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0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transcript</t>
        </is>
      </c>
      <c r="B1" s="1" t="inlineStr">
        <is>
          <t>row</t>
        </is>
      </c>
      <c r="C1" s="1" t="inlineStr">
        <is>
          <t>log2FoldChange</t>
        </is>
      </c>
      <c r="D1" s="1" t="inlineStr">
        <is>
          <t>padj</t>
        </is>
      </c>
      <c r="E1" s="1" t="inlineStr">
        <is>
          <t>protein_accession</t>
        </is>
      </c>
      <c r="F1" s="1" t="inlineStr">
        <is>
          <t>sequence_identity</t>
        </is>
      </c>
      <c r="G1" s="1" t="inlineStr">
        <is>
          <t>alignment_length</t>
        </is>
      </c>
      <c r="H1" s="1" t="inlineStr">
        <is>
          <t>evalue</t>
        </is>
      </c>
      <c r="I1" s="1" t="inlineStr">
        <is>
          <t>database</t>
        </is>
      </c>
      <c r="J1" s="1" t="inlineStr">
        <is>
          <t>gene</t>
        </is>
      </c>
      <c r="K1" s="1" t="inlineStr">
        <is>
          <t>locus_name</t>
        </is>
      </c>
      <c r="L1" s="1" t="inlineStr">
        <is>
          <t>sequence_description</t>
        </is>
      </c>
      <c r="M1" s="1" t="inlineStr">
        <is>
          <t>sequence_length</t>
        </is>
      </c>
      <c r="N1" s="1" t="inlineStr">
        <is>
          <t>organism</t>
        </is>
      </c>
      <c r="O1" s="1" t="inlineStr">
        <is>
          <t>protein_product</t>
        </is>
      </c>
    </row>
    <row r="2">
      <c r="A2" t="inlineStr">
        <is>
          <t>NODE_100481_length_1662_cov_45.942320_g39073_i0</t>
        </is>
      </c>
      <c r="B2" t="inlineStr">
        <is>
          <t>bombina_pachypus_blastx</t>
        </is>
      </c>
      <c r="C2" t="n">
        <v>3.72923808071227</v>
      </c>
      <c r="D2" t="n">
        <v>0.0010080882221269</v>
      </c>
      <c r="E2">
        <f>HYPERLINK("https://www.uniprot.org/uniprotkb/A0A6P7WME3/entry", "A0A6P7WME3")</f>
        <v/>
      </c>
      <c r="F2" t="n">
        <v>38.9</v>
      </c>
      <c r="G2" t="n">
        <v>332</v>
      </c>
      <c r="H2" t="n">
        <v>1.87e-64</v>
      </c>
      <c r="I2" t="inlineStr">
        <is>
          <t>TrEMBL</t>
        </is>
      </c>
      <c r="J2" t="inlineStr">
        <is>
          <t>LOC115458754</t>
        </is>
      </c>
      <c r="K2" t="inlineStr">
        <is>
          <t>A0A6P7WME3_9AMPH</t>
        </is>
      </c>
      <c r="L2" t="inlineStr">
        <is>
          <t>tr|A0A6P7WME3|A0A6P7WME3_9AMPH epidermal differentiation-specific protein-like OS=Microcaecilia unicolor OX=1415580 GN=LOC115458754 PE=3 SV=1</t>
        </is>
      </c>
      <c r="M2" t="n">
        <v>340</v>
      </c>
      <c r="N2" t="inlineStr">
        <is>
          <t>Microcaecilia unicolor</t>
        </is>
      </c>
      <c r="O2" t="inlineStr">
        <is>
          <t>epidermal differentiation-specific protein-like</t>
        </is>
      </c>
    </row>
    <row r="3">
      <c r="A3" t="inlineStr"/>
      <c r="B3" t="inlineStr"/>
      <c r="C3" t="inlineStr"/>
      <c r="D3" t="inlineStr"/>
      <c r="E3">
        <f>HYPERLINK("https://www.ncbi.nlm.nih.gov/gene/?term=XP_030044427.1", "XP_030044427.1")</f>
        <v/>
      </c>
      <c r="F3" t="n">
        <v>38.9</v>
      </c>
      <c r="G3" t="n">
        <v>332</v>
      </c>
      <c r="H3" t="n">
        <v>4.81e-64</v>
      </c>
      <c r="I3" t="inlineStr">
        <is>
          <t>Nr</t>
        </is>
      </c>
      <c r="J3" t="inlineStr"/>
      <c r="K3" t="inlineStr"/>
      <c r="L3" t="inlineStr">
        <is>
          <t>XP_030044427.1 epidermal differentiation-specific protein-like [Microcaecilia unicolor]</t>
        </is>
      </c>
      <c r="M3" t="n">
        <v>340</v>
      </c>
      <c r="N3" t="inlineStr">
        <is>
          <t>Microcaecilia unicolor</t>
        </is>
      </c>
      <c r="O3" t="inlineStr">
        <is>
          <t>epidermal differentiation-specific protein-like</t>
        </is>
      </c>
    </row>
    <row r="4">
      <c r="A4" t="inlineStr"/>
      <c r="B4" t="inlineStr"/>
      <c r="C4" t="inlineStr"/>
      <c r="D4" t="inlineStr"/>
      <c r="E4">
        <f>HYPERLINK("https://www.uniprot.org/uniprotkb/A0A6P8NSY5/entry", "A0A6P8NSY5")</f>
        <v/>
      </c>
      <c r="F4" t="n">
        <v>38.9</v>
      </c>
      <c r="G4" t="n">
        <v>337</v>
      </c>
      <c r="H4" t="n">
        <v>1.02e-63</v>
      </c>
      <c r="I4" t="inlineStr">
        <is>
          <t>TrEMBL</t>
        </is>
      </c>
      <c r="J4" t="inlineStr">
        <is>
          <t>LOC117349897</t>
        </is>
      </c>
      <c r="K4" t="inlineStr">
        <is>
          <t>A0A6P8NSY5_GEOSA</t>
        </is>
      </c>
      <c r="L4" t="inlineStr">
        <is>
          <t>tr|A0A6P8NSY5|A0A6P8NSY5_GEOSA epidermal differentiation-specific protein-like OS=Geotrypetes seraphini OX=260995 GN=LOC117349897 PE=3 SV=1</t>
        </is>
      </c>
      <c r="M4" t="n">
        <v>339</v>
      </c>
      <c r="N4" t="inlineStr">
        <is>
          <t>Geotrypetes seraphini</t>
        </is>
      </c>
      <c r="O4" t="inlineStr">
        <is>
          <t>epidermal differentiation-specific protein-like</t>
        </is>
      </c>
    </row>
    <row r="5">
      <c r="A5" t="inlineStr"/>
      <c r="B5" t="inlineStr"/>
      <c r="C5" t="inlineStr"/>
      <c r="D5" t="inlineStr"/>
      <c r="E5">
        <f>HYPERLINK("https://www.ncbi.nlm.nih.gov/gene/?term=XP_033779482.1", "XP_033779482.1")</f>
        <v/>
      </c>
      <c r="F5" t="n">
        <v>38.9</v>
      </c>
      <c r="G5" t="n">
        <v>337</v>
      </c>
      <c r="H5" t="n">
        <v>2.62e-63</v>
      </c>
      <c r="I5" t="inlineStr">
        <is>
          <t>Nr</t>
        </is>
      </c>
      <c r="J5" t="inlineStr"/>
      <c r="K5" t="inlineStr"/>
      <c r="L5" t="inlineStr">
        <is>
          <t>XP_033779482.1 epidermal differentiation-specific protein-like [Geotrypetes seraphini]</t>
        </is>
      </c>
      <c r="M5" t="n">
        <v>339</v>
      </c>
      <c r="N5" t="inlineStr">
        <is>
          <t>Geotrypetes seraphini</t>
        </is>
      </c>
      <c r="O5" t="inlineStr">
        <is>
          <t>epidermal differentiation-specific protein-like</t>
        </is>
      </c>
    </row>
    <row r="6">
      <c r="A6" t="inlineStr"/>
      <c r="B6" t="inlineStr"/>
      <c r="C6" t="inlineStr"/>
      <c r="D6" t="inlineStr"/>
      <c r="E6">
        <f>HYPERLINK("https://www.ncbi.nlm.nih.gov/gene/?term=XP_028822286.1", "XP_028822286.1")</f>
        <v/>
      </c>
      <c r="F6" t="n">
        <v>37.5</v>
      </c>
      <c r="G6" t="n">
        <v>339</v>
      </c>
      <c r="H6" t="n">
        <v>7.37e-63</v>
      </c>
      <c r="I6" t="inlineStr">
        <is>
          <t>Nr</t>
        </is>
      </c>
      <c r="J6" t="inlineStr"/>
      <c r="K6" t="inlineStr"/>
      <c r="L6" t="inlineStr">
        <is>
          <t>XP_028822286.1 epidermal differentiation-specific protein-like [Denticeps clupeoides]</t>
        </is>
      </c>
      <c r="M6" t="n">
        <v>339</v>
      </c>
      <c r="N6" t="inlineStr">
        <is>
          <t>Denticeps clupeoides</t>
        </is>
      </c>
      <c r="O6" t="inlineStr">
        <is>
          <t>epidermal differentiation-specific protein-like</t>
        </is>
      </c>
    </row>
    <row r="7">
      <c r="A7" t="inlineStr"/>
      <c r="B7" t="inlineStr"/>
      <c r="C7" t="inlineStr"/>
      <c r="D7" t="inlineStr"/>
      <c r="E7">
        <f>HYPERLINK("https://www.ncbi.nlm.nih.gov/gene/?term=XP_028822242.1", "XP_028822242.1")</f>
        <v/>
      </c>
      <c r="F7" t="n">
        <v>37.5</v>
      </c>
      <c r="G7" t="n">
        <v>339</v>
      </c>
      <c r="H7" t="n">
        <v>7.37e-63</v>
      </c>
      <c r="I7" t="inlineStr">
        <is>
          <t>Nr</t>
        </is>
      </c>
      <c r="J7" t="inlineStr"/>
      <c r="K7" t="inlineStr"/>
      <c r="L7" t="inlineStr">
        <is>
          <t>XP_028822242.1 epidermal differentiation-specific protein-like [Denticeps clupeoides]</t>
        </is>
      </c>
      <c r="M7" t="n">
        <v>339</v>
      </c>
      <c r="N7" t="inlineStr">
        <is>
          <t>Denticeps clupeoides</t>
        </is>
      </c>
      <c r="O7" t="inlineStr">
        <is>
          <t>epidermal differentiation-specific protein-like</t>
        </is>
      </c>
    </row>
    <row r="8">
      <c r="A8" t="inlineStr"/>
      <c r="B8" t="inlineStr"/>
      <c r="C8" t="inlineStr"/>
      <c r="D8" t="inlineStr"/>
      <c r="E8">
        <f>HYPERLINK("https://www.ncbi.nlm.nih.gov/gene/?term=XP_041100159.1", "XP_041100159.1")</f>
        <v/>
      </c>
      <c r="F8" t="n">
        <v>36.8</v>
      </c>
      <c r="G8" t="n">
        <v>337</v>
      </c>
      <c r="H8" t="n">
        <v>1.01e-62</v>
      </c>
      <c r="I8" t="inlineStr">
        <is>
          <t>Nr</t>
        </is>
      </c>
      <c r="J8" t="inlineStr"/>
      <c r="K8" t="inlineStr"/>
      <c r="L8" t="inlineStr">
        <is>
          <t>XP_041100159.1 epidermal differentiation-specific protein-like [Polyodon spathula]</t>
        </is>
      </c>
      <c r="M8" t="n">
        <v>338</v>
      </c>
      <c r="N8" t="inlineStr">
        <is>
          <t>Polyodon spathula</t>
        </is>
      </c>
      <c r="O8" t="inlineStr">
        <is>
          <t>epidermal differentiation-specific protein-like</t>
        </is>
      </c>
    </row>
    <row r="9">
      <c r="A9" t="inlineStr"/>
      <c r="B9" t="inlineStr"/>
      <c r="C9" t="inlineStr"/>
      <c r="D9" t="inlineStr"/>
      <c r="E9">
        <f>HYPERLINK("https://www.ncbi.nlm.nih.gov/gene/?term=XP_041099455.1", "XP_041099455.1")</f>
        <v/>
      </c>
      <c r="F9" t="n">
        <v>36.5</v>
      </c>
      <c r="G9" t="n">
        <v>337</v>
      </c>
      <c r="H9" t="n">
        <v>1.43e-62</v>
      </c>
      <c r="I9" t="inlineStr">
        <is>
          <t>Nr</t>
        </is>
      </c>
      <c r="J9" t="inlineStr"/>
      <c r="K9" t="inlineStr"/>
      <c r="L9" t="inlineStr">
        <is>
          <t>XP_041099455.1 epidermal differentiation-specific protein-like [Polyodon spathula]</t>
        </is>
      </c>
      <c r="M9" t="n">
        <v>338</v>
      </c>
      <c r="N9" t="inlineStr">
        <is>
          <t>Polyodon spathula</t>
        </is>
      </c>
      <c r="O9" t="inlineStr">
        <is>
          <t>epidermal differentiation-specific protein-like</t>
        </is>
      </c>
    </row>
    <row r="10">
      <c r="A10" t="inlineStr"/>
      <c r="B10" t="inlineStr"/>
      <c r="C10" t="inlineStr"/>
      <c r="D10" t="inlineStr"/>
      <c r="E10">
        <f>HYPERLINK("https://www.ncbi.nlm.nih.gov/gene/?term=XP_034770713.1", "XP_034770713.1")</f>
        <v/>
      </c>
      <c r="F10" t="n">
        <v>38.2</v>
      </c>
      <c r="G10" t="n">
        <v>335</v>
      </c>
      <c r="H10" t="n">
        <v>2.45e-62</v>
      </c>
      <c r="I10" t="inlineStr">
        <is>
          <t>Nr</t>
        </is>
      </c>
      <c r="J10" t="inlineStr"/>
      <c r="K10" t="inlineStr"/>
      <c r="L10" t="inlineStr">
        <is>
          <t>XP_034770713.1 epidermal differentiation-specific protein-like [Acipenser ruthenus]</t>
        </is>
      </c>
      <c r="M10" t="n">
        <v>345</v>
      </c>
      <c r="N10" t="inlineStr">
        <is>
          <t>Acipenser ruthenus</t>
        </is>
      </c>
      <c r="O10" t="inlineStr">
        <is>
          <t>epidermal differentiation-specific protein-like</t>
        </is>
      </c>
    </row>
    <row r="11">
      <c r="A11" t="inlineStr"/>
      <c r="B11" t="inlineStr"/>
      <c r="C11" t="inlineStr"/>
      <c r="D11" t="inlineStr"/>
      <c r="E11">
        <f>HYPERLINK("https://www.ncbi.nlm.nih.gov/gene/?term=XP_041117575.1", "XP_041117575.1")</f>
        <v/>
      </c>
      <c r="F11" t="n">
        <v>36</v>
      </c>
      <c r="G11" t="n">
        <v>336</v>
      </c>
      <c r="H11" t="n">
        <v>2.84e-62</v>
      </c>
      <c r="I11" t="inlineStr">
        <is>
          <t>Nr</t>
        </is>
      </c>
      <c r="J11" t="inlineStr"/>
      <c r="K11" t="inlineStr"/>
      <c r="L11" t="inlineStr">
        <is>
          <t>XP_041117575.1 epidermal differentiation-specific protein-like [Polyodon spathula]</t>
        </is>
      </c>
      <c r="M11" t="n">
        <v>338</v>
      </c>
      <c r="N11" t="inlineStr">
        <is>
          <t>Polyodon spathula</t>
        </is>
      </c>
      <c r="O11" t="inlineStr">
        <is>
          <t>epidermal differentiation-specific protein-like</t>
        </is>
      </c>
    </row>
    <row r="12">
      <c r="A12" t="inlineStr"/>
      <c r="B12" t="inlineStr"/>
      <c r="C12" t="inlineStr"/>
      <c r="D12" t="inlineStr"/>
      <c r="E12">
        <f>HYPERLINK("https://www.ncbi.nlm.nih.gov/gene/?term=XP_028808976.1", "XP_028808976.1")</f>
        <v/>
      </c>
      <c r="F12" t="n">
        <v>37.2</v>
      </c>
      <c r="G12" t="n">
        <v>339</v>
      </c>
      <c r="H12" t="n">
        <v>2.92e-62</v>
      </c>
      <c r="I12" t="inlineStr">
        <is>
          <t>Nr</t>
        </is>
      </c>
      <c r="J12" t="inlineStr"/>
      <c r="K12" t="inlineStr"/>
      <c r="L12" t="inlineStr">
        <is>
          <t>XP_028808976.1 epidermal differentiation-specific protein-like [Denticeps clupeoides]</t>
        </is>
      </c>
      <c r="M12" t="n">
        <v>339</v>
      </c>
      <c r="N12" t="inlineStr">
        <is>
          <t>Denticeps clupeoides</t>
        </is>
      </c>
      <c r="O12" t="inlineStr">
        <is>
          <t>epidermal differentiation-specific protein-like</t>
        </is>
      </c>
    </row>
    <row r="13">
      <c r="A13" t="inlineStr"/>
      <c r="B13" t="inlineStr"/>
      <c r="C13" t="inlineStr"/>
      <c r="D13" t="inlineStr"/>
      <c r="E13">
        <f>HYPERLINK("https://www.ncbi.nlm.nih.gov/gene/?term=XP_028821627.1", "XP_028821627.1")</f>
        <v/>
      </c>
      <c r="F13" t="n">
        <v>37.2</v>
      </c>
      <c r="G13" t="n">
        <v>339</v>
      </c>
      <c r="H13" t="n">
        <v>2.92e-62</v>
      </c>
      <c r="I13" t="inlineStr">
        <is>
          <t>Nr</t>
        </is>
      </c>
      <c r="J13" t="inlineStr"/>
      <c r="K13" t="inlineStr"/>
      <c r="L13" t="inlineStr">
        <is>
          <t>XP_028821627.1 epidermal differentiation-specific protein-like [Denticeps clupeoides]</t>
        </is>
      </c>
      <c r="M13" t="n">
        <v>339</v>
      </c>
      <c r="N13" t="inlineStr">
        <is>
          <t>Denticeps clupeoides</t>
        </is>
      </c>
      <c r="O13" t="inlineStr">
        <is>
          <t>epidermal differentiation-specific protein-like</t>
        </is>
      </c>
    </row>
    <row r="14">
      <c r="A14" t="inlineStr"/>
      <c r="B14" t="inlineStr"/>
      <c r="C14" t="inlineStr"/>
      <c r="D14" t="inlineStr"/>
      <c r="E14">
        <f>HYPERLINK("https://www.ncbi.nlm.nih.gov/gene/?term=XP_028822122.1", "XP_028822122.1")</f>
        <v/>
      </c>
      <c r="F14" t="n">
        <v>37.2</v>
      </c>
      <c r="G14" t="n">
        <v>339</v>
      </c>
      <c r="H14" t="n">
        <v>2.92e-62</v>
      </c>
      <c r="I14" t="inlineStr">
        <is>
          <t>Nr</t>
        </is>
      </c>
      <c r="J14" t="inlineStr"/>
      <c r="K14" t="inlineStr"/>
      <c r="L14" t="inlineStr">
        <is>
          <t>XP_028822122.1 epidermal differentiation-specific protein-like [Denticeps clupeoides]</t>
        </is>
      </c>
      <c r="M14" t="n">
        <v>339</v>
      </c>
      <c r="N14" t="inlineStr">
        <is>
          <t>Denticeps clupeoides</t>
        </is>
      </c>
      <c r="O14" t="inlineStr">
        <is>
          <t>epidermal differentiation-specific protein-like</t>
        </is>
      </c>
    </row>
    <row r="15">
      <c r="A15" t="inlineStr"/>
      <c r="B15" t="inlineStr"/>
      <c r="C15" t="inlineStr"/>
      <c r="D15" t="inlineStr"/>
      <c r="E15">
        <f>HYPERLINK("https://www.ncbi.nlm.nih.gov/gene/?term=MBN3302179.1", "MBN3302179.1")</f>
        <v/>
      </c>
      <c r="F15" t="n">
        <v>37.8</v>
      </c>
      <c r="G15" t="n">
        <v>336</v>
      </c>
      <c r="H15" t="n">
        <v>2e-61</v>
      </c>
      <c r="I15" t="inlineStr">
        <is>
          <t>Nr</t>
        </is>
      </c>
      <c r="J15" t="inlineStr"/>
      <c r="K15" t="inlineStr"/>
      <c r="L15" t="inlineStr">
        <is>
          <t>MBN3302179.1 EDSP protein [Amia calva]</t>
        </is>
      </c>
      <c r="M15" t="n">
        <v>334</v>
      </c>
      <c r="N15" t="inlineStr">
        <is>
          <t>Amia calva</t>
        </is>
      </c>
      <c r="O15" t="inlineStr">
        <is>
          <t>EDSP protein</t>
        </is>
      </c>
    </row>
    <row r="16">
      <c r="A16" t="inlineStr"/>
      <c r="B16" t="inlineStr"/>
      <c r="C16" t="inlineStr"/>
      <c r="D16" t="inlineStr"/>
      <c r="E16">
        <f>HYPERLINK("https://www.ncbi.nlm.nih.gov/gene/?term=XP_033858458.2", "XP_033858458.2")</f>
        <v/>
      </c>
      <c r="F16" t="n">
        <v>38.5</v>
      </c>
      <c r="G16" t="n">
        <v>335</v>
      </c>
      <c r="H16" t="n">
        <v>2.65e-61</v>
      </c>
      <c r="I16" t="inlineStr">
        <is>
          <t>Nr</t>
        </is>
      </c>
      <c r="J16" t="inlineStr"/>
      <c r="K16" t="inlineStr"/>
      <c r="L16" t="inlineStr">
        <is>
          <t>XP_033858458.2 epidermal differentiation-specific protein-like [Acipenser ruthenus]</t>
        </is>
      </c>
      <c r="M16" t="n">
        <v>344</v>
      </c>
      <c r="N16" t="inlineStr">
        <is>
          <t>Acipenser ruthenus</t>
        </is>
      </c>
      <c r="O16" t="inlineStr">
        <is>
          <t>epidermal differentiation-specific protein-like</t>
        </is>
      </c>
    </row>
    <row r="17">
      <c r="A17" t="inlineStr"/>
      <c r="B17" t="inlineStr"/>
      <c r="C17" t="inlineStr"/>
      <c r="D17" t="inlineStr"/>
      <c r="E17">
        <f>HYPERLINK("https://www.uniprot.org/uniprotkb/A0A8C4TF76/entry", "A0A8C4TF76")</f>
        <v/>
      </c>
      <c r="F17" t="n">
        <v>36.9</v>
      </c>
      <c r="G17" t="n">
        <v>336</v>
      </c>
      <c r="H17" t="n">
        <v>4.88e-61</v>
      </c>
      <c r="I17" t="inlineStr">
        <is>
          <t>TrEMBL</t>
        </is>
      </c>
      <c r="J17" t="inlineStr">
        <is>
          <t>LOC114655954</t>
        </is>
      </c>
      <c r="K17" t="inlineStr">
        <is>
          <t>A0A8C4TF76_ERPCA</t>
        </is>
      </c>
      <c r="L17" t="inlineStr">
        <is>
          <t>tr|A0A8C4TF76|A0A8C4TF76_ERPCA Epidermal differentiation-specific protein-like OS=Erpetoichthys calabaricus OX=27687 GN=LOC114655954 PE=3 SV=1</t>
        </is>
      </c>
      <c r="M17" t="n">
        <v>338</v>
      </c>
      <c r="N17" t="inlineStr">
        <is>
          <t>Erpetoichthys calabaricus</t>
        </is>
      </c>
      <c r="O17" t="inlineStr">
        <is>
          <t>Epidermal differentiation-specific protein-like</t>
        </is>
      </c>
    </row>
    <row r="18">
      <c r="A18" t="inlineStr"/>
      <c r="B18" t="inlineStr"/>
      <c r="C18" t="inlineStr"/>
      <c r="D18" t="inlineStr"/>
      <c r="E18">
        <f>HYPERLINK("https://www.uniprot.org/uniprotkb/A0A8C4TDG2/entry", "A0A8C4TDG2")</f>
        <v/>
      </c>
      <c r="F18" t="n">
        <v>36.9</v>
      </c>
      <c r="G18" t="n">
        <v>336</v>
      </c>
      <c r="H18" t="n">
        <v>4.88e-61</v>
      </c>
      <c r="I18" t="inlineStr">
        <is>
          <t>TrEMBL</t>
        </is>
      </c>
      <c r="J18" t="inlineStr">
        <is>
          <t>LOC114655955</t>
        </is>
      </c>
      <c r="K18" t="inlineStr">
        <is>
          <t>A0A8C4TDG2_ERPCA</t>
        </is>
      </c>
      <c r="L18" t="inlineStr">
        <is>
          <t>tr|A0A8C4TDG2|A0A8C4TDG2_ERPCA Epidermal differentiation-specific protein-like OS=Erpetoichthys calabaricus OX=27687 GN=LOC114655955 PE=3 SV=1</t>
        </is>
      </c>
      <c r="M18" t="n">
        <v>338</v>
      </c>
      <c r="N18" t="inlineStr">
        <is>
          <t>Erpetoichthys calabaricus</t>
        </is>
      </c>
      <c r="O18" t="inlineStr">
        <is>
          <t>Epidermal differentiation-specific protein-like</t>
        </is>
      </c>
    </row>
    <row r="19">
      <c r="A19" t="inlineStr"/>
      <c r="B19" t="inlineStr"/>
      <c r="C19" t="inlineStr"/>
      <c r="D19" t="inlineStr"/>
      <c r="E19">
        <f>HYPERLINK("https://www.uniprot.org/uniprotkb/A0A6P8P9S0/entry", "A0A6P8P9S0")</f>
        <v/>
      </c>
      <c r="F19" t="n">
        <v>37.4</v>
      </c>
      <c r="G19" t="n">
        <v>334</v>
      </c>
      <c r="H19" t="n">
        <v>6.889999999999999e-61</v>
      </c>
      <c r="I19" t="inlineStr">
        <is>
          <t>TrEMBL</t>
        </is>
      </c>
      <c r="J19" t="inlineStr">
        <is>
          <t>LOC117350359</t>
        </is>
      </c>
      <c r="K19" t="inlineStr">
        <is>
          <t>A0A6P8P9S0_GEOSA</t>
        </is>
      </c>
      <c r="L19" t="inlineStr">
        <is>
          <t>tr|A0A6P8P9S0|A0A6P8P9S0_GEOSA epidermal differentiation-specific protein-like OS=Geotrypetes seraphini OX=260995 GN=LOC117350359 PE=3 SV=1</t>
        </is>
      </c>
      <c r="M19" t="n">
        <v>338</v>
      </c>
      <c r="N19" t="inlineStr">
        <is>
          <t>Geotrypetes seraphini</t>
        </is>
      </c>
      <c r="O19" t="inlineStr">
        <is>
          <t>epidermal differentiation-specific protein-like</t>
        </is>
      </c>
    </row>
    <row r="20">
      <c r="A20" t="inlineStr"/>
      <c r="B20" t="inlineStr"/>
      <c r="C20" t="inlineStr"/>
      <c r="D20" t="inlineStr"/>
      <c r="E20">
        <f>HYPERLINK("https://www.ncbi.nlm.nih.gov/gene/?term=XP_033780519.1", "XP_033780519.1")</f>
        <v/>
      </c>
      <c r="F20" t="n">
        <v>37.4</v>
      </c>
      <c r="G20" t="n">
        <v>334</v>
      </c>
      <c r="H20" t="n">
        <v>1.77e-60</v>
      </c>
      <c r="I20" t="inlineStr">
        <is>
          <t>Nr</t>
        </is>
      </c>
      <c r="J20" t="inlineStr"/>
      <c r="K20" t="inlineStr"/>
      <c r="L20" t="inlineStr">
        <is>
          <t>XP_033780519.1 epidermal differentiation-specific protein-like [Geotrypetes seraphini]</t>
        </is>
      </c>
      <c r="M20" t="n">
        <v>338</v>
      </c>
      <c r="N20" t="inlineStr">
        <is>
          <t>Geotrypetes seraphini</t>
        </is>
      </c>
      <c r="O20" t="inlineStr">
        <is>
          <t>epidermal differentiation-specific protein-like</t>
        </is>
      </c>
    </row>
    <row r="21">
      <c r="A21" t="inlineStr"/>
      <c r="B21" t="inlineStr"/>
      <c r="C21" t="inlineStr"/>
      <c r="D21" t="inlineStr"/>
      <c r="E21">
        <f>HYPERLINK("https://www.uniprot.org/uniprotkb/A0A6P7X1J4/entry", "A0A6P7X1J4")</f>
        <v/>
      </c>
      <c r="F21" t="n">
        <v>37.2</v>
      </c>
      <c r="G21" t="n">
        <v>328</v>
      </c>
      <c r="H21" t="n">
        <v>3.91e-60</v>
      </c>
      <c r="I21" t="inlineStr">
        <is>
          <t>TrEMBL</t>
        </is>
      </c>
      <c r="J21" t="inlineStr">
        <is>
          <t>LOC115458752</t>
        </is>
      </c>
      <c r="K21" t="inlineStr">
        <is>
          <t>A0A6P7X1J4_9AMPH</t>
        </is>
      </c>
      <c r="L21" t="inlineStr">
        <is>
          <t>tr|A0A6P7X1J4|A0A6P7X1J4_9AMPH epidermal differentiation-specific protein-like OS=Microcaecilia unicolor OX=1415580 GN=LOC115458752 PE=3 SV=1</t>
        </is>
      </c>
      <c r="M21" t="n">
        <v>351</v>
      </c>
      <c r="N21" t="inlineStr">
        <is>
          <t>Microcaecilia unicolor</t>
        </is>
      </c>
      <c r="O21" t="inlineStr">
        <is>
          <t>epidermal differentiation-specific protein-like</t>
        </is>
      </c>
    </row>
    <row r="22">
      <c r="A22" t="inlineStr"/>
      <c r="B22" t="inlineStr"/>
      <c r="C22" t="inlineStr"/>
      <c r="D22" t="inlineStr"/>
      <c r="E22">
        <f>HYPERLINK("https://www.uniprot.org/uniprotkb/A0A8C4TB49/entry", "A0A8C4TB49")</f>
        <v/>
      </c>
      <c r="F22" t="n">
        <v>36.8</v>
      </c>
      <c r="G22" t="n">
        <v>334</v>
      </c>
      <c r="H22" t="n">
        <v>4.18e-60</v>
      </c>
      <c r="I22" t="inlineStr">
        <is>
          <t>TrEMBL</t>
        </is>
      </c>
      <c r="J22" t="inlineStr">
        <is>
          <t>LOC114656585</t>
        </is>
      </c>
      <c r="K22" t="inlineStr">
        <is>
          <t>A0A8C4TB49_ERPCA</t>
        </is>
      </c>
      <c r="L22" t="inlineStr">
        <is>
          <t>tr|A0A8C4TB49|A0A8C4TB49_ERPCA Epidermal differentiation-specific protein-like OS=Erpetoichthys calabaricus OX=27687 GN=LOC114656585 PE=3 SV=1</t>
        </is>
      </c>
      <c r="M22" t="n">
        <v>341</v>
      </c>
      <c r="N22" t="inlineStr">
        <is>
          <t>Erpetoichthys calabaricus</t>
        </is>
      </c>
      <c r="O22" t="inlineStr">
        <is>
          <t>Epidermal differentiation-specific protein-like</t>
        </is>
      </c>
    </row>
    <row r="23">
      <c r="A23" t="inlineStr"/>
      <c r="B23" t="inlineStr"/>
      <c r="C23" t="inlineStr"/>
      <c r="D23" t="inlineStr"/>
      <c r="E23">
        <f>HYPERLINK("https://www.ncbi.nlm.nih.gov/gene/?term=XP_028809201.1", "XP_028809201.1")</f>
        <v/>
      </c>
      <c r="F23" t="n">
        <v>36.9</v>
      </c>
      <c r="G23" t="n">
        <v>339</v>
      </c>
      <c r="H23" t="n">
        <v>5.109999999999999e-60</v>
      </c>
      <c r="I23" t="inlineStr">
        <is>
          <t>Nr</t>
        </is>
      </c>
      <c r="J23" t="inlineStr"/>
      <c r="K23" t="inlineStr"/>
      <c r="L23" t="inlineStr">
        <is>
          <t>XP_028809201.1 epidermal differentiation-specific protein-like [Denticeps clupeoides]</t>
        </is>
      </c>
      <c r="M23" t="n">
        <v>339</v>
      </c>
      <c r="N23" t="inlineStr">
        <is>
          <t>Denticeps clupeoides</t>
        </is>
      </c>
      <c r="O23" t="inlineStr">
        <is>
          <t>epidermal differentiation-specific protein-like</t>
        </is>
      </c>
    </row>
    <row r="24">
      <c r="A24" t="inlineStr"/>
      <c r="B24" t="inlineStr"/>
      <c r="C24" t="inlineStr"/>
      <c r="D24" t="inlineStr"/>
      <c r="E24">
        <f>HYPERLINK("https://www.ncbi.nlm.nih.gov/gene/?term=XP_028663112.2", "XP_028663112.2")</f>
        <v/>
      </c>
      <c r="F24" t="n">
        <v>36.3</v>
      </c>
      <c r="G24" t="n">
        <v>336</v>
      </c>
      <c r="H24" t="n">
        <v>7.01e-60</v>
      </c>
      <c r="I24" t="inlineStr">
        <is>
          <t>Nr</t>
        </is>
      </c>
      <c r="J24" t="inlineStr"/>
      <c r="K24" t="inlineStr"/>
      <c r="L24" t="inlineStr">
        <is>
          <t>XP_028663112.2 epidermal differentiation-specific protein-like isoform X1 [Erpetoichthys calabaricus]</t>
        </is>
      </c>
      <c r="M24" t="n">
        <v>338</v>
      </c>
      <c r="N24" t="inlineStr">
        <is>
          <t>Erpetoichthys calabaricus</t>
        </is>
      </c>
      <c r="O24" t="inlineStr">
        <is>
          <t>epidermal differentiation-specific protein-like isoform X1</t>
        </is>
      </c>
    </row>
    <row r="25">
      <c r="A25" t="inlineStr"/>
      <c r="B25" t="inlineStr"/>
      <c r="C25" t="inlineStr"/>
      <c r="D25" t="inlineStr"/>
      <c r="E25">
        <f>HYPERLINK("https://www.ncbi.nlm.nih.gov/gene/?term=XP_028663121.2", "XP_028663121.2")</f>
        <v/>
      </c>
      <c r="F25" t="n">
        <v>36.6</v>
      </c>
      <c r="G25" t="n">
        <v>336</v>
      </c>
      <c r="H25" t="n">
        <v>7.01e-60</v>
      </c>
      <c r="I25" t="inlineStr">
        <is>
          <t>Nr</t>
        </is>
      </c>
      <c r="J25" t="inlineStr"/>
      <c r="K25" t="inlineStr"/>
      <c r="L25" t="inlineStr">
        <is>
          <t>XP_028663121.2 epidermal differentiation-specific protein-like isoform X2 [Erpetoichthys calabaricus]</t>
        </is>
      </c>
      <c r="M25" t="n">
        <v>338</v>
      </c>
      <c r="N25" t="inlineStr">
        <is>
          <t>Erpetoichthys calabaricus</t>
        </is>
      </c>
      <c r="O25" t="inlineStr">
        <is>
          <t>epidermal differentiation-specific protein-like isoform X2</t>
        </is>
      </c>
    </row>
    <row r="26">
      <c r="A26" t="inlineStr"/>
      <c r="B26" t="inlineStr"/>
      <c r="C26" t="inlineStr"/>
      <c r="D26" t="inlineStr"/>
      <c r="E26">
        <f>HYPERLINK("https://www.ncbi.nlm.nih.gov/gene/?term=XP_028664175.2", "XP_028664175.2")</f>
        <v/>
      </c>
      <c r="F26" t="n">
        <v>37.4</v>
      </c>
      <c r="G26" t="n">
        <v>334</v>
      </c>
      <c r="H26" t="n">
        <v>9.88e-60</v>
      </c>
      <c r="I26" t="inlineStr">
        <is>
          <t>Nr</t>
        </is>
      </c>
      <c r="J26" t="inlineStr"/>
      <c r="K26" t="inlineStr"/>
      <c r="L26" t="inlineStr">
        <is>
          <t>XP_028664175.2 epidermal differentiation-specific protein-like [Erpetoichthys calabaricus]</t>
        </is>
      </c>
      <c r="M26" t="n">
        <v>338</v>
      </c>
      <c r="N26" t="inlineStr">
        <is>
          <t>Erpetoichthys calabaricus</t>
        </is>
      </c>
      <c r="O26" t="inlineStr">
        <is>
          <t>epidermal differentiation-specific protein-like</t>
        </is>
      </c>
    </row>
    <row r="27">
      <c r="A27" t="inlineStr"/>
      <c r="B27" t="inlineStr"/>
      <c r="C27" t="inlineStr"/>
      <c r="D27" t="inlineStr"/>
      <c r="E27">
        <f>HYPERLINK("https://www.ncbi.nlm.nih.gov/gene/?term=XP_030044425.1", "XP_030044425.1")</f>
        <v/>
      </c>
      <c r="F27" t="n">
        <v>37.2</v>
      </c>
      <c r="G27" t="n">
        <v>328</v>
      </c>
      <c r="H27" t="n">
        <v>1e-59</v>
      </c>
      <c r="I27" t="inlineStr">
        <is>
          <t>Nr</t>
        </is>
      </c>
      <c r="J27" t="inlineStr"/>
      <c r="K27" t="inlineStr"/>
      <c r="L27" t="inlineStr">
        <is>
          <t>XP_030044425.1 epidermal differentiation-specific protein-like [Microcaecilia unicolor]</t>
        </is>
      </c>
      <c r="M27" t="n">
        <v>351</v>
      </c>
      <c r="N27" t="inlineStr">
        <is>
          <t>Microcaecilia unicolor</t>
        </is>
      </c>
      <c r="O27" t="inlineStr">
        <is>
          <t>epidermal differentiation-specific protein-like</t>
        </is>
      </c>
    </row>
    <row r="28">
      <c r="A28" t="inlineStr"/>
      <c r="B28" t="inlineStr"/>
      <c r="C28" t="inlineStr"/>
      <c r="D28" t="inlineStr"/>
      <c r="E28">
        <f>HYPERLINK("https://www.ncbi.nlm.nih.gov/gene/?term=XP_028664059.2", "XP_028664059.2")</f>
        <v/>
      </c>
      <c r="F28" t="n">
        <v>36.4</v>
      </c>
      <c r="G28" t="n">
        <v>338</v>
      </c>
      <c r="H28" t="n">
        <v>1.02e-59</v>
      </c>
      <c r="I28" t="inlineStr">
        <is>
          <t>Nr</t>
        </is>
      </c>
      <c r="J28" t="inlineStr"/>
      <c r="K28" t="inlineStr"/>
      <c r="L28" t="inlineStr">
        <is>
          <t>XP_028664059.2 epidermal differentiation-specific protein-like [Erpetoichthys calabaricus]</t>
        </is>
      </c>
      <c r="M28" t="n">
        <v>339</v>
      </c>
      <c r="N28" t="inlineStr">
        <is>
          <t>Erpetoichthys calabaricus</t>
        </is>
      </c>
      <c r="O28" t="inlineStr">
        <is>
          <t>epidermal differentiation-specific protein-like</t>
        </is>
      </c>
    </row>
    <row r="29">
      <c r="A29" t="inlineStr"/>
      <c r="B29" t="inlineStr"/>
      <c r="C29" t="inlineStr"/>
      <c r="D29" t="inlineStr"/>
      <c r="E29">
        <f>HYPERLINK("https://www.ncbi.nlm.nih.gov/gene/?term=XP_028663122.2", "XP_028663122.2")</f>
        <v/>
      </c>
      <c r="F29" t="n">
        <v>36.1</v>
      </c>
      <c r="G29" t="n">
        <v>338</v>
      </c>
      <c r="H29" t="n">
        <v>1.43e-59</v>
      </c>
      <c r="I29" t="inlineStr">
        <is>
          <t>Nr</t>
        </is>
      </c>
      <c r="J29" t="inlineStr"/>
      <c r="K29" t="inlineStr"/>
      <c r="L29" t="inlineStr">
        <is>
          <t>XP_028663122.2 epidermal differentiation-specific protein-like isoform X1 [Erpetoichthys calabaricus]</t>
        </is>
      </c>
      <c r="M29" t="n">
        <v>339</v>
      </c>
      <c r="N29" t="inlineStr">
        <is>
          <t>Erpetoichthys calabaricus</t>
        </is>
      </c>
      <c r="O29" t="inlineStr">
        <is>
          <t>epidermal differentiation-specific protein-like isoform X1</t>
        </is>
      </c>
    </row>
    <row r="30">
      <c r="A30" t="inlineStr"/>
      <c r="B30" t="inlineStr"/>
      <c r="C30" t="inlineStr"/>
      <c r="D30" t="inlineStr"/>
      <c r="E30">
        <f>HYPERLINK("https://www.ncbi.nlm.nih.gov/gene/?term=XP_028858539.1", "XP_028858539.1")</f>
        <v/>
      </c>
      <c r="F30" t="n">
        <v>36.9</v>
      </c>
      <c r="G30" t="n">
        <v>339</v>
      </c>
      <c r="H30" t="n">
        <v>1.43e-59</v>
      </c>
      <c r="I30" t="inlineStr">
        <is>
          <t>Nr</t>
        </is>
      </c>
      <c r="J30" t="inlineStr"/>
      <c r="K30" t="inlineStr"/>
      <c r="L30" t="inlineStr">
        <is>
          <t>XP_028858539.1 epidermal differentiation-specific protein-like [Denticeps clupeoides]</t>
        </is>
      </c>
      <c r="M30" t="n">
        <v>339</v>
      </c>
      <c r="N30" t="inlineStr">
        <is>
          <t>Denticeps clupeoides</t>
        </is>
      </c>
      <c r="O30" t="inlineStr">
        <is>
          <t>epidermal differentiation-specific protein-like</t>
        </is>
      </c>
    </row>
    <row r="31">
      <c r="A31" t="inlineStr"/>
      <c r="B31" t="inlineStr"/>
      <c r="C31" t="inlineStr"/>
      <c r="D31" t="inlineStr"/>
      <c r="E31">
        <f>HYPERLINK("https://www.ncbi.nlm.nih.gov/gene/?term=XP_028822123.1", "XP_028822123.1")</f>
        <v/>
      </c>
      <c r="F31" t="n">
        <v>36.9</v>
      </c>
      <c r="G31" t="n">
        <v>339</v>
      </c>
      <c r="H31" t="n">
        <v>1.43e-59</v>
      </c>
      <c r="I31" t="inlineStr">
        <is>
          <t>Nr</t>
        </is>
      </c>
      <c r="J31" t="inlineStr"/>
      <c r="K31" t="inlineStr"/>
      <c r="L31" t="inlineStr">
        <is>
          <t>XP_028822123.1 epidermal differentiation-specific protein-like [Denticeps clupeoides]</t>
        </is>
      </c>
      <c r="M31" t="n">
        <v>339</v>
      </c>
      <c r="N31" t="inlineStr">
        <is>
          <t>Denticeps clupeoides</t>
        </is>
      </c>
      <c r="O31" t="inlineStr">
        <is>
          <t>epidermal differentiation-specific protein-like</t>
        </is>
      </c>
    </row>
    <row r="32">
      <c r="A32" t="inlineStr"/>
      <c r="B32" t="inlineStr"/>
      <c r="C32" t="inlineStr"/>
      <c r="D32" t="inlineStr"/>
      <c r="E32">
        <f>HYPERLINK("https://www.ncbi.nlm.nih.gov/gene/?term=XP_028822619.1", "XP_028822619.1")</f>
        <v/>
      </c>
      <c r="F32" t="n">
        <v>36.9</v>
      </c>
      <c r="G32" t="n">
        <v>339</v>
      </c>
      <c r="H32" t="n">
        <v>1.43e-59</v>
      </c>
      <c r="I32" t="inlineStr">
        <is>
          <t>Nr</t>
        </is>
      </c>
      <c r="J32" t="inlineStr"/>
      <c r="K32" t="inlineStr"/>
      <c r="L32" t="inlineStr">
        <is>
          <t>XP_028822619.1 epidermal differentiation-specific protein-like [Denticeps clupeoides]</t>
        </is>
      </c>
      <c r="M32" t="n">
        <v>339</v>
      </c>
      <c r="N32" t="inlineStr">
        <is>
          <t>Denticeps clupeoides</t>
        </is>
      </c>
      <c r="O32" t="inlineStr">
        <is>
          <t>epidermal differentiation-specific protein-like</t>
        </is>
      </c>
    </row>
    <row r="33">
      <c r="A33" t="inlineStr"/>
      <c r="B33" t="inlineStr"/>
      <c r="C33" t="inlineStr"/>
      <c r="D33" t="inlineStr"/>
      <c r="E33">
        <f>HYPERLINK("https://www.uniprot.org/uniprotkb/A0A8X7X2S1/entry", "A0A8X7X2S1")</f>
        <v/>
      </c>
      <c r="F33" t="n">
        <v>36.6</v>
      </c>
      <c r="G33" t="n">
        <v>336</v>
      </c>
      <c r="H33" t="n">
        <v>2.14e-59</v>
      </c>
      <c r="I33" t="inlineStr">
        <is>
          <t>TrEMBL</t>
        </is>
      </c>
      <c r="J33" t="inlineStr">
        <is>
          <t>Edsp_4</t>
        </is>
      </c>
      <c r="K33" t="inlineStr">
        <is>
          <t>A0A8X7X2S1_POLSE</t>
        </is>
      </c>
      <c r="L33" t="inlineStr">
        <is>
          <t>tr|A0A8X7X2S1|A0A8X7X2S1_POLSE EDSP protein (Fragment) OS=Polypterus senegalus OX=55291 GN=Edsp_4 PE=4 SV=1</t>
        </is>
      </c>
      <c r="M33" t="n">
        <v>363</v>
      </c>
      <c r="N33" t="inlineStr">
        <is>
          <t>Polypterus senegalus</t>
        </is>
      </c>
      <c r="O33" t="inlineStr">
        <is>
          <t>EDSP protein (Fragment)</t>
        </is>
      </c>
    </row>
    <row r="34">
      <c r="A34" t="inlineStr"/>
      <c r="B34" t="inlineStr"/>
      <c r="C34" t="inlineStr"/>
      <c r="D34" t="inlineStr"/>
      <c r="E34">
        <f>HYPERLINK("https://www.ncbi.nlm.nih.gov/gene/?term=XP_034770714.1", "XP_034770714.1")</f>
        <v/>
      </c>
      <c r="F34" t="n">
        <v>37.6</v>
      </c>
      <c r="G34" t="n">
        <v>335</v>
      </c>
      <c r="H34" t="n">
        <v>3.28e-59</v>
      </c>
      <c r="I34" t="inlineStr">
        <is>
          <t>Nr</t>
        </is>
      </c>
      <c r="J34" t="inlineStr"/>
      <c r="K34" t="inlineStr"/>
      <c r="L34" t="inlineStr">
        <is>
          <t>XP_034770714.1 epidermal differentiation-specific protein-like [Acipenser ruthenus]</t>
        </is>
      </c>
      <c r="M34" t="n">
        <v>344</v>
      </c>
      <c r="N34" t="inlineStr">
        <is>
          <t>Acipenser ruthenus</t>
        </is>
      </c>
      <c r="O34" t="inlineStr">
        <is>
          <t>epidermal differentiation-specific protein-like</t>
        </is>
      </c>
    </row>
    <row r="35">
      <c r="A35" t="inlineStr"/>
      <c r="B35" t="inlineStr"/>
      <c r="C35" t="inlineStr"/>
      <c r="D35" t="inlineStr"/>
      <c r="E35">
        <f>HYPERLINK("https://www.uniprot.org/uniprotkb/A0A8X7X009/entry", "A0A8X7X009")</f>
        <v/>
      </c>
      <c r="F35" t="n">
        <v>36.3</v>
      </c>
      <c r="G35" t="n">
        <v>336</v>
      </c>
      <c r="H35" t="n">
        <v>6e-59</v>
      </c>
      <c r="I35" t="inlineStr">
        <is>
          <t>TrEMBL</t>
        </is>
      </c>
      <c r="J35" t="inlineStr">
        <is>
          <t>Edsp_0</t>
        </is>
      </c>
      <c r="K35" t="inlineStr">
        <is>
          <t>A0A8X7X009_POLSE</t>
        </is>
      </c>
      <c r="L35" t="inlineStr">
        <is>
          <t>tr|A0A8X7X009|A0A8X7X009_POLSE EDSP protein (Fragment) OS=Polypterus senegalus OX=55291 GN=Edsp_0 PE=4 SV=1</t>
        </is>
      </c>
      <c r="M35" t="n">
        <v>363</v>
      </c>
      <c r="N35" t="inlineStr">
        <is>
          <t>Polypterus senegalus</t>
        </is>
      </c>
      <c r="O35" t="inlineStr">
        <is>
          <t>EDSP protein (Fragment)</t>
        </is>
      </c>
    </row>
    <row r="36">
      <c r="A36" t="inlineStr"/>
      <c r="B36" t="inlineStr"/>
      <c r="C36" t="inlineStr"/>
      <c r="D36" t="inlineStr"/>
      <c r="E36">
        <f>HYPERLINK("https://www.uniprot.org/uniprotkb/A0A8C4TAL5/entry", "A0A8C4TAL5")</f>
        <v/>
      </c>
      <c r="F36" t="n">
        <v>36</v>
      </c>
      <c r="G36" t="n">
        <v>336</v>
      </c>
      <c r="H36" t="n">
        <v>8.490000000000001e-59</v>
      </c>
      <c r="I36" t="inlineStr">
        <is>
          <t>TrEMBL</t>
        </is>
      </c>
      <c r="J36" t="inlineStr">
        <is>
          <t>LOC114655950</t>
        </is>
      </c>
      <c r="K36" t="inlineStr">
        <is>
          <t>A0A8C4TAL5_ERPCA</t>
        </is>
      </c>
      <c r="L36" t="inlineStr">
        <is>
          <t>tr|A0A8C4TAL5|A0A8C4TAL5_ERPCA Epidermal differentiation-specific protein-like OS=Erpetoichthys calabaricus OX=27687 GN=LOC114655950 PE=3 SV=1</t>
        </is>
      </c>
      <c r="M36" t="n">
        <v>338</v>
      </c>
      <c r="N36" t="inlineStr">
        <is>
          <t>Erpetoichthys calabaricus</t>
        </is>
      </c>
      <c r="O36" t="inlineStr">
        <is>
          <t>Epidermal differentiation-specific protein-like</t>
        </is>
      </c>
    </row>
    <row r="37">
      <c r="A37" t="inlineStr"/>
      <c r="B37" t="inlineStr"/>
      <c r="C37" t="inlineStr"/>
      <c r="D37" t="inlineStr"/>
      <c r="E37">
        <f>HYPERLINK("https://www.uniprot.org/uniprotkb/A0A8C4FWK2/entry", "A0A8C4FWK2")</f>
        <v/>
      </c>
      <c r="F37" t="n">
        <v>36.8</v>
      </c>
      <c r="G37" t="n">
        <v>337</v>
      </c>
      <c r="H37" t="n">
        <v>2.13e-58</v>
      </c>
      <c r="I37" t="inlineStr">
        <is>
          <t>TrEMBL</t>
        </is>
      </c>
      <c r="J37" t="inlineStr">
        <is>
          <t>LOC114803261</t>
        </is>
      </c>
      <c r="K37" t="inlineStr">
        <is>
          <t>A0A8C4FWK2_9TELE</t>
        </is>
      </c>
      <c r="L37" t="inlineStr">
        <is>
          <t>tr|A0A8C4FWK2|A0A8C4FWK2_9TELE Epidermal differentiation-specific protein-like OS=Denticeps clupeoides OX=299321 GN=LOC114803261 PE=3 SV=1</t>
        </is>
      </c>
      <c r="M37" t="n">
        <v>334</v>
      </c>
      <c r="N37" t="inlineStr">
        <is>
          <t>Denticeps clupeoides</t>
        </is>
      </c>
      <c r="O37" t="inlineStr">
        <is>
          <t>Epidermal differentiation-specific protein-like</t>
        </is>
      </c>
    </row>
    <row r="38">
      <c r="A38" t="inlineStr"/>
      <c r="B38" t="inlineStr"/>
      <c r="C38" t="inlineStr"/>
      <c r="D38" t="inlineStr"/>
      <c r="E38">
        <f>HYPERLINK("https://www.uniprot.org/uniprotkb/A0A8C5RT80/entry", "A0A8C5RT80")</f>
        <v/>
      </c>
      <c r="F38" t="n">
        <v>37.8</v>
      </c>
      <c r="G38" t="n">
        <v>331</v>
      </c>
      <c r="H38" t="n">
        <v>2.35e-58</v>
      </c>
      <c r="I38" t="inlineStr">
        <is>
          <t>TrEMBL</t>
        </is>
      </c>
      <c r="J38" t="inlineStr"/>
      <c r="K38" t="inlineStr">
        <is>
          <t>A0A8C5RT80_LATLA</t>
        </is>
      </c>
      <c r="L38" t="inlineStr">
        <is>
          <t>tr|A0A8C5RT80|A0A8C5RT80_LATLA Epidermal differentiation-specific protein OS=Laticauda laticaudata OX=8630 PE=3 SV=1</t>
        </is>
      </c>
      <c r="M38" t="n">
        <v>350</v>
      </c>
      <c r="N38" t="inlineStr">
        <is>
          <t>Laticauda laticaudata</t>
        </is>
      </c>
      <c r="O38" t="inlineStr">
        <is>
          <t>Epidermal differentiation-specific protein</t>
        </is>
      </c>
    </row>
    <row r="39">
      <c r="A39" t="inlineStr"/>
      <c r="B39" t="inlineStr"/>
      <c r="C39" t="inlineStr"/>
      <c r="D39" t="inlineStr"/>
      <c r="E39">
        <f>HYPERLINK("https://www.uniprot.org/uniprotkb/V8NQX7/entry", "V8NQX7")</f>
        <v/>
      </c>
      <c r="F39" t="n">
        <v>37.5</v>
      </c>
      <c r="G39" t="n">
        <v>331</v>
      </c>
      <c r="H39" t="n">
        <v>3.31e-58</v>
      </c>
      <c r="I39" t="inlineStr">
        <is>
          <t>TrEMBL</t>
        </is>
      </c>
      <c r="J39" t="inlineStr">
        <is>
          <t>L345_09767</t>
        </is>
      </c>
      <c r="K39" t="inlineStr">
        <is>
          <t>V8NQX7_OPHHA</t>
        </is>
      </c>
      <c r="L39" t="inlineStr">
        <is>
          <t>tr|V8NQX7|V8NQX7_OPHHA Uncharacterized protein (Fragment) OS=Ophiophagus hannah OX=8665 GN=L345_09767 PE=3 SV=1</t>
        </is>
      </c>
      <c r="M39" t="n">
        <v>350</v>
      </c>
      <c r="N39" t="inlineStr">
        <is>
          <t>Ophiophagus hannah</t>
        </is>
      </c>
      <c r="O39" t="inlineStr">
        <is>
          <t>Uncharacterized protein (Fragment)</t>
        </is>
      </c>
    </row>
    <row r="40">
      <c r="A40" t="inlineStr"/>
      <c r="B40" t="inlineStr"/>
      <c r="C40" t="inlineStr"/>
      <c r="D40" t="inlineStr"/>
      <c r="E40">
        <f>HYPERLINK("https://www.uniprot.org/uniprotkb/A0A8X7X1I2/entry", "A0A8X7X1I2")</f>
        <v/>
      </c>
      <c r="F40" t="n">
        <v>36</v>
      </c>
      <c r="G40" t="n">
        <v>336</v>
      </c>
      <c r="H40" t="n">
        <v>3.36e-58</v>
      </c>
      <c r="I40" t="inlineStr">
        <is>
          <t>TrEMBL</t>
        </is>
      </c>
      <c r="J40" t="inlineStr">
        <is>
          <t>Edsp_2</t>
        </is>
      </c>
      <c r="K40" t="inlineStr">
        <is>
          <t>A0A8X7X1I2_POLSE</t>
        </is>
      </c>
      <c r="L40" t="inlineStr">
        <is>
          <t>tr|A0A8X7X1I2|A0A8X7X1I2_POLSE EDSP protein (Fragment) OS=Polypterus senegalus OX=55291 GN=Edsp_2 PE=4 SV=1</t>
        </is>
      </c>
      <c r="M40" t="n">
        <v>338</v>
      </c>
      <c r="N40" t="inlineStr">
        <is>
          <t>Polypterus senegalus</t>
        </is>
      </c>
      <c r="O40" t="inlineStr">
        <is>
          <t>EDSP protein (Fragment)</t>
        </is>
      </c>
    </row>
    <row r="41">
      <c r="A41" t="inlineStr"/>
      <c r="B41" t="inlineStr"/>
      <c r="C41" t="inlineStr"/>
      <c r="D41" t="inlineStr"/>
      <c r="E41">
        <f>HYPERLINK("https://www.uniprot.org/uniprotkb/A0A8C4TAZ8/entry", "A0A8C4TAZ8")</f>
        <v/>
      </c>
      <c r="F41" t="n">
        <v>35.2</v>
      </c>
      <c r="G41" t="n">
        <v>338</v>
      </c>
      <c r="H41" t="n">
        <v>6.860000000000001e-58</v>
      </c>
      <c r="I41" t="inlineStr">
        <is>
          <t>TrEMBL</t>
        </is>
      </c>
      <c r="J41" t="inlineStr">
        <is>
          <t>LOC114655956</t>
        </is>
      </c>
      <c r="K41" t="inlineStr">
        <is>
          <t>A0A8C4TAZ8_ERPCA</t>
        </is>
      </c>
      <c r="L41" t="inlineStr">
        <is>
          <t>tr|A0A8C4TAZ8|A0A8C4TAZ8_ERPCA Epidermal differentiation-specific protein-like OS=Erpetoichthys calabaricus OX=27687 GN=LOC114655956 PE=3 SV=1</t>
        </is>
      </c>
      <c r="M41" t="n">
        <v>339</v>
      </c>
      <c r="N41" t="inlineStr">
        <is>
          <t>Erpetoichthys calabaricus</t>
        </is>
      </c>
      <c r="O41" t="inlineStr">
        <is>
          <t>Epidermal differentiation-specific protein-like</t>
        </is>
      </c>
    </row>
    <row r="42">
      <c r="A42" t="inlineStr"/>
      <c r="B42" t="inlineStr"/>
      <c r="C42" t="inlineStr"/>
      <c r="D42" t="inlineStr"/>
      <c r="E42">
        <f>HYPERLINK("https://www.uniprot.org/uniprotkb/A0A8C4XF68/entry", "A0A8C4XF68")</f>
        <v/>
      </c>
      <c r="F42" t="n">
        <v>35.2</v>
      </c>
      <c r="G42" t="n">
        <v>338</v>
      </c>
      <c r="H42" t="n">
        <v>9.670000000000001e-58</v>
      </c>
      <c r="I42" t="inlineStr">
        <is>
          <t>TrEMBL</t>
        </is>
      </c>
      <c r="J42" t="inlineStr">
        <is>
          <t>LOC114656726</t>
        </is>
      </c>
      <c r="K42" t="inlineStr">
        <is>
          <t>A0A8C4XF68_ERPCA</t>
        </is>
      </c>
      <c r="L42" t="inlineStr">
        <is>
          <t>tr|A0A8C4XF68|A0A8C4XF68_ERPCA Epidermal differentiation-specific protein-like OS=Erpetoichthys calabaricus OX=27687 GN=LOC114656726 PE=3 SV=1</t>
        </is>
      </c>
      <c r="M42" t="n">
        <v>339</v>
      </c>
      <c r="N42" t="inlineStr">
        <is>
          <t>Erpetoichthys calabaricus</t>
        </is>
      </c>
      <c r="O42" t="inlineStr">
        <is>
          <t>Epidermal differentiation-specific protein-like</t>
        </is>
      </c>
    </row>
    <row r="43">
      <c r="A43" t="inlineStr"/>
      <c r="B43" t="inlineStr"/>
      <c r="C43" t="inlineStr"/>
      <c r="D43" t="inlineStr"/>
      <c r="E43">
        <f>HYPERLINK("https://www.uniprot.org/uniprotkb/A0A8C4XG99/entry", "A0A8C4XG99")</f>
        <v/>
      </c>
      <c r="F43" t="n">
        <v>37</v>
      </c>
      <c r="G43" t="n">
        <v>330</v>
      </c>
      <c r="H43" t="n">
        <v>9.94e-58</v>
      </c>
      <c r="I43" t="inlineStr">
        <is>
          <t>TrEMBL</t>
        </is>
      </c>
      <c r="J43" t="inlineStr"/>
      <c r="K43" t="inlineStr">
        <is>
          <t>A0A8C4XG99_ERPCA</t>
        </is>
      </c>
      <c r="L43" t="inlineStr">
        <is>
          <t>tr|A0A8C4XG99|A0A8C4XG99_ERPCA Beta-galactosidase OS=Erpetoichthys calabaricus OX=27687 PE=3 SV=1</t>
        </is>
      </c>
      <c r="M43" t="n">
        <v>340</v>
      </c>
      <c r="N43" t="inlineStr">
        <is>
          <t>Erpetoichthys calabaricus</t>
        </is>
      </c>
      <c r="O43" t="inlineStr">
        <is>
          <t>Beta-galactosidase</t>
        </is>
      </c>
    </row>
    <row r="44">
      <c r="A44" t="inlineStr"/>
      <c r="B44" t="inlineStr"/>
      <c r="C44" t="inlineStr"/>
      <c r="D44" t="inlineStr"/>
      <c r="E44">
        <f>HYPERLINK("https://www.uniprot.org/uniprotkb/A0A6P9CWD7/entry", "A0A6P9CWD7")</f>
        <v/>
      </c>
      <c r="F44" t="n">
        <v>37.8</v>
      </c>
      <c r="G44" t="n">
        <v>331</v>
      </c>
      <c r="H44" t="n">
        <v>1.52e-57</v>
      </c>
      <c r="I44" t="inlineStr">
        <is>
          <t>TrEMBL</t>
        </is>
      </c>
      <c r="J44" t="inlineStr">
        <is>
          <t>LOC117673932</t>
        </is>
      </c>
      <c r="K44" t="inlineStr">
        <is>
          <t>A0A6P9CWD7_PANGU</t>
        </is>
      </c>
      <c r="L44" t="inlineStr">
        <is>
          <t>tr|A0A6P9CWD7|A0A6P9CWD7_PANGU epidermal differentiation-specific protein-like OS=Pantherophis guttatus OX=94885 GN=LOC117673932 PE=3 SV=1</t>
        </is>
      </c>
      <c r="M44" t="n">
        <v>343</v>
      </c>
      <c r="N44" t="inlineStr">
        <is>
          <t>Pantherophis guttatus</t>
        </is>
      </c>
      <c r="O44" t="inlineStr">
        <is>
          <t>epidermal differentiation-specific protein-like</t>
        </is>
      </c>
    </row>
    <row r="45">
      <c r="A45" t="inlineStr"/>
      <c r="B45" t="inlineStr"/>
      <c r="C45" t="inlineStr"/>
      <c r="D45" t="inlineStr"/>
      <c r="E45">
        <f>HYPERLINK("https://www.uniprot.org/uniprotkb/A0A6I9XY39/entry", "A0A6I9XY39")</f>
        <v/>
      </c>
      <c r="F45" t="n">
        <v>37.4</v>
      </c>
      <c r="G45" t="n">
        <v>334</v>
      </c>
      <c r="H45" t="n">
        <v>1.52e-57</v>
      </c>
      <c r="I45" t="inlineStr">
        <is>
          <t>TrEMBL</t>
        </is>
      </c>
      <c r="J45" t="inlineStr">
        <is>
          <t>LOC106546693</t>
        </is>
      </c>
      <c r="K45" t="inlineStr">
        <is>
          <t>A0A6I9XY39_9SAUR</t>
        </is>
      </c>
      <c r="L45" t="inlineStr">
        <is>
          <t>tr|A0A6I9XY39|A0A6I9XY39_9SAUR epidermal differentiation-specific protein-like OS=Thamnophis sirtalis OX=35019 GN=LOC106546693 PE=3 SV=1</t>
        </is>
      </c>
      <c r="M45" t="n">
        <v>343</v>
      </c>
      <c r="N45" t="inlineStr">
        <is>
          <t>Thamnophis sirtalis</t>
        </is>
      </c>
      <c r="O45" t="inlineStr">
        <is>
          <t>epidermal differentiation-specific protein-like</t>
        </is>
      </c>
    </row>
    <row r="46">
      <c r="A46" t="inlineStr"/>
      <c r="B46" t="inlineStr"/>
      <c r="C46" t="inlineStr"/>
      <c r="D46" t="inlineStr"/>
      <c r="E46">
        <f>HYPERLINK("https://www.uniprot.org/uniprotkb/A0A8C4TAR2/entry", "A0A8C4TAR2")</f>
        <v/>
      </c>
      <c r="F46" t="n">
        <v>34.9</v>
      </c>
      <c r="G46" t="n">
        <v>338</v>
      </c>
      <c r="H46" t="n">
        <v>1.92e-57</v>
      </c>
      <c r="I46" t="inlineStr">
        <is>
          <t>TrEMBL</t>
        </is>
      </c>
      <c r="J46" t="inlineStr">
        <is>
          <t>LOC114656725</t>
        </is>
      </c>
      <c r="K46" t="inlineStr">
        <is>
          <t>A0A8C4TAR2_ERPCA</t>
        </is>
      </c>
      <c r="L46" t="inlineStr">
        <is>
          <t>tr|A0A8C4TAR2|A0A8C4TAR2_ERPCA Epidermal differentiation-specific protein-like OS=Erpetoichthys calabaricus OX=27687 GN=LOC114656725 PE=3 SV=1</t>
        </is>
      </c>
      <c r="M46" t="n">
        <v>339</v>
      </c>
      <c r="N46" t="inlineStr">
        <is>
          <t>Erpetoichthys calabaricus</t>
        </is>
      </c>
      <c r="O46" t="inlineStr">
        <is>
          <t>Epidermal differentiation-specific protein-like</t>
        </is>
      </c>
    </row>
    <row r="47">
      <c r="A47" t="inlineStr"/>
      <c r="B47" t="inlineStr"/>
      <c r="C47" t="inlineStr"/>
      <c r="D47" t="inlineStr"/>
      <c r="E47">
        <f>HYPERLINK("https://www.uniprot.org/uniprotkb/A0A6J1V6T4/entry", "A0A6J1V6T4")</f>
        <v/>
      </c>
      <c r="F47" t="n">
        <v>37.5</v>
      </c>
      <c r="G47" t="n">
        <v>331</v>
      </c>
      <c r="H47" t="n">
        <v>2.59e-57</v>
      </c>
      <c r="I47" t="inlineStr">
        <is>
          <t>TrEMBL</t>
        </is>
      </c>
      <c r="J47" t="inlineStr">
        <is>
          <t>LOC113421985</t>
        </is>
      </c>
      <c r="K47" t="inlineStr">
        <is>
          <t>A0A6J1V6T4_9SAUR</t>
        </is>
      </c>
      <c r="L47" t="inlineStr">
        <is>
          <t>tr|A0A6J1V6T4|A0A6J1V6T4_9SAUR epidermal differentiation-specific protein-like OS=Notechis scutatus OX=8663 GN=LOC113421985 PE=3 SV=1</t>
        </is>
      </c>
      <c r="M47" t="n">
        <v>350</v>
      </c>
      <c r="N47" t="inlineStr">
        <is>
          <t>Notechis scutatus</t>
        </is>
      </c>
      <c r="O47" t="inlineStr">
        <is>
          <t>epidermal differentiation-specific protein-like</t>
        </is>
      </c>
    </row>
    <row r="48">
      <c r="A48" t="inlineStr"/>
      <c r="B48" t="inlineStr"/>
      <c r="C48" t="inlineStr"/>
      <c r="D48" t="inlineStr"/>
      <c r="E48">
        <f>HYPERLINK("https://www.uniprot.org/uniprotkb/A0A3B4C0L5/entry", "A0A3B4C0L5")</f>
        <v/>
      </c>
      <c r="F48" t="n">
        <v>35.6</v>
      </c>
      <c r="G48" t="n">
        <v>337</v>
      </c>
      <c r="H48" t="n">
        <v>3.19e-57</v>
      </c>
      <c r="I48" t="inlineStr">
        <is>
          <t>TrEMBL</t>
        </is>
      </c>
      <c r="J48" t="inlineStr"/>
      <c r="K48" t="inlineStr">
        <is>
          <t>A0A3B4C0L5_PYGNA</t>
        </is>
      </c>
      <c r="L48" t="inlineStr">
        <is>
          <t>tr|A0A3B4C0L5|A0A3B4C0L5_PYGNA Epidermal differentiation-specific-like protein OS=Pygocentrus nattereri OX=42514 PE=3 SV=1</t>
        </is>
      </c>
      <c r="M48" t="n">
        <v>345</v>
      </c>
      <c r="N48" t="inlineStr">
        <is>
          <t>Pygocentrus nattereri</t>
        </is>
      </c>
      <c r="O48" t="inlineStr">
        <is>
          <t>Epidermal differentiation-specific-like protein</t>
        </is>
      </c>
    </row>
    <row r="49">
      <c r="A49" t="inlineStr"/>
      <c r="B49" t="inlineStr"/>
      <c r="C49" t="inlineStr"/>
      <c r="D49" t="inlineStr"/>
      <c r="E49">
        <f>HYPERLINK("https://www.uniprot.org/uniprotkb/A0A6P8PJM9/entry", "A0A6P8PJM9")</f>
        <v/>
      </c>
      <c r="F49" t="n">
        <v>35.7</v>
      </c>
      <c r="G49" t="n">
        <v>322</v>
      </c>
      <c r="H49" t="n">
        <v>3.93e-57</v>
      </c>
      <c r="I49" t="inlineStr">
        <is>
          <t>TrEMBL</t>
        </is>
      </c>
      <c r="J49" t="inlineStr">
        <is>
          <t>LOC117354945</t>
        </is>
      </c>
      <c r="K49" t="inlineStr">
        <is>
          <t>A0A6P8PJM9_GEOSA</t>
        </is>
      </c>
      <c r="L49" t="inlineStr">
        <is>
          <t>tr|A0A6P8PJM9|A0A6P8PJM9_GEOSA epidermal differentiation-specific protein-like OS=Geotrypetes seraphini OX=260995 GN=LOC117354945 PE=3 SV=1</t>
        </is>
      </c>
      <c r="M49" t="n">
        <v>340</v>
      </c>
      <c r="N49" t="inlineStr">
        <is>
          <t>Geotrypetes seraphini</t>
        </is>
      </c>
      <c r="O49" t="inlineStr">
        <is>
          <t>epidermal differentiation-specific protein-like</t>
        </is>
      </c>
    </row>
    <row r="50">
      <c r="A50" t="inlineStr"/>
      <c r="B50" t="inlineStr"/>
      <c r="C50" t="inlineStr"/>
      <c r="D50" t="inlineStr"/>
      <c r="E50">
        <f>HYPERLINK("https://www.uniprot.org/uniprotkb/A0A8C4CCE9/entry", "A0A8C4CCE9")</f>
        <v/>
      </c>
      <c r="F50" t="n">
        <v>35.9</v>
      </c>
      <c r="G50" t="n">
        <v>337</v>
      </c>
      <c r="H50" t="n">
        <v>5.39e-57</v>
      </c>
      <c r="I50" t="inlineStr">
        <is>
          <t>TrEMBL</t>
        </is>
      </c>
      <c r="J50" t="inlineStr">
        <is>
          <t>LOC114763372</t>
        </is>
      </c>
      <c r="K50" t="inlineStr">
        <is>
          <t>A0A8C4CCE9_9TELE</t>
        </is>
      </c>
      <c r="L50" t="inlineStr">
        <is>
          <t>tr|A0A8C4CCE9|A0A8C4CCE9_9TELE Epidermal differentiation-specific protein-like OS=Denticeps clupeoides OX=299321 GN=LOC114763372 PE=3 SV=1</t>
        </is>
      </c>
      <c r="M50" t="n">
        <v>339</v>
      </c>
      <c r="N50" t="inlineStr">
        <is>
          <t>Denticeps clupeoides</t>
        </is>
      </c>
      <c r="O50" t="inlineStr">
        <is>
          <t>Epidermal differentiation-specific protein-like</t>
        </is>
      </c>
    </row>
    <row r="51">
      <c r="A51" t="inlineStr"/>
      <c r="B51" t="inlineStr"/>
      <c r="C51" t="inlineStr"/>
      <c r="D51" t="inlineStr"/>
      <c r="E51">
        <f>HYPERLINK("https://www.uniprot.org/uniprotkb/A0A8X7WYW7/entry", "A0A8X7WYW7")</f>
        <v/>
      </c>
      <c r="F51" t="n">
        <v>35.7</v>
      </c>
      <c r="G51" t="n">
        <v>336</v>
      </c>
      <c r="H51" t="n">
        <v>7.29e-57</v>
      </c>
      <c r="I51" t="inlineStr">
        <is>
          <t>TrEMBL</t>
        </is>
      </c>
      <c r="J51" t="inlineStr">
        <is>
          <t>Edsp_1</t>
        </is>
      </c>
      <c r="K51" t="inlineStr">
        <is>
          <t>A0A8X7WYW7_POLSE</t>
        </is>
      </c>
      <c r="L51" t="inlineStr">
        <is>
          <t>tr|A0A8X7WYW7|A0A8X7WYW7_POLSE EDSP protein (Fragment) OS=Polypterus senegalus OX=55291 GN=Edsp_1 PE=4 SV=1</t>
        </is>
      </c>
      <c r="M51" t="n">
        <v>363</v>
      </c>
      <c r="N51" t="inlineStr">
        <is>
          <t>Polypterus senegalus</t>
        </is>
      </c>
      <c r="O51" t="inlineStr">
        <is>
          <t>EDSP protein (Fragment)</t>
        </is>
      </c>
    </row>
    <row r="52">
      <c r="A52" t="inlineStr"/>
      <c r="B52" t="inlineStr"/>
      <c r="C52" t="inlineStr"/>
      <c r="D52" t="inlineStr"/>
      <c r="E52">
        <f>HYPERLINK("https://www.uniprot.org/uniprotkb/P46058/entry", "P46058")</f>
        <v/>
      </c>
      <c r="F52" t="n">
        <v>34.5</v>
      </c>
      <c r="G52" t="n">
        <v>328</v>
      </c>
      <c r="H52" t="n">
        <v>5.15e-51</v>
      </c>
      <c r="I52" t="inlineStr">
        <is>
          <t>Swiss-Prot</t>
        </is>
      </c>
      <c r="J52" t="inlineStr"/>
      <c r="K52" t="inlineStr">
        <is>
          <t>EDSP_CYNPY</t>
        </is>
      </c>
      <c r="L52" t="inlineStr">
        <is>
          <t>sp|P46058|EDSP_CYNPY Epidermal differentiation-specific protein OS=Cynops pyrrhogaster OX=8330 PE=2 SV=1</t>
        </is>
      </c>
      <c r="M52" t="n">
        <v>335</v>
      </c>
      <c r="N52" t="inlineStr">
        <is>
          <t>Cynops pyrrhogaster</t>
        </is>
      </c>
      <c r="O52" t="inlineStr">
        <is>
          <t>Epidermal differentiation-specific protein</t>
        </is>
      </c>
    </row>
    <row r="53">
      <c r="A53" t="inlineStr"/>
      <c r="B53" t="inlineStr"/>
      <c r="C53" t="inlineStr"/>
      <c r="D53" t="inlineStr"/>
      <c r="E53">
        <f>HYPERLINK("https://www.uniprot.org/uniprotkb/Q91321/entry", "Q91321")</f>
        <v/>
      </c>
      <c r="F53" t="n">
        <v>28</v>
      </c>
      <c r="G53" t="n">
        <v>157</v>
      </c>
      <c r="H53" t="n">
        <v>1.73e-09</v>
      </c>
      <c r="I53" t="inlineStr">
        <is>
          <t>Swiss-Prot</t>
        </is>
      </c>
      <c r="J53" t="inlineStr"/>
      <c r="K53" t="inlineStr">
        <is>
          <t>CRG12_LITCT</t>
        </is>
      </c>
      <c r="L53" t="inlineStr">
        <is>
          <t>sp|Q91321|CRG12_LITCT Gamma-crystallin M1-2 OS=Lithobates catesbeianus OX=8400 PE=2 SV=1</t>
        </is>
      </c>
      <c r="M53" t="n">
        <v>177</v>
      </c>
      <c r="N53" t="inlineStr">
        <is>
          <t>Lithobates catesbeianus</t>
        </is>
      </c>
      <c r="O53" t="inlineStr">
        <is>
          <t>Gamma-crystallin M1-2</t>
        </is>
      </c>
    </row>
    <row r="54">
      <c r="A54" t="inlineStr"/>
      <c r="B54" t="inlineStr"/>
      <c r="C54" t="inlineStr"/>
      <c r="D54" t="inlineStr"/>
      <c r="E54">
        <f>HYPERLINK("https://www.uniprot.org/uniprotkb/P48649/entry", "P48649")</f>
        <v/>
      </c>
      <c r="F54" t="n">
        <v>28.4</v>
      </c>
      <c r="G54" t="n">
        <v>155</v>
      </c>
      <c r="H54" t="n">
        <v>3.16e-09</v>
      </c>
      <c r="I54" t="inlineStr">
        <is>
          <t>Swiss-Prot</t>
        </is>
      </c>
      <c r="J54" t="inlineStr">
        <is>
          <t>GM2</t>
        </is>
      </c>
      <c r="K54" t="inlineStr">
        <is>
          <t>CRGM2_CHIID</t>
        </is>
      </c>
      <c r="L54" t="inlineStr">
        <is>
          <t>sp|P48649|CRGM2_CHIID Gamma-crystallin M2 OS=Chiloscyllium indicum OX=443761 GN=GM2 PE=2 SV=2</t>
        </is>
      </c>
      <c r="M54" t="n">
        <v>176</v>
      </c>
      <c r="N54" t="inlineStr">
        <is>
          <t>Chiloscyllium indicum</t>
        </is>
      </c>
      <c r="O54" t="inlineStr">
        <is>
          <t>Gamma-crystallin M2</t>
        </is>
      </c>
    </row>
    <row r="55">
      <c r="A55" t="inlineStr"/>
      <c r="B55" t="inlineStr"/>
      <c r="C55" t="inlineStr"/>
      <c r="D55" t="inlineStr"/>
      <c r="E55">
        <f>HYPERLINK("https://www.uniprot.org/uniprotkb/Q91320/entry", "Q91320")</f>
        <v/>
      </c>
      <c r="F55" t="n">
        <v>28</v>
      </c>
      <c r="G55" t="n">
        <v>157</v>
      </c>
      <c r="H55" t="n">
        <v>5.96e-09</v>
      </c>
      <c r="I55" t="inlineStr">
        <is>
          <t>Swiss-Prot</t>
        </is>
      </c>
      <c r="J55" t="inlineStr"/>
      <c r="K55" t="inlineStr">
        <is>
          <t>CRG11_LITCT</t>
        </is>
      </c>
      <c r="L55" t="inlineStr">
        <is>
          <t>sp|Q91320|CRG11_LITCT Gamma-crystallin M1-1 OS=Lithobates catesbeianus OX=8400 PE=2 SV=1</t>
        </is>
      </c>
      <c r="M55" t="n">
        <v>177</v>
      </c>
      <c r="N55" t="inlineStr">
        <is>
          <t>Lithobates catesbeianus</t>
        </is>
      </c>
      <c r="O55" t="inlineStr">
        <is>
          <t>Gamma-crystallin M1-1</t>
        </is>
      </c>
    </row>
    <row r="56">
      <c r="A56" t="inlineStr"/>
      <c r="B56" t="inlineStr"/>
      <c r="C56" t="inlineStr"/>
      <c r="D56" t="inlineStr"/>
      <c r="E56">
        <f>HYPERLINK("https://www.uniprot.org/uniprotkb/P02522/entry", "P02522")</f>
        <v/>
      </c>
      <c r="F56" t="n">
        <v>28.8</v>
      </c>
      <c r="G56" t="n">
        <v>139</v>
      </c>
      <c r="H56" t="n">
        <v>6.73e-09</v>
      </c>
      <c r="I56" t="inlineStr">
        <is>
          <t>Swiss-Prot</t>
        </is>
      </c>
      <c r="J56" t="inlineStr">
        <is>
          <t>CRYBB2</t>
        </is>
      </c>
      <c r="K56" t="inlineStr">
        <is>
          <t>CRBB2_BOVIN</t>
        </is>
      </c>
      <c r="L56" t="inlineStr">
        <is>
          <t>sp|P02522|CRBB2_BOVIN Beta-crystallin B2 OS=Bos taurus OX=9913 GN=CRYBB2 PE=1 SV=3</t>
        </is>
      </c>
      <c r="M56" t="n">
        <v>205</v>
      </c>
      <c r="N56" t="inlineStr">
        <is>
          <t>Bos taurus</t>
        </is>
      </c>
      <c r="O56" t="inlineStr">
        <is>
          <t>Beta-crystallin B2</t>
        </is>
      </c>
    </row>
    <row r="57">
      <c r="A57" t="inlineStr"/>
      <c r="B57" t="inlineStr"/>
      <c r="C57" t="inlineStr"/>
      <c r="D57" t="inlineStr"/>
      <c r="E57">
        <f>HYPERLINK("https://www.uniprot.org/uniprotkb/Q06254/entry", "Q06254")</f>
        <v/>
      </c>
      <c r="F57" t="n">
        <v>28.8</v>
      </c>
      <c r="G57" t="n">
        <v>153</v>
      </c>
      <c r="H57" t="n">
        <v>2.69e-08</v>
      </c>
      <c r="I57" t="inlineStr">
        <is>
          <t>Swiss-Prot</t>
        </is>
      </c>
      <c r="J57" t="inlineStr">
        <is>
          <t>cryg1</t>
        </is>
      </c>
      <c r="K57" t="inlineStr">
        <is>
          <t>CRG1_XENLA</t>
        </is>
      </c>
      <c r="L57" t="inlineStr">
        <is>
          <t>sp|Q06254|CRG1_XENLA Gamma-crystallin-1 OS=Xenopus laevis OX=8355 GN=cryg1 PE=3 SV=1</t>
        </is>
      </c>
      <c r="M57" t="n">
        <v>175</v>
      </c>
      <c r="N57" t="inlineStr">
        <is>
          <t>Xenopus laevis</t>
        </is>
      </c>
      <c r="O57" t="inlineStr">
        <is>
          <t>Gamma-crystallin-1</t>
        </is>
      </c>
    </row>
    <row r="58">
      <c r="A58" t="inlineStr"/>
      <c r="B58" t="inlineStr"/>
      <c r="C58" t="inlineStr"/>
      <c r="D58" t="inlineStr"/>
      <c r="E58">
        <f>HYPERLINK("https://www.uniprot.org/uniprotkb/P62698/entry", "P62698")</f>
        <v/>
      </c>
      <c r="F58" t="n">
        <v>28.1</v>
      </c>
      <c r="G58" t="n">
        <v>139</v>
      </c>
      <c r="H58" t="n">
        <v>3.09e-08</v>
      </c>
      <c r="I58" t="inlineStr">
        <is>
          <t>Swiss-Prot</t>
        </is>
      </c>
      <c r="J58" t="inlineStr">
        <is>
          <t>CRYBB2</t>
        </is>
      </c>
      <c r="K58" t="inlineStr">
        <is>
          <t>CRBB2_MESAU</t>
        </is>
      </c>
      <c r="L58" t="inlineStr">
        <is>
          <t>sp|P62698|CRBB2_MESAU Beta-crystallin B2 OS=Mesocricetus auratus OX=10036 GN=CRYBB2 PE=2 SV=2</t>
        </is>
      </c>
      <c r="M58" t="n">
        <v>205</v>
      </c>
      <c r="N58" t="inlineStr">
        <is>
          <t>Mesocricetus auratus</t>
        </is>
      </c>
      <c r="O58" t="inlineStr">
        <is>
          <t>Beta-crystallin B2</t>
        </is>
      </c>
    </row>
    <row r="59">
      <c r="A59" t="inlineStr"/>
      <c r="B59" t="inlineStr"/>
      <c r="C59" t="inlineStr"/>
      <c r="D59" t="inlineStr"/>
      <c r="E59">
        <f>HYPERLINK("https://www.uniprot.org/uniprotkb/P62696/entry", "P62696")</f>
        <v/>
      </c>
      <c r="F59" t="n">
        <v>28.1</v>
      </c>
      <c r="G59" t="n">
        <v>139</v>
      </c>
      <c r="H59" t="n">
        <v>3.09e-08</v>
      </c>
      <c r="I59" t="inlineStr">
        <is>
          <t>Swiss-Prot</t>
        </is>
      </c>
      <c r="J59" t="inlineStr">
        <is>
          <t>Crybb2</t>
        </is>
      </c>
      <c r="K59" t="inlineStr">
        <is>
          <t>CRBB2_MOUSE</t>
        </is>
      </c>
      <c r="L59" t="inlineStr">
        <is>
          <t>sp|P62696|CRBB2_MOUSE Beta-crystallin B2 OS=Mus musculus OX=10090 GN=Crybb2 PE=1 SV=2</t>
        </is>
      </c>
      <c r="M59" t="n">
        <v>205</v>
      </c>
      <c r="N59" t="inlineStr">
        <is>
          <t>Mus musculus</t>
        </is>
      </c>
      <c r="O59" t="inlineStr">
        <is>
          <t>Beta-crystallin B2</t>
        </is>
      </c>
    </row>
    <row r="60">
      <c r="A60" t="inlineStr"/>
      <c r="B60" t="inlineStr"/>
      <c r="C60" t="inlineStr"/>
      <c r="D60" t="inlineStr"/>
      <c r="E60">
        <f>HYPERLINK("https://www.uniprot.org/uniprotkb/P62697/entry", "P62697")</f>
        <v/>
      </c>
      <c r="F60" t="n">
        <v>28.1</v>
      </c>
      <c r="G60" t="n">
        <v>139</v>
      </c>
      <c r="H60" t="n">
        <v>3.09e-08</v>
      </c>
      <c r="I60" t="inlineStr">
        <is>
          <t>Swiss-Prot</t>
        </is>
      </c>
      <c r="J60" t="inlineStr">
        <is>
          <t>Crybb2</t>
        </is>
      </c>
      <c r="K60" t="inlineStr">
        <is>
          <t>CRBB2_RAT</t>
        </is>
      </c>
      <c r="L60" t="inlineStr">
        <is>
          <t>sp|P62697|CRBB2_RAT Beta-crystallin B2 OS=Rattus norvegicus OX=10116 GN=Crybb2 PE=1 SV=2</t>
        </is>
      </c>
      <c r="M60" t="n">
        <v>205</v>
      </c>
      <c r="N60" t="inlineStr">
        <is>
          <t>Rattus norvegicus</t>
        </is>
      </c>
      <c r="O60" t="inlineStr">
        <is>
          <t>Beta-crystallin B2</t>
        </is>
      </c>
    </row>
    <row r="61">
      <c r="A61" t="inlineStr"/>
      <c r="B61" t="inlineStr"/>
      <c r="C61" t="inlineStr"/>
      <c r="D61" t="inlineStr"/>
      <c r="E61">
        <f>HYPERLINK("https://www.uniprot.org/uniprotkb/Q2LEC2/entry", "Q2LEC2")</f>
        <v/>
      </c>
      <c r="F61" t="n">
        <v>28.1</v>
      </c>
      <c r="G61" t="n">
        <v>139</v>
      </c>
      <c r="H61" t="n">
        <v>4.18e-08</v>
      </c>
      <c r="I61" t="inlineStr">
        <is>
          <t>Swiss-Prot</t>
        </is>
      </c>
      <c r="J61" t="inlineStr">
        <is>
          <t>CRYBB2</t>
        </is>
      </c>
      <c r="K61" t="inlineStr">
        <is>
          <t>CRBB2_CANLF</t>
        </is>
      </c>
      <c r="L61" t="inlineStr">
        <is>
          <t>sp|Q2LEC2|CRBB2_CANLF Beta-crystallin B2 OS=Canis lupus familiaris OX=9615 GN=CRYBB2 PE=2 SV=1</t>
        </is>
      </c>
      <c r="M61" t="n">
        <v>205</v>
      </c>
      <c r="N61" t="inlineStr">
        <is>
          <t>Canis lupus familiaris</t>
        </is>
      </c>
      <c r="O61" t="inlineStr">
        <is>
          <t>Beta-crystallin B2</t>
        </is>
      </c>
    </row>
    <row r="62">
      <c r="A62" t="inlineStr"/>
      <c r="B62" t="inlineStr"/>
      <c r="C62" t="inlineStr"/>
      <c r="D62" t="inlineStr"/>
      <c r="E62">
        <f>HYPERLINK("https://www.uniprot.org/uniprotkb/Q91318/entry", "Q91318")</f>
        <v/>
      </c>
      <c r="F62" t="n">
        <v>27.8</v>
      </c>
      <c r="G62" t="n">
        <v>151</v>
      </c>
      <c r="H62" t="n">
        <v>4.18e-08</v>
      </c>
      <c r="I62" t="inlineStr">
        <is>
          <t>Swiss-Prot</t>
        </is>
      </c>
      <c r="J62" t="inlineStr"/>
      <c r="K62" t="inlineStr">
        <is>
          <t>CRBB2_LITCT</t>
        </is>
      </c>
      <c r="L62" t="inlineStr">
        <is>
          <t>sp|Q91318|CRBB2_LITCT Beta-crystallin B2 OS=Lithobates catesbeianus OX=8400 PE=2 SV=3</t>
        </is>
      </c>
      <c r="M62" t="n">
        <v>205</v>
      </c>
      <c r="N62" t="inlineStr">
        <is>
          <t>Lithobates catesbeianus</t>
        </is>
      </c>
      <c r="O62" t="inlineStr">
        <is>
          <t>Beta-crystallin B2</t>
        </is>
      </c>
    </row>
    <row r="63">
      <c r="A63" t="inlineStr"/>
      <c r="B63" t="inlineStr"/>
      <c r="C63" t="inlineStr"/>
      <c r="D63" t="inlineStr"/>
      <c r="E63">
        <f>HYPERLINK("https://www.uniprot.org/uniprotkb/P43320/entry", "P43320")</f>
        <v/>
      </c>
      <c r="F63" t="n">
        <v>28.1</v>
      </c>
      <c r="G63" t="n">
        <v>139</v>
      </c>
      <c r="H63" t="n">
        <v>5.66e-08</v>
      </c>
      <c r="I63" t="inlineStr">
        <is>
          <t>Swiss-Prot</t>
        </is>
      </c>
      <c r="J63" t="inlineStr">
        <is>
          <t>CRYBB2</t>
        </is>
      </c>
      <c r="K63" t="inlineStr">
        <is>
          <t>CRBB2_HUMAN</t>
        </is>
      </c>
      <c r="L63" t="inlineStr">
        <is>
          <t>sp|P43320|CRBB2_HUMAN Beta-crystallin B2 OS=Homo sapiens OX=9606 GN=CRYBB2 PE=1 SV=2</t>
        </is>
      </c>
      <c r="M63" t="n">
        <v>205</v>
      </c>
      <c r="N63" t="inlineStr">
        <is>
          <t>Homo sapiens</t>
        </is>
      </c>
      <c r="O63" t="inlineStr">
        <is>
          <t>Beta-crystallin B2</t>
        </is>
      </c>
    </row>
    <row r="64">
      <c r="A64" t="inlineStr"/>
      <c r="B64" t="inlineStr"/>
      <c r="C64" t="inlineStr"/>
      <c r="D64" t="inlineStr"/>
      <c r="E64">
        <f>HYPERLINK("https://www.uniprot.org/uniprotkb/A2IBH5/entry", "A2IBH5")</f>
        <v/>
      </c>
      <c r="F64" t="n">
        <v>28.1</v>
      </c>
      <c r="G64" t="n">
        <v>139</v>
      </c>
      <c r="H64" t="n">
        <v>5.66e-08</v>
      </c>
      <c r="I64" t="inlineStr">
        <is>
          <t>Swiss-Prot</t>
        </is>
      </c>
      <c r="J64" t="inlineStr">
        <is>
          <t>CRYBB2</t>
        </is>
      </c>
      <c r="K64" t="inlineStr">
        <is>
          <t>CRBB2_RABIT</t>
        </is>
      </c>
      <c r="L64" t="inlineStr">
        <is>
          <t>sp|A2IBH5|CRBB2_RABIT Beta-crystallin B2 OS=Oryctolagus cuniculus OX=9986 GN=CRYBB2 PE=2 SV=1</t>
        </is>
      </c>
      <c r="M64" t="n">
        <v>205</v>
      </c>
      <c r="N64" t="inlineStr">
        <is>
          <t>Oryctolagus cuniculus</t>
        </is>
      </c>
      <c r="O64" t="inlineStr">
        <is>
          <t>Beta-crystallin B2</t>
        </is>
      </c>
    </row>
    <row r="65">
      <c r="A65" t="inlineStr"/>
      <c r="B65" t="inlineStr"/>
      <c r="C65" t="inlineStr"/>
      <c r="D65" t="inlineStr"/>
      <c r="E65">
        <f>HYPERLINK("https://www.uniprot.org/uniprotkb/P07530/entry", "P07530")</f>
        <v/>
      </c>
      <c r="F65" t="n">
        <v>27.4</v>
      </c>
      <c r="G65" t="n">
        <v>146</v>
      </c>
      <c r="H65" t="n">
        <v>8.219999999999999e-08</v>
      </c>
      <c r="I65" t="inlineStr">
        <is>
          <t>Swiss-Prot</t>
        </is>
      </c>
      <c r="J65" t="inlineStr">
        <is>
          <t>CRYBB1</t>
        </is>
      </c>
      <c r="K65" t="inlineStr">
        <is>
          <t>CRBB1_CHICK</t>
        </is>
      </c>
      <c r="L65" t="inlineStr">
        <is>
          <t>sp|P07530|CRBB1_CHICK Beta-crystallin B1 OS=Gallus gallus OX=9031 GN=CRYBB1 PE=2 SV=1</t>
        </is>
      </c>
      <c r="M65" t="n">
        <v>238</v>
      </c>
      <c r="N65" t="inlineStr">
        <is>
          <t>Gallus gallus</t>
        </is>
      </c>
      <c r="O65" t="inlineStr">
        <is>
          <t>Beta-crystallin B1</t>
        </is>
      </c>
    </row>
    <row r="66">
      <c r="A66" t="inlineStr"/>
      <c r="B66" t="inlineStr"/>
      <c r="C66" t="inlineStr"/>
      <c r="D66" t="inlineStr"/>
      <c r="E66">
        <f>HYPERLINK("https://www.uniprot.org/uniprotkb/Q9Y4K1/entry", "Q9Y4K1")</f>
        <v/>
      </c>
      <c r="F66" t="n">
        <v>29.2</v>
      </c>
      <c r="G66" t="n">
        <v>154</v>
      </c>
      <c r="H66" t="n">
        <v>1.27e-07</v>
      </c>
      <c r="I66" t="inlineStr">
        <is>
          <t>Swiss-Prot</t>
        </is>
      </c>
      <c r="J66" t="inlineStr">
        <is>
          <t>CRYBG1</t>
        </is>
      </c>
      <c r="K66" t="inlineStr">
        <is>
          <t>CRBG1_HUMAN</t>
        </is>
      </c>
      <c r="L66" t="inlineStr">
        <is>
          <t>sp|Q9Y4K1|CRBG1_HUMAN Beta/gamma crystallin domain-containing protein 1 OS=Homo sapiens OX=9606 GN=CRYBG1 PE=1 SV=3</t>
        </is>
      </c>
      <c r="M66" t="n">
        <v>1723</v>
      </c>
      <c r="N66" t="inlineStr">
        <is>
          <t>Homo sapiens</t>
        </is>
      </c>
      <c r="O66" t="inlineStr">
        <is>
          <t>Beta/gamma crystallin domain-containing protein 1</t>
        </is>
      </c>
    </row>
    <row r="67">
      <c r="A67" t="inlineStr"/>
      <c r="B67" t="inlineStr"/>
      <c r="C67" t="inlineStr"/>
      <c r="D67" t="inlineStr"/>
      <c r="E67">
        <f>HYPERLINK("https://www.uniprot.org/uniprotkb/P48646/entry", "P48646")</f>
        <v/>
      </c>
      <c r="F67" t="n">
        <v>26.8</v>
      </c>
      <c r="G67" t="n">
        <v>153</v>
      </c>
      <c r="H67" t="n">
        <v>3.03e-07</v>
      </c>
      <c r="I67" t="inlineStr">
        <is>
          <t>Swiss-Prot</t>
        </is>
      </c>
      <c r="J67" t="inlineStr">
        <is>
          <t>GS-1</t>
        </is>
      </c>
      <c r="K67" t="inlineStr">
        <is>
          <t>CRGS1_CHIID</t>
        </is>
      </c>
      <c r="L67" t="inlineStr">
        <is>
          <t>sp|P48646|CRGS1_CHIID Gamma-crystallin S-1 OS=Chiloscyllium indicum OX=443761 GN=GS-1 PE=2 SV=2</t>
        </is>
      </c>
      <c r="M67" t="n">
        <v>173</v>
      </c>
      <c r="N67" t="inlineStr">
        <is>
          <t>Chiloscyllium indicum</t>
        </is>
      </c>
      <c r="O67" t="inlineStr">
        <is>
          <t>Gamma-crystallin S-1</t>
        </is>
      </c>
    </row>
    <row r="68">
      <c r="A68" t="inlineStr"/>
      <c r="B68" t="inlineStr"/>
      <c r="C68" t="inlineStr"/>
      <c r="D68" t="inlineStr"/>
      <c r="E68">
        <f>HYPERLINK("https://www.uniprot.org/uniprotkb/P53674/entry", "P53674")</f>
        <v/>
      </c>
      <c r="F68" t="n">
        <v>26.7</v>
      </c>
      <c r="G68" t="n">
        <v>150</v>
      </c>
      <c r="H68" t="n">
        <v>3.07e-07</v>
      </c>
      <c r="I68" t="inlineStr">
        <is>
          <t>Swiss-Prot</t>
        </is>
      </c>
      <c r="J68" t="inlineStr">
        <is>
          <t>CRYBB1</t>
        </is>
      </c>
      <c r="K68" t="inlineStr">
        <is>
          <t>CRBB1_HUMAN</t>
        </is>
      </c>
      <c r="L68" t="inlineStr">
        <is>
          <t>sp|P53674|CRBB1_HUMAN Beta-crystallin B1 OS=Homo sapiens OX=9606 GN=CRYBB1 PE=1 SV=2</t>
        </is>
      </c>
      <c r="M68" t="n">
        <v>252</v>
      </c>
      <c r="N68" t="inlineStr">
        <is>
          <t>Homo sapiens</t>
        </is>
      </c>
      <c r="O68" t="inlineStr">
        <is>
          <t>Beta-crystallin B1</t>
        </is>
      </c>
    </row>
    <row r="69">
      <c r="A69" t="inlineStr"/>
      <c r="B69" t="inlineStr"/>
      <c r="C69" t="inlineStr"/>
      <c r="D69" t="inlineStr"/>
      <c r="E69">
        <f>HYPERLINK("https://www.uniprot.org/uniprotkb/Q68DQ2/entry", "Q68DQ2")</f>
        <v/>
      </c>
      <c r="F69" t="n">
        <v>26.2</v>
      </c>
      <c r="G69" t="n">
        <v>141</v>
      </c>
      <c r="H69" t="n">
        <v>5.54e-07</v>
      </c>
      <c r="I69" t="inlineStr">
        <is>
          <t>Swiss-Prot</t>
        </is>
      </c>
      <c r="J69" t="inlineStr">
        <is>
          <t>CRYBG3</t>
        </is>
      </c>
      <c r="K69" t="inlineStr">
        <is>
          <t>CRBG3_HUMAN</t>
        </is>
      </c>
      <c r="L69" t="inlineStr">
        <is>
          <t>sp|Q68DQ2|CRBG3_HUMAN Very large A-kinase anchor protein OS=Homo sapiens OX=9606 GN=CRYBG3 PE=1 SV=3</t>
        </is>
      </c>
      <c r="M69" t="n">
        <v>2970</v>
      </c>
      <c r="N69" t="inlineStr">
        <is>
          <t>Homo sapiens</t>
        </is>
      </c>
      <c r="O69" t="inlineStr">
        <is>
          <t>Very large A-kinase anchor protein</t>
        </is>
      </c>
    </row>
    <row r="70">
      <c r="A70" t="inlineStr"/>
      <c r="B70" t="inlineStr"/>
      <c r="C70" t="inlineStr"/>
      <c r="D70" t="inlineStr"/>
      <c r="E70">
        <f>HYPERLINK("https://www.uniprot.org/uniprotkb/P07318/entry", "P07318")</f>
        <v/>
      </c>
      <c r="F70" t="n">
        <v>29.1</v>
      </c>
      <c r="G70" t="n">
        <v>148</v>
      </c>
      <c r="H70" t="n">
        <v>1.01e-06</v>
      </c>
      <c r="I70" t="inlineStr">
        <is>
          <t>Swiss-Prot</t>
        </is>
      </c>
      <c r="J70" t="inlineStr">
        <is>
          <t>CRYBB1</t>
        </is>
      </c>
      <c r="K70" t="inlineStr">
        <is>
          <t>CRBB1_BOVIN</t>
        </is>
      </c>
      <c r="L70" t="inlineStr">
        <is>
          <t>sp|P07318|CRBB1_BOVIN Beta-crystallin B1 OS=Bos taurus OX=9913 GN=CRYBB1 PE=1 SV=3</t>
        </is>
      </c>
      <c r="M70" t="n">
        <v>253</v>
      </c>
      <c r="N70" t="inlineStr">
        <is>
          <t>Bos taurus</t>
        </is>
      </c>
      <c r="O70" t="inlineStr">
        <is>
          <t>Beta-crystallin B1</t>
        </is>
      </c>
    </row>
    <row r="71">
      <c r="A71" t="inlineStr"/>
      <c r="B71" t="inlineStr"/>
      <c r="C71" t="inlineStr"/>
      <c r="D71" t="inlineStr"/>
      <c r="E71">
        <f>HYPERLINK("https://www.uniprot.org/uniprotkb/Q007T1/entry", "Q007T1")</f>
        <v/>
      </c>
      <c r="F71" t="n">
        <v>28.4</v>
      </c>
      <c r="G71" t="n">
        <v>148</v>
      </c>
      <c r="H71" t="n">
        <v>1.32e-06</v>
      </c>
      <c r="I71" t="inlineStr">
        <is>
          <t>Swiss-Prot</t>
        </is>
      </c>
      <c r="J71" t="inlineStr">
        <is>
          <t>CRYBB1</t>
        </is>
      </c>
      <c r="K71" t="inlineStr">
        <is>
          <t>CRBB1_PIG</t>
        </is>
      </c>
      <c r="L71" t="inlineStr">
        <is>
          <t>sp|Q007T1|CRBB1_PIG Beta-crystallin B1 OS=Sus scrofa OX=9823 GN=CRYBB1 PE=2 SV=1</t>
        </is>
      </c>
      <c r="M71" t="n">
        <v>249</v>
      </c>
      <c r="N71" t="inlineStr">
        <is>
          <t>Sus scrofa</t>
        </is>
      </c>
      <c r="O71" t="inlineStr">
        <is>
          <t>Beta-crystallin B1</t>
        </is>
      </c>
    </row>
    <row r="72">
      <c r="A72" t="inlineStr"/>
      <c r="B72" t="inlineStr"/>
      <c r="C72" t="inlineStr"/>
      <c r="D72" t="inlineStr"/>
      <c r="E72">
        <f>HYPERLINK("https://www.uniprot.org/uniprotkb/A3RLD7/entry", "A3RLD7")</f>
        <v/>
      </c>
      <c r="F72" t="n">
        <v>27.4</v>
      </c>
      <c r="G72" t="n">
        <v>164</v>
      </c>
      <c r="H72" t="n">
        <v>8.950000000000001e-06</v>
      </c>
      <c r="I72" t="inlineStr">
        <is>
          <t>Swiss-Prot</t>
        </is>
      </c>
      <c r="J72" t="inlineStr">
        <is>
          <t>CRYGB</t>
        </is>
      </c>
      <c r="K72" t="inlineStr">
        <is>
          <t>CRGB_MACMU</t>
        </is>
      </c>
      <c r="L72" t="inlineStr">
        <is>
          <t>sp|A3RLD7|CRGB_MACMU Gamma-crystallin B OS=Macaca mulatta OX=9544 GN=CRYGB PE=2 SV=1</t>
        </is>
      </c>
      <c r="M72" t="n">
        <v>175</v>
      </c>
      <c r="N72" t="inlineStr">
        <is>
          <t>Macaca mulatta</t>
        </is>
      </c>
      <c r="O72" t="inlineStr">
        <is>
          <t>Gamma-crystallin B</t>
        </is>
      </c>
    </row>
    <row r="73">
      <c r="A73" t="inlineStr"/>
      <c r="B73" t="inlineStr"/>
      <c r="C73" t="inlineStr"/>
      <c r="D73" t="inlineStr"/>
      <c r="E73">
        <f>HYPERLINK("https://www.uniprot.org/uniprotkb/P02531/entry", "P02531")</f>
        <v/>
      </c>
      <c r="F73" t="n">
        <v>25.5</v>
      </c>
      <c r="G73" t="n">
        <v>149</v>
      </c>
      <c r="H73" t="n">
        <v>1.11e-05</v>
      </c>
      <c r="I73" t="inlineStr">
        <is>
          <t>Swiss-Prot</t>
        </is>
      </c>
      <c r="J73" t="inlineStr"/>
      <c r="K73" t="inlineStr">
        <is>
          <t>CRG2_RANTE</t>
        </is>
      </c>
      <c r="L73" t="inlineStr">
        <is>
          <t>sp|P02531|CRG2_RANTE Gamma-crystallin 2 (Fragment) OS=Rana temporaria OX=8407 PE=2 SV=1</t>
        </is>
      </c>
      <c r="M73" t="n">
        <v>169</v>
      </c>
      <c r="N73" t="inlineStr">
        <is>
          <t>Rana temporaria</t>
        </is>
      </c>
      <c r="O73" t="inlineStr">
        <is>
          <t>Gamma-crystallin 2 (Fragment)</t>
        </is>
      </c>
    </row>
    <row r="74">
      <c r="A74" t="inlineStr"/>
      <c r="B74" t="inlineStr"/>
      <c r="C74" t="inlineStr"/>
      <c r="D74" t="inlineStr"/>
      <c r="E74">
        <f>HYPERLINK("https://www.uniprot.org/uniprotkb/P05813/entry", "P05813")</f>
        <v/>
      </c>
      <c r="F74" t="n">
        <v>24.5</v>
      </c>
      <c r="G74" t="n">
        <v>151</v>
      </c>
      <c r="H74" t="n">
        <v>1.92e-05</v>
      </c>
      <c r="I74" t="inlineStr">
        <is>
          <t>Swiss-Prot</t>
        </is>
      </c>
      <c r="J74" t="inlineStr">
        <is>
          <t>CRYBA1</t>
        </is>
      </c>
      <c r="K74" t="inlineStr">
        <is>
          <t>CRBA1_HUMAN</t>
        </is>
      </c>
      <c r="L74" t="inlineStr">
        <is>
          <t>sp|P05813|CRBA1_HUMAN Beta-crystallin A3 OS=Homo sapiens OX=9606 GN=CRYBA1 PE=1 SV=4</t>
        </is>
      </c>
      <c r="M74" t="n">
        <v>215</v>
      </c>
      <c r="N74" t="inlineStr">
        <is>
          <t>Homo sapiens</t>
        </is>
      </c>
      <c r="O74" t="inlineStr">
        <is>
          <t>Beta-crystallin A3</t>
        </is>
      </c>
    </row>
    <row r="75">
      <c r="A75" t="inlineStr"/>
      <c r="B75" t="inlineStr"/>
      <c r="C75" t="inlineStr"/>
      <c r="D75" t="inlineStr"/>
      <c r="E75">
        <f>HYPERLINK("https://www.uniprot.org/uniprotkb/Q8N1P7/entry", "Q8N1P7")</f>
        <v/>
      </c>
      <c r="F75" t="n">
        <v>26.4</v>
      </c>
      <c r="G75" t="n">
        <v>144</v>
      </c>
      <c r="H75" t="n">
        <v>2.08e-05</v>
      </c>
      <c r="I75" t="inlineStr">
        <is>
          <t>Swiss-Prot</t>
        </is>
      </c>
      <c r="J75" t="inlineStr">
        <is>
          <t>CRYBG2</t>
        </is>
      </c>
      <c r="K75" t="inlineStr">
        <is>
          <t>CRBG2_HUMAN</t>
        </is>
      </c>
      <c r="L75" t="inlineStr">
        <is>
          <t>sp|Q8N1P7|CRBG2_HUMAN Beta/gamma crystallin domain-containing protein 2 OS=Homo sapiens OX=9606 GN=CRYBG2 PE=2 SV=2</t>
        </is>
      </c>
      <c r="M75" t="n">
        <v>1661</v>
      </c>
      <c r="N75" t="inlineStr">
        <is>
          <t>Homo sapiens</t>
        </is>
      </c>
      <c r="O75" t="inlineStr">
        <is>
          <t>Beta/gamma crystallin domain-containing protein 2</t>
        </is>
      </c>
    </row>
    <row r="76">
      <c r="A76" t="inlineStr"/>
      <c r="B76" t="inlineStr"/>
      <c r="C76" t="inlineStr"/>
      <c r="D76" t="inlineStr"/>
      <c r="E76">
        <f>HYPERLINK("https://www.uniprot.org/uniprotkb/P10112/entry", "P10112")</f>
        <v/>
      </c>
      <c r="F76" t="n">
        <v>25.5</v>
      </c>
      <c r="G76" t="n">
        <v>161</v>
      </c>
      <c r="H76" t="n">
        <v>2.19e-05</v>
      </c>
      <c r="I76" t="inlineStr">
        <is>
          <t>Swiss-Prot</t>
        </is>
      </c>
      <c r="J76" t="inlineStr">
        <is>
          <t>crygs</t>
        </is>
      </c>
      <c r="K76" t="inlineStr">
        <is>
          <t>CRYGS_CYPCA</t>
        </is>
      </c>
      <c r="L76" t="inlineStr">
        <is>
          <t>sp|P10112|CRYGS_CYPCA Gamma-crystallin S OS=Cyprinus carpio OX=7962 GN=crygs PE=2 SV=3</t>
        </is>
      </c>
      <c r="M76" t="n">
        <v>174</v>
      </c>
      <c r="N76" t="inlineStr">
        <is>
          <t>Cyprinus carpio</t>
        </is>
      </c>
      <c r="O76" t="inlineStr">
        <is>
          <t>Gamma-crystallin S</t>
        </is>
      </c>
    </row>
    <row r="77">
      <c r="A77" t="inlineStr">
        <is>
          <t>NODE_101001_length_1653_cov_22.559899_g39352_i0</t>
        </is>
      </c>
      <c r="B77" t="inlineStr">
        <is>
          <t>bombina_pachypus_blastx</t>
        </is>
      </c>
      <c r="C77" t="n">
        <v>2.55567810845193</v>
      </c>
      <c r="D77" t="n">
        <v>0.0123167398530701</v>
      </c>
      <c r="E77">
        <f>HYPERLINK("https://www.uniprot.org/uniprotkb/Q6INU1/entry", "Q6INU1")</f>
        <v/>
      </c>
      <c r="F77" t="n">
        <v>72.3</v>
      </c>
      <c r="G77" t="n">
        <v>303</v>
      </c>
      <c r="H77" t="n">
        <v>8.28e-156</v>
      </c>
      <c r="I77" t="inlineStr">
        <is>
          <t>TrEMBL</t>
        </is>
      </c>
      <c r="J77" t="inlineStr">
        <is>
          <t>fkbp6.L</t>
        </is>
      </c>
      <c r="K77" t="inlineStr">
        <is>
          <t>Q6INU1_XENLA</t>
        </is>
      </c>
      <c r="L77" t="inlineStr">
        <is>
          <t>tr|Q6INU1|Q6INU1_XENLA peptidylprolyl isomerase OS=Xenopus laevis OX=8355 GN=fkbp6.L PE=2 SV=1</t>
        </is>
      </c>
      <c r="M77" t="n">
        <v>304</v>
      </c>
      <c r="N77" t="inlineStr">
        <is>
          <t>Xenopus laevis</t>
        </is>
      </c>
      <c r="O77" t="inlineStr">
        <is>
          <t>peptidylprolyl isomerase</t>
        </is>
      </c>
    </row>
    <row r="78">
      <c r="A78" t="inlineStr"/>
      <c r="B78" t="inlineStr"/>
      <c r="C78" t="inlineStr"/>
      <c r="D78" t="inlineStr"/>
      <c r="E78">
        <f>HYPERLINK("https://www.ncbi.nlm.nih.gov/gene/?term=XP_053313087.1", "XP_053313087.1")</f>
        <v/>
      </c>
      <c r="F78" t="n">
        <v>70.7</v>
      </c>
      <c r="G78" t="n">
        <v>314</v>
      </c>
      <c r="H78" t="n">
        <v>1e-155</v>
      </c>
      <c r="I78" t="inlineStr">
        <is>
          <t>Nr</t>
        </is>
      </c>
      <c r="J78" t="inlineStr"/>
      <c r="K78" t="inlineStr"/>
      <c r="L78" t="inlineStr">
        <is>
          <t>XP_053313087.1 inactive peptidyl-prolyl cis-trans isomerase FKBP6 [Spea bombifrons]</t>
        </is>
      </c>
      <c r="M78" t="n">
        <v>332</v>
      </c>
      <c r="N78" t="inlineStr">
        <is>
          <t>Spea bombifrons</t>
        </is>
      </c>
      <c r="O78" t="inlineStr">
        <is>
          <t>inactive peptidyl-prolyl cis-trans isomerase FKBP6</t>
        </is>
      </c>
    </row>
    <row r="79">
      <c r="A79" t="inlineStr"/>
      <c r="B79" t="inlineStr"/>
      <c r="C79" t="inlineStr"/>
      <c r="D79" t="inlineStr"/>
      <c r="E79">
        <f>HYPERLINK("https://www.ncbi.nlm.nih.gov/gene/?term=NP_001085204.1", "NP_001085204.1")</f>
        <v/>
      </c>
      <c r="F79" t="n">
        <v>72.3</v>
      </c>
      <c r="G79" t="n">
        <v>303</v>
      </c>
      <c r="H79" t="n">
        <v>2.13e-155</v>
      </c>
      <c r="I79" t="inlineStr">
        <is>
          <t>Nr</t>
        </is>
      </c>
      <c r="J79" t="inlineStr"/>
      <c r="K79" t="inlineStr"/>
      <c r="L79" t="inlineStr">
        <is>
          <t>NP_001085204.1 FKBP prolyl isomerase family member 6 L homeolog [Xenopus laevis]</t>
        </is>
      </c>
      <c r="M79" t="n">
        <v>304</v>
      </c>
      <c r="N79" t="inlineStr">
        <is>
          <t>Xenopus laevis</t>
        </is>
      </c>
      <c r="O79" t="inlineStr">
        <is>
          <t>FKBP prolyl isomerase family member 6 L homeolog</t>
        </is>
      </c>
    </row>
    <row r="80">
      <c r="A80" t="inlineStr"/>
      <c r="B80" t="inlineStr"/>
      <c r="C80" t="inlineStr"/>
      <c r="D80" t="inlineStr"/>
      <c r="E80">
        <f>HYPERLINK("https://www.uniprot.org/uniprotkb/Q6P889/entry", "Q6P889")</f>
        <v/>
      </c>
      <c r="F80" t="n">
        <v>72.3</v>
      </c>
      <c r="G80" t="n">
        <v>303</v>
      </c>
      <c r="H80" t="n">
        <v>4.95e-155</v>
      </c>
      <c r="I80" t="inlineStr">
        <is>
          <t>TrEMBL</t>
        </is>
      </c>
      <c r="J80" t="inlineStr">
        <is>
          <t>fkbp6</t>
        </is>
      </c>
      <c r="K80" t="inlineStr">
        <is>
          <t>Q6P889_XENTR</t>
        </is>
      </c>
      <c r="L80" t="inlineStr">
        <is>
          <t>tr|Q6P889|Q6P889_XENTR peptidylprolyl isomerase OS=Xenopus tropicalis OX=8364 GN=fkbp6 PE=2 SV=1</t>
        </is>
      </c>
      <c r="M80" t="n">
        <v>305</v>
      </c>
      <c r="N80" t="inlineStr">
        <is>
          <t>Xenopus tropicalis</t>
        </is>
      </c>
      <c r="O80" t="inlineStr">
        <is>
          <t>peptidylprolyl isomerase</t>
        </is>
      </c>
    </row>
    <row r="81">
      <c r="A81" t="inlineStr"/>
      <c r="B81" t="inlineStr"/>
      <c r="C81" t="inlineStr"/>
      <c r="D81" t="inlineStr"/>
      <c r="E81">
        <f>HYPERLINK("https://www.ncbi.nlm.nih.gov/gene/?term=NP_989052.1", "NP_989052.1")</f>
        <v/>
      </c>
      <c r="F81" t="n">
        <v>72.3</v>
      </c>
      <c r="G81" t="n">
        <v>303</v>
      </c>
      <c r="H81" t="n">
        <v>1.27e-154</v>
      </c>
      <c r="I81" t="inlineStr">
        <is>
          <t>Nr</t>
        </is>
      </c>
      <c r="J81" t="inlineStr"/>
      <c r="K81" t="inlineStr"/>
      <c r="L81" t="inlineStr">
        <is>
          <t>NP_989052.1 inactive peptidyl-prolyl cis-trans isomerase FKBP6 [Xenopus tropicalis]</t>
        </is>
      </c>
      <c r="M81" t="n">
        <v>305</v>
      </c>
      <c r="N81" t="inlineStr">
        <is>
          <t>Xenopus tropicalis</t>
        </is>
      </c>
      <c r="O81" t="inlineStr">
        <is>
          <t>inactive peptidyl-prolyl cis-trans isomerase FKBP6</t>
        </is>
      </c>
    </row>
    <row r="82">
      <c r="A82" t="inlineStr"/>
      <c r="B82" t="inlineStr"/>
      <c r="C82" t="inlineStr"/>
      <c r="D82" t="inlineStr"/>
      <c r="E82">
        <f>HYPERLINK("https://www.uniprot.org/uniprotkb/A0A803K193/entry", "A0A803K193")</f>
        <v/>
      </c>
      <c r="F82" t="n">
        <v>72</v>
      </c>
      <c r="G82" t="n">
        <v>304</v>
      </c>
      <c r="H82" t="n">
        <v>2.11e-154</v>
      </c>
      <c r="I82" t="inlineStr">
        <is>
          <t>TrEMBL</t>
        </is>
      </c>
      <c r="J82" t="inlineStr">
        <is>
          <t>fkbp6</t>
        </is>
      </c>
      <c r="K82" t="inlineStr">
        <is>
          <t>A0A803K193_XENTR</t>
        </is>
      </c>
      <c r="L82" t="inlineStr">
        <is>
          <t>tr|A0A803K193|A0A803K193_XENTR peptidylprolyl isomerase OS=Xenopus tropicalis OX=8364 GN=fkbp6 PE=3 SV=1</t>
        </is>
      </c>
      <c r="M82" t="n">
        <v>326</v>
      </c>
      <c r="N82" t="inlineStr">
        <is>
          <t>Xenopus tropicalis</t>
        </is>
      </c>
      <c r="O82" t="inlineStr">
        <is>
          <t>peptidylprolyl isomerase</t>
        </is>
      </c>
    </row>
    <row r="83">
      <c r="A83" t="inlineStr"/>
      <c r="B83" t="inlineStr"/>
      <c r="C83" t="inlineStr"/>
      <c r="D83" t="inlineStr"/>
      <c r="E83">
        <f>HYPERLINK("https://www.uniprot.org/uniprotkb/F6VD12/entry", "F6VD12")</f>
        <v/>
      </c>
      <c r="F83" t="n">
        <v>72.3</v>
      </c>
      <c r="G83" t="n">
        <v>303</v>
      </c>
      <c r="H83" t="n">
        <v>2.69e-154</v>
      </c>
      <c r="I83" t="inlineStr">
        <is>
          <t>TrEMBL</t>
        </is>
      </c>
      <c r="J83" t="inlineStr">
        <is>
          <t>fkbp6</t>
        </is>
      </c>
      <c r="K83" t="inlineStr">
        <is>
          <t>F6VD12_XENTR</t>
        </is>
      </c>
      <c r="L83" t="inlineStr">
        <is>
          <t>tr|F6VD12|F6VD12_XENTR peptidylprolyl isomerase OS=Xenopus tropicalis OX=8364 GN=fkbp6 PE=3 SV=3</t>
        </is>
      </c>
      <c r="M83" t="n">
        <v>323</v>
      </c>
      <c r="N83" t="inlineStr">
        <is>
          <t>Xenopus tropicalis</t>
        </is>
      </c>
      <c r="O83" t="inlineStr">
        <is>
          <t>peptidylprolyl isomerase</t>
        </is>
      </c>
    </row>
    <row r="84">
      <c r="A84" t="inlineStr"/>
      <c r="B84" t="inlineStr"/>
      <c r="C84" t="inlineStr"/>
      <c r="D84" t="inlineStr"/>
      <c r="E84">
        <f>HYPERLINK("https://www.uniprot.org/uniprotkb/A0A803J3P0/entry", "A0A803J3P0")</f>
        <v/>
      </c>
      <c r="F84" t="n">
        <v>72</v>
      </c>
      <c r="G84" t="n">
        <v>304</v>
      </c>
      <c r="H84" t="n">
        <v>3.23e-154</v>
      </c>
      <c r="I84" t="inlineStr">
        <is>
          <t>TrEMBL</t>
        </is>
      </c>
      <c r="J84" t="inlineStr">
        <is>
          <t>fkbp6</t>
        </is>
      </c>
      <c r="K84" t="inlineStr">
        <is>
          <t>A0A803J3P0_XENTR</t>
        </is>
      </c>
      <c r="L84" t="inlineStr">
        <is>
          <t>tr|A0A803J3P0|A0A803J3P0_XENTR peptidylprolyl isomerase OS=Xenopus tropicalis OX=8364 GN=fkbp6 PE=3 SV=1</t>
        </is>
      </c>
      <c r="M84" t="n">
        <v>338</v>
      </c>
      <c r="N84" t="inlineStr">
        <is>
          <t>Xenopus tropicalis</t>
        </is>
      </c>
      <c r="O84" t="inlineStr">
        <is>
          <t>peptidylprolyl isomerase</t>
        </is>
      </c>
    </row>
    <row r="85">
      <c r="A85" t="inlineStr"/>
      <c r="B85" t="inlineStr"/>
      <c r="C85" t="inlineStr"/>
      <c r="D85" t="inlineStr"/>
      <c r="E85">
        <f>HYPERLINK("https://www.ncbi.nlm.nih.gov/gene/?term=KAE8622402.1", "KAE8622402.1")</f>
        <v/>
      </c>
      <c r="F85" t="n">
        <v>72.3</v>
      </c>
      <c r="G85" t="n">
        <v>303</v>
      </c>
      <c r="H85" t="n">
        <v>6.91e-154</v>
      </c>
      <c r="I85" t="inlineStr">
        <is>
          <t>Nr</t>
        </is>
      </c>
      <c r="J85" t="inlineStr"/>
      <c r="K85" t="inlineStr"/>
      <c r="L85" t="inlineStr">
        <is>
          <t>KAE8622402.1 hypothetical protein XENTR_v10005227 [Xenopus tropicalis]</t>
        </is>
      </c>
      <c r="M85" t="n">
        <v>323</v>
      </c>
      <c r="N85" t="inlineStr">
        <is>
          <t>Xenopus tropicalis</t>
        </is>
      </c>
      <c r="O85" t="inlineStr">
        <is>
          <t>hypothetical protein XENTR_v10005227</t>
        </is>
      </c>
    </row>
    <row r="86">
      <c r="A86" t="inlineStr"/>
      <c r="B86" t="inlineStr"/>
      <c r="C86" t="inlineStr"/>
      <c r="D86" t="inlineStr"/>
      <c r="E86">
        <f>HYPERLINK("https://www.uniprot.org/uniprotkb/A0A8J0UEL7/entry", "A0A8J0UEL7")</f>
        <v/>
      </c>
      <c r="F86" t="n">
        <v>73.09999999999999</v>
      </c>
      <c r="G86" t="n">
        <v>294</v>
      </c>
      <c r="H86" t="n">
        <v>9.07e-153</v>
      </c>
      <c r="I86" t="inlineStr">
        <is>
          <t>TrEMBL</t>
        </is>
      </c>
      <c r="J86" t="inlineStr">
        <is>
          <t>fkbp6.L</t>
        </is>
      </c>
      <c r="K86" t="inlineStr">
        <is>
          <t>A0A8J0UEL7_XENLA</t>
        </is>
      </c>
      <c r="L86" t="inlineStr">
        <is>
          <t>tr|A0A8J0UEL7|A0A8J0UEL7_XENLA peptidylprolyl isomerase OS=Xenopus laevis OX=8355 GN=fkbp6.L PE=3 SV=1</t>
        </is>
      </c>
      <c r="M86" t="n">
        <v>294</v>
      </c>
      <c r="N86" t="inlineStr">
        <is>
          <t>Xenopus laevis</t>
        </is>
      </c>
      <c r="O86" t="inlineStr">
        <is>
          <t>peptidylprolyl isomerase</t>
        </is>
      </c>
    </row>
    <row r="87">
      <c r="A87" t="inlineStr"/>
      <c r="B87" t="inlineStr"/>
      <c r="C87" t="inlineStr"/>
      <c r="D87" t="inlineStr"/>
      <c r="E87">
        <f>HYPERLINK("https://www.ncbi.nlm.nih.gov/gene/?term=XP_018100492.1", "XP_018100492.1")</f>
        <v/>
      </c>
      <c r="F87" t="n">
        <v>73.09999999999999</v>
      </c>
      <c r="G87" t="n">
        <v>294</v>
      </c>
      <c r="H87" t="n">
        <v>2.33e-152</v>
      </c>
      <c r="I87" t="inlineStr">
        <is>
          <t>Nr</t>
        </is>
      </c>
      <c r="J87" t="inlineStr"/>
      <c r="K87" t="inlineStr"/>
      <c r="L87" t="inlineStr">
        <is>
          <t>XP_018100492.1 FKBP prolyl isomerase family member 6 L homeolog isoform X1 [Xenopus laevis]</t>
        </is>
      </c>
      <c r="M87" t="n">
        <v>294</v>
      </c>
      <c r="N87" t="inlineStr">
        <is>
          <t>Xenopus laevis</t>
        </is>
      </c>
      <c r="O87" t="inlineStr">
        <is>
          <t>FKBP prolyl isomerase family member 6 L homeolog isoform X1</t>
        </is>
      </c>
    </row>
    <row r="88">
      <c r="A88" t="inlineStr"/>
      <c r="B88" t="inlineStr"/>
      <c r="C88" t="inlineStr"/>
      <c r="D88" t="inlineStr"/>
      <c r="E88">
        <f>HYPERLINK("https://www.ncbi.nlm.nih.gov/gene/?term=UKB38783.1", "UKB38783.1")</f>
        <v/>
      </c>
      <c r="F88" t="n">
        <v>71.59999999999999</v>
      </c>
      <c r="G88" t="n">
        <v>303</v>
      </c>
      <c r="H88" t="n">
        <v>9.3e-152</v>
      </c>
      <c r="I88" t="inlineStr">
        <is>
          <t>Nr</t>
        </is>
      </c>
      <c r="J88" t="inlineStr"/>
      <c r="K88" t="inlineStr"/>
      <c r="L88" t="inlineStr">
        <is>
          <t>UKB38783.1 FKBP prolyl isomerase family member 6 protein, partial [synthetic construct]</t>
        </is>
      </c>
      <c r="M88" t="n">
        <v>323</v>
      </c>
      <c r="N88" t="inlineStr">
        <is>
          <t>synthetic construct</t>
        </is>
      </c>
      <c r="O88" t="inlineStr">
        <is>
          <t>FKBP prolyl isomerase family member 6 protein, partial</t>
        </is>
      </c>
    </row>
    <row r="89">
      <c r="A89" t="inlineStr"/>
      <c r="B89" t="inlineStr"/>
      <c r="C89" t="inlineStr"/>
      <c r="D89" t="inlineStr"/>
      <c r="E89">
        <f>HYPERLINK("https://www.uniprot.org/uniprotkb/A0A8J1J1D2/entry", "A0A8J1J1D2")</f>
        <v/>
      </c>
      <c r="F89" t="n">
        <v>73.09999999999999</v>
      </c>
      <c r="G89" t="n">
        <v>294</v>
      </c>
      <c r="H89" t="n">
        <v>1.5e-151</v>
      </c>
      <c r="I89" t="inlineStr">
        <is>
          <t>TrEMBL</t>
        </is>
      </c>
      <c r="J89" t="inlineStr">
        <is>
          <t>fkbp6</t>
        </is>
      </c>
      <c r="K89" t="inlineStr">
        <is>
          <t>A0A8J1J1D2_XENTR</t>
        </is>
      </c>
      <c r="L89" t="inlineStr">
        <is>
          <t>tr|A0A8J1J1D2|A0A8J1J1D2_XENTR peptidylprolyl isomerase OS=Xenopus tropicalis OX=8364 GN=fkbp6 PE=3 SV=1</t>
        </is>
      </c>
      <c r="M89" t="n">
        <v>294</v>
      </c>
      <c r="N89" t="inlineStr">
        <is>
          <t>Xenopus tropicalis</t>
        </is>
      </c>
      <c r="O89" t="inlineStr">
        <is>
          <t>peptidylprolyl isomerase</t>
        </is>
      </c>
    </row>
    <row r="90">
      <c r="A90" t="inlineStr"/>
      <c r="B90" t="inlineStr"/>
      <c r="C90" t="inlineStr"/>
      <c r="D90" t="inlineStr"/>
      <c r="E90">
        <f>HYPERLINK("https://www.ncbi.nlm.nih.gov/gene/?term=XP_031751663.1", "XP_031751663.1")</f>
        <v/>
      </c>
      <c r="F90" t="n">
        <v>73.09999999999999</v>
      </c>
      <c r="G90" t="n">
        <v>294</v>
      </c>
      <c r="H90" t="n">
        <v>3.84e-151</v>
      </c>
      <c r="I90" t="inlineStr">
        <is>
          <t>Nr</t>
        </is>
      </c>
      <c r="J90" t="inlineStr"/>
      <c r="K90" t="inlineStr"/>
      <c r="L90" t="inlineStr">
        <is>
          <t>XP_031751663.1 inactive peptidyl-prolyl cis-trans isomerase FKBP6 isoform X1 [Xenopus tropicalis]</t>
        </is>
      </c>
      <c r="M90" t="n">
        <v>294</v>
      </c>
      <c r="N90" t="inlineStr">
        <is>
          <t>Xenopus tropicalis</t>
        </is>
      </c>
      <c r="O90" t="inlineStr">
        <is>
          <t>inactive peptidyl-prolyl cis-trans isomerase FKBP6 isoform X1</t>
        </is>
      </c>
    </row>
    <row r="91">
      <c r="A91" t="inlineStr"/>
      <c r="B91" t="inlineStr"/>
      <c r="C91" t="inlineStr"/>
      <c r="D91" t="inlineStr"/>
      <c r="E91">
        <f>HYPERLINK("https://www.uniprot.org/uniprotkb/A0A8J6KEC2/entry", "A0A8J6KEC2")</f>
        <v/>
      </c>
      <c r="F91" t="n">
        <v>69.90000000000001</v>
      </c>
      <c r="G91" t="n">
        <v>296</v>
      </c>
      <c r="H91" t="n">
        <v>4.09e-149</v>
      </c>
      <c r="I91" t="inlineStr">
        <is>
          <t>TrEMBL</t>
        </is>
      </c>
      <c r="J91" t="inlineStr">
        <is>
          <t>GDO78_008727</t>
        </is>
      </c>
      <c r="K91" t="inlineStr">
        <is>
          <t>A0A8J6KEC2_ELECQ</t>
        </is>
      </c>
      <c r="L91" t="inlineStr">
        <is>
          <t>tr|A0A8J6KEC2|A0A8J6KEC2_ELECQ peptidylprolyl isomerase (Fragment) OS=Eleutherodactylus coqui OX=57060 GN=GDO78_008727 PE=3 SV=1</t>
        </is>
      </c>
      <c r="M91" t="n">
        <v>304</v>
      </c>
      <c r="N91" t="inlineStr">
        <is>
          <t>Eleutherodactylus coqui</t>
        </is>
      </c>
      <c r="O91" t="inlineStr">
        <is>
          <t>peptidylprolyl isomerase (Fragment)</t>
        </is>
      </c>
    </row>
    <row r="92">
      <c r="A92" t="inlineStr"/>
      <c r="B92" t="inlineStr"/>
      <c r="C92" t="inlineStr"/>
      <c r="D92" t="inlineStr"/>
      <c r="E92">
        <f>HYPERLINK("https://www.ncbi.nlm.nih.gov/gene/?term=KAG8590125.1", "KAG8590125.1")</f>
        <v/>
      </c>
      <c r="F92" t="n">
        <v>67.5</v>
      </c>
      <c r="G92" t="n">
        <v>314</v>
      </c>
      <c r="H92" t="n">
        <v>9.91e-149</v>
      </c>
      <c r="I92" t="inlineStr">
        <is>
          <t>Nr</t>
        </is>
      </c>
      <c r="J92" t="inlineStr"/>
      <c r="K92" t="inlineStr"/>
      <c r="L92" t="inlineStr">
        <is>
          <t>KAG8590125.1 hypothetical protein GDO81_006647 [Engystomops pustulosus]</t>
        </is>
      </c>
      <c r="M92" t="n">
        <v>332</v>
      </c>
      <c r="N92" t="inlineStr">
        <is>
          <t>Engystomops pustulosus</t>
        </is>
      </c>
      <c r="O92" t="inlineStr">
        <is>
          <t>hypothetical protein GDO81_006647</t>
        </is>
      </c>
    </row>
    <row r="93">
      <c r="A93" t="inlineStr"/>
      <c r="B93" t="inlineStr"/>
      <c r="C93" t="inlineStr"/>
      <c r="D93" t="inlineStr"/>
      <c r="E93">
        <f>HYPERLINK("https://www.ncbi.nlm.nih.gov/gene/?term=KAG9485794.1", "KAG9485794.1")</f>
        <v/>
      </c>
      <c r="F93" t="n">
        <v>69.90000000000001</v>
      </c>
      <c r="G93" t="n">
        <v>296</v>
      </c>
      <c r="H93" t="n">
        <v>1.05e-148</v>
      </c>
      <c r="I93" t="inlineStr">
        <is>
          <t>Nr</t>
        </is>
      </c>
      <c r="J93" t="inlineStr"/>
      <c r="K93" t="inlineStr"/>
      <c r="L93" t="inlineStr">
        <is>
          <t>KAG9485794.1 hypothetical protein GDO78_008727, partial [Eleutherodactylus coqui]</t>
        </is>
      </c>
      <c r="M93" t="n">
        <v>304</v>
      </c>
      <c r="N93" t="inlineStr">
        <is>
          <t>Eleutherodactylus coqui</t>
        </is>
      </c>
      <c r="O93" t="inlineStr">
        <is>
          <t>hypothetical protein GDO78_008727, partial</t>
        </is>
      </c>
    </row>
    <row r="94">
      <c r="A94" t="inlineStr"/>
      <c r="B94" t="inlineStr"/>
      <c r="C94" t="inlineStr"/>
      <c r="D94" t="inlineStr"/>
      <c r="E94">
        <f>HYPERLINK("https://www.ncbi.nlm.nih.gov/gene/?term=XP_044141715.1", "XP_044141715.1")</f>
        <v/>
      </c>
      <c r="F94" t="n">
        <v>69.40000000000001</v>
      </c>
      <c r="G94" t="n">
        <v>314</v>
      </c>
      <c r="H94" t="n">
        <v>2.37e-148</v>
      </c>
      <c r="I94" t="inlineStr">
        <is>
          <t>Nr</t>
        </is>
      </c>
      <c r="J94" t="inlineStr"/>
      <c r="K94" t="inlineStr"/>
      <c r="L94" t="inlineStr">
        <is>
          <t>XP_044141715.1 inactive peptidyl-prolyl cis-trans isomerase FKBP6 [Bufo gargarizans]</t>
        </is>
      </c>
      <c r="M94" t="n">
        <v>317</v>
      </c>
      <c r="N94" t="inlineStr">
        <is>
          <t>Bufo gargarizans</t>
        </is>
      </c>
      <c r="O94" t="inlineStr">
        <is>
          <t>inactive peptidyl-prolyl cis-trans isomerase FKBP6</t>
        </is>
      </c>
    </row>
    <row r="95">
      <c r="A95" t="inlineStr"/>
      <c r="B95" t="inlineStr"/>
      <c r="C95" t="inlineStr"/>
      <c r="D95" t="inlineStr"/>
      <c r="E95">
        <f>HYPERLINK("https://www.uniprot.org/uniprotkb/A0A8T2K818/entry", "A0A8T2K818")</f>
        <v/>
      </c>
      <c r="F95" t="n">
        <v>70.5</v>
      </c>
      <c r="G95" t="n">
        <v>298</v>
      </c>
      <c r="H95" t="n">
        <v>1.74e-147</v>
      </c>
      <c r="I95" t="inlineStr">
        <is>
          <t>TrEMBL</t>
        </is>
      </c>
      <c r="J95" t="inlineStr">
        <is>
          <t>GDO86_003081</t>
        </is>
      </c>
      <c r="K95" t="inlineStr">
        <is>
          <t>A0A8T2K818_9PIPI</t>
        </is>
      </c>
      <c r="L95" t="inlineStr">
        <is>
          <t>tr|A0A8T2K818|A0A8T2K818_9PIPI peptidylprolyl isomerase OS=Hymenochirus boettgeri OX=247094 GN=GDO86_003081 PE=3 SV=1</t>
        </is>
      </c>
      <c r="M95" t="n">
        <v>311</v>
      </c>
      <c r="N95" t="inlineStr">
        <is>
          <t>Hymenochirus boettgeri</t>
        </is>
      </c>
      <c r="O95" t="inlineStr">
        <is>
          <t>peptidylprolyl isomerase</t>
        </is>
      </c>
    </row>
    <row r="96">
      <c r="A96" t="inlineStr"/>
      <c r="B96" t="inlineStr"/>
      <c r="C96" t="inlineStr"/>
      <c r="D96" t="inlineStr"/>
      <c r="E96">
        <f>HYPERLINK("https://www.ncbi.nlm.nih.gov/gene/?term=KAG8450666.1", "KAG8450666.1")</f>
        <v/>
      </c>
      <c r="F96" t="n">
        <v>70.5</v>
      </c>
      <c r="G96" t="n">
        <v>298</v>
      </c>
      <c r="H96" t="n">
        <v>4.47e-147</v>
      </c>
      <c r="I96" t="inlineStr">
        <is>
          <t>Nr</t>
        </is>
      </c>
      <c r="J96" t="inlineStr"/>
      <c r="K96" t="inlineStr"/>
      <c r="L96" t="inlineStr">
        <is>
          <t>KAG8450666.1 hypothetical protein GDO86_003081 [Hymenochirus boettgeri]</t>
        </is>
      </c>
      <c r="M96" t="n">
        <v>311</v>
      </c>
      <c r="N96" t="inlineStr">
        <is>
          <t>Hymenochirus boettgeri</t>
        </is>
      </c>
      <c r="O96" t="inlineStr">
        <is>
          <t>hypothetical protein GDO86_003081</t>
        </is>
      </c>
    </row>
    <row r="97">
      <c r="A97" t="inlineStr"/>
      <c r="B97" t="inlineStr"/>
      <c r="C97" t="inlineStr"/>
      <c r="D97" t="inlineStr"/>
      <c r="E97">
        <f>HYPERLINK("https://www.ncbi.nlm.nih.gov/gene/?term=XP_040279526.1", "XP_040279526.1")</f>
        <v/>
      </c>
      <c r="F97" t="n">
        <v>70.7</v>
      </c>
      <c r="G97" t="n">
        <v>300</v>
      </c>
      <c r="H97" t="n">
        <v>1.88e-146</v>
      </c>
      <c r="I97" t="inlineStr">
        <is>
          <t>Nr</t>
        </is>
      </c>
      <c r="J97" t="inlineStr"/>
      <c r="K97" t="inlineStr"/>
      <c r="L97" t="inlineStr">
        <is>
          <t>XP_040279526.1 inactive peptidyl-prolyl cis-trans isomerase FKBP6 [Bufo bufo]</t>
        </is>
      </c>
      <c r="M97" t="n">
        <v>322</v>
      </c>
      <c r="N97" t="inlineStr">
        <is>
          <t>Bufo bufo</t>
        </is>
      </c>
      <c r="O97" t="inlineStr">
        <is>
          <t>inactive peptidyl-prolyl cis-trans isomerase FKBP6</t>
        </is>
      </c>
    </row>
    <row r="98">
      <c r="A98" t="inlineStr"/>
      <c r="B98" t="inlineStr"/>
      <c r="C98" t="inlineStr"/>
      <c r="D98" t="inlineStr"/>
      <c r="E98">
        <f>HYPERLINK("https://www.ncbi.nlm.nih.gov/gene/?term=XP_018412624.1", "XP_018412624.1")</f>
        <v/>
      </c>
      <c r="F98" t="n">
        <v>68.59999999999999</v>
      </c>
      <c r="G98" t="n">
        <v>303</v>
      </c>
      <c r="H98" t="n">
        <v>3.66e-146</v>
      </c>
      <c r="I98" t="inlineStr">
        <is>
          <t>Nr</t>
        </is>
      </c>
      <c r="J98" t="inlineStr"/>
      <c r="K98" t="inlineStr"/>
      <c r="L98" t="inlineStr">
        <is>
          <t>XP_018412624.1 PREDICTED: inactive peptidyl-prolyl cis-trans isomerase FKBP6, partial [Nanorana parkeri]</t>
        </is>
      </c>
      <c r="M98" t="n">
        <v>321</v>
      </c>
      <c r="N98" t="inlineStr">
        <is>
          <t>Nanorana parkeri</t>
        </is>
      </c>
      <c r="O98" t="inlineStr">
        <is>
          <t>PREDICTED: inactive peptidyl-prolyl cis-trans isomerase FKBP6, partial</t>
        </is>
      </c>
    </row>
    <row r="99">
      <c r="A99" t="inlineStr"/>
      <c r="B99" t="inlineStr"/>
      <c r="C99" t="inlineStr"/>
      <c r="D99" t="inlineStr"/>
      <c r="E99">
        <f>HYPERLINK("https://www.uniprot.org/uniprotkb/A0A8C5LQF6/entry", "A0A8C5LQF6")</f>
        <v/>
      </c>
      <c r="F99" t="n">
        <v>69.59999999999999</v>
      </c>
      <c r="G99" t="n">
        <v>296</v>
      </c>
      <c r="H99" t="n">
        <v>2.34e-145</v>
      </c>
      <c r="I99" t="inlineStr">
        <is>
          <t>TrEMBL</t>
        </is>
      </c>
      <c r="J99" t="inlineStr">
        <is>
          <t>FKBP6</t>
        </is>
      </c>
      <c r="K99" t="inlineStr">
        <is>
          <t>A0A8C5LQF6_9ANUR</t>
        </is>
      </c>
      <c r="L99" t="inlineStr">
        <is>
          <t>tr|A0A8C5LQF6|A0A8C5LQF6_9ANUR peptidylprolyl isomerase OS=Leptobrachium leishanense OX=445787 GN=FKBP6 PE=3 SV=1</t>
        </is>
      </c>
      <c r="M99" t="n">
        <v>311</v>
      </c>
      <c r="N99" t="inlineStr">
        <is>
          <t>Leptobrachium leishanense</t>
        </is>
      </c>
      <c r="O99" t="inlineStr">
        <is>
          <t>peptidylprolyl isomerase</t>
        </is>
      </c>
    </row>
    <row r="100">
      <c r="A100" t="inlineStr"/>
      <c r="B100" t="inlineStr"/>
      <c r="C100" t="inlineStr"/>
      <c r="D100" t="inlineStr"/>
      <c r="E100">
        <f>HYPERLINK("https://www.ncbi.nlm.nih.gov/gene/?term=XP_040194268.1", "XP_040194268.1")</f>
        <v/>
      </c>
      <c r="F100" t="n">
        <v>69.59999999999999</v>
      </c>
      <c r="G100" t="n">
        <v>296</v>
      </c>
      <c r="H100" t="n">
        <v>2.27e-144</v>
      </c>
      <c r="I100" t="inlineStr">
        <is>
          <t>Nr</t>
        </is>
      </c>
      <c r="J100" t="inlineStr"/>
      <c r="K100" t="inlineStr"/>
      <c r="L100" t="inlineStr">
        <is>
          <t>XP_040194268.1 inactive peptidyl-prolyl cis-trans isomerase FKBP6-like isoform X2 [Rana temporaria]</t>
        </is>
      </c>
      <c r="M100" t="n">
        <v>309</v>
      </c>
      <c r="N100" t="inlineStr">
        <is>
          <t>Rana temporaria</t>
        </is>
      </c>
      <c r="O100" t="inlineStr">
        <is>
          <t>inactive peptidyl-prolyl cis-trans isomerase FKBP6-like isoform X2</t>
        </is>
      </c>
    </row>
    <row r="101">
      <c r="A101" t="inlineStr"/>
      <c r="B101" t="inlineStr"/>
      <c r="C101" t="inlineStr"/>
      <c r="D101" t="inlineStr"/>
      <c r="E101">
        <f>HYPERLINK("https://www.ncbi.nlm.nih.gov/gene/?term=XP_040194267.1", "XP_040194267.1")</f>
        <v/>
      </c>
      <c r="F101" t="n">
        <v>69.59999999999999</v>
      </c>
      <c r="G101" t="n">
        <v>296</v>
      </c>
      <c r="H101" t="n">
        <v>4.600000000000001e-144</v>
      </c>
      <c r="I101" t="inlineStr">
        <is>
          <t>Nr</t>
        </is>
      </c>
      <c r="J101" t="inlineStr"/>
      <c r="K101" t="inlineStr"/>
      <c r="L101" t="inlineStr">
        <is>
          <t>XP_040194267.1 inactive peptidyl-prolyl cis-trans isomerase FKBP6-like isoform X1 [Rana temporaria]</t>
        </is>
      </c>
      <c r="M101" t="n">
        <v>329</v>
      </c>
      <c r="N101" t="inlineStr">
        <is>
          <t>Rana temporaria</t>
        </is>
      </c>
      <c r="O101" t="inlineStr">
        <is>
          <t>inactive peptidyl-prolyl cis-trans isomerase FKBP6-like isoform X1</t>
        </is>
      </c>
    </row>
    <row r="102">
      <c r="A102" t="inlineStr"/>
      <c r="B102" t="inlineStr"/>
      <c r="C102" t="inlineStr"/>
      <c r="D102" t="inlineStr"/>
      <c r="E102">
        <f>HYPERLINK("https://www.ncbi.nlm.nih.gov/gene/?term=XP_040194266.1", "XP_040194266.1")</f>
        <v/>
      </c>
      <c r="F102" t="n">
        <v>70.7</v>
      </c>
      <c r="G102" t="n">
        <v>287</v>
      </c>
      <c r="H102" t="n">
        <v>5.32e-142</v>
      </c>
      <c r="I102" t="inlineStr">
        <is>
          <t>Nr</t>
        </is>
      </c>
      <c r="J102" t="inlineStr"/>
      <c r="K102" t="inlineStr"/>
      <c r="L102" t="inlineStr">
        <is>
          <t>XP_040194266.1 inactive peptidyl-prolyl cis-trans isomerase FKBP6-like [Rana temporaria]</t>
        </is>
      </c>
      <c r="M102" t="n">
        <v>295</v>
      </c>
      <c r="N102" t="inlineStr">
        <is>
          <t>Rana temporaria</t>
        </is>
      </c>
      <c r="O102" t="inlineStr">
        <is>
          <t>inactive peptidyl-prolyl cis-trans isomerase FKBP6-like</t>
        </is>
      </c>
    </row>
    <row r="103">
      <c r="A103" t="inlineStr"/>
      <c r="B103" t="inlineStr"/>
      <c r="C103" t="inlineStr"/>
      <c r="D103" t="inlineStr"/>
      <c r="E103">
        <f>HYPERLINK("https://www.ncbi.nlm.nih.gov/gene/?term=XP_029470375.1", "XP_029470375.1")</f>
        <v/>
      </c>
      <c r="F103" t="n">
        <v>67</v>
      </c>
      <c r="G103" t="n">
        <v>297</v>
      </c>
      <c r="H103" t="n">
        <v>1.7e-141</v>
      </c>
      <c r="I103" t="inlineStr">
        <is>
          <t>Nr</t>
        </is>
      </c>
      <c r="J103" t="inlineStr"/>
      <c r="K103" t="inlineStr"/>
      <c r="L103" t="inlineStr">
        <is>
          <t>XP_029470375.1 inactive peptidyl-prolyl cis-trans isomerase FKBP6 isoform X2 [Rhinatrema bivittatum]</t>
        </is>
      </c>
      <c r="M103" t="n">
        <v>308</v>
      </c>
      <c r="N103" t="inlineStr">
        <is>
          <t>Rhinatrema bivittatum</t>
        </is>
      </c>
      <c r="O103" t="inlineStr">
        <is>
          <t>inactive peptidyl-prolyl cis-trans isomerase FKBP6 isoform X2</t>
        </is>
      </c>
    </row>
    <row r="104">
      <c r="A104" t="inlineStr"/>
      <c r="B104" t="inlineStr"/>
      <c r="C104" t="inlineStr"/>
      <c r="D104" t="inlineStr"/>
      <c r="E104">
        <f>HYPERLINK("https://www.uniprot.org/uniprotkb/K7FNR1/entry", "K7FNR1")</f>
        <v/>
      </c>
      <c r="F104" t="n">
        <v>66.09999999999999</v>
      </c>
      <c r="G104" t="n">
        <v>298</v>
      </c>
      <c r="H104" t="n">
        <v>6.45e-141</v>
      </c>
      <c r="I104" t="inlineStr">
        <is>
          <t>TrEMBL</t>
        </is>
      </c>
      <c r="J104" t="inlineStr">
        <is>
          <t>FKBP6</t>
        </is>
      </c>
      <c r="K104" t="inlineStr">
        <is>
          <t>K7FNR1_PELSI</t>
        </is>
      </c>
      <c r="L104" t="inlineStr">
        <is>
          <t>tr|K7FNR1|K7FNR1_PELSI peptidylprolyl isomerase OS=Pelodiscus sinensis OX=13735 GN=FKBP6 PE=3 SV=1</t>
        </is>
      </c>
      <c r="M104" t="n">
        <v>333</v>
      </c>
      <c r="N104" t="inlineStr">
        <is>
          <t>Pelodiscus sinensis</t>
        </is>
      </c>
      <c r="O104" t="inlineStr">
        <is>
          <t>peptidylprolyl isomerase</t>
        </is>
      </c>
    </row>
    <row r="105">
      <c r="A105" t="inlineStr"/>
      <c r="B105" t="inlineStr"/>
      <c r="C105" t="inlineStr"/>
      <c r="D105" t="inlineStr"/>
      <c r="E105">
        <f>HYPERLINK("https://www.ncbi.nlm.nih.gov/gene/?term=XP_038231702.1", "XP_038231702.1")</f>
        <v/>
      </c>
      <c r="F105" t="n">
        <v>66.90000000000001</v>
      </c>
      <c r="G105" t="n">
        <v>296</v>
      </c>
      <c r="H105" t="n">
        <v>2.04e-140</v>
      </c>
      <c r="I105" t="inlineStr">
        <is>
          <t>Nr</t>
        </is>
      </c>
      <c r="J105" t="inlineStr"/>
      <c r="K105" t="inlineStr"/>
      <c r="L105" t="inlineStr">
        <is>
          <t>XP_038231702.1 inactive peptidyl-prolyl cis-trans isomerase FKBP6 isoform X1 [Dermochelys coriacea]</t>
        </is>
      </c>
      <c r="M105" t="n">
        <v>349</v>
      </c>
      <c r="N105" t="inlineStr">
        <is>
          <t>Dermochelys coriacea</t>
        </is>
      </c>
      <c r="O105" t="inlineStr">
        <is>
          <t>inactive peptidyl-prolyl cis-trans isomerase FKBP6 isoform X1</t>
        </is>
      </c>
    </row>
    <row r="106">
      <c r="A106" t="inlineStr"/>
      <c r="B106" t="inlineStr"/>
      <c r="C106" t="inlineStr"/>
      <c r="D106" t="inlineStr"/>
      <c r="E106">
        <f>HYPERLINK("https://www.ncbi.nlm.nih.gov/gene/?term=XP_048680287.1", "XP_048680287.1")</f>
        <v/>
      </c>
      <c r="F106" t="n">
        <v>63.7</v>
      </c>
      <c r="G106" t="n">
        <v>314</v>
      </c>
      <c r="H106" t="n">
        <v>2.35e-140</v>
      </c>
      <c r="I106" t="inlineStr">
        <is>
          <t>Nr</t>
        </is>
      </c>
      <c r="J106" t="inlineStr"/>
      <c r="K106" t="inlineStr"/>
      <c r="L106" t="inlineStr">
        <is>
          <t>XP_048680287.1 inactive peptidyl-prolyl cis-trans isomerase FKBP6 [Caretta caretta]</t>
        </is>
      </c>
      <c r="M106" t="n">
        <v>343</v>
      </c>
      <c r="N106" t="inlineStr">
        <is>
          <t>Caretta caretta</t>
        </is>
      </c>
      <c r="O106" t="inlineStr">
        <is>
          <t>inactive peptidyl-prolyl cis-trans isomerase FKBP6</t>
        </is>
      </c>
    </row>
    <row r="107">
      <c r="A107" t="inlineStr"/>
      <c r="B107" t="inlineStr"/>
      <c r="C107" t="inlineStr"/>
      <c r="D107" t="inlineStr"/>
      <c r="E107">
        <f>HYPERLINK("https://www.ncbi.nlm.nih.gov/gene/?term=XP_014425414.2", "XP_014425414.2")</f>
        <v/>
      </c>
      <c r="F107" t="n">
        <v>66.09999999999999</v>
      </c>
      <c r="G107" t="n">
        <v>298</v>
      </c>
      <c r="H107" t="n">
        <v>3.32e-140</v>
      </c>
      <c r="I107" t="inlineStr">
        <is>
          <t>Nr</t>
        </is>
      </c>
      <c r="J107" t="inlineStr"/>
      <c r="K107" t="inlineStr"/>
      <c r="L107" t="inlineStr">
        <is>
          <t>XP_014425414.2 inactive peptidyl-prolyl cis-trans isomerase FKBP6, partial [Pelodiscus sinensis]</t>
        </is>
      </c>
      <c r="M107" t="n">
        <v>353</v>
      </c>
      <c r="N107" t="inlineStr">
        <is>
          <t>Pelodiscus sinensis</t>
        </is>
      </c>
      <c r="O107" t="inlineStr">
        <is>
          <t>inactive peptidyl-prolyl cis-trans isomerase FKBP6, partial</t>
        </is>
      </c>
    </row>
    <row r="108">
      <c r="A108" t="inlineStr"/>
      <c r="B108" t="inlineStr"/>
      <c r="C108" t="inlineStr"/>
      <c r="D108" t="inlineStr"/>
      <c r="E108">
        <f>HYPERLINK("https://www.uniprot.org/uniprotkb/A0A8T1SFM4/entry", "A0A8T1SFM4")</f>
        <v/>
      </c>
      <c r="F108" t="n">
        <v>63.7</v>
      </c>
      <c r="G108" t="n">
        <v>314</v>
      </c>
      <c r="H108" t="n">
        <v>5.07e-140</v>
      </c>
      <c r="I108" t="inlineStr">
        <is>
          <t>TrEMBL</t>
        </is>
      </c>
      <c r="J108" t="inlineStr">
        <is>
          <t>FKBP6</t>
        </is>
      </c>
      <c r="K108" t="inlineStr">
        <is>
          <t>A0A8T1SFM4_CHESE</t>
        </is>
      </c>
      <c r="L108" t="inlineStr">
        <is>
          <t>tr|A0A8T1SFM4|A0A8T1SFM4_CHESE peptidylprolyl isomerase (Fragment) OS=Chelydra serpentina OX=8475 GN=FKBP6 PE=3 SV=1</t>
        </is>
      </c>
      <c r="M108" t="n">
        <v>342</v>
      </c>
      <c r="N108" t="inlineStr">
        <is>
          <t>Chelydra serpentina</t>
        </is>
      </c>
      <c r="O108" t="inlineStr">
        <is>
          <t>peptidylprolyl isomerase (Fragment)</t>
        </is>
      </c>
    </row>
    <row r="109">
      <c r="A109" t="inlineStr"/>
      <c r="B109" t="inlineStr"/>
      <c r="C109" t="inlineStr"/>
      <c r="D109" t="inlineStr"/>
      <c r="E109">
        <f>HYPERLINK("https://www.uniprot.org/uniprotkb/A0A6P7WNL3/entry", "A0A6P7WNL3")</f>
        <v/>
      </c>
      <c r="F109" t="n">
        <v>63</v>
      </c>
      <c r="G109" t="n">
        <v>316</v>
      </c>
      <c r="H109" t="n">
        <v>8.29e-140</v>
      </c>
      <c r="I109" t="inlineStr">
        <is>
          <t>TrEMBL</t>
        </is>
      </c>
      <c r="J109" t="inlineStr">
        <is>
          <t>FKBP6</t>
        </is>
      </c>
      <c r="K109" t="inlineStr">
        <is>
          <t>A0A6P7WNL3_9AMPH</t>
        </is>
      </c>
      <c r="L109" t="inlineStr">
        <is>
          <t>tr|A0A6P7WNL3|A0A6P7WNL3_9AMPH peptidylprolyl isomerase OS=Microcaecilia unicolor OX=1415580 GN=FKBP6 PE=3 SV=1</t>
        </is>
      </c>
      <c r="M109" t="n">
        <v>326</v>
      </c>
      <c r="N109" t="inlineStr">
        <is>
          <t>Microcaecilia unicolor</t>
        </is>
      </c>
      <c r="O109" t="inlineStr">
        <is>
          <t>peptidylprolyl isomerase</t>
        </is>
      </c>
    </row>
    <row r="110">
      <c r="A110" t="inlineStr"/>
      <c r="B110" t="inlineStr"/>
      <c r="C110" t="inlineStr"/>
      <c r="D110" t="inlineStr"/>
      <c r="E110">
        <f>HYPERLINK("https://www.ncbi.nlm.nih.gov/gene/?term=KAG6927648.1", "KAG6927648.1")</f>
        <v/>
      </c>
      <c r="F110" t="n">
        <v>63.7</v>
      </c>
      <c r="G110" t="n">
        <v>314</v>
      </c>
      <c r="H110" t="n">
        <v>1.3e-139</v>
      </c>
      <c r="I110" t="inlineStr">
        <is>
          <t>Nr</t>
        </is>
      </c>
      <c r="J110" t="inlineStr"/>
      <c r="K110" t="inlineStr"/>
      <c r="L110" t="inlineStr">
        <is>
          <t>KAG6927648.1 FK506 binding protein 6, partial [Chelydra serpentina]</t>
        </is>
      </c>
      <c r="M110" t="n">
        <v>342</v>
      </c>
      <c r="N110" t="inlineStr">
        <is>
          <t>Chelydra serpentina</t>
        </is>
      </c>
      <c r="O110" t="inlineStr">
        <is>
          <t>FK506 binding protein 6, partial</t>
        </is>
      </c>
    </row>
    <row r="111">
      <c r="A111" t="inlineStr"/>
      <c r="B111" t="inlineStr"/>
      <c r="C111" t="inlineStr"/>
      <c r="D111" t="inlineStr"/>
      <c r="E111">
        <f>HYPERLINK("https://www.ncbi.nlm.nih.gov/gene/?term=XP_043387209.1", "XP_043387209.1")</f>
        <v/>
      </c>
      <c r="F111" t="n">
        <v>66.59999999999999</v>
      </c>
      <c r="G111" t="n">
        <v>296</v>
      </c>
      <c r="H111" t="n">
        <v>2.05e-139</v>
      </c>
      <c r="I111" t="inlineStr">
        <is>
          <t>Nr</t>
        </is>
      </c>
      <c r="J111" t="inlineStr"/>
      <c r="K111" t="inlineStr"/>
      <c r="L111" t="inlineStr">
        <is>
          <t>XP_043387209.1 inactive peptidyl-prolyl cis-trans isomerase FKBP6 isoform X1 [Chelonia mydas]</t>
        </is>
      </c>
      <c r="M111" t="n">
        <v>345</v>
      </c>
      <c r="N111" t="inlineStr">
        <is>
          <t>Chelonia mydas</t>
        </is>
      </c>
      <c r="O111" t="inlineStr">
        <is>
          <t>inactive peptidyl-prolyl cis-trans isomerase FKBP6 isoform X1</t>
        </is>
      </c>
    </row>
    <row r="112">
      <c r="A112" t="inlineStr"/>
      <c r="B112" t="inlineStr"/>
      <c r="C112" t="inlineStr"/>
      <c r="D112" t="inlineStr"/>
      <c r="E112">
        <f>HYPERLINK("https://www.ncbi.nlm.nih.gov/gene/?term=XP_030041958.1", "XP_030041958.1")</f>
        <v/>
      </c>
      <c r="F112" t="n">
        <v>63</v>
      </c>
      <c r="G112" t="n">
        <v>316</v>
      </c>
      <c r="H112" t="n">
        <v>2.13e-139</v>
      </c>
      <c r="I112" t="inlineStr">
        <is>
          <t>Nr</t>
        </is>
      </c>
      <c r="J112" t="inlineStr"/>
      <c r="K112" t="inlineStr"/>
      <c r="L112" t="inlineStr">
        <is>
          <t>XP_030041958.1 inactive peptidyl-prolyl cis-trans isomerase FKBP6 isoform X3 [Microcaecilia unicolor]</t>
        </is>
      </c>
      <c r="M112" t="n">
        <v>326</v>
      </c>
      <c r="N112" t="inlineStr">
        <is>
          <t>Microcaecilia unicolor</t>
        </is>
      </c>
      <c r="O112" t="inlineStr">
        <is>
          <t>inactive peptidyl-prolyl cis-trans isomerase FKBP6 isoform X3</t>
        </is>
      </c>
    </row>
    <row r="113">
      <c r="A113" t="inlineStr"/>
      <c r="B113" t="inlineStr"/>
      <c r="C113" t="inlineStr"/>
      <c r="D113" t="inlineStr"/>
      <c r="E113">
        <f>HYPERLINK("https://www.uniprot.org/uniprotkb/A0A4D9DQH6/entry", "A0A4D9DQH6")</f>
        <v/>
      </c>
      <c r="F113" t="n">
        <v>64.2</v>
      </c>
      <c r="G113" t="n">
        <v>310</v>
      </c>
      <c r="H113" t="n">
        <v>6.08e-139</v>
      </c>
      <c r="I113" t="inlineStr">
        <is>
          <t>TrEMBL</t>
        </is>
      </c>
      <c r="J113" t="inlineStr">
        <is>
          <t>DR999_PMT18708</t>
        </is>
      </c>
      <c r="K113" t="inlineStr">
        <is>
          <t>A0A4D9DQH6_9SAUR</t>
        </is>
      </c>
      <c r="L113" t="inlineStr">
        <is>
          <t>tr|A0A4D9DQH6|A0A4D9DQH6_9SAUR peptidylprolyl isomerase OS=Platysternon megacephalum OX=55544 GN=DR999_PMT18708 PE=3 SV=1</t>
        </is>
      </c>
      <c r="M113" t="n">
        <v>343</v>
      </c>
      <c r="N113" t="inlineStr">
        <is>
          <t>Platysternon megacephalum</t>
        </is>
      </c>
      <c r="O113" t="inlineStr">
        <is>
          <t>peptidylprolyl isomerase</t>
        </is>
      </c>
    </row>
    <row r="114">
      <c r="A114" t="inlineStr"/>
      <c r="B114" t="inlineStr"/>
      <c r="C114" t="inlineStr"/>
      <c r="D114" t="inlineStr"/>
      <c r="E114">
        <f>HYPERLINK("https://www.ncbi.nlm.nih.gov/gene/?term=TFJ99264.1", "TFJ99264.1")</f>
        <v/>
      </c>
      <c r="F114" t="n">
        <v>64.2</v>
      </c>
      <c r="G114" t="n">
        <v>310</v>
      </c>
      <c r="H114" t="n">
        <v>1.56e-138</v>
      </c>
      <c r="I114" t="inlineStr">
        <is>
          <t>Nr</t>
        </is>
      </c>
      <c r="J114" t="inlineStr"/>
      <c r="K114" t="inlineStr"/>
      <c r="L114" t="inlineStr">
        <is>
          <t>TFJ99264.1 Inactive peptidyl-prolyl cis-trans isomerase FKBP6 [Platysternon megacephalum]</t>
        </is>
      </c>
      <c r="M114" t="n">
        <v>343</v>
      </c>
      <c r="N114" t="inlineStr">
        <is>
          <t>Platysternon megacephalum</t>
        </is>
      </c>
      <c r="O114" t="inlineStr">
        <is>
          <t>Inactive peptidyl-prolyl cis-trans isomerase FKBP6</t>
        </is>
      </c>
    </row>
    <row r="115">
      <c r="A115" t="inlineStr"/>
      <c r="B115" t="inlineStr"/>
      <c r="C115" t="inlineStr"/>
      <c r="D115" t="inlineStr"/>
      <c r="E115">
        <f>HYPERLINK("https://www.ncbi.nlm.nih.gov/gene/?term=XP_034608836.1", "XP_034608836.1")</f>
        <v/>
      </c>
      <c r="F115" t="n">
        <v>63.4</v>
      </c>
      <c r="G115" t="n">
        <v>314</v>
      </c>
      <c r="H115" t="n">
        <v>1.56e-138</v>
      </c>
      <c r="I115" t="inlineStr">
        <is>
          <t>Nr</t>
        </is>
      </c>
      <c r="J115" t="inlineStr"/>
      <c r="K115" t="inlineStr"/>
      <c r="L115" t="inlineStr">
        <is>
          <t>XP_034608836.1 inactive peptidyl-prolyl cis-trans isomerase FKBP6 isoform X2 [Trachemys scripta elegans]</t>
        </is>
      </c>
      <c r="M115" t="n">
        <v>343</v>
      </c>
      <c r="N115" t="inlineStr">
        <is>
          <t>Trachemys scripta elegans</t>
        </is>
      </c>
      <c r="O115" t="inlineStr">
        <is>
          <t>inactive peptidyl-prolyl cis-trans isomerase FKBP6 isoform X2</t>
        </is>
      </c>
    </row>
    <row r="116">
      <c r="A116" t="inlineStr"/>
      <c r="B116" t="inlineStr"/>
      <c r="C116" t="inlineStr"/>
      <c r="D116" t="inlineStr"/>
      <c r="E116">
        <f>HYPERLINK("https://www.uniprot.org/uniprotkb/A0A8D0DNK8/entry", "A0A8D0DNK8")</f>
        <v/>
      </c>
      <c r="F116" t="n">
        <v>63.5</v>
      </c>
      <c r="G116" t="n">
        <v>299</v>
      </c>
      <c r="H116" t="n">
        <v>3.49e-138</v>
      </c>
      <c r="I116" t="inlineStr">
        <is>
          <t>TrEMBL</t>
        </is>
      </c>
      <c r="J116" t="inlineStr">
        <is>
          <t>FKBP6</t>
        </is>
      </c>
      <c r="K116" t="inlineStr">
        <is>
          <t>A0A8D0DNK8_SALMN</t>
        </is>
      </c>
      <c r="L116" t="inlineStr">
        <is>
          <t>tr|A0A8D0DNK8|A0A8D0DNK8_SALMN peptidylprolyl isomerase OS=Salvator merianae OX=96440 GN=FKBP6 PE=3 SV=1</t>
        </is>
      </c>
      <c r="M116" t="n">
        <v>343</v>
      </c>
      <c r="N116" t="inlineStr">
        <is>
          <t>Salvator merianae</t>
        </is>
      </c>
      <c r="O116" t="inlineStr">
        <is>
          <t>peptidylprolyl isomerase</t>
        </is>
      </c>
    </row>
    <row r="117">
      <c r="A117" t="inlineStr"/>
      <c r="B117" t="inlineStr"/>
      <c r="C117" t="inlineStr"/>
      <c r="D117" t="inlineStr"/>
      <c r="E117">
        <f>HYPERLINK("https://www.uniprot.org/uniprotkb/A0A6P8PTW1/entry", "A0A6P8PTW1")</f>
        <v/>
      </c>
      <c r="F117" t="n">
        <v>65.8</v>
      </c>
      <c r="G117" t="n">
        <v>298</v>
      </c>
      <c r="H117" t="n">
        <v>2.32e-137</v>
      </c>
      <c r="I117" t="inlineStr">
        <is>
          <t>TrEMBL</t>
        </is>
      </c>
      <c r="J117" t="inlineStr">
        <is>
          <t>FKBP6</t>
        </is>
      </c>
      <c r="K117" t="inlineStr">
        <is>
          <t>A0A6P8PTW1_GEOSA</t>
        </is>
      </c>
      <c r="L117" t="inlineStr">
        <is>
          <t>tr|A0A6P8PTW1|A0A6P8PTW1_GEOSA peptidylprolyl isomerase OS=Geotrypetes seraphini OX=260995 GN=FKBP6 PE=3 SV=1</t>
        </is>
      </c>
      <c r="M117" t="n">
        <v>317</v>
      </c>
      <c r="N117" t="inlineStr">
        <is>
          <t>Geotrypetes seraphini</t>
        </is>
      </c>
      <c r="O117" t="inlineStr">
        <is>
          <t>peptidylprolyl isomerase</t>
        </is>
      </c>
    </row>
    <row r="118">
      <c r="A118" t="inlineStr"/>
      <c r="B118" t="inlineStr"/>
      <c r="C118" t="inlineStr"/>
      <c r="D118" t="inlineStr"/>
      <c r="E118">
        <f>HYPERLINK("https://www.uniprot.org/uniprotkb/A0A452I126/entry", "A0A452I126")</f>
        <v/>
      </c>
      <c r="F118" t="n">
        <v>67.2</v>
      </c>
      <c r="G118" t="n">
        <v>287</v>
      </c>
      <c r="H118" t="n">
        <v>2.98e-136</v>
      </c>
      <c r="I118" t="inlineStr">
        <is>
          <t>TrEMBL</t>
        </is>
      </c>
      <c r="J118" t="inlineStr"/>
      <c r="K118" t="inlineStr">
        <is>
          <t>A0A452I126_9SAUR</t>
        </is>
      </c>
      <c r="L118" t="inlineStr">
        <is>
          <t>tr|A0A452I126|A0A452I126_9SAUR peptidylprolyl isomerase OS=Gopherus agassizii OX=38772 PE=3 SV=1</t>
        </is>
      </c>
      <c r="M118" t="n">
        <v>310</v>
      </c>
      <c r="N118" t="inlineStr">
        <is>
          <t>Gopherus agassizii</t>
        </is>
      </c>
      <c r="O118" t="inlineStr">
        <is>
          <t>peptidylprolyl isomerase</t>
        </is>
      </c>
    </row>
    <row r="119">
      <c r="A119" t="inlineStr"/>
      <c r="B119" t="inlineStr"/>
      <c r="C119" t="inlineStr"/>
      <c r="D119" t="inlineStr"/>
      <c r="E119">
        <f>HYPERLINK("https://www.uniprot.org/uniprotkb/A0A6J0UUP8/entry", "A0A6J0UUP8")</f>
        <v/>
      </c>
      <c r="F119" t="n">
        <v>63.1</v>
      </c>
      <c r="G119" t="n">
        <v>298</v>
      </c>
      <c r="H119" t="n">
        <v>1.13e-135</v>
      </c>
      <c r="I119" t="inlineStr">
        <is>
          <t>TrEMBL</t>
        </is>
      </c>
      <c r="J119" t="inlineStr">
        <is>
          <t>FKBP6</t>
        </is>
      </c>
      <c r="K119" t="inlineStr">
        <is>
          <t>A0A6J0UUP8_9SAUR</t>
        </is>
      </c>
      <c r="L119" t="inlineStr">
        <is>
          <t>tr|A0A6J0UUP8|A0A6J0UUP8_9SAUR peptidylprolyl isomerase OS=Pogona vitticeps OX=103695 GN=FKBP6 PE=3 SV=1</t>
        </is>
      </c>
      <c r="M119" t="n">
        <v>328</v>
      </c>
      <c r="N119" t="inlineStr">
        <is>
          <t>Pogona vitticeps</t>
        </is>
      </c>
      <c r="O119" t="inlineStr">
        <is>
          <t>peptidylprolyl isomerase</t>
        </is>
      </c>
    </row>
    <row r="120">
      <c r="A120" t="inlineStr"/>
      <c r="B120" t="inlineStr"/>
      <c r="C120" t="inlineStr"/>
      <c r="D120" t="inlineStr"/>
      <c r="E120">
        <f>HYPERLINK("https://www.uniprot.org/uniprotkb/F6PHZ6/entry", "F6PHZ6")</f>
        <v/>
      </c>
      <c r="F120" t="n">
        <v>63.6</v>
      </c>
      <c r="G120" t="n">
        <v>297</v>
      </c>
      <c r="H120" t="n">
        <v>1.45e-135</v>
      </c>
      <c r="I120" t="inlineStr">
        <is>
          <t>Swiss-Prot</t>
        </is>
      </c>
      <c r="J120" t="inlineStr">
        <is>
          <t>FKBP6</t>
        </is>
      </c>
      <c r="K120" t="inlineStr">
        <is>
          <t>FKBP6_HORSE</t>
        </is>
      </c>
      <c r="L120" t="inlineStr">
        <is>
          <t>sp|F6PHZ6|FKBP6_HORSE Inactive peptidyl-prolyl cis-trans isomerase FKBP6 OS=Equus caballus OX=9796 GN=FKBP6 PE=1 SV=2</t>
        </is>
      </c>
      <c r="M120" t="n">
        <v>316</v>
      </c>
      <c r="N120" t="inlineStr">
        <is>
          <t>Equus caballus</t>
        </is>
      </c>
      <c r="O120" t="inlineStr">
        <is>
          <t>Inactive peptidyl-prolyl cis-trans isomerase FKBP6</t>
        </is>
      </c>
    </row>
    <row r="121">
      <c r="A121" t="inlineStr"/>
      <c r="B121" t="inlineStr"/>
      <c r="C121" t="inlineStr"/>
      <c r="D121" t="inlineStr"/>
      <c r="E121">
        <f>HYPERLINK("https://www.uniprot.org/uniprotkb/A0A6J0UXM7/entry", "A0A6J0UXM7")</f>
        <v/>
      </c>
      <c r="F121" t="n">
        <v>63.3</v>
      </c>
      <c r="G121" t="n">
        <v>297</v>
      </c>
      <c r="H121" t="n">
        <v>3.66e-135</v>
      </c>
      <c r="I121" t="inlineStr">
        <is>
          <t>TrEMBL</t>
        </is>
      </c>
      <c r="J121" t="inlineStr">
        <is>
          <t>FKBP6</t>
        </is>
      </c>
      <c r="K121" t="inlineStr">
        <is>
          <t>A0A6J0UXM7_9SAUR</t>
        </is>
      </c>
      <c r="L121" t="inlineStr">
        <is>
          <t>tr|A0A6J0UXM7|A0A6J0UXM7_9SAUR peptidylprolyl isomerase OS=Pogona vitticeps OX=103695 GN=FKBP6 PE=3 SV=1</t>
        </is>
      </c>
      <c r="M121" t="n">
        <v>352</v>
      </c>
      <c r="N121" t="inlineStr">
        <is>
          <t>Pogona vitticeps</t>
        </is>
      </c>
      <c r="O121" t="inlineStr">
        <is>
          <t>peptidylprolyl isomerase</t>
        </is>
      </c>
    </row>
    <row r="122">
      <c r="A122" t="inlineStr"/>
      <c r="B122" t="inlineStr"/>
      <c r="C122" t="inlineStr"/>
      <c r="D122" t="inlineStr"/>
      <c r="E122">
        <f>HYPERLINK("https://www.uniprot.org/uniprotkb/A0A6J0USN5/entry", "A0A6J0USN5")</f>
        <v/>
      </c>
      <c r="F122" t="n">
        <v>63.3</v>
      </c>
      <c r="G122" t="n">
        <v>297</v>
      </c>
      <c r="H122" t="n">
        <v>3.79e-135</v>
      </c>
      <c r="I122" t="inlineStr">
        <is>
          <t>TrEMBL</t>
        </is>
      </c>
      <c r="J122" t="inlineStr">
        <is>
          <t>FKBP6</t>
        </is>
      </c>
      <c r="K122" t="inlineStr">
        <is>
          <t>A0A6J0USN5_9SAUR</t>
        </is>
      </c>
      <c r="L122" t="inlineStr">
        <is>
          <t>tr|A0A6J0USN5|A0A6J0USN5_9SAUR peptidylprolyl isomerase OS=Pogona vitticeps OX=103695 GN=FKBP6 PE=3 SV=1</t>
        </is>
      </c>
      <c r="M122" t="n">
        <v>353</v>
      </c>
      <c r="N122" t="inlineStr">
        <is>
          <t>Pogona vitticeps</t>
        </is>
      </c>
      <c r="O122" t="inlineStr">
        <is>
          <t>peptidylprolyl isomerase</t>
        </is>
      </c>
    </row>
    <row r="123">
      <c r="A123" t="inlineStr"/>
      <c r="B123" t="inlineStr"/>
      <c r="C123" t="inlineStr"/>
      <c r="D123" t="inlineStr"/>
      <c r="E123">
        <f>HYPERLINK("https://www.uniprot.org/uniprotkb/A6QQ71/entry", "A6QQ71")</f>
        <v/>
      </c>
      <c r="F123" t="n">
        <v>63.5</v>
      </c>
      <c r="G123" t="n">
        <v>299</v>
      </c>
      <c r="H123" t="n">
        <v>4.13e-135</v>
      </c>
      <c r="I123" t="inlineStr">
        <is>
          <t>Swiss-Prot</t>
        </is>
      </c>
      <c r="J123" t="inlineStr">
        <is>
          <t>FKBP6</t>
        </is>
      </c>
      <c r="K123" t="inlineStr">
        <is>
          <t>FKBP6_BOVIN</t>
        </is>
      </c>
      <c r="L123" t="inlineStr">
        <is>
          <t>sp|A6QQ71|FKBP6_BOVIN Inactive peptidyl-prolyl cis-trans isomerase FKBP6 OS=Bos taurus OX=9913 GN=FKBP6 PE=2 SV=1</t>
        </is>
      </c>
      <c r="M123" t="n">
        <v>326</v>
      </c>
      <c r="N123" t="inlineStr">
        <is>
          <t>Bos taurus</t>
        </is>
      </c>
      <c r="O123" t="inlineStr">
        <is>
          <t>Inactive peptidyl-prolyl cis-trans isomerase FKBP6</t>
        </is>
      </c>
    </row>
    <row r="124">
      <c r="A124" t="inlineStr"/>
      <c r="B124" t="inlineStr"/>
      <c r="C124" t="inlineStr"/>
      <c r="D124" t="inlineStr"/>
      <c r="E124">
        <f>HYPERLINK("https://www.uniprot.org/uniprotkb/A0A7M4EG92/entry", "A0A7M4EG92")</f>
        <v/>
      </c>
      <c r="F124" t="n">
        <v>66.2</v>
      </c>
      <c r="G124" t="n">
        <v>287</v>
      </c>
      <c r="H124" t="n">
        <v>2.82e-134</v>
      </c>
      <c r="I124" t="inlineStr">
        <is>
          <t>TrEMBL</t>
        </is>
      </c>
      <c r="J124" t="inlineStr">
        <is>
          <t>FKBP6</t>
        </is>
      </c>
      <c r="K124" t="inlineStr">
        <is>
          <t>A0A7M4EG92_CROPO</t>
        </is>
      </c>
      <c r="L124" t="inlineStr">
        <is>
          <t>tr|A0A7M4EG92|A0A7M4EG92_CROPO peptidylprolyl isomerase OS=Crocodylus porosus OX=8502 GN=FKBP6 PE=3 SV=1</t>
        </is>
      </c>
      <c r="M124" t="n">
        <v>300</v>
      </c>
      <c r="N124" t="inlineStr">
        <is>
          <t>Crocodylus porosus</t>
        </is>
      </c>
      <c r="O124" t="inlineStr">
        <is>
          <t>peptidylprolyl isomerase</t>
        </is>
      </c>
    </row>
    <row r="125">
      <c r="A125" t="inlineStr"/>
      <c r="B125" t="inlineStr"/>
      <c r="C125" t="inlineStr"/>
      <c r="D125" t="inlineStr"/>
      <c r="E125">
        <f>HYPERLINK("https://www.uniprot.org/uniprotkb/A0A8C4MIT6/entry", "A0A8C4MIT6")</f>
        <v/>
      </c>
      <c r="F125" t="n">
        <v>63.8</v>
      </c>
      <c r="G125" t="n">
        <v>298</v>
      </c>
      <c r="H125" t="n">
        <v>3.6e-134</v>
      </c>
      <c r="I125" t="inlineStr">
        <is>
          <t>TrEMBL</t>
        </is>
      </c>
      <c r="J125" t="inlineStr">
        <is>
          <t>FKBP6</t>
        </is>
      </c>
      <c r="K125" t="inlineStr">
        <is>
          <t>A0A8C4MIT6_EQUAS</t>
        </is>
      </c>
      <c r="L125" t="inlineStr">
        <is>
          <t>tr|A0A8C4MIT6|A0A8C4MIT6_EQUAS peptidylprolyl isomerase OS=Equus asinus asinus OX=83772 GN=FKBP6 PE=3 SV=1</t>
        </is>
      </c>
      <c r="M125" t="n">
        <v>317</v>
      </c>
      <c r="N125" t="inlineStr">
        <is>
          <t>Equus asinus asinus</t>
        </is>
      </c>
      <c r="O125" t="inlineStr">
        <is>
          <t>peptidylprolyl isomerase</t>
        </is>
      </c>
    </row>
    <row r="126">
      <c r="A126" t="inlineStr"/>
      <c r="B126" t="inlineStr"/>
      <c r="C126" t="inlineStr"/>
      <c r="D126" t="inlineStr"/>
      <c r="E126">
        <f>HYPERLINK("https://www.uniprot.org/uniprotkb/A0A7M4EI20/entry", "A0A7M4EI20")</f>
        <v/>
      </c>
      <c r="F126" t="n">
        <v>66.2</v>
      </c>
      <c r="G126" t="n">
        <v>287</v>
      </c>
      <c r="H126" t="n">
        <v>4e-134</v>
      </c>
      <c r="I126" t="inlineStr">
        <is>
          <t>TrEMBL</t>
        </is>
      </c>
      <c r="J126" t="inlineStr">
        <is>
          <t>FKBP6</t>
        </is>
      </c>
      <c r="K126" t="inlineStr">
        <is>
          <t>A0A7M4EI20_CROPO</t>
        </is>
      </c>
      <c r="L126" t="inlineStr">
        <is>
          <t>tr|A0A7M4EI20|A0A7M4EI20_CROPO peptidylprolyl isomerase OS=Crocodylus porosus OX=8502 GN=FKBP6 PE=3 SV=1</t>
        </is>
      </c>
      <c r="M126" t="n">
        <v>310</v>
      </c>
      <c r="N126" t="inlineStr">
        <is>
          <t>Crocodylus porosus</t>
        </is>
      </c>
      <c r="O126" t="inlineStr">
        <is>
          <t>peptidylprolyl isomerase</t>
        </is>
      </c>
    </row>
    <row r="127">
      <c r="A127" t="inlineStr"/>
      <c r="B127" t="inlineStr"/>
      <c r="C127" t="inlineStr"/>
      <c r="D127" t="inlineStr"/>
      <c r="E127">
        <f>HYPERLINK("https://www.uniprot.org/uniprotkb/A0A7M4EHJ9/entry", "A0A7M4EHJ9")</f>
        <v/>
      </c>
      <c r="F127" t="n">
        <v>66.2</v>
      </c>
      <c r="G127" t="n">
        <v>287</v>
      </c>
      <c r="H127" t="n">
        <v>4.14e-134</v>
      </c>
      <c r="I127" t="inlineStr">
        <is>
          <t>TrEMBL</t>
        </is>
      </c>
      <c r="J127" t="inlineStr">
        <is>
          <t>FKBP6</t>
        </is>
      </c>
      <c r="K127" t="inlineStr">
        <is>
          <t>A0A7M4EHJ9_CROPO</t>
        </is>
      </c>
      <c r="L127" t="inlineStr">
        <is>
          <t>tr|A0A7M4EHJ9|A0A7M4EHJ9_CROPO peptidylprolyl isomerase OS=Crocodylus porosus OX=8502 GN=FKBP6 PE=3 SV=1</t>
        </is>
      </c>
      <c r="M127" t="n">
        <v>311</v>
      </c>
      <c r="N127" t="inlineStr">
        <is>
          <t>Crocodylus porosus</t>
        </is>
      </c>
      <c r="O127" t="inlineStr">
        <is>
          <t>peptidylprolyl isomerase</t>
        </is>
      </c>
    </row>
    <row r="128">
      <c r="A128" t="inlineStr"/>
      <c r="B128" t="inlineStr"/>
      <c r="C128" t="inlineStr"/>
      <c r="D128" t="inlineStr"/>
      <c r="E128">
        <f>HYPERLINK("https://www.uniprot.org/uniprotkb/A0A8C6CYQ2/entry", "A0A8C6CYQ2")</f>
        <v/>
      </c>
      <c r="F128" t="n">
        <v>62.3</v>
      </c>
      <c r="G128" t="n">
        <v>313</v>
      </c>
      <c r="H128" t="n">
        <v>5.089999999999999e-134</v>
      </c>
      <c r="I128" t="inlineStr">
        <is>
          <t>TrEMBL</t>
        </is>
      </c>
      <c r="J128" t="inlineStr">
        <is>
          <t>FKBP6</t>
        </is>
      </c>
      <c r="K128" t="inlineStr">
        <is>
          <t>A0A8C6CYQ2_MOSMO</t>
        </is>
      </c>
      <c r="L128" t="inlineStr">
        <is>
          <t>tr|A0A8C6CYQ2|A0A8C6CYQ2_MOSMO peptidylprolyl isomerase OS=Moschus moschiferus OX=68415 GN=FKBP6 PE=3 SV=1</t>
        </is>
      </c>
      <c r="M128" t="n">
        <v>327</v>
      </c>
      <c r="N128" t="inlineStr">
        <is>
          <t>Moschus moschiferus</t>
        </is>
      </c>
      <c r="O128" t="inlineStr">
        <is>
          <t>peptidylprolyl isomerase</t>
        </is>
      </c>
    </row>
    <row r="129">
      <c r="A129" t="inlineStr"/>
      <c r="B129" t="inlineStr"/>
      <c r="C129" t="inlineStr"/>
      <c r="D129" t="inlineStr"/>
      <c r="E129">
        <f>HYPERLINK("https://www.uniprot.org/uniprotkb/D3ZQF4/entry", "D3ZQF4")</f>
        <v/>
      </c>
      <c r="F129" t="n">
        <v>61.6</v>
      </c>
      <c r="G129" t="n">
        <v>297</v>
      </c>
      <c r="H129" t="n">
        <v>3.580000000000001e-129</v>
      </c>
      <c r="I129" t="inlineStr">
        <is>
          <t>Swiss-Prot</t>
        </is>
      </c>
      <c r="J129" t="inlineStr">
        <is>
          <t>Fkbp6</t>
        </is>
      </c>
      <c r="K129" t="inlineStr">
        <is>
          <t>FKBP6_RAT</t>
        </is>
      </c>
      <c r="L129" t="inlineStr">
        <is>
          <t>sp|D3ZQF4|FKBP6_RAT Inactive peptidyl-prolyl cis-trans isomerase FKBP6 OS=Rattus norvegicus OX=10116 GN=Fkbp6 PE=3 SV=1</t>
        </is>
      </c>
      <c r="M129" t="n">
        <v>327</v>
      </c>
      <c r="N129" t="inlineStr">
        <is>
          <t>Rattus norvegicus</t>
        </is>
      </c>
      <c r="O129" t="inlineStr">
        <is>
          <t>Inactive peptidyl-prolyl cis-trans isomerase FKBP6</t>
        </is>
      </c>
    </row>
    <row r="130">
      <c r="A130" t="inlineStr"/>
      <c r="B130" t="inlineStr"/>
      <c r="C130" t="inlineStr"/>
      <c r="D130" t="inlineStr"/>
      <c r="E130">
        <f>HYPERLINK("https://www.uniprot.org/uniprotkb/Q91XW8/entry", "Q91XW8")</f>
        <v/>
      </c>
      <c r="F130" t="n">
        <v>61.3</v>
      </c>
      <c r="G130" t="n">
        <v>297</v>
      </c>
      <c r="H130" t="n">
        <v>5.07e-129</v>
      </c>
      <c r="I130" t="inlineStr">
        <is>
          <t>Swiss-Prot</t>
        </is>
      </c>
      <c r="J130" t="inlineStr">
        <is>
          <t>Fkbp6</t>
        </is>
      </c>
      <c r="K130" t="inlineStr">
        <is>
          <t>FKBP6_MOUSE</t>
        </is>
      </c>
      <c r="L130" t="inlineStr">
        <is>
          <t>sp|Q91XW8|FKBP6_MOUSE Inactive peptidyl-prolyl cis-trans isomerase FKBP6 OS=Mus musculus OX=10090 GN=Fkbp6 PE=1 SV=1</t>
        </is>
      </c>
      <c r="M130" t="n">
        <v>327</v>
      </c>
      <c r="N130" t="inlineStr">
        <is>
          <t>Mus musculus</t>
        </is>
      </c>
      <c r="O130" t="inlineStr">
        <is>
          <t>Inactive peptidyl-prolyl cis-trans isomerase FKBP6</t>
        </is>
      </c>
    </row>
    <row r="131">
      <c r="A131" t="inlineStr"/>
      <c r="B131" t="inlineStr"/>
      <c r="C131" t="inlineStr"/>
      <c r="D131" t="inlineStr"/>
      <c r="E131">
        <f>HYPERLINK("https://www.uniprot.org/uniprotkb/O75344/entry", "O75344")</f>
        <v/>
      </c>
      <c r="F131" t="n">
        <v>62.3</v>
      </c>
      <c r="G131" t="n">
        <v>297</v>
      </c>
      <c r="H131" t="n">
        <v>7.190000000000001e-129</v>
      </c>
      <c r="I131" t="inlineStr">
        <is>
          <t>Swiss-Prot</t>
        </is>
      </c>
      <c r="J131" t="inlineStr">
        <is>
          <t>FKBP6</t>
        </is>
      </c>
      <c r="K131" t="inlineStr">
        <is>
          <t>FKBP6_HUMAN</t>
        </is>
      </c>
      <c r="L131" t="inlineStr">
        <is>
          <t>sp|O75344|FKBP6_HUMAN Inactive peptidyl-prolyl cis-trans isomerase FKBP6 OS=Homo sapiens OX=9606 GN=FKBP6 PE=1 SV=1</t>
        </is>
      </c>
      <c r="M131" t="n">
        <v>327</v>
      </c>
      <c r="N131" t="inlineStr">
        <is>
          <t>Homo sapiens</t>
        </is>
      </c>
      <c r="O131" t="inlineStr">
        <is>
          <t>Inactive peptidyl-prolyl cis-trans isomerase FKBP6</t>
        </is>
      </c>
    </row>
    <row r="132">
      <c r="A132" t="inlineStr"/>
      <c r="B132" t="inlineStr"/>
      <c r="C132" t="inlineStr"/>
      <c r="D132" t="inlineStr"/>
      <c r="E132">
        <f>HYPERLINK("https://www.uniprot.org/uniprotkb/Q9W1I9/entry", "Q9W1I9")</f>
        <v/>
      </c>
      <c r="F132" t="n">
        <v>29</v>
      </c>
      <c r="G132" t="n">
        <v>314</v>
      </c>
      <c r="H132" t="n">
        <v>2.23e-29</v>
      </c>
      <c r="I132" t="inlineStr">
        <is>
          <t>Swiss-Prot</t>
        </is>
      </c>
      <c r="J132" t="inlineStr">
        <is>
          <t>shu</t>
        </is>
      </c>
      <c r="K132" t="inlineStr">
        <is>
          <t>FKBP6_DROME</t>
        </is>
      </c>
      <c r="L132" t="inlineStr">
        <is>
          <t>sp|Q9W1I9|FKBP6_DROME Inactive peptidyl-prolyl cis-trans isomerase shutdown OS=Drosophila melanogaster OX=7227 GN=shu PE=1 SV=1</t>
        </is>
      </c>
      <c r="M132" t="n">
        <v>455</v>
      </c>
      <c r="N132" t="inlineStr">
        <is>
          <t>Drosophila melanogaster</t>
        </is>
      </c>
      <c r="O132" t="inlineStr">
        <is>
          <t>Inactive peptidyl-prolyl cis-trans isomerase shutdown</t>
        </is>
      </c>
    </row>
    <row r="133">
      <c r="A133" t="inlineStr"/>
      <c r="B133" t="inlineStr"/>
      <c r="C133" t="inlineStr"/>
      <c r="D133" t="inlineStr"/>
      <c r="E133">
        <f>HYPERLINK("https://www.uniprot.org/uniprotkb/Q43207/entry", "Q43207")</f>
        <v/>
      </c>
      <c r="F133" t="n">
        <v>26.5</v>
      </c>
      <c r="G133" t="n">
        <v>321</v>
      </c>
      <c r="H133" t="n">
        <v>1.39e-24</v>
      </c>
      <c r="I133" t="inlineStr">
        <is>
          <t>Swiss-Prot</t>
        </is>
      </c>
      <c r="J133" t="inlineStr">
        <is>
          <t>FKBP70</t>
        </is>
      </c>
      <c r="K133" t="inlineStr">
        <is>
          <t>FKB70_WHEAT</t>
        </is>
      </c>
      <c r="L133" t="inlineStr">
        <is>
          <t>sp|Q43207|FKB70_WHEAT 70 kDa peptidyl-prolyl isomerase OS=Triticum aestivum OX=4565 GN=FKBP70 PE=1 SV=1</t>
        </is>
      </c>
      <c r="M133" t="n">
        <v>559</v>
      </c>
      <c r="N133" t="inlineStr">
        <is>
          <t>Triticum aestivum</t>
        </is>
      </c>
      <c r="O133" t="inlineStr">
        <is>
          <t>70 kDa peptidyl-prolyl isomerase</t>
        </is>
      </c>
    </row>
    <row r="134">
      <c r="A134" t="inlineStr"/>
      <c r="B134" t="inlineStr"/>
      <c r="C134" t="inlineStr"/>
      <c r="D134" t="inlineStr"/>
      <c r="E134">
        <f>HYPERLINK("https://www.uniprot.org/uniprotkb/H9IWW7/entry", "H9IWW7")</f>
        <v/>
      </c>
      <c r="F134" t="n">
        <v>30</v>
      </c>
      <c r="G134" t="n">
        <v>303</v>
      </c>
      <c r="H134" t="n">
        <v>7.269999999999999e-23</v>
      </c>
      <c r="I134" t="inlineStr">
        <is>
          <t>Swiss-Prot</t>
        </is>
      </c>
      <c r="J134" t="inlineStr">
        <is>
          <t>shu</t>
        </is>
      </c>
      <c r="K134" t="inlineStr">
        <is>
          <t>FKBP6_BOMMO</t>
        </is>
      </c>
      <c r="L134" t="inlineStr">
        <is>
          <t>sp|H9IWW7|FKBP6_BOMMO Inactive peptidyl-prolyl cis-trans isomerase shutdown OS=Bombyx mori OX=7091 GN=shu PE=1 SV=1</t>
        </is>
      </c>
      <c r="M134" t="n">
        <v>437</v>
      </c>
      <c r="N134" t="inlineStr">
        <is>
          <t>Bombyx mori</t>
        </is>
      </c>
      <c r="O134" t="inlineStr">
        <is>
          <t>Inactive peptidyl-prolyl cis-trans isomerase shutdown</t>
        </is>
      </c>
    </row>
    <row r="135">
      <c r="A135" t="inlineStr"/>
      <c r="B135" t="inlineStr"/>
      <c r="C135" t="inlineStr"/>
      <c r="D135" t="inlineStr"/>
      <c r="E135">
        <f>HYPERLINK("https://www.uniprot.org/uniprotkb/Q9FJL3/entry", "Q9FJL3")</f>
        <v/>
      </c>
      <c r="F135" t="n">
        <v>28.1</v>
      </c>
      <c r="G135" t="n">
        <v>295</v>
      </c>
      <c r="H135" t="n">
        <v>7.669999999999999e-23</v>
      </c>
      <c r="I135" t="inlineStr">
        <is>
          <t>Swiss-Prot</t>
        </is>
      </c>
      <c r="J135" t="inlineStr">
        <is>
          <t>FKBP65</t>
        </is>
      </c>
      <c r="K135" t="inlineStr">
        <is>
          <t>FKB65_ARATH</t>
        </is>
      </c>
      <c r="L135" t="inlineStr">
        <is>
          <t>sp|Q9FJL3|FKB65_ARATH Peptidyl-prolyl cis-trans isomerase FKBP65 OS=Arabidopsis thaliana OX=3702 GN=FKBP65 PE=1 SV=1</t>
        </is>
      </c>
      <c r="M135" t="n">
        <v>578</v>
      </c>
      <c r="N135" t="inlineStr">
        <is>
          <t>Arabidopsis thaliana</t>
        </is>
      </c>
      <c r="O135" t="inlineStr">
        <is>
          <t>Peptidyl-prolyl cis-trans isomerase FKBP65</t>
        </is>
      </c>
    </row>
    <row r="136">
      <c r="A136" t="inlineStr"/>
      <c r="B136" t="inlineStr"/>
      <c r="C136" t="inlineStr"/>
      <c r="D136" t="inlineStr"/>
      <c r="E136">
        <f>HYPERLINK("https://www.uniprot.org/uniprotkb/Q8I4V8/entry", "Q8I4V8")</f>
        <v/>
      </c>
      <c r="F136" t="n">
        <v>29.1</v>
      </c>
      <c r="G136" t="n">
        <v>268</v>
      </c>
      <c r="H136" t="n">
        <v>9.51e-22</v>
      </c>
      <c r="I136" t="inlineStr">
        <is>
          <t>Swiss-Prot</t>
        </is>
      </c>
      <c r="J136" t="inlineStr">
        <is>
          <t>FKBP35</t>
        </is>
      </c>
      <c r="K136" t="inlineStr">
        <is>
          <t>FKB35_PLAF7</t>
        </is>
      </c>
      <c r="L136" t="inlineStr">
        <is>
          <t>sp|Q8I4V8|FKB35_PLAF7 Peptidyl-prolyl cis-trans isomerase FKBP35 OS=Plasmodium falciparum (isolate 3D7) OX=36329 GN=FKBP35 PE=1 SV=1</t>
        </is>
      </c>
      <c r="M136" t="n">
        <v>304</v>
      </c>
      <c r="N136" t="inlineStr">
        <is>
          <t>Plasmodium falciparum (isolate 3D7)</t>
        </is>
      </c>
      <c r="O136" t="inlineStr">
        <is>
          <t>Peptidyl-prolyl cis-trans isomerase FKBP35</t>
        </is>
      </c>
    </row>
    <row r="137">
      <c r="A137" t="inlineStr"/>
      <c r="B137" t="inlineStr"/>
      <c r="C137" t="inlineStr"/>
      <c r="D137" t="inlineStr"/>
      <c r="E137">
        <f>HYPERLINK("https://www.uniprot.org/uniprotkb/P0C1J7/entry", "P0C1J7")</f>
        <v/>
      </c>
      <c r="F137" t="n">
        <v>28.7</v>
      </c>
      <c r="G137" t="n">
        <v>251</v>
      </c>
      <c r="H137" t="n">
        <v>1.04e-21</v>
      </c>
      <c r="I137" t="inlineStr">
        <is>
          <t>Swiss-Prot</t>
        </is>
      </c>
      <c r="J137" t="inlineStr">
        <is>
          <t>FKBP5</t>
        </is>
      </c>
      <c r="K137" t="inlineStr">
        <is>
          <t>FKBP5_RHIO9</t>
        </is>
      </c>
      <c r="L137" t="inlineStr">
        <is>
          <t>sp|P0C1J7|FKBP5_RHIO9 FK506-binding protein 5 OS=Rhizopus delemar (strain RA 99-880 / ATCC MYA-4621 / FGSC 9543 / NRRL 43880) OX=246409 GN=FKBP5 PE=3 SV=1</t>
        </is>
      </c>
      <c r="M137" t="n">
        <v>385</v>
      </c>
      <c r="N137" t="inlineStr">
        <is>
          <t>Rhizopus delemar (strain RA 99-880 / ATCC MYA-4621 / FGSC 9543 / NRRL 43880)</t>
        </is>
      </c>
      <c r="O137" t="inlineStr">
        <is>
          <t>FK506-binding protein 5</t>
        </is>
      </c>
    </row>
    <row r="138">
      <c r="A138" t="inlineStr"/>
      <c r="B138" t="inlineStr"/>
      <c r="C138" t="inlineStr"/>
      <c r="D138" t="inlineStr"/>
      <c r="E138">
        <f>HYPERLINK("https://www.uniprot.org/uniprotkb/Q9LDC0/entry", "Q9LDC0")</f>
        <v/>
      </c>
      <c r="F138" t="n">
        <v>27.7</v>
      </c>
      <c r="G138" t="n">
        <v>282</v>
      </c>
      <c r="H138" t="n">
        <v>1.15e-21</v>
      </c>
      <c r="I138" t="inlineStr">
        <is>
          <t>Swiss-Prot</t>
        </is>
      </c>
      <c r="J138" t="inlineStr">
        <is>
          <t>FKBP42</t>
        </is>
      </c>
      <c r="K138" t="inlineStr">
        <is>
          <t>FKB42_ARATH</t>
        </is>
      </c>
      <c r="L138" t="inlineStr">
        <is>
          <t>sp|Q9LDC0|FKB42_ARATH Peptidyl-prolyl cis-trans isomerase FKBP42 OS=Arabidopsis thaliana OX=3702 GN=FKBP42 PE=1 SV=1</t>
        </is>
      </c>
      <c r="M138" t="n">
        <v>365</v>
      </c>
      <c r="N138" t="inlineStr">
        <is>
          <t>Arabidopsis thaliana</t>
        </is>
      </c>
      <c r="O138" t="inlineStr">
        <is>
          <t>Peptidyl-prolyl cis-trans isomerase FKBP42</t>
        </is>
      </c>
    </row>
    <row r="139">
      <c r="A139" t="inlineStr"/>
      <c r="B139" t="inlineStr"/>
      <c r="C139" t="inlineStr"/>
      <c r="D139" t="inlineStr"/>
      <c r="E139">
        <f>HYPERLINK("https://www.uniprot.org/uniprotkb/Q54Y27/entry", "Q54Y27")</f>
        <v/>
      </c>
      <c r="F139" t="n">
        <v>25.4</v>
      </c>
      <c r="G139" t="n">
        <v>276</v>
      </c>
      <c r="H139" t="n">
        <v>1.16e-21</v>
      </c>
      <c r="I139" t="inlineStr">
        <is>
          <t>Swiss-Prot</t>
        </is>
      </c>
      <c r="J139" t="inlineStr">
        <is>
          <t>fkbp6</t>
        </is>
      </c>
      <c r="K139" t="inlineStr">
        <is>
          <t>FKBP6_DICDI</t>
        </is>
      </c>
      <c r="L139" t="inlineStr">
        <is>
          <t>sp|Q54Y27|FKBP6_DICDI FK506-binding protein 6 OS=Dictyostelium discoideum OX=44689 GN=fkbp6 PE=3 SV=1</t>
        </is>
      </c>
      <c r="M139" t="n">
        <v>366</v>
      </c>
      <c r="N139" t="inlineStr">
        <is>
          <t>Dictyostelium discoideum</t>
        </is>
      </c>
      <c r="O139" t="inlineStr">
        <is>
          <t>FK506-binding protein 6</t>
        </is>
      </c>
    </row>
    <row r="140">
      <c r="A140" t="inlineStr"/>
      <c r="B140" t="inlineStr"/>
      <c r="C140" t="inlineStr"/>
      <c r="D140" t="inlineStr"/>
      <c r="E140">
        <f>HYPERLINK("https://www.uniprot.org/uniprotkb/Q02790/entry", "Q02790")</f>
        <v/>
      </c>
      <c r="F140" t="n">
        <v>28.6</v>
      </c>
      <c r="G140" t="n">
        <v>290</v>
      </c>
      <c r="H140" t="n">
        <v>1.6e-20</v>
      </c>
      <c r="I140" t="inlineStr">
        <is>
          <t>Swiss-Prot</t>
        </is>
      </c>
      <c r="J140" t="inlineStr">
        <is>
          <t>FKBP4</t>
        </is>
      </c>
      <c r="K140" t="inlineStr">
        <is>
          <t>FKBP4_HUMAN</t>
        </is>
      </c>
      <c r="L140" t="inlineStr">
        <is>
          <t>sp|Q02790|FKBP4_HUMAN Peptidyl-prolyl cis-trans isomerase FKBP4 OS=Homo sapiens OX=9606 GN=FKBP4 PE=1 SV=3</t>
        </is>
      </c>
      <c r="M140" t="n">
        <v>459</v>
      </c>
      <c r="N140" t="inlineStr">
        <is>
          <t>Homo sapiens</t>
        </is>
      </c>
      <c r="O140" t="inlineStr">
        <is>
          <t>Peptidyl-prolyl cis-trans isomerase FKBP4</t>
        </is>
      </c>
    </row>
    <row r="141">
      <c r="A141" t="inlineStr"/>
      <c r="B141" t="inlineStr"/>
      <c r="C141" t="inlineStr"/>
      <c r="D141" t="inlineStr"/>
      <c r="E141">
        <f>HYPERLINK("https://www.uniprot.org/uniprotkb/P30416/entry", "P30416")</f>
        <v/>
      </c>
      <c r="F141" t="n">
        <v>27.8</v>
      </c>
      <c r="G141" t="n">
        <v>291</v>
      </c>
      <c r="H141" t="n">
        <v>5.4e-20</v>
      </c>
      <c r="I141" t="inlineStr">
        <is>
          <t>Swiss-Prot</t>
        </is>
      </c>
      <c r="J141" t="inlineStr">
        <is>
          <t>Fkbp4</t>
        </is>
      </c>
      <c r="K141" t="inlineStr">
        <is>
          <t>FKBP4_MOUSE</t>
        </is>
      </c>
      <c r="L141" t="inlineStr">
        <is>
          <t>sp|P30416|FKBP4_MOUSE Peptidyl-prolyl cis-trans isomerase FKBP4 OS=Mus musculus OX=10090 GN=Fkbp4 PE=1 SV=5</t>
        </is>
      </c>
      <c r="M141" t="n">
        <v>458</v>
      </c>
      <c r="N141" t="inlineStr">
        <is>
          <t>Mus musculus</t>
        </is>
      </c>
      <c r="O141" t="inlineStr">
        <is>
          <t>Peptidyl-prolyl cis-trans isomerase FKBP4</t>
        </is>
      </c>
    </row>
    <row r="142">
      <c r="A142" t="inlineStr"/>
      <c r="B142" t="inlineStr"/>
      <c r="C142" t="inlineStr"/>
      <c r="D142" t="inlineStr"/>
      <c r="E142">
        <f>HYPERLINK("https://www.uniprot.org/uniprotkb/Q9TRY0/entry", "Q9TRY0")</f>
        <v/>
      </c>
      <c r="F142" t="n">
        <v>27.9</v>
      </c>
      <c r="G142" t="n">
        <v>290</v>
      </c>
      <c r="H142" t="n">
        <v>7.37e-20</v>
      </c>
      <c r="I142" t="inlineStr">
        <is>
          <t>Swiss-Prot</t>
        </is>
      </c>
      <c r="J142" t="inlineStr">
        <is>
          <t>FKBP4</t>
        </is>
      </c>
      <c r="K142" t="inlineStr">
        <is>
          <t>FKBP4_BOVIN</t>
        </is>
      </c>
      <c r="L142" t="inlineStr">
        <is>
          <t>sp|Q9TRY0|FKBP4_BOVIN Peptidyl-prolyl cis-trans isomerase FKBP4 OS=Bos taurus OX=9913 GN=FKBP4 PE=1 SV=4</t>
        </is>
      </c>
      <c r="M142" t="n">
        <v>459</v>
      </c>
      <c r="N142" t="inlineStr">
        <is>
          <t>Bos taurus</t>
        </is>
      </c>
      <c r="O142" t="inlineStr">
        <is>
          <t>Peptidyl-prolyl cis-trans isomerase FKBP4</t>
        </is>
      </c>
    </row>
    <row r="143">
      <c r="A143" t="inlineStr"/>
      <c r="B143" t="inlineStr"/>
      <c r="C143" t="inlineStr"/>
      <c r="D143" t="inlineStr"/>
      <c r="E143">
        <f>HYPERLINK("https://www.uniprot.org/uniprotkb/Q9XT11/entry", "Q9XT11")</f>
        <v/>
      </c>
      <c r="F143" t="n">
        <v>23.9</v>
      </c>
      <c r="G143" t="n">
        <v>401</v>
      </c>
      <c r="H143" t="n">
        <v>1.34e-19</v>
      </c>
      <c r="I143" t="inlineStr">
        <is>
          <t>Swiss-Prot</t>
        </is>
      </c>
      <c r="J143" t="inlineStr">
        <is>
          <t>FKBP5</t>
        </is>
      </c>
      <c r="K143" t="inlineStr">
        <is>
          <t>FKBP5_AOTNA</t>
        </is>
      </c>
      <c r="L143" t="inlineStr">
        <is>
          <t>sp|Q9XT11|FKBP5_AOTNA Peptidyl-prolyl cis-trans isomerase FKBP5 OS=Aotus nancymaae OX=37293 GN=FKBP5 PE=2 SV=2</t>
        </is>
      </c>
      <c r="M143" t="n">
        <v>457</v>
      </c>
      <c r="N143" t="inlineStr">
        <is>
          <t>Aotus nancymaae</t>
        </is>
      </c>
      <c r="O143" t="inlineStr">
        <is>
          <t>Peptidyl-prolyl cis-trans isomerase FKBP5</t>
        </is>
      </c>
    </row>
    <row r="144">
      <c r="A144" t="inlineStr"/>
      <c r="B144" t="inlineStr"/>
      <c r="C144" t="inlineStr"/>
      <c r="D144" t="inlineStr"/>
      <c r="E144">
        <f>HYPERLINK("https://www.uniprot.org/uniprotkb/P27124/entry", "P27124")</f>
        <v/>
      </c>
      <c r="F144" t="n">
        <v>27.6</v>
      </c>
      <c r="G144" t="n">
        <v>290</v>
      </c>
      <c r="H144" t="n">
        <v>1.83e-19</v>
      </c>
      <c r="I144" t="inlineStr">
        <is>
          <t>Swiss-Prot</t>
        </is>
      </c>
      <c r="J144" t="inlineStr">
        <is>
          <t>FKBP4</t>
        </is>
      </c>
      <c r="K144" t="inlineStr">
        <is>
          <t>FKBP4_RABIT</t>
        </is>
      </c>
      <c r="L144" t="inlineStr">
        <is>
          <t>sp|P27124|FKBP4_RABIT Peptidyl-prolyl cis-trans isomerase FKBP4 OS=Oryctolagus cuniculus OX=9986 GN=FKBP4 PE=1 SV=3</t>
        </is>
      </c>
      <c r="M144" t="n">
        <v>458</v>
      </c>
      <c r="N144" t="inlineStr">
        <is>
          <t>Oryctolagus cuniculus</t>
        </is>
      </c>
      <c r="O144" t="inlineStr">
        <is>
          <t>Peptidyl-prolyl cis-trans isomerase FKBP4</t>
        </is>
      </c>
    </row>
    <row r="145">
      <c r="A145" t="inlineStr"/>
      <c r="B145" t="inlineStr"/>
      <c r="C145" t="inlineStr"/>
      <c r="D145" t="inlineStr"/>
      <c r="E145">
        <f>HYPERLINK("https://www.uniprot.org/uniprotkb/Q13451/entry", "Q13451")</f>
        <v/>
      </c>
      <c r="F145" t="n">
        <v>23.6</v>
      </c>
      <c r="G145" t="n">
        <v>407</v>
      </c>
      <c r="H145" t="n">
        <v>2.47e-19</v>
      </c>
      <c r="I145" t="inlineStr">
        <is>
          <t>Swiss-Prot</t>
        </is>
      </c>
      <c r="J145" t="inlineStr">
        <is>
          <t>FKBP5</t>
        </is>
      </c>
      <c r="K145" t="inlineStr">
        <is>
          <t>FKBP5_HUMAN</t>
        </is>
      </c>
      <c r="L145" t="inlineStr">
        <is>
          <t>sp|Q13451|FKBP5_HUMAN Peptidyl-prolyl cis-trans isomerase FKBP5 OS=Homo sapiens OX=9606 GN=FKBP5 PE=1 SV=2</t>
        </is>
      </c>
      <c r="M145" t="n">
        <v>457</v>
      </c>
      <c r="N145" t="inlineStr">
        <is>
          <t>Homo sapiens</t>
        </is>
      </c>
      <c r="O145" t="inlineStr">
        <is>
          <t>Peptidyl-prolyl cis-trans isomerase FKBP5</t>
        </is>
      </c>
    </row>
    <row r="146">
      <c r="A146" t="inlineStr"/>
      <c r="B146" t="inlineStr"/>
      <c r="C146" t="inlineStr"/>
      <c r="D146" t="inlineStr"/>
      <c r="E146">
        <f>HYPERLINK("https://www.uniprot.org/uniprotkb/Q9XSH5/entry", "Q9XSH5")</f>
        <v/>
      </c>
      <c r="F146" t="n">
        <v>23.9</v>
      </c>
      <c r="G146" t="n">
        <v>401</v>
      </c>
      <c r="H146" t="n">
        <v>3.34e-19</v>
      </c>
      <c r="I146" t="inlineStr">
        <is>
          <t>Swiss-Prot</t>
        </is>
      </c>
      <c r="J146" t="inlineStr">
        <is>
          <t>FKBP5</t>
        </is>
      </c>
      <c r="K146" t="inlineStr">
        <is>
          <t>FKBP5_SAIBB</t>
        </is>
      </c>
      <c r="L146" t="inlineStr">
        <is>
          <t>sp|Q9XSH5|FKBP5_SAIBB Peptidyl-prolyl cis-trans isomerase FKBP5 OS=Saimiri boliviensis boliviensis OX=39432 GN=FKBP5 PE=1 SV=1</t>
        </is>
      </c>
      <c r="M146" t="n">
        <v>457</v>
      </c>
      <c r="N146" t="inlineStr">
        <is>
          <t>Saimiri boliviensis boliviensis</t>
        </is>
      </c>
      <c r="O146" t="inlineStr">
        <is>
          <t>Peptidyl-prolyl cis-trans isomerase FKBP5</t>
        </is>
      </c>
    </row>
    <row r="147">
      <c r="A147" t="inlineStr"/>
      <c r="B147" t="inlineStr"/>
      <c r="C147" t="inlineStr"/>
      <c r="D147" t="inlineStr"/>
      <c r="E147">
        <f>HYPERLINK("https://www.uniprot.org/uniprotkb/Q95L05/entry", "Q95L05")</f>
        <v/>
      </c>
      <c r="F147" t="n">
        <v>23.3</v>
      </c>
      <c r="G147" t="n">
        <v>407</v>
      </c>
      <c r="H147" t="n">
        <v>1.12e-18</v>
      </c>
      <c r="I147" t="inlineStr">
        <is>
          <t>Swiss-Prot</t>
        </is>
      </c>
      <c r="J147" t="inlineStr">
        <is>
          <t>FKBP5</t>
        </is>
      </c>
      <c r="K147" t="inlineStr">
        <is>
          <t>FKBP5_CHLAE</t>
        </is>
      </c>
      <c r="L147" t="inlineStr">
        <is>
          <t>sp|Q95L05|FKBP5_CHLAE Peptidyl-prolyl cis-trans isomerase FKBP5 OS=Chlorocebus aethiops OX=9534 GN=FKBP5 PE=2 SV=1</t>
        </is>
      </c>
      <c r="M147" t="n">
        <v>457</v>
      </c>
      <c r="N147" t="inlineStr">
        <is>
          <t>Chlorocebus aethiops</t>
        </is>
      </c>
      <c r="O147" t="inlineStr">
        <is>
          <t>Peptidyl-prolyl cis-trans isomerase FKBP5</t>
        </is>
      </c>
    </row>
    <row r="148">
      <c r="A148" t="inlineStr"/>
      <c r="B148" t="inlineStr"/>
      <c r="C148" t="inlineStr"/>
      <c r="D148" t="inlineStr"/>
      <c r="E148">
        <f>HYPERLINK("https://www.uniprot.org/uniprotkb/Q9XSI2/entry", "Q9XSI2")</f>
        <v/>
      </c>
      <c r="F148" t="n">
        <v>23.7</v>
      </c>
      <c r="G148" t="n">
        <v>401</v>
      </c>
      <c r="H148" t="n">
        <v>1.12e-18</v>
      </c>
      <c r="I148" t="inlineStr">
        <is>
          <t>Swiss-Prot</t>
        </is>
      </c>
      <c r="J148" t="inlineStr">
        <is>
          <t>FKBP5</t>
        </is>
      </c>
      <c r="K148" t="inlineStr">
        <is>
          <t>FKBP5_SAGOE</t>
        </is>
      </c>
      <c r="L148" t="inlineStr">
        <is>
          <t>sp|Q9XSI2|FKBP5_SAGOE Peptidyl-prolyl cis-trans isomerase FKBP5 OS=Saguinus oedipus OX=9490 GN=FKBP5 PE=2 SV=2</t>
        </is>
      </c>
      <c r="M148" t="n">
        <v>457</v>
      </c>
      <c r="N148" t="inlineStr">
        <is>
          <t>Saguinus oedipus</t>
        </is>
      </c>
      <c r="O148" t="inlineStr">
        <is>
          <t>Peptidyl-prolyl cis-trans isomerase FKBP5</t>
        </is>
      </c>
    </row>
    <row r="149">
      <c r="A149" t="inlineStr"/>
      <c r="B149" t="inlineStr"/>
      <c r="C149" t="inlineStr"/>
      <c r="D149" t="inlineStr"/>
      <c r="E149">
        <f>HYPERLINK("https://www.uniprot.org/uniprotkb/Q5RF88/entry", "Q5RF88")</f>
        <v/>
      </c>
      <c r="F149" t="n">
        <v>23.3</v>
      </c>
      <c r="G149" t="n">
        <v>407</v>
      </c>
      <c r="H149" t="n">
        <v>2.06e-18</v>
      </c>
      <c r="I149" t="inlineStr">
        <is>
          <t>Swiss-Prot</t>
        </is>
      </c>
      <c r="J149" t="inlineStr">
        <is>
          <t>FKBP5</t>
        </is>
      </c>
      <c r="K149" t="inlineStr">
        <is>
          <t>FKBP5_PONAB</t>
        </is>
      </c>
      <c r="L149" t="inlineStr">
        <is>
          <t>sp|Q5RF88|FKBP5_PONAB Peptidyl-prolyl cis-trans isomerase FKBP5 OS=Pongo abelii OX=9601 GN=FKBP5 PE=2 SV=1</t>
        </is>
      </c>
      <c r="M149" t="n">
        <v>457</v>
      </c>
      <c r="N149" t="inlineStr">
        <is>
          <t>Pongo abelii</t>
        </is>
      </c>
      <c r="O149" t="inlineStr">
        <is>
          <t>Peptidyl-prolyl cis-trans isomerase FKBP5</t>
        </is>
      </c>
    </row>
    <row r="150">
      <c r="A150" t="inlineStr"/>
      <c r="B150" t="inlineStr"/>
      <c r="C150" t="inlineStr"/>
      <c r="D150" t="inlineStr"/>
      <c r="E150">
        <f>HYPERLINK("https://www.uniprot.org/uniprotkb/Q9QVC8/entry", "Q9QVC8")</f>
        <v/>
      </c>
      <c r="F150" t="n">
        <v>27.5</v>
      </c>
      <c r="G150" t="n">
        <v>291</v>
      </c>
      <c r="H150" t="n">
        <v>2.07e-18</v>
      </c>
      <c r="I150" t="inlineStr">
        <is>
          <t>Swiss-Prot</t>
        </is>
      </c>
      <c r="J150" t="inlineStr">
        <is>
          <t>Fkbp4</t>
        </is>
      </c>
      <c r="K150" t="inlineStr">
        <is>
          <t>FKBP4_RAT</t>
        </is>
      </c>
      <c r="L150" t="inlineStr">
        <is>
          <t>sp|Q9QVC8|FKBP4_RAT Peptidyl-prolyl cis-trans isomerase FKBP4 OS=Rattus norvegicus OX=10116 GN=Fkbp4 PE=1 SV=3</t>
        </is>
      </c>
      <c r="M150" t="n">
        <v>458</v>
      </c>
      <c r="N150" t="inlineStr">
        <is>
          <t>Rattus norvegicus</t>
        </is>
      </c>
      <c r="O150" t="inlineStr">
        <is>
          <t>Peptidyl-prolyl cis-trans isomerase FKBP4</t>
        </is>
      </c>
    </row>
    <row r="151">
      <c r="A151" t="inlineStr"/>
      <c r="B151" t="inlineStr"/>
      <c r="C151" t="inlineStr"/>
      <c r="D151" t="inlineStr"/>
      <c r="E151">
        <f>HYPERLINK("https://www.uniprot.org/uniprotkb/Q38931/entry", "Q38931")</f>
        <v/>
      </c>
      <c r="F151" t="n">
        <v>25.3</v>
      </c>
      <c r="G151" t="n">
        <v>312</v>
      </c>
      <c r="H151" t="n">
        <v>2.15e-17</v>
      </c>
      <c r="I151" t="inlineStr">
        <is>
          <t>Swiss-Prot</t>
        </is>
      </c>
      <c r="J151" t="inlineStr">
        <is>
          <t>FKBP62</t>
        </is>
      </c>
      <c r="K151" t="inlineStr">
        <is>
          <t>FKB62_ARATH</t>
        </is>
      </c>
      <c r="L151" t="inlineStr">
        <is>
          <t>sp|Q38931|FKB62_ARATH Peptidyl-prolyl cis-trans isomerase FKBP62 OS=Arabidopsis thaliana OX=3702 GN=FKBP62 PE=1 SV=2</t>
        </is>
      </c>
      <c r="M151" t="n">
        <v>551</v>
      </c>
      <c r="N151" t="inlineStr">
        <is>
          <t>Arabidopsis thaliana</t>
        </is>
      </c>
      <c r="O151" t="inlineStr">
        <is>
          <t>Peptidyl-prolyl cis-trans isomerase FKBP62</t>
        </is>
      </c>
    </row>
    <row r="152">
      <c r="A152" t="inlineStr">
        <is>
          <t>NODE_101191_length_1650_cov_9.495262_g39455_i0</t>
        </is>
      </c>
      <c r="B152" t="inlineStr">
        <is>
          <t>bombina_pachypus_blastx</t>
        </is>
      </c>
      <c r="C152" t="n">
        <v>-5.88886617918834</v>
      </c>
      <c r="D152" t="n">
        <v>0.0365293359981099</v>
      </c>
      <c r="E152">
        <f>HYPERLINK("https://www.uniprot.org/uniprotkb/A0A8C5QRW1/entry", "A0A8C5QRW1")</f>
        <v/>
      </c>
      <c r="F152" t="n">
        <v>37.9</v>
      </c>
      <c r="G152" t="n">
        <v>190</v>
      </c>
      <c r="H152" t="n">
        <v>6.73e-33</v>
      </c>
      <c r="I152" t="inlineStr">
        <is>
          <t>TrEMBL</t>
        </is>
      </c>
      <c r="J152" t="inlineStr"/>
      <c r="K152" t="inlineStr">
        <is>
          <t>A0A8C5QRW1_9ANUR</t>
        </is>
      </c>
      <c r="L152" t="inlineStr">
        <is>
          <t>tr|A0A8C5QRW1|A0A8C5QRW1_9ANUR Tick transposon OS=Leptobrachium leishanense OX=445787 PE=4 SV=1</t>
        </is>
      </c>
      <c r="M152" t="n">
        <v>257</v>
      </c>
      <c r="N152" t="inlineStr">
        <is>
          <t>Leptobrachium leishanense</t>
        </is>
      </c>
      <c r="O152" t="inlineStr">
        <is>
          <t>Tick transposon</t>
        </is>
      </c>
    </row>
    <row r="153">
      <c r="A153" t="inlineStr"/>
      <c r="B153" t="inlineStr"/>
      <c r="C153" t="inlineStr"/>
      <c r="D153" t="inlineStr"/>
      <c r="E153">
        <f>HYPERLINK("https://www.ncbi.nlm.nih.gov/gene/?term=OCT56386.1", "OCT56386.1")</f>
        <v/>
      </c>
      <c r="F153" t="n">
        <v>35.7</v>
      </c>
      <c r="G153" t="n">
        <v>210</v>
      </c>
      <c r="H153" t="n">
        <v>1e-32</v>
      </c>
      <c r="I153" t="inlineStr">
        <is>
          <t>Nr</t>
        </is>
      </c>
      <c r="J153" t="inlineStr"/>
      <c r="K153" t="inlineStr"/>
      <c r="L153" t="inlineStr">
        <is>
          <t>OCT56386.1 hypothetical protein XELAEV_18000164mg [Xenopus laevis]</t>
        </is>
      </c>
      <c r="M153" t="n">
        <v>701</v>
      </c>
      <c r="N153" t="inlineStr">
        <is>
          <t>Xenopus laevis</t>
        </is>
      </c>
      <c r="O153" t="inlineStr">
        <is>
          <t>hypothetical protein XELAEV_18000164mg</t>
        </is>
      </c>
    </row>
    <row r="154">
      <c r="A154" t="inlineStr"/>
      <c r="B154" t="inlineStr"/>
      <c r="C154" t="inlineStr"/>
      <c r="D154" t="inlineStr"/>
      <c r="E154">
        <f>HYPERLINK("https://www.ncbi.nlm.nih.gov/gene/?term=KAI7800009.1", "KAI7800009.1")</f>
        <v/>
      </c>
      <c r="F154" t="n">
        <v>33.3</v>
      </c>
      <c r="G154" t="n">
        <v>216</v>
      </c>
      <c r="H154" t="n">
        <v>2.14e-32</v>
      </c>
      <c r="I154" t="inlineStr">
        <is>
          <t>Nr</t>
        </is>
      </c>
      <c r="J154" t="inlineStr"/>
      <c r="K154" t="inlineStr"/>
      <c r="L154" t="inlineStr">
        <is>
          <t>KAI7800009.1 putative LINE-1 type transposase domain-containing protein 1-like [Triplophysa rosa]</t>
        </is>
      </c>
      <c r="M154" t="n">
        <v>295</v>
      </c>
      <c r="N154" t="inlineStr">
        <is>
          <t>Triplophysa rosa</t>
        </is>
      </c>
      <c r="O154" t="inlineStr">
        <is>
          <t>putative LINE-1 type transposase domain-containing protein 1-like</t>
        </is>
      </c>
    </row>
    <row r="155">
      <c r="A155" t="inlineStr"/>
      <c r="B155" t="inlineStr"/>
      <c r="C155" t="inlineStr"/>
      <c r="D155" t="inlineStr"/>
      <c r="E155">
        <f>HYPERLINK("https://www.uniprot.org/uniprotkb/A0A3Q3E900/entry", "A0A3Q3E900")</f>
        <v/>
      </c>
      <c r="F155" t="n">
        <v>34</v>
      </c>
      <c r="G155" t="n">
        <v>244</v>
      </c>
      <c r="H155" t="n">
        <v>2.7e-32</v>
      </c>
      <c r="I155" t="inlineStr">
        <is>
          <t>TrEMBL</t>
        </is>
      </c>
      <c r="J155" t="inlineStr"/>
      <c r="K155" t="inlineStr">
        <is>
          <t>A0A3Q3E900_9LABR</t>
        </is>
      </c>
      <c r="L155" t="inlineStr">
        <is>
          <t>tr|A0A3Q3E900|A0A3Q3E900_9LABR Transposase_22 domain-containing protein OS=Labrus bergylta OX=56723 PE=4 SV=1</t>
        </is>
      </c>
      <c r="M155" t="n">
        <v>258</v>
      </c>
      <c r="N155" t="inlineStr">
        <is>
          <t>Labrus bergylta</t>
        </is>
      </c>
      <c r="O155" t="inlineStr">
        <is>
          <t>Transposase_22 domain-containing protein</t>
        </is>
      </c>
    </row>
    <row r="156">
      <c r="A156" t="inlineStr"/>
      <c r="B156" t="inlineStr"/>
      <c r="C156" t="inlineStr"/>
      <c r="D156" t="inlineStr"/>
      <c r="E156">
        <f>HYPERLINK("https://www.ncbi.nlm.nih.gov/gene/?term=CAI5677114.1", "CAI5677114.1")</f>
        <v/>
      </c>
      <c r="F156" t="n">
        <v>35.7</v>
      </c>
      <c r="G156" t="n">
        <v>227</v>
      </c>
      <c r="H156" t="n">
        <v>2.8e-32</v>
      </c>
      <c r="I156" t="inlineStr">
        <is>
          <t>Nr</t>
        </is>
      </c>
      <c r="J156" t="inlineStr"/>
      <c r="K156" t="inlineStr"/>
      <c r="L156" t="inlineStr">
        <is>
          <t>CAI5677114.1 unnamed protein product [Mustela putorius furo]</t>
        </is>
      </c>
      <c r="M156" t="n">
        <v>292</v>
      </c>
      <c r="N156" t="inlineStr">
        <is>
          <t>Mustela putorius furo</t>
        </is>
      </c>
      <c r="O156" t="inlineStr">
        <is>
          <t>unnamed protein product</t>
        </is>
      </c>
    </row>
    <row r="157">
      <c r="A157" t="inlineStr"/>
      <c r="B157" t="inlineStr"/>
      <c r="C157" t="inlineStr"/>
      <c r="D157" t="inlineStr"/>
      <c r="E157">
        <f>HYPERLINK("https://www.uniprot.org/uniprotkb/A0A8C5PCI5/entry", "A0A8C5PCI5")</f>
        <v/>
      </c>
      <c r="F157" t="n">
        <v>37.7</v>
      </c>
      <c r="G157" t="n">
        <v>207</v>
      </c>
      <c r="H157" t="n">
        <v>3.94e-32</v>
      </c>
      <c r="I157" t="inlineStr">
        <is>
          <t>TrEMBL</t>
        </is>
      </c>
      <c r="J157" t="inlineStr"/>
      <c r="K157" t="inlineStr">
        <is>
          <t>A0A8C5PCI5_9ANUR</t>
        </is>
      </c>
      <c r="L157" t="inlineStr">
        <is>
          <t>tr|A0A8C5PCI5|A0A8C5PCI5_9ANUR LINE-1 type transposase domain-containing 1 OS=Leptobrachium leishanense OX=445787 PE=4 SV=1</t>
        </is>
      </c>
      <c r="M157" t="n">
        <v>304</v>
      </c>
      <c r="N157" t="inlineStr">
        <is>
          <t>Leptobrachium leishanense</t>
        </is>
      </c>
      <c r="O157" t="inlineStr">
        <is>
          <t>LINE-1 type transposase domain-containing 1</t>
        </is>
      </c>
    </row>
    <row r="158">
      <c r="A158" t="inlineStr"/>
      <c r="B158" t="inlineStr"/>
      <c r="C158" t="inlineStr"/>
      <c r="D158" t="inlineStr"/>
      <c r="E158">
        <f>HYPERLINK("https://www.uniprot.org/uniprotkb/A0A3Q4G716/entry", "A0A3Q4G716")</f>
        <v/>
      </c>
      <c r="F158" t="n">
        <v>40.1</v>
      </c>
      <c r="G158" t="n">
        <v>182</v>
      </c>
      <c r="H158" t="n">
        <v>7.320000000000001e-31</v>
      </c>
      <c r="I158" t="inlineStr">
        <is>
          <t>TrEMBL</t>
        </is>
      </c>
      <c r="J158" t="inlineStr"/>
      <c r="K158" t="inlineStr">
        <is>
          <t>A0A3Q4G716_NEOBR</t>
        </is>
      </c>
      <c r="L158" t="inlineStr">
        <is>
          <t>tr|A0A3Q4G716|A0A3Q4G716_NEOBR t-SNARE coiled-coil homology domain-containing protein OS=Neolamprologus brichardi OX=32507 PE=4 SV=1</t>
        </is>
      </c>
      <c r="M158" t="n">
        <v>298</v>
      </c>
      <c r="N158" t="inlineStr">
        <is>
          <t>Neolamprologus brichardi</t>
        </is>
      </c>
      <c r="O158" t="inlineStr">
        <is>
          <t>t-SNARE coiled-coil homology domain-containing protein</t>
        </is>
      </c>
    </row>
    <row r="159">
      <c r="A159" t="inlineStr"/>
      <c r="B159" t="inlineStr"/>
      <c r="C159" t="inlineStr"/>
      <c r="D159" t="inlineStr"/>
      <c r="E159">
        <f>HYPERLINK("https://www.uniprot.org/uniprotkb/A0A3Q2W1E0/entry", "A0A3Q2W1E0")</f>
        <v/>
      </c>
      <c r="F159" t="n">
        <v>41.7</v>
      </c>
      <c r="G159" t="n">
        <v>204</v>
      </c>
      <c r="H159" t="n">
        <v>7.64e-31</v>
      </c>
      <c r="I159" t="inlineStr">
        <is>
          <t>TrEMBL</t>
        </is>
      </c>
      <c r="J159" t="inlineStr"/>
      <c r="K159" t="inlineStr">
        <is>
          <t>A0A3Q2W1E0_HAPBU</t>
        </is>
      </c>
      <c r="L159" t="inlineStr">
        <is>
          <t>tr|A0A3Q2W1E0|A0A3Q2W1E0_HAPBU LINE-1 type transposase domain-containing protein 1 OS=Haplochromis burtoni OX=8153 PE=4 SV=1</t>
        </is>
      </c>
      <c r="M159" t="n">
        <v>255</v>
      </c>
      <c r="N159" t="inlineStr">
        <is>
          <t>Haplochromis burtoni</t>
        </is>
      </c>
      <c r="O159" t="inlineStr">
        <is>
          <t>LINE-1 type transposase domain-containing protein 1</t>
        </is>
      </c>
    </row>
    <row r="160">
      <c r="A160" t="inlineStr"/>
      <c r="B160" t="inlineStr"/>
      <c r="C160" t="inlineStr"/>
      <c r="D160" t="inlineStr"/>
      <c r="E160">
        <f>HYPERLINK("https://www.ncbi.nlm.nih.gov/gene/?term=CAI5668473.1", "CAI5668473.1")</f>
        <v/>
      </c>
      <c r="F160" t="n">
        <v>36.5</v>
      </c>
      <c r="G160" t="n">
        <v>200</v>
      </c>
      <c r="H160" t="n">
        <v>7.97e-31</v>
      </c>
      <c r="I160" t="inlineStr">
        <is>
          <t>Nr</t>
        </is>
      </c>
      <c r="J160" t="inlineStr"/>
      <c r="K160" t="inlineStr"/>
      <c r="L160" t="inlineStr">
        <is>
          <t>CAI5668473.1 unnamed protein product [Mustela putorius furo]</t>
        </is>
      </c>
      <c r="M160" t="n">
        <v>246</v>
      </c>
      <c r="N160" t="inlineStr">
        <is>
          <t>Mustela putorius furo</t>
        </is>
      </c>
      <c r="O160" t="inlineStr">
        <is>
          <t>unnamed protein product</t>
        </is>
      </c>
    </row>
    <row r="161">
      <c r="A161" t="inlineStr"/>
      <c r="B161" t="inlineStr"/>
      <c r="C161" t="inlineStr"/>
      <c r="D161" t="inlineStr"/>
      <c r="E161">
        <f>HYPERLINK("https://www.uniprot.org/uniprotkb/A0A6P8QRS5/entry", "A0A6P8QRS5")</f>
        <v/>
      </c>
      <c r="F161" t="n">
        <v>34.8</v>
      </c>
      <c r="G161" t="n">
        <v>201</v>
      </c>
      <c r="H161" t="n">
        <v>1.05e-30</v>
      </c>
      <c r="I161" t="inlineStr">
        <is>
          <t>TrEMBL</t>
        </is>
      </c>
      <c r="J161" t="inlineStr">
        <is>
          <t>LOC117360313</t>
        </is>
      </c>
      <c r="K161" t="inlineStr">
        <is>
          <t>A0A6P8QRS5_GEOSA</t>
        </is>
      </c>
      <c r="L161" t="inlineStr">
        <is>
          <t>tr|A0A6P8QRS5|A0A6P8QRS5_GEOSA uncharacterized protein LOC117360313 OS=Geotrypetes seraphini OX=260995 GN=LOC117360313 PE=4 SV=1</t>
        </is>
      </c>
      <c r="M161" t="n">
        <v>1573</v>
      </c>
      <c r="N161" t="inlineStr">
        <is>
          <t>Geotrypetes seraphini</t>
        </is>
      </c>
      <c r="O161" t="inlineStr">
        <is>
          <t>uncharacterized protein LOC117360313</t>
        </is>
      </c>
    </row>
    <row r="162">
      <c r="A162" t="inlineStr"/>
      <c r="B162" t="inlineStr"/>
      <c r="C162" t="inlineStr"/>
      <c r="D162" t="inlineStr"/>
      <c r="E162">
        <f>HYPERLINK("https://www.uniprot.org/uniprotkb/A0A668RRU2/entry", "A0A668RRU2")</f>
        <v/>
      </c>
      <c r="F162" t="n">
        <v>41.1</v>
      </c>
      <c r="G162" t="n">
        <v>192</v>
      </c>
      <c r="H162" t="n">
        <v>1.06e-30</v>
      </c>
      <c r="I162" t="inlineStr">
        <is>
          <t>TrEMBL</t>
        </is>
      </c>
      <c r="J162" t="inlineStr"/>
      <c r="K162" t="inlineStr">
        <is>
          <t>A0A668RRU2_OREAU</t>
        </is>
      </c>
      <c r="L162" t="inlineStr">
        <is>
          <t>tr|A0A668RRU2|A0A668RRU2_OREAU LINE-1 type transposase domain-containing protein 1 OS=Oreochromis aureus OX=47969 PE=4 SV=1</t>
        </is>
      </c>
      <c r="M162" t="n">
        <v>350</v>
      </c>
      <c r="N162" t="inlineStr">
        <is>
          <t>Oreochromis aureus</t>
        </is>
      </c>
      <c r="O162" t="inlineStr">
        <is>
          <t>LINE-1 type transposase domain-containing protein 1</t>
        </is>
      </c>
    </row>
    <row r="163">
      <c r="A163" t="inlineStr"/>
      <c r="B163" t="inlineStr"/>
      <c r="C163" t="inlineStr"/>
      <c r="D163" t="inlineStr"/>
      <c r="E163">
        <f>HYPERLINK("https://www.uniprot.org/uniprotkb/A0A8C5Q8A4/entry", "A0A8C5Q8A4")</f>
        <v/>
      </c>
      <c r="F163" t="n">
        <v>37</v>
      </c>
      <c r="G163" t="n">
        <v>189</v>
      </c>
      <c r="H163" t="n">
        <v>1.62e-30</v>
      </c>
      <c r="I163" t="inlineStr">
        <is>
          <t>TrEMBL</t>
        </is>
      </c>
      <c r="J163" t="inlineStr"/>
      <c r="K163" t="inlineStr">
        <is>
          <t>A0A8C5Q8A4_9ANUR</t>
        </is>
      </c>
      <c r="L163" t="inlineStr">
        <is>
          <t>tr|A0A8C5Q8A4|A0A8C5Q8A4_9ANUR LINE-1 type transposase domain-containing 1 OS=Leptobrachium leishanense OX=445787 PE=4 SV=1</t>
        </is>
      </c>
      <c r="M163" t="n">
        <v>258</v>
      </c>
      <c r="N163" t="inlineStr">
        <is>
          <t>Leptobrachium leishanense</t>
        </is>
      </c>
      <c r="O163" t="inlineStr">
        <is>
          <t>LINE-1 type transposase domain-containing 1</t>
        </is>
      </c>
    </row>
    <row r="164">
      <c r="A164" t="inlineStr"/>
      <c r="B164" t="inlineStr"/>
      <c r="C164" t="inlineStr"/>
      <c r="D164" t="inlineStr"/>
      <c r="E164">
        <f>HYPERLINK("https://www.ncbi.nlm.nih.gov/gene/?term=XP_033799899.1", "XP_033799899.1")</f>
        <v/>
      </c>
      <c r="F164" t="n">
        <v>34.8</v>
      </c>
      <c r="G164" t="n">
        <v>201</v>
      </c>
      <c r="H164" t="n">
        <v>2.7e-30</v>
      </c>
      <c r="I164" t="inlineStr">
        <is>
          <t>Nr</t>
        </is>
      </c>
      <c r="J164" t="inlineStr"/>
      <c r="K164" t="inlineStr"/>
      <c r="L164" t="inlineStr">
        <is>
          <t>XP_033799899.1 uncharacterized protein LOC117360313 [Geotrypetes seraphini]</t>
        </is>
      </c>
      <c r="M164" t="n">
        <v>1573</v>
      </c>
      <c r="N164" t="inlineStr">
        <is>
          <t>Geotrypetes seraphini</t>
        </is>
      </c>
      <c r="O164" t="inlineStr">
        <is>
          <t>uncharacterized protein LOC117360313</t>
        </is>
      </c>
    </row>
    <row r="165">
      <c r="A165" t="inlineStr"/>
      <c r="B165" t="inlineStr"/>
      <c r="C165" t="inlineStr"/>
      <c r="D165" t="inlineStr"/>
      <c r="E165">
        <f>HYPERLINK("https://www.uniprot.org/uniprotkb/A0A3B4F3U7/entry", "A0A3B4F3U7")</f>
        <v/>
      </c>
      <c r="F165" t="n">
        <v>40.6</v>
      </c>
      <c r="G165" t="n">
        <v>192</v>
      </c>
      <c r="H165" t="n">
        <v>2.9e-30</v>
      </c>
      <c r="I165" t="inlineStr">
        <is>
          <t>TrEMBL</t>
        </is>
      </c>
      <c r="J165" t="inlineStr"/>
      <c r="K165" t="inlineStr">
        <is>
          <t>A0A3B4F3U7_9CICH</t>
        </is>
      </c>
      <c r="L165" t="inlineStr">
        <is>
          <t>tr|A0A3B4F3U7|A0A3B4F3U7_9CICH Transposase_22 domain-containing protein OS=Pundamilia nyererei OX=303518 PE=4 SV=1</t>
        </is>
      </c>
      <c r="M165" t="n">
        <v>299</v>
      </c>
      <c r="N165" t="inlineStr">
        <is>
          <t>Pundamilia nyererei</t>
        </is>
      </c>
      <c r="O165" t="inlineStr">
        <is>
          <t>Transposase_22 domain-containing protein</t>
        </is>
      </c>
    </row>
    <row r="166">
      <c r="A166" t="inlineStr"/>
      <c r="B166" t="inlineStr"/>
      <c r="C166" t="inlineStr"/>
      <c r="D166" t="inlineStr"/>
      <c r="E166">
        <f>HYPERLINK("https://www.uniprot.org/uniprotkb/A0A3P9AVZ3/entry", "A0A3P9AVZ3")</f>
        <v/>
      </c>
      <c r="F166" t="n">
        <v>43.3</v>
      </c>
      <c r="G166" t="n">
        <v>171</v>
      </c>
      <c r="H166" t="n">
        <v>6.47e-30</v>
      </c>
      <c r="I166" t="inlineStr">
        <is>
          <t>TrEMBL</t>
        </is>
      </c>
      <c r="J166" t="inlineStr"/>
      <c r="K166" t="inlineStr">
        <is>
          <t>A0A3P9AVZ3_9CICH</t>
        </is>
      </c>
      <c r="L166" t="inlineStr">
        <is>
          <t>tr|A0A3P9AVZ3|A0A3P9AVZ3_9CICH LINE-1 type transposase domain-containing protein 1 OS=Maylandia zebra OX=106582 PE=4 SV=1</t>
        </is>
      </c>
      <c r="M166" t="n">
        <v>204</v>
      </c>
      <c r="N166" t="inlineStr">
        <is>
          <t>Maylandia zebra</t>
        </is>
      </c>
      <c r="O166" t="inlineStr">
        <is>
          <t>LINE-1 type transposase domain-containing protein 1</t>
        </is>
      </c>
    </row>
    <row r="167">
      <c r="A167" t="inlineStr"/>
      <c r="B167" t="inlineStr"/>
      <c r="C167" t="inlineStr"/>
      <c r="D167" t="inlineStr"/>
      <c r="E167">
        <f>HYPERLINK("https://www.uniprot.org/uniprotkb/A0A8C5QXN8/entry", "A0A8C5QXN8")</f>
        <v/>
      </c>
      <c r="F167" t="n">
        <v>37</v>
      </c>
      <c r="G167" t="n">
        <v>189</v>
      </c>
      <c r="H167" t="n">
        <v>1.32e-29</v>
      </c>
      <c r="I167" t="inlineStr">
        <is>
          <t>TrEMBL</t>
        </is>
      </c>
      <c r="J167" t="inlineStr"/>
      <c r="K167" t="inlineStr">
        <is>
          <t>A0A8C5QXN8_9ANUR</t>
        </is>
      </c>
      <c r="L167" t="inlineStr">
        <is>
          <t>tr|A0A8C5QXN8|A0A8C5QXN8_9ANUR LINE-1 retrotransposable element ORF1 protein OS=Leptobrachium leishanense OX=445787 PE=4 SV=1</t>
        </is>
      </c>
      <c r="M167" t="n">
        <v>246</v>
      </c>
      <c r="N167" t="inlineStr">
        <is>
          <t>Leptobrachium leishanense</t>
        </is>
      </c>
      <c r="O167" t="inlineStr">
        <is>
          <t>LINE-1 retrotransposable element ORF1 protein</t>
        </is>
      </c>
    </row>
    <row r="168">
      <c r="A168" t="inlineStr"/>
      <c r="B168" t="inlineStr"/>
      <c r="C168" t="inlineStr"/>
      <c r="D168" t="inlineStr"/>
      <c r="E168">
        <f>HYPERLINK("https://www.uniprot.org/uniprotkb/A0A3B1IJ19/entry", "A0A3B1IJ19")</f>
        <v/>
      </c>
      <c r="F168" t="n">
        <v>33.9</v>
      </c>
      <c r="G168" t="n">
        <v>186</v>
      </c>
      <c r="H168" t="n">
        <v>1.58e-29</v>
      </c>
      <c r="I168" t="inlineStr">
        <is>
          <t>TrEMBL</t>
        </is>
      </c>
      <c r="J168" t="inlineStr"/>
      <c r="K168" t="inlineStr">
        <is>
          <t>A0A3B1IJ19_ASTMX</t>
        </is>
      </c>
      <c r="L168" t="inlineStr">
        <is>
          <t>tr|A0A3B1IJ19|A0A3B1IJ19_ASTMX Transposase_22 domain-containing protein OS=Astyanax mexicanus OX=7994 PE=4 SV=1</t>
        </is>
      </c>
      <c r="M168" t="n">
        <v>268</v>
      </c>
      <c r="N168" t="inlineStr">
        <is>
          <t>Astyanax mexicanus</t>
        </is>
      </c>
      <c r="O168" t="inlineStr">
        <is>
          <t>Transposase_22 domain-containing protein</t>
        </is>
      </c>
    </row>
    <row r="169">
      <c r="A169" t="inlineStr"/>
      <c r="B169" t="inlineStr"/>
      <c r="C169" t="inlineStr"/>
      <c r="D169" t="inlineStr"/>
      <c r="E169">
        <f>HYPERLINK("https://www.uniprot.org/uniprotkb/A0A087YRZ4/entry", "A0A087YRZ4")</f>
        <v/>
      </c>
      <c r="F169" t="n">
        <v>35.4</v>
      </c>
      <c r="G169" t="n">
        <v>209</v>
      </c>
      <c r="H169" t="n">
        <v>2.4e-29</v>
      </c>
      <c r="I169" t="inlineStr">
        <is>
          <t>TrEMBL</t>
        </is>
      </c>
      <c r="J169" t="inlineStr"/>
      <c r="K169" t="inlineStr">
        <is>
          <t>A0A087YRZ4_POEFO</t>
        </is>
      </c>
      <c r="L169" t="inlineStr">
        <is>
          <t>tr|A0A087YRZ4|A0A087YRZ4_POEFO Transposase_22 domain-containing protein OS=Poecilia formosa OX=48698 PE=4 SV=1</t>
        </is>
      </c>
      <c r="M169" t="n">
        <v>287</v>
      </c>
      <c r="N169" t="inlineStr">
        <is>
          <t>Poecilia formosa</t>
        </is>
      </c>
      <c r="O169" t="inlineStr">
        <is>
          <t>Transposase_22 domain-containing protein</t>
        </is>
      </c>
    </row>
    <row r="170">
      <c r="A170" t="inlineStr"/>
      <c r="B170" t="inlineStr"/>
      <c r="C170" t="inlineStr"/>
      <c r="D170" t="inlineStr"/>
      <c r="E170">
        <f>HYPERLINK("https://www.uniprot.org/uniprotkb/H3A9T6/entry", "H3A9T6")</f>
        <v/>
      </c>
      <c r="F170" t="n">
        <v>34.5</v>
      </c>
      <c r="G170" t="n">
        <v>197</v>
      </c>
      <c r="H170" t="n">
        <v>6.13e-29</v>
      </c>
      <c r="I170" t="inlineStr">
        <is>
          <t>TrEMBL</t>
        </is>
      </c>
      <c r="J170" t="inlineStr"/>
      <c r="K170" t="inlineStr">
        <is>
          <t>H3A9T6_LATCH</t>
        </is>
      </c>
      <c r="L170" t="inlineStr">
        <is>
          <t>tr|H3A9T6|H3A9T6_LATCH Transposase_22 domain-containing protein OS=Latimeria chalumnae OX=7897 PE=4 SV=1</t>
        </is>
      </c>
      <c r="M170" t="n">
        <v>268</v>
      </c>
      <c r="N170" t="inlineStr">
        <is>
          <t>Latimeria chalumnae</t>
        </is>
      </c>
      <c r="O170" t="inlineStr">
        <is>
          <t>Transposase_22 domain-containing protein</t>
        </is>
      </c>
    </row>
    <row r="171">
      <c r="A171" t="inlineStr"/>
      <c r="B171" t="inlineStr"/>
      <c r="C171" t="inlineStr"/>
      <c r="D171" t="inlineStr"/>
      <c r="E171">
        <f>HYPERLINK("https://www.uniprot.org/uniprotkb/A0A3B1JM17/entry", "A0A3B1JM17")</f>
        <v/>
      </c>
      <c r="F171" t="n">
        <v>34.8</v>
      </c>
      <c r="G171" t="n">
        <v>181</v>
      </c>
      <c r="H171" t="n">
        <v>1.48e-28</v>
      </c>
      <c r="I171" t="inlineStr">
        <is>
          <t>TrEMBL</t>
        </is>
      </c>
      <c r="J171" t="inlineStr"/>
      <c r="K171" t="inlineStr">
        <is>
          <t>A0A3B1JM17_ASTMX</t>
        </is>
      </c>
      <c r="L171" t="inlineStr">
        <is>
          <t>tr|A0A3B1JM17|A0A3B1JM17_ASTMX Transposase_22 domain-containing protein OS=Astyanax mexicanus OX=7994 PE=4 SV=1</t>
        </is>
      </c>
      <c r="M171" t="n">
        <v>233</v>
      </c>
      <c r="N171" t="inlineStr">
        <is>
          <t>Astyanax mexicanus</t>
        </is>
      </c>
      <c r="O171" t="inlineStr">
        <is>
          <t>Transposase_22 domain-containing protein</t>
        </is>
      </c>
    </row>
    <row r="172">
      <c r="A172" t="inlineStr"/>
      <c r="B172" t="inlineStr"/>
      <c r="C172" t="inlineStr"/>
      <c r="D172" t="inlineStr"/>
      <c r="E172">
        <f>HYPERLINK("https://www.uniprot.org/uniprotkb/A0A8C5M437/entry", "A0A8C5M437")</f>
        <v/>
      </c>
      <c r="F172" t="n">
        <v>36</v>
      </c>
      <c r="G172" t="n">
        <v>189</v>
      </c>
      <c r="H172" t="n">
        <v>2.03e-28</v>
      </c>
      <c r="I172" t="inlineStr">
        <is>
          <t>TrEMBL</t>
        </is>
      </c>
      <c r="J172" t="inlineStr"/>
      <c r="K172" t="inlineStr">
        <is>
          <t>A0A8C5M437_9ANUR</t>
        </is>
      </c>
      <c r="L172" t="inlineStr">
        <is>
          <t>tr|A0A8C5M437|A0A8C5M437_9ANUR LINE-1 type transposase domain-containing 1 OS=Leptobrachium leishanense OX=445787 PE=4 SV=1</t>
        </is>
      </c>
      <c r="M172" t="n">
        <v>326</v>
      </c>
      <c r="N172" t="inlineStr">
        <is>
          <t>Leptobrachium leishanense</t>
        </is>
      </c>
      <c r="O172" t="inlineStr">
        <is>
          <t>LINE-1 type transposase domain-containing 1</t>
        </is>
      </c>
    </row>
    <row r="173">
      <c r="A173" t="inlineStr"/>
      <c r="B173" t="inlineStr"/>
      <c r="C173" t="inlineStr"/>
      <c r="D173" t="inlineStr"/>
      <c r="E173">
        <f>HYPERLINK("https://www.ncbi.nlm.nih.gov/gene/?term=XP_043961443.1", "XP_043961443.1")</f>
        <v/>
      </c>
      <c r="F173" t="n">
        <v>33.3</v>
      </c>
      <c r="G173" t="n">
        <v>198</v>
      </c>
      <c r="H173" t="n">
        <v>2.06e-28</v>
      </c>
      <c r="I173" t="inlineStr">
        <is>
          <t>Nr</t>
        </is>
      </c>
      <c r="J173" t="inlineStr"/>
      <c r="K173" t="inlineStr"/>
      <c r="L173" t="inlineStr">
        <is>
          <t>XP_043961443.1 uncharacterized protein LOC122824645 [Gambusia affinis]</t>
        </is>
      </c>
      <c r="M173" t="n">
        <v>296</v>
      </c>
      <c r="N173" t="inlineStr">
        <is>
          <t>Gambusia affinis</t>
        </is>
      </c>
      <c r="O173" t="inlineStr">
        <is>
          <t>uncharacterized protein LOC122824645</t>
        </is>
      </c>
    </row>
    <row r="174">
      <c r="A174" t="inlineStr"/>
      <c r="B174" t="inlineStr"/>
      <c r="C174" t="inlineStr"/>
      <c r="D174" t="inlineStr"/>
      <c r="E174">
        <f>HYPERLINK("https://www.uniprot.org/uniprotkb/A0A669E390/entry", "A0A669E390")</f>
        <v/>
      </c>
      <c r="F174" t="n">
        <v>39.6</v>
      </c>
      <c r="G174" t="n">
        <v>192</v>
      </c>
      <c r="H174" t="n">
        <v>2.07e-28</v>
      </c>
      <c r="I174" t="inlineStr">
        <is>
          <t>TrEMBL</t>
        </is>
      </c>
      <c r="J174" t="inlineStr"/>
      <c r="K174" t="inlineStr">
        <is>
          <t>A0A669E390_ORENI</t>
        </is>
      </c>
      <c r="L174" t="inlineStr">
        <is>
          <t>tr|A0A669E390|A0A669E390_ORENI Transposase_22 domain-containing protein OS=Oreochromis niloticus OX=8128 PE=4 SV=1</t>
        </is>
      </c>
      <c r="M174" t="n">
        <v>277</v>
      </c>
      <c r="N174" t="inlineStr">
        <is>
          <t>Oreochromis niloticus</t>
        </is>
      </c>
      <c r="O174" t="inlineStr">
        <is>
          <t>Transposase_22 domain-containing protein</t>
        </is>
      </c>
    </row>
    <row r="175">
      <c r="A175" t="inlineStr"/>
      <c r="B175" t="inlineStr"/>
      <c r="C175" t="inlineStr"/>
      <c r="D175" t="inlineStr"/>
      <c r="E175">
        <f>HYPERLINK("https://www.uniprot.org/uniprotkb/A0A3P9QK31/entry", "A0A3P9QK31")</f>
        <v/>
      </c>
      <c r="F175" t="n">
        <v>34.1</v>
      </c>
      <c r="G175" t="n">
        <v>232</v>
      </c>
      <c r="H175" t="n">
        <v>2.48e-28</v>
      </c>
      <c r="I175" t="inlineStr">
        <is>
          <t>TrEMBL</t>
        </is>
      </c>
      <c r="J175" t="inlineStr"/>
      <c r="K175" t="inlineStr">
        <is>
          <t>A0A3P9QK31_POERE</t>
        </is>
      </c>
      <c r="L175" t="inlineStr">
        <is>
          <t>tr|A0A3P9QK31|A0A3P9QK31_POERE LINE-1 type transposase domain-containing protein 1 OS=Poecilia reticulata OX=8081 PE=4 SV=1</t>
        </is>
      </c>
      <c r="M175" t="n">
        <v>356</v>
      </c>
      <c r="N175" t="inlineStr">
        <is>
          <t>Poecilia reticulata</t>
        </is>
      </c>
      <c r="O175" t="inlineStr">
        <is>
          <t>LINE-1 type transposase domain-containing protein 1</t>
        </is>
      </c>
    </row>
    <row r="176">
      <c r="A176" t="inlineStr"/>
      <c r="B176" t="inlineStr"/>
      <c r="C176" t="inlineStr"/>
      <c r="D176" t="inlineStr"/>
      <c r="E176">
        <f>HYPERLINK("https://www.uniprot.org/uniprotkb/A0A803K8T1/entry", "A0A803K8T1")</f>
        <v/>
      </c>
      <c r="F176" t="n">
        <v>38.1</v>
      </c>
      <c r="G176" t="n">
        <v>181</v>
      </c>
      <c r="H176" t="n">
        <v>2.72e-28</v>
      </c>
      <c r="I176" t="inlineStr">
        <is>
          <t>TrEMBL</t>
        </is>
      </c>
      <c r="J176" t="inlineStr"/>
      <c r="K176" t="inlineStr">
        <is>
          <t>A0A803K8T1_XENTR</t>
        </is>
      </c>
      <c r="L176" t="inlineStr">
        <is>
          <t>tr|A0A803K8T1|A0A803K8T1_XENTR LINE-1 type transposase domain-containing protein 1 OS=Xenopus tropicalis OX=8364 PE=4 SV=1</t>
        </is>
      </c>
      <c r="M176" t="n">
        <v>342</v>
      </c>
      <c r="N176" t="inlineStr">
        <is>
          <t>Xenopus tropicalis</t>
        </is>
      </c>
      <c r="O176" t="inlineStr">
        <is>
          <t>LINE-1 type transposase domain-containing protein 1</t>
        </is>
      </c>
    </row>
    <row r="177">
      <c r="A177" t="inlineStr"/>
      <c r="B177" t="inlineStr"/>
      <c r="C177" t="inlineStr"/>
      <c r="D177" t="inlineStr"/>
      <c r="E177">
        <f>HYPERLINK("https://www.uniprot.org/uniprotkb/H2N1V0/entry", "H2N1V0")</f>
        <v/>
      </c>
      <c r="F177" t="n">
        <v>35.3</v>
      </c>
      <c r="G177" t="n">
        <v>201</v>
      </c>
      <c r="H177" t="n">
        <v>3.63e-28</v>
      </c>
      <c r="I177" t="inlineStr">
        <is>
          <t>TrEMBL</t>
        </is>
      </c>
      <c r="J177" t="inlineStr"/>
      <c r="K177" t="inlineStr">
        <is>
          <t>H2N1V0_ORYLA</t>
        </is>
      </c>
      <c r="L177" t="inlineStr">
        <is>
          <t>tr|H2N1V0|H2N1V0_ORYLA Transposase_22 domain-containing protein OS=Oryzias latipes OX=8090 PE=4 SV=2</t>
        </is>
      </c>
      <c r="M177" t="n">
        <v>304</v>
      </c>
      <c r="N177" t="inlineStr">
        <is>
          <t>Oryzias latipes</t>
        </is>
      </c>
      <c r="O177" t="inlineStr">
        <is>
          <t>Transposase_22 domain-containing protein</t>
        </is>
      </c>
    </row>
    <row r="178">
      <c r="A178" t="inlineStr"/>
      <c r="B178" t="inlineStr"/>
      <c r="C178" t="inlineStr"/>
      <c r="D178" t="inlineStr"/>
      <c r="E178">
        <f>HYPERLINK("https://www.uniprot.org/uniprotkb/A0A087YS91/entry", "A0A087YS91")</f>
        <v/>
      </c>
      <c r="F178" t="n">
        <v>32</v>
      </c>
      <c r="G178" t="n">
        <v>200</v>
      </c>
      <c r="H178" t="n">
        <v>5.73e-28</v>
      </c>
      <c r="I178" t="inlineStr">
        <is>
          <t>TrEMBL</t>
        </is>
      </c>
      <c r="J178" t="inlineStr"/>
      <c r="K178" t="inlineStr">
        <is>
          <t>A0A087YS91_POEFO</t>
        </is>
      </c>
      <c r="L178" t="inlineStr">
        <is>
          <t>tr|A0A087YS91|A0A087YS91_POEFO LINE-1 type transposase domain-containing protein 1 OS=Poecilia formosa OX=48698 PE=4 SV=1</t>
        </is>
      </c>
      <c r="M178" t="n">
        <v>310</v>
      </c>
      <c r="N178" t="inlineStr">
        <is>
          <t>Poecilia formosa</t>
        </is>
      </c>
      <c r="O178" t="inlineStr">
        <is>
          <t>LINE-1 type transposase domain-containing protein 1</t>
        </is>
      </c>
    </row>
    <row r="179">
      <c r="A179" t="inlineStr"/>
      <c r="B179" t="inlineStr"/>
      <c r="C179" t="inlineStr"/>
      <c r="D179" t="inlineStr"/>
      <c r="E179">
        <f>HYPERLINK("https://www.ncbi.nlm.nih.gov/gene/?term=OCT80128.1", "OCT80128.1")</f>
        <v/>
      </c>
      <c r="F179" t="n">
        <v>31.9</v>
      </c>
      <c r="G179" t="n">
        <v>188</v>
      </c>
      <c r="H179" t="n">
        <v>5.81e-28</v>
      </c>
      <c r="I179" t="inlineStr">
        <is>
          <t>Nr</t>
        </is>
      </c>
      <c r="J179" t="inlineStr"/>
      <c r="K179" t="inlineStr"/>
      <c r="L179" t="inlineStr">
        <is>
          <t>OCT80128.1 hypothetical protein XELAEV_18026937mg [Xenopus laevis]</t>
        </is>
      </c>
      <c r="M179" t="n">
        <v>209</v>
      </c>
      <c r="N179" t="inlineStr">
        <is>
          <t>Xenopus laevis</t>
        </is>
      </c>
      <c r="O179" t="inlineStr">
        <is>
          <t>hypothetical protein XELAEV_18026937mg</t>
        </is>
      </c>
    </row>
    <row r="180">
      <c r="A180" t="inlineStr"/>
      <c r="B180" t="inlineStr"/>
      <c r="C180" t="inlineStr"/>
      <c r="D180" t="inlineStr"/>
      <c r="E180">
        <f>HYPERLINK("https://www.uniprot.org/uniprotkb/H3AX75/entry", "H3AX75")</f>
        <v/>
      </c>
      <c r="F180" t="n">
        <v>35.9</v>
      </c>
      <c r="G180" t="n">
        <v>198</v>
      </c>
      <c r="H180" t="n">
        <v>6.09e-28</v>
      </c>
      <c r="I180" t="inlineStr">
        <is>
          <t>TrEMBL</t>
        </is>
      </c>
      <c r="J180" t="inlineStr"/>
      <c r="K180" t="inlineStr">
        <is>
          <t>H3AX75_LATCH</t>
        </is>
      </c>
      <c r="L180" t="inlineStr">
        <is>
          <t>tr|H3AX75|H3AX75_LATCH Transposase_22 domain-containing protein OS=Latimeria chalumnae OX=7897 PE=4 SV=1</t>
        </is>
      </c>
      <c r="M180" t="n">
        <v>280</v>
      </c>
      <c r="N180" t="inlineStr">
        <is>
          <t>Latimeria chalumnae</t>
        </is>
      </c>
      <c r="O180" t="inlineStr">
        <is>
          <t>Transposase_22 domain-containing protein</t>
        </is>
      </c>
    </row>
    <row r="181">
      <c r="A181" t="inlineStr"/>
      <c r="B181" t="inlineStr"/>
      <c r="C181" t="inlineStr"/>
      <c r="D181" t="inlineStr"/>
      <c r="E181">
        <f>HYPERLINK("https://www.uniprot.org/uniprotkb/A0A3B4F0H5/entry", "A0A3B4F0H5")</f>
        <v/>
      </c>
      <c r="F181" t="n">
        <v>36.8</v>
      </c>
      <c r="G181" t="n">
        <v>182</v>
      </c>
      <c r="H181" t="n">
        <v>8.08e-28</v>
      </c>
      <c r="I181" t="inlineStr">
        <is>
          <t>TrEMBL</t>
        </is>
      </c>
      <c r="J181" t="inlineStr"/>
      <c r="K181" t="inlineStr">
        <is>
          <t>A0A3B4F0H5_9CICH</t>
        </is>
      </c>
      <c r="L181" t="inlineStr">
        <is>
          <t>tr|A0A3B4F0H5|A0A3B4F0H5_9CICH LINE-1 type transposase domain-containing protein 1 OS=Pundamilia nyererei OX=303518 PE=4 SV=1</t>
        </is>
      </c>
      <c r="M181" t="n">
        <v>367</v>
      </c>
      <c r="N181" t="inlineStr">
        <is>
          <t>Pundamilia nyererei</t>
        </is>
      </c>
      <c r="O181" t="inlineStr">
        <is>
          <t>LINE-1 type transposase domain-containing protein 1</t>
        </is>
      </c>
    </row>
    <row r="182">
      <c r="A182" t="inlineStr"/>
      <c r="B182" t="inlineStr"/>
      <c r="C182" t="inlineStr"/>
      <c r="D182" t="inlineStr"/>
      <c r="E182">
        <f>HYPERLINK("https://www.ncbi.nlm.nih.gov/gene/?term=CAI5650147.1", "CAI5650147.1")</f>
        <v/>
      </c>
      <c r="F182" t="n">
        <v>35.5</v>
      </c>
      <c r="G182" t="n">
        <v>197</v>
      </c>
      <c r="H182" t="n">
        <v>1.13e-27</v>
      </c>
      <c r="I182" t="inlineStr">
        <is>
          <t>Nr</t>
        </is>
      </c>
      <c r="J182" t="inlineStr"/>
      <c r="K182" t="inlineStr"/>
      <c r="L182" t="inlineStr">
        <is>
          <t>CAI5650147.1 unnamed protein product [Mustela putorius furo]</t>
        </is>
      </c>
      <c r="M182" t="n">
        <v>297</v>
      </c>
      <c r="N182" t="inlineStr">
        <is>
          <t>Mustela putorius furo</t>
        </is>
      </c>
      <c r="O182" t="inlineStr">
        <is>
          <t>unnamed protein product</t>
        </is>
      </c>
    </row>
    <row r="183">
      <c r="A183" t="inlineStr"/>
      <c r="B183" t="inlineStr"/>
      <c r="C183" t="inlineStr"/>
      <c r="D183" t="inlineStr"/>
      <c r="E183">
        <f>HYPERLINK("https://www.uniprot.org/uniprotkb/A0A3B5L8X4/entry", "A0A3B5L8X4")</f>
        <v/>
      </c>
      <c r="F183" t="n">
        <v>34.9</v>
      </c>
      <c r="G183" t="n">
        <v>209</v>
      </c>
      <c r="H183" t="n">
        <v>1.63e-27</v>
      </c>
      <c r="I183" t="inlineStr">
        <is>
          <t>TrEMBL</t>
        </is>
      </c>
      <c r="J183" t="inlineStr"/>
      <c r="K183" t="inlineStr">
        <is>
          <t>A0A3B5L8X4_9TELE</t>
        </is>
      </c>
      <c r="L183" t="inlineStr">
        <is>
          <t>tr|A0A3B5L8X4|A0A3B5L8X4_9TELE LINE-1 type transposase domain-containing protein 1 OS=Xiphophorus couchianus OX=32473 PE=4 SV=1</t>
        </is>
      </c>
      <c r="M183" t="n">
        <v>312</v>
      </c>
      <c r="N183" t="inlineStr">
        <is>
          <t>Xiphophorus couchianus</t>
        </is>
      </c>
      <c r="O183" t="inlineStr">
        <is>
          <t>LINE-1 type transposase domain-containing protein 1</t>
        </is>
      </c>
    </row>
    <row r="184">
      <c r="A184" t="inlineStr"/>
      <c r="B184" t="inlineStr"/>
      <c r="C184" t="inlineStr"/>
      <c r="D184" t="inlineStr"/>
      <c r="E184">
        <f>HYPERLINK("https://www.uniprot.org/uniprotkb/H3A8S6/entry", "H3A8S6")</f>
        <v/>
      </c>
      <c r="F184" t="n">
        <v>35.3</v>
      </c>
      <c r="G184" t="n">
        <v>187</v>
      </c>
      <c r="H184" t="n">
        <v>2.6e-27</v>
      </c>
      <c r="I184" t="inlineStr">
        <is>
          <t>TrEMBL</t>
        </is>
      </c>
      <c r="J184" t="inlineStr"/>
      <c r="K184" t="inlineStr">
        <is>
          <t>H3A8S6_LATCH</t>
        </is>
      </c>
      <c r="L184" t="inlineStr">
        <is>
          <t>tr|H3A8S6|H3A8S6_LATCH Transposase_22 domain-containing protein OS=Latimeria chalumnae OX=7897 PE=4 SV=1</t>
        </is>
      </c>
      <c r="M184" t="n">
        <v>211</v>
      </c>
      <c r="N184" t="inlineStr">
        <is>
          <t>Latimeria chalumnae</t>
        </is>
      </c>
      <c r="O184" t="inlineStr">
        <is>
          <t>Transposase_22 domain-containing protein</t>
        </is>
      </c>
    </row>
    <row r="185">
      <c r="A185" t="inlineStr"/>
      <c r="B185" t="inlineStr"/>
      <c r="C185" t="inlineStr"/>
      <c r="D185" t="inlineStr"/>
      <c r="E185">
        <f>HYPERLINK("https://www.ncbi.nlm.nih.gov/gene/?term=RXN14917.1", "RXN14917.1")</f>
        <v/>
      </c>
      <c r="F185" t="n">
        <v>33.5</v>
      </c>
      <c r="G185" t="n">
        <v>188</v>
      </c>
      <c r="H185" t="n">
        <v>6.850000000000001e-27</v>
      </c>
      <c r="I185" t="inlineStr">
        <is>
          <t>Nr</t>
        </is>
      </c>
      <c r="J185" t="inlineStr"/>
      <c r="K185" t="inlineStr"/>
      <c r="L185" t="inlineStr">
        <is>
          <t>RXN14917.1 LINE-1 type transposase domain-containing 1 [Labeo rohita]</t>
        </is>
      </c>
      <c r="M185" t="n">
        <v>286</v>
      </c>
      <c r="N185" t="inlineStr">
        <is>
          <t>Labeo rohita</t>
        </is>
      </c>
      <c r="O185" t="inlineStr">
        <is>
          <t>LINE-1 type transposase domain-containing 1</t>
        </is>
      </c>
    </row>
    <row r="186">
      <c r="A186" t="inlineStr"/>
      <c r="B186" t="inlineStr"/>
      <c r="C186" t="inlineStr"/>
      <c r="D186" t="inlineStr"/>
      <c r="E186">
        <f>HYPERLINK("https://www.ncbi.nlm.nih.gov/gene/?term=XP_040283419.1", "XP_040283419.1")</f>
        <v/>
      </c>
      <c r="F186" t="n">
        <v>37.4</v>
      </c>
      <c r="G186" t="n">
        <v>206</v>
      </c>
      <c r="H186" t="n">
        <v>2.63e-26</v>
      </c>
      <c r="I186" t="inlineStr">
        <is>
          <t>Nr</t>
        </is>
      </c>
      <c r="J186" t="inlineStr"/>
      <c r="K186" t="inlineStr"/>
      <c r="L186" t="inlineStr">
        <is>
          <t>XP_040283419.1 zinc finger protein 665-like [Bufo bufo]</t>
        </is>
      </c>
      <c r="M186" t="n">
        <v>1169</v>
      </c>
      <c r="N186" t="inlineStr">
        <is>
          <t>Bufo bufo</t>
        </is>
      </c>
      <c r="O186" t="inlineStr">
        <is>
          <t>zinc finger protein 665-like</t>
        </is>
      </c>
    </row>
    <row r="187">
      <c r="A187" t="inlineStr"/>
      <c r="B187" t="inlineStr"/>
      <c r="C187" t="inlineStr"/>
      <c r="D187" t="inlineStr"/>
      <c r="E187">
        <f>HYPERLINK("https://www.ncbi.nlm.nih.gov/gene/?term=RXN11652.1", "RXN11652.1")</f>
        <v/>
      </c>
      <c r="F187" t="n">
        <v>36.2</v>
      </c>
      <c r="G187" t="n">
        <v>185</v>
      </c>
      <c r="H187" t="n">
        <v>2.92e-26</v>
      </c>
      <c r="I187" t="inlineStr">
        <is>
          <t>Nr</t>
        </is>
      </c>
      <c r="J187" t="inlineStr"/>
      <c r="K187" t="inlineStr"/>
      <c r="L187" t="inlineStr">
        <is>
          <t>RXN11652.1 LINE-1 type transposase domain-containing 1 [Labeo rohita]</t>
        </is>
      </c>
      <c r="M187" t="n">
        <v>291</v>
      </c>
      <c r="N187" t="inlineStr">
        <is>
          <t>Labeo rohita</t>
        </is>
      </c>
      <c r="O187" t="inlineStr">
        <is>
          <t>LINE-1 type transposase domain-containing 1</t>
        </is>
      </c>
    </row>
    <row r="188">
      <c r="A188" t="inlineStr"/>
      <c r="B188" t="inlineStr"/>
      <c r="C188" t="inlineStr"/>
      <c r="D188" t="inlineStr"/>
      <c r="E188">
        <f>HYPERLINK("https://www.ncbi.nlm.nih.gov/gene/?term=KAI4792447.1", "KAI4792447.1")</f>
        <v/>
      </c>
      <c r="F188" t="n">
        <v>30.9</v>
      </c>
      <c r="G188" t="n">
        <v>191</v>
      </c>
      <c r="H188" t="n">
        <v>3.59e-26</v>
      </c>
      <c r="I188" t="inlineStr">
        <is>
          <t>Nr</t>
        </is>
      </c>
      <c r="J188" t="inlineStr"/>
      <c r="K188" t="inlineStr"/>
      <c r="L188" t="inlineStr">
        <is>
          <t>KAI4792447.1 hypothetical protein KUCAC02_033380 [Chaenocephalus aceratus]</t>
        </is>
      </c>
      <c r="M188" t="n">
        <v>253</v>
      </c>
      <c r="N188" t="inlineStr">
        <is>
          <t>Chaenocephalus aceratus</t>
        </is>
      </c>
      <c r="O188" t="inlineStr">
        <is>
          <t>hypothetical protein KUCAC02_033380</t>
        </is>
      </c>
    </row>
    <row r="189">
      <c r="A189" t="inlineStr"/>
      <c r="B189" t="inlineStr"/>
      <c r="C189" t="inlineStr"/>
      <c r="D189" t="inlineStr"/>
      <c r="E189">
        <f>HYPERLINK("https://www.ncbi.nlm.nih.gov/gene/?term=KAI4827679.1", "KAI4827679.1")</f>
        <v/>
      </c>
      <c r="F189" t="n">
        <v>30.9</v>
      </c>
      <c r="G189" t="n">
        <v>191</v>
      </c>
      <c r="H189" t="n">
        <v>5.09e-26</v>
      </c>
      <c r="I189" t="inlineStr">
        <is>
          <t>Nr</t>
        </is>
      </c>
      <c r="J189" t="inlineStr"/>
      <c r="K189" t="inlineStr"/>
      <c r="L189" t="inlineStr">
        <is>
          <t>KAI4827679.1 hypothetical protein KUCAC02_031058 [Chaenocephalus aceratus]</t>
        </is>
      </c>
      <c r="M189" t="n">
        <v>269</v>
      </c>
      <c r="N189" t="inlineStr">
        <is>
          <t>Chaenocephalus aceratus</t>
        </is>
      </c>
      <c r="O189" t="inlineStr">
        <is>
          <t>hypothetical protein KUCAC02_031058</t>
        </is>
      </c>
    </row>
    <row r="190">
      <c r="A190" t="inlineStr"/>
      <c r="B190" t="inlineStr"/>
      <c r="C190" t="inlineStr"/>
      <c r="D190" t="inlineStr"/>
      <c r="E190">
        <f>HYPERLINK("https://www.ncbi.nlm.nih.gov/gene/?term=KAE8277957.1", "KAE8277957.1")</f>
        <v/>
      </c>
      <c r="F190" t="n">
        <v>32.5</v>
      </c>
      <c r="G190" t="n">
        <v>203</v>
      </c>
      <c r="H190" t="n">
        <v>8.85e-26</v>
      </c>
      <c r="I190" t="inlineStr">
        <is>
          <t>Nr</t>
        </is>
      </c>
      <c r="J190" t="inlineStr"/>
      <c r="K190" t="inlineStr"/>
      <c r="L190" t="inlineStr">
        <is>
          <t>KAE8277957.1 hypothetical protein D5F01_LYC24000 [Larimichthys crocea]</t>
        </is>
      </c>
      <c r="M190" t="n">
        <v>296</v>
      </c>
      <c r="N190" t="inlineStr">
        <is>
          <t>Larimichthys crocea</t>
        </is>
      </c>
      <c r="O190" t="inlineStr">
        <is>
          <t>hypothetical protein D5F01_LYC24000</t>
        </is>
      </c>
    </row>
    <row r="191">
      <c r="A191" t="inlineStr"/>
      <c r="B191" t="inlineStr"/>
      <c r="C191" t="inlineStr"/>
      <c r="D191" t="inlineStr"/>
      <c r="E191">
        <f>HYPERLINK("https://www.ncbi.nlm.nih.gov/gene/?term=RXN21224.1", "RXN21224.1")</f>
        <v/>
      </c>
      <c r="F191" t="n">
        <v>35.7</v>
      </c>
      <c r="G191" t="n">
        <v>185</v>
      </c>
      <c r="H191" t="n">
        <v>1.57e-25</v>
      </c>
      <c r="I191" t="inlineStr">
        <is>
          <t>Nr</t>
        </is>
      </c>
      <c r="J191" t="inlineStr"/>
      <c r="K191" t="inlineStr"/>
      <c r="L191" t="inlineStr">
        <is>
          <t>RXN21224.1 LINE-1 type transposase domain-containing 1 [Labeo rohita]</t>
        </is>
      </c>
      <c r="M191" t="n">
        <v>291</v>
      </c>
      <c r="N191" t="inlineStr">
        <is>
          <t>Labeo rohita</t>
        </is>
      </c>
      <c r="O191" t="inlineStr">
        <is>
          <t>LINE-1 type transposase domain-containing 1</t>
        </is>
      </c>
    </row>
    <row r="192">
      <c r="A192" t="inlineStr"/>
      <c r="B192" t="inlineStr"/>
      <c r="C192" t="inlineStr"/>
      <c r="D192" t="inlineStr"/>
      <c r="E192">
        <f>HYPERLINK("https://www.ncbi.nlm.nih.gov/gene/?term=RVE58519.1", "RVE58519.1")</f>
        <v/>
      </c>
      <c r="F192" t="n">
        <v>35</v>
      </c>
      <c r="G192" t="n">
        <v>217</v>
      </c>
      <c r="H192" t="n">
        <v>1.67e-25</v>
      </c>
      <c r="I192" t="inlineStr">
        <is>
          <t>Nr</t>
        </is>
      </c>
      <c r="J192" t="inlineStr"/>
      <c r="K192" t="inlineStr"/>
      <c r="L192" t="inlineStr">
        <is>
          <t>RVE58519.1 hypothetical protein OJAV_G00210120 [Oryzias javanicus]</t>
        </is>
      </c>
      <c r="M192" t="n">
        <v>294</v>
      </c>
      <c r="N192" t="inlineStr">
        <is>
          <t>Oryzias javanicus</t>
        </is>
      </c>
      <c r="O192" t="inlineStr">
        <is>
          <t>hypothetical protein OJAV_G00210120</t>
        </is>
      </c>
    </row>
    <row r="193">
      <c r="A193" t="inlineStr"/>
      <c r="B193" t="inlineStr"/>
      <c r="C193" t="inlineStr"/>
      <c r="D193" t="inlineStr"/>
      <c r="E193">
        <f>HYPERLINK("https://www.ncbi.nlm.nih.gov/gene/?term=KTF74044.1", "KTF74044.1")</f>
        <v/>
      </c>
      <c r="F193" t="n">
        <v>33.2</v>
      </c>
      <c r="G193" t="n">
        <v>208</v>
      </c>
      <c r="H193" t="n">
        <v>1.71e-25</v>
      </c>
      <c r="I193" t="inlineStr">
        <is>
          <t>Nr</t>
        </is>
      </c>
      <c r="J193" t="inlineStr"/>
      <c r="K193" t="inlineStr"/>
      <c r="L193" t="inlineStr">
        <is>
          <t>KTF74044.1 hypothetical protein cypCar_00049787 [Cyprinus carpio]</t>
        </is>
      </c>
      <c r="M193" t="n">
        <v>247</v>
      </c>
      <c r="N193" t="inlineStr">
        <is>
          <t>Cyprinus carpio</t>
        </is>
      </c>
      <c r="O193" t="inlineStr">
        <is>
          <t>hypothetical protein cypCar_00049787</t>
        </is>
      </c>
    </row>
    <row r="194">
      <c r="A194" t="inlineStr"/>
      <c r="B194" t="inlineStr"/>
      <c r="C194" t="inlineStr"/>
      <c r="D194" t="inlineStr"/>
      <c r="E194">
        <f>HYPERLINK("https://www.ncbi.nlm.nih.gov/gene/?term=KAI4892383.1", "KAI4892383.1")</f>
        <v/>
      </c>
      <c r="F194" t="n">
        <v>34.4</v>
      </c>
      <c r="G194" t="n">
        <v>195</v>
      </c>
      <c r="H194" t="n">
        <v>2.24e-25</v>
      </c>
      <c r="I194" t="inlineStr">
        <is>
          <t>Nr</t>
        </is>
      </c>
      <c r="J194" t="inlineStr"/>
      <c r="K194" t="inlineStr"/>
      <c r="L194" t="inlineStr">
        <is>
          <t>KAI4892383.1 hypothetical protein NFI96_009564, partial [Prochilodus magdalenae]</t>
        </is>
      </c>
      <c r="M194" t="n">
        <v>292</v>
      </c>
      <c r="N194" t="inlineStr">
        <is>
          <t>Prochilodus magdalenae</t>
        </is>
      </c>
      <c r="O194" t="inlineStr">
        <is>
          <t>hypothetical protein NFI96_009564, partial</t>
        </is>
      </c>
    </row>
    <row r="195">
      <c r="A195" t="inlineStr"/>
      <c r="B195" t="inlineStr"/>
      <c r="C195" t="inlineStr"/>
      <c r="D195" t="inlineStr"/>
      <c r="E195">
        <f>HYPERLINK("https://www.ncbi.nlm.nih.gov/gene/?term=ROL50803.1", "ROL50803.1")</f>
        <v/>
      </c>
      <c r="F195" t="n">
        <v>37.1</v>
      </c>
      <c r="G195" t="n">
        <v>159</v>
      </c>
      <c r="H195" t="n">
        <v>2.29e-25</v>
      </c>
      <c r="I195" t="inlineStr">
        <is>
          <t>Nr</t>
        </is>
      </c>
      <c r="J195" t="inlineStr"/>
      <c r="K195" t="inlineStr"/>
      <c r="L195" t="inlineStr">
        <is>
          <t>ROL50803.1 LINE-1 type transposase domain-containing protein 1 [Anabarilius grahami]</t>
        </is>
      </c>
      <c r="M195" t="n">
        <v>216</v>
      </c>
      <c r="N195" t="inlineStr">
        <is>
          <t>Anabarilius grahami</t>
        </is>
      </c>
      <c r="O195" t="inlineStr">
        <is>
          <t>LINE-1 type transposase domain-containing protein 1</t>
        </is>
      </c>
    </row>
    <row r="196">
      <c r="A196" t="inlineStr"/>
      <c r="B196" t="inlineStr"/>
      <c r="C196" t="inlineStr"/>
      <c r="D196" t="inlineStr"/>
      <c r="E196">
        <f>HYPERLINK("https://www.ncbi.nlm.nih.gov/gene/?term=XP_041430045.1", "XP_041430045.1")</f>
        <v/>
      </c>
      <c r="F196" t="n">
        <v>34.4</v>
      </c>
      <c r="G196" t="n">
        <v>186</v>
      </c>
      <c r="H196" t="n">
        <v>2.39e-25</v>
      </c>
      <c r="I196" t="inlineStr">
        <is>
          <t>Nr</t>
        </is>
      </c>
      <c r="J196" t="inlineStr"/>
      <c r="K196" t="inlineStr"/>
      <c r="L196" t="inlineStr">
        <is>
          <t>XP_041430045.1 NIMA-related kinase 6 S homeolog isoform X1 [Xenopus laevis]</t>
        </is>
      </c>
      <c r="M196" t="n">
        <v>313</v>
      </c>
      <c r="N196" t="inlineStr">
        <is>
          <t>Xenopus laevis</t>
        </is>
      </c>
      <c r="O196" t="inlineStr">
        <is>
          <t>NIMA-related kinase 6 S homeolog isoform X1</t>
        </is>
      </c>
    </row>
    <row r="197">
      <c r="A197" t="inlineStr"/>
      <c r="B197" t="inlineStr"/>
      <c r="C197" t="inlineStr"/>
      <c r="D197" t="inlineStr"/>
      <c r="E197">
        <f>HYPERLINK("https://www.ncbi.nlm.nih.gov/gene/?term=XP_033805871.1", "XP_033805871.1")</f>
        <v/>
      </c>
      <c r="F197" t="n">
        <v>36.8</v>
      </c>
      <c r="G197" t="n">
        <v>182</v>
      </c>
      <c r="H197" t="n">
        <v>2.42e-25</v>
      </c>
      <c r="I197" t="inlineStr">
        <is>
          <t>Nr</t>
        </is>
      </c>
      <c r="J197" t="inlineStr"/>
      <c r="K197" t="inlineStr"/>
      <c r="L197" t="inlineStr">
        <is>
          <t>XP_033805871.1 histone-lysine N-methyltransferase SETDB2 [Geotrypetes seraphini]</t>
        </is>
      </c>
      <c r="M197" t="n">
        <v>2196</v>
      </c>
      <c r="N197" t="inlineStr">
        <is>
          <t>Geotrypetes seraphini</t>
        </is>
      </c>
      <c r="O197" t="inlineStr">
        <is>
          <t>histone-lysine N-methyltransferase SETDB2</t>
        </is>
      </c>
    </row>
    <row r="198">
      <c r="A198" t="inlineStr"/>
      <c r="B198" t="inlineStr"/>
      <c r="C198" t="inlineStr"/>
      <c r="D198" t="inlineStr"/>
      <c r="E198">
        <f>HYPERLINK("https://www.ncbi.nlm.nih.gov/gene/?term=ROL52293.1", "ROL52293.1")</f>
        <v/>
      </c>
      <c r="F198" t="n">
        <v>30.7</v>
      </c>
      <c r="G198" t="n">
        <v>231</v>
      </c>
      <c r="H198" t="n">
        <v>2.57e-25</v>
      </c>
      <c r="I198" t="inlineStr">
        <is>
          <t>Nr</t>
        </is>
      </c>
      <c r="J198" t="inlineStr"/>
      <c r="K198" t="inlineStr"/>
      <c r="L198" t="inlineStr">
        <is>
          <t>ROL52293.1 LINE-1 type transposase domain-containing protein 1 [Anabarilius grahami]</t>
        </is>
      </c>
      <c r="M198" t="n">
        <v>282</v>
      </c>
      <c r="N198" t="inlineStr">
        <is>
          <t>Anabarilius grahami</t>
        </is>
      </c>
      <c r="O198" t="inlineStr">
        <is>
          <t>LINE-1 type transposase domain-containing protein 1</t>
        </is>
      </c>
    </row>
    <row r="199">
      <c r="A199" t="inlineStr"/>
      <c r="B199" t="inlineStr"/>
      <c r="C199" t="inlineStr"/>
      <c r="D199" t="inlineStr"/>
      <c r="E199">
        <f>HYPERLINK("https://www.ncbi.nlm.nih.gov/gene/?term=KAI4806100.1", "KAI4806100.1")</f>
        <v/>
      </c>
      <c r="F199" t="n">
        <v>30.9</v>
      </c>
      <c r="G199" t="n">
        <v>191</v>
      </c>
      <c r="H199" t="n">
        <v>2.76e-25</v>
      </c>
      <c r="I199" t="inlineStr">
        <is>
          <t>Nr</t>
        </is>
      </c>
      <c r="J199" t="inlineStr"/>
      <c r="K199" t="inlineStr"/>
      <c r="L199" t="inlineStr">
        <is>
          <t>KAI4806100.1 hypothetical protein KUCAC02_010684 [Chaenocephalus aceratus]</t>
        </is>
      </c>
      <c r="M199" t="n">
        <v>269</v>
      </c>
      <c r="N199" t="inlineStr">
        <is>
          <t>Chaenocephalus aceratus</t>
        </is>
      </c>
      <c r="O199" t="inlineStr">
        <is>
          <t>hypothetical protein KUCAC02_010684</t>
        </is>
      </c>
    </row>
    <row r="200">
      <c r="A200" t="inlineStr"/>
      <c r="B200" t="inlineStr"/>
      <c r="C200" t="inlineStr"/>
      <c r="D200" t="inlineStr"/>
      <c r="E200">
        <f>HYPERLINK("https://www.ncbi.nlm.nih.gov/gene/?term=RXN34092.1", "RXN34092.1")</f>
        <v/>
      </c>
      <c r="F200" t="n">
        <v>35.1</v>
      </c>
      <c r="G200" t="n">
        <v>185</v>
      </c>
      <c r="H200" t="n">
        <v>3.08e-25</v>
      </c>
      <c r="I200" t="inlineStr">
        <is>
          <t>Nr</t>
        </is>
      </c>
      <c r="J200" t="inlineStr"/>
      <c r="K200" t="inlineStr"/>
      <c r="L200" t="inlineStr">
        <is>
          <t>RXN34092.1 LINE-1 type transposase domain-containing 1 [Labeo rohita]</t>
        </is>
      </c>
      <c r="M200" t="n">
        <v>291</v>
      </c>
      <c r="N200" t="inlineStr">
        <is>
          <t>Labeo rohita</t>
        </is>
      </c>
      <c r="O200" t="inlineStr">
        <is>
          <t>LINE-1 type transposase domain-containing 1</t>
        </is>
      </c>
    </row>
    <row r="201">
      <c r="A201" t="inlineStr"/>
      <c r="B201" t="inlineStr"/>
      <c r="C201" t="inlineStr"/>
      <c r="D201" t="inlineStr"/>
      <c r="E201">
        <f>HYPERLINK("https://www.ncbi.nlm.nih.gov/gene/?term=KAE8291557.1", "KAE8291557.1")</f>
        <v/>
      </c>
      <c r="F201" t="n">
        <v>34.8</v>
      </c>
      <c r="G201" t="n">
        <v>178</v>
      </c>
      <c r="H201" t="n">
        <v>6.92e-25</v>
      </c>
      <c r="I201" t="inlineStr">
        <is>
          <t>Nr</t>
        </is>
      </c>
      <c r="J201" t="inlineStr"/>
      <c r="K201" t="inlineStr"/>
      <c r="L201" t="inlineStr">
        <is>
          <t>KAE8291557.1 hypothetical protein D5F01_LYC08911 [Larimichthys crocea]</t>
        </is>
      </c>
      <c r="M201" t="n">
        <v>249</v>
      </c>
      <c r="N201" t="inlineStr">
        <is>
          <t>Larimichthys crocea</t>
        </is>
      </c>
      <c r="O201" t="inlineStr">
        <is>
          <t>hypothetical protein D5F01_LYC08911</t>
        </is>
      </c>
    </row>
    <row r="202">
      <c r="A202" t="inlineStr"/>
      <c r="B202" t="inlineStr"/>
      <c r="C202" t="inlineStr"/>
      <c r="D202" t="inlineStr"/>
      <c r="E202">
        <f>HYPERLINK("https://www.uniprot.org/uniprotkb/Q587J6/entry", "Q587J6")</f>
        <v/>
      </c>
      <c r="F202" t="n">
        <v>24.6</v>
      </c>
      <c r="G202" t="n">
        <v>207</v>
      </c>
      <c r="H202" t="n">
        <v>1.6e-09</v>
      </c>
      <c r="I202" t="inlineStr">
        <is>
          <t>Swiss-Prot</t>
        </is>
      </c>
      <c r="J202" t="inlineStr">
        <is>
          <t>L1td1</t>
        </is>
      </c>
      <c r="K202" t="inlineStr">
        <is>
          <t>LITD1_MOUSE</t>
        </is>
      </c>
      <c r="L202" t="inlineStr">
        <is>
          <t>sp|Q587J6|LITD1_MOUSE LINE-1 type transposase domain-containing protein 1 OS=Mus musculus OX=10090 GN=L1td1 PE=2 SV=1</t>
        </is>
      </c>
      <c r="M202" t="n">
        <v>782</v>
      </c>
      <c r="N202" t="inlineStr">
        <is>
          <t>Mus musculus</t>
        </is>
      </c>
      <c r="O202" t="inlineStr">
        <is>
          <t>LINE-1 type transposase domain-containing protein 1</t>
        </is>
      </c>
    </row>
    <row r="203">
      <c r="A203" t="inlineStr"/>
      <c r="B203" t="inlineStr"/>
      <c r="C203" t="inlineStr"/>
      <c r="D203" t="inlineStr"/>
      <c r="E203">
        <f>HYPERLINK("https://www.uniprot.org/uniprotkb/P11260/entry", "P11260")</f>
        <v/>
      </c>
      <c r="F203" t="n">
        <v>25.6</v>
      </c>
      <c r="G203" t="n">
        <v>180</v>
      </c>
      <c r="H203" t="n">
        <v>2.82e-09</v>
      </c>
      <c r="I203" t="inlineStr">
        <is>
          <t>Swiss-Prot</t>
        </is>
      </c>
      <c r="J203" t="inlineStr">
        <is>
          <t>Lire1</t>
        </is>
      </c>
      <c r="K203" t="inlineStr">
        <is>
          <t>LORF1_MOUSE</t>
        </is>
      </c>
      <c r="L203" t="inlineStr">
        <is>
          <t>sp|P11260|LORF1_MOUSE LINE-1 retrotransposable element ORF1 protein OS=Mus musculus OX=10090 GN=Lire1 PE=1 SV=2</t>
        </is>
      </c>
      <c r="M203" t="n">
        <v>357</v>
      </c>
      <c r="N203" t="inlineStr">
        <is>
          <t>Mus musculus</t>
        </is>
      </c>
      <c r="O203" t="inlineStr">
        <is>
          <t>LINE-1 retrotransposable element ORF1 protein</t>
        </is>
      </c>
    </row>
    <row r="204">
      <c r="A204" t="inlineStr"/>
      <c r="B204" t="inlineStr"/>
      <c r="C204" t="inlineStr"/>
      <c r="D204" t="inlineStr"/>
      <c r="E204">
        <f>HYPERLINK("https://www.uniprot.org/uniprotkb/Q9UN81/entry", "Q9UN81")</f>
        <v/>
      </c>
      <c r="F204" t="n">
        <v>26.2</v>
      </c>
      <c r="G204" t="n">
        <v>130</v>
      </c>
      <c r="H204" t="n">
        <v>2.63e-06</v>
      </c>
      <c r="I204" t="inlineStr">
        <is>
          <t>Swiss-Prot</t>
        </is>
      </c>
      <c r="J204" t="inlineStr">
        <is>
          <t>L1RE1</t>
        </is>
      </c>
      <c r="K204" t="inlineStr">
        <is>
          <t>LORF1_HUMAN</t>
        </is>
      </c>
      <c r="L204" t="inlineStr">
        <is>
          <t>sp|Q9UN81|LORF1_HUMAN LINE-1 retrotransposable element ORF1 protein OS=Homo sapiens OX=9606 GN=L1RE1 PE=1 SV=1</t>
        </is>
      </c>
      <c r="M204" t="n">
        <v>338</v>
      </c>
      <c r="N204" t="inlineStr">
        <is>
          <t>Homo sapiens</t>
        </is>
      </c>
      <c r="O204" t="inlineStr">
        <is>
          <t>LINE-1 retrotransposable element ORF1 protein</t>
        </is>
      </c>
    </row>
    <row r="205">
      <c r="A205" t="inlineStr"/>
      <c r="B205" t="inlineStr"/>
      <c r="C205" t="inlineStr"/>
      <c r="D205" t="inlineStr"/>
      <c r="E205">
        <f>HYPERLINK("https://www.uniprot.org/uniprotkb/Q5T7N2/entry", "Q5T7N2")</f>
        <v/>
      </c>
      <c r="F205" t="n">
        <v>29.5</v>
      </c>
      <c r="G205" t="n">
        <v>132</v>
      </c>
      <c r="H205" t="n">
        <v>5.21e-05</v>
      </c>
      <c r="I205" t="inlineStr">
        <is>
          <t>Swiss-Prot</t>
        </is>
      </c>
      <c r="J205" t="inlineStr">
        <is>
          <t>L1TD1</t>
        </is>
      </c>
      <c r="K205" t="inlineStr">
        <is>
          <t>LITD1_HUMAN</t>
        </is>
      </c>
      <c r="L205" t="inlineStr">
        <is>
          <t>sp|Q5T7N2|LITD1_HUMAN LINE-1 type transposase domain-containing protein 1 OS=Homo sapiens OX=9606 GN=L1TD1 PE=1 SV=1</t>
        </is>
      </c>
      <c r="M205" t="n">
        <v>865</v>
      </c>
      <c r="N205" t="inlineStr">
        <is>
          <t>Homo sapiens</t>
        </is>
      </c>
      <c r="O205" t="inlineStr">
        <is>
          <t>LINE-1 type transposase domain-containing protein 1</t>
        </is>
      </c>
    </row>
    <row r="206">
      <c r="A206" t="inlineStr">
        <is>
          <t>NODE_101791_length_1640_cov_99.459631_g39784_i0</t>
        </is>
      </c>
      <c r="B206" t="inlineStr">
        <is>
          <t>bombina_pachypus_blastx</t>
        </is>
      </c>
      <c r="C206" t="n">
        <v>-1.57077109876967</v>
      </c>
      <c r="D206" t="n">
        <v>0.0114764709583009</v>
      </c>
      <c r="E206">
        <f>HYPERLINK("https://www.uniprot.org/uniprotkb/P08548/entry", "P08548")</f>
        <v/>
      </c>
      <c r="F206" t="n">
        <v>43.4</v>
      </c>
      <c r="G206" t="n">
        <v>83</v>
      </c>
      <c r="H206" t="n">
        <v>2.98e-12</v>
      </c>
      <c r="I206" t="inlineStr">
        <is>
          <t>Swiss-Prot</t>
        </is>
      </c>
      <c r="J206" t="inlineStr"/>
      <c r="K206" t="inlineStr">
        <is>
          <t>LIN1_NYCCO</t>
        </is>
      </c>
      <c r="L206" t="inlineStr">
        <is>
          <t>sp|P08548|LIN1_NYCCO LINE-1 reverse transcriptase homolog OS=Nycticebus coucang OX=9470 PE=4 SV=1</t>
        </is>
      </c>
      <c r="M206" t="n">
        <v>1260</v>
      </c>
      <c r="N206" t="inlineStr">
        <is>
          <t>Nycticebus coucang</t>
        </is>
      </c>
      <c r="O206" t="inlineStr">
        <is>
          <t>LINE-1 reverse transcriptase homolog</t>
        </is>
      </c>
    </row>
    <row r="207">
      <c r="A207" t="inlineStr"/>
      <c r="B207" t="inlineStr"/>
      <c r="C207" t="inlineStr"/>
      <c r="D207" t="inlineStr"/>
      <c r="E207">
        <f>HYPERLINK("https://www.uniprot.org/uniprotkb/A0A5F8HBD4/entry", "A0A5F8HBD4")</f>
        <v/>
      </c>
      <c r="F207" t="n">
        <v>44.6</v>
      </c>
      <c r="G207" t="n">
        <v>83</v>
      </c>
      <c r="H207" t="n">
        <v>4.2e-12</v>
      </c>
      <c r="I207" t="inlineStr">
        <is>
          <t>TrEMBL</t>
        </is>
      </c>
      <c r="J207" t="inlineStr"/>
      <c r="K207" t="inlineStr">
        <is>
          <t>A0A5F8HBD4_MONDO</t>
        </is>
      </c>
      <c r="L207" t="inlineStr">
        <is>
          <t>tr|A0A5F8HBD4|A0A5F8HBD4_MONDO RNA-directed DNA polymerase OS=Monodelphis domestica OX=13616 PE=4 SV=1</t>
        </is>
      </c>
      <c r="M207" t="n">
        <v>343</v>
      </c>
      <c r="N207" t="inlineStr">
        <is>
          <t>Monodelphis domestica</t>
        </is>
      </c>
      <c r="O207" t="inlineStr">
        <is>
          <t>RNA-directed DNA polymerase</t>
        </is>
      </c>
    </row>
    <row r="208">
      <c r="A208" t="inlineStr"/>
      <c r="B208" t="inlineStr"/>
      <c r="C208" t="inlineStr"/>
      <c r="D208" t="inlineStr"/>
      <c r="E208">
        <f>HYPERLINK("https://www.uniprot.org/uniprotkb/A0A5F8G2A1/entry", "A0A5F8G2A1")</f>
        <v/>
      </c>
      <c r="F208" t="n">
        <v>42.9</v>
      </c>
      <c r="G208" t="n">
        <v>84</v>
      </c>
      <c r="H208" t="n">
        <v>2.89e-11</v>
      </c>
      <c r="I208" t="inlineStr">
        <is>
          <t>TrEMBL</t>
        </is>
      </c>
      <c r="J208" t="inlineStr"/>
      <c r="K208" t="inlineStr">
        <is>
          <t>A0A5F8G2A1_MONDO</t>
        </is>
      </c>
      <c r="L208" t="inlineStr">
        <is>
          <t>tr|A0A5F8G2A1|A0A5F8G2A1_MONDO RNA-directed DNA polymerase OS=Monodelphis domestica OX=13616 PE=4 SV=1</t>
        </is>
      </c>
      <c r="M208" t="n">
        <v>346</v>
      </c>
      <c r="N208" t="inlineStr">
        <is>
          <t>Monodelphis domestica</t>
        </is>
      </c>
      <c r="O208" t="inlineStr">
        <is>
          <t>RNA-directed DNA polymerase</t>
        </is>
      </c>
    </row>
    <row r="209">
      <c r="A209" t="inlineStr"/>
      <c r="B209" t="inlineStr"/>
      <c r="C209" t="inlineStr"/>
      <c r="D209" t="inlineStr"/>
      <c r="E209">
        <f>HYPERLINK("https://www.uniprot.org/uniprotkb/K7DZ07/entry", "K7DZ07")</f>
        <v/>
      </c>
      <c r="F209" t="n">
        <v>44.9</v>
      </c>
      <c r="G209" t="n">
        <v>89</v>
      </c>
      <c r="H209" t="n">
        <v>3.77e-11</v>
      </c>
      <c r="I209" t="inlineStr">
        <is>
          <t>TrEMBL</t>
        </is>
      </c>
      <c r="J209" t="inlineStr"/>
      <c r="K209" t="inlineStr">
        <is>
          <t>K7DZ07_MONDO</t>
        </is>
      </c>
      <c r="L209" t="inlineStr">
        <is>
          <t>tr|K7DZ07|K7DZ07_MONDO RNA-directed DNA polymerase OS=Monodelphis domestica OX=13616 PE=4 SV=2</t>
        </is>
      </c>
      <c r="M209" t="n">
        <v>1071</v>
      </c>
      <c r="N209" t="inlineStr">
        <is>
          <t>Monodelphis domestica</t>
        </is>
      </c>
      <c r="O209" t="inlineStr">
        <is>
          <t>RNA-directed DNA polymerase</t>
        </is>
      </c>
    </row>
    <row r="210">
      <c r="A210" t="inlineStr"/>
      <c r="B210" t="inlineStr"/>
      <c r="C210" t="inlineStr"/>
      <c r="D210" t="inlineStr"/>
      <c r="E210">
        <f>HYPERLINK("https://www.uniprot.org/uniprotkb/A0A5F8H1K0/entry", "A0A5F8H1K0")</f>
        <v/>
      </c>
      <c r="F210" t="n">
        <v>44</v>
      </c>
      <c r="G210" t="n">
        <v>84</v>
      </c>
      <c r="H210" t="n">
        <v>3.81e-11</v>
      </c>
      <c r="I210" t="inlineStr">
        <is>
          <t>TrEMBL</t>
        </is>
      </c>
      <c r="J210" t="inlineStr"/>
      <c r="K210" t="inlineStr">
        <is>
          <t>A0A5F8H1K0_MONDO</t>
        </is>
      </c>
      <c r="L210" t="inlineStr">
        <is>
          <t>tr|A0A5F8H1K0|A0A5F8H1K0_MONDO RNA-directed DNA polymerase OS=Monodelphis domestica OX=13616 PE=4 SV=1</t>
        </is>
      </c>
      <c r="M210" t="n">
        <v>335</v>
      </c>
      <c r="N210" t="inlineStr">
        <is>
          <t>Monodelphis domestica</t>
        </is>
      </c>
      <c r="O210" t="inlineStr">
        <is>
          <t>RNA-directed DNA polymerase</t>
        </is>
      </c>
    </row>
    <row r="211">
      <c r="A211" t="inlineStr"/>
      <c r="B211" t="inlineStr"/>
      <c r="C211" t="inlineStr"/>
      <c r="D211" t="inlineStr"/>
      <c r="E211">
        <f>HYPERLINK("https://www.uniprot.org/uniprotkb/A0A5F8GG82/entry", "A0A5F8GG82")</f>
        <v/>
      </c>
      <c r="F211" t="n">
        <v>44</v>
      </c>
      <c r="G211" t="n">
        <v>84</v>
      </c>
      <c r="H211" t="n">
        <v>4.52e-11</v>
      </c>
      <c r="I211" t="inlineStr">
        <is>
          <t>TrEMBL</t>
        </is>
      </c>
      <c r="J211" t="inlineStr"/>
      <c r="K211" t="inlineStr">
        <is>
          <t>A0A5F8GG82_MONDO</t>
        </is>
      </c>
      <c r="L211" t="inlineStr">
        <is>
          <t>tr|A0A5F8GG82|A0A5F8GG82_MONDO RNA-directed DNA polymerase OS=Monodelphis domestica OX=13616 PE=4 SV=1</t>
        </is>
      </c>
      <c r="M211" t="n">
        <v>265</v>
      </c>
      <c r="N211" t="inlineStr">
        <is>
          <t>Monodelphis domestica</t>
        </is>
      </c>
      <c r="O211" t="inlineStr">
        <is>
          <t>RNA-directed DNA polymerase</t>
        </is>
      </c>
    </row>
    <row r="212">
      <c r="A212" t="inlineStr"/>
      <c r="B212" t="inlineStr"/>
      <c r="C212" t="inlineStr"/>
      <c r="D212" t="inlineStr"/>
      <c r="E212">
        <f>HYPERLINK("https://www.uniprot.org/uniprotkb/K7E4S8/entry", "K7E4S8")</f>
        <v/>
      </c>
      <c r="F212" t="n">
        <v>44</v>
      </c>
      <c r="G212" t="n">
        <v>84</v>
      </c>
      <c r="H212" t="n">
        <v>5.03e-11</v>
      </c>
      <c r="I212" t="inlineStr">
        <is>
          <t>TrEMBL</t>
        </is>
      </c>
      <c r="J212" t="inlineStr"/>
      <c r="K212" t="inlineStr">
        <is>
          <t>K7E4S8_MONDO</t>
        </is>
      </c>
      <c r="L212" t="inlineStr">
        <is>
          <t>tr|K7E4S8|K7E4S8_MONDO RNA-directed DNA polymerase OS=Monodelphis domestica OX=13616 PE=4 SV=2</t>
        </is>
      </c>
      <c r="M212" t="n">
        <v>700</v>
      </c>
      <c r="N212" t="inlineStr">
        <is>
          <t>Monodelphis domestica</t>
        </is>
      </c>
      <c r="O212" t="inlineStr">
        <is>
          <t>RNA-directed DNA polymerase</t>
        </is>
      </c>
    </row>
    <row r="213">
      <c r="A213" t="inlineStr"/>
      <c r="B213" t="inlineStr"/>
      <c r="C213" t="inlineStr"/>
      <c r="D213" t="inlineStr"/>
      <c r="E213">
        <f>HYPERLINK("https://www.uniprot.org/uniprotkb/K7E3P8/entry", "K7E3P8")</f>
        <v/>
      </c>
      <c r="F213" t="n">
        <v>45.2</v>
      </c>
      <c r="G213" t="n">
        <v>84</v>
      </c>
      <c r="H213" t="n">
        <v>5.09e-11</v>
      </c>
      <c r="I213" t="inlineStr">
        <is>
          <t>TrEMBL</t>
        </is>
      </c>
      <c r="J213" t="inlineStr"/>
      <c r="K213" t="inlineStr">
        <is>
          <t>K7E3P8_MONDO</t>
        </is>
      </c>
      <c r="L213" t="inlineStr">
        <is>
          <t>tr|K7E3P8|K7E3P8_MONDO RNA-directed DNA polymerase OS=Monodelphis domestica OX=13616 PE=4 SV=2</t>
        </is>
      </c>
      <c r="M213" t="n">
        <v>850</v>
      </c>
      <c r="N213" t="inlineStr">
        <is>
          <t>Monodelphis domestica</t>
        </is>
      </c>
      <c r="O213" t="inlineStr">
        <is>
          <t>RNA-directed DNA polymerase</t>
        </is>
      </c>
    </row>
    <row r="214">
      <c r="A214" t="inlineStr"/>
      <c r="B214" t="inlineStr"/>
      <c r="C214" t="inlineStr"/>
      <c r="D214" t="inlineStr"/>
      <c r="E214">
        <f>HYPERLINK("https://www.uniprot.org/uniprotkb/K7E6B8/entry", "K7E6B8")</f>
        <v/>
      </c>
      <c r="F214" t="n">
        <v>44.9</v>
      </c>
      <c r="G214" t="n">
        <v>89</v>
      </c>
      <c r="H214" t="n">
        <v>5.12e-11</v>
      </c>
      <c r="I214" t="inlineStr">
        <is>
          <t>TrEMBL</t>
        </is>
      </c>
      <c r="J214" t="inlineStr"/>
      <c r="K214" t="inlineStr">
        <is>
          <t>K7E6B8_MONDO</t>
        </is>
      </c>
      <c r="L214" t="inlineStr">
        <is>
          <t>tr|K7E6B8|K7E6B8_MONDO RNA-directed DNA polymerase OS=Monodelphis domestica OX=13616 PE=4 SV=2</t>
        </is>
      </c>
      <c r="M214" t="n">
        <v>951</v>
      </c>
      <c r="N214" t="inlineStr">
        <is>
          <t>Monodelphis domestica</t>
        </is>
      </c>
      <c r="O214" t="inlineStr">
        <is>
          <t>RNA-directed DNA polymerase</t>
        </is>
      </c>
    </row>
    <row r="215">
      <c r="A215" t="inlineStr"/>
      <c r="B215" t="inlineStr"/>
      <c r="C215" t="inlineStr"/>
      <c r="D215" t="inlineStr"/>
      <c r="E215">
        <f>HYPERLINK("https://www.uniprot.org/uniprotkb/A0A5F8GY16/entry", "A0A5F8GY16")</f>
        <v/>
      </c>
      <c r="F215" t="n">
        <v>44</v>
      </c>
      <c r="G215" t="n">
        <v>84</v>
      </c>
      <c r="H215" t="n">
        <v>5.15e-11</v>
      </c>
      <c r="I215" t="inlineStr">
        <is>
          <t>TrEMBL</t>
        </is>
      </c>
      <c r="J215" t="inlineStr"/>
      <c r="K215" t="inlineStr">
        <is>
          <t>A0A5F8GY16_MONDO</t>
        </is>
      </c>
      <c r="L215" t="inlineStr">
        <is>
          <t>tr|A0A5F8GY16|A0A5F8GY16_MONDO RNA-directed DNA polymerase OS=Monodelphis domestica OX=13616 PE=4 SV=1</t>
        </is>
      </c>
      <c r="M215" t="n">
        <v>1055</v>
      </c>
      <c r="N215" t="inlineStr">
        <is>
          <t>Monodelphis domestica</t>
        </is>
      </c>
      <c r="O215" t="inlineStr">
        <is>
          <t>RNA-directed DNA polymerase</t>
        </is>
      </c>
    </row>
    <row r="216">
      <c r="A216" t="inlineStr"/>
      <c r="B216" t="inlineStr"/>
      <c r="C216" t="inlineStr"/>
      <c r="D216" t="inlineStr"/>
      <c r="E216">
        <f>HYPERLINK("https://www.uniprot.org/uniprotkb/K7E3F3/entry", "K7E3F3")</f>
        <v/>
      </c>
      <c r="F216" t="n">
        <v>44</v>
      </c>
      <c r="G216" t="n">
        <v>84</v>
      </c>
      <c r="H216" t="n">
        <v>6.88e-11</v>
      </c>
      <c r="I216" t="inlineStr">
        <is>
          <t>TrEMBL</t>
        </is>
      </c>
      <c r="J216" t="inlineStr"/>
      <c r="K216" t="inlineStr">
        <is>
          <t>K7E3F3_MONDO</t>
        </is>
      </c>
      <c r="L216" t="inlineStr">
        <is>
          <t>tr|K7E3F3|K7E3F3_MONDO RNA-directed DNA polymerase OS=Monodelphis domestica OX=13616 PE=4 SV=2</t>
        </is>
      </c>
      <c r="M216" t="n">
        <v>709</v>
      </c>
      <c r="N216" t="inlineStr">
        <is>
          <t>Monodelphis domestica</t>
        </is>
      </c>
      <c r="O216" t="inlineStr">
        <is>
          <t>RNA-directed DNA polymerase</t>
        </is>
      </c>
    </row>
    <row r="217">
      <c r="A217" t="inlineStr"/>
      <c r="B217" t="inlineStr"/>
      <c r="C217" t="inlineStr"/>
      <c r="D217" t="inlineStr"/>
      <c r="E217">
        <f>HYPERLINK("https://www.uniprot.org/uniprotkb/A0A5F8G5Z5/entry", "A0A5F8G5Z5")</f>
        <v/>
      </c>
      <c r="F217" t="n">
        <v>44</v>
      </c>
      <c r="G217" t="n">
        <v>84</v>
      </c>
      <c r="H217" t="n">
        <v>6.97e-11</v>
      </c>
      <c r="I217" t="inlineStr">
        <is>
          <t>TrEMBL</t>
        </is>
      </c>
      <c r="J217" t="inlineStr"/>
      <c r="K217" t="inlineStr">
        <is>
          <t>A0A5F8G5Z5_MONDO</t>
        </is>
      </c>
      <c r="L217" t="inlineStr">
        <is>
          <t>tr|A0A5F8G5Z5|A0A5F8G5Z5_MONDO RNA-directed DNA polymerase OS=Monodelphis domestica OX=13616 PE=4 SV=1</t>
        </is>
      </c>
      <c r="M217" t="n">
        <v>327</v>
      </c>
      <c r="N217" t="inlineStr">
        <is>
          <t>Monodelphis domestica</t>
        </is>
      </c>
      <c r="O217" t="inlineStr">
        <is>
          <t>RNA-directed DNA polymerase</t>
        </is>
      </c>
    </row>
    <row r="218">
      <c r="A218" t="inlineStr"/>
      <c r="B218" t="inlineStr"/>
      <c r="C218" t="inlineStr"/>
      <c r="D218" t="inlineStr"/>
      <c r="E218">
        <f>HYPERLINK("https://www.uniprot.org/uniprotkb/A0A8I3WC99/entry", "A0A8I3WC99")</f>
        <v/>
      </c>
      <c r="F218" t="n">
        <v>44</v>
      </c>
      <c r="G218" t="n">
        <v>84</v>
      </c>
      <c r="H218" t="n">
        <v>7.08e-11</v>
      </c>
      <c r="I218" t="inlineStr">
        <is>
          <t>TrEMBL</t>
        </is>
      </c>
      <c r="J218" t="inlineStr"/>
      <c r="K218" t="inlineStr">
        <is>
          <t>A0A8I3WC99_CALJA</t>
        </is>
      </c>
      <c r="L218" t="inlineStr">
        <is>
          <t>tr|A0A8I3WC99|A0A8I3WC99_CALJA RNA-directed DNA polymerase OS=Callithrix jacchus OX=9483 PE=4 SV=1</t>
        </is>
      </c>
      <c r="M218" t="n">
        <v>1255</v>
      </c>
      <c r="N218" t="inlineStr">
        <is>
          <t>Callithrix jacchus</t>
        </is>
      </c>
      <c r="O218" t="inlineStr">
        <is>
          <t>RNA-directed DNA polymerase</t>
        </is>
      </c>
    </row>
    <row r="219">
      <c r="A219" t="inlineStr"/>
      <c r="B219" t="inlineStr"/>
      <c r="C219" t="inlineStr"/>
      <c r="D219" t="inlineStr"/>
      <c r="E219">
        <f>HYPERLINK("https://www.uniprot.org/uniprotkb/A0A5F8HHB3/entry", "A0A5F8HHB3")</f>
        <v/>
      </c>
      <c r="F219" t="n">
        <v>45.2</v>
      </c>
      <c r="G219" t="n">
        <v>84</v>
      </c>
      <c r="H219" t="n">
        <v>7.09e-11</v>
      </c>
      <c r="I219" t="inlineStr">
        <is>
          <t>TrEMBL</t>
        </is>
      </c>
      <c r="J219" t="inlineStr"/>
      <c r="K219" t="inlineStr">
        <is>
          <t>A0A5F8HHB3_MONDO</t>
        </is>
      </c>
      <c r="L219" t="inlineStr">
        <is>
          <t>tr|A0A5F8HHB3|A0A5F8HHB3_MONDO RNA-directed DNA polymerase OS=Monodelphis domestica OX=13616 PE=4 SV=1</t>
        </is>
      </c>
      <c r="M219" t="n">
        <v>1268</v>
      </c>
      <c r="N219" t="inlineStr">
        <is>
          <t>Monodelphis domestica</t>
        </is>
      </c>
      <c r="O219" t="inlineStr">
        <is>
          <t>RNA-directed DNA polymerase</t>
        </is>
      </c>
    </row>
    <row r="220">
      <c r="A220" t="inlineStr"/>
      <c r="B220" t="inlineStr"/>
      <c r="C220" t="inlineStr"/>
      <c r="D220" t="inlineStr"/>
      <c r="E220">
        <f>HYPERLINK("https://www.uniprot.org/uniprotkb/A0A5F8G5H0/entry", "A0A5F8G5H0")</f>
        <v/>
      </c>
      <c r="F220" t="n">
        <v>44</v>
      </c>
      <c r="G220" t="n">
        <v>84</v>
      </c>
      <c r="H220" t="n">
        <v>7.13e-11</v>
      </c>
      <c r="I220" t="inlineStr">
        <is>
          <t>TrEMBL</t>
        </is>
      </c>
      <c r="J220" t="inlineStr"/>
      <c r="K220" t="inlineStr">
        <is>
          <t>A0A5F8G5H0_MONDO</t>
        </is>
      </c>
      <c r="L220" t="inlineStr">
        <is>
          <t>tr|A0A5F8G5H0|A0A5F8G5H0_MONDO RNA-directed DNA polymerase OS=Monodelphis domestica OX=13616 PE=4 SV=1</t>
        </is>
      </c>
      <c r="M220" t="n">
        <v>332</v>
      </c>
      <c r="N220" t="inlineStr">
        <is>
          <t>Monodelphis domestica</t>
        </is>
      </c>
      <c r="O220" t="inlineStr">
        <is>
          <t>RNA-directed DNA polymerase</t>
        </is>
      </c>
    </row>
    <row r="221">
      <c r="A221" t="inlineStr"/>
      <c r="B221" t="inlineStr"/>
      <c r="C221" t="inlineStr"/>
      <c r="D221" t="inlineStr"/>
      <c r="E221">
        <f>HYPERLINK("https://www.uniprot.org/uniprotkb/A0A5F8HHM0/entry", "A0A5F8HHM0")</f>
        <v/>
      </c>
      <c r="F221" t="n">
        <v>44</v>
      </c>
      <c r="G221" t="n">
        <v>84</v>
      </c>
      <c r="H221" t="n">
        <v>7.16e-11</v>
      </c>
      <c r="I221" t="inlineStr">
        <is>
          <t>TrEMBL</t>
        </is>
      </c>
      <c r="J221" t="inlineStr"/>
      <c r="K221" t="inlineStr">
        <is>
          <t>A0A5F8HHM0_MONDO</t>
        </is>
      </c>
      <c r="L221" t="inlineStr">
        <is>
          <t>tr|A0A5F8HHM0|A0A5F8HHM0_MONDO RNA-directed DNA polymerase OS=Monodelphis domestica OX=13616 PE=4 SV=1</t>
        </is>
      </c>
      <c r="M221" t="n">
        <v>333</v>
      </c>
      <c r="N221" t="inlineStr">
        <is>
          <t>Monodelphis domestica</t>
        </is>
      </c>
      <c r="O221" t="inlineStr">
        <is>
          <t>RNA-directed DNA polymerase</t>
        </is>
      </c>
    </row>
    <row r="222">
      <c r="A222" t="inlineStr"/>
      <c r="B222" t="inlineStr"/>
      <c r="C222" t="inlineStr"/>
      <c r="D222" t="inlineStr"/>
      <c r="E222">
        <f>HYPERLINK("https://www.uniprot.org/uniprotkb/K7E0F2/entry", "K7E0F2")</f>
        <v/>
      </c>
      <c r="F222" t="n">
        <v>44</v>
      </c>
      <c r="G222" t="n">
        <v>84</v>
      </c>
      <c r="H222" t="n">
        <v>7.61e-11</v>
      </c>
      <c r="I222" t="inlineStr">
        <is>
          <t>TrEMBL</t>
        </is>
      </c>
      <c r="J222" t="inlineStr"/>
      <c r="K222" t="inlineStr">
        <is>
          <t>K7E0F2_MONDO</t>
        </is>
      </c>
      <c r="L222" t="inlineStr">
        <is>
          <t>tr|K7E0F2|K7E0F2_MONDO RNA-directed DNA polymerase OS=Monodelphis domestica OX=13616 PE=4 SV=2</t>
        </is>
      </c>
      <c r="M222" t="n">
        <v>349</v>
      </c>
      <c r="N222" t="inlineStr">
        <is>
          <t>Monodelphis domestica</t>
        </is>
      </c>
      <c r="O222" t="inlineStr">
        <is>
          <t>RNA-directed DNA polymerase</t>
        </is>
      </c>
    </row>
    <row r="223">
      <c r="A223" t="inlineStr"/>
      <c r="B223" t="inlineStr"/>
      <c r="C223" t="inlineStr"/>
      <c r="D223" t="inlineStr"/>
      <c r="E223">
        <f>HYPERLINK("https://www.uniprot.org/uniprotkb/A0A5F8GCE4/entry", "A0A5F8GCE4")</f>
        <v/>
      </c>
      <c r="F223" t="n">
        <v>44</v>
      </c>
      <c r="G223" t="n">
        <v>84</v>
      </c>
      <c r="H223" t="n">
        <v>7.71e-11</v>
      </c>
      <c r="I223" t="inlineStr">
        <is>
          <t>TrEMBL</t>
        </is>
      </c>
      <c r="J223" t="inlineStr"/>
      <c r="K223" t="inlineStr">
        <is>
          <t>A0A5F8GCE4_MONDO</t>
        </is>
      </c>
      <c r="L223" t="inlineStr">
        <is>
          <t>tr|A0A5F8GCE4|A0A5F8GCE4_MONDO RNA-directed DNA polymerase OS=Monodelphis domestica OX=13616 PE=4 SV=1</t>
        </is>
      </c>
      <c r="M223" t="n">
        <v>353</v>
      </c>
      <c r="N223" t="inlineStr">
        <is>
          <t>Monodelphis domestica</t>
        </is>
      </c>
      <c r="O223" t="inlineStr">
        <is>
          <t>RNA-directed DNA polymerase</t>
        </is>
      </c>
    </row>
    <row r="224">
      <c r="A224" t="inlineStr"/>
      <c r="B224" t="inlineStr"/>
      <c r="C224" t="inlineStr"/>
      <c r="D224" t="inlineStr"/>
      <c r="E224">
        <f>HYPERLINK("https://www.uniprot.org/uniprotkb/K7E0Q1/entry", "K7E0Q1")</f>
        <v/>
      </c>
      <c r="F224" t="n">
        <v>44</v>
      </c>
      <c r="G224" t="n">
        <v>84</v>
      </c>
      <c r="H224" t="n">
        <v>7.780000000000001e-11</v>
      </c>
      <c r="I224" t="inlineStr">
        <is>
          <t>TrEMBL</t>
        </is>
      </c>
      <c r="J224" t="inlineStr"/>
      <c r="K224" t="inlineStr">
        <is>
          <t>K7E0Q1_MONDO</t>
        </is>
      </c>
      <c r="L224" t="inlineStr">
        <is>
          <t>tr|K7E0Q1|K7E0Q1_MONDO RNA-directed DNA polymerase OS=Monodelphis domestica OX=13616 PE=4 SV=2</t>
        </is>
      </c>
      <c r="M224" t="n">
        <v>356</v>
      </c>
      <c r="N224" t="inlineStr">
        <is>
          <t>Monodelphis domestica</t>
        </is>
      </c>
      <c r="O224" t="inlineStr">
        <is>
          <t>RNA-directed DNA polymerase</t>
        </is>
      </c>
    </row>
    <row r="225">
      <c r="A225" t="inlineStr"/>
      <c r="B225" t="inlineStr"/>
      <c r="C225" t="inlineStr"/>
      <c r="D225" t="inlineStr"/>
      <c r="E225">
        <f>HYPERLINK("https://www.uniprot.org/uniprotkb/A0A5F8GXC0/entry", "A0A5F8GXC0")</f>
        <v/>
      </c>
      <c r="F225" t="n">
        <v>44</v>
      </c>
      <c r="G225" t="n">
        <v>84</v>
      </c>
      <c r="H225" t="n">
        <v>7.83e-11</v>
      </c>
      <c r="I225" t="inlineStr">
        <is>
          <t>TrEMBL</t>
        </is>
      </c>
      <c r="J225" t="inlineStr"/>
      <c r="K225" t="inlineStr">
        <is>
          <t>A0A5F8GXC0_MONDO</t>
        </is>
      </c>
      <c r="L225" t="inlineStr">
        <is>
          <t>tr|A0A5F8GXC0|A0A5F8GXC0_MONDO RNA-directed DNA polymerase OS=Monodelphis domestica OX=13616 PE=4 SV=1</t>
        </is>
      </c>
      <c r="M225" t="n">
        <v>358</v>
      </c>
      <c r="N225" t="inlineStr">
        <is>
          <t>Monodelphis domestica</t>
        </is>
      </c>
      <c r="O225" t="inlineStr">
        <is>
          <t>RNA-directed DNA polymerase</t>
        </is>
      </c>
    </row>
    <row r="226">
      <c r="A226" t="inlineStr"/>
      <c r="B226" t="inlineStr"/>
      <c r="C226" t="inlineStr"/>
      <c r="D226" t="inlineStr"/>
      <c r="E226">
        <f>HYPERLINK("https://www.uniprot.org/uniprotkb/A0A5F8HGE8/entry", "A0A5F8HGE8")</f>
        <v/>
      </c>
      <c r="F226" t="n">
        <v>43.8</v>
      </c>
      <c r="G226" t="n">
        <v>89</v>
      </c>
      <c r="H226" t="n">
        <v>8.079999999999999e-11</v>
      </c>
      <c r="I226" t="inlineStr">
        <is>
          <t>TrEMBL</t>
        </is>
      </c>
      <c r="J226" t="inlineStr"/>
      <c r="K226" t="inlineStr">
        <is>
          <t>A0A5F8HGE8_MONDO</t>
        </is>
      </c>
      <c r="L226" t="inlineStr">
        <is>
          <t>tr|A0A5F8HGE8|A0A5F8HGE8_MONDO RNA-directed DNA polymerase OS=Monodelphis domestica OX=13616 PE=4 SV=1</t>
        </is>
      </c>
      <c r="M226" t="n">
        <v>370</v>
      </c>
      <c r="N226" t="inlineStr">
        <is>
          <t>Monodelphis domestica</t>
        </is>
      </c>
      <c r="O226" t="inlineStr">
        <is>
          <t>RNA-directed DNA polymerase</t>
        </is>
      </c>
    </row>
    <row r="227">
      <c r="A227" t="inlineStr"/>
      <c r="B227" t="inlineStr"/>
      <c r="C227" t="inlineStr"/>
      <c r="D227" t="inlineStr"/>
      <c r="E227">
        <f>HYPERLINK("https://www.uniprot.org/uniprotkb/A0A5F8GH00/entry", "A0A5F8GH00")</f>
        <v/>
      </c>
      <c r="F227" t="n">
        <v>44</v>
      </c>
      <c r="G227" t="n">
        <v>84</v>
      </c>
      <c r="H227" t="n">
        <v>8.319999999999999e-11</v>
      </c>
      <c r="I227" t="inlineStr">
        <is>
          <t>TrEMBL</t>
        </is>
      </c>
      <c r="J227" t="inlineStr"/>
      <c r="K227" t="inlineStr">
        <is>
          <t>A0A5F8GH00_MONDO</t>
        </is>
      </c>
      <c r="L227" t="inlineStr">
        <is>
          <t>tr|A0A5F8GH00|A0A5F8GH00_MONDO RNA-directed DNA polymerase OS=Monodelphis domestica OX=13616 PE=4 SV=1</t>
        </is>
      </c>
      <c r="M227" t="n">
        <v>384</v>
      </c>
      <c r="N227" t="inlineStr">
        <is>
          <t>Monodelphis domestica</t>
        </is>
      </c>
      <c r="O227" t="inlineStr">
        <is>
          <t>RNA-directed DNA polymerase</t>
        </is>
      </c>
    </row>
    <row r="228">
      <c r="A228" t="inlineStr"/>
      <c r="B228" t="inlineStr"/>
      <c r="C228" t="inlineStr"/>
      <c r="D228" t="inlineStr"/>
      <c r="E228">
        <f>HYPERLINK("https://www.uniprot.org/uniprotkb/K7E284/entry", "K7E284")</f>
        <v/>
      </c>
      <c r="F228" t="n">
        <v>44</v>
      </c>
      <c r="G228" t="n">
        <v>84</v>
      </c>
      <c r="H228" t="n">
        <v>9.32e-11</v>
      </c>
      <c r="I228" t="inlineStr">
        <is>
          <t>TrEMBL</t>
        </is>
      </c>
      <c r="J228" t="inlineStr"/>
      <c r="K228" t="inlineStr">
        <is>
          <t>K7E284_MONDO</t>
        </is>
      </c>
      <c r="L228" t="inlineStr">
        <is>
          <t>tr|K7E284|K7E284_MONDO RNA-directed DNA polymerase OS=Monodelphis domestica OX=13616 PE=4 SV=2</t>
        </is>
      </c>
      <c r="M228" t="n">
        <v>646</v>
      </c>
      <c r="N228" t="inlineStr">
        <is>
          <t>Monodelphis domestica</t>
        </is>
      </c>
      <c r="O228" t="inlineStr">
        <is>
          <t>RNA-directed DNA polymerase</t>
        </is>
      </c>
    </row>
    <row r="229">
      <c r="A229" t="inlineStr"/>
      <c r="B229" t="inlineStr"/>
      <c r="C229" t="inlineStr"/>
      <c r="D229" t="inlineStr"/>
      <c r="E229">
        <f>HYPERLINK("https://www.uniprot.org/uniprotkb/K7E0P9/entry", "K7E0P9")</f>
        <v/>
      </c>
      <c r="F229" t="n">
        <v>44</v>
      </c>
      <c r="G229" t="n">
        <v>84</v>
      </c>
      <c r="H229" t="n">
        <v>9.35e-11</v>
      </c>
      <c r="I229" t="inlineStr">
        <is>
          <t>TrEMBL</t>
        </is>
      </c>
      <c r="J229" t="inlineStr"/>
      <c r="K229" t="inlineStr">
        <is>
          <t>K7E0P9_MONDO</t>
        </is>
      </c>
      <c r="L229" t="inlineStr">
        <is>
          <t>tr|K7E0P9|K7E0P9_MONDO RNA-directed DNA polymerase OS=Monodelphis domestica OX=13616 PE=4 SV=2</t>
        </is>
      </c>
      <c r="M229" t="n">
        <v>675</v>
      </c>
      <c r="N229" t="inlineStr">
        <is>
          <t>Monodelphis domestica</t>
        </is>
      </c>
      <c r="O229" t="inlineStr">
        <is>
          <t>RNA-directed DNA polymerase</t>
        </is>
      </c>
    </row>
    <row r="230">
      <c r="A230" t="inlineStr"/>
      <c r="B230" t="inlineStr"/>
      <c r="C230" t="inlineStr"/>
      <c r="D230" t="inlineStr"/>
      <c r="E230">
        <f>HYPERLINK("https://www.uniprot.org/uniprotkb/K7E581/entry", "K7E581")</f>
        <v/>
      </c>
      <c r="F230" t="n">
        <v>44</v>
      </c>
      <c r="G230" t="n">
        <v>84</v>
      </c>
      <c r="H230" t="n">
        <v>9.35e-11</v>
      </c>
      <c r="I230" t="inlineStr">
        <is>
          <t>TrEMBL</t>
        </is>
      </c>
      <c r="J230" t="inlineStr"/>
      <c r="K230" t="inlineStr">
        <is>
          <t>K7E581_MONDO</t>
        </is>
      </c>
      <c r="L230" t="inlineStr">
        <is>
          <t>tr|K7E581|K7E581_MONDO RNA-directed DNA polymerase OS=Monodelphis domestica OX=13616 PE=4 SV=2</t>
        </is>
      </c>
      <c r="M230" t="n">
        <v>675</v>
      </c>
      <c r="N230" t="inlineStr">
        <is>
          <t>Monodelphis domestica</t>
        </is>
      </c>
      <c r="O230" t="inlineStr">
        <is>
          <t>RNA-directed DNA polymerase</t>
        </is>
      </c>
    </row>
    <row r="231">
      <c r="A231" t="inlineStr"/>
      <c r="B231" t="inlineStr"/>
      <c r="C231" t="inlineStr"/>
      <c r="D231" t="inlineStr"/>
      <c r="E231">
        <f>HYPERLINK("https://www.uniprot.org/uniprotkb/K7E1F5/entry", "K7E1F5")</f>
        <v/>
      </c>
      <c r="F231" t="n">
        <v>44</v>
      </c>
      <c r="G231" t="n">
        <v>84</v>
      </c>
      <c r="H231" t="n">
        <v>9.360000000000001e-11</v>
      </c>
      <c r="I231" t="inlineStr">
        <is>
          <t>TrEMBL</t>
        </is>
      </c>
      <c r="J231" t="inlineStr"/>
      <c r="K231" t="inlineStr">
        <is>
          <t>K7E1F5_MONDO</t>
        </is>
      </c>
      <c r="L231" t="inlineStr">
        <is>
          <t>tr|K7E1F5|K7E1F5_MONDO RNA-directed DNA polymerase OS=Monodelphis domestica OX=13616 PE=4 SV=2</t>
        </is>
      </c>
      <c r="M231" t="n">
        <v>679</v>
      </c>
      <c r="N231" t="inlineStr">
        <is>
          <t>Monodelphis domestica</t>
        </is>
      </c>
      <c r="O231" t="inlineStr">
        <is>
          <t>RNA-directed DNA polymerase</t>
        </is>
      </c>
    </row>
    <row r="232">
      <c r="A232" t="inlineStr"/>
      <c r="B232" t="inlineStr"/>
      <c r="C232" t="inlineStr"/>
      <c r="D232" t="inlineStr"/>
      <c r="E232">
        <f>HYPERLINK("https://www.ncbi.nlm.nih.gov/gene/?term=WP_241899350.1", "WP_241899350.1")</f>
        <v/>
      </c>
      <c r="F232" t="n">
        <v>42.9</v>
      </c>
      <c r="G232" t="n">
        <v>84</v>
      </c>
      <c r="H232" t="n">
        <v>1.29e-10</v>
      </c>
      <c r="I232" t="inlineStr">
        <is>
          <t>Nr</t>
        </is>
      </c>
      <c r="J232" t="inlineStr"/>
      <c r="K232" t="inlineStr"/>
      <c r="L232" t="inlineStr">
        <is>
          <t>WP_241899350.1 reverse transcriptase family protein, partial [Pseudomonas syringae]</t>
        </is>
      </c>
      <c r="M232" t="n">
        <v>195</v>
      </c>
      <c r="N232" t="inlineStr">
        <is>
          <t>Pseudomonas syringae</t>
        </is>
      </c>
      <c r="O232" t="inlineStr">
        <is>
          <t>reverse transcriptase family protein, partial</t>
        </is>
      </c>
    </row>
    <row r="233">
      <c r="A233" t="inlineStr"/>
      <c r="B233" t="inlineStr"/>
      <c r="C233" t="inlineStr"/>
      <c r="D233" t="inlineStr"/>
      <c r="E233">
        <f>HYPERLINK("https://www.ncbi.nlm.nih.gov/gene/?term=WP_272940645.1", "WP_272940645.1")</f>
        <v/>
      </c>
      <c r="F233" t="n">
        <v>42.7</v>
      </c>
      <c r="G233" t="n">
        <v>89</v>
      </c>
      <c r="H233" t="n">
        <v>1.95e-10</v>
      </c>
      <c r="I233" t="inlineStr">
        <is>
          <t>Nr</t>
        </is>
      </c>
      <c r="J233" t="inlineStr"/>
      <c r="K233" t="inlineStr"/>
      <c r="L233" t="inlineStr">
        <is>
          <t>WP_272940645.1 reverse transcriptase domain-containing protein, partial [Campylobacter coli]</t>
        </is>
      </c>
      <c r="M233" t="n">
        <v>128</v>
      </c>
      <c r="N233" t="inlineStr">
        <is>
          <t>Campylobacter coli</t>
        </is>
      </c>
      <c r="O233" t="inlineStr">
        <is>
          <t>reverse transcriptase domain-containing protein, partial</t>
        </is>
      </c>
    </row>
    <row r="234">
      <c r="A234" t="inlineStr"/>
      <c r="B234" t="inlineStr"/>
      <c r="C234" t="inlineStr"/>
      <c r="D234" t="inlineStr"/>
      <c r="E234">
        <f>HYPERLINK("https://www.ncbi.nlm.nih.gov/gene/?term=KAF6119848.1", "KAF6119848.1")</f>
        <v/>
      </c>
      <c r="F234" t="n">
        <v>42.7</v>
      </c>
      <c r="G234" t="n">
        <v>82</v>
      </c>
      <c r="H234" t="n">
        <v>3.9e-10</v>
      </c>
      <c r="I234" t="inlineStr">
        <is>
          <t>Nr</t>
        </is>
      </c>
      <c r="J234" t="inlineStr"/>
      <c r="K234" t="inlineStr"/>
      <c r="L234" t="inlineStr">
        <is>
          <t>KAF6119848.1 hypothetical protein HJG60_010234 [Phyllostomus discolor]</t>
        </is>
      </c>
      <c r="M234" t="n">
        <v>180</v>
      </c>
      <c r="N234" t="inlineStr">
        <is>
          <t>Phyllostomus discolor</t>
        </is>
      </c>
      <c r="O234" t="inlineStr">
        <is>
          <t>hypothetical protein HJG60_010234</t>
        </is>
      </c>
    </row>
    <row r="235">
      <c r="A235" t="inlineStr"/>
      <c r="B235" t="inlineStr"/>
      <c r="C235" t="inlineStr"/>
      <c r="D235" t="inlineStr"/>
      <c r="E235">
        <f>HYPERLINK("https://www.ncbi.nlm.nih.gov/gene/?term=KAG3264581.1", "KAG3264581.1")</f>
        <v/>
      </c>
      <c r="F235" t="n">
        <v>41.7</v>
      </c>
      <c r="G235" t="n">
        <v>84</v>
      </c>
      <c r="H235" t="n">
        <v>4.25e-10</v>
      </c>
      <c r="I235" t="inlineStr">
        <is>
          <t>Nr</t>
        </is>
      </c>
      <c r="J235" t="inlineStr"/>
      <c r="K235" t="inlineStr"/>
      <c r="L235" t="inlineStr">
        <is>
          <t>KAG3264581.1 hypothetical protein H1C71_000915, partial [Ictidomys tridecemlineatus]</t>
        </is>
      </c>
      <c r="M235" t="n">
        <v>185</v>
      </c>
      <c r="N235" t="inlineStr">
        <is>
          <t>Ictidomys tridecemlineatus</t>
        </is>
      </c>
      <c r="O235" t="inlineStr">
        <is>
          <t>hypothetical protein H1C71_000915, partial</t>
        </is>
      </c>
    </row>
    <row r="236">
      <c r="A236" t="inlineStr"/>
      <c r="B236" t="inlineStr"/>
      <c r="C236" t="inlineStr"/>
      <c r="D236" t="inlineStr"/>
      <c r="E236">
        <f>HYPERLINK("https://www.ncbi.nlm.nih.gov/gene/?term=KAF6353589.1", "KAF6353589.1")</f>
        <v/>
      </c>
      <c r="F236" t="n">
        <v>42.1</v>
      </c>
      <c r="G236" t="n">
        <v>95</v>
      </c>
      <c r="H236" t="n">
        <v>5.36e-10</v>
      </c>
      <c r="I236" t="inlineStr">
        <is>
          <t>Nr</t>
        </is>
      </c>
      <c r="J236" t="inlineStr"/>
      <c r="K236" t="inlineStr"/>
      <c r="L236" t="inlineStr">
        <is>
          <t>KAF6353589.1 hypothetical protein mPipKuh1_010502 [Pipistrellus kuhlii]</t>
        </is>
      </c>
      <c r="M236" t="n">
        <v>371</v>
      </c>
      <c r="N236" t="inlineStr">
        <is>
          <t>Pipistrellus kuhlii</t>
        </is>
      </c>
      <c r="O236" t="inlineStr">
        <is>
          <t>hypothetical protein mPipKuh1_010502</t>
        </is>
      </c>
    </row>
    <row r="237">
      <c r="A237" t="inlineStr"/>
      <c r="B237" t="inlineStr"/>
      <c r="C237" t="inlineStr"/>
      <c r="D237" t="inlineStr"/>
      <c r="E237">
        <f>HYPERLINK("https://www.uniprot.org/uniprotkb/O00370/entry", "O00370")</f>
        <v/>
      </c>
      <c r="F237" t="n">
        <v>39.3</v>
      </c>
      <c r="G237" t="n">
        <v>84</v>
      </c>
      <c r="H237" t="n">
        <v>5.95e-10</v>
      </c>
      <c r="I237" t="inlineStr">
        <is>
          <t>Swiss-Prot</t>
        </is>
      </c>
      <c r="J237" t="inlineStr"/>
      <c r="K237" t="inlineStr">
        <is>
          <t>LORF2_HUMAN</t>
        </is>
      </c>
      <c r="L237" t="inlineStr">
        <is>
          <t>sp|O00370|LORF2_HUMAN LINE-1 retrotransposable element ORF2 protein OS=Homo sapiens OX=9606 PE=1 SV=1</t>
        </is>
      </c>
      <c r="M237" t="n">
        <v>1275</v>
      </c>
      <c r="N237" t="inlineStr">
        <is>
          <t>Homo sapiens</t>
        </is>
      </c>
      <c r="O237" t="inlineStr">
        <is>
          <t>LINE-1 retrotransposable element ORF2 protein</t>
        </is>
      </c>
    </row>
    <row r="238">
      <c r="A238" t="inlineStr"/>
      <c r="B238" t="inlineStr"/>
      <c r="C238" t="inlineStr"/>
      <c r="D238" t="inlineStr"/>
      <c r="E238">
        <f>HYPERLINK("https://www.ncbi.nlm.nih.gov/gene/?term=KAF0870557.1", "KAF0870557.1")</f>
        <v/>
      </c>
      <c r="F238" t="n">
        <v>42.5</v>
      </c>
      <c r="G238" t="n">
        <v>87</v>
      </c>
      <c r="H238" t="n">
        <v>9.03e-10</v>
      </c>
      <c r="I238" t="inlineStr">
        <is>
          <t>Nr</t>
        </is>
      </c>
      <c r="J238" t="inlineStr"/>
      <c r="K238" t="inlineStr"/>
      <c r="L238" t="inlineStr">
        <is>
          <t>KAF0870557.1 LORF2 protein, partial [Crocuta crocuta]</t>
        </is>
      </c>
      <c r="M238" t="n">
        <v>135</v>
      </c>
      <c r="N238" t="inlineStr">
        <is>
          <t>Crocuta crocuta</t>
        </is>
      </c>
      <c r="O238" t="inlineStr">
        <is>
          <t>LORF2 protein, partial</t>
        </is>
      </c>
    </row>
    <row r="239">
      <c r="A239" t="inlineStr"/>
      <c r="B239" t="inlineStr"/>
      <c r="C239" t="inlineStr"/>
      <c r="D239" t="inlineStr"/>
      <c r="E239">
        <f>HYPERLINK("https://www.ncbi.nlm.nih.gov/gene/?term=KAF6360158.1", "KAF6360158.1")</f>
        <v/>
      </c>
      <c r="F239" t="n">
        <v>44</v>
      </c>
      <c r="G239" t="n">
        <v>84</v>
      </c>
      <c r="H239" t="n">
        <v>1.11e-09</v>
      </c>
      <c r="I239" t="inlineStr">
        <is>
          <t>Nr</t>
        </is>
      </c>
      <c r="J239" t="inlineStr"/>
      <c r="K239" t="inlineStr"/>
      <c r="L239" t="inlineStr">
        <is>
          <t>KAF6360158.1 hypothetical protein mMyoMyo1_011111 [Myotis myotis]</t>
        </is>
      </c>
      <c r="M239" t="n">
        <v>496</v>
      </c>
      <c r="N239" t="inlineStr">
        <is>
          <t>Myotis myotis</t>
        </is>
      </c>
      <c r="O239" t="inlineStr">
        <is>
          <t>hypothetical protein mMyoMyo1_011111</t>
        </is>
      </c>
    </row>
    <row r="240">
      <c r="A240" t="inlineStr"/>
      <c r="B240" t="inlineStr"/>
      <c r="C240" t="inlineStr"/>
      <c r="D240" t="inlineStr"/>
      <c r="E240">
        <f>HYPERLINK("https://www.ncbi.nlm.nih.gov/gene/?term=KAF6300596.1", "KAF6300596.1")</f>
        <v/>
      </c>
      <c r="F240" t="n">
        <v>42.9</v>
      </c>
      <c r="G240" t="n">
        <v>84</v>
      </c>
      <c r="H240" t="n">
        <v>1.12e-09</v>
      </c>
      <c r="I240" t="inlineStr">
        <is>
          <t>Nr</t>
        </is>
      </c>
      <c r="J240" t="inlineStr"/>
      <c r="K240" t="inlineStr"/>
      <c r="L240" t="inlineStr">
        <is>
          <t>KAF6300596.1 hypothetical protein mMyoMyo1_009069 [Myotis myotis]</t>
        </is>
      </c>
      <c r="M240" t="n">
        <v>559</v>
      </c>
      <c r="N240" t="inlineStr">
        <is>
          <t>Myotis myotis</t>
        </is>
      </c>
      <c r="O240" t="inlineStr">
        <is>
          <t>hypothetical protein mMyoMyo1_009069</t>
        </is>
      </c>
    </row>
    <row r="241">
      <c r="A241" t="inlineStr"/>
      <c r="B241" t="inlineStr"/>
      <c r="C241" t="inlineStr"/>
      <c r="D241" t="inlineStr"/>
      <c r="E241">
        <f>HYPERLINK("https://www.ncbi.nlm.nih.gov/gene/?term=KAF6379016.1", "KAF6379016.1")</f>
        <v/>
      </c>
      <c r="F241" t="n">
        <v>42.9</v>
      </c>
      <c r="G241" t="n">
        <v>84</v>
      </c>
      <c r="H241" t="n">
        <v>1.3e-09</v>
      </c>
      <c r="I241" t="inlineStr">
        <is>
          <t>Nr</t>
        </is>
      </c>
      <c r="J241" t="inlineStr"/>
      <c r="K241" t="inlineStr"/>
      <c r="L241" t="inlineStr">
        <is>
          <t>KAF6379016.1 hypothetical protein mMyoMyo1_009886 [Myotis myotis]</t>
        </is>
      </c>
      <c r="M241" t="n">
        <v>345</v>
      </c>
      <c r="N241" t="inlineStr">
        <is>
          <t>Myotis myotis</t>
        </is>
      </c>
      <c r="O241" t="inlineStr">
        <is>
          <t>hypothetical protein mMyoMyo1_009886</t>
        </is>
      </c>
    </row>
    <row r="242">
      <c r="A242" t="inlineStr"/>
      <c r="B242" t="inlineStr"/>
      <c r="C242" t="inlineStr"/>
      <c r="D242" t="inlineStr"/>
      <c r="E242">
        <f>HYPERLINK("https://www.ncbi.nlm.nih.gov/gene/?term=KAF0878081.1", "KAF0878081.1")</f>
        <v/>
      </c>
      <c r="F242" t="n">
        <v>43.4</v>
      </c>
      <c r="G242" t="n">
        <v>83</v>
      </c>
      <c r="H242" t="n">
        <v>1.96e-09</v>
      </c>
      <c r="I242" t="inlineStr">
        <is>
          <t>Nr</t>
        </is>
      </c>
      <c r="J242" t="inlineStr"/>
      <c r="K242" t="inlineStr"/>
      <c r="L242" t="inlineStr">
        <is>
          <t>KAF0878081.1 LORF2 protein, partial [Crocuta crocuta]</t>
        </is>
      </c>
      <c r="M242" t="n">
        <v>108</v>
      </c>
      <c r="N242" t="inlineStr">
        <is>
          <t>Crocuta crocuta</t>
        </is>
      </c>
      <c r="O242" t="inlineStr">
        <is>
          <t>LORF2 protein, partial</t>
        </is>
      </c>
    </row>
    <row r="243">
      <c r="A243" t="inlineStr"/>
      <c r="B243" t="inlineStr"/>
      <c r="C243" t="inlineStr"/>
      <c r="D243" t="inlineStr"/>
      <c r="E243">
        <f>HYPERLINK("https://www.ncbi.nlm.nih.gov/gene/?term=CAI5685761.1", "CAI5685761.1")</f>
        <v/>
      </c>
      <c r="F243" t="n">
        <v>44.3</v>
      </c>
      <c r="G243" t="n">
        <v>88</v>
      </c>
      <c r="H243" t="n">
        <v>2.07e-09</v>
      </c>
      <c r="I243" t="inlineStr">
        <is>
          <t>Nr</t>
        </is>
      </c>
      <c r="J243" t="inlineStr"/>
      <c r="K243" t="inlineStr"/>
      <c r="L243" t="inlineStr">
        <is>
          <t>CAI5685761.1 unnamed protein product [Mustela putorius furo]</t>
        </is>
      </c>
      <c r="M243" t="n">
        <v>499</v>
      </c>
      <c r="N243" t="inlineStr">
        <is>
          <t>Mustela putorius furo</t>
        </is>
      </c>
      <c r="O243" t="inlineStr">
        <is>
          <t>unnamed protein product</t>
        </is>
      </c>
    </row>
    <row r="244">
      <c r="A244" t="inlineStr"/>
      <c r="B244" t="inlineStr"/>
      <c r="C244" t="inlineStr"/>
      <c r="D244" t="inlineStr"/>
      <c r="E244">
        <f>HYPERLINK("https://www.ncbi.nlm.nih.gov/gene/?term=KAI5932745.1", "KAI5932745.1")</f>
        <v/>
      </c>
      <c r="F244" t="n">
        <v>42.2</v>
      </c>
      <c r="G244" t="n">
        <v>83</v>
      </c>
      <c r="H244" t="n">
        <v>2.14e-09</v>
      </c>
      <c r="I244" t="inlineStr">
        <is>
          <t>Nr</t>
        </is>
      </c>
      <c r="J244" t="inlineStr"/>
      <c r="K244" t="inlineStr"/>
      <c r="L244" t="inlineStr">
        <is>
          <t>KAI5932745.1 LINE-1 retrotransposable element ORF2 protein [Manis javanica]</t>
        </is>
      </c>
      <c r="M244" t="n">
        <v>728</v>
      </c>
      <c r="N244" t="inlineStr">
        <is>
          <t>Manis javanica</t>
        </is>
      </c>
      <c r="O244" t="inlineStr">
        <is>
          <t>LINE-1 retrotransposable element ORF2 protein</t>
        </is>
      </c>
    </row>
    <row r="245">
      <c r="A245" t="inlineStr"/>
      <c r="B245" t="inlineStr"/>
      <c r="C245" t="inlineStr"/>
      <c r="D245" t="inlineStr"/>
      <c r="E245">
        <f>HYPERLINK("https://www.ncbi.nlm.nih.gov/gene/?term=KAJ1073666.1", "KAJ1073666.1")</f>
        <v/>
      </c>
      <c r="F245" t="n">
        <v>42.7</v>
      </c>
      <c r="G245" t="n">
        <v>89</v>
      </c>
      <c r="H245" t="n">
        <v>2.16e-09</v>
      </c>
      <c r="I245" t="inlineStr">
        <is>
          <t>Nr</t>
        </is>
      </c>
      <c r="J245" t="inlineStr"/>
      <c r="K245" t="inlineStr"/>
      <c r="L245" t="inlineStr">
        <is>
          <t>KAJ1073666.1 hypothetical protein K5549_006904 [Capra hircus]</t>
        </is>
      </c>
      <c r="M245" t="n">
        <v>851</v>
      </c>
      <c r="N245" t="inlineStr">
        <is>
          <t>Capra hircus</t>
        </is>
      </c>
      <c r="O245" t="inlineStr">
        <is>
          <t>hypothetical protein K5549_006904</t>
        </is>
      </c>
    </row>
    <row r="246">
      <c r="A246" t="inlineStr"/>
      <c r="B246" t="inlineStr"/>
      <c r="C246" t="inlineStr"/>
      <c r="D246" t="inlineStr"/>
      <c r="E246">
        <f>HYPERLINK("https://www.ncbi.nlm.nih.gov/gene/?term=KAJ1061517.1", "KAJ1061517.1")</f>
        <v/>
      </c>
      <c r="F246" t="n">
        <v>41.6</v>
      </c>
      <c r="G246" t="n">
        <v>89</v>
      </c>
      <c r="H246" t="n">
        <v>2.17e-09</v>
      </c>
      <c r="I246" t="inlineStr">
        <is>
          <t>Nr</t>
        </is>
      </c>
      <c r="J246" t="inlineStr"/>
      <c r="K246" t="inlineStr"/>
      <c r="L246" t="inlineStr">
        <is>
          <t>KAJ1061517.1 hypothetical protein K5549_020924 [Capra hircus]</t>
        </is>
      </c>
      <c r="M246" t="n">
        <v>945</v>
      </c>
      <c r="N246" t="inlineStr">
        <is>
          <t>Capra hircus</t>
        </is>
      </c>
      <c r="O246" t="inlineStr">
        <is>
          <t>hypothetical protein K5549_020924</t>
        </is>
      </c>
    </row>
    <row r="247">
      <c r="A247" t="inlineStr"/>
      <c r="B247" t="inlineStr"/>
      <c r="C247" t="inlineStr"/>
      <c r="D247" t="inlineStr"/>
      <c r="E247">
        <f>HYPERLINK("https://www.ncbi.nlm.nih.gov/gene/?term=GBX89580.1", "GBX89580.1")</f>
        <v/>
      </c>
      <c r="F247" t="n">
        <v>43.8</v>
      </c>
      <c r="G247" t="n">
        <v>89</v>
      </c>
      <c r="H247" t="n">
        <v>2.93e-09</v>
      </c>
      <c r="I247" t="inlineStr">
        <is>
          <t>Nr</t>
        </is>
      </c>
      <c r="J247" t="inlineStr"/>
      <c r="K247" t="inlineStr"/>
      <c r="L247" t="inlineStr">
        <is>
          <t>GBX89580.1 hypothetical protein M6K003_2513 [Staphylococcus aureus]</t>
        </is>
      </c>
      <c r="M247" t="n">
        <v>259</v>
      </c>
      <c r="N247" t="inlineStr">
        <is>
          <t>Staphylococcus aureus</t>
        </is>
      </c>
      <c r="O247" t="inlineStr">
        <is>
          <t>hypothetical protein M6K003_2513</t>
        </is>
      </c>
    </row>
    <row r="248">
      <c r="A248" t="inlineStr"/>
      <c r="B248" t="inlineStr"/>
      <c r="C248" t="inlineStr"/>
      <c r="D248" t="inlineStr"/>
      <c r="E248">
        <f>HYPERLINK("https://www.ncbi.nlm.nih.gov/gene/?term=KAJ1058337.1", "KAJ1058337.1")</f>
        <v/>
      </c>
      <c r="F248" t="n">
        <v>41.1</v>
      </c>
      <c r="G248" t="n">
        <v>90</v>
      </c>
      <c r="H248" t="n">
        <v>2.94e-09</v>
      </c>
      <c r="I248" t="inlineStr">
        <is>
          <t>Nr</t>
        </is>
      </c>
      <c r="J248" t="inlineStr"/>
      <c r="K248" t="inlineStr"/>
      <c r="L248" t="inlineStr">
        <is>
          <t>KAJ1058337.1 hypothetical protein K5549_020977, partial [Capra hircus]</t>
        </is>
      </c>
      <c r="M248" t="n">
        <v>802</v>
      </c>
      <c r="N248" t="inlineStr">
        <is>
          <t>Capra hircus</t>
        </is>
      </c>
      <c r="O248" t="inlineStr">
        <is>
          <t>hypothetical protein K5549_020977, partial</t>
        </is>
      </c>
    </row>
    <row r="249">
      <c r="A249" t="inlineStr"/>
      <c r="B249" t="inlineStr"/>
      <c r="C249" t="inlineStr"/>
      <c r="D249" t="inlineStr"/>
      <c r="E249">
        <f>HYPERLINK("https://www.ncbi.nlm.nih.gov/gene/?term=WP_251570967.1", "WP_251570967.1")</f>
        <v/>
      </c>
      <c r="F249" t="n">
        <v>41.6</v>
      </c>
      <c r="G249" t="n">
        <v>89</v>
      </c>
      <c r="H249" t="n">
        <v>2.95e-09</v>
      </c>
      <c r="I249" t="inlineStr">
        <is>
          <t>Nr</t>
        </is>
      </c>
      <c r="J249" t="inlineStr"/>
      <c r="K249" t="inlineStr"/>
      <c r="L249" t="inlineStr">
        <is>
          <t>WP_251570967.1 reverse transcriptase family protein, partial [Parasutterella sp. DSM 108034]</t>
        </is>
      </c>
      <c r="M249" t="n">
        <v>260</v>
      </c>
      <c r="N249" t="inlineStr">
        <is>
          <t>Parasutterella sp. DSM 108034</t>
        </is>
      </c>
      <c r="O249" t="inlineStr">
        <is>
          <t>reverse transcriptase family protein, partial</t>
        </is>
      </c>
    </row>
    <row r="250">
      <c r="A250" t="inlineStr"/>
      <c r="B250" t="inlineStr"/>
      <c r="C250" t="inlineStr"/>
      <c r="D250" t="inlineStr"/>
      <c r="E250">
        <f>HYPERLINK("https://www.ncbi.nlm.nih.gov/gene/?term=P08548.1", "P08548.1")</f>
        <v/>
      </c>
      <c r="F250" t="n">
        <v>43.4</v>
      </c>
      <c r="G250" t="n">
        <v>83</v>
      </c>
      <c r="H250" t="n">
        <v>3e-09</v>
      </c>
      <c r="I250" t="inlineStr">
        <is>
          <t>Nr</t>
        </is>
      </c>
      <c r="J250" t="inlineStr"/>
      <c r="K250" t="inlineStr"/>
      <c r="L250" t="inlineStr">
        <is>
          <t>P08548.1 RecName: Full=LINE-1 reverse transcriptase homolog [Nycticebus coucang]</t>
        </is>
      </c>
      <c r="M250" t="n">
        <v>1260</v>
      </c>
      <c r="N250" t="inlineStr">
        <is>
          <t>Nycticebus coucang</t>
        </is>
      </c>
      <c r="O250" t="inlineStr">
        <is>
          <t>RecName: Full=LINE-1 reverse transcriptase homolog</t>
        </is>
      </c>
    </row>
    <row r="251">
      <c r="A251" t="inlineStr"/>
      <c r="B251" t="inlineStr"/>
      <c r="C251" t="inlineStr"/>
      <c r="D251" t="inlineStr"/>
      <c r="E251">
        <f>HYPERLINK("https://www.ncbi.nlm.nih.gov/gene/?term=KAB0358682.1", "KAB0358682.1")</f>
        <v/>
      </c>
      <c r="F251" t="n">
        <v>41.6</v>
      </c>
      <c r="G251" t="n">
        <v>89</v>
      </c>
      <c r="H251" t="n">
        <v>3.96e-09</v>
      </c>
      <c r="I251" t="inlineStr">
        <is>
          <t>Nr</t>
        </is>
      </c>
      <c r="J251" t="inlineStr"/>
      <c r="K251" t="inlineStr"/>
      <c r="L251" t="inlineStr">
        <is>
          <t>KAB0358682.1 hypothetical protein FD754_002838, partial [Muntiacus muntjak]</t>
        </is>
      </c>
      <c r="M251" t="n">
        <v>669</v>
      </c>
      <c r="N251" t="inlineStr">
        <is>
          <t>Muntiacus muntjak</t>
        </is>
      </c>
      <c r="O251" t="inlineStr">
        <is>
          <t>hypothetical protein FD754_002838, partial</t>
        </is>
      </c>
    </row>
    <row r="252">
      <c r="A252" t="inlineStr"/>
      <c r="B252" t="inlineStr"/>
      <c r="C252" t="inlineStr"/>
      <c r="D252" t="inlineStr"/>
      <c r="E252">
        <f>HYPERLINK("https://www.ncbi.nlm.nih.gov/gene/?term=ACE79050.1", "ACE79050.1")</f>
        <v/>
      </c>
      <c r="F252" t="n">
        <v>43.4</v>
      </c>
      <c r="G252" t="n">
        <v>83</v>
      </c>
      <c r="H252" t="n">
        <v>3.98e-09</v>
      </c>
      <c r="I252" t="inlineStr">
        <is>
          <t>Nr</t>
        </is>
      </c>
      <c r="J252" t="inlineStr"/>
      <c r="K252" t="inlineStr"/>
      <c r="L252" t="inlineStr">
        <is>
          <t>ACE79050.1 LINE-1 element ORF2 (predicted) [Sorex araneus]</t>
        </is>
      </c>
      <c r="M252" t="n">
        <v>705</v>
      </c>
      <c r="N252" t="inlineStr">
        <is>
          <t>Sorex araneus</t>
        </is>
      </c>
      <c r="O252" t="inlineStr">
        <is>
          <t>LINE-1 element ORF2 (predicted)</t>
        </is>
      </c>
    </row>
    <row r="253">
      <c r="A253" t="inlineStr"/>
      <c r="B253" t="inlineStr"/>
      <c r="C253" t="inlineStr"/>
      <c r="D253" t="inlineStr"/>
      <c r="E253">
        <f>HYPERLINK("https://www.ncbi.nlm.nih.gov/gene/?term=KAB0380629.1", "KAB0380629.1")</f>
        <v/>
      </c>
      <c r="F253" t="n">
        <v>41.6</v>
      </c>
      <c r="G253" t="n">
        <v>89</v>
      </c>
      <c r="H253" t="n">
        <v>3.99e-09</v>
      </c>
      <c r="I253" t="inlineStr">
        <is>
          <t>Nr</t>
        </is>
      </c>
      <c r="J253" t="inlineStr"/>
      <c r="K253" t="inlineStr"/>
      <c r="L253" t="inlineStr">
        <is>
          <t>KAB0380629.1 hypothetical protein FD755_008413 [Muntiacus reevesi]</t>
        </is>
      </c>
      <c r="M253" t="n">
        <v>733</v>
      </c>
      <c r="N253" t="inlineStr">
        <is>
          <t>Muntiacus reevesi</t>
        </is>
      </c>
      <c r="O253" t="inlineStr">
        <is>
          <t>hypothetical protein FD755_008413</t>
        </is>
      </c>
    </row>
    <row r="254">
      <c r="A254" t="inlineStr"/>
      <c r="B254" t="inlineStr"/>
      <c r="C254" t="inlineStr"/>
      <c r="D254" t="inlineStr"/>
      <c r="E254">
        <f>HYPERLINK("https://www.ncbi.nlm.nih.gov/gene/?term=WP_187789247.1", "WP_187789247.1")</f>
        <v/>
      </c>
      <c r="F254" t="n">
        <v>41.7</v>
      </c>
      <c r="G254" t="n">
        <v>84</v>
      </c>
      <c r="H254" t="n">
        <v>4e-09</v>
      </c>
      <c r="I254" t="inlineStr">
        <is>
          <t>Nr</t>
        </is>
      </c>
      <c r="J254" t="inlineStr"/>
      <c r="K254" t="inlineStr"/>
      <c r="L254" t="inlineStr">
        <is>
          <t>WP_187789247.1 reverse transcriptase family protein, partial [Salmonella sp. S094_02810]</t>
        </is>
      </c>
      <c r="M254" t="n">
        <v>769</v>
      </c>
      <c r="N254" t="inlineStr">
        <is>
          <t>Salmonella sp. S094_02810</t>
        </is>
      </c>
      <c r="O254" t="inlineStr">
        <is>
          <t>reverse transcriptase family protein, partial</t>
        </is>
      </c>
    </row>
    <row r="255">
      <c r="A255" t="inlineStr"/>
      <c r="B255" t="inlineStr"/>
      <c r="C255" t="inlineStr"/>
      <c r="D255" t="inlineStr"/>
      <c r="E255">
        <f>HYPERLINK("https://www.ncbi.nlm.nih.gov/gene/?term=WP_220377376.1", "WP_220377376.1")</f>
        <v/>
      </c>
      <c r="F255" t="n">
        <v>43.8</v>
      </c>
      <c r="G255" t="n">
        <v>89</v>
      </c>
      <c r="H255" t="n">
        <v>4.02e-09</v>
      </c>
      <c r="I255" t="inlineStr">
        <is>
          <t>Nr</t>
        </is>
      </c>
      <c r="J255" t="inlineStr"/>
      <c r="K255" t="inlineStr"/>
      <c r="L255" t="inlineStr">
        <is>
          <t>WP_220377376.1 reverse transcriptase family protein [Staphylococcus aureus]</t>
        </is>
      </c>
      <c r="M255" t="n">
        <v>307</v>
      </c>
      <c r="N255" t="inlineStr">
        <is>
          <t>Staphylococcus aureus</t>
        </is>
      </c>
      <c r="O255" t="inlineStr">
        <is>
          <t>reverse transcriptase family protein</t>
        </is>
      </c>
    </row>
    <row r="256">
      <c r="A256" t="inlineStr"/>
      <c r="B256" t="inlineStr"/>
      <c r="C256" t="inlineStr"/>
      <c r="D256" t="inlineStr"/>
      <c r="E256">
        <f>HYPERLINK("https://www.ncbi.nlm.nih.gov/gene/?term=KAB0345133.1", "KAB0345133.1")</f>
        <v/>
      </c>
      <c r="F256" t="n">
        <v>40.4</v>
      </c>
      <c r="G256" t="n">
        <v>89</v>
      </c>
      <c r="H256" t="n">
        <v>4.1e-09</v>
      </c>
      <c r="I256" t="inlineStr">
        <is>
          <t>Nr</t>
        </is>
      </c>
      <c r="J256" t="inlineStr"/>
      <c r="K256" t="inlineStr"/>
      <c r="L256" t="inlineStr">
        <is>
          <t>KAB0345133.1 hypothetical protein FD754_022059 [Muntiacus muntjak]</t>
        </is>
      </c>
      <c r="M256" t="n">
        <v>1272</v>
      </c>
      <c r="N256" t="inlineStr">
        <is>
          <t>Muntiacus muntjak</t>
        </is>
      </c>
      <c r="O256" t="inlineStr">
        <is>
          <t>hypothetical protein FD754_022059</t>
        </is>
      </c>
    </row>
    <row r="257">
      <c r="A257" t="inlineStr"/>
      <c r="B257" t="inlineStr"/>
      <c r="C257" t="inlineStr"/>
      <c r="D257" t="inlineStr"/>
      <c r="E257">
        <f>HYPERLINK("https://www.ncbi.nlm.nih.gov/gene/?term=XP_045881491.1", "XP_045881491.1")</f>
        <v/>
      </c>
      <c r="F257" t="n">
        <v>44.6</v>
      </c>
      <c r="G257" t="n">
        <v>83</v>
      </c>
      <c r="H257" t="n">
        <v>4.19e-09</v>
      </c>
      <c r="I257" t="inlineStr">
        <is>
          <t>Nr</t>
        </is>
      </c>
      <c r="J257" t="inlineStr"/>
      <c r="K257" t="inlineStr"/>
      <c r="L257" t="inlineStr">
        <is>
          <t>XP_045881491.1 LOW QUALITY PROTEIN: uncharacterized protein LOC123954405 [Meles meles]</t>
        </is>
      </c>
      <c r="M257" t="n">
        <v>2862</v>
      </c>
      <c r="N257" t="inlineStr">
        <is>
          <t>Meles meles</t>
        </is>
      </c>
      <c r="O257" t="inlineStr">
        <is>
          <t>LOW QUALITY PROTEIN: uncharacterized protein LOC123954405</t>
        </is>
      </c>
    </row>
    <row r="258">
      <c r="A258" t="inlineStr"/>
      <c r="B258" t="inlineStr"/>
      <c r="C258" t="inlineStr"/>
      <c r="D258" t="inlineStr"/>
      <c r="E258">
        <f>HYPERLINK("https://www.uniprot.org/uniprotkb/P11369/entry", "P11369")</f>
        <v/>
      </c>
      <c r="F258" t="n">
        <v>34.8</v>
      </c>
      <c r="G258" t="n">
        <v>89</v>
      </c>
      <c r="H258" t="n">
        <v>3.42e-08</v>
      </c>
      <c r="I258" t="inlineStr">
        <is>
          <t>Swiss-Prot</t>
        </is>
      </c>
      <c r="J258" t="inlineStr">
        <is>
          <t>Pol</t>
        </is>
      </c>
      <c r="K258" t="inlineStr">
        <is>
          <t>LORF2_MOUSE</t>
        </is>
      </c>
      <c r="L258" t="inlineStr">
        <is>
          <t>sp|P11369|LORF2_MOUSE LINE-1 retrotransposable element ORF2 protein OS=Mus musculus OX=10090 GN=Pol PE=1 SV=2</t>
        </is>
      </c>
      <c r="M258" t="n">
        <v>1281</v>
      </c>
      <c r="N258" t="inlineStr">
        <is>
          <t>Mus musculus</t>
        </is>
      </c>
      <c r="O258" t="inlineStr">
        <is>
          <t>LINE-1 retrotransposable element ORF2 protein</t>
        </is>
      </c>
    </row>
    <row r="259">
      <c r="A259" t="inlineStr">
        <is>
          <t>NODE_10643_length_6122_cov_364.744344_g791_i3</t>
        </is>
      </c>
      <c r="B259" t="inlineStr">
        <is>
          <t>bombina_pachypus_blastx</t>
        </is>
      </c>
      <c r="C259" t="n">
        <v>-1.8475726316689</v>
      </c>
      <c r="D259" t="n">
        <v>0.0393442048413663</v>
      </c>
      <c r="E259">
        <f>HYPERLINK("https://www.ncbi.nlm.nih.gov/gene/?term=XP_044125018.1", "XP_044125018.1")</f>
        <v/>
      </c>
      <c r="F259" t="n">
        <v>89</v>
      </c>
      <c r="G259" t="n">
        <v>1023</v>
      </c>
      <c r="H259" t="n">
        <v>0</v>
      </c>
      <c r="I259" t="inlineStr">
        <is>
          <t>Nr</t>
        </is>
      </c>
      <c r="J259" t="inlineStr"/>
      <c r="K259" t="inlineStr"/>
      <c r="L259" t="inlineStr">
        <is>
          <t>XP_044125018.1 THO complex subunit 2 [Bufo gargarizans]</t>
        </is>
      </c>
      <c r="M259" t="n">
        <v>1593</v>
      </c>
      <c r="N259" t="inlineStr">
        <is>
          <t>Bufo gargarizans</t>
        </is>
      </c>
      <c r="O259" t="inlineStr">
        <is>
          <t>THO complex subunit 2</t>
        </is>
      </c>
    </row>
    <row r="260">
      <c r="A260" t="inlineStr"/>
      <c r="B260" t="inlineStr"/>
      <c r="C260" t="inlineStr"/>
      <c r="D260" t="inlineStr"/>
      <c r="E260">
        <f>HYPERLINK("https://www.ncbi.nlm.nih.gov/gene/?term=KAG8553728.1", "KAG8553728.1")</f>
        <v/>
      </c>
      <c r="F260" t="n">
        <v>87.7</v>
      </c>
      <c r="G260" t="n">
        <v>1021</v>
      </c>
      <c r="H260" t="n">
        <v>0</v>
      </c>
      <c r="I260" t="inlineStr">
        <is>
          <t>Nr</t>
        </is>
      </c>
      <c r="J260" t="inlineStr"/>
      <c r="K260" t="inlineStr"/>
      <c r="L260" t="inlineStr">
        <is>
          <t>KAG8553728.1 hypothetical protein GDO81_003527 [Engystomops pustulosus]</t>
        </is>
      </c>
      <c r="M260" t="n">
        <v>1591</v>
      </c>
      <c r="N260" t="inlineStr">
        <is>
          <t>Engystomops pustulosus</t>
        </is>
      </c>
      <c r="O260" t="inlineStr">
        <is>
          <t>hypothetical protein GDO81_003527</t>
        </is>
      </c>
    </row>
    <row r="261">
      <c r="A261" t="inlineStr"/>
      <c r="B261" t="inlineStr"/>
      <c r="C261" t="inlineStr"/>
      <c r="D261" t="inlineStr"/>
      <c r="E261">
        <f>HYPERLINK("https://www.ncbi.nlm.nih.gov/gene/?term=KAG8553734.1", "KAG8553734.1")</f>
        <v/>
      </c>
      <c r="F261" t="n">
        <v>87.7</v>
      </c>
      <c r="G261" t="n">
        <v>1021</v>
      </c>
      <c r="H261" t="n">
        <v>0</v>
      </c>
      <c r="I261" t="inlineStr">
        <is>
          <t>Nr</t>
        </is>
      </c>
      <c r="J261" t="inlineStr"/>
      <c r="K261" t="inlineStr"/>
      <c r="L261" t="inlineStr">
        <is>
          <t>KAG8553734.1 hypothetical protein GDO81_003527 [Engystomops pustulosus]</t>
        </is>
      </c>
      <c r="M261" t="n">
        <v>1242</v>
      </c>
      <c r="N261" t="inlineStr">
        <is>
          <t>Engystomops pustulosus</t>
        </is>
      </c>
      <c r="O261" t="inlineStr">
        <is>
          <t>hypothetical protein GDO81_003527</t>
        </is>
      </c>
    </row>
    <row r="262">
      <c r="A262" t="inlineStr"/>
      <c r="B262" t="inlineStr"/>
      <c r="C262" t="inlineStr"/>
      <c r="D262" t="inlineStr"/>
      <c r="E262">
        <f>HYPERLINK("https://www.ncbi.nlm.nih.gov/gene/?term=KAG8553732.1", "KAG8553732.1")</f>
        <v/>
      </c>
      <c r="F262" t="n">
        <v>87.7</v>
      </c>
      <c r="G262" t="n">
        <v>1021</v>
      </c>
      <c r="H262" t="n">
        <v>0</v>
      </c>
      <c r="I262" t="inlineStr">
        <is>
          <t>Nr</t>
        </is>
      </c>
      <c r="J262" t="inlineStr"/>
      <c r="K262" t="inlineStr"/>
      <c r="L262" t="inlineStr">
        <is>
          <t>KAG8553732.1 hypothetical protein GDO81_003527 [Engystomops pustulosus]</t>
        </is>
      </c>
      <c r="M262" t="n">
        <v>1429</v>
      </c>
      <c r="N262" t="inlineStr">
        <is>
          <t>Engystomops pustulosus</t>
        </is>
      </c>
      <c r="O262" t="inlineStr">
        <is>
          <t>hypothetical protein GDO81_003527</t>
        </is>
      </c>
    </row>
    <row r="263">
      <c r="A263" t="inlineStr"/>
      <c r="B263" t="inlineStr"/>
      <c r="C263" t="inlineStr"/>
      <c r="D263" t="inlineStr"/>
      <c r="E263">
        <f>HYPERLINK("https://www.ncbi.nlm.nih.gov/gene/?term=XP_040262073.1", "XP_040262073.1")</f>
        <v/>
      </c>
      <c r="F263" t="n">
        <v>88.59999999999999</v>
      </c>
      <c r="G263" t="n">
        <v>1023</v>
      </c>
      <c r="H263" t="n">
        <v>0</v>
      </c>
      <c r="I263" t="inlineStr">
        <is>
          <t>Nr</t>
        </is>
      </c>
      <c r="J263" t="inlineStr"/>
      <c r="K263" t="inlineStr"/>
      <c r="L263" t="inlineStr">
        <is>
          <t>XP_040262073.1 THO complex subunit 2 [Bufo bufo]</t>
        </is>
      </c>
      <c r="M263" t="n">
        <v>1593</v>
      </c>
      <c r="N263" t="inlineStr">
        <is>
          <t>Bufo bufo</t>
        </is>
      </c>
      <c r="O263" t="inlineStr">
        <is>
          <t>THO complex subunit 2</t>
        </is>
      </c>
    </row>
    <row r="264">
      <c r="A264" t="inlineStr"/>
      <c r="B264" t="inlineStr"/>
      <c r="C264" t="inlineStr"/>
      <c r="D264" t="inlineStr"/>
      <c r="E264">
        <f>HYPERLINK("https://www.ncbi.nlm.nih.gov/gene/?term=XP_040179868.1", "XP_040179868.1")</f>
        <v/>
      </c>
      <c r="F264" t="n">
        <v>86.5</v>
      </c>
      <c r="G264" t="n">
        <v>1021</v>
      </c>
      <c r="H264" t="n">
        <v>0</v>
      </c>
      <c r="I264" t="inlineStr">
        <is>
          <t>Nr</t>
        </is>
      </c>
      <c r="J264" t="inlineStr"/>
      <c r="K264" t="inlineStr"/>
      <c r="L264" t="inlineStr">
        <is>
          <t>XP_040179868.1 THO complex subunit 2 [Rana temporaria]</t>
        </is>
      </c>
      <c r="M264" t="n">
        <v>1590</v>
      </c>
      <c r="N264" t="inlineStr">
        <is>
          <t>Rana temporaria</t>
        </is>
      </c>
      <c r="O264" t="inlineStr">
        <is>
          <t>THO complex subunit 2</t>
        </is>
      </c>
    </row>
    <row r="265">
      <c r="A265" t="inlineStr"/>
      <c r="B265" t="inlineStr"/>
      <c r="C265" t="inlineStr"/>
      <c r="D265" t="inlineStr"/>
      <c r="E265">
        <f>HYPERLINK("https://www.ncbi.nlm.nih.gov/gene/?term=KAG8553731.1", "KAG8553731.1")</f>
        <v/>
      </c>
      <c r="F265" t="n">
        <v>87.59999999999999</v>
      </c>
      <c r="G265" t="n">
        <v>1012</v>
      </c>
      <c r="H265" t="n">
        <v>0</v>
      </c>
      <c r="I265" t="inlineStr">
        <is>
          <t>Nr</t>
        </is>
      </c>
      <c r="J265" t="inlineStr"/>
      <c r="K265" t="inlineStr"/>
      <c r="L265" t="inlineStr">
        <is>
          <t>KAG8553731.1 hypothetical protein GDO81_003527 [Engystomops pustulosus]</t>
        </is>
      </c>
      <c r="M265" t="n">
        <v>1545</v>
      </c>
      <c r="N265" t="inlineStr">
        <is>
          <t>Engystomops pustulosus</t>
        </is>
      </c>
      <c r="O265" t="inlineStr">
        <is>
          <t>hypothetical protein GDO81_003527</t>
        </is>
      </c>
    </row>
    <row r="266">
      <c r="A266" t="inlineStr"/>
      <c r="B266" t="inlineStr"/>
      <c r="C266" t="inlineStr"/>
      <c r="D266" t="inlineStr"/>
      <c r="E266">
        <f>HYPERLINK("https://www.ncbi.nlm.nih.gov/gene/?term=KAG8553735.1", "KAG8553735.1")</f>
        <v/>
      </c>
      <c r="F266" t="n">
        <v>87.59999999999999</v>
      </c>
      <c r="G266" t="n">
        <v>1012</v>
      </c>
      <c r="H266" t="n">
        <v>0</v>
      </c>
      <c r="I266" t="inlineStr">
        <is>
          <t>Nr</t>
        </is>
      </c>
      <c r="J266" t="inlineStr"/>
      <c r="K266" t="inlineStr"/>
      <c r="L266" t="inlineStr">
        <is>
          <t>KAG8553735.1 hypothetical protein GDO81_003527 [Engystomops pustulosus]</t>
        </is>
      </c>
      <c r="M266" t="n">
        <v>1196</v>
      </c>
      <c r="N266" t="inlineStr">
        <is>
          <t>Engystomops pustulosus</t>
        </is>
      </c>
      <c r="O266" t="inlineStr">
        <is>
          <t>hypothetical protein GDO81_003527</t>
        </is>
      </c>
    </row>
    <row r="267">
      <c r="A267" t="inlineStr"/>
      <c r="B267" t="inlineStr"/>
      <c r="C267" t="inlineStr"/>
      <c r="D267" t="inlineStr"/>
      <c r="E267">
        <f>HYPERLINK("https://www.ncbi.nlm.nih.gov/gene/?term=XP_006115456.2", "XP_006115456.2")</f>
        <v/>
      </c>
      <c r="F267" t="n">
        <v>86.3</v>
      </c>
      <c r="G267" t="n">
        <v>1021</v>
      </c>
      <c r="H267" t="n">
        <v>0</v>
      </c>
      <c r="I267" t="inlineStr">
        <is>
          <t>Nr</t>
        </is>
      </c>
      <c r="J267" t="inlineStr"/>
      <c r="K267" t="inlineStr"/>
      <c r="L267" t="inlineStr">
        <is>
          <t>XP_006115456.2 THO complex subunit 2 isoform X2 [Pelodiscus sinensis]</t>
        </is>
      </c>
      <c r="M267" t="n">
        <v>1624</v>
      </c>
      <c r="N267" t="inlineStr">
        <is>
          <t>Pelodiscus sinensis</t>
        </is>
      </c>
      <c r="O267" t="inlineStr">
        <is>
          <t>THO complex subunit 2 isoform X2</t>
        </is>
      </c>
    </row>
    <row r="268">
      <c r="A268" t="inlineStr"/>
      <c r="B268" t="inlineStr"/>
      <c r="C268" t="inlineStr"/>
      <c r="D268" t="inlineStr"/>
      <c r="E268">
        <f>HYPERLINK("https://www.ncbi.nlm.nih.gov/gene/?term=XP_018414127.1", "XP_018414127.1")</f>
        <v/>
      </c>
      <c r="F268" t="n">
        <v>88.40000000000001</v>
      </c>
      <c r="G268" t="n">
        <v>1021</v>
      </c>
      <c r="H268" t="n">
        <v>0</v>
      </c>
      <c r="I268" t="inlineStr">
        <is>
          <t>Nr</t>
        </is>
      </c>
      <c r="J268" t="inlineStr"/>
      <c r="K268" t="inlineStr"/>
      <c r="L268" t="inlineStr">
        <is>
          <t>XP_018414127.1 PREDICTED: THO complex subunit 2 isoform X1 [Nanorana parkeri]</t>
        </is>
      </c>
      <c r="M268" t="n">
        <v>1591</v>
      </c>
      <c r="N268" t="inlineStr">
        <is>
          <t>Nanorana parkeri</t>
        </is>
      </c>
      <c r="O268" t="inlineStr">
        <is>
          <t>PREDICTED: THO complex subunit 2 isoform X1</t>
        </is>
      </c>
    </row>
    <row r="269">
      <c r="A269" t="inlineStr"/>
      <c r="B269" t="inlineStr"/>
      <c r="C269" t="inlineStr"/>
      <c r="D269" t="inlineStr"/>
      <c r="E269">
        <f>HYPERLINK("https://www.ncbi.nlm.nih.gov/gene/?term=XP_040428810.1", "XP_040428810.1")</f>
        <v/>
      </c>
      <c r="F269" t="n">
        <v>85.40000000000001</v>
      </c>
      <c r="G269" t="n">
        <v>1021</v>
      </c>
      <c r="H269" t="n">
        <v>0</v>
      </c>
      <c r="I269" t="inlineStr">
        <is>
          <t>Nr</t>
        </is>
      </c>
      <c r="J269" t="inlineStr"/>
      <c r="K269" t="inlineStr"/>
      <c r="L269" t="inlineStr">
        <is>
          <t>XP_040428810.1 THO complex subunit 2 [Cygnus olor]</t>
        </is>
      </c>
      <c r="M269" t="n">
        <v>1637</v>
      </c>
      <c r="N269" t="inlineStr">
        <is>
          <t>Cygnus olor</t>
        </is>
      </c>
      <c r="O269" t="inlineStr">
        <is>
          <t>THO complex subunit 2</t>
        </is>
      </c>
    </row>
    <row r="270">
      <c r="A270" t="inlineStr"/>
      <c r="B270" t="inlineStr"/>
      <c r="C270" t="inlineStr"/>
      <c r="D270" t="inlineStr"/>
      <c r="E270">
        <f>HYPERLINK("https://www.ncbi.nlm.nih.gov/gene/?term=XP_014377686.1", "XP_014377686.1")</f>
        <v/>
      </c>
      <c r="F270" t="n">
        <v>84.3</v>
      </c>
      <c r="G270" t="n">
        <v>1021</v>
      </c>
      <c r="H270" t="n">
        <v>0</v>
      </c>
      <c r="I270" t="inlineStr">
        <is>
          <t>Nr</t>
        </is>
      </c>
      <c r="J270" t="inlineStr"/>
      <c r="K270" t="inlineStr"/>
      <c r="L270" t="inlineStr">
        <is>
          <t>XP_014377686.1 THO complex subunit 2 isoform X3 [Alligator sinensis]</t>
        </is>
      </c>
      <c r="M270" t="n">
        <v>1559</v>
      </c>
      <c r="N270" t="inlineStr">
        <is>
          <t>Alligator sinensis</t>
        </is>
      </c>
      <c r="O270" t="inlineStr">
        <is>
          <t>THO complex subunit 2 isoform X3</t>
        </is>
      </c>
    </row>
    <row r="271">
      <c r="A271" t="inlineStr"/>
      <c r="B271" t="inlineStr"/>
      <c r="C271" t="inlineStr"/>
      <c r="D271" t="inlineStr"/>
      <c r="E271">
        <f>HYPERLINK("https://www.ncbi.nlm.nih.gov/gene/?term=NXI71967.1", "NXI71967.1")</f>
        <v/>
      </c>
      <c r="F271" t="n">
        <v>85.40000000000001</v>
      </c>
      <c r="G271" t="n">
        <v>1021</v>
      </c>
      <c r="H271" t="n">
        <v>0</v>
      </c>
      <c r="I271" t="inlineStr">
        <is>
          <t>Nr</t>
        </is>
      </c>
      <c r="J271" t="inlineStr"/>
      <c r="K271" t="inlineStr"/>
      <c r="L271" t="inlineStr">
        <is>
          <t>NXI71967.1 THOC2 protein [Anseranas semipalmata]</t>
        </is>
      </c>
      <c r="M271" t="n">
        <v>1472</v>
      </c>
      <c r="N271" t="inlineStr">
        <is>
          <t>Anseranas semipalmata</t>
        </is>
      </c>
      <c r="O271" t="inlineStr">
        <is>
          <t>THOC2 protein</t>
        </is>
      </c>
    </row>
    <row r="272">
      <c r="A272" t="inlineStr"/>
      <c r="B272" t="inlineStr"/>
      <c r="C272" t="inlineStr"/>
      <c r="D272" t="inlineStr"/>
      <c r="E272">
        <f>HYPERLINK("https://www.ncbi.nlm.nih.gov/gene/?term=XP_038040073.1", "XP_038040073.1")</f>
        <v/>
      </c>
      <c r="F272" t="n">
        <v>85.90000000000001</v>
      </c>
      <c r="G272" t="n">
        <v>1021</v>
      </c>
      <c r="H272" t="n">
        <v>0</v>
      </c>
      <c r="I272" t="inlineStr">
        <is>
          <t>Nr</t>
        </is>
      </c>
      <c r="J272" t="inlineStr"/>
      <c r="K272" t="inlineStr"/>
      <c r="L272" t="inlineStr">
        <is>
          <t>XP_038040073.1 THO complex subunit 2 isoform X2 [Anas platyrhynchos]</t>
        </is>
      </c>
      <c r="M272" t="n">
        <v>1594</v>
      </c>
      <c r="N272" t="inlineStr">
        <is>
          <t>Anas platyrhynchos</t>
        </is>
      </c>
      <c r="O272" t="inlineStr">
        <is>
          <t>THO complex subunit 2 isoform X2</t>
        </is>
      </c>
    </row>
    <row r="273">
      <c r="A273" t="inlineStr"/>
      <c r="B273" t="inlineStr"/>
      <c r="C273" t="inlineStr"/>
      <c r="D273" t="inlineStr"/>
      <c r="E273">
        <f>HYPERLINK("https://www.ncbi.nlm.nih.gov/gene/?term=EOA99436.1", "EOA99436.1")</f>
        <v/>
      </c>
      <c r="F273" t="n">
        <v>85.90000000000001</v>
      </c>
      <c r="G273" t="n">
        <v>1021</v>
      </c>
      <c r="H273" t="n">
        <v>0</v>
      </c>
      <c r="I273" t="inlineStr">
        <is>
          <t>Nr</t>
        </is>
      </c>
      <c r="J273" t="inlineStr"/>
      <c r="K273" t="inlineStr"/>
      <c r="L273" t="inlineStr">
        <is>
          <t>EOA99436.1 THO complex subunit 2, partial [Anas platyrhynchos]</t>
        </is>
      </c>
      <c r="M273" t="n">
        <v>1448</v>
      </c>
      <c r="N273" t="inlineStr">
        <is>
          <t>Anas platyrhynchos</t>
        </is>
      </c>
      <c r="O273" t="inlineStr">
        <is>
          <t>THO complex subunit 2, partial</t>
        </is>
      </c>
    </row>
    <row r="274">
      <c r="A274" t="inlineStr"/>
      <c r="B274" t="inlineStr"/>
      <c r="C274" t="inlineStr"/>
      <c r="D274" t="inlineStr"/>
      <c r="E274">
        <f>HYPERLINK("https://www.ncbi.nlm.nih.gov/gene/?term=KAG9478503.1", "KAG9478503.1")</f>
        <v/>
      </c>
      <c r="F274" t="n">
        <v>86.7</v>
      </c>
      <c r="G274" t="n">
        <v>1021</v>
      </c>
      <c r="H274" t="n">
        <v>0</v>
      </c>
      <c r="I274" t="inlineStr">
        <is>
          <t>Nr</t>
        </is>
      </c>
      <c r="J274" t="inlineStr"/>
      <c r="K274" t="inlineStr"/>
      <c r="L274" t="inlineStr">
        <is>
          <t>KAG9478503.1 hypothetical protein GDO78_013509 [Eleutherodactylus coqui]</t>
        </is>
      </c>
      <c r="M274" t="n">
        <v>1591</v>
      </c>
      <c r="N274" t="inlineStr">
        <is>
          <t>Eleutherodactylus coqui</t>
        </is>
      </c>
      <c r="O274" t="inlineStr">
        <is>
          <t>hypothetical protein GDO78_013509</t>
        </is>
      </c>
    </row>
    <row r="275">
      <c r="A275" t="inlineStr"/>
      <c r="B275" t="inlineStr"/>
      <c r="C275" t="inlineStr"/>
      <c r="D275" t="inlineStr"/>
      <c r="E275">
        <f>HYPERLINK("https://www.ncbi.nlm.nih.gov/gene/?term=KAG9478502.1", "KAG9478502.1")</f>
        <v/>
      </c>
      <c r="F275" t="n">
        <v>86.7</v>
      </c>
      <c r="G275" t="n">
        <v>1021</v>
      </c>
      <c r="H275" t="n">
        <v>0</v>
      </c>
      <c r="I275" t="inlineStr">
        <is>
          <t>Nr</t>
        </is>
      </c>
      <c r="J275" t="inlineStr"/>
      <c r="K275" t="inlineStr"/>
      <c r="L275" t="inlineStr">
        <is>
          <t>KAG9478502.1 hypothetical protein GDO78_013509 [Eleutherodactylus coqui]</t>
        </is>
      </c>
      <c r="M275" t="n">
        <v>1612</v>
      </c>
      <c r="N275" t="inlineStr">
        <is>
          <t>Eleutherodactylus coqui</t>
        </is>
      </c>
      <c r="O275" t="inlineStr">
        <is>
          <t>hypothetical protein GDO78_013509</t>
        </is>
      </c>
    </row>
    <row r="276">
      <c r="A276" t="inlineStr"/>
      <c r="B276" t="inlineStr"/>
      <c r="C276" t="inlineStr"/>
      <c r="D276" t="inlineStr"/>
      <c r="E276">
        <f>HYPERLINK("https://www.ncbi.nlm.nih.gov/gene/?term=XP_035397218.1", "XP_035397218.1")</f>
        <v/>
      </c>
      <c r="F276" t="n">
        <v>85.2</v>
      </c>
      <c r="G276" t="n">
        <v>1021</v>
      </c>
      <c r="H276" t="n">
        <v>0</v>
      </c>
      <c r="I276" t="inlineStr">
        <is>
          <t>Nr</t>
        </is>
      </c>
      <c r="J276" t="inlineStr"/>
      <c r="K276" t="inlineStr"/>
      <c r="L276" t="inlineStr">
        <is>
          <t>XP_035397218.1 THO complex subunit 2 [Cygnus atratus]</t>
        </is>
      </c>
      <c r="M276" t="n">
        <v>1637</v>
      </c>
      <c r="N276" t="inlineStr">
        <is>
          <t>Cygnus atratus</t>
        </is>
      </c>
      <c r="O276" t="inlineStr">
        <is>
          <t>THO complex subunit 2</t>
        </is>
      </c>
    </row>
    <row r="277">
      <c r="A277" t="inlineStr"/>
      <c r="B277" t="inlineStr"/>
      <c r="C277" t="inlineStr"/>
      <c r="D277" t="inlineStr"/>
      <c r="E277">
        <f>HYPERLINK("https://www.ncbi.nlm.nih.gov/gene/?term=XP_047926562.1", "XP_047926562.1")</f>
        <v/>
      </c>
      <c r="F277" t="n">
        <v>85.59999999999999</v>
      </c>
      <c r="G277" t="n">
        <v>1021</v>
      </c>
      <c r="H277" t="n">
        <v>0</v>
      </c>
      <c r="I277" t="inlineStr">
        <is>
          <t>Nr</t>
        </is>
      </c>
      <c r="J277" t="inlineStr"/>
      <c r="K277" t="inlineStr"/>
      <c r="L277" t="inlineStr">
        <is>
          <t>XP_047926562.1 THO complex subunit 2 [Anser cygnoides]</t>
        </is>
      </c>
      <c r="M277" t="n">
        <v>1594</v>
      </c>
      <c r="N277" t="inlineStr">
        <is>
          <t>Anser cygnoides</t>
        </is>
      </c>
      <c r="O277" t="inlineStr">
        <is>
          <t>THO complex subunit 2</t>
        </is>
      </c>
    </row>
    <row r="278">
      <c r="A278" t="inlineStr"/>
      <c r="B278" t="inlineStr"/>
      <c r="C278" t="inlineStr"/>
      <c r="D278" t="inlineStr"/>
      <c r="E278">
        <f>HYPERLINK("https://www.ncbi.nlm.nih.gov/gene/?term=KAE8584288.1", "KAE8584288.1")</f>
        <v/>
      </c>
      <c r="F278" t="n">
        <v>87</v>
      </c>
      <c r="G278" t="n">
        <v>1021</v>
      </c>
      <c r="H278" t="n">
        <v>0</v>
      </c>
      <c r="I278" t="inlineStr">
        <is>
          <t>Nr</t>
        </is>
      </c>
      <c r="J278" t="inlineStr"/>
      <c r="K278" t="inlineStr"/>
      <c r="L278" t="inlineStr">
        <is>
          <t>KAE8584288.1 hypothetical protein XENTR_v10020899 [Xenopus tropicalis]</t>
        </is>
      </c>
      <c r="M278" t="n">
        <v>1562</v>
      </c>
      <c r="N278" t="inlineStr">
        <is>
          <t>Xenopus tropicalis</t>
        </is>
      </c>
      <c r="O278" t="inlineStr">
        <is>
          <t>hypothetical protein XENTR_v10020899</t>
        </is>
      </c>
    </row>
    <row r="279">
      <c r="A279" t="inlineStr"/>
      <c r="B279" t="inlineStr"/>
      <c r="C279" t="inlineStr"/>
      <c r="D279" t="inlineStr"/>
      <c r="E279">
        <f>HYPERLINK("https://www.ncbi.nlm.nih.gov/gene/?term=KAE8584286.1", "KAE8584286.1")</f>
        <v/>
      </c>
      <c r="F279" t="n">
        <v>87</v>
      </c>
      <c r="G279" t="n">
        <v>1021</v>
      </c>
      <c r="H279" t="n">
        <v>0</v>
      </c>
      <c r="I279" t="inlineStr">
        <is>
          <t>Nr</t>
        </is>
      </c>
      <c r="J279" t="inlineStr"/>
      <c r="K279" t="inlineStr"/>
      <c r="L279" t="inlineStr">
        <is>
          <t>KAE8584286.1 hypothetical protein XENTR_v10020899 [Xenopus tropicalis]</t>
        </is>
      </c>
      <c r="M279" t="n">
        <v>1611</v>
      </c>
      <c r="N279" t="inlineStr">
        <is>
          <t>Xenopus tropicalis</t>
        </is>
      </c>
      <c r="O279" t="inlineStr">
        <is>
          <t>hypothetical protein XENTR_v10020899</t>
        </is>
      </c>
    </row>
    <row r="280">
      <c r="A280" t="inlineStr"/>
      <c r="B280" t="inlineStr"/>
      <c r="C280" t="inlineStr"/>
      <c r="D280" t="inlineStr"/>
      <c r="E280">
        <f>HYPERLINK("https://www.ncbi.nlm.nih.gov/gene/?term=XP_004916928.1", "XP_004916928.1")</f>
        <v/>
      </c>
      <c r="F280" t="n">
        <v>87</v>
      </c>
      <c r="G280" t="n">
        <v>1021</v>
      </c>
      <c r="H280" t="n">
        <v>0</v>
      </c>
      <c r="I280" t="inlineStr">
        <is>
          <t>Nr</t>
        </is>
      </c>
      <c r="J280" t="inlineStr"/>
      <c r="K280" t="inlineStr"/>
      <c r="L280" t="inlineStr">
        <is>
          <t>XP_004916928.1 THO complex subunit 2 [Xenopus tropicalis]</t>
        </is>
      </c>
      <c r="M280" t="n">
        <v>1590</v>
      </c>
      <c r="N280" t="inlineStr">
        <is>
          <t>Xenopus tropicalis</t>
        </is>
      </c>
      <c r="O280" t="inlineStr">
        <is>
          <t>THO complex subunit 2</t>
        </is>
      </c>
    </row>
    <row r="281">
      <c r="A281" t="inlineStr"/>
      <c r="B281" t="inlineStr"/>
      <c r="C281" t="inlineStr"/>
      <c r="D281" t="inlineStr"/>
      <c r="E281">
        <f>HYPERLINK("https://www.ncbi.nlm.nih.gov/gene/?term=XP_037765379.1", "XP_037765379.1")</f>
        <v/>
      </c>
      <c r="F281" t="n">
        <v>85.2</v>
      </c>
      <c r="G281" t="n">
        <v>1021</v>
      </c>
      <c r="H281" t="n">
        <v>0</v>
      </c>
      <c r="I281" t="inlineStr">
        <is>
          <t>Nr</t>
        </is>
      </c>
      <c r="J281" t="inlineStr"/>
      <c r="K281" t="inlineStr"/>
      <c r="L281" t="inlineStr">
        <is>
          <t>XP_037765379.1 THO complex subunit 2 isoform X2 [Chelonia mydas]</t>
        </is>
      </c>
      <c r="M281" t="n">
        <v>1596</v>
      </c>
      <c r="N281" t="inlineStr">
        <is>
          <t>Chelonia mydas</t>
        </is>
      </c>
      <c r="O281" t="inlineStr">
        <is>
          <t>THO complex subunit 2 isoform X2</t>
        </is>
      </c>
    </row>
    <row r="282">
      <c r="A282" t="inlineStr"/>
      <c r="B282" t="inlineStr"/>
      <c r="C282" t="inlineStr"/>
      <c r="D282" t="inlineStr"/>
      <c r="E282">
        <f>HYPERLINK("https://www.ncbi.nlm.nih.gov/gene/?term=NXG11544.1", "NXG11544.1")</f>
        <v/>
      </c>
      <c r="F282" t="n">
        <v>83.90000000000001</v>
      </c>
      <c r="G282" t="n">
        <v>1027</v>
      </c>
      <c r="H282" t="n">
        <v>0</v>
      </c>
      <c r="I282" t="inlineStr">
        <is>
          <t>Nr</t>
        </is>
      </c>
      <c r="J282" t="inlineStr"/>
      <c r="K282" t="inlineStr"/>
      <c r="L282" t="inlineStr">
        <is>
          <t>NXG11544.1 THOC2 protein [Sakesphorus luctuosus]</t>
        </is>
      </c>
      <c r="M282" t="n">
        <v>1478</v>
      </c>
      <c r="N282" t="inlineStr">
        <is>
          <t>Sakesphorus luctuosus</t>
        </is>
      </c>
      <c r="O282" t="inlineStr">
        <is>
          <t>THOC2 protein</t>
        </is>
      </c>
    </row>
    <row r="283">
      <c r="A283" t="inlineStr"/>
      <c r="B283" t="inlineStr"/>
      <c r="C283" t="inlineStr"/>
      <c r="D283" t="inlineStr"/>
      <c r="E283">
        <f>HYPERLINK("https://www.ncbi.nlm.nih.gov/gene/?term=XP_038271353.1", "XP_038271353.1")</f>
        <v/>
      </c>
      <c r="F283" t="n">
        <v>85.2</v>
      </c>
      <c r="G283" t="n">
        <v>1021</v>
      </c>
      <c r="H283" t="n">
        <v>0</v>
      </c>
      <c r="I283" t="inlineStr">
        <is>
          <t>Nr</t>
        </is>
      </c>
      <c r="J283" t="inlineStr"/>
      <c r="K283" t="inlineStr"/>
      <c r="L283" t="inlineStr">
        <is>
          <t>XP_038271353.1 THO complex subunit 2 isoform X2 [Dermochelys coriacea]</t>
        </is>
      </c>
      <c r="M283" t="n">
        <v>1596</v>
      </c>
      <c r="N283" t="inlineStr">
        <is>
          <t>Dermochelys coriacea</t>
        </is>
      </c>
      <c r="O283" t="inlineStr">
        <is>
          <t>THO complex subunit 2 isoform X2</t>
        </is>
      </c>
    </row>
    <row r="284">
      <c r="A284" t="inlineStr"/>
      <c r="B284" t="inlineStr"/>
      <c r="C284" t="inlineStr"/>
      <c r="D284" t="inlineStr"/>
      <c r="E284">
        <f>HYPERLINK("https://www.uniprot.org/uniprotkb/A0A7K9VH00/entry", "A0A7K9VH00")</f>
        <v/>
      </c>
      <c r="F284" t="n">
        <v>85.40000000000001</v>
      </c>
      <c r="G284" t="n">
        <v>1021</v>
      </c>
      <c r="H284" t="n">
        <v>0</v>
      </c>
      <c r="I284" t="inlineStr">
        <is>
          <t>TrEMBL</t>
        </is>
      </c>
      <c r="J284" t="inlineStr">
        <is>
          <t>Thoc2</t>
        </is>
      </c>
      <c r="K284" t="inlineStr">
        <is>
          <t>A0A7K9VH00_ANSSE</t>
        </is>
      </c>
      <c r="L284" t="inlineStr">
        <is>
          <t>tr|A0A7K9VH00|A0A7K9VH00_ANSSE THO complex subunit 2 (Fragment) OS=Anseranas semipalmata OX=8851 GN=Thoc2 PE=3 SV=1</t>
        </is>
      </c>
      <c r="M284" t="n">
        <v>1472</v>
      </c>
      <c r="N284" t="inlineStr">
        <is>
          <t>Anseranas semipalmata</t>
        </is>
      </c>
      <c r="O284" t="inlineStr">
        <is>
          <t>THO complex subunit 2 (Fragment)</t>
        </is>
      </c>
    </row>
    <row r="285">
      <c r="A285" t="inlineStr"/>
      <c r="B285" t="inlineStr"/>
      <c r="C285" t="inlineStr"/>
      <c r="D285" t="inlineStr"/>
      <c r="E285">
        <f>HYPERLINK("https://www.uniprot.org/uniprotkb/A0A1U8DBH5/entry", "A0A1U8DBH5")</f>
        <v/>
      </c>
      <c r="F285" t="n">
        <v>84.3</v>
      </c>
      <c r="G285" t="n">
        <v>1021</v>
      </c>
      <c r="H285" t="n">
        <v>0</v>
      </c>
      <c r="I285" t="inlineStr">
        <is>
          <t>TrEMBL</t>
        </is>
      </c>
      <c r="J285" t="inlineStr">
        <is>
          <t>THOC2</t>
        </is>
      </c>
      <c r="K285" t="inlineStr">
        <is>
          <t>A0A1U8DBH5_ALLSI</t>
        </is>
      </c>
      <c r="L285" t="inlineStr">
        <is>
          <t>tr|A0A1U8DBH5|A0A1U8DBH5_ALLSI THO complex subunit 2 OS=Alligator sinensis OX=38654 GN=THOC2 PE=3 SV=1</t>
        </is>
      </c>
      <c r="M285" t="n">
        <v>1559</v>
      </c>
      <c r="N285" t="inlineStr">
        <is>
          <t>Alligator sinensis</t>
        </is>
      </c>
      <c r="O285" t="inlineStr">
        <is>
          <t>THO complex subunit 2</t>
        </is>
      </c>
    </row>
    <row r="286">
      <c r="A286" t="inlineStr"/>
      <c r="B286" t="inlineStr"/>
      <c r="C286" t="inlineStr"/>
      <c r="D286" t="inlineStr"/>
      <c r="E286">
        <f>HYPERLINK("https://www.uniprot.org/uniprotkb/A0A8C3CIA7/entry", "A0A8C3CIA7")</f>
        <v/>
      </c>
      <c r="F286" t="n">
        <v>85.90000000000001</v>
      </c>
      <c r="G286" t="n">
        <v>1021</v>
      </c>
      <c r="H286" t="n">
        <v>0</v>
      </c>
      <c r="I286" t="inlineStr">
        <is>
          <t>TrEMBL</t>
        </is>
      </c>
      <c r="J286" t="inlineStr"/>
      <c r="K286" t="inlineStr">
        <is>
          <t>A0A8C3CIA7_CAIMO</t>
        </is>
      </c>
      <c r="L286" t="inlineStr">
        <is>
          <t>tr|A0A8C3CIA7|A0A8C3CIA7_CAIMO THO complex subunit 2 OS=Cairina moschata domestica OX=1240228 PE=3 SV=1</t>
        </is>
      </c>
      <c r="M286" t="n">
        <v>1643</v>
      </c>
      <c r="N286" t="inlineStr">
        <is>
          <t>Cairina moschata domestica</t>
        </is>
      </c>
      <c r="O286" t="inlineStr">
        <is>
          <t>THO complex subunit 2</t>
        </is>
      </c>
    </row>
    <row r="287">
      <c r="A287" t="inlineStr"/>
      <c r="B287" t="inlineStr"/>
      <c r="C287" t="inlineStr"/>
      <c r="D287" t="inlineStr"/>
      <c r="E287">
        <f>HYPERLINK("https://www.uniprot.org/uniprotkb/R0JQN1/entry", "R0JQN1")</f>
        <v/>
      </c>
      <c r="F287" t="n">
        <v>85.90000000000001</v>
      </c>
      <c r="G287" t="n">
        <v>1021</v>
      </c>
      <c r="H287" t="n">
        <v>0</v>
      </c>
      <c r="I287" t="inlineStr">
        <is>
          <t>TrEMBL</t>
        </is>
      </c>
      <c r="J287" t="inlineStr">
        <is>
          <t>Anapl_07164</t>
        </is>
      </c>
      <c r="K287" t="inlineStr">
        <is>
          <t>R0JQN1_ANAPL</t>
        </is>
      </c>
      <c r="L287" t="inlineStr">
        <is>
          <t>tr|R0JQN1|R0JQN1_ANAPL THO complex subunit 2 (Fragment) OS=Anas platyrhynchos OX=8839 GN=Anapl_07164 PE=3 SV=1</t>
        </is>
      </c>
      <c r="M287" t="n">
        <v>1448</v>
      </c>
      <c r="N287" t="inlineStr">
        <is>
          <t>Anas platyrhynchos</t>
        </is>
      </c>
      <c r="O287" t="inlineStr">
        <is>
          <t>THO complex subunit 2 (Fragment)</t>
        </is>
      </c>
    </row>
    <row r="288">
      <c r="A288" t="inlineStr"/>
      <c r="B288" t="inlineStr"/>
      <c r="C288" t="inlineStr"/>
      <c r="D288" t="inlineStr"/>
      <c r="E288">
        <f>HYPERLINK("https://www.uniprot.org/uniprotkb/A0A8B9V3C4/entry", "A0A8B9V3C4")</f>
        <v/>
      </c>
      <c r="F288" t="n">
        <v>85.90000000000001</v>
      </c>
      <c r="G288" t="n">
        <v>1021</v>
      </c>
      <c r="H288" t="n">
        <v>0</v>
      </c>
      <c r="I288" t="inlineStr">
        <is>
          <t>TrEMBL</t>
        </is>
      </c>
      <c r="J288" t="inlineStr"/>
      <c r="K288" t="inlineStr">
        <is>
          <t>A0A8B9V3C4_9AVES</t>
        </is>
      </c>
      <c r="L288" t="inlineStr">
        <is>
          <t>tr|A0A8B9V3C4|A0A8B9V3C4_9AVES THO complex subunit 2 OS=Anas zonorhyncha OX=75864 PE=3 SV=1</t>
        </is>
      </c>
      <c r="M288" t="n">
        <v>1491</v>
      </c>
      <c r="N288" t="inlineStr">
        <is>
          <t>Anas zonorhyncha</t>
        </is>
      </c>
      <c r="O288" t="inlineStr">
        <is>
          <t>THO complex subunit 2</t>
        </is>
      </c>
    </row>
    <row r="289">
      <c r="A289" t="inlineStr"/>
      <c r="B289" t="inlineStr"/>
      <c r="C289" t="inlineStr"/>
      <c r="D289" t="inlineStr"/>
      <c r="E289">
        <f>HYPERLINK("https://www.uniprot.org/uniprotkb/U3IT33/entry", "U3IT33")</f>
        <v/>
      </c>
      <c r="F289" t="n">
        <v>85.5</v>
      </c>
      <c r="G289" t="n">
        <v>1021</v>
      </c>
      <c r="H289" t="n">
        <v>0</v>
      </c>
      <c r="I289" t="inlineStr">
        <is>
          <t>TrEMBL</t>
        </is>
      </c>
      <c r="J289" t="inlineStr">
        <is>
          <t>THOC2</t>
        </is>
      </c>
      <c r="K289" t="inlineStr">
        <is>
          <t>U3IT33_ANAPP</t>
        </is>
      </c>
      <c r="L289" t="inlineStr">
        <is>
          <t>tr|U3IT33|U3IT33_ANAPP THO complex subunit 2 OS=Anas platyrhynchos platyrhynchos OX=8840 GN=THOC2 PE=3 SV=2</t>
        </is>
      </c>
      <c r="M289" t="n">
        <v>1583</v>
      </c>
      <c r="N289" t="inlineStr">
        <is>
          <t>Anas platyrhynchos platyrhynchos</t>
        </is>
      </c>
      <c r="O289" t="inlineStr">
        <is>
          <t>THO complex subunit 2</t>
        </is>
      </c>
    </row>
    <row r="290">
      <c r="A290" t="inlineStr"/>
      <c r="B290" t="inlineStr"/>
      <c r="C290" t="inlineStr"/>
      <c r="D290" t="inlineStr"/>
      <c r="E290">
        <f>HYPERLINK("https://www.uniprot.org/uniprotkb/A0A8J6K2G0/entry", "A0A8J6K2G0")</f>
        <v/>
      </c>
      <c r="F290" t="n">
        <v>86.7</v>
      </c>
      <c r="G290" t="n">
        <v>1021</v>
      </c>
      <c r="H290" t="n">
        <v>0</v>
      </c>
      <c r="I290" t="inlineStr">
        <is>
          <t>TrEMBL</t>
        </is>
      </c>
      <c r="J290" t="inlineStr">
        <is>
          <t>GDO78_013509</t>
        </is>
      </c>
      <c r="K290" t="inlineStr">
        <is>
          <t>A0A8J6K2G0_ELECQ</t>
        </is>
      </c>
      <c r="L290" t="inlineStr">
        <is>
          <t>tr|A0A8J6K2G0|A0A8J6K2G0_ELECQ THO complex subunit 2 OS=Eleutherodactylus coqui OX=57060 GN=GDO78_013509 PE=3 SV=1</t>
        </is>
      </c>
      <c r="M290" t="n">
        <v>1591</v>
      </c>
      <c r="N290" t="inlineStr">
        <is>
          <t>Eleutherodactylus coqui</t>
        </is>
      </c>
      <c r="O290" t="inlineStr">
        <is>
          <t>THO complex subunit 2</t>
        </is>
      </c>
    </row>
    <row r="291">
      <c r="A291" t="inlineStr"/>
      <c r="B291" t="inlineStr"/>
      <c r="C291" t="inlineStr"/>
      <c r="D291" t="inlineStr"/>
      <c r="E291">
        <f>HYPERLINK("https://www.uniprot.org/uniprotkb/A0A8J6EYK8/entry", "A0A8J6EYK8")</f>
        <v/>
      </c>
      <c r="F291" t="n">
        <v>86.7</v>
      </c>
      <c r="G291" t="n">
        <v>1021</v>
      </c>
      <c r="H291" t="n">
        <v>0</v>
      </c>
      <c r="I291" t="inlineStr">
        <is>
          <t>TrEMBL</t>
        </is>
      </c>
      <c r="J291" t="inlineStr">
        <is>
          <t>GDO78_013509</t>
        </is>
      </c>
      <c r="K291" t="inlineStr">
        <is>
          <t>A0A8J6EYK8_ELECQ</t>
        </is>
      </c>
      <c r="L291" t="inlineStr">
        <is>
          <t>tr|A0A8J6EYK8|A0A8J6EYK8_ELECQ THO complex subunit 2 OS=Eleutherodactylus coqui OX=57060 GN=GDO78_013509 PE=3 SV=1</t>
        </is>
      </c>
      <c r="M291" t="n">
        <v>1612</v>
      </c>
      <c r="N291" t="inlineStr">
        <is>
          <t>Eleutherodactylus coqui</t>
        </is>
      </c>
      <c r="O291" t="inlineStr">
        <is>
          <t>THO complex subunit 2</t>
        </is>
      </c>
    </row>
    <row r="292">
      <c r="A292" t="inlineStr"/>
      <c r="B292" t="inlineStr"/>
      <c r="C292" t="inlineStr"/>
      <c r="D292" t="inlineStr"/>
      <c r="E292">
        <f>HYPERLINK("https://www.uniprot.org/uniprotkb/A0A8B9ENH1/entry", "A0A8B9ENH1")</f>
        <v/>
      </c>
      <c r="F292" t="n">
        <v>85.59999999999999</v>
      </c>
      <c r="G292" t="n">
        <v>1021</v>
      </c>
      <c r="H292" t="n">
        <v>0</v>
      </c>
      <c r="I292" t="inlineStr">
        <is>
          <t>TrEMBL</t>
        </is>
      </c>
      <c r="J292" t="inlineStr"/>
      <c r="K292" t="inlineStr">
        <is>
          <t>A0A8B9ENH1_ANSCY</t>
        </is>
      </c>
      <c r="L292" t="inlineStr">
        <is>
          <t>tr|A0A8B9ENH1|A0A8B9ENH1_ANSCY THO complex subunit 2 OS=Anser cygnoid OX=8845 PE=3 SV=1</t>
        </is>
      </c>
      <c r="M292" t="n">
        <v>1600</v>
      </c>
      <c r="N292" t="inlineStr">
        <is>
          <t>Anser cygnoid</t>
        </is>
      </c>
      <c r="O292" t="inlineStr">
        <is>
          <t>THO complex subunit 2</t>
        </is>
      </c>
    </row>
    <row r="293">
      <c r="A293" t="inlineStr"/>
      <c r="B293" t="inlineStr"/>
      <c r="C293" t="inlineStr"/>
      <c r="D293" t="inlineStr"/>
      <c r="E293">
        <f>HYPERLINK("https://www.uniprot.org/uniprotkb/A0A8B9IPK2/entry", "A0A8B9IPK2")</f>
        <v/>
      </c>
      <c r="F293" t="n">
        <v>85.59999999999999</v>
      </c>
      <c r="G293" t="n">
        <v>1021</v>
      </c>
      <c r="H293" t="n">
        <v>0</v>
      </c>
      <c r="I293" t="inlineStr">
        <is>
          <t>TrEMBL</t>
        </is>
      </c>
      <c r="J293" t="inlineStr"/>
      <c r="K293" t="inlineStr">
        <is>
          <t>A0A8B9IPK2_ANSCY</t>
        </is>
      </c>
      <c r="L293" t="inlineStr">
        <is>
          <t>tr|A0A8B9IPK2|A0A8B9IPK2_ANSCY THO complex subunit 2 OS=Anser cygnoid OX=8845 PE=3 SV=1</t>
        </is>
      </c>
      <c r="M293" t="n">
        <v>1584</v>
      </c>
      <c r="N293" t="inlineStr">
        <is>
          <t>Anser cygnoid</t>
        </is>
      </c>
      <c r="O293" t="inlineStr">
        <is>
          <t>THO complex subunit 2</t>
        </is>
      </c>
    </row>
    <row r="294">
      <c r="A294" t="inlineStr"/>
      <c r="B294" t="inlineStr"/>
      <c r="C294" t="inlineStr"/>
      <c r="D294" t="inlineStr"/>
      <c r="E294">
        <f>HYPERLINK("https://www.uniprot.org/uniprotkb/A0A6I8QXJ2/entry", "A0A6I8QXJ2")</f>
        <v/>
      </c>
      <c r="F294" t="n">
        <v>87</v>
      </c>
      <c r="G294" t="n">
        <v>1021</v>
      </c>
      <c r="H294" t="n">
        <v>0</v>
      </c>
      <c r="I294" t="inlineStr">
        <is>
          <t>TrEMBL</t>
        </is>
      </c>
      <c r="J294" t="inlineStr">
        <is>
          <t>thoc2</t>
        </is>
      </c>
      <c r="K294" t="inlineStr">
        <is>
          <t>A0A6I8QXJ2_XENTR</t>
        </is>
      </c>
      <c r="L294" t="inlineStr">
        <is>
          <t>tr|A0A6I8QXJ2|A0A6I8QXJ2_XENTR THO complex subunit 2 OS=Xenopus tropicalis OX=8364 GN=thoc2 PE=3 SV=2</t>
        </is>
      </c>
      <c r="M294" t="n">
        <v>1590</v>
      </c>
      <c r="N294" t="inlineStr">
        <is>
          <t>Xenopus tropicalis</t>
        </is>
      </c>
      <c r="O294" t="inlineStr">
        <is>
          <t>THO complex subunit 2</t>
        </is>
      </c>
    </row>
    <row r="295">
      <c r="A295" t="inlineStr"/>
      <c r="B295" t="inlineStr"/>
      <c r="C295" t="inlineStr"/>
      <c r="D295" t="inlineStr"/>
      <c r="E295">
        <f>HYPERLINK("https://www.uniprot.org/uniprotkb/A0A8B9BNK4/entry", "A0A8B9BNK4")</f>
        <v/>
      </c>
      <c r="F295" t="n">
        <v>85.5</v>
      </c>
      <c r="G295" t="n">
        <v>1021</v>
      </c>
      <c r="H295" t="n">
        <v>0</v>
      </c>
      <c r="I295" t="inlineStr">
        <is>
          <t>TrEMBL</t>
        </is>
      </c>
      <c r="J295" t="inlineStr">
        <is>
          <t>THOC2</t>
        </is>
      </c>
      <c r="K295" t="inlineStr">
        <is>
          <t>A0A8B9BNK4_9AVES</t>
        </is>
      </c>
      <c r="L295" t="inlineStr">
        <is>
          <t>tr|A0A8B9BNK4|A0A8B9BNK4_9AVES THO complex subunit 2 OS=Anser brachyrhynchus OX=132585 GN=THOC2 PE=3 SV=1</t>
        </is>
      </c>
      <c r="M295" t="n">
        <v>1491</v>
      </c>
      <c r="N295" t="inlineStr">
        <is>
          <t>Anser brachyrhynchus</t>
        </is>
      </c>
      <c r="O295" t="inlineStr">
        <is>
          <t>THO complex subunit 2</t>
        </is>
      </c>
    </row>
    <row r="296">
      <c r="A296" t="inlineStr"/>
      <c r="B296" t="inlineStr"/>
      <c r="C296" t="inlineStr"/>
      <c r="D296" t="inlineStr"/>
      <c r="E296">
        <f>HYPERLINK("https://www.uniprot.org/uniprotkb/A0A6I8RED5/entry", "A0A6I8RED5")</f>
        <v/>
      </c>
      <c r="F296" t="n">
        <v>87</v>
      </c>
      <c r="G296" t="n">
        <v>1021</v>
      </c>
      <c r="H296" t="n">
        <v>0</v>
      </c>
      <c r="I296" t="inlineStr">
        <is>
          <t>TrEMBL</t>
        </is>
      </c>
      <c r="J296" t="inlineStr">
        <is>
          <t>thoc2</t>
        </is>
      </c>
      <c r="K296" t="inlineStr">
        <is>
          <t>A0A6I8RED5_XENTR</t>
        </is>
      </c>
      <c r="L296" t="inlineStr">
        <is>
          <t>tr|A0A6I8RED5|A0A6I8RED5_XENTR THO complex subunit 2 OS=Xenopus tropicalis OX=8364 GN=thoc2 PE=3 SV=2</t>
        </is>
      </c>
      <c r="M296" t="n">
        <v>1514</v>
      </c>
      <c r="N296" t="inlineStr">
        <is>
          <t>Xenopus tropicalis</t>
        </is>
      </c>
      <c r="O296" t="inlineStr">
        <is>
          <t>THO complex subunit 2</t>
        </is>
      </c>
    </row>
    <row r="297">
      <c r="A297" t="inlineStr"/>
      <c r="B297" t="inlineStr"/>
      <c r="C297" t="inlineStr"/>
      <c r="D297" t="inlineStr"/>
      <c r="E297">
        <f>HYPERLINK("https://www.uniprot.org/uniprotkb/A0A7K8Z6W4/entry", "A0A7K8Z6W4")</f>
        <v/>
      </c>
      <c r="F297" t="n">
        <v>83.90000000000001</v>
      </c>
      <c r="G297" t="n">
        <v>1027</v>
      </c>
      <c r="H297" t="n">
        <v>0</v>
      </c>
      <c r="I297" t="inlineStr">
        <is>
          <t>TrEMBL</t>
        </is>
      </c>
      <c r="J297" t="inlineStr">
        <is>
          <t>Thoc2</t>
        </is>
      </c>
      <c r="K297" t="inlineStr">
        <is>
          <t>A0A7K8Z6W4_9PASS</t>
        </is>
      </c>
      <c r="L297" t="inlineStr">
        <is>
          <t>tr|A0A7K8Z6W4|A0A7K8Z6W4_9PASS THO complex subunit 2 (Fragment) OS=Sakesphorus luctuosus OX=419690 GN=Thoc2 PE=3 SV=1</t>
        </is>
      </c>
      <c r="M297" t="n">
        <v>1478</v>
      </c>
      <c r="N297" t="inlineStr">
        <is>
          <t>Sakesphorus luctuosus</t>
        </is>
      </c>
      <c r="O297" t="inlineStr">
        <is>
          <t>THO complex subunit 2 (Fragment)</t>
        </is>
      </c>
    </row>
    <row r="298">
      <c r="A298" t="inlineStr"/>
      <c r="B298" t="inlineStr"/>
      <c r="C298" t="inlineStr"/>
      <c r="D298" t="inlineStr"/>
      <c r="E298">
        <f>HYPERLINK("https://www.uniprot.org/uniprotkb/A0A7L3N3D3/entry", "A0A7L3N3D3")</f>
        <v/>
      </c>
      <c r="F298" t="n">
        <v>84.90000000000001</v>
      </c>
      <c r="G298" t="n">
        <v>1021</v>
      </c>
      <c r="H298" t="n">
        <v>0</v>
      </c>
      <c r="I298" t="inlineStr">
        <is>
          <t>TrEMBL</t>
        </is>
      </c>
      <c r="J298" t="inlineStr">
        <is>
          <t>Thoc2</t>
        </is>
      </c>
      <c r="K298" t="inlineStr">
        <is>
          <t>A0A7L3N3D3_9AVES</t>
        </is>
      </c>
      <c r="L298" t="inlineStr">
        <is>
          <t>tr|A0A7L3N3D3|A0A7L3N3D3_9AVES THO complex subunit 2 (Fragment) OS=Oreotrochilus melanogaster OX=689266 GN=Thoc2 PE=3 SV=1</t>
        </is>
      </c>
      <c r="M298" t="n">
        <v>1472</v>
      </c>
      <c r="N298" t="inlineStr">
        <is>
          <t>Oreotrochilus melanogaster</t>
        </is>
      </c>
      <c r="O298" t="inlineStr">
        <is>
          <t>THO complex subunit 2 (Fragment)</t>
        </is>
      </c>
    </row>
    <row r="299">
      <c r="A299" t="inlineStr"/>
      <c r="B299" t="inlineStr"/>
      <c r="C299" t="inlineStr"/>
      <c r="D299" t="inlineStr"/>
      <c r="E299">
        <f>HYPERLINK("https://www.uniprot.org/uniprotkb/A0A669PRK8/entry", "A0A669PRK8")</f>
        <v/>
      </c>
      <c r="F299" t="n">
        <v>84.90000000000001</v>
      </c>
      <c r="G299" t="n">
        <v>1021</v>
      </c>
      <c r="H299" t="n">
        <v>0</v>
      </c>
      <c r="I299" t="inlineStr">
        <is>
          <t>TrEMBL</t>
        </is>
      </c>
      <c r="J299" t="inlineStr"/>
      <c r="K299" t="inlineStr">
        <is>
          <t>A0A669PRK8_PHACC</t>
        </is>
      </c>
      <c r="L299" t="inlineStr">
        <is>
          <t>tr|A0A669PRK8|A0A669PRK8_PHACC THO complex subunit 2 OS=Phasianus colchicus OX=9054 PE=3 SV=1</t>
        </is>
      </c>
      <c r="M299" t="n">
        <v>1651</v>
      </c>
      <c r="N299" t="inlineStr">
        <is>
          <t>Phasianus colchicus</t>
        </is>
      </c>
      <c r="O299" t="inlineStr">
        <is>
          <t>THO complex subunit 2</t>
        </is>
      </c>
    </row>
    <row r="300">
      <c r="A300" t="inlineStr"/>
      <c r="B300" t="inlineStr"/>
      <c r="C300" t="inlineStr"/>
      <c r="D300" t="inlineStr"/>
      <c r="E300">
        <f>HYPERLINK("https://www.uniprot.org/uniprotkb/K7GAE7/entry", "K7GAE7")</f>
        <v/>
      </c>
      <c r="F300" t="n">
        <v>85</v>
      </c>
      <c r="G300" t="n">
        <v>1036</v>
      </c>
      <c r="H300" t="n">
        <v>0</v>
      </c>
      <c r="I300" t="inlineStr">
        <is>
          <t>TrEMBL</t>
        </is>
      </c>
      <c r="J300" t="inlineStr">
        <is>
          <t>THOC2</t>
        </is>
      </c>
      <c r="K300" t="inlineStr">
        <is>
          <t>K7GAE7_PELSI</t>
        </is>
      </c>
      <c r="L300" t="inlineStr">
        <is>
          <t>tr|K7GAE7|K7GAE7_PELSI THO complex subunit 2 OS=Pelodiscus sinensis OX=13735 GN=THOC2 PE=3 SV=1</t>
        </is>
      </c>
      <c r="M300" t="n">
        <v>1639</v>
      </c>
      <c r="N300" t="inlineStr">
        <is>
          <t>Pelodiscus sinensis</t>
        </is>
      </c>
      <c r="O300" t="inlineStr">
        <is>
          <t>THO complex subunit 2</t>
        </is>
      </c>
    </row>
    <row r="301">
      <c r="A301" t="inlineStr"/>
      <c r="B301" t="inlineStr"/>
      <c r="C301" t="inlineStr"/>
      <c r="D301" t="inlineStr"/>
      <c r="E301">
        <f>HYPERLINK("https://www.uniprot.org/uniprotkb/A0A6J3DRI6/entry", "A0A6J3DRI6")</f>
        <v/>
      </c>
      <c r="F301" t="n">
        <v>85.5</v>
      </c>
      <c r="G301" t="n">
        <v>1021</v>
      </c>
      <c r="H301" t="n">
        <v>0</v>
      </c>
      <c r="I301" t="inlineStr">
        <is>
          <t>TrEMBL</t>
        </is>
      </c>
      <c r="J301" t="inlineStr">
        <is>
          <t>THOC2</t>
        </is>
      </c>
      <c r="K301" t="inlineStr">
        <is>
          <t>A0A6J3DRI6_AYTFU</t>
        </is>
      </c>
      <c r="L301" t="inlineStr">
        <is>
          <t>tr|A0A6J3DRI6|A0A6J3DRI6_AYTFU THO complex subunit 2 OS=Aythya fuligula OX=219594 GN=THOC2 PE=3 SV=1</t>
        </is>
      </c>
      <c r="M301" t="n">
        <v>1594</v>
      </c>
      <c r="N301" t="inlineStr">
        <is>
          <t>Aythya fuligula</t>
        </is>
      </c>
      <c r="O301" t="inlineStr">
        <is>
          <t>THO complex subunit 2</t>
        </is>
      </c>
    </row>
    <row r="302">
      <c r="A302" t="inlineStr"/>
      <c r="B302" t="inlineStr"/>
      <c r="C302" t="inlineStr"/>
      <c r="D302" t="inlineStr"/>
      <c r="E302">
        <f>HYPERLINK("https://www.uniprot.org/uniprotkb/A0A7K8Q7M1/entry", "A0A7K8Q7M1")</f>
        <v/>
      </c>
      <c r="F302" t="n">
        <v>84.2</v>
      </c>
      <c r="G302" t="n">
        <v>1021</v>
      </c>
      <c r="H302" t="n">
        <v>0</v>
      </c>
      <c r="I302" t="inlineStr">
        <is>
          <t>TrEMBL</t>
        </is>
      </c>
      <c r="J302" t="inlineStr">
        <is>
          <t>Thoc2</t>
        </is>
      </c>
      <c r="K302" t="inlineStr">
        <is>
          <t>A0A7K8Q7M1_9PASS</t>
        </is>
      </c>
      <c r="L302" t="inlineStr">
        <is>
          <t>tr|A0A7K8Q7M1|A0A7K8Q7M1_9PASS THO complex subunit 2 (Fragment) OS=Smithornis capensis OX=363769 GN=Thoc2 PE=3 SV=1</t>
        </is>
      </c>
      <c r="M302" t="n">
        <v>1471</v>
      </c>
      <c r="N302" t="inlineStr">
        <is>
          <t>Smithornis capensis</t>
        </is>
      </c>
      <c r="O302" t="inlineStr">
        <is>
          <t>THO complex subunit 2 (Fragment)</t>
        </is>
      </c>
    </row>
    <row r="303">
      <c r="A303" t="inlineStr"/>
      <c r="B303" t="inlineStr"/>
      <c r="C303" t="inlineStr"/>
      <c r="D303" t="inlineStr"/>
      <c r="E303">
        <f>HYPERLINK("https://www.uniprot.org/uniprotkb/A0A8K1G6A6/entry", "A0A8K1G6A6")</f>
        <v/>
      </c>
      <c r="F303" t="n">
        <v>84.8</v>
      </c>
      <c r="G303" t="n">
        <v>1021</v>
      </c>
      <c r="H303" t="n">
        <v>0</v>
      </c>
      <c r="I303" t="inlineStr">
        <is>
          <t>TrEMBL</t>
        </is>
      </c>
      <c r="J303" t="inlineStr">
        <is>
          <t>HGM15179_014694</t>
        </is>
      </c>
      <c r="K303" t="inlineStr">
        <is>
          <t>A0A8K1G6A6_9PASS</t>
        </is>
      </c>
      <c r="L303" t="inlineStr">
        <is>
          <t>tr|A0A8K1G6A6|A0A8K1G6A6_9PASS THO complex subunit 2 OS=Zosterops borbonicus OX=364589 GN=HGM15179_014694 PE=3 SV=1</t>
        </is>
      </c>
      <c r="M303" t="n">
        <v>1667</v>
      </c>
      <c r="N303" t="inlineStr">
        <is>
          <t>Zosterops borbonicus</t>
        </is>
      </c>
      <c r="O303" t="inlineStr">
        <is>
          <t>THO complex subunit 2</t>
        </is>
      </c>
    </row>
    <row r="304">
      <c r="A304" t="inlineStr"/>
      <c r="B304" t="inlineStr"/>
      <c r="C304" t="inlineStr"/>
      <c r="D304" t="inlineStr"/>
      <c r="E304">
        <f>HYPERLINK("https://www.uniprot.org/uniprotkb/A0A099ZVP4/entry", "A0A099ZVP4")</f>
        <v/>
      </c>
      <c r="F304" t="n">
        <v>84.2</v>
      </c>
      <c r="G304" t="n">
        <v>1021</v>
      </c>
      <c r="H304" t="n">
        <v>0</v>
      </c>
      <c r="I304" t="inlineStr">
        <is>
          <t>TrEMBL</t>
        </is>
      </c>
      <c r="J304" t="inlineStr">
        <is>
          <t>N309_07652</t>
        </is>
      </c>
      <c r="K304" t="inlineStr">
        <is>
          <t>A0A099ZVP4_TINGU</t>
        </is>
      </c>
      <c r="L304" t="inlineStr">
        <is>
          <t>tr|A0A099ZVP4|A0A099ZVP4_TINGU THO complex subunit 2 (Fragment) OS=Tinamus guttatus OX=94827 GN=N309_07652 PE=3 SV=1</t>
        </is>
      </c>
      <c r="M304" t="n">
        <v>1506</v>
      </c>
      <c r="N304" t="inlineStr">
        <is>
          <t>Tinamus guttatus</t>
        </is>
      </c>
      <c r="O304" t="inlineStr">
        <is>
          <t>THO complex subunit 2 (Fragment)</t>
        </is>
      </c>
    </row>
    <row r="305">
      <c r="A305" t="inlineStr"/>
      <c r="B305" t="inlineStr"/>
      <c r="C305" t="inlineStr"/>
      <c r="D305" t="inlineStr"/>
      <c r="E305">
        <f>HYPERLINK("https://www.uniprot.org/uniprotkb/A0A851P480/entry", "A0A851P480")</f>
        <v/>
      </c>
      <c r="F305" t="n">
        <v>84.8</v>
      </c>
      <c r="G305" t="n">
        <v>1021</v>
      </c>
      <c r="H305" t="n">
        <v>0</v>
      </c>
      <c r="I305" t="inlineStr">
        <is>
          <t>TrEMBL</t>
        </is>
      </c>
      <c r="J305" t="inlineStr">
        <is>
          <t>Thoc2</t>
        </is>
      </c>
      <c r="K305" t="inlineStr">
        <is>
          <t>A0A851P480_9GALL</t>
        </is>
      </c>
      <c r="L305" t="inlineStr">
        <is>
          <t>tr|A0A851P480|A0A851P480_9GALL THO complex subunit 2 (Fragment) OS=Penelope pileata OX=1118817 GN=Thoc2 PE=3 SV=1</t>
        </is>
      </c>
      <c r="M305" t="n">
        <v>1472</v>
      </c>
      <c r="N305" t="inlineStr">
        <is>
          <t>Penelope pileata</t>
        </is>
      </c>
      <c r="O305" t="inlineStr">
        <is>
          <t>THO complex subunit 2 (Fragment)</t>
        </is>
      </c>
    </row>
    <row r="306">
      <c r="A306" t="inlineStr"/>
      <c r="B306" t="inlineStr"/>
      <c r="C306" t="inlineStr"/>
      <c r="D306" t="inlineStr"/>
      <c r="E306">
        <f>HYPERLINK("https://www.uniprot.org/uniprotkb/A0A8C3EHC5/entry", "A0A8C3EHC5")</f>
        <v/>
      </c>
      <c r="F306" t="n">
        <v>84</v>
      </c>
      <c r="G306" t="n">
        <v>1021</v>
      </c>
      <c r="H306" t="n">
        <v>0</v>
      </c>
      <c r="I306" t="inlineStr">
        <is>
          <t>TrEMBL</t>
        </is>
      </c>
      <c r="J306" t="inlineStr"/>
      <c r="K306" t="inlineStr">
        <is>
          <t>A0A8C3EHC5_CORMO</t>
        </is>
      </c>
      <c r="L306" t="inlineStr">
        <is>
          <t>tr|A0A8C3EHC5|A0A8C3EHC5_CORMO THO complex subunit 2 OS=Corvus moneduloides OX=1196302 PE=3 SV=1</t>
        </is>
      </c>
      <c r="M306" t="n">
        <v>1590</v>
      </c>
      <c r="N306" t="inlineStr">
        <is>
          <t>Corvus moneduloides</t>
        </is>
      </c>
      <c r="O306" t="inlineStr">
        <is>
          <t>THO complex subunit 2</t>
        </is>
      </c>
    </row>
    <row r="307">
      <c r="A307" t="inlineStr"/>
      <c r="B307" t="inlineStr"/>
      <c r="C307" t="inlineStr"/>
      <c r="D307" t="inlineStr"/>
      <c r="E307">
        <f>HYPERLINK("https://www.uniprot.org/uniprotkb/A0A3Q0H5K4/entry", "A0A3Q0H5K4")</f>
        <v/>
      </c>
      <c r="F307" t="n">
        <v>83.3</v>
      </c>
      <c r="G307" t="n">
        <v>1034</v>
      </c>
      <c r="H307" t="n">
        <v>0</v>
      </c>
      <c r="I307" t="inlineStr">
        <is>
          <t>TrEMBL</t>
        </is>
      </c>
      <c r="J307" t="inlineStr">
        <is>
          <t>THOC2</t>
        </is>
      </c>
      <c r="K307" t="inlineStr">
        <is>
          <t>A0A3Q0H5K4_ALLSI</t>
        </is>
      </c>
      <c r="L307" t="inlineStr">
        <is>
          <t>tr|A0A3Q0H5K4|A0A3Q0H5K4_ALLSI THO complex subunit 2 OS=Alligator sinensis OX=38654 GN=THOC2 PE=3 SV=1</t>
        </is>
      </c>
      <c r="M307" t="n">
        <v>1572</v>
      </c>
      <c r="N307" t="inlineStr">
        <is>
          <t>Alligator sinensis</t>
        </is>
      </c>
      <c r="O307" t="inlineStr">
        <is>
          <t>THO complex subunit 2</t>
        </is>
      </c>
    </row>
    <row r="308">
      <c r="A308" t="inlineStr"/>
      <c r="B308" t="inlineStr"/>
      <c r="C308" t="inlineStr"/>
      <c r="D308" t="inlineStr"/>
      <c r="E308">
        <f>HYPERLINK("https://www.uniprot.org/uniprotkb/A0A7K7KSJ9/entry", "A0A7K7KSJ9")</f>
        <v/>
      </c>
      <c r="F308" t="n">
        <v>85.59999999999999</v>
      </c>
      <c r="G308" t="n">
        <v>1021</v>
      </c>
      <c r="H308" t="n">
        <v>0</v>
      </c>
      <c r="I308" t="inlineStr">
        <is>
          <t>TrEMBL</t>
        </is>
      </c>
      <c r="J308" t="inlineStr">
        <is>
          <t>Thoc2</t>
        </is>
      </c>
      <c r="K308" t="inlineStr">
        <is>
          <t>A0A7K7KSJ9_9AVES</t>
        </is>
      </c>
      <c r="L308" t="inlineStr">
        <is>
          <t>tr|A0A7K7KSJ9|A0A7K7KSJ9_9AVES THO complex subunit 2 (Fragment) OS=Asarcornis scutulata OX=75869 GN=Thoc2 PE=3 SV=1</t>
        </is>
      </c>
      <c r="M308" t="n">
        <v>1471</v>
      </c>
      <c r="N308" t="inlineStr">
        <is>
          <t>Asarcornis scutulata</t>
        </is>
      </c>
      <c r="O308" t="inlineStr">
        <is>
          <t>THO complex subunit 2 (Fragment)</t>
        </is>
      </c>
    </row>
    <row r="309">
      <c r="A309" t="inlineStr"/>
      <c r="B309" t="inlineStr"/>
      <c r="C309" t="inlineStr"/>
      <c r="D309" t="inlineStr"/>
      <c r="E309">
        <f>HYPERLINK("https://www.uniprot.org/uniprotkb/Q8NI27/entry", "Q8NI27")</f>
        <v/>
      </c>
      <c r="F309" t="n">
        <v>81.3</v>
      </c>
      <c r="G309" t="n">
        <v>1021</v>
      </c>
      <c r="H309" t="n">
        <v>0</v>
      </c>
      <c r="I309" t="inlineStr">
        <is>
          <t>Swiss-Prot</t>
        </is>
      </c>
      <c r="J309" t="inlineStr">
        <is>
          <t>THOC2</t>
        </is>
      </c>
      <c r="K309" t="inlineStr">
        <is>
          <t>THOC2_HUMAN</t>
        </is>
      </c>
      <c r="L309" t="inlineStr">
        <is>
          <t>sp|Q8NI27|THOC2_HUMAN THO complex subunit 2 OS=Homo sapiens OX=9606 GN=THOC2 PE=1 SV=2</t>
        </is>
      </c>
      <c r="M309" t="n">
        <v>1593</v>
      </c>
      <c r="N309" t="inlineStr">
        <is>
          <t>Homo sapiens</t>
        </is>
      </c>
      <c r="O309" t="inlineStr">
        <is>
          <t>THO complex subunit 2</t>
        </is>
      </c>
    </row>
    <row r="310">
      <c r="A310" t="inlineStr"/>
      <c r="B310" t="inlineStr"/>
      <c r="C310" t="inlineStr"/>
      <c r="D310" t="inlineStr"/>
      <c r="E310">
        <f>HYPERLINK("https://www.uniprot.org/uniprotkb/C1FXW9/entry", "C1FXW9")</f>
        <v/>
      </c>
      <c r="F310" t="n">
        <v>81.59999999999999</v>
      </c>
      <c r="G310" t="n">
        <v>1021</v>
      </c>
      <c r="H310" t="n">
        <v>0</v>
      </c>
      <c r="I310" t="inlineStr">
        <is>
          <t>Swiss-Prot</t>
        </is>
      </c>
      <c r="J310" t="inlineStr">
        <is>
          <t>THOC2</t>
        </is>
      </c>
      <c r="K310" t="inlineStr">
        <is>
          <t>THOC2_DASNO</t>
        </is>
      </c>
      <c r="L310" t="inlineStr">
        <is>
          <t>sp|C1FXW9|THOC2_DASNO THO complex subunit 2 OS=Dasypus novemcinctus OX=9361 GN=THOC2 PE=3 SV=1</t>
        </is>
      </c>
      <c r="M310" t="n">
        <v>1613</v>
      </c>
      <c r="N310" t="inlineStr">
        <is>
          <t>Dasypus novemcinctus</t>
        </is>
      </c>
      <c r="O310" t="inlineStr">
        <is>
          <t>THO complex subunit 2</t>
        </is>
      </c>
    </row>
    <row r="311">
      <c r="A311" t="inlineStr"/>
      <c r="B311" t="inlineStr"/>
      <c r="C311" t="inlineStr"/>
      <c r="D311" t="inlineStr"/>
      <c r="E311">
        <f>HYPERLINK("https://www.uniprot.org/uniprotkb/B1AZI6/entry", "B1AZI6")</f>
        <v/>
      </c>
      <c r="F311" t="n">
        <v>80.40000000000001</v>
      </c>
      <c r="G311" t="n">
        <v>1021</v>
      </c>
      <c r="H311" t="n">
        <v>0</v>
      </c>
      <c r="I311" t="inlineStr">
        <is>
          <t>Swiss-Prot</t>
        </is>
      </c>
      <c r="J311" t="inlineStr">
        <is>
          <t>Thoc2</t>
        </is>
      </c>
      <c r="K311" t="inlineStr">
        <is>
          <t>THOC2_MOUSE</t>
        </is>
      </c>
      <c r="L311" t="inlineStr">
        <is>
          <t>sp|B1AZI6|THOC2_MOUSE THO complex subunit 2 OS=Mus musculus OX=10090 GN=Thoc2 PE=1 SV=1</t>
        </is>
      </c>
      <c r="M311" t="n">
        <v>1594</v>
      </c>
      <c r="N311" t="inlineStr">
        <is>
          <t>Mus musculus</t>
        </is>
      </c>
      <c r="O311" t="inlineStr">
        <is>
          <t>THO complex subunit 2</t>
        </is>
      </c>
    </row>
    <row r="312">
      <c r="A312" t="inlineStr"/>
      <c r="B312" t="inlineStr"/>
      <c r="C312" t="inlineStr"/>
      <c r="D312" t="inlineStr"/>
      <c r="E312">
        <f>HYPERLINK("https://www.uniprot.org/uniprotkb/B1MTK1/entry", "B1MTK1")</f>
        <v/>
      </c>
      <c r="F312" t="n">
        <v>80.59999999999999</v>
      </c>
      <c r="G312" t="n">
        <v>1021</v>
      </c>
      <c r="H312" t="n">
        <v>0</v>
      </c>
      <c r="I312" t="inlineStr">
        <is>
          <t>Swiss-Prot</t>
        </is>
      </c>
      <c r="J312" t="inlineStr">
        <is>
          <t>THOC2</t>
        </is>
      </c>
      <c r="K312" t="inlineStr">
        <is>
          <t>THOC2_PLEMO</t>
        </is>
      </c>
      <c r="L312" t="inlineStr">
        <is>
          <t>sp|B1MTK1|THOC2_PLEMO THO complex subunit 2 OS=Plecturocebus moloch OX=9523 GN=THOC2 PE=3 SV=1</t>
        </is>
      </c>
      <c r="M312" t="n">
        <v>1600</v>
      </c>
      <c r="N312" t="inlineStr">
        <is>
          <t>Plecturocebus moloch</t>
        </is>
      </c>
      <c r="O312" t="inlineStr">
        <is>
          <t>THO complex subunit 2</t>
        </is>
      </c>
    </row>
    <row r="313">
      <c r="A313" t="inlineStr"/>
      <c r="B313" t="inlineStr"/>
      <c r="C313" t="inlineStr"/>
      <c r="D313" t="inlineStr"/>
      <c r="E313">
        <f>HYPERLINK("https://www.uniprot.org/uniprotkb/B2KI97/entry", "B2KI97")</f>
        <v/>
      </c>
      <c r="F313" t="n">
        <v>80.09999999999999</v>
      </c>
      <c r="G313" t="n">
        <v>1021</v>
      </c>
      <c r="H313" t="n">
        <v>0</v>
      </c>
      <c r="I313" t="inlineStr">
        <is>
          <t>Swiss-Prot</t>
        </is>
      </c>
      <c r="J313" t="inlineStr">
        <is>
          <t>THOC2</t>
        </is>
      </c>
      <c r="K313" t="inlineStr">
        <is>
          <t>THOC2_RHIFE</t>
        </is>
      </c>
      <c r="L313" t="inlineStr">
        <is>
          <t>sp|B2KI97|THOC2_RHIFE THO complex subunit 2 OS=Rhinolophus ferrumequinum OX=59479 GN=THOC2 PE=3 SV=1</t>
        </is>
      </c>
      <c r="M313" t="n">
        <v>1576</v>
      </c>
      <c r="N313" t="inlineStr">
        <is>
          <t>Rhinolophus ferrumequinum</t>
        </is>
      </c>
      <c r="O313" t="inlineStr">
        <is>
          <t>THO complex subunit 2</t>
        </is>
      </c>
    </row>
    <row r="314">
      <c r="A314" t="inlineStr"/>
      <c r="B314" t="inlineStr"/>
      <c r="C314" t="inlineStr"/>
      <c r="D314" t="inlineStr"/>
      <c r="E314">
        <f>HYPERLINK("https://www.uniprot.org/uniprotkb/B0KWH8/entry", "B0KWH8")</f>
        <v/>
      </c>
      <c r="F314" t="n">
        <v>79.7</v>
      </c>
      <c r="G314" t="n">
        <v>1025</v>
      </c>
      <c r="H314" t="n">
        <v>0</v>
      </c>
      <c r="I314" t="inlineStr">
        <is>
          <t>Swiss-Prot</t>
        </is>
      </c>
      <c r="J314" t="inlineStr">
        <is>
          <t>THOC2</t>
        </is>
      </c>
      <c r="K314" t="inlineStr">
        <is>
          <t>THOC2_CALJA</t>
        </is>
      </c>
      <c r="L314" t="inlineStr">
        <is>
          <t>sp|B0KWH8|THOC2_CALJA THO complex subunit 2 OS=Callithrix jacchus OX=9483 GN=THOC2 PE=3 SV=1</t>
        </is>
      </c>
      <c r="M314" t="n">
        <v>1600</v>
      </c>
      <c r="N314" t="inlineStr">
        <is>
          <t>Callithrix jacchus</t>
        </is>
      </c>
      <c r="O314" t="inlineStr">
        <is>
          <t>THO complex subunit 2</t>
        </is>
      </c>
    </row>
    <row r="315">
      <c r="A315" t="inlineStr"/>
      <c r="B315" t="inlineStr"/>
      <c r="C315" t="inlineStr"/>
      <c r="D315" t="inlineStr"/>
      <c r="E315">
        <f>HYPERLINK("https://www.uniprot.org/uniprotkb/F4IAT2/entry", "F4IAT2")</f>
        <v/>
      </c>
      <c r="F315" t="n">
        <v>38.8</v>
      </c>
      <c r="G315" t="n">
        <v>787</v>
      </c>
      <c r="H315" t="n">
        <v>5.259999999999999e-147</v>
      </c>
      <c r="I315" t="inlineStr">
        <is>
          <t>Swiss-Prot</t>
        </is>
      </c>
      <c r="J315" t="inlineStr">
        <is>
          <t>THO2</t>
        </is>
      </c>
      <c r="K315" t="inlineStr">
        <is>
          <t>THOC2_ARATH</t>
        </is>
      </c>
      <c r="L315" t="inlineStr">
        <is>
          <t>sp|F4IAT2|THOC2_ARATH THO complex subunit 2 OS=Arabidopsis thaliana OX=3702 GN=THO2 PE=1 SV=1</t>
        </is>
      </c>
      <c r="M315" t="n">
        <v>1823</v>
      </c>
      <c r="N315" t="inlineStr">
        <is>
          <t>Arabidopsis thaliana</t>
        </is>
      </c>
      <c r="O315" t="inlineStr">
        <is>
          <t>THO complex subunit 2</t>
        </is>
      </c>
    </row>
    <row r="316">
      <c r="A316" t="inlineStr"/>
      <c r="B316" t="inlineStr"/>
      <c r="C316" t="inlineStr"/>
      <c r="D316" t="inlineStr"/>
      <c r="E316">
        <f>HYPERLINK("https://www.uniprot.org/uniprotkb/Q09779/entry", "Q09779")</f>
        <v/>
      </c>
      <c r="F316" t="n">
        <v>34.5</v>
      </c>
      <c r="G316" t="n">
        <v>780</v>
      </c>
      <c r="H316" t="n">
        <v>8.25e-112</v>
      </c>
      <c r="I316" t="inlineStr">
        <is>
          <t>Swiss-Prot</t>
        </is>
      </c>
      <c r="J316" t="inlineStr">
        <is>
          <t>tho2</t>
        </is>
      </c>
      <c r="K316" t="inlineStr">
        <is>
          <t>THO2_SCHPO</t>
        </is>
      </c>
      <c r="L316" t="inlineStr">
        <is>
          <t>sp|Q09779|THO2_SCHPO THO complex subunit 2 OS=Schizosaccharomyces pombe (strain 972 / ATCC 24843) OX=284812 GN=tho2 PE=1 SV=3</t>
        </is>
      </c>
      <c r="M316" t="n">
        <v>1628</v>
      </c>
      <c r="N316" t="inlineStr">
        <is>
          <t>Schizosaccharomyces pombe (strain 972 / ATCC 24843)</t>
        </is>
      </c>
      <c r="O316" t="inlineStr">
        <is>
          <t>THO complex subunit 2</t>
        </is>
      </c>
    </row>
    <row r="317">
      <c r="A317" t="inlineStr"/>
      <c r="B317" t="inlineStr"/>
      <c r="C317" t="inlineStr"/>
      <c r="D317" t="inlineStr"/>
      <c r="E317">
        <f>HYPERLINK("https://www.uniprot.org/uniprotkb/P53552/entry", "P53552")</f>
        <v/>
      </c>
      <c r="F317" t="n">
        <v>23.9</v>
      </c>
      <c r="G317" t="n">
        <v>767</v>
      </c>
      <c r="H317" t="n">
        <v>1.44e-33</v>
      </c>
      <c r="I317" t="inlineStr">
        <is>
          <t>Swiss-Prot</t>
        </is>
      </c>
      <c r="J317" t="inlineStr">
        <is>
          <t>THO2</t>
        </is>
      </c>
      <c r="K317" t="inlineStr">
        <is>
          <t>THO2_YEAST</t>
        </is>
      </c>
      <c r="L317" t="inlineStr">
        <is>
          <t>sp|P53552|THO2_YEAST THO complex subunit 2 OS=Saccharomyces cerevisiae (strain ATCC 204508 / S288c) OX=559292 GN=THO2 PE=1 SV=1</t>
        </is>
      </c>
      <c r="M317" t="n">
        <v>1597</v>
      </c>
      <c r="N317" t="inlineStr">
        <is>
          <t>Saccharomyces cerevisiae (strain ATCC 204508 / S288c)</t>
        </is>
      </c>
      <c r="O317" t="inlineStr">
        <is>
          <t>THO complex subunit 2</t>
        </is>
      </c>
    </row>
    <row r="318">
      <c r="A318" t="inlineStr">
        <is>
          <t>NODE_108140_length_1543_cov_4.462737_g43088_i0</t>
        </is>
      </c>
      <c r="B318" t="inlineStr">
        <is>
          <t>bombina_pachypus_blastx</t>
        </is>
      </c>
      <c r="C318" t="n">
        <v>-4.35902871854377</v>
      </c>
      <c r="D318" t="n">
        <v>0.0411144793936491</v>
      </c>
      <c r="E318">
        <f>HYPERLINK("https://www.uniprot.org/uniprotkb/A0A8C5PCI5/entry", "A0A8C5PCI5")</f>
        <v/>
      </c>
      <c r="F318" t="n">
        <v>38.5</v>
      </c>
      <c r="G318" t="n">
        <v>286</v>
      </c>
      <c r="H318" t="n">
        <v>5.76e-46</v>
      </c>
      <c r="I318" t="inlineStr">
        <is>
          <t>TrEMBL</t>
        </is>
      </c>
      <c r="J318" t="inlineStr"/>
      <c r="K318" t="inlineStr">
        <is>
          <t>A0A8C5PCI5_9ANUR</t>
        </is>
      </c>
      <c r="L318" t="inlineStr">
        <is>
          <t>tr|A0A8C5PCI5|A0A8C5PCI5_9ANUR LINE-1 type transposase domain-containing 1 OS=Leptobrachium leishanense OX=445787 PE=4 SV=1</t>
        </is>
      </c>
      <c r="M318" t="n">
        <v>304</v>
      </c>
      <c r="N318" t="inlineStr">
        <is>
          <t>Leptobrachium leishanense</t>
        </is>
      </c>
      <c r="O318" t="inlineStr">
        <is>
          <t>LINE-1 type transposase domain-containing 1</t>
        </is>
      </c>
    </row>
    <row r="319">
      <c r="A319" t="inlineStr"/>
      <c r="B319" t="inlineStr"/>
      <c r="C319" t="inlineStr"/>
      <c r="D319" t="inlineStr"/>
      <c r="E319">
        <f>HYPERLINK("https://www.uniprot.org/uniprotkb/A0A8C5QRW1/entry", "A0A8C5QRW1")</f>
        <v/>
      </c>
      <c r="F319" t="n">
        <v>39.6</v>
      </c>
      <c r="G319" t="n">
        <v>227</v>
      </c>
      <c r="H319" t="n">
        <v>5.24e-41</v>
      </c>
      <c r="I319" t="inlineStr">
        <is>
          <t>TrEMBL</t>
        </is>
      </c>
      <c r="J319" t="inlineStr"/>
      <c r="K319" t="inlineStr">
        <is>
          <t>A0A8C5QRW1_9ANUR</t>
        </is>
      </c>
      <c r="L319" t="inlineStr">
        <is>
          <t>tr|A0A8C5QRW1|A0A8C5QRW1_9ANUR Tick transposon OS=Leptobrachium leishanense OX=445787 PE=4 SV=1</t>
        </is>
      </c>
      <c r="M319" t="n">
        <v>257</v>
      </c>
      <c r="N319" t="inlineStr">
        <is>
          <t>Leptobrachium leishanense</t>
        </is>
      </c>
      <c r="O319" t="inlineStr">
        <is>
          <t>Tick transposon</t>
        </is>
      </c>
    </row>
    <row r="320">
      <c r="A320" t="inlineStr"/>
      <c r="B320" t="inlineStr"/>
      <c r="C320" t="inlineStr"/>
      <c r="D320" t="inlineStr"/>
      <c r="E320">
        <f>HYPERLINK("https://www.ncbi.nlm.nih.gov/gene/?term=OCT56386.1", "OCT56386.1")</f>
        <v/>
      </c>
      <c r="F320" t="n">
        <v>41.5</v>
      </c>
      <c r="G320" t="n">
        <v>224</v>
      </c>
      <c r="H320" t="n">
        <v>1.1e-40</v>
      </c>
      <c r="I320" t="inlineStr">
        <is>
          <t>Nr</t>
        </is>
      </c>
      <c r="J320" t="inlineStr"/>
      <c r="K320" t="inlineStr"/>
      <c r="L320" t="inlineStr">
        <is>
          <t>OCT56386.1 hypothetical protein XELAEV_18000164mg [Xenopus laevis]</t>
        </is>
      </c>
      <c r="M320" t="n">
        <v>701</v>
      </c>
      <c r="N320" t="inlineStr">
        <is>
          <t>Xenopus laevis</t>
        </is>
      </c>
      <c r="O320" t="inlineStr">
        <is>
          <t>hypothetical protein XELAEV_18000164mg</t>
        </is>
      </c>
    </row>
    <row r="321">
      <c r="A321" t="inlineStr"/>
      <c r="B321" t="inlineStr"/>
      <c r="C321" t="inlineStr"/>
      <c r="D321" t="inlineStr"/>
      <c r="E321">
        <f>HYPERLINK("https://www.uniprot.org/uniprotkb/A0A8C5Q8A4/entry", "A0A8C5Q8A4")</f>
        <v/>
      </c>
      <c r="F321" t="n">
        <v>39.2</v>
      </c>
      <c r="G321" t="n">
        <v>227</v>
      </c>
      <c r="H321" t="n">
        <v>1.65e-39</v>
      </c>
      <c r="I321" t="inlineStr">
        <is>
          <t>TrEMBL</t>
        </is>
      </c>
      <c r="J321" t="inlineStr"/>
      <c r="K321" t="inlineStr">
        <is>
          <t>A0A8C5Q8A4_9ANUR</t>
        </is>
      </c>
      <c r="L321" t="inlineStr">
        <is>
          <t>tr|A0A8C5Q8A4|A0A8C5Q8A4_9ANUR LINE-1 type transposase domain-containing 1 OS=Leptobrachium leishanense OX=445787 PE=4 SV=1</t>
        </is>
      </c>
      <c r="M321" t="n">
        <v>258</v>
      </c>
      <c r="N321" t="inlineStr">
        <is>
          <t>Leptobrachium leishanense</t>
        </is>
      </c>
      <c r="O321" t="inlineStr">
        <is>
          <t>LINE-1 type transposase domain-containing 1</t>
        </is>
      </c>
    </row>
    <row r="322">
      <c r="A322" t="inlineStr"/>
      <c r="B322" t="inlineStr"/>
      <c r="C322" t="inlineStr"/>
      <c r="D322" t="inlineStr"/>
      <c r="E322">
        <f>HYPERLINK("https://www.uniprot.org/uniprotkb/A0A8C5M437/entry", "A0A8C5M437")</f>
        <v/>
      </c>
      <c r="F322" t="n">
        <v>39.2</v>
      </c>
      <c r="G322" t="n">
        <v>237</v>
      </c>
      <c r="H322" t="n">
        <v>2.32e-39</v>
      </c>
      <c r="I322" t="inlineStr">
        <is>
          <t>TrEMBL</t>
        </is>
      </c>
      <c r="J322" t="inlineStr"/>
      <c r="K322" t="inlineStr">
        <is>
          <t>A0A8C5M437_9ANUR</t>
        </is>
      </c>
      <c r="L322" t="inlineStr">
        <is>
          <t>tr|A0A8C5M437|A0A8C5M437_9ANUR LINE-1 type transposase domain-containing 1 OS=Leptobrachium leishanense OX=445787 PE=4 SV=1</t>
        </is>
      </c>
      <c r="M322" t="n">
        <v>326</v>
      </c>
      <c r="N322" t="inlineStr">
        <is>
          <t>Leptobrachium leishanense</t>
        </is>
      </c>
      <c r="O322" t="inlineStr">
        <is>
          <t>LINE-1 type transposase domain-containing 1</t>
        </is>
      </c>
    </row>
    <row r="323">
      <c r="A323" t="inlineStr"/>
      <c r="B323" t="inlineStr"/>
      <c r="C323" t="inlineStr"/>
      <c r="D323" t="inlineStr"/>
      <c r="E323">
        <f>HYPERLINK("https://www.uniprot.org/uniprotkb/A0A8C5QXN8/entry", "A0A8C5QXN8")</f>
        <v/>
      </c>
      <c r="F323" t="n">
        <v>39.1</v>
      </c>
      <c r="G323" t="n">
        <v>233</v>
      </c>
      <c r="H323" t="n">
        <v>4.69e-39</v>
      </c>
      <c r="I323" t="inlineStr">
        <is>
          <t>TrEMBL</t>
        </is>
      </c>
      <c r="J323" t="inlineStr"/>
      <c r="K323" t="inlineStr">
        <is>
          <t>A0A8C5QXN8_9ANUR</t>
        </is>
      </c>
      <c r="L323" t="inlineStr">
        <is>
          <t>tr|A0A8C5QXN8|A0A8C5QXN8_9ANUR LINE-1 retrotransposable element ORF1 protein OS=Leptobrachium leishanense OX=445787 PE=4 SV=1</t>
        </is>
      </c>
      <c r="M323" t="n">
        <v>246</v>
      </c>
      <c r="N323" t="inlineStr">
        <is>
          <t>Leptobrachium leishanense</t>
        </is>
      </c>
      <c r="O323" t="inlineStr">
        <is>
          <t>LINE-1 retrotransposable element ORF1 protein</t>
        </is>
      </c>
    </row>
    <row r="324">
      <c r="A324" t="inlineStr"/>
      <c r="B324" t="inlineStr"/>
      <c r="C324" t="inlineStr"/>
      <c r="D324" t="inlineStr"/>
      <c r="E324">
        <f>HYPERLINK("https://www.uniprot.org/uniprotkb/A0A6P8RKU0/entry", "A0A6P8RKU0")</f>
        <v/>
      </c>
      <c r="F324" t="n">
        <v>36.2</v>
      </c>
      <c r="G324" t="n">
        <v>282</v>
      </c>
      <c r="H324" t="n">
        <v>3.05e-38</v>
      </c>
      <c r="I324" t="inlineStr">
        <is>
          <t>TrEMBL</t>
        </is>
      </c>
      <c r="J324" t="inlineStr">
        <is>
          <t>SETDB2</t>
        </is>
      </c>
      <c r="K324" t="inlineStr">
        <is>
          <t>A0A6P8RKU0_GEOSA</t>
        </is>
      </c>
      <c r="L324" t="inlineStr">
        <is>
          <t>tr|A0A6P8RKU0|A0A6P8RKU0_GEOSA histone-lysine N-methyltransferase SETDB2 OS=Geotrypetes seraphini OX=260995 GN=SETDB2 PE=4 SV=1</t>
        </is>
      </c>
      <c r="M324" t="n">
        <v>2196</v>
      </c>
      <c r="N324" t="inlineStr">
        <is>
          <t>Geotrypetes seraphini</t>
        </is>
      </c>
      <c r="O324" t="inlineStr">
        <is>
          <t>histone-lysine N-methyltransferase SETDB2</t>
        </is>
      </c>
    </row>
    <row r="325">
      <c r="A325" t="inlineStr"/>
      <c r="B325" t="inlineStr"/>
      <c r="C325" t="inlineStr"/>
      <c r="D325" t="inlineStr"/>
      <c r="E325">
        <f>HYPERLINK("https://www.ncbi.nlm.nih.gov/gene/?term=XP_033805871.1", "XP_033805871.1")</f>
        <v/>
      </c>
      <c r="F325" t="n">
        <v>36.2</v>
      </c>
      <c r="G325" t="n">
        <v>282</v>
      </c>
      <c r="H325" t="n">
        <v>7.84e-38</v>
      </c>
      <c r="I325" t="inlineStr">
        <is>
          <t>Nr</t>
        </is>
      </c>
      <c r="J325" t="inlineStr"/>
      <c r="K325" t="inlineStr"/>
      <c r="L325" t="inlineStr">
        <is>
          <t>XP_033805871.1 histone-lysine N-methyltransferase SETDB2 [Geotrypetes seraphini]</t>
        </is>
      </c>
      <c r="M325" t="n">
        <v>2196</v>
      </c>
      <c r="N325" t="inlineStr">
        <is>
          <t>Geotrypetes seraphini</t>
        </is>
      </c>
      <c r="O325" t="inlineStr">
        <is>
          <t>histone-lysine N-methyltransferase SETDB2</t>
        </is>
      </c>
    </row>
    <row r="326">
      <c r="A326" t="inlineStr"/>
      <c r="B326" t="inlineStr"/>
      <c r="C326" t="inlineStr"/>
      <c r="D326" t="inlineStr"/>
      <c r="E326">
        <f>HYPERLINK("https://www.ncbi.nlm.nih.gov/gene/?term=XP_040283419.1", "XP_040283419.1")</f>
        <v/>
      </c>
      <c r="F326" t="n">
        <v>37.4</v>
      </c>
      <c r="G326" t="n">
        <v>265</v>
      </c>
      <c r="H326" t="n">
        <v>1.75e-35</v>
      </c>
      <c r="I326" t="inlineStr">
        <is>
          <t>Nr</t>
        </is>
      </c>
      <c r="J326" t="inlineStr"/>
      <c r="K326" t="inlineStr"/>
      <c r="L326" t="inlineStr">
        <is>
          <t>XP_040283419.1 zinc finger protein 665-like [Bufo bufo]</t>
        </is>
      </c>
      <c r="M326" t="n">
        <v>1169</v>
      </c>
      <c r="N326" t="inlineStr">
        <is>
          <t>Bufo bufo</t>
        </is>
      </c>
      <c r="O326" t="inlineStr">
        <is>
          <t>zinc finger protein 665-like</t>
        </is>
      </c>
    </row>
    <row r="327">
      <c r="A327" t="inlineStr"/>
      <c r="B327" t="inlineStr"/>
      <c r="C327" t="inlineStr"/>
      <c r="D327" t="inlineStr"/>
      <c r="E327">
        <f>HYPERLINK("https://www.ncbi.nlm.nih.gov/gene/?term=XP_040275741.1", "XP_040275741.1")</f>
        <v/>
      </c>
      <c r="F327" t="n">
        <v>36.7</v>
      </c>
      <c r="G327" t="n">
        <v>245</v>
      </c>
      <c r="H327" t="n">
        <v>9.27e-34</v>
      </c>
      <c r="I327" t="inlineStr">
        <is>
          <t>Nr</t>
        </is>
      </c>
      <c r="J327" t="inlineStr"/>
      <c r="K327" t="inlineStr"/>
      <c r="L327" t="inlineStr">
        <is>
          <t>XP_040275741.1 proprotein convertase subtilisin/kexin type 4 [Bufo bufo]</t>
        </is>
      </c>
      <c r="M327" t="n">
        <v>1114</v>
      </c>
      <c r="N327" t="inlineStr">
        <is>
          <t>Bufo bufo</t>
        </is>
      </c>
      <c r="O327" t="inlineStr">
        <is>
          <t>proprotein convertase subtilisin/kexin type 4</t>
        </is>
      </c>
    </row>
    <row r="328">
      <c r="A328" t="inlineStr"/>
      <c r="B328" t="inlineStr"/>
      <c r="C328" t="inlineStr"/>
      <c r="D328" t="inlineStr"/>
      <c r="E328">
        <f>HYPERLINK("https://www.ncbi.nlm.nih.gov/gene/?term=KAG8551097.1", "KAG8551097.1")</f>
        <v/>
      </c>
      <c r="F328" t="n">
        <v>34.4</v>
      </c>
      <c r="G328" t="n">
        <v>262</v>
      </c>
      <c r="H328" t="n">
        <v>2.01e-33</v>
      </c>
      <c r="I328" t="inlineStr">
        <is>
          <t>Nr</t>
        </is>
      </c>
      <c r="J328" t="inlineStr"/>
      <c r="K328" t="inlineStr"/>
      <c r="L328" t="inlineStr">
        <is>
          <t>KAG8551097.1 hypothetical protein GDO81_018460 [Engystomops pustulosus]</t>
        </is>
      </c>
      <c r="M328" t="n">
        <v>370</v>
      </c>
      <c r="N328" t="inlineStr">
        <is>
          <t>Engystomops pustulosus</t>
        </is>
      </c>
      <c r="O328" t="inlineStr">
        <is>
          <t>hypothetical protein GDO81_018460</t>
        </is>
      </c>
    </row>
    <row r="329">
      <c r="A329" t="inlineStr"/>
      <c r="B329" t="inlineStr"/>
      <c r="C329" t="inlineStr"/>
      <c r="D329" t="inlineStr"/>
      <c r="E329">
        <f>HYPERLINK("https://www.uniprot.org/uniprotkb/A0A3P9HX48/entry", "A0A3P9HX48")</f>
        <v/>
      </c>
      <c r="F329" t="n">
        <v>34.5</v>
      </c>
      <c r="G329" t="n">
        <v>249</v>
      </c>
      <c r="H329" t="n">
        <v>2.79e-32</v>
      </c>
      <c r="I329" t="inlineStr">
        <is>
          <t>TrEMBL</t>
        </is>
      </c>
      <c r="J329" t="inlineStr"/>
      <c r="K329" t="inlineStr">
        <is>
          <t>A0A3P9HX48_ORYLA</t>
        </is>
      </c>
      <c r="L329" t="inlineStr">
        <is>
          <t>tr|A0A3P9HX48|A0A3P9HX48_ORYLA LINE-1 type transposase domain-containing protein 1 OS=Oryzias latipes OX=8090 PE=4 SV=1</t>
        </is>
      </c>
      <c r="M329" t="n">
        <v>315</v>
      </c>
      <c r="N329" t="inlineStr">
        <is>
          <t>Oryzias latipes</t>
        </is>
      </c>
      <c r="O329" t="inlineStr">
        <is>
          <t>LINE-1 type transposase domain-containing protein 1</t>
        </is>
      </c>
    </row>
    <row r="330">
      <c r="A330" t="inlineStr"/>
      <c r="B330" t="inlineStr"/>
      <c r="C330" t="inlineStr"/>
      <c r="D330" t="inlineStr"/>
      <c r="E330">
        <f>HYPERLINK("https://www.uniprot.org/uniprotkb/A0A3P8STI7/entry", "A0A3P8STI7")</f>
        <v/>
      </c>
      <c r="F330" t="n">
        <v>33.1</v>
      </c>
      <c r="G330" t="n">
        <v>236</v>
      </c>
      <c r="H330" t="n">
        <v>1.1e-31</v>
      </c>
      <c r="I330" t="inlineStr">
        <is>
          <t>TrEMBL</t>
        </is>
      </c>
      <c r="J330" t="inlineStr"/>
      <c r="K330" t="inlineStr">
        <is>
          <t>A0A3P8STI7_AMPPE</t>
        </is>
      </c>
      <c r="L330" t="inlineStr">
        <is>
          <t>tr|A0A3P8STI7|A0A3P8STI7_AMPPE LINE-1 type transposase domain-containing protein 1 OS=Amphiprion percula OX=161767 PE=4 SV=1</t>
        </is>
      </c>
      <c r="M330" t="n">
        <v>286</v>
      </c>
      <c r="N330" t="inlineStr">
        <is>
          <t>Amphiprion percula</t>
        </is>
      </c>
      <c r="O330" t="inlineStr">
        <is>
          <t>LINE-1 type transposase domain-containing protein 1</t>
        </is>
      </c>
    </row>
    <row r="331">
      <c r="A331" t="inlineStr"/>
      <c r="B331" t="inlineStr"/>
      <c r="C331" t="inlineStr"/>
      <c r="D331" t="inlineStr"/>
      <c r="E331">
        <f>HYPERLINK("https://www.uniprot.org/uniprotkb/A0A8C5WKG5/entry", "A0A8C5WKG5")</f>
        <v/>
      </c>
      <c r="F331" t="n">
        <v>43.5</v>
      </c>
      <c r="G331" t="n">
        <v>161</v>
      </c>
      <c r="H331" t="n">
        <v>1.37e-31</v>
      </c>
      <c r="I331" t="inlineStr">
        <is>
          <t>TrEMBL</t>
        </is>
      </c>
      <c r="J331" t="inlineStr"/>
      <c r="K331" t="inlineStr">
        <is>
          <t>A0A8C5WKG5_9ANUR</t>
        </is>
      </c>
      <c r="L331" t="inlineStr">
        <is>
          <t>tr|A0A8C5WKG5|A0A8C5WKG5_9ANUR Tick transposon OS=Leptobrachium leishanense OX=445787 PE=4 SV=1</t>
        </is>
      </c>
      <c r="M331" t="n">
        <v>311</v>
      </c>
      <c r="N331" t="inlineStr">
        <is>
          <t>Leptobrachium leishanense</t>
        </is>
      </c>
      <c r="O331" t="inlineStr">
        <is>
          <t>Tick transposon</t>
        </is>
      </c>
    </row>
    <row r="332">
      <c r="A332" t="inlineStr"/>
      <c r="B332" t="inlineStr"/>
      <c r="C332" t="inlineStr"/>
      <c r="D332" t="inlineStr"/>
      <c r="E332">
        <f>HYPERLINK("https://www.uniprot.org/uniprotkb/A0A6G0HRC2/entry", "A0A6G0HRC2")</f>
        <v/>
      </c>
      <c r="F332" t="n">
        <v>32.8</v>
      </c>
      <c r="G332" t="n">
        <v>244</v>
      </c>
      <c r="H332" t="n">
        <v>4.96e-31</v>
      </c>
      <c r="I332" t="inlineStr">
        <is>
          <t>TrEMBL</t>
        </is>
      </c>
      <c r="J332" t="inlineStr">
        <is>
          <t>D5F01_LYC19152</t>
        </is>
      </c>
      <c r="K332" t="inlineStr">
        <is>
          <t>A0A6G0HRC2_LARCR</t>
        </is>
      </c>
      <c r="L332" t="inlineStr">
        <is>
          <t>tr|A0A6G0HRC2|A0A6G0HRC2_LARCR LINE-1 type transposase domain-containing protein 1 OS=Larimichthys crocea OX=215358 GN=D5F01_LYC19152 PE=4 SV=1</t>
        </is>
      </c>
      <c r="M332" t="n">
        <v>278</v>
      </c>
      <c r="N332" t="inlineStr">
        <is>
          <t>Larimichthys crocea</t>
        </is>
      </c>
      <c r="O332" t="inlineStr">
        <is>
          <t>LINE-1 type transposase domain-containing protein 1</t>
        </is>
      </c>
    </row>
    <row r="333">
      <c r="A333" t="inlineStr"/>
      <c r="B333" t="inlineStr"/>
      <c r="C333" t="inlineStr"/>
      <c r="D333" t="inlineStr"/>
      <c r="E333">
        <f>HYPERLINK("https://www.ncbi.nlm.nih.gov/gene/?term=KAE8281769.1", "KAE8281769.1")</f>
        <v/>
      </c>
      <c r="F333" t="n">
        <v>32.8</v>
      </c>
      <c r="G333" t="n">
        <v>244</v>
      </c>
      <c r="H333" t="n">
        <v>1.27e-30</v>
      </c>
      <c r="I333" t="inlineStr">
        <is>
          <t>Nr</t>
        </is>
      </c>
      <c r="J333" t="inlineStr"/>
      <c r="K333" t="inlineStr"/>
      <c r="L333" t="inlineStr">
        <is>
          <t>KAE8281769.1 hypothetical protein D5F01_LYC19152 [Larimichthys crocea]</t>
        </is>
      </c>
      <c r="M333" t="n">
        <v>278</v>
      </c>
      <c r="N333" t="inlineStr">
        <is>
          <t>Larimichthys crocea</t>
        </is>
      </c>
      <c r="O333" t="inlineStr">
        <is>
          <t>hypothetical protein D5F01_LYC19152</t>
        </is>
      </c>
    </row>
    <row r="334">
      <c r="A334" t="inlineStr"/>
      <c r="B334" t="inlineStr"/>
      <c r="C334" t="inlineStr"/>
      <c r="D334" t="inlineStr"/>
      <c r="E334">
        <f>HYPERLINK("https://www.uniprot.org/uniprotkb/A0A6P8QRS5/entry", "A0A6P8QRS5")</f>
        <v/>
      </c>
      <c r="F334" t="n">
        <v>35.5</v>
      </c>
      <c r="G334" t="n">
        <v>211</v>
      </c>
      <c r="H334" t="n">
        <v>2.01e-30</v>
      </c>
      <c r="I334" t="inlineStr">
        <is>
          <t>TrEMBL</t>
        </is>
      </c>
      <c r="J334" t="inlineStr">
        <is>
          <t>LOC117360313</t>
        </is>
      </c>
      <c r="K334" t="inlineStr">
        <is>
          <t>A0A6P8QRS5_GEOSA</t>
        </is>
      </c>
      <c r="L334" t="inlineStr">
        <is>
          <t>tr|A0A6P8QRS5|A0A6P8QRS5_GEOSA uncharacterized protein LOC117360313 OS=Geotrypetes seraphini OX=260995 GN=LOC117360313 PE=4 SV=1</t>
        </is>
      </c>
      <c r="M334" t="n">
        <v>1573</v>
      </c>
      <c r="N334" t="inlineStr">
        <is>
          <t>Geotrypetes seraphini</t>
        </is>
      </c>
      <c r="O334" t="inlineStr">
        <is>
          <t>uncharacterized protein LOC117360313</t>
        </is>
      </c>
    </row>
    <row r="335">
      <c r="A335" t="inlineStr"/>
      <c r="B335" t="inlineStr"/>
      <c r="C335" t="inlineStr"/>
      <c r="D335" t="inlineStr"/>
      <c r="E335">
        <f>HYPERLINK("https://www.uniprot.org/uniprotkb/A0A3N0Z226/entry", "A0A3N0Z226")</f>
        <v/>
      </c>
      <c r="F335" t="n">
        <v>32.8</v>
      </c>
      <c r="G335" t="n">
        <v>247</v>
      </c>
      <c r="H335" t="n">
        <v>2.93e-30</v>
      </c>
      <c r="I335" t="inlineStr">
        <is>
          <t>TrEMBL</t>
        </is>
      </c>
      <c r="J335" t="inlineStr">
        <is>
          <t>DPX16_1909</t>
        </is>
      </c>
      <c r="K335" t="inlineStr">
        <is>
          <t>A0A3N0Z226_ANAGA</t>
        </is>
      </c>
      <c r="L335" t="inlineStr">
        <is>
          <t>tr|A0A3N0Z226|A0A3N0Z226_ANAGA LINE-1 type transposase domain-containing protein 1 OS=Anabarilius grahami OX=495550 GN=DPX16_1909 PE=4 SV=1</t>
        </is>
      </c>
      <c r="M335" t="n">
        <v>282</v>
      </c>
      <c r="N335" t="inlineStr">
        <is>
          <t>Anabarilius grahami</t>
        </is>
      </c>
      <c r="O335" t="inlineStr">
        <is>
          <t>LINE-1 type transposase domain-containing protein 1</t>
        </is>
      </c>
    </row>
    <row r="336">
      <c r="A336" t="inlineStr"/>
      <c r="B336" t="inlineStr"/>
      <c r="C336" t="inlineStr"/>
      <c r="D336" t="inlineStr"/>
      <c r="E336">
        <f>HYPERLINK("https://www.ncbi.nlm.nih.gov/gene/?term=XP_033799899.1", "XP_033799899.1")</f>
        <v/>
      </c>
      <c r="F336" t="n">
        <v>35.5</v>
      </c>
      <c r="G336" t="n">
        <v>211</v>
      </c>
      <c r="H336" t="n">
        <v>5.16e-30</v>
      </c>
      <c r="I336" t="inlineStr">
        <is>
          <t>Nr</t>
        </is>
      </c>
      <c r="J336" t="inlineStr"/>
      <c r="K336" t="inlineStr"/>
      <c r="L336" t="inlineStr">
        <is>
          <t>XP_033799899.1 uncharacterized protein LOC117360313 [Geotrypetes seraphini]</t>
        </is>
      </c>
      <c r="M336" t="n">
        <v>1573</v>
      </c>
      <c r="N336" t="inlineStr">
        <is>
          <t>Geotrypetes seraphini</t>
        </is>
      </c>
      <c r="O336" t="inlineStr">
        <is>
          <t>uncharacterized protein LOC117360313</t>
        </is>
      </c>
    </row>
    <row r="337">
      <c r="A337" t="inlineStr"/>
      <c r="B337" t="inlineStr"/>
      <c r="C337" t="inlineStr"/>
      <c r="D337" t="inlineStr"/>
      <c r="E337">
        <f>HYPERLINK("https://www.ncbi.nlm.nih.gov/gene/?term=ROL52293.1", "ROL52293.1")</f>
        <v/>
      </c>
      <c r="F337" t="n">
        <v>32.8</v>
      </c>
      <c r="G337" t="n">
        <v>247</v>
      </c>
      <c r="H337" t="n">
        <v>7.51e-30</v>
      </c>
      <c r="I337" t="inlineStr">
        <is>
          <t>Nr</t>
        </is>
      </c>
      <c r="J337" t="inlineStr"/>
      <c r="K337" t="inlineStr"/>
      <c r="L337" t="inlineStr">
        <is>
          <t>ROL52293.1 LINE-1 type transposase domain-containing protein 1 [Anabarilius grahami]</t>
        </is>
      </c>
      <c r="M337" t="n">
        <v>282</v>
      </c>
      <c r="N337" t="inlineStr">
        <is>
          <t>Anabarilius grahami</t>
        </is>
      </c>
      <c r="O337" t="inlineStr">
        <is>
          <t>LINE-1 type transposase domain-containing protein 1</t>
        </is>
      </c>
    </row>
    <row r="338">
      <c r="A338" t="inlineStr"/>
      <c r="B338" t="inlineStr"/>
      <c r="C338" t="inlineStr"/>
      <c r="D338" t="inlineStr"/>
      <c r="E338">
        <f>HYPERLINK("https://www.uniprot.org/uniprotkb/A0A498LVI8/entry", "A0A498LVI8")</f>
        <v/>
      </c>
      <c r="F338" t="n">
        <v>33.5</v>
      </c>
      <c r="G338" t="n">
        <v>227</v>
      </c>
      <c r="H338" t="n">
        <v>9.789999999999999e-30</v>
      </c>
      <c r="I338" t="inlineStr">
        <is>
          <t>TrEMBL</t>
        </is>
      </c>
      <c r="J338" t="inlineStr">
        <is>
          <t>ROHU_010498</t>
        </is>
      </c>
      <c r="K338" t="inlineStr">
        <is>
          <t>A0A498LVI8_LABRO</t>
        </is>
      </c>
      <c r="L338" t="inlineStr">
        <is>
          <t>tr|A0A498LVI8|A0A498LVI8_LABRO LINE-1 type transposase domain-containing 1 OS=Labeo rohita OX=84645 GN=ROHU_010498 PE=4 SV=1</t>
        </is>
      </c>
      <c r="M338" t="n">
        <v>291</v>
      </c>
      <c r="N338" t="inlineStr">
        <is>
          <t>Labeo rohita</t>
        </is>
      </c>
      <c r="O338" t="inlineStr">
        <is>
          <t>LINE-1 type transposase domain-containing 1</t>
        </is>
      </c>
    </row>
    <row r="339">
      <c r="A339" t="inlineStr"/>
      <c r="B339" t="inlineStr"/>
      <c r="C339" t="inlineStr"/>
      <c r="D339" t="inlineStr"/>
      <c r="E339">
        <f>HYPERLINK("https://www.uniprot.org/uniprotkb/A0A803K8T1/entry", "A0A803K8T1")</f>
        <v/>
      </c>
      <c r="F339" t="n">
        <v>31.5</v>
      </c>
      <c r="G339" t="n">
        <v>273</v>
      </c>
      <c r="H339" t="n">
        <v>1.01e-29</v>
      </c>
      <c r="I339" t="inlineStr">
        <is>
          <t>TrEMBL</t>
        </is>
      </c>
      <c r="J339" t="inlineStr"/>
      <c r="K339" t="inlineStr">
        <is>
          <t>A0A803K8T1_XENTR</t>
        </is>
      </c>
      <c r="L339" t="inlineStr">
        <is>
          <t>tr|A0A803K8T1|A0A803K8T1_XENTR LINE-1 type transposase domain-containing protein 1 OS=Xenopus tropicalis OX=8364 PE=4 SV=1</t>
        </is>
      </c>
      <c r="M339" t="n">
        <v>342</v>
      </c>
      <c r="N339" t="inlineStr">
        <is>
          <t>Xenopus tropicalis</t>
        </is>
      </c>
      <c r="O339" t="inlineStr">
        <is>
          <t>LINE-1 type transposase domain-containing protein 1</t>
        </is>
      </c>
    </row>
    <row r="340">
      <c r="A340" t="inlineStr"/>
      <c r="B340" t="inlineStr"/>
      <c r="C340" t="inlineStr"/>
      <c r="D340" t="inlineStr"/>
      <c r="E340">
        <f>HYPERLINK("https://www.uniprot.org/uniprotkb/A0A667ZPJ3/entry", "A0A667ZPJ3")</f>
        <v/>
      </c>
      <c r="F340" t="n">
        <v>33.2</v>
      </c>
      <c r="G340" t="n">
        <v>241</v>
      </c>
      <c r="H340" t="n">
        <v>2.09e-29</v>
      </c>
      <c r="I340" t="inlineStr">
        <is>
          <t>TrEMBL</t>
        </is>
      </c>
      <c r="J340" t="inlineStr"/>
      <c r="K340" t="inlineStr">
        <is>
          <t>A0A667ZPJ3_9TELE</t>
        </is>
      </c>
      <c r="L340" t="inlineStr">
        <is>
          <t>tr|A0A667ZPJ3|A0A667ZPJ3_9TELE Transposase_22 domain-containing protein OS=Myripristis murdjan OX=586833 PE=4 SV=1</t>
        </is>
      </c>
      <c r="M340" t="n">
        <v>265</v>
      </c>
      <c r="N340" t="inlineStr">
        <is>
          <t>Myripristis murdjan</t>
        </is>
      </c>
      <c r="O340" t="inlineStr">
        <is>
          <t>Transposase_22 domain-containing protein</t>
        </is>
      </c>
    </row>
    <row r="341">
      <c r="A341" t="inlineStr"/>
      <c r="B341" t="inlineStr"/>
      <c r="C341" t="inlineStr"/>
      <c r="D341" t="inlineStr"/>
      <c r="E341">
        <f>HYPERLINK("https://www.ncbi.nlm.nih.gov/gene/?term=RXN11652.1", "RXN11652.1")</f>
        <v/>
      </c>
      <c r="F341" t="n">
        <v>33.5</v>
      </c>
      <c r="G341" t="n">
        <v>227</v>
      </c>
      <c r="H341" t="n">
        <v>2.51e-29</v>
      </c>
      <c r="I341" t="inlineStr">
        <is>
          <t>Nr</t>
        </is>
      </c>
      <c r="J341" t="inlineStr"/>
      <c r="K341" t="inlineStr"/>
      <c r="L341" t="inlineStr">
        <is>
          <t>RXN11652.1 LINE-1 type transposase domain-containing 1 [Labeo rohita]</t>
        </is>
      </c>
      <c r="M341" t="n">
        <v>291</v>
      </c>
      <c r="N341" t="inlineStr">
        <is>
          <t>Labeo rohita</t>
        </is>
      </c>
      <c r="O341" t="inlineStr">
        <is>
          <t>LINE-1 type transposase domain-containing 1</t>
        </is>
      </c>
    </row>
    <row r="342">
      <c r="A342" t="inlineStr"/>
      <c r="B342" t="inlineStr"/>
      <c r="C342" t="inlineStr"/>
      <c r="D342" t="inlineStr"/>
      <c r="E342">
        <f>HYPERLINK("https://www.uniprot.org/uniprotkb/A0A3P9LQ10/entry", "A0A3P9LQ10")</f>
        <v/>
      </c>
      <c r="F342" t="n">
        <v>34.3</v>
      </c>
      <c r="G342" t="n">
        <v>233</v>
      </c>
      <c r="H342" t="n">
        <v>3.11e-29</v>
      </c>
      <c r="I342" t="inlineStr">
        <is>
          <t>TrEMBL</t>
        </is>
      </c>
      <c r="J342" t="inlineStr"/>
      <c r="K342" t="inlineStr">
        <is>
          <t>A0A3P9LQ10_ORYLA</t>
        </is>
      </c>
      <c r="L342" t="inlineStr">
        <is>
          <t>tr|A0A3P9LQ10|A0A3P9LQ10_ORYLA LINE-1 type transposase domain-containing protein 1 OS=Oryzias latipes OX=8090 PE=4 SV=1</t>
        </is>
      </c>
      <c r="M342" t="n">
        <v>298</v>
      </c>
      <c r="N342" t="inlineStr">
        <is>
          <t>Oryzias latipes</t>
        </is>
      </c>
      <c r="O342" t="inlineStr">
        <is>
          <t>LINE-1 type transposase domain-containing protein 1</t>
        </is>
      </c>
    </row>
    <row r="343">
      <c r="A343" t="inlineStr"/>
      <c r="B343" t="inlineStr"/>
      <c r="C343" t="inlineStr"/>
      <c r="D343" t="inlineStr"/>
      <c r="E343">
        <f>HYPERLINK("https://www.uniprot.org/uniprotkb/A0A498MPC4/entry", "A0A498MPC4")</f>
        <v/>
      </c>
      <c r="F343" t="n">
        <v>29.2</v>
      </c>
      <c r="G343" t="n">
        <v>291</v>
      </c>
      <c r="H343" t="n">
        <v>5.24e-29</v>
      </c>
      <c r="I343" t="inlineStr">
        <is>
          <t>TrEMBL</t>
        </is>
      </c>
      <c r="J343" t="inlineStr">
        <is>
          <t>ROHU_024401</t>
        </is>
      </c>
      <c r="K343" t="inlineStr">
        <is>
          <t>A0A498MPC4_LABRO</t>
        </is>
      </c>
      <c r="L343" t="inlineStr">
        <is>
          <t>tr|A0A498MPC4|A0A498MPC4_LABRO LINE-1 type transposase domain-containing 1 OS=Labeo rohita OX=84645 GN=ROHU_024401 PE=4 SV=1</t>
        </is>
      </c>
      <c r="M343" t="n">
        <v>291</v>
      </c>
      <c r="N343" t="inlineStr">
        <is>
          <t>Labeo rohita</t>
        </is>
      </c>
      <c r="O343" t="inlineStr">
        <is>
          <t>LINE-1 type transposase domain-containing 1</t>
        </is>
      </c>
    </row>
    <row r="344">
      <c r="A344" t="inlineStr"/>
      <c r="B344" t="inlineStr"/>
      <c r="C344" t="inlineStr"/>
      <c r="D344" t="inlineStr"/>
      <c r="E344">
        <f>HYPERLINK("https://www.uniprot.org/uniprotkb/H2MBE9/entry", "H2MBE9")</f>
        <v/>
      </c>
      <c r="F344" t="n">
        <v>28.3</v>
      </c>
      <c r="G344" t="n">
        <v>276</v>
      </c>
      <c r="H344" t="n">
        <v>5.25e-29</v>
      </c>
      <c r="I344" t="inlineStr">
        <is>
          <t>TrEMBL</t>
        </is>
      </c>
      <c r="J344" t="inlineStr"/>
      <c r="K344" t="inlineStr">
        <is>
          <t>H2MBE9_ORYLA</t>
        </is>
      </c>
      <c r="L344" t="inlineStr">
        <is>
          <t>tr|H2MBE9|H2MBE9_ORYLA LINE-1 type transposase domain-containing protein 1 OS=Oryzias latipes OX=8090 PE=4 SV=2</t>
        </is>
      </c>
      <c r="M344" t="n">
        <v>307</v>
      </c>
      <c r="N344" t="inlineStr">
        <is>
          <t>Oryzias latipes</t>
        </is>
      </c>
      <c r="O344" t="inlineStr">
        <is>
          <t>LINE-1 type transposase domain-containing protein 1</t>
        </is>
      </c>
    </row>
    <row r="345">
      <c r="A345" t="inlineStr"/>
      <c r="B345" t="inlineStr"/>
      <c r="C345" t="inlineStr"/>
      <c r="D345" t="inlineStr"/>
      <c r="E345">
        <f>HYPERLINK("https://www.uniprot.org/uniprotkb/A0A3Q1C1E4/entry", "A0A3Q1C1E4")</f>
        <v/>
      </c>
      <c r="F345" t="n">
        <v>35.7</v>
      </c>
      <c r="G345" t="n">
        <v>185</v>
      </c>
      <c r="H345" t="n">
        <v>5.590000000000001e-29</v>
      </c>
      <c r="I345" t="inlineStr">
        <is>
          <t>TrEMBL</t>
        </is>
      </c>
      <c r="J345" t="inlineStr"/>
      <c r="K345" t="inlineStr">
        <is>
          <t>A0A3Q1C1E4_AMPOC</t>
        </is>
      </c>
      <c r="L345" t="inlineStr">
        <is>
          <t>tr|A0A3Q1C1E4|A0A3Q1C1E4_AMPOC LINE-1 type transposase domain-containing protein 1 OS=Amphiprion ocellaris OX=80972 PE=4 SV=1</t>
        </is>
      </c>
      <c r="M345" t="n">
        <v>222</v>
      </c>
      <c r="N345" t="inlineStr">
        <is>
          <t>Amphiprion ocellaris</t>
        </is>
      </c>
      <c r="O345" t="inlineStr">
        <is>
          <t>LINE-1 type transposase domain-containing protein 1</t>
        </is>
      </c>
    </row>
    <row r="346">
      <c r="A346" t="inlineStr"/>
      <c r="B346" t="inlineStr"/>
      <c r="C346" t="inlineStr"/>
      <c r="D346" t="inlineStr"/>
      <c r="E346">
        <f>HYPERLINK("https://www.uniprot.org/uniprotkb/A0A498NPV8/entry", "A0A498NPV8")</f>
        <v/>
      </c>
      <c r="F346" t="n">
        <v>28.9</v>
      </c>
      <c r="G346" t="n">
        <v>291</v>
      </c>
      <c r="H346" t="n">
        <v>1.02e-28</v>
      </c>
      <c r="I346" t="inlineStr">
        <is>
          <t>TrEMBL</t>
        </is>
      </c>
      <c r="J346" t="inlineStr">
        <is>
          <t>ROHU_004133</t>
        </is>
      </c>
      <c r="K346" t="inlineStr">
        <is>
          <t>A0A498NPV8_LABRO</t>
        </is>
      </c>
      <c r="L346" t="inlineStr">
        <is>
          <t>tr|A0A498NPV8|A0A498NPV8_LABRO LINE-1 type transposase domain-containing 1 OS=Labeo rohita OX=84645 GN=ROHU_004133 PE=4 SV=1</t>
        </is>
      </c>
      <c r="M346" t="n">
        <v>291</v>
      </c>
      <c r="N346" t="inlineStr">
        <is>
          <t>Labeo rohita</t>
        </is>
      </c>
      <c r="O346" t="inlineStr">
        <is>
          <t>LINE-1 type transposase domain-containing 1</t>
        </is>
      </c>
    </row>
    <row r="347">
      <c r="A347" t="inlineStr"/>
      <c r="B347" t="inlineStr"/>
      <c r="C347" t="inlineStr"/>
      <c r="D347" t="inlineStr"/>
      <c r="E347">
        <f>HYPERLINK("https://www.ncbi.nlm.nih.gov/gene/?term=RXN21224.1", "RXN21224.1")</f>
        <v/>
      </c>
      <c r="F347" t="n">
        <v>29.2</v>
      </c>
      <c r="G347" t="n">
        <v>291</v>
      </c>
      <c r="H347" t="n">
        <v>1.34e-28</v>
      </c>
      <c r="I347" t="inlineStr">
        <is>
          <t>Nr</t>
        </is>
      </c>
      <c r="J347" t="inlineStr"/>
      <c r="K347" t="inlineStr"/>
      <c r="L347" t="inlineStr">
        <is>
          <t>RXN21224.1 LINE-1 type transposase domain-containing 1 [Labeo rohita]</t>
        </is>
      </c>
      <c r="M347" t="n">
        <v>291</v>
      </c>
      <c r="N347" t="inlineStr">
        <is>
          <t>Labeo rohita</t>
        </is>
      </c>
      <c r="O347" t="inlineStr">
        <is>
          <t>LINE-1 type transposase domain-containing 1</t>
        </is>
      </c>
    </row>
    <row r="348">
      <c r="A348" t="inlineStr"/>
      <c r="B348" t="inlineStr"/>
      <c r="C348" t="inlineStr"/>
      <c r="D348" t="inlineStr"/>
      <c r="E348">
        <f>HYPERLINK("https://www.uniprot.org/uniprotkb/A0A3Q1C1U7/entry", "A0A3Q1C1U7")</f>
        <v/>
      </c>
      <c r="F348" t="n">
        <v>35.7</v>
      </c>
      <c r="G348" t="n">
        <v>185</v>
      </c>
      <c r="H348" t="n">
        <v>1.63e-28</v>
      </c>
      <c r="I348" t="inlineStr">
        <is>
          <t>TrEMBL</t>
        </is>
      </c>
      <c r="J348" t="inlineStr"/>
      <c r="K348" t="inlineStr">
        <is>
          <t>A0A3Q1C1U7_AMPOC</t>
        </is>
      </c>
      <c r="L348" t="inlineStr">
        <is>
          <t>tr|A0A3Q1C1U7|A0A3Q1C1U7_AMPOC Transposase_22 domain-containing protein OS=Amphiprion ocellaris OX=80972 PE=4 SV=1</t>
        </is>
      </c>
      <c r="M348" t="n">
        <v>238</v>
      </c>
      <c r="N348" t="inlineStr">
        <is>
          <t>Amphiprion ocellaris</t>
        </is>
      </c>
      <c r="O348" t="inlineStr">
        <is>
          <t>Transposase_22 domain-containing protein</t>
        </is>
      </c>
    </row>
    <row r="349">
      <c r="A349" t="inlineStr"/>
      <c r="B349" t="inlineStr"/>
      <c r="C349" t="inlineStr"/>
      <c r="D349" t="inlineStr"/>
      <c r="E349">
        <f>HYPERLINK("https://www.ncbi.nlm.nih.gov/gene/?term=RXN34092.1", "RXN34092.1")</f>
        <v/>
      </c>
      <c r="F349" t="n">
        <v>28.9</v>
      </c>
      <c r="G349" t="n">
        <v>291</v>
      </c>
      <c r="H349" t="n">
        <v>2.63e-28</v>
      </c>
      <c r="I349" t="inlineStr">
        <is>
          <t>Nr</t>
        </is>
      </c>
      <c r="J349" t="inlineStr"/>
      <c r="K349" t="inlineStr"/>
      <c r="L349" t="inlineStr">
        <is>
          <t>RXN34092.1 LINE-1 type transposase domain-containing 1 [Labeo rohita]</t>
        </is>
      </c>
      <c r="M349" t="n">
        <v>291</v>
      </c>
      <c r="N349" t="inlineStr">
        <is>
          <t>Labeo rohita</t>
        </is>
      </c>
      <c r="O349" t="inlineStr">
        <is>
          <t>LINE-1 type transposase domain-containing 1</t>
        </is>
      </c>
    </row>
    <row r="350">
      <c r="A350" t="inlineStr"/>
      <c r="B350" t="inlineStr"/>
      <c r="C350" t="inlineStr"/>
      <c r="D350" t="inlineStr"/>
      <c r="E350">
        <f>HYPERLINK("https://www.uniprot.org/uniprotkb/A0A6I8QT02/entry", "A0A6I8QT02")</f>
        <v/>
      </c>
      <c r="F350" t="n">
        <v>39.4</v>
      </c>
      <c r="G350" t="n">
        <v>165</v>
      </c>
      <c r="H350" t="n">
        <v>2.76e-28</v>
      </c>
      <c r="I350" t="inlineStr">
        <is>
          <t>TrEMBL</t>
        </is>
      </c>
      <c r="J350" t="inlineStr"/>
      <c r="K350" t="inlineStr">
        <is>
          <t>A0A6I8QT02_XENTR</t>
        </is>
      </c>
      <c r="L350" t="inlineStr">
        <is>
          <t>tr|A0A6I8QT02|A0A6I8QT02_XENTR Transposase_22 domain-containing protein OS=Xenopus tropicalis OX=8364 PE=4 SV=2</t>
        </is>
      </c>
      <c r="M350" t="n">
        <v>275</v>
      </c>
      <c r="N350" t="inlineStr">
        <is>
          <t>Xenopus tropicalis</t>
        </is>
      </c>
      <c r="O350" t="inlineStr">
        <is>
          <t>Transposase_22 domain-containing protein</t>
        </is>
      </c>
    </row>
    <row r="351">
      <c r="A351" t="inlineStr"/>
      <c r="B351" t="inlineStr"/>
      <c r="C351" t="inlineStr"/>
      <c r="D351" t="inlineStr"/>
      <c r="E351">
        <f>HYPERLINK("https://www.ncbi.nlm.nih.gov/gene/?term=KAE8580012.1", "KAE8580012.1")</f>
        <v/>
      </c>
      <c r="F351" t="n">
        <v>34.8</v>
      </c>
      <c r="G351" t="n">
        <v>204</v>
      </c>
      <c r="H351" t="n">
        <v>3.31e-28</v>
      </c>
      <c r="I351" t="inlineStr">
        <is>
          <t>Nr</t>
        </is>
      </c>
      <c r="J351" t="inlineStr"/>
      <c r="K351" t="inlineStr"/>
      <c r="L351" t="inlineStr">
        <is>
          <t>KAE8580012.1 hypothetical protein XENTR_v10024271 [Xenopus tropicalis]</t>
        </is>
      </c>
      <c r="M351" t="n">
        <v>215</v>
      </c>
      <c r="N351" t="inlineStr">
        <is>
          <t>Xenopus tropicalis</t>
        </is>
      </c>
      <c r="O351" t="inlineStr">
        <is>
          <t>hypothetical protein XENTR_v10024271</t>
        </is>
      </c>
    </row>
    <row r="352">
      <c r="A352" t="inlineStr"/>
      <c r="B352" t="inlineStr"/>
      <c r="C352" t="inlineStr"/>
      <c r="D352" t="inlineStr"/>
      <c r="E352">
        <f>HYPERLINK("https://www.uniprot.org/uniprotkb/A0A6P7WPH6/entry", "A0A6P7WPH6")</f>
        <v/>
      </c>
      <c r="F352" t="n">
        <v>32.1</v>
      </c>
      <c r="G352" t="n">
        <v>224</v>
      </c>
      <c r="H352" t="n">
        <v>4.72e-28</v>
      </c>
      <c r="I352" t="inlineStr">
        <is>
          <t>TrEMBL</t>
        </is>
      </c>
      <c r="J352" t="inlineStr">
        <is>
          <t>LOC115459407</t>
        </is>
      </c>
      <c r="K352" t="inlineStr">
        <is>
          <t>A0A6P7WPH6_9AMPH</t>
        </is>
      </c>
      <c r="L352" t="inlineStr">
        <is>
          <t>tr|A0A6P7WPH6|A0A6P7WPH6_9AMPH obscurin-like protein 1 OS=Microcaecilia unicolor OX=1415580 GN=LOC115459407 PE=4 SV=1</t>
        </is>
      </c>
      <c r="M352" t="n">
        <v>1342</v>
      </c>
      <c r="N352" t="inlineStr">
        <is>
          <t>Microcaecilia unicolor</t>
        </is>
      </c>
      <c r="O352" t="inlineStr">
        <is>
          <t>obscurin-like protein 1</t>
        </is>
      </c>
    </row>
    <row r="353">
      <c r="A353" t="inlineStr"/>
      <c r="B353" t="inlineStr"/>
      <c r="C353" t="inlineStr"/>
      <c r="D353" t="inlineStr"/>
      <c r="E353">
        <f>HYPERLINK("https://www.ncbi.nlm.nih.gov/gene/?term=CAI5669436.1", "CAI5669436.1")</f>
        <v/>
      </c>
      <c r="F353" t="n">
        <v>32.2</v>
      </c>
      <c r="G353" t="n">
        <v>245</v>
      </c>
      <c r="H353" t="n">
        <v>6.46e-28</v>
      </c>
      <c r="I353" t="inlineStr">
        <is>
          <t>Nr</t>
        </is>
      </c>
      <c r="J353" t="inlineStr"/>
      <c r="K353" t="inlineStr"/>
      <c r="L353" t="inlineStr">
        <is>
          <t>CAI5669436.1 unnamed protein product [Mustela putorius furo]</t>
        </is>
      </c>
      <c r="M353" t="n">
        <v>302</v>
      </c>
      <c r="N353" t="inlineStr">
        <is>
          <t>Mustela putorius furo</t>
        </is>
      </c>
      <c r="O353" t="inlineStr">
        <is>
          <t>unnamed protein product</t>
        </is>
      </c>
    </row>
    <row r="354">
      <c r="A354" t="inlineStr"/>
      <c r="B354" t="inlineStr"/>
      <c r="C354" t="inlineStr"/>
      <c r="D354" t="inlineStr"/>
      <c r="E354">
        <f>HYPERLINK("https://www.ncbi.nlm.nih.gov/gene/?term=KAE8587398.1", "KAE8587398.1")</f>
        <v/>
      </c>
      <c r="F354" t="n">
        <v>29.1</v>
      </c>
      <c r="G354" t="n">
        <v>261</v>
      </c>
      <c r="H354" t="n">
        <v>8.230000000000001e-28</v>
      </c>
      <c r="I354" t="inlineStr">
        <is>
          <t>Nr</t>
        </is>
      </c>
      <c r="J354" t="inlineStr"/>
      <c r="K354" t="inlineStr"/>
      <c r="L354" t="inlineStr">
        <is>
          <t>KAE8587398.1 hypothetical protein XENTR_v10021959 [Xenopus tropicalis]</t>
        </is>
      </c>
      <c r="M354" t="n">
        <v>314</v>
      </c>
      <c r="N354" t="inlineStr">
        <is>
          <t>Xenopus tropicalis</t>
        </is>
      </c>
      <c r="O354" t="inlineStr">
        <is>
          <t>hypothetical protein XENTR_v10021959</t>
        </is>
      </c>
    </row>
    <row r="355">
      <c r="A355" t="inlineStr"/>
      <c r="B355" t="inlineStr"/>
      <c r="C355" t="inlineStr"/>
      <c r="D355" t="inlineStr"/>
      <c r="E355">
        <f>HYPERLINK("https://www.uniprot.org/uniprotkb/A0A667X2L4/entry", "A0A667X2L4")</f>
        <v/>
      </c>
      <c r="F355" t="n">
        <v>32</v>
      </c>
      <c r="G355" t="n">
        <v>225</v>
      </c>
      <c r="H355" t="n">
        <v>1.14e-27</v>
      </c>
      <c r="I355" t="inlineStr">
        <is>
          <t>TrEMBL</t>
        </is>
      </c>
      <c r="J355" t="inlineStr"/>
      <c r="K355" t="inlineStr">
        <is>
          <t>A0A667X2L4_9TELE</t>
        </is>
      </c>
      <c r="L355" t="inlineStr">
        <is>
          <t>tr|A0A667X2L4|A0A667X2L4_9TELE Transposase_22 domain-containing protein OS=Myripristis murdjan OX=586833 PE=4 SV=1</t>
        </is>
      </c>
      <c r="M355" t="n">
        <v>221</v>
      </c>
      <c r="N355" t="inlineStr">
        <is>
          <t>Myripristis murdjan</t>
        </is>
      </c>
      <c r="O355" t="inlineStr">
        <is>
          <t>Transposase_22 domain-containing protein</t>
        </is>
      </c>
    </row>
    <row r="356">
      <c r="A356" t="inlineStr"/>
      <c r="B356" t="inlineStr"/>
      <c r="C356" t="inlineStr"/>
      <c r="D356" t="inlineStr"/>
      <c r="E356">
        <f>HYPERLINK("https://www.uniprot.org/uniprotkb/A0A8J1LMU7/entry", "A0A8J1LMU7")</f>
        <v/>
      </c>
      <c r="F356" t="n">
        <v>30.7</v>
      </c>
      <c r="G356" t="n">
        <v>290</v>
      </c>
      <c r="H356" t="n">
        <v>1.19e-27</v>
      </c>
      <c r="I356" t="inlineStr">
        <is>
          <t>TrEMBL</t>
        </is>
      </c>
      <c r="J356" t="inlineStr">
        <is>
          <t>nek6.S</t>
        </is>
      </c>
      <c r="K356" t="inlineStr">
        <is>
          <t>A0A8J1LMU7_XENLA</t>
        </is>
      </c>
      <c r="L356" t="inlineStr">
        <is>
          <t>tr|A0A8J1LMU7|A0A8J1LMU7_XENLA NIMA-related kinase 6 S homeolog isoform X1 OS=Xenopus laevis OX=8355 GN=nek6.S PE=4 SV=1</t>
        </is>
      </c>
      <c r="M356" t="n">
        <v>313</v>
      </c>
      <c r="N356" t="inlineStr">
        <is>
          <t>Xenopus laevis</t>
        </is>
      </c>
      <c r="O356" t="inlineStr">
        <is>
          <t>NIMA-related kinase 6 S homeolog isoform X1</t>
        </is>
      </c>
    </row>
    <row r="357">
      <c r="A357" t="inlineStr"/>
      <c r="B357" t="inlineStr"/>
      <c r="C357" t="inlineStr"/>
      <c r="D357" t="inlineStr"/>
      <c r="E357">
        <f>HYPERLINK("https://www.ncbi.nlm.nih.gov/gene/?term=XP_030045097.1", "XP_030045097.1")</f>
        <v/>
      </c>
      <c r="F357" t="n">
        <v>32.1</v>
      </c>
      <c r="G357" t="n">
        <v>224</v>
      </c>
      <c r="H357" t="n">
        <v>1.21e-27</v>
      </c>
      <c r="I357" t="inlineStr">
        <is>
          <t>Nr</t>
        </is>
      </c>
      <c r="J357" t="inlineStr"/>
      <c r="K357" t="inlineStr"/>
      <c r="L357" t="inlineStr">
        <is>
          <t>XP_030045097.1 obscurin-like protein 1, partial [Microcaecilia unicolor]</t>
        </is>
      </c>
      <c r="M357" t="n">
        <v>1342</v>
      </c>
      <c r="N357" t="inlineStr">
        <is>
          <t>Microcaecilia unicolor</t>
        </is>
      </c>
      <c r="O357" t="inlineStr">
        <is>
          <t>obscurin-like protein 1, partial</t>
        </is>
      </c>
    </row>
    <row r="358">
      <c r="A358" t="inlineStr"/>
      <c r="B358" t="inlineStr"/>
      <c r="C358" t="inlineStr"/>
      <c r="D358" t="inlineStr"/>
      <c r="E358">
        <f>HYPERLINK("https://www.ncbi.nlm.nih.gov/gene/?term=KAI4827679.1", "KAI4827679.1")</f>
        <v/>
      </c>
      <c r="F358" t="n">
        <v>30.1</v>
      </c>
      <c r="G358" t="n">
        <v>226</v>
      </c>
      <c r="H358" t="n">
        <v>1.21e-27</v>
      </c>
      <c r="I358" t="inlineStr">
        <is>
          <t>Nr</t>
        </is>
      </c>
      <c r="J358" t="inlineStr"/>
      <c r="K358" t="inlineStr"/>
      <c r="L358" t="inlineStr">
        <is>
          <t>KAI4827679.1 hypothetical protein KUCAC02_031058 [Chaenocephalus aceratus]</t>
        </is>
      </c>
      <c r="M358" t="n">
        <v>269</v>
      </c>
      <c r="N358" t="inlineStr">
        <is>
          <t>Chaenocephalus aceratus</t>
        </is>
      </c>
      <c r="O358" t="inlineStr">
        <is>
          <t>hypothetical protein KUCAC02_031058</t>
        </is>
      </c>
    </row>
    <row r="359">
      <c r="A359" t="inlineStr"/>
      <c r="B359" t="inlineStr"/>
      <c r="C359" t="inlineStr"/>
      <c r="D359" t="inlineStr"/>
      <c r="E359">
        <f>HYPERLINK("https://www.ncbi.nlm.nih.gov/gene/?term=KAI4829097.1", "KAI4829097.1")</f>
        <v/>
      </c>
      <c r="F359" t="n">
        <v>30.1</v>
      </c>
      <c r="G359" t="n">
        <v>226</v>
      </c>
      <c r="H359" t="n">
        <v>1.65e-27</v>
      </c>
      <c r="I359" t="inlineStr">
        <is>
          <t>Nr</t>
        </is>
      </c>
      <c r="J359" t="inlineStr"/>
      <c r="K359" t="inlineStr"/>
      <c r="L359" t="inlineStr">
        <is>
          <t>KAI4829097.1 hypothetical protein KUCAC02_023159 [Chaenocephalus aceratus]</t>
        </is>
      </c>
      <c r="M359" t="n">
        <v>299</v>
      </c>
      <c r="N359" t="inlineStr">
        <is>
          <t>Chaenocephalus aceratus</t>
        </is>
      </c>
      <c r="O359" t="inlineStr">
        <is>
          <t>hypothetical protein KUCAC02_023159</t>
        </is>
      </c>
    </row>
    <row r="360">
      <c r="A360" t="inlineStr"/>
      <c r="B360" t="inlineStr"/>
      <c r="C360" t="inlineStr"/>
      <c r="D360" t="inlineStr"/>
      <c r="E360">
        <f>HYPERLINK("https://www.ncbi.nlm.nih.gov/gene/?term=XP_041430045.1", "XP_041430045.1")</f>
        <v/>
      </c>
      <c r="F360" t="n">
        <v>30.7</v>
      </c>
      <c r="G360" t="n">
        <v>290</v>
      </c>
      <c r="H360" t="n">
        <v>3.06e-27</v>
      </c>
      <c r="I360" t="inlineStr">
        <is>
          <t>Nr</t>
        </is>
      </c>
      <c r="J360" t="inlineStr"/>
      <c r="K360" t="inlineStr"/>
      <c r="L360" t="inlineStr">
        <is>
          <t>XP_041430045.1 NIMA-related kinase 6 S homeolog isoform X1 [Xenopus laevis]</t>
        </is>
      </c>
      <c r="M360" t="n">
        <v>313</v>
      </c>
      <c r="N360" t="inlineStr">
        <is>
          <t>Xenopus laevis</t>
        </is>
      </c>
      <c r="O360" t="inlineStr">
        <is>
          <t>NIMA-related kinase 6 S homeolog isoform X1</t>
        </is>
      </c>
    </row>
    <row r="361">
      <c r="A361" t="inlineStr"/>
      <c r="B361" t="inlineStr"/>
      <c r="C361" t="inlineStr"/>
      <c r="D361" t="inlineStr"/>
      <c r="E361">
        <f>HYPERLINK("https://www.ncbi.nlm.nih.gov/gene/?term=KAI7800009.1", "KAI7800009.1")</f>
        <v/>
      </c>
      <c r="F361" t="n">
        <v>32.4</v>
      </c>
      <c r="G361" t="n">
        <v>216</v>
      </c>
      <c r="H361" t="n">
        <v>4.15e-27</v>
      </c>
      <c r="I361" t="inlineStr">
        <is>
          <t>Nr</t>
        </is>
      </c>
      <c r="J361" t="inlineStr"/>
      <c r="K361" t="inlineStr"/>
      <c r="L361" t="inlineStr">
        <is>
          <t>KAI7800009.1 putative LINE-1 type transposase domain-containing protein 1-like [Triplophysa rosa]</t>
        </is>
      </c>
      <c r="M361" t="n">
        <v>295</v>
      </c>
      <c r="N361" t="inlineStr">
        <is>
          <t>Triplophysa rosa</t>
        </is>
      </c>
      <c r="O361" t="inlineStr">
        <is>
          <t>putative LINE-1 type transposase domain-containing protein 1-like</t>
        </is>
      </c>
    </row>
    <row r="362">
      <c r="A362" t="inlineStr"/>
      <c r="B362" t="inlineStr"/>
      <c r="C362" t="inlineStr"/>
      <c r="D362" t="inlineStr"/>
      <c r="E362">
        <f>HYPERLINK("https://www.ncbi.nlm.nih.gov/gene/?term=KAE8295999.1", "KAE8295999.1")</f>
        <v/>
      </c>
      <c r="F362" t="n">
        <v>32</v>
      </c>
      <c r="G362" t="n">
        <v>222</v>
      </c>
      <c r="H362" t="n">
        <v>7.140000000000001e-27</v>
      </c>
      <c r="I362" t="inlineStr">
        <is>
          <t>Nr</t>
        </is>
      </c>
      <c r="J362" t="inlineStr"/>
      <c r="K362" t="inlineStr"/>
      <c r="L362" t="inlineStr">
        <is>
          <t>KAE8295999.1 hypothetical protein D5F01_LYC04748 [Larimichthys crocea]</t>
        </is>
      </c>
      <c r="M362" t="n">
        <v>289</v>
      </c>
      <c r="N362" t="inlineStr">
        <is>
          <t>Larimichthys crocea</t>
        </is>
      </c>
      <c r="O362" t="inlineStr">
        <is>
          <t>hypothetical protein D5F01_LYC04748</t>
        </is>
      </c>
    </row>
    <row r="363">
      <c r="A363" t="inlineStr"/>
      <c r="B363" t="inlineStr"/>
      <c r="C363" t="inlineStr"/>
      <c r="D363" t="inlineStr"/>
      <c r="E363">
        <f>HYPERLINK("https://www.ncbi.nlm.nih.gov/gene/?term=KAI4806100.1", "KAI4806100.1")</f>
        <v/>
      </c>
      <c r="F363" t="n">
        <v>30.1</v>
      </c>
      <c r="G363" t="n">
        <v>226</v>
      </c>
      <c r="H363" t="n">
        <v>9.080000000000001e-27</v>
      </c>
      <c r="I363" t="inlineStr">
        <is>
          <t>Nr</t>
        </is>
      </c>
      <c r="J363" t="inlineStr"/>
      <c r="K363" t="inlineStr"/>
      <c r="L363" t="inlineStr">
        <is>
          <t>KAI4806100.1 hypothetical protein KUCAC02_010684 [Chaenocephalus aceratus]</t>
        </is>
      </c>
      <c r="M363" t="n">
        <v>269</v>
      </c>
      <c r="N363" t="inlineStr">
        <is>
          <t>Chaenocephalus aceratus</t>
        </is>
      </c>
      <c r="O363" t="inlineStr">
        <is>
          <t>hypothetical protein KUCAC02_010684</t>
        </is>
      </c>
    </row>
    <row r="364">
      <c r="A364" t="inlineStr"/>
      <c r="B364" t="inlineStr"/>
      <c r="C364" t="inlineStr"/>
      <c r="D364" t="inlineStr"/>
      <c r="E364">
        <f>HYPERLINK("https://www.ncbi.nlm.nih.gov/gene/?term=CAI5696946.1", "CAI5696946.1")</f>
        <v/>
      </c>
      <c r="F364" t="n">
        <v>31.4</v>
      </c>
      <c r="G364" t="n">
        <v>245</v>
      </c>
      <c r="H364" t="n">
        <v>9.320000000000001e-27</v>
      </c>
      <c r="I364" t="inlineStr">
        <is>
          <t>Nr</t>
        </is>
      </c>
      <c r="J364" t="inlineStr"/>
      <c r="K364" t="inlineStr"/>
      <c r="L364" t="inlineStr">
        <is>
          <t>CAI5696946.1 unnamed protein product [Mustela putorius furo]</t>
        </is>
      </c>
      <c r="M364" t="n">
        <v>302</v>
      </c>
      <c r="N364" t="inlineStr">
        <is>
          <t>Mustela putorius furo</t>
        </is>
      </c>
      <c r="O364" t="inlineStr">
        <is>
          <t>unnamed protein product</t>
        </is>
      </c>
    </row>
    <row r="365">
      <c r="A365" t="inlineStr"/>
      <c r="B365" t="inlineStr"/>
      <c r="C365" t="inlineStr"/>
      <c r="D365" t="inlineStr"/>
      <c r="E365">
        <f>HYPERLINK("https://www.ncbi.nlm.nih.gov/gene/?term=CAI5655065.1", "CAI5655065.1")</f>
        <v/>
      </c>
      <c r="F365" t="n">
        <v>31.4</v>
      </c>
      <c r="G365" t="n">
        <v>245</v>
      </c>
      <c r="H365" t="n">
        <v>9.320000000000001e-27</v>
      </c>
      <c r="I365" t="inlineStr">
        <is>
          <t>Nr</t>
        </is>
      </c>
      <c r="J365" t="inlineStr"/>
      <c r="K365" t="inlineStr"/>
      <c r="L365" t="inlineStr">
        <is>
          <t>CAI5655065.1 unnamed protein product [Mustela putorius furo]</t>
        </is>
      </c>
      <c r="M365" t="n">
        <v>302</v>
      </c>
      <c r="N365" t="inlineStr">
        <is>
          <t>Mustela putorius furo</t>
        </is>
      </c>
      <c r="O365" t="inlineStr">
        <is>
          <t>unnamed protein product</t>
        </is>
      </c>
    </row>
    <row r="366">
      <c r="A366" t="inlineStr"/>
      <c r="B366" t="inlineStr"/>
      <c r="C366" t="inlineStr"/>
      <c r="D366" t="inlineStr"/>
      <c r="E366">
        <f>HYPERLINK("https://www.ncbi.nlm.nih.gov/gene/?term=ROL47989.1", "ROL47989.1")</f>
        <v/>
      </c>
      <c r="F366" t="n">
        <v>30.2</v>
      </c>
      <c r="G366" t="n">
        <v>248</v>
      </c>
      <c r="H366" t="n">
        <v>1.21e-26</v>
      </c>
      <c r="I366" t="inlineStr">
        <is>
          <t>Nr</t>
        </is>
      </c>
      <c r="J366" t="inlineStr"/>
      <c r="K366" t="inlineStr"/>
      <c r="L366" t="inlineStr">
        <is>
          <t>ROL47989.1 LINE-1 retrotransposable element ORF1 protein [Anabarilius grahami]</t>
        </is>
      </c>
      <c r="M366" t="n">
        <v>267</v>
      </c>
      <c r="N366" t="inlineStr">
        <is>
          <t>Anabarilius grahami</t>
        </is>
      </c>
      <c r="O366" t="inlineStr">
        <is>
          <t>LINE-1 retrotransposable element ORF1 protein</t>
        </is>
      </c>
    </row>
    <row r="367">
      <c r="A367" t="inlineStr"/>
      <c r="B367" t="inlineStr"/>
      <c r="C367" t="inlineStr"/>
      <c r="D367" t="inlineStr"/>
      <c r="E367">
        <f>HYPERLINK("https://www.ncbi.nlm.nih.gov/gene/?term=XP_030046073.1", "XP_030046073.1")</f>
        <v/>
      </c>
      <c r="F367" t="n">
        <v>41.1</v>
      </c>
      <c r="G367" t="n">
        <v>163</v>
      </c>
      <c r="H367" t="n">
        <v>2.06e-26</v>
      </c>
      <c r="I367" t="inlineStr">
        <is>
          <t>Nr</t>
        </is>
      </c>
      <c r="J367" t="inlineStr"/>
      <c r="K367" t="inlineStr"/>
      <c r="L367" t="inlineStr">
        <is>
          <t>XP_030046073.1 NFX1-type zinc finger-containing protein 1-like [Microcaecilia unicolor]</t>
        </is>
      </c>
      <c r="M367" t="n">
        <v>2650</v>
      </c>
      <c r="N367" t="inlineStr">
        <is>
          <t>Microcaecilia unicolor</t>
        </is>
      </c>
      <c r="O367" t="inlineStr">
        <is>
          <t>NFX1-type zinc finger-containing protein 1-like</t>
        </is>
      </c>
    </row>
    <row r="368">
      <c r="A368" t="inlineStr"/>
      <c r="B368" t="inlineStr"/>
      <c r="C368" t="inlineStr"/>
      <c r="D368" t="inlineStr"/>
      <c r="E368">
        <f>HYPERLINK("https://www.uniprot.org/uniprotkb/P11260/entry", "P11260")</f>
        <v/>
      </c>
      <c r="F368" t="n">
        <v>26.3</v>
      </c>
      <c r="G368" t="n">
        <v>205</v>
      </c>
      <c r="H368" t="n">
        <v>7.49e-14</v>
      </c>
      <c r="I368" t="inlineStr">
        <is>
          <t>Swiss-Prot</t>
        </is>
      </c>
      <c r="J368" t="inlineStr">
        <is>
          <t>Lire1</t>
        </is>
      </c>
      <c r="K368" t="inlineStr">
        <is>
          <t>LORF1_MOUSE</t>
        </is>
      </c>
      <c r="L368" t="inlineStr">
        <is>
          <t>sp|P11260|LORF1_MOUSE LINE-1 retrotransposable element ORF1 protein OS=Mus musculus OX=10090 GN=Lire1 PE=1 SV=2</t>
        </is>
      </c>
      <c r="M368" t="n">
        <v>357</v>
      </c>
      <c r="N368" t="inlineStr">
        <is>
          <t>Mus musculus</t>
        </is>
      </c>
      <c r="O368" t="inlineStr">
        <is>
          <t>LINE-1 retrotransposable element ORF1 protein</t>
        </is>
      </c>
    </row>
    <row r="369">
      <c r="A369" t="inlineStr"/>
      <c r="B369" t="inlineStr"/>
      <c r="C369" t="inlineStr"/>
      <c r="D369" t="inlineStr"/>
      <c r="E369">
        <f>HYPERLINK("https://www.uniprot.org/uniprotkb/Q587J6/entry", "Q587J6")</f>
        <v/>
      </c>
      <c r="F369" t="n">
        <v>23.8</v>
      </c>
      <c r="G369" t="n">
        <v>244</v>
      </c>
      <c r="H369" t="n">
        <v>1.61e-11</v>
      </c>
      <c r="I369" t="inlineStr">
        <is>
          <t>Swiss-Prot</t>
        </is>
      </c>
      <c r="J369" t="inlineStr">
        <is>
          <t>L1td1</t>
        </is>
      </c>
      <c r="K369" t="inlineStr">
        <is>
          <t>LITD1_MOUSE</t>
        </is>
      </c>
      <c r="L369" t="inlineStr">
        <is>
          <t>sp|Q587J6|LITD1_MOUSE LINE-1 type transposase domain-containing protein 1 OS=Mus musculus OX=10090 GN=L1td1 PE=2 SV=1</t>
        </is>
      </c>
      <c r="M369" t="n">
        <v>782</v>
      </c>
      <c r="N369" t="inlineStr">
        <is>
          <t>Mus musculus</t>
        </is>
      </c>
      <c r="O369" t="inlineStr">
        <is>
          <t>LINE-1 type transposase domain-containing protein 1</t>
        </is>
      </c>
    </row>
    <row r="370">
      <c r="A370" t="inlineStr"/>
      <c r="B370" t="inlineStr"/>
      <c r="C370" t="inlineStr"/>
      <c r="D370" t="inlineStr"/>
      <c r="E370">
        <f>HYPERLINK("https://www.uniprot.org/uniprotkb/Q5T7N2/entry", "Q5T7N2")</f>
        <v/>
      </c>
      <c r="F370" t="n">
        <v>26</v>
      </c>
      <c r="G370" t="n">
        <v>146</v>
      </c>
      <c r="H370" t="n">
        <v>1.84e-08</v>
      </c>
      <c r="I370" t="inlineStr">
        <is>
          <t>Swiss-Prot</t>
        </is>
      </c>
      <c r="J370" t="inlineStr">
        <is>
          <t>L1TD1</t>
        </is>
      </c>
      <c r="K370" t="inlineStr">
        <is>
          <t>LITD1_HUMAN</t>
        </is>
      </c>
      <c r="L370" t="inlineStr">
        <is>
          <t>sp|Q5T7N2|LITD1_HUMAN LINE-1 type transposase domain-containing protein 1 OS=Homo sapiens OX=9606 GN=L1TD1 PE=1 SV=1</t>
        </is>
      </c>
      <c r="M370" t="n">
        <v>865</v>
      </c>
      <c r="N370" t="inlineStr">
        <is>
          <t>Homo sapiens</t>
        </is>
      </c>
      <c r="O370" t="inlineStr">
        <is>
          <t>LINE-1 type transposase domain-containing protein 1</t>
        </is>
      </c>
    </row>
    <row r="371">
      <c r="A371" t="inlineStr">
        <is>
          <t>NODE_109138_length_1528_cov_3.581793_g43685_i0</t>
        </is>
      </c>
      <c r="B371" t="inlineStr">
        <is>
          <t>bombina_pachypus_blastx</t>
        </is>
      </c>
      <c r="C371" t="n">
        <v>7.54968032833256</v>
      </c>
      <c r="D371" t="n">
        <v>2.56928413427804e-05</v>
      </c>
      <c r="E371">
        <f>HYPERLINK("https://www.uniprot.org/uniprotkb/A0A8J1L5X3/entry", "A0A8J1L5X3")</f>
        <v/>
      </c>
      <c r="F371" t="n">
        <v>32.3</v>
      </c>
      <c r="G371" t="n">
        <v>381</v>
      </c>
      <c r="H371" t="n">
        <v>8.48e-28</v>
      </c>
      <c r="I371" t="inlineStr">
        <is>
          <t>TrEMBL</t>
        </is>
      </c>
      <c r="J371" t="inlineStr">
        <is>
          <t>LOC121395456</t>
        </is>
      </c>
      <c r="K371" t="inlineStr">
        <is>
          <t>A0A8J1L5X3_XENLA</t>
        </is>
      </c>
      <c r="L371" t="inlineStr">
        <is>
          <t>tr|A0A8J1L5X3|A0A8J1L5X3_XENLA uncharacterized protein LOC121395456 isoform X1 OS=Xenopus laevis OX=8355 GN=LOC121395456 PE=4 SV=1</t>
        </is>
      </c>
      <c r="M371" t="n">
        <v>494</v>
      </c>
      <c r="N371" t="inlineStr">
        <is>
          <t>Xenopus laevis</t>
        </is>
      </c>
      <c r="O371" t="inlineStr">
        <is>
          <t>uncharacterized protein LOC121395456 isoform X1</t>
        </is>
      </c>
    </row>
    <row r="372">
      <c r="A372" t="inlineStr"/>
      <c r="B372" t="inlineStr"/>
      <c r="C372" t="inlineStr"/>
      <c r="D372" t="inlineStr"/>
      <c r="E372">
        <f>HYPERLINK("https://www.ncbi.nlm.nih.gov/gene/?term=XP_041424947.1", "XP_041424947.1")</f>
        <v/>
      </c>
      <c r="F372" t="n">
        <v>32.3</v>
      </c>
      <c r="G372" t="n">
        <v>381</v>
      </c>
      <c r="H372" t="n">
        <v>2.18e-27</v>
      </c>
      <c r="I372" t="inlineStr">
        <is>
          <t>Nr</t>
        </is>
      </c>
      <c r="J372" t="inlineStr"/>
      <c r="K372" t="inlineStr"/>
      <c r="L372" t="inlineStr">
        <is>
          <t>XP_041424947.1 uncharacterized protein LOC121395456 isoform X1 [Xenopus laevis]</t>
        </is>
      </c>
      <c r="M372" t="n">
        <v>494</v>
      </c>
      <c r="N372" t="inlineStr">
        <is>
          <t>Xenopus laevis</t>
        </is>
      </c>
      <c r="O372" t="inlineStr">
        <is>
          <t>uncharacterized protein LOC121395456 isoform X1</t>
        </is>
      </c>
    </row>
    <row r="373">
      <c r="A373" t="inlineStr"/>
      <c r="B373" t="inlineStr"/>
      <c r="C373" t="inlineStr"/>
      <c r="D373" t="inlineStr"/>
      <c r="E373">
        <f>HYPERLINK("https://www.uniprot.org/uniprotkb/A0A803JIM5/entry", "A0A803JIM5")</f>
        <v/>
      </c>
      <c r="F373" t="n">
        <v>32.6</v>
      </c>
      <c r="G373" t="n">
        <v>377</v>
      </c>
      <c r="H373" t="n">
        <v>1.46e-23</v>
      </c>
      <c r="I373" t="inlineStr">
        <is>
          <t>TrEMBL</t>
        </is>
      </c>
      <c r="J373" t="inlineStr"/>
      <c r="K373" t="inlineStr">
        <is>
          <t>A0A803JIM5_XENTR</t>
        </is>
      </c>
      <c r="L373" t="inlineStr">
        <is>
          <t>tr|A0A803JIM5|A0A803JIM5_XENTR GIY-YIG domain-containing protein OS=Xenopus tropicalis OX=8364 PE=4 SV=1</t>
        </is>
      </c>
      <c r="M373" t="n">
        <v>661</v>
      </c>
      <c r="N373" t="inlineStr">
        <is>
          <t>Xenopus tropicalis</t>
        </is>
      </c>
      <c r="O373" t="inlineStr">
        <is>
          <t>GIY-YIG domain-containing protein</t>
        </is>
      </c>
    </row>
    <row r="374">
      <c r="A374" t="inlineStr"/>
      <c r="B374" t="inlineStr"/>
      <c r="C374" t="inlineStr"/>
      <c r="D374" t="inlineStr"/>
      <c r="E374">
        <f>HYPERLINK("https://www.uniprot.org/uniprotkb/A0A803KCG6/entry", "A0A803KCG6")</f>
        <v/>
      </c>
      <c r="F374" t="n">
        <v>29.8</v>
      </c>
      <c r="G374" t="n">
        <v>393</v>
      </c>
      <c r="H374" t="n">
        <v>3.05e-23</v>
      </c>
      <c r="I374" t="inlineStr">
        <is>
          <t>TrEMBL</t>
        </is>
      </c>
      <c r="J374" t="inlineStr"/>
      <c r="K374" t="inlineStr">
        <is>
          <t>A0A803KCG6_XENTR</t>
        </is>
      </c>
      <c r="L374" t="inlineStr">
        <is>
          <t>tr|A0A803KCG6|A0A803KCG6_XENTR Reverse transcriptase domain-containing protein OS=Xenopus tropicalis OX=8364 PE=4 SV=1</t>
        </is>
      </c>
      <c r="M374" t="n">
        <v>762</v>
      </c>
      <c r="N374" t="inlineStr">
        <is>
          <t>Xenopus tropicalis</t>
        </is>
      </c>
      <c r="O374" t="inlineStr">
        <is>
          <t>Reverse transcriptase domain-containing protein</t>
        </is>
      </c>
    </row>
    <row r="375">
      <c r="A375" t="inlineStr"/>
      <c r="B375" t="inlineStr"/>
      <c r="C375" t="inlineStr"/>
      <c r="D375" t="inlineStr"/>
      <c r="E375">
        <f>HYPERLINK("https://www.ncbi.nlm.nih.gov/gene/?term=OCT91964.1", "OCT91964.1")</f>
        <v/>
      </c>
      <c r="F375" t="n">
        <v>31.5</v>
      </c>
      <c r="G375" t="n">
        <v>378</v>
      </c>
      <c r="H375" t="n">
        <v>1.28e-17</v>
      </c>
      <c r="I375" t="inlineStr">
        <is>
          <t>Nr</t>
        </is>
      </c>
      <c r="J375" t="inlineStr"/>
      <c r="K375" t="inlineStr"/>
      <c r="L375" t="inlineStr">
        <is>
          <t>OCT91964.1 hypothetical protein XELAEV_18015021mg, partial [Xenopus laevis]</t>
        </is>
      </c>
      <c r="M375" t="n">
        <v>363</v>
      </c>
      <c r="N375" t="inlineStr">
        <is>
          <t>Xenopus laevis</t>
        </is>
      </c>
      <c r="O375" t="inlineStr">
        <is>
          <t>hypothetical protein XELAEV_18015021mg, partial</t>
        </is>
      </c>
    </row>
    <row r="376">
      <c r="A376" t="inlineStr"/>
      <c r="B376" t="inlineStr"/>
      <c r="C376" t="inlineStr"/>
      <c r="D376" t="inlineStr"/>
      <c r="E376">
        <f>HYPERLINK("https://www.ncbi.nlm.nih.gov/gene/?term=OCT70725.1", "OCT70725.1")</f>
        <v/>
      </c>
      <c r="F376" t="n">
        <v>29.5</v>
      </c>
      <c r="G376" t="n">
        <v>363</v>
      </c>
      <c r="H376" t="n">
        <v>1.8e-15</v>
      </c>
      <c r="I376" t="inlineStr">
        <is>
          <t>Nr</t>
        </is>
      </c>
      <c r="J376" t="inlineStr"/>
      <c r="K376" t="inlineStr"/>
      <c r="L376" t="inlineStr">
        <is>
          <t>OCT70725.1 hypothetical protein XELAEV_18037650mg [Xenopus laevis]</t>
        </is>
      </c>
      <c r="M376" t="n">
        <v>370</v>
      </c>
      <c r="N376" t="inlineStr">
        <is>
          <t>Xenopus laevis</t>
        </is>
      </c>
      <c r="O376" t="inlineStr">
        <is>
          <t>hypothetical protein XELAEV_18037650mg</t>
        </is>
      </c>
    </row>
    <row r="377">
      <c r="A377" t="inlineStr"/>
      <c r="B377" t="inlineStr"/>
      <c r="C377" t="inlineStr"/>
      <c r="D377" t="inlineStr"/>
      <c r="E377">
        <f>HYPERLINK("https://www.ncbi.nlm.nih.gov/gene/?term=OCT74460.1", "OCT74460.1")</f>
        <v/>
      </c>
      <c r="F377" t="n">
        <v>30.3</v>
      </c>
      <c r="G377" t="n">
        <v>366</v>
      </c>
      <c r="H377" t="n">
        <v>2.17e-15</v>
      </c>
      <c r="I377" t="inlineStr">
        <is>
          <t>Nr</t>
        </is>
      </c>
      <c r="J377" t="inlineStr"/>
      <c r="K377" t="inlineStr"/>
      <c r="L377" t="inlineStr">
        <is>
          <t>OCT74460.1 hypothetical protein XELAEV_18033439mg [Xenopus laevis]</t>
        </is>
      </c>
      <c r="M377" t="n">
        <v>358</v>
      </c>
      <c r="N377" t="inlineStr">
        <is>
          <t>Xenopus laevis</t>
        </is>
      </c>
      <c r="O377" t="inlineStr">
        <is>
          <t>hypothetical protein XELAEV_18033439mg</t>
        </is>
      </c>
    </row>
    <row r="378">
      <c r="A378" t="inlineStr"/>
      <c r="B378" t="inlineStr"/>
      <c r="C378" t="inlineStr"/>
      <c r="D378" t="inlineStr"/>
      <c r="E378">
        <f>HYPERLINK("https://www.ncbi.nlm.nih.gov/gene/?term=OCT82474.1", "OCT82474.1")</f>
        <v/>
      </c>
      <c r="F378" t="n">
        <v>28.9</v>
      </c>
      <c r="G378" t="n">
        <v>391</v>
      </c>
      <c r="H378" t="n">
        <v>4.27e-15</v>
      </c>
      <c r="I378" t="inlineStr">
        <is>
          <t>Nr</t>
        </is>
      </c>
      <c r="J378" t="inlineStr"/>
      <c r="K378" t="inlineStr"/>
      <c r="L378" t="inlineStr">
        <is>
          <t>OCT82474.1 hypothetical protein XELAEV_18025005mg [Xenopus laevis]</t>
        </is>
      </c>
      <c r="M378" t="n">
        <v>699</v>
      </c>
      <c r="N378" t="inlineStr">
        <is>
          <t>Xenopus laevis</t>
        </is>
      </c>
      <c r="O378" t="inlineStr">
        <is>
          <t>hypothetical protein XELAEV_18025005mg</t>
        </is>
      </c>
    </row>
    <row r="379">
      <c r="A379" t="inlineStr"/>
      <c r="B379" t="inlineStr"/>
      <c r="C379" t="inlineStr"/>
      <c r="D379" t="inlineStr"/>
      <c r="E379">
        <f>HYPERLINK("https://www.ncbi.nlm.nih.gov/gene/?term=OCT70181.1", "OCT70181.1")</f>
        <v/>
      </c>
      <c r="F379" t="n">
        <v>30.2</v>
      </c>
      <c r="G379" t="n">
        <v>377</v>
      </c>
      <c r="H379" t="n">
        <v>5.54e-15</v>
      </c>
      <c r="I379" t="inlineStr">
        <is>
          <t>Nr</t>
        </is>
      </c>
      <c r="J379" t="inlineStr"/>
      <c r="K379" t="inlineStr"/>
      <c r="L379" t="inlineStr">
        <is>
          <t>OCT70181.1 hypothetical protein XELAEV_18037102mg, partial [Xenopus laevis]</t>
        </is>
      </c>
      <c r="M379" t="n">
        <v>512</v>
      </c>
      <c r="N379" t="inlineStr">
        <is>
          <t>Xenopus laevis</t>
        </is>
      </c>
      <c r="O379" t="inlineStr">
        <is>
          <t>hypothetical protein XELAEV_18037102mg, partial</t>
        </is>
      </c>
    </row>
    <row r="380">
      <c r="A380" t="inlineStr"/>
      <c r="B380" t="inlineStr"/>
      <c r="C380" t="inlineStr"/>
      <c r="D380" t="inlineStr"/>
      <c r="E380">
        <f>HYPERLINK("https://www.ncbi.nlm.nih.gov/gene/?term=XP_040212985.1", "XP_040212985.1")</f>
        <v/>
      </c>
      <c r="F380" t="n">
        <v>28.6</v>
      </c>
      <c r="G380" t="n">
        <v>374</v>
      </c>
      <c r="H380" t="n">
        <v>1.71e-14</v>
      </c>
      <c r="I380" t="inlineStr">
        <is>
          <t>Nr</t>
        </is>
      </c>
      <c r="J380" t="inlineStr"/>
      <c r="K380" t="inlineStr"/>
      <c r="L380" t="inlineStr">
        <is>
          <t>XP_040212985.1 uncharacterized protein LOC120943646 [Rana temporaria]</t>
        </is>
      </c>
      <c r="M380" t="n">
        <v>646</v>
      </c>
      <c r="N380" t="inlineStr">
        <is>
          <t>Rana temporaria</t>
        </is>
      </c>
      <c r="O380" t="inlineStr">
        <is>
          <t>uncharacterized protein LOC120943646</t>
        </is>
      </c>
    </row>
    <row r="381">
      <c r="A381" t="inlineStr"/>
      <c r="B381" t="inlineStr"/>
      <c r="C381" t="inlineStr"/>
      <c r="D381" t="inlineStr"/>
      <c r="E381">
        <f>HYPERLINK("https://www.ncbi.nlm.nih.gov/gene/?term=XP_040212877.1", "XP_040212877.1")</f>
        <v/>
      </c>
      <c r="F381" t="n">
        <v>28.6</v>
      </c>
      <c r="G381" t="n">
        <v>374</v>
      </c>
      <c r="H381" t="n">
        <v>1.92e-14</v>
      </c>
      <c r="I381" t="inlineStr">
        <is>
          <t>Nr</t>
        </is>
      </c>
      <c r="J381" t="inlineStr"/>
      <c r="K381" t="inlineStr"/>
      <c r="L381" t="inlineStr">
        <is>
          <t>XP_040212877.1 uncharacterized protein LOC120943569 [Rana temporaria]</t>
        </is>
      </c>
      <c r="M381" t="n">
        <v>765</v>
      </c>
      <c r="N381" t="inlineStr">
        <is>
          <t>Rana temporaria</t>
        </is>
      </c>
      <c r="O381" t="inlineStr">
        <is>
          <t>uncharacterized protein LOC120943569</t>
        </is>
      </c>
    </row>
    <row r="382">
      <c r="A382" t="inlineStr"/>
      <c r="B382" t="inlineStr"/>
      <c r="C382" t="inlineStr"/>
      <c r="D382" t="inlineStr"/>
      <c r="E382">
        <f>HYPERLINK("https://www.ncbi.nlm.nih.gov/gene/?term=XP_040264846.1", "XP_040264846.1")</f>
        <v/>
      </c>
      <c r="F382" t="n">
        <v>31.3</v>
      </c>
      <c r="G382" t="n">
        <v>304</v>
      </c>
      <c r="H382" t="n">
        <v>8.99e-14</v>
      </c>
      <c r="I382" t="inlineStr">
        <is>
          <t>Nr</t>
        </is>
      </c>
      <c r="J382" t="inlineStr"/>
      <c r="K382" t="inlineStr"/>
      <c r="L382" t="inlineStr">
        <is>
          <t>XP_040264846.1 uncharacterized protein LOC120980043 [Bufo bufo]</t>
        </is>
      </c>
      <c r="M382" t="n">
        <v>338</v>
      </c>
      <c r="N382" t="inlineStr">
        <is>
          <t>Bufo bufo</t>
        </is>
      </c>
      <c r="O382" t="inlineStr">
        <is>
          <t>uncharacterized protein LOC120980043</t>
        </is>
      </c>
    </row>
    <row r="383">
      <c r="A383" t="inlineStr"/>
      <c r="B383" t="inlineStr"/>
      <c r="C383" t="inlineStr"/>
      <c r="D383" t="inlineStr"/>
      <c r="E383">
        <f>HYPERLINK("https://www.ncbi.nlm.nih.gov/gene/?term=OCT67299.1", "OCT67299.1")</f>
        <v/>
      </c>
      <c r="F383" t="n">
        <v>30.5</v>
      </c>
      <c r="G383" t="n">
        <v>305</v>
      </c>
      <c r="H383" t="n">
        <v>2.82e-13</v>
      </c>
      <c r="I383" t="inlineStr">
        <is>
          <t>Nr</t>
        </is>
      </c>
      <c r="J383" t="inlineStr"/>
      <c r="K383" t="inlineStr"/>
      <c r="L383" t="inlineStr">
        <is>
          <t>OCT67299.1 hypothetical protein XELAEV_18038584mg, partial [Xenopus laevis]</t>
        </is>
      </c>
      <c r="M383" t="n">
        <v>332</v>
      </c>
      <c r="N383" t="inlineStr">
        <is>
          <t>Xenopus laevis</t>
        </is>
      </c>
      <c r="O383" t="inlineStr">
        <is>
          <t>hypothetical protein XELAEV_18038584mg, partial</t>
        </is>
      </c>
    </row>
    <row r="384">
      <c r="A384" t="inlineStr"/>
      <c r="B384" t="inlineStr"/>
      <c r="C384" t="inlineStr"/>
      <c r="D384" t="inlineStr"/>
      <c r="E384">
        <f>HYPERLINK("https://www.ncbi.nlm.nih.gov/gene/?term=OCT93721.1", "OCT93721.1")</f>
        <v/>
      </c>
      <c r="F384" t="n">
        <v>30.5</v>
      </c>
      <c r="G384" t="n">
        <v>315</v>
      </c>
      <c r="H384" t="n">
        <v>1.29e-12</v>
      </c>
      <c r="I384" t="inlineStr">
        <is>
          <t>Nr</t>
        </is>
      </c>
      <c r="J384" t="inlineStr"/>
      <c r="K384" t="inlineStr"/>
      <c r="L384" t="inlineStr">
        <is>
          <t>OCT93721.1 hypothetical protein XELAEV_18011398mg [Xenopus laevis]</t>
        </is>
      </c>
      <c r="M384" t="n">
        <v>413</v>
      </c>
      <c r="N384" t="inlineStr">
        <is>
          <t>Xenopus laevis</t>
        </is>
      </c>
      <c r="O384" t="inlineStr">
        <is>
          <t>hypothetical protein XELAEV_18011398mg</t>
        </is>
      </c>
    </row>
    <row r="385">
      <c r="A385" t="inlineStr"/>
      <c r="B385" t="inlineStr"/>
      <c r="C385" t="inlineStr"/>
      <c r="D385" t="inlineStr"/>
      <c r="E385">
        <f>HYPERLINK("https://www.ncbi.nlm.nih.gov/gene/?term=OCT95583.1", "OCT95583.1")</f>
        <v/>
      </c>
      <c r="F385" t="n">
        <v>28.6</v>
      </c>
      <c r="G385" t="n">
        <v>370</v>
      </c>
      <c r="H385" t="n">
        <v>2.03e-12</v>
      </c>
      <c r="I385" t="inlineStr">
        <is>
          <t>Nr</t>
        </is>
      </c>
      <c r="J385" t="inlineStr"/>
      <c r="K385" t="inlineStr"/>
      <c r="L385" t="inlineStr">
        <is>
          <t>OCT95583.1 hypothetical protein XELAEV_18013271mg [Xenopus laevis]</t>
        </is>
      </c>
      <c r="M385" t="n">
        <v>554</v>
      </c>
      <c r="N385" t="inlineStr">
        <is>
          <t>Xenopus laevis</t>
        </is>
      </c>
      <c r="O385" t="inlineStr">
        <is>
          <t>hypothetical protein XELAEV_18013271mg</t>
        </is>
      </c>
    </row>
    <row r="386">
      <c r="A386" t="inlineStr"/>
      <c r="B386" t="inlineStr"/>
      <c r="C386" t="inlineStr"/>
      <c r="D386" t="inlineStr"/>
      <c r="E386">
        <f>HYPERLINK("https://www.ncbi.nlm.nih.gov/gene/?term=OCT88104.1", "OCT88104.1")</f>
        <v/>
      </c>
      <c r="F386" t="n">
        <v>29.6</v>
      </c>
      <c r="G386" t="n">
        <v>371</v>
      </c>
      <c r="H386" t="n">
        <v>3.01e-12</v>
      </c>
      <c r="I386" t="inlineStr">
        <is>
          <t>Nr</t>
        </is>
      </c>
      <c r="J386" t="inlineStr"/>
      <c r="K386" t="inlineStr"/>
      <c r="L386" t="inlineStr">
        <is>
          <t>OCT88104.1 hypothetical protein XELAEV_18016733mg [Xenopus laevis]</t>
        </is>
      </c>
      <c r="M386" t="n">
        <v>362</v>
      </c>
      <c r="N386" t="inlineStr">
        <is>
          <t>Xenopus laevis</t>
        </is>
      </c>
      <c r="O386" t="inlineStr">
        <is>
          <t>hypothetical protein XELAEV_18016733mg</t>
        </is>
      </c>
    </row>
    <row r="387">
      <c r="A387" t="inlineStr"/>
      <c r="B387" t="inlineStr"/>
      <c r="C387" t="inlineStr"/>
      <c r="D387" t="inlineStr"/>
      <c r="E387">
        <f>HYPERLINK("https://www.ncbi.nlm.nih.gov/gene/?term=OCT82942.1", "OCT82942.1")</f>
        <v/>
      </c>
      <c r="F387" t="n">
        <v>29.4</v>
      </c>
      <c r="G387" t="n">
        <v>218</v>
      </c>
      <c r="H387" t="n">
        <v>4.66e-12</v>
      </c>
      <c r="I387" t="inlineStr">
        <is>
          <t>Nr</t>
        </is>
      </c>
      <c r="J387" t="inlineStr"/>
      <c r="K387" t="inlineStr"/>
      <c r="L387" t="inlineStr">
        <is>
          <t>OCT82942.1 hypothetical protein XELAEV_18025477mg, partial [Xenopus laevis]</t>
        </is>
      </c>
      <c r="M387" t="n">
        <v>245</v>
      </c>
      <c r="N387" t="inlineStr">
        <is>
          <t>Xenopus laevis</t>
        </is>
      </c>
      <c r="O387" t="inlineStr">
        <is>
          <t>hypothetical protein XELAEV_18025477mg, partial</t>
        </is>
      </c>
    </row>
    <row r="388">
      <c r="A388" t="inlineStr"/>
      <c r="B388" t="inlineStr"/>
      <c r="C388" t="inlineStr"/>
      <c r="D388" t="inlineStr"/>
      <c r="E388">
        <f>HYPERLINK("https://www.ncbi.nlm.nih.gov/gene/?term=OCT65976.1", "OCT65976.1")</f>
        <v/>
      </c>
      <c r="F388" t="n">
        <v>29.3</v>
      </c>
      <c r="G388" t="n">
        <v>338</v>
      </c>
      <c r="H388" t="n">
        <v>3.61e-11</v>
      </c>
      <c r="I388" t="inlineStr">
        <is>
          <t>Nr</t>
        </is>
      </c>
      <c r="J388" t="inlineStr"/>
      <c r="K388" t="inlineStr"/>
      <c r="L388" t="inlineStr">
        <is>
          <t>OCT65976.1 hypothetical protein XELAEV_18042230mg [Xenopus laevis]</t>
        </is>
      </c>
      <c r="M388" t="n">
        <v>339</v>
      </c>
      <c r="N388" t="inlineStr">
        <is>
          <t>Xenopus laevis</t>
        </is>
      </c>
      <c r="O388" t="inlineStr">
        <is>
          <t>hypothetical protein XELAEV_18042230mg</t>
        </is>
      </c>
    </row>
    <row r="389">
      <c r="A389" t="inlineStr"/>
      <c r="B389" t="inlineStr"/>
      <c r="C389" t="inlineStr"/>
      <c r="D389" t="inlineStr"/>
      <c r="E389">
        <f>HYPERLINK("https://www.ncbi.nlm.nih.gov/gene/?term=OCT92634.1", "OCT92634.1")</f>
        <v/>
      </c>
      <c r="F389" t="n">
        <v>29.5</v>
      </c>
      <c r="G389" t="n">
        <v>325</v>
      </c>
      <c r="H389" t="n">
        <v>1.02e-10</v>
      </c>
      <c r="I389" t="inlineStr">
        <is>
          <t>Nr</t>
        </is>
      </c>
      <c r="J389" t="inlineStr"/>
      <c r="K389" t="inlineStr"/>
      <c r="L389" t="inlineStr">
        <is>
          <t>OCT92634.1 hypothetical protein XELAEV_18015692mg, partial [Xenopus laevis]</t>
        </is>
      </c>
      <c r="M389" t="n">
        <v>322</v>
      </c>
      <c r="N389" t="inlineStr">
        <is>
          <t>Xenopus laevis</t>
        </is>
      </c>
      <c r="O389" t="inlineStr">
        <is>
          <t>hypothetical protein XELAEV_18015692mg, partial</t>
        </is>
      </c>
    </row>
    <row r="390">
      <c r="A390" t="inlineStr"/>
      <c r="B390" t="inlineStr"/>
      <c r="C390" t="inlineStr"/>
      <c r="D390" t="inlineStr"/>
      <c r="E390">
        <f>HYPERLINK("https://www.ncbi.nlm.nih.gov/gene/?term=XP_044158606.1", "XP_044158606.1")</f>
        <v/>
      </c>
      <c r="F390" t="n">
        <v>30.2</v>
      </c>
      <c r="G390" t="n">
        <v>374</v>
      </c>
      <c r="H390" t="n">
        <v>1.15e-10</v>
      </c>
      <c r="I390" t="inlineStr">
        <is>
          <t>Nr</t>
        </is>
      </c>
      <c r="J390" t="inlineStr"/>
      <c r="K390" t="inlineStr"/>
      <c r="L390" t="inlineStr">
        <is>
          <t>XP_044158606.1 uncharacterized protein LOC122944428 [Bufo gargarizans]</t>
        </is>
      </c>
      <c r="M390" t="n">
        <v>377</v>
      </c>
      <c r="N390" t="inlineStr">
        <is>
          <t>Bufo gargarizans</t>
        </is>
      </c>
      <c r="O390" t="inlineStr">
        <is>
          <t>uncharacterized protein LOC122944428</t>
        </is>
      </c>
    </row>
    <row r="391">
      <c r="A391" t="inlineStr"/>
      <c r="B391" t="inlineStr"/>
      <c r="C391" t="inlineStr"/>
      <c r="D391" t="inlineStr"/>
      <c r="E391">
        <f>HYPERLINK("https://www.ncbi.nlm.nih.gov/gene/?term=OCT85084.1", "OCT85084.1")</f>
        <v/>
      </c>
      <c r="F391" t="n">
        <v>28.2</v>
      </c>
      <c r="G391" t="n">
        <v>333</v>
      </c>
      <c r="H391" t="n">
        <v>1.18e-10</v>
      </c>
      <c r="I391" t="inlineStr">
        <is>
          <t>Nr</t>
        </is>
      </c>
      <c r="J391" t="inlineStr"/>
      <c r="K391" t="inlineStr"/>
      <c r="L391" t="inlineStr">
        <is>
          <t>OCT85084.1 hypothetical protein XELAEV_18023247mg [Xenopus laevis]</t>
        </is>
      </c>
      <c r="M391" t="n">
        <v>339</v>
      </c>
      <c r="N391" t="inlineStr">
        <is>
          <t>Xenopus laevis</t>
        </is>
      </c>
      <c r="O391" t="inlineStr">
        <is>
          <t>hypothetical protein XELAEV_18023247mg</t>
        </is>
      </c>
    </row>
    <row r="392">
      <c r="A392" t="inlineStr"/>
      <c r="B392" t="inlineStr"/>
      <c r="C392" t="inlineStr"/>
      <c r="D392" t="inlineStr"/>
      <c r="E392">
        <f>HYPERLINK("https://www.uniprot.org/uniprotkb/A0A1B8Y0Y5/entry", "A0A1B8Y0Y5")</f>
        <v/>
      </c>
      <c r="F392" t="n">
        <v>31</v>
      </c>
      <c r="G392" t="n">
        <v>332</v>
      </c>
      <c r="H392" t="n">
        <v>1.27e-10</v>
      </c>
      <c r="I392" t="inlineStr">
        <is>
          <t>TrEMBL</t>
        </is>
      </c>
      <c r="J392" t="inlineStr">
        <is>
          <t>XENTR_v90028131mg</t>
        </is>
      </c>
      <c r="K392" t="inlineStr">
        <is>
          <t>A0A1B8Y0Y5_XENTR</t>
        </is>
      </c>
      <c r="L392" t="inlineStr">
        <is>
          <t>tr|A0A1B8Y0Y5|A0A1B8Y0Y5_XENTR GIY-YIG domain-containing protein OS=Xenopus tropicalis OX=8364 GN=XENTR_v90028131mg PE=4 SV=1</t>
        </is>
      </c>
      <c r="M392" t="n">
        <v>357</v>
      </c>
      <c r="N392" t="inlineStr">
        <is>
          <t>Xenopus tropicalis</t>
        </is>
      </c>
      <c r="O392" t="inlineStr">
        <is>
          <t>GIY-YIG domain-containing protein</t>
        </is>
      </c>
    </row>
    <row r="393">
      <c r="A393" t="inlineStr"/>
      <c r="B393" t="inlineStr"/>
      <c r="C393" t="inlineStr"/>
      <c r="D393" t="inlineStr"/>
      <c r="E393">
        <f>HYPERLINK("https://www.ncbi.nlm.nih.gov/gene/?term=OCT61211.1", "OCT61211.1")</f>
        <v/>
      </c>
      <c r="F393" t="n">
        <v>29</v>
      </c>
      <c r="G393" t="n">
        <v>338</v>
      </c>
      <c r="H393" t="n">
        <v>1.59e-10</v>
      </c>
      <c r="I393" t="inlineStr">
        <is>
          <t>Nr</t>
        </is>
      </c>
      <c r="J393" t="inlineStr"/>
      <c r="K393" t="inlineStr"/>
      <c r="L393" t="inlineStr">
        <is>
          <t>OCT61211.1 hypothetical protein XELAEV_18047235mg [Xenopus laevis]</t>
        </is>
      </c>
      <c r="M393" t="n">
        <v>339</v>
      </c>
      <c r="N393" t="inlineStr">
        <is>
          <t>Xenopus laevis</t>
        </is>
      </c>
      <c r="O393" t="inlineStr">
        <is>
          <t>hypothetical protein XELAEV_18047235mg</t>
        </is>
      </c>
    </row>
    <row r="394">
      <c r="A394" t="inlineStr"/>
      <c r="B394" t="inlineStr"/>
      <c r="C394" t="inlineStr"/>
      <c r="D394" t="inlineStr"/>
      <c r="E394">
        <f>HYPERLINK("https://www.ncbi.nlm.nih.gov/gene/?term=XP_040196440.1", "XP_040196440.1")</f>
        <v/>
      </c>
      <c r="F394" t="n">
        <v>30.1</v>
      </c>
      <c r="G394" t="n">
        <v>296</v>
      </c>
      <c r="H394" t="n">
        <v>1.86e-10</v>
      </c>
      <c r="I394" t="inlineStr">
        <is>
          <t>Nr</t>
        </is>
      </c>
      <c r="J394" t="inlineStr"/>
      <c r="K394" t="inlineStr"/>
      <c r="L394" t="inlineStr">
        <is>
          <t>XP_040196440.1 uncharacterized protein LOC120929221 [Rana temporaria]</t>
        </is>
      </c>
      <c r="M394" t="n">
        <v>742</v>
      </c>
      <c r="N394" t="inlineStr">
        <is>
          <t>Rana temporaria</t>
        </is>
      </c>
      <c r="O394" t="inlineStr">
        <is>
          <t>uncharacterized protein LOC120929221</t>
        </is>
      </c>
    </row>
    <row r="395">
      <c r="A395" t="inlineStr"/>
      <c r="B395" t="inlineStr"/>
      <c r="C395" t="inlineStr"/>
      <c r="D395" t="inlineStr"/>
      <c r="E395">
        <f>HYPERLINK("https://www.ncbi.nlm.nih.gov/gene/?term=OCT68280.1", "OCT68280.1")</f>
        <v/>
      </c>
      <c r="F395" t="n">
        <v>26.9</v>
      </c>
      <c r="G395" t="n">
        <v>324</v>
      </c>
      <c r="H395" t="n">
        <v>1.74e-09</v>
      </c>
      <c r="I395" t="inlineStr">
        <is>
          <t>Nr</t>
        </is>
      </c>
      <c r="J395" t="inlineStr"/>
      <c r="K395" t="inlineStr"/>
      <c r="L395" t="inlineStr">
        <is>
          <t>OCT68280.1 hypothetical protein XELAEV_18039580mg [Xenopus laevis]</t>
        </is>
      </c>
      <c r="M395" t="n">
        <v>308</v>
      </c>
      <c r="N395" t="inlineStr">
        <is>
          <t>Xenopus laevis</t>
        </is>
      </c>
      <c r="O395" t="inlineStr">
        <is>
          <t>hypothetical protein XELAEV_18039580mg</t>
        </is>
      </c>
    </row>
    <row r="396">
      <c r="A396" t="inlineStr"/>
      <c r="B396" t="inlineStr"/>
      <c r="C396" t="inlineStr"/>
      <c r="D396" t="inlineStr"/>
      <c r="E396">
        <f>HYPERLINK("https://www.ncbi.nlm.nih.gov/gene/?term=OCT99589.1", "OCT99589.1")</f>
        <v/>
      </c>
      <c r="F396" t="n">
        <v>30.4</v>
      </c>
      <c r="G396" t="n">
        <v>263</v>
      </c>
      <c r="H396" t="n">
        <v>2.39e-09</v>
      </c>
      <c r="I396" t="inlineStr">
        <is>
          <t>Nr</t>
        </is>
      </c>
      <c r="J396" t="inlineStr"/>
      <c r="K396" t="inlineStr"/>
      <c r="L396" t="inlineStr">
        <is>
          <t>OCT99589.1 hypothetical protein XELAEV_18005372mg [Xenopus laevis]</t>
        </is>
      </c>
      <c r="M396" t="n">
        <v>310</v>
      </c>
      <c r="N396" t="inlineStr">
        <is>
          <t>Xenopus laevis</t>
        </is>
      </c>
      <c r="O396" t="inlineStr">
        <is>
          <t>hypothetical protein XELAEV_18005372mg</t>
        </is>
      </c>
    </row>
    <row r="397">
      <c r="A397" t="inlineStr"/>
      <c r="B397" t="inlineStr"/>
      <c r="C397" t="inlineStr"/>
      <c r="D397" t="inlineStr"/>
      <c r="E397">
        <f>HYPERLINK("https://www.ncbi.nlm.nih.gov/gene/?term=OCT55731.1", "OCT55731.1")</f>
        <v/>
      </c>
      <c r="F397" t="n">
        <v>30.8</v>
      </c>
      <c r="G397" t="n">
        <v>211</v>
      </c>
      <c r="H397" t="n">
        <v>3.08e-09</v>
      </c>
      <c r="I397" t="inlineStr">
        <is>
          <t>Nr</t>
        </is>
      </c>
      <c r="J397" t="inlineStr"/>
      <c r="K397" t="inlineStr"/>
      <c r="L397" t="inlineStr">
        <is>
          <t>OCT55731.1 hypothetical protein XELAEV_18004497mg [Xenopus laevis]</t>
        </is>
      </c>
      <c r="M397" t="n">
        <v>212</v>
      </c>
      <c r="N397" t="inlineStr">
        <is>
          <t>Xenopus laevis</t>
        </is>
      </c>
      <c r="O397" t="inlineStr">
        <is>
          <t>hypothetical protein XELAEV_18004497mg</t>
        </is>
      </c>
    </row>
    <row r="398">
      <c r="A398" t="inlineStr"/>
      <c r="B398" t="inlineStr"/>
      <c r="C398" t="inlineStr"/>
      <c r="D398" t="inlineStr"/>
      <c r="E398">
        <f>HYPERLINK("https://www.ncbi.nlm.nih.gov/gene/?term=OCT70307.1", "OCT70307.1")</f>
        <v/>
      </c>
      <c r="F398" t="n">
        <v>30.1</v>
      </c>
      <c r="G398" t="n">
        <v>336</v>
      </c>
      <c r="H398" t="n">
        <v>3.63e-09</v>
      </c>
      <c r="I398" t="inlineStr">
        <is>
          <t>Nr</t>
        </is>
      </c>
      <c r="J398" t="inlineStr"/>
      <c r="K398" t="inlineStr"/>
      <c r="L398" t="inlineStr">
        <is>
          <t>OCT70307.1 hypothetical protein XELAEV_18037231mg [Xenopus laevis]</t>
        </is>
      </c>
      <c r="M398" t="n">
        <v>368</v>
      </c>
      <c r="N398" t="inlineStr">
        <is>
          <t>Xenopus laevis</t>
        </is>
      </c>
      <c r="O398" t="inlineStr">
        <is>
          <t>hypothetical protein XELAEV_18037231mg</t>
        </is>
      </c>
    </row>
    <row r="399">
      <c r="A399" t="inlineStr"/>
      <c r="B399" t="inlineStr"/>
      <c r="C399" t="inlineStr"/>
      <c r="D399" t="inlineStr"/>
      <c r="E399">
        <f>HYPERLINK("https://www.uniprot.org/uniprotkb/A0A8C5P7I8/entry", "A0A8C5P7I8")</f>
        <v/>
      </c>
      <c r="F399" t="n">
        <v>25.9</v>
      </c>
      <c r="G399" t="n">
        <v>390</v>
      </c>
      <c r="H399" t="n">
        <v>6.77e-09</v>
      </c>
      <c r="I399" t="inlineStr">
        <is>
          <t>TrEMBL</t>
        </is>
      </c>
      <c r="J399" t="inlineStr"/>
      <c r="K399" t="inlineStr">
        <is>
          <t>A0A8C5P7I8_9ANUR</t>
        </is>
      </c>
      <c r="L399" t="inlineStr">
        <is>
          <t>tr|A0A8C5P7I8|A0A8C5P7I8_9ANUR Reverse transcriptase domain-containing protein OS=Leptobrachium leishanense OX=445787 PE=4 SV=1</t>
        </is>
      </c>
      <c r="M399" t="n">
        <v>728</v>
      </c>
      <c r="N399" t="inlineStr">
        <is>
          <t>Leptobrachium leishanense</t>
        </is>
      </c>
      <c r="O399" t="inlineStr">
        <is>
          <t>Reverse transcriptase domain-containing protein</t>
        </is>
      </c>
    </row>
    <row r="400">
      <c r="A400" t="inlineStr"/>
      <c r="B400" t="inlineStr"/>
      <c r="C400" t="inlineStr"/>
      <c r="D400" t="inlineStr"/>
      <c r="E400">
        <f>HYPERLINK("https://www.uniprot.org/uniprotkb/A0A821FKV8/entry", "A0A821FKV8")</f>
        <v/>
      </c>
      <c r="F400" t="n">
        <v>28.2</v>
      </c>
      <c r="G400" t="n">
        <v>308</v>
      </c>
      <c r="H400" t="n">
        <v>1.27e-08</v>
      </c>
      <c r="I400" t="inlineStr">
        <is>
          <t>TrEMBL</t>
        </is>
      </c>
      <c r="J400" t="inlineStr">
        <is>
          <t>RIMITATOR_LOCUS1024303</t>
        </is>
      </c>
      <c r="K400" t="inlineStr">
        <is>
          <t>A0A821FKV8_9NEOB</t>
        </is>
      </c>
      <c r="L400" t="inlineStr">
        <is>
          <t>tr|A0A821FKV8|A0A821FKV8_9NEOB (mimic poison frog) hypothetical protein OS=Ranitomeya imitator OX=111125 GN=RIMITATOR_LOCUS1024303 PE=4 SV=1</t>
        </is>
      </c>
      <c r="M400" t="n">
        <v>345</v>
      </c>
      <c r="N400" t="inlineStr">
        <is>
          <t>Ranitomeya imitator</t>
        </is>
      </c>
      <c r="O400" t="inlineStr">
        <is>
          <t>(mimic poison frog) hypothetical protein</t>
        </is>
      </c>
    </row>
    <row r="401">
      <c r="A401" t="inlineStr"/>
      <c r="B401" t="inlineStr"/>
      <c r="C401" t="inlineStr"/>
      <c r="D401" t="inlineStr"/>
      <c r="E401">
        <f>HYPERLINK("https://www.ncbi.nlm.nih.gov/gene/?term=OCT70398.1", "OCT70398.1")</f>
        <v/>
      </c>
      <c r="F401" t="n">
        <v>29.4</v>
      </c>
      <c r="G401" t="n">
        <v>343</v>
      </c>
      <c r="H401" t="n">
        <v>2e-08</v>
      </c>
      <c r="I401" t="inlineStr">
        <is>
          <t>Nr</t>
        </is>
      </c>
      <c r="J401" t="inlineStr"/>
      <c r="K401" t="inlineStr"/>
      <c r="L401" t="inlineStr">
        <is>
          <t>OCT70398.1 hypothetical protein XELAEV_18037316mg [Xenopus laevis]</t>
        </is>
      </c>
      <c r="M401" t="n">
        <v>430</v>
      </c>
      <c r="N401" t="inlineStr">
        <is>
          <t>Xenopus laevis</t>
        </is>
      </c>
      <c r="O401" t="inlineStr">
        <is>
          <t>hypothetical protein XELAEV_18037316mg</t>
        </is>
      </c>
    </row>
    <row r="402">
      <c r="A402" t="inlineStr"/>
      <c r="B402" t="inlineStr"/>
      <c r="C402" t="inlineStr"/>
      <c r="D402" t="inlineStr"/>
      <c r="E402">
        <f>HYPERLINK("https://www.uniprot.org/uniprotkb/A0A8J1KIA4/entry", "A0A8J1KIA4")</f>
        <v/>
      </c>
      <c r="F402" t="n">
        <v>30</v>
      </c>
      <c r="G402" t="n">
        <v>317</v>
      </c>
      <c r="H402" t="n">
        <v>2.67e-07</v>
      </c>
      <c r="I402" t="inlineStr">
        <is>
          <t>TrEMBL</t>
        </is>
      </c>
      <c r="J402" t="inlineStr">
        <is>
          <t>LOC108715416</t>
        </is>
      </c>
      <c r="K402" t="inlineStr">
        <is>
          <t>A0A8J1KIA4_XENLA</t>
        </is>
      </c>
      <c r="L402" t="inlineStr">
        <is>
          <t>tr|A0A8J1KIA4|A0A8J1KIA4_XENLA uncharacterized protein LOC108715416 OS=Xenopus laevis OX=8355 GN=LOC108715416 PE=4 SV=1</t>
        </is>
      </c>
      <c r="M402" t="n">
        <v>727</v>
      </c>
      <c r="N402" t="inlineStr">
        <is>
          <t>Xenopus laevis</t>
        </is>
      </c>
      <c r="O402" t="inlineStr">
        <is>
          <t>uncharacterized protein LOC108715416</t>
        </is>
      </c>
    </row>
    <row r="403">
      <c r="A403" t="inlineStr"/>
      <c r="B403" t="inlineStr"/>
      <c r="C403" t="inlineStr"/>
      <c r="D403" t="inlineStr"/>
      <c r="E403">
        <f>HYPERLINK("https://www.uniprot.org/uniprotkb/A0A8J1KXX0/entry", "A0A8J1KXX0")</f>
        <v/>
      </c>
      <c r="F403" t="n">
        <v>27.7</v>
      </c>
      <c r="G403" t="n">
        <v>300</v>
      </c>
      <c r="H403" t="n">
        <v>1.26e-06</v>
      </c>
      <c r="I403" t="inlineStr">
        <is>
          <t>TrEMBL</t>
        </is>
      </c>
      <c r="J403" t="inlineStr">
        <is>
          <t>LOC121394669</t>
        </is>
      </c>
      <c r="K403" t="inlineStr">
        <is>
          <t>A0A8J1KXX0_XENLA</t>
        </is>
      </c>
      <c r="L403" t="inlineStr">
        <is>
          <t>tr|A0A8J1KXX0|A0A8J1KXX0_XENLA uncharacterized protein LOC121394669 OS=Xenopus laevis OX=8355 GN=LOC121394669 PE=4 SV=1</t>
        </is>
      </c>
      <c r="M403" t="n">
        <v>408</v>
      </c>
      <c r="N403" t="inlineStr">
        <is>
          <t>Xenopus laevis</t>
        </is>
      </c>
      <c r="O403" t="inlineStr">
        <is>
          <t>uncharacterized protein LOC121394669</t>
        </is>
      </c>
    </row>
    <row r="404">
      <c r="A404" t="inlineStr"/>
      <c r="B404" t="inlineStr"/>
      <c r="C404" t="inlineStr"/>
      <c r="D404" t="inlineStr"/>
      <c r="E404">
        <f>HYPERLINK("https://www.uniprot.org/uniprotkb/A0A8C5M435/entry", "A0A8C5M435")</f>
        <v/>
      </c>
      <c r="F404" t="n">
        <v>27.6</v>
      </c>
      <c r="G404" t="n">
        <v>384</v>
      </c>
      <c r="H404" t="n">
        <v>1.81e-06</v>
      </c>
      <c r="I404" t="inlineStr">
        <is>
          <t>TrEMBL</t>
        </is>
      </c>
      <c r="J404" t="inlineStr"/>
      <c r="K404" t="inlineStr">
        <is>
          <t>A0A8C5M435_9ANUR</t>
        </is>
      </c>
      <c r="L404" t="inlineStr">
        <is>
          <t>tr|A0A8C5M435|A0A8C5M435_9ANUR Reverse transcriptase domain-containing protein OS=Leptobrachium leishanense OX=445787 PE=4 SV=1</t>
        </is>
      </c>
      <c r="M404" t="n">
        <v>642</v>
      </c>
      <c r="N404" t="inlineStr">
        <is>
          <t>Leptobrachium leishanense</t>
        </is>
      </c>
      <c r="O404" t="inlineStr">
        <is>
          <t>Reverse transcriptase domain-containing protein</t>
        </is>
      </c>
    </row>
    <row r="405">
      <c r="A405" t="inlineStr"/>
      <c r="B405" t="inlineStr"/>
      <c r="C405" t="inlineStr"/>
      <c r="D405" t="inlineStr"/>
      <c r="E405">
        <f>HYPERLINK("https://www.uniprot.org/uniprotkb/A0A8J1M441/entry", "A0A8J1M441")</f>
        <v/>
      </c>
      <c r="F405" t="n">
        <v>27</v>
      </c>
      <c r="G405" t="n">
        <v>381</v>
      </c>
      <c r="H405" t="n">
        <v>2.45e-06</v>
      </c>
      <c r="I405" t="inlineStr">
        <is>
          <t>TrEMBL</t>
        </is>
      </c>
      <c r="J405" t="inlineStr">
        <is>
          <t>LOC121399360</t>
        </is>
      </c>
      <c r="K405" t="inlineStr">
        <is>
          <t>A0A8J1M441_XENLA</t>
        </is>
      </c>
      <c r="L405" t="inlineStr">
        <is>
          <t>tr|A0A8J1M441|A0A8J1M441_XENLA uncharacterized protein LOC121399360 OS=Xenopus laevis OX=8355 GN=LOC121399360 PE=4 SV=1</t>
        </is>
      </c>
      <c r="M405" t="n">
        <v>674</v>
      </c>
      <c r="N405" t="inlineStr">
        <is>
          <t>Xenopus laevis</t>
        </is>
      </c>
      <c r="O405" t="inlineStr">
        <is>
          <t>uncharacterized protein LOC121399360</t>
        </is>
      </c>
    </row>
    <row r="406">
      <c r="A406" t="inlineStr"/>
      <c r="B406" t="inlineStr"/>
      <c r="C406" t="inlineStr"/>
      <c r="D406" t="inlineStr"/>
      <c r="E406">
        <f>HYPERLINK("https://www.uniprot.org/uniprotkb/A0A1B8XYH4/entry", "A0A1B8XYH4")</f>
        <v/>
      </c>
      <c r="F406" t="n">
        <v>28.8</v>
      </c>
      <c r="G406" t="n">
        <v>330</v>
      </c>
      <c r="H406" t="n">
        <v>3.59e-06</v>
      </c>
      <c r="I406" t="inlineStr">
        <is>
          <t>TrEMBL</t>
        </is>
      </c>
      <c r="J406" t="inlineStr">
        <is>
          <t>XENTR_v90029288mg</t>
        </is>
      </c>
      <c r="K406" t="inlineStr">
        <is>
          <t>A0A1B8XYH4_XENTR</t>
        </is>
      </c>
      <c r="L406" t="inlineStr">
        <is>
          <t>tr|A0A1B8XYH4|A0A1B8XYH4_XENTR Reverse transcriptase domain-containing protein OS=Xenopus tropicalis OX=8364 GN=XENTR_v90029288mg PE=4 SV=1</t>
        </is>
      </c>
      <c r="M406" t="n">
        <v>500</v>
      </c>
      <c r="N406" t="inlineStr">
        <is>
          <t>Xenopus tropicalis</t>
        </is>
      </c>
      <c r="O406" t="inlineStr">
        <is>
          <t>Reverse transcriptase domain-containing protein</t>
        </is>
      </c>
    </row>
    <row r="407">
      <c r="A407" t="inlineStr"/>
      <c r="B407" t="inlineStr"/>
      <c r="C407" t="inlineStr"/>
      <c r="D407" t="inlineStr"/>
      <c r="E407">
        <f>HYPERLINK("https://www.uniprot.org/uniprotkb/A0A1B8XZB9/entry", "A0A1B8XZB9")</f>
        <v/>
      </c>
      <c r="F407" t="n">
        <v>28.8</v>
      </c>
      <c r="G407" t="n">
        <v>344</v>
      </c>
      <c r="H407" t="n">
        <v>4.5e-06</v>
      </c>
      <c r="I407" t="inlineStr">
        <is>
          <t>TrEMBL</t>
        </is>
      </c>
      <c r="J407" t="inlineStr">
        <is>
          <t>XENTR_v90028845mg</t>
        </is>
      </c>
      <c r="K407" t="inlineStr">
        <is>
          <t>A0A1B8XZB9_XENTR</t>
        </is>
      </c>
      <c r="L407" t="inlineStr">
        <is>
          <t>tr|A0A1B8XZB9|A0A1B8XZB9_XENTR GIY-YIG domain-containing protein OS=Xenopus tropicalis OX=8364 GN=XENTR_v90028845mg PE=4 SV=1</t>
        </is>
      </c>
      <c r="M407" t="n">
        <v>362</v>
      </c>
      <c r="N407" t="inlineStr">
        <is>
          <t>Xenopus tropicalis</t>
        </is>
      </c>
      <c r="O407" t="inlineStr">
        <is>
          <t>GIY-YIG domain-containing protein</t>
        </is>
      </c>
    </row>
    <row r="408">
      <c r="A408" t="inlineStr"/>
      <c r="B408" t="inlineStr"/>
      <c r="C408" t="inlineStr"/>
      <c r="D408" t="inlineStr"/>
      <c r="E408">
        <f>HYPERLINK("https://www.uniprot.org/uniprotkb/A0A8C5W8X4/entry", "A0A8C5W8X4")</f>
        <v/>
      </c>
      <c r="F408" t="n">
        <v>28.5</v>
      </c>
      <c r="G408" t="n">
        <v>389</v>
      </c>
      <c r="H408" t="n">
        <v>7.77e-06</v>
      </c>
      <c r="I408" t="inlineStr">
        <is>
          <t>TrEMBL</t>
        </is>
      </c>
      <c r="J408" t="inlineStr"/>
      <c r="K408" t="inlineStr">
        <is>
          <t>A0A8C5W8X4_9ANUR</t>
        </is>
      </c>
      <c r="L408" t="inlineStr">
        <is>
          <t>tr|A0A8C5W8X4|A0A8C5W8X4_9ANUR Reverse transcriptase domain-containing protein OS=Leptobrachium leishanense OX=445787 PE=4 SV=1</t>
        </is>
      </c>
      <c r="M408" t="n">
        <v>716</v>
      </c>
      <c r="N408" t="inlineStr">
        <is>
          <t>Leptobrachium leishanense</t>
        </is>
      </c>
      <c r="O408" t="inlineStr">
        <is>
          <t>Reverse transcriptase domain-containing protein</t>
        </is>
      </c>
    </row>
    <row r="409">
      <c r="A409" t="inlineStr"/>
      <c r="B409" t="inlineStr"/>
      <c r="C409" t="inlineStr"/>
      <c r="D409" t="inlineStr"/>
      <c r="E409">
        <f>HYPERLINK("https://www.uniprot.org/uniprotkb/A0A8J1KX52/entry", "A0A8J1KX52")</f>
        <v/>
      </c>
      <c r="F409" t="n">
        <v>26.9</v>
      </c>
      <c r="G409" t="n">
        <v>327</v>
      </c>
      <c r="H409" t="n">
        <v>1.03e-05</v>
      </c>
      <c r="I409" t="inlineStr">
        <is>
          <t>TrEMBL</t>
        </is>
      </c>
      <c r="J409" t="inlineStr">
        <is>
          <t>LOC121394295</t>
        </is>
      </c>
      <c r="K409" t="inlineStr">
        <is>
          <t>A0A8J1KX52_XENLA</t>
        </is>
      </c>
      <c r="L409" t="inlineStr">
        <is>
          <t>tr|A0A8J1KX52|A0A8J1KX52_XENLA uncharacterized protein LOC121394295 OS=Xenopus laevis OX=8355 GN=LOC121394295 PE=4 SV=1</t>
        </is>
      </c>
      <c r="M409" t="n">
        <v>353</v>
      </c>
      <c r="N409" t="inlineStr">
        <is>
          <t>Xenopus laevis</t>
        </is>
      </c>
      <c r="O409" t="inlineStr">
        <is>
          <t>uncharacterized protein LOC121394295</t>
        </is>
      </c>
    </row>
    <row r="410">
      <c r="A410" t="inlineStr"/>
      <c r="B410" t="inlineStr"/>
      <c r="C410" t="inlineStr"/>
      <c r="D410" t="inlineStr"/>
      <c r="E410">
        <f>HYPERLINK("https://www.uniprot.org/uniprotkb/A0A8C5MXD3/entry", "A0A8C5MXD3")</f>
        <v/>
      </c>
      <c r="F410" t="n">
        <v>28.4</v>
      </c>
      <c r="G410" t="n">
        <v>331</v>
      </c>
      <c r="H410" t="n">
        <v>1.3e-05</v>
      </c>
      <c r="I410" t="inlineStr">
        <is>
          <t>TrEMBL</t>
        </is>
      </c>
      <c r="J410" t="inlineStr"/>
      <c r="K410" t="inlineStr">
        <is>
          <t>A0A8C5MXD3_9ANUR</t>
        </is>
      </c>
      <c r="L410" t="inlineStr">
        <is>
          <t>tr|A0A8C5MXD3|A0A8C5MXD3_9ANUR Reverse transcriptase domain-containing protein OS=Leptobrachium leishanense OX=445787 PE=4 SV=1</t>
        </is>
      </c>
      <c r="M410" t="n">
        <v>644</v>
      </c>
      <c r="N410" t="inlineStr">
        <is>
          <t>Leptobrachium leishanense</t>
        </is>
      </c>
      <c r="O410" t="inlineStr">
        <is>
          <t>Reverse transcriptase domain-containing protein</t>
        </is>
      </c>
    </row>
    <row r="411">
      <c r="A411" t="inlineStr"/>
      <c r="B411" t="inlineStr"/>
      <c r="C411" t="inlineStr"/>
      <c r="D411" t="inlineStr"/>
      <c r="E411">
        <f>HYPERLINK("https://www.uniprot.org/uniprotkb/A0A8J1L3P5/entry", "A0A8J1L3P5")</f>
        <v/>
      </c>
      <c r="F411" t="n">
        <v>27.6</v>
      </c>
      <c r="G411" t="n">
        <v>326</v>
      </c>
      <c r="H411" t="n">
        <v>1.64e-05</v>
      </c>
      <c r="I411" t="inlineStr">
        <is>
          <t>TrEMBL</t>
        </is>
      </c>
      <c r="J411" t="inlineStr">
        <is>
          <t>LOC121395092</t>
        </is>
      </c>
      <c r="K411" t="inlineStr">
        <is>
          <t>A0A8J1L3P5_XENLA</t>
        </is>
      </c>
      <c r="L411" t="inlineStr">
        <is>
          <t>tr|A0A8J1L3P5|A0A8J1L3P5_XENLA uncharacterized protein LOC121395092 OS=Xenopus laevis OX=8355 GN=LOC121395092 PE=4 SV=1</t>
        </is>
      </c>
      <c r="M411" t="n">
        <v>408</v>
      </c>
      <c r="N411" t="inlineStr">
        <is>
          <t>Xenopus laevis</t>
        </is>
      </c>
      <c r="O411" t="inlineStr">
        <is>
          <t>uncharacterized protein LOC121395092</t>
        </is>
      </c>
    </row>
    <row r="412">
      <c r="A412" t="inlineStr"/>
      <c r="B412" t="inlineStr"/>
      <c r="C412" t="inlineStr"/>
      <c r="D412" t="inlineStr"/>
      <c r="E412">
        <f>HYPERLINK("https://www.uniprot.org/uniprotkb/A0A8J1MRK2/entry", "A0A8J1MRK2")</f>
        <v/>
      </c>
      <c r="F412" t="n">
        <v>27.6</v>
      </c>
      <c r="G412" t="n">
        <v>326</v>
      </c>
      <c r="H412" t="n">
        <v>2.18e-05</v>
      </c>
      <c r="I412" t="inlineStr">
        <is>
          <t>TrEMBL</t>
        </is>
      </c>
      <c r="J412" t="inlineStr">
        <is>
          <t>LOC121402136</t>
        </is>
      </c>
      <c r="K412" t="inlineStr">
        <is>
          <t>A0A8J1MRK2_XENLA</t>
        </is>
      </c>
      <c r="L412" t="inlineStr">
        <is>
          <t>tr|A0A8J1MRK2|A0A8J1MRK2_XENLA uncharacterized protein LOC121402136 OS=Xenopus laevis OX=8355 GN=LOC121402136 PE=4 SV=1</t>
        </is>
      </c>
      <c r="M412" t="n">
        <v>408</v>
      </c>
      <c r="N412" t="inlineStr">
        <is>
          <t>Xenopus laevis</t>
        </is>
      </c>
      <c r="O412" t="inlineStr">
        <is>
          <t>uncharacterized protein LOC121402136</t>
        </is>
      </c>
    </row>
    <row r="413">
      <c r="A413" t="inlineStr"/>
      <c r="B413" t="inlineStr"/>
      <c r="C413" t="inlineStr"/>
      <c r="D413" t="inlineStr"/>
      <c r="E413">
        <f>HYPERLINK("https://www.uniprot.org/uniprotkb/A0A8J1M119/entry", "A0A8J1M119")</f>
        <v/>
      </c>
      <c r="F413" t="n">
        <v>27.6</v>
      </c>
      <c r="G413" t="n">
        <v>326</v>
      </c>
      <c r="H413" t="n">
        <v>2.9e-05</v>
      </c>
      <c r="I413" t="inlineStr">
        <is>
          <t>TrEMBL</t>
        </is>
      </c>
      <c r="J413" t="inlineStr">
        <is>
          <t>LOC121399280</t>
        </is>
      </c>
      <c r="K413" t="inlineStr">
        <is>
          <t>A0A8J1M119_XENLA</t>
        </is>
      </c>
      <c r="L413" t="inlineStr">
        <is>
          <t>tr|A0A8J1M119|A0A8J1M119_XENLA uncharacterized protein LOC121399280 OS=Xenopus laevis OX=8355 GN=LOC121399280 PE=4 SV=1</t>
        </is>
      </c>
      <c r="M413" t="n">
        <v>408</v>
      </c>
      <c r="N413" t="inlineStr">
        <is>
          <t>Xenopus laevis</t>
        </is>
      </c>
      <c r="O413" t="inlineStr">
        <is>
          <t>uncharacterized protein LOC121399280</t>
        </is>
      </c>
    </row>
    <row r="414">
      <c r="A414" t="inlineStr"/>
      <c r="B414" t="inlineStr"/>
      <c r="C414" t="inlineStr"/>
      <c r="D414" t="inlineStr"/>
      <c r="E414">
        <f>HYPERLINK("https://www.uniprot.org/uniprotkb/A0A803J2S1/entry", "A0A803J2S1")</f>
        <v/>
      </c>
      <c r="F414" t="n">
        <v>26.8</v>
      </c>
      <c r="G414" t="n">
        <v>328</v>
      </c>
      <c r="H414" t="n">
        <v>3.19e-05</v>
      </c>
      <c r="I414" t="inlineStr">
        <is>
          <t>TrEMBL</t>
        </is>
      </c>
      <c r="J414" t="inlineStr"/>
      <c r="K414" t="inlineStr">
        <is>
          <t>A0A803J2S1_XENTR</t>
        </is>
      </c>
      <c r="L414" t="inlineStr">
        <is>
          <t>tr|A0A803J2S1|A0A803J2S1_XENTR Reverse transcriptase domain-containing protein OS=Xenopus tropicalis OX=8364 PE=4 SV=1</t>
        </is>
      </c>
      <c r="M414" t="n">
        <v>734</v>
      </c>
      <c r="N414" t="inlineStr">
        <is>
          <t>Xenopus tropicalis</t>
        </is>
      </c>
      <c r="O414" t="inlineStr">
        <is>
          <t>Reverse transcriptase domain-containing protein</t>
        </is>
      </c>
    </row>
    <row r="415">
      <c r="A415" t="inlineStr"/>
      <c r="B415" t="inlineStr"/>
      <c r="C415" t="inlineStr"/>
      <c r="D415" t="inlineStr"/>
      <c r="E415">
        <f>HYPERLINK("https://www.uniprot.org/uniprotkb/A0A8J1MJP0/entry", "A0A8J1MJP0")</f>
        <v/>
      </c>
      <c r="F415" t="n">
        <v>27.6</v>
      </c>
      <c r="G415" t="n">
        <v>326</v>
      </c>
      <c r="H415" t="n">
        <v>3.88e-05</v>
      </c>
      <c r="I415" t="inlineStr">
        <is>
          <t>TrEMBL</t>
        </is>
      </c>
      <c r="J415" t="inlineStr">
        <is>
          <t>LOC121401420</t>
        </is>
      </c>
      <c r="K415" t="inlineStr">
        <is>
          <t>A0A8J1MJP0_XENLA</t>
        </is>
      </c>
      <c r="L415" t="inlineStr">
        <is>
          <t>tr|A0A8J1MJP0|A0A8J1MJP0_XENLA uncharacterized protein LOC121401420 OS=Xenopus laevis OX=8355 GN=LOC121401420 PE=4 SV=1</t>
        </is>
      </c>
      <c r="M415" t="n">
        <v>609</v>
      </c>
      <c r="N415" t="inlineStr">
        <is>
          <t>Xenopus laevis</t>
        </is>
      </c>
      <c r="O415" t="inlineStr">
        <is>
          <t>uncharacterized protein LOC121401420</t>
        </is>
      </c>
    </row>
    <row r="416">
      <c r="A416" t="inlineStr"/>
      <c r="B416" t="inlineStr"/>
      <c r="C416" t="inlineStr"/>
      <c r="D416" t="inlineStr"/>
      <c r="E416">
        <f>HYPERLINK("https://www.uniprot.org/uniprotkb/A0A8J1M256/entry", "A0A8J1M256")</f>
        <v/>
      </c>
      <c r="F416" t="n">
        <v>27.6</v>
      </c>
      <c r="G416" t="n">
        <v>326</v>
      </c>
      <c r="H416" t="n">
        <v>4.05e-05</v>
      </c>
      <c r="I416" t="inlineStr">
        <is>
          <t>TrEMBL</t>
        </is>
      </c>
      <c r="J416" t="inlineStr">
        <is>
          <t>LOC121399279</t>
        </is>
      </c>
      <c r="K416" t="inlineStr">
        <is>
          <t>A0A8J1M256_XENLA</t>
        </is>
      </c>
      <c r="L416" t="inlineStr">
        <is>
          <t>tr|A0A8J1M256|A0A8J1M256_XENLA uncharacterized protein LOC121399279 OS=Xenopus laevis OX=8355 GN=LOC121399279 PE=4 SV=1</t>
        </is>
      </c>
      <c r="M416" t="n">
        <v>663</v>
      </c>
      <c r="N416" t="inlineStr">
        <is>
          <t>Xenopus laevis</t>
        </is>
      </c>
      <c r="O416" t="inlineStr">
        <is>
          <t>uncharacterized protein LOC121399279</t>
        </is>
      </c>
    </row>
    <row r="417">
      <c r="A417" t="inlineStr"/>
      <c r="B417" t="inlineStr"/>
      <c r="C417" t="inlineStr"/>
      <c r="D417" t="inlineStr"/>
      <c r="E417">
        <f>HYPERLINK("https://www.uniprot.org/uniprotkb/A0A8J1MKG7/entry", "A0A8J1MKG7")</f>
        <v/>
      </c>
      <c r="F417" t="n">
        <v>27.6</v>
      </c>
      <c r="G417" t="n">
        <v>326</v>
      </c>
      <c r="H417" t="n">
        <v>4.11e-05</v>
      </c>
      <c r="I417" t="inlineStr">
        <is>
          <t>TrEMBL</t>
        </is>
      </c>
      <c r="J417" t="inlineStr">
        <is>
          <t>LOC121401419</t>
        </is>
      </c>
      <c r="K417" t="inlineStr">
        <is>
          <t>A0A8J1MKG7_XENLA</t>
        </is>
      </c>
      <c r="L417" t="inlineStr">
        <is>
          <t>tr|A0A8J1MKG7|A0A8J1MKG7_XENLA uncharacterized protein LOC121401419 OS=Xenopus laevis OX=8355 GN=LOC121401419 PE=4 SV=1</t>
        </is>
      </c>
      <c r="M417" t="n">
        <v>688</v>
      </c>
      <c r="N417" t="inlineStr">
        <is>
          <t>Xenopus laevis</t>
        </is>
      </c>
      <c r="O417" t="inlineStr">
        <is>
          <t>uncharacterized protein LOC121401419</t>
        </is>
      </c>
    </row>
    <row r="418">
      <c r="A418" t="inlineStr"/>
      <c r="B418" t="inlineStr"/>
      <c r="C418" t="inlineStr"/>
      <c r="D418" t="inlineStr"/>
      <c r="E418">
        <f>HYPERLINK("https://www.uniprot.org/uniprotkb/A0A8J1KSI6/entry", "A0A8J1KSI6")</f>
        <v/>
      </c>
      <c r="F418" t="n">
        <v>27.6</v>
      </c>
      <c r="G418" t="n">
        <v>326</v>
      </c>
      <c r="H418" t="n">
        <v>4.14e-05</v>
      </c>
      <c r="I418" t="inlineStr">
        <is>
          <t>TrEMBL</t>
        </is>
      </c>
      <c r="J418" t="inlineStr">
        <is>
          <t>LOC121394168</t>
        </is>
      </c>
      <c r="K418" t="inlineStr">
        <is>
          <t>A0A8J1KSI6_XENLA</t>
        </is>
      </c>
      <c r="L418" t="inlineStr">
        <is>
          <t>tr|A0A8J1KSI6|A0A8J1KSI6_XENLA uncharacterized protein LOC121394168 OS=Xenopus laevis OX=8355 GN=LOC121394168 PE=4 SV=1</t>
        </is>
      </c>
      <c r="M418" t="n">
        <v>699</v>
      </c>
      <c r="N418" t="inlineStr">
        <is>
          <t>Xenopus laevis</t>
        </is>
      </c>
      <c r="O418" t="inlineStr">
        <is>
          <t>uncharacterized protein LOC121394168</t>
        </is>
      </c>
    </row>
    <row r="419">
      <c r="A419" t="inlineStr"/>
      <c r="B419" t="inlineStr"/>
      <c r="C419" t="inlineStr"/>
      <c r="D419" t="inlineStr"/>
      <c r="E419">
        <f>HYPERLINK("https://www.uniprot.org/uniprotkb/A0A1B8XYI2/entry", "A0A1B8XYI2")</f>
        <v/>
      </c>
      <c r="F419" t="n">
        <v>29.3</v>
      </c>
      <c r="G419" t="n">
        <v>335</v>
      </c>
      <c r="H419" t="n">
        <v>4.52e-05</v>
      </c>
      <c r="I419" t="inlineStr">
        <is>
          <t>TrEMBL</t>
        </is>
      </c>
      <c r="J419" t="inlineStr">
        <is>
          <t>XENTR_v90029287mg</t>
        </is>
      </c>
      <c r="K419" t="inlineStr">
        <is>
          <t>A0A1B8XYI2_XENTR</t>
        </is>
      </c>
      <c r="L419" t="inlineStr">
        <is>
          <t>tr|A0A1B8XYI2|A0A1B8XYI2_XENTR GIY-YIG domain-containing protein OS=Xenopus tropicalis OX=8364 GN=XENTR_v90029287mg PE=4 SV=1</t>
        </is>
      </c>
      <c r="M419" t="n">
        <v>366</v>
      </c>
      <c r="N419" t="inlineStr">
        <is>
          <t>Xenopus tropicalis</t>
        </is>
      </c>
      <c r="O419" t="inlineStr">
        <is>
          <t>GIY-YIG domain-containing protein</t>
        </is>
      </c>
    </row>
    <row r="420">
      <c r="A420" t="inlineStr"/>
      <c r="B420" t="inlineStr"/>
      <c r="C420" t="inlineStr"/>
      <c r="D420" t="inlineStr"/>
      <c r="E420">
        <f>HYPERLINK("https://www.uniprot.org/uniprotkb/A0A803JDM3/entry", "A0A803JDM3")</f>
        <v/>
      </c>
      <c r="F420" t="n">
        <v>28.5</v>
      </c>
      <c r="G420" t="n">
        <v>393</v>
      </c>
      <c r="H420" t="n">
        <v>7.4e-05</v>
      </c>
      <c r="I420" t="inlineStr">
        <is>
          <t>TrEMBL</t>
        </is>
      </c>
      <c r="J420" t="inlineStr"/>
      <c r="K420" t="inlineStr">
        <is>
          <t>A0A803JDM3_XENTR</t>
        </is>
      </c>
      <c r="L420" t="inlineStr">
        <is>
          <t>tr|A0A803JDM3|A0A803JDM3_XENTR Reverse transcriptase domain-containing protein OS=Xenopus tropicalis OX=8364 PE=4 SV=1</t>
        </is>
      </c>
      <c r="M420" t="n">
        <v>734</v>
      </c>
      <c r="N420" t="inlineStr">
        <is>
          <t>Xenopus tropicalis</t>
        </is>
      </c>
      <c r="O420" t="inlineStr">
        <is>
          <t>Reverse transcriptase domain-containing protein</t>
        </is>
      </c>
    </row>
    <row r="421">
      <c r="A421" t="inlineStr">
        <is>
          <t>NODE_10939_length_6073_cov_11.536963_g3928_i0</t>
        </is>
      </c>
      <c r="B421" t="inlineStr">
        <is>
          <t>bombina_pachypus_blastx</t>
        </is>
      </c>
      <c r="C421" t="n">
        <v>-4.87722785113396</v>
      </c>
      <c r="D421" t="n">
        <v>8.2349061534985e-16</v>
      </c>
      <c r="E421">
        <f>HYPERLINK("https://www.uniprot.org/uniprotkb/A0A8C5MP19/entry", "A0A8C5MP19")</f>
        <v/>
      </c>
      <c r="F421" t="n">
        <v>39.3</v>
      </c>
      <c r="G421" t="n">
        <v>514</v>
      </c>
      <c r="H421" t="n">
        <v>1.61e-109</v>
      </c>
      <c r="I421" t="inlineStr">
        <is>
          <t>TrEMBL</t>
        </is>
      </c>
      <c r="J421" t="inlineStr"/>
      <c r="K421" t="inlineStr">
        <is>
          <t>A0A8C5MP19_9ANUR</t>
        </is>
      </c>
      <c r="L421" t="inlineStr">
        <is>
          <t>tr|A0A8C5MP19|A0A8C5MP19_9ANUR Reverse transcriptase domain-containing protein OS=Leptobrachium leishanense OX=445787 PE=4 SV=1</t>
        </is>
      </c>
      <c r="M421" t="n">
        <v>729</v>
      </c>
      <c r="N421" t="inlineStr">
        <is>
          <t>Leptobrachium leishanense</t>
        </is>
      </c>
      <c r="O421" t="inlineStr">
        <is>
          <t>Reverse transcriptase domain-containing protein</t>
        </is>
      </c>
    </row>
    <row r="422">
      <c r="A422" t="inlineStr"/>
      <c r="B422" t="inlineStr"/>
      <c r="C422" t="inlineStr"/>
      <c r="D422" t="inlineStr"/>
      <c r="E422">
        <f>HYPERLINK("https://www.uniprot.org/uniprotkb/A0A8C5MNI7/entry", "A0A8C5MNI7")</f>
        <v/>
      </c>
      <c r="F422" t="n">
        <v>40</v>
      </c>
      <c r="G422" t="n">
        <v>517</v>
      </c>
      <c r="H422" t="n">
        <v>6.629999999999999e-104</v>
      </c>
      <c r="I422" t="inlineStr">
        <is>
          <t>TrEMBL</t>
        </is>
      </c>
      <c r="J422" t="inlineStr"/>
      <c r="K422" t="inlineStr">
        <is>
          <t>A0A8C5MNI7_9ANUR</t>
        </is>
      </c>
      <c r="L422" t="inlineStr">
        <is>
          <t>tr|A0A8C5MNI7|A0A8C5MNI7_9ANUR Reverse transcriptase domain-containing protein OS=Leptobrachium leishanense OX=445787 PE=4 SV=1</t>
        </is>
      </c>
      <c r="M422" t="n">
        <v>728</v>
      </c>
      <c r="N422" t="inlineStr">
        <is>
          <t>Leptobrachium leishanense</t>
        </is>
      </c>
      <c r="O422" t="inlineStr">
        <is>
          <t>Reverse transcriptase domain-containing protein</t>
        </is>
      </c>
    </row>
    <row r="423">
      <c r="A423" t="inlineStr"/>
      <c r="B423" t="inlineStr"/>
      <c r="C423" t="inlineStr"/>
      <c r="D423" t="inlineStr"/>
      <c r="E423">
        <f>HYPERLINK("https://www.uniprot.org/uniprotkb/A0A8C5LIJ5/entry", "A0A8C5LIJ5")</f>
        <v/>
      </c>
      <c r="F423" t="n">
        <v>38.8</v>
      </c>
      <c r="G423" t="n">
        <v>521</v>
      </c>
      <c r="H423" t="n">
        <v>1.1e-103</v>
      </c>
      <c r="I423" t="inlineStr">
        <is>
          <t>TrEMBL</t>
        </is>
      </c>
      <c r="J423" t="inlineStr"/>
      <c r="K423" t="inlineStr">
        <is>
          <t>A0A8C5LIJ5_9ANUR</t>
        </is>
      </c>
      <c r="L423" t="inlineStr">
        <is>
          <t>tr|A0A8C5LIJ5|A0A8C5LIJ5_9ANUR GIY-YIG domain-containing protein OS=Leptobrachium leishanense OX=445787 PE=4 SV=1</t>
        </is>
      </c>
      <c r="M423" t="n">
        <v>721</v>
      </c>
      <c r="N423" t="inlineStr">
        <is>
          <t>Leptobrachium leishanense</t>
        </is>
      </c>
      <c r="O423" t="inlineStr">
        <is>
          <t>GIY-YIG domain-containing protein</t>
        </is>
      </c>
    </row>
    <row r="424">
      <c r="A424" t="inlineStr"/>
      <c r="B424" t="inlineStr"/>
      <c r="C424" t="inlineStr"/>
      <c r="D424" t="inlineStr"/>
      <c r="E424">
        <f>HYPERLINK("https://www.uniprot.org/uniprotkb/A0A8C5R7W1/entry", "A0A8C5R7W1")</f>
        <v/>
      </c>
      <c r="F424" t="n">
        <v>39.4</v>
      </c>
      <c r="G424" t="n">
        <v>515</v>
      </c>
      <c r="H424" t="n">
        <v>2.45e-102</v>
      </c>
      <c r="I424" t="inlineStr">
        <is>
          <t>TrEMBL</t>
        </is>
      </c>
      <c r="J424" t="inlineStr"/>
      <c r="K424" t="inlineStr">
        <is>
          <t>A0A8C5R7W1_9ANUR</t>
        </is>
      </c>
      <c r="L424" t="inlineStr">
        <is>
          <t>tr|A0A8C5R7W1|A0A8C5R7W1_9ANUR Reverse transcriptase domain-containing protein OS=Leptobrachium leishanense OX=445787 PE=4 SV=1</t>
        </is>
      </c>
      <c r="M424" t="n">
        <v>780</v>
      </c>
      <c r="N424" t="inlineStr">
        <is>
          <t>Leptobrachium leishanense</t>
        </is>
      </c>
      <c r="O424" t="inlineStr">
        <is>
          <t>Reverse transcriptase domain-containing protein</t>
        </is>
      </c>
    </row>
    <row r="425">
      <c r="A425" t="inlineStr"/>
      <c r="B425" t="inlineStr"/>
      <c r="C425" t="inlineStr"/>
      <c r="D425" t="inlineStr"/>
      <c r="E425">
        <f>HYPERLINK("https://www.uniprot.org/uniprotkb/A0A8C5PV95/entry", "A0A8C5PV95")</f>
        <v/>
      </c>
      <c r="F425" t="n">
        <v>38.5</v>
      </c>
      <c r="G425" t="n">
        <v>480</v>
      </c>
      <c r="H425" t="n">
        <v>1.44e-99</v>
      </c>
      <c r="I425" t="inlineStr">
        <is>
          <t>TrEMBL</t>
        </is>
      </c>
      <c r="J425" t="inlineStr"/>
      <c r="K425" t="inlineStr">
        <is>
          <t>A0A8C5PV95_9ANUR</t>
        </is>
      </c>
      <c r="L425" t="inlineStr">
        <is>
          <t>tr|A0A8C5PV95|A0A8C5PV95_9ANUR Reverse transcriptase domain-containing protein OS=Leptobrachium leishanense OX=445787 PE=4 SV=1</t>
        </is>
      </c>
      <c r="M425" t="n">
        <v>637</v>
      </c>
      <c r="N425" t="inlineStr">
        <is>
          <t>Leptobrachium leishanense</t>
        </is>
      </c>
      <c r="O425" t="inlineStr">
        <is>
          <t>Reverse transcriptase domain-containing protein</t>
        </is>
      </c>
    </row>
    <row r="426">
      <c r="A426" t="inlineStr"/>
      <c r="B426" t="inlineStr"/>
      <c r="C426" t="inlineStr"/>
      <c r="D426" t="inlineStr"/>
      <c r="E426">
        <f>HYPERLINK("https://www.uniprot.org/uniprotkb/A0A8C5PUJ4/entry", "A0A8C5PUJ4")</f>
        <v/>
      </c>
      <c r="F426" t="n">
        <v>39.3</v>
      </c>
      <c r="G426" t="n">
        <v>517</v>
      </c>
      <c r="H426" t="n">
        <v>1.78e-99</v>
      </c>
      <c r="I426" t="inlineStr">
        <is>
          <t>TrEMBL</t>
        </is>
      </c>
      <c r="J426" t="inlineStr"/>
      <c r="K426" t="inlineStr">
        <is>
          <t>A0A8C5PUJ4_9ANUR</t>
        </is>
      </c>
      <c r="L426" t="inlineStr">
        <is>
          <t>tr|A0A8C5PUJ4|A0A8C5PUJ4_9ANUR Reverse transcriptase domain-containing protein OS=Leptobrachium leishanense OX=445787 PE=4 SV=1</t>
        </is>
      </c>
      <c r="M426" t="n">
        <v>728</v>
      </c>
      <c r="N426" t="inlineStr">
        <is>
          <t>Leptobrachium leishanense</t>
        </is>
      </c>
      <c r="O426" t="inlineStr">
        <is>
          <t>Reverse transcriptase domain-containing protein</t>
        </is>
      </c>
    </row>
    <row r="427">
      <c r="A427" t="inlineStr"/>
      <c r="B427" t="inlineStr"/>
      <c r="C427" t="inlineStr"/>
      <c r="D427" t="inlineStr"/>
      <c r="E427">
        <f>HYPERLINK("https://www.ncbi.nlm.nih.gov/gene/?term=CAH2329928.1", "CAH2329928.1")</f>
        <v/>
      </c>
      <c r="F427" t="n">
        <v>39.1</v>
      </c>
      <c r="G427" t="n">
        <v>483</v>
      </c>
      <c r="H427" t="n">
        <v>1.1e-97</v>
      </c>
      <c r="I427" t="inlineStr">
        <is>
          <t>Nr</t>
        </is>
      </c>
      <c r="J427" t="inlineStr"/>
      <c r="K427" t="inlineStr"/>
      <c r="L427" t="inlineStr">
        <is>
          <t>CAH2329928.1 Hypothetical predicted protein, partial [Pelobates cultripes]</t>
        </is>
      </c>
      <c r="M427" t="n">
        <v>535</v>
      </c>
      <c r="N427" t="inlineStr">
        <is>
          <t>Pelobates cultripes</t>
        </is>
      </c>
      <c r="O427" t="inlineStr">
        <is>
          <t>Hypothetical predicted protein, partial</t>
        </is>
      </c>
    </row>
    <row r="428">
      <c r="A428" t="inlineStr"/>
      <c r="B428" t="inlineStr"/>
      <c r="C428" t="inlineStr"/>
      <c r="D428" t="inlineStr"/>
      <c r="E428">
        <f>HYPERLINK("https://www.uniprot.org/uniprotkb/A0A8C5WDY6/entry", "A0A8C5WDY6")</f>
        <v/>
      </c>
      <c r="F428" t="n">
        <v>36.9</v>
      </c>
      <c r="G428" t="n">
        <v>526</v>
      </c>
      <c r="H428" t="n">
        <v>2.05e-96</v>
      </c>
      <c r="I428" t="inlineStr">
        <is>
          <t>TrEMBL</t>
        </is>
      </c>
      <c r="J428" t="inlineStr"/>
      <c r="K428" t="inlineStr">
        <is>
          <t>A0A8C5WDY6_9ANUR</t>
        </is>
      </c>
      <c r="L428" t="inlineStr">
        <is>
          <t>tr|A0A8C5WDY6|A0A8C5WDY6_9ANUR Reverse transcriptase domain-containing protein OS=Leptobrachium leishanense OX=445787 PE=4 SV=1</t>
        </is>
      </c>
      <c r="M428" t="n">
        <v>668</v>
      </c>
      <c r="N428" t="inlineStr">
        <is>
          <t>Leptobrachium leishanense</t>
        </is>
      </c>
      <c r="O428" t="inlineStr">
        <is>
          <t>Reverse transcriptase domain-containing protein</t>
        </is>
      </c>
    </row>
    <row r="429">
      <c r="A429" t="inlineStr"/>
      <c r="B429" t="inlineStr"/>
      <c r="C429" t="inlineStr"/>
      <c r="D429" t="inlineStr"/>
      <c r="E429">
        <f>HYPERLINK("https://www.uniprot.org/uniprotkb/A0A8C5QN04/entry", "A0A8C5QN04")</f>
        <v/>
      </c>
      <c r="F429" t="n">
        <v>35.9</v>
      </c>
      <c r="G429" t="n">
        <v>527</v>
      </c>
      <c r="H429" t="n">
        <v>1.52e-95</v>
      </c>
      <c r="I429" t="inlineStr">
        <is>
          <t>TrEMBL</t>
        </is>
      </c>
      <c r="J429" t="inlineStr"/>
      <c r="K429" t="inlineStr">
        <is>
          <t>A0A8C5QN04_9ANUR</t>
        </is>
      </c>
      <c r="L429" t="inlineStr">
        <is>
          <t>tr|A0A8C5QN04|A0A8C5QN04_9ANUR GIY-YIG domain-containing protein OS=Leptobrachium leishanense OX=445787 PE=4 SV=1</t>
        </is>
      </c>
      <c r="M429" t="n">
        <v>815</v>
      </c>
      <c r="N429" t="inlineStr">
        <is>
          <t>Leptobrachium leishanense</t>
        </is>
      </c>
      <c r="O429" t="inlineStr">
        <is>
          <t>GIY-YIG domain-containing protein</t>
        </is>
      </c>
    </row>
    <row r="430">
      <c r="A430" t="inlineStr"/>
      <c r="B430" t="inlineStr"/>
      <c r="C430" t="inlineStr"/>
      <c r="D430" t="inlineStr"/>
      <c r="E430">
        <f>HYPERLINK("https://www.uniprot.org/uniprotkb/A0A8C5W849/entry", "A0A8C5W849")</f>
        <v/>
      </c>
      <c r="F430" t="n">
        <v>36.7</v>
      </c>
      <c r="G430" t="n">
        <v>518</v>
      </c>
      <c r="H430" t="n">
        <v>2.15e-94</v>
      </c>
      <c r="I430" t="inlineStr">
        <is>
          <t>TrEMBL</t>
        </is>
      </c>
      <c r="J430" t="inlineStr"/>
      <c r="K430" t="inlineStr">
        <is>
          <t>A0A8C5W849_9ANUR</t>
        </is>
      </c>
      <c r="L430" t="inlineStr">
        <is>
          <t>tr|A0A8C5W849|A0A8C5W849_9ANUR Reverse transcriptase domain-containing protein OS=Leptobrachium leishanense OX=445787 PE=4 SV=1</t>
        </is>
      </c>
      <c r="M430" t="n">
        <v>797</v>
      </c>
      <c r="N430" t="inlineStr">
        <is>
          <t>Leptobrachium leishanense</t>
        </is>
      </c>
      <c r="O430" t="inlineStr">
        <is>
          <t>Reverse transcriptase domain-containing protein</t>
        </is>
      </c>
    </row>
    <row r="431">
      <c r="A431" t="inlineStr"/>
      <c r="B431" t="inlineStr"/>
      <c r="C431" t="inlineStr"/>
      <c r="D431" t="inlineStr"/>
      <c r="E431">
        <f>HYPERLINK("https://www.ncbi.nlm.nih.gov/gene/?term=OCT89306.1", "OCT89306.1")</f>
        <v/>
      </c>
      <c r="F431" t="n">
        <v>37.4</v>
      </c>
      <c r="G431" t="n">
        <v>529</v>
      </c>
      <c r="H431" t="n">
        <v>5.83e-94</v>
      </c>
      <c r="I431" t="inlineStr">
        <is>
          <t>Nr</t>
        </is>
      </c>
      <c r="J431" t="inlineStr"/>
      <c r="K431" t="inlineStr"/>
      <c r="L431" t="inlineStr">
        <is>
          <t>OCT89306.1 hypothetical protein XELAEV_18017926mg [Xenopus laevis]</t>
        </is>
      </c>
      <c r="M431" t="n">
        <v>723</v>
      </c>
      <c r="N431" t="inlineStr">
        <is>
          <t>Xenopus laevis</t>
        </is>
      </c>
      <c r="O431" t="inlineStr">
        <is>
          <t>hypothetical protein XELAEV_18017926mg</t>
        </is>
      </c>
    </row>
    <row r="432">
      <c r="A432" t="inlineStr"/>
      <c r="B432" t="inlineStr"/>
      <c r="C432" t="inlineStr"/>
      <c r="D432" t="inlineStr"/>
      <c r="E432">
        <f>HYPERLINK("https://www.uniprot.org/uniprotkb/A0A8C5MP74/entry", "A0A8C5MP74")</f>
        <v/>
      </c>
      <c r="F432" t="n">
        <v>36.4</v>
      </c>
      <c r="G432" t="n">
        <v>516</v>
      </c>
      <c r="H432" t="n">
        <v>6.97e-93</v>
      </c>
      <c r="I432" t="inlineStr">
        <is>
          <t>TrEMBL</t>
        </is>
      </c>
      <c r="J432" t="inlineStr"/>
      <c r="K432" t="inlineStr">
        <is>
          <t>A0A8C5MP74_9ANUR</t>
        </is>
      </c>
      <c r="L432" t="inlineStr">
        <is>
          <t>tr|A0A8C5MP74|A0A8C5MP74_9ANUR Reverse transcriptase domain-containing protein OS=Leptobrachium leishanense OX=445787 PE=4 SV=1</t>
        </is>
      </c>
      <c r="M432" t="n">
        <v>667</v>
      </c>
      <c r="N432" t="inlineStr">
        <is>
          <t>Leptobrachium leishanense</t>
        </is>
      </c>
      <c r="O432" t="inlineStr">
        <is>
          <t>Reverse transcriptase domain-containing protein</t>
        </is>
      </c>
    </row>
    <row r="433">
      <c r="A433" t="inlineStr"/>
      <c r="B433" t="inlineStr"/>
      <c r="C433" t="inlineStr"/>
      <c r="D433" t="inlineStr"/>
      <c r="E433">
        <f>HYPERLINK("https://www.uniprot.org/uniprotkb/A0A8C5WHQ7/entry", "A0A8C5WHQ7")</f>
        <v/>
      </c>
      <c r="F433" t="n">
        <v>37.3</v>
      </c>
      <c r="G433" t="n">
        <v>504</v>
      </c>
      <c r="H433" t="n">
        <v>5.31e-92</v>
      </c>
      <c r="I433" t="inlineStr">
        <is>
          <t>TrEMBL</t>
        </is>
      </c>
      <c r="J433" t="inlineStr"/>
      <c r="K433" t="inlineStr">
        <is>
          <t>A0A8C5WHQ7_9ANUR</t>
        </is>
      </c>
      <c r="L433" t="inlineStr">
        <is>
          <t>tr|A0A8C5WHQ7|A0A8C5WHQ7_9ANUR Reverse transcriptase domain-containing protein OS=Leptobrachium leishanense OX=445787 PE=4 SV=1</t>
        </is>
      </c>
      <c r="M433" t="n">
        <v>710</v>
      </c>
      <c r="N433" t="inlineStr">
        <is>
          <t>Leptobrachium leishanense</t>
        </is>
      </c>
      <c r="O433" t="inlineStr">
        <is>
          <t>Reverse transcriptase domain-containing protein</t>
        </is>
      </c>
    </row>
    <row r="434">
      <c r="A434" t="inlineStr"/>
      <c r="B434" t="inlineStr"/>
      <c r="C434" t="inlineStr"/>
      <c r="D434" t="inlineStr"/>
      <c r="E434">
        <f>HYPERLINK("https://www.ncbi.nlm.nih.gov/gene/?term=XP_040204899.1", "XP_040204899.1")</f>
        <v/>
      </c>
      <c r="F434" t="n">
        <v>35.9</v>
      </c>
      <c r="G434" t="n">
        <v>523</v>
      </c>
      <c r="H434" t="n">
        <v>1.24e-91</v>
      </c>
      <c r="I434" t="inlineStr">
        <is>
          <t>Nr</t>
        </is>
      </c>
      <c r="J434" t="inlineStr"/>
      <c r="K434" t="inlineStr"/>
      <c r="L434" t="inlineStr">
        <is>
          <t>XP_040204899.1 uncharacterized protein LOC120936529 [Rana temporaria]</t>
        </is>
      </c>
      <c r="M434" t="n">
        <v>608</v>
      </c>
      <c r="N434" t="inlineStr">
        <is>
          <t>Rana temporaria</t>
        </is>
      </c>
      <c r="O434" t="inlineStr">
        <is>
          <t>uncharacterized protein LOC120936529</t>
        </is>
      </c>
    </row>
    <row r="435">
      <c r="A435" t="inlineStr"/>
      <c r="B435" t="inlineStr"/>
      <c r="C435" t="inlineStr"/>
      <c r="D435" t="inlineStr"/>
      <c r="E435">
        <f>HYPERLINK("https://www.uniprot.org/uniprotkb/A0A8C5QEN8/entry", "A0A8C5QEN8")</f>
        <v/>
      </c>
      <c r="F435" t="n">
        <v>35.9</v>
      </c>
      <c r="G435" t="n">
        <v>516</v>
      </c>
      <c r="H435" t="n">
        <v>4.86e-91</v>
      </c>
      <c r="I435" t="inlineStr">
        <is>
          <t>TrEMBL</t>
        </is>
      </c>
      <c r="J435" t="inlineStr"/>
      <c r="K435" t="inlineStr">
        <is>
          <t>A0A8C5QEN8_9ANUR</t>
        </is>
      </c>
      <c r="L435" t="inlineStr">
        <is>
          <t>tr|A0A8C5QEN8|A0A8C5QEN8_9ANUR Reverse transcriptase domain-containing protein OS=Leptobrachium leishanense OX=445787 PE=4 SV=1</t>
        </is>
      </c>
      <c r="M435" t="n">
        <v>780</v>
      </c>
      <c r="N435" t="inlineStr">
        <is>
          <t>Leptobrachium leishanense</t>
        </is>
      </c>
      <c r="O435" t="inlineStr">
        <is>
          <t>Reverse transcriptase domain-containing protein</t>
        </is>
      </c>
    </row>
    <row r="436">
      <c r="A436" t="inlineStr"/>
      <c r="B436" t="inlineStr"/>
      <c r="C436" t="inlineStr"/>
      <c r="D436" t="inlineStr"/>
      <c r="E436">
        <f>HYPERLINK("https://www.uniprot.org/uniprotkb/A0A8C5MIH2/entry", "A0A8C5MIH2")</f>
        <v/>
      </c>
      <c r="F436" t="n">
        <v>36.7</v>
      </c>
      <c r="G436" t="n">
        <v>526</v>
      </c>
      <c r="H436" t="n">
        <v>2.71e-90</v>
      </c>
      <c r="I436" t="inlineStr">
        <is>
          <t>TrEMBL</t>
        </is>
      </c>
      <c r="J436" t="inlineStr"/>
      <c r="K436" t="inlineStr">
        <is>
          <t>A0A8C5MIH2_9ANUR</t>
        </is>
      </c>
      <c r="L436" t="inlineStr">
        <is>
          <t>tr|A0A8C5MIH2|A0A8C5MIH2_9ANUR Reverse transcriptase domain-containing protein OS=Leptobrachium leishanense OX=445787 PE=4 SV=1</t>
        </is>
      </c>
      <c r="M436" t="n">
        <v>661</v>
      </c>
      <c r="N436" t="inlineStr">
        <is>
          <t>Leptobrachium leishanense</t>
        </is>
      </c>
      <c r="O436" t="inlineStr">
        <is>
          <t>Reverse transcriptase domain-containing protein</t>
        </is>
      </c>
    </row>
    <row r="437">
      <c r="A437" t="inlineStr"/>
      <c r="B437" t="inlineStr"/>
      <c r="C437" t="inlineStr"/>
      <c r="D437" t="inlineStr"/>
      <c r="E437">
        <f>HYPERLINK("https://www.uniprot.org/uniprotkb/A0A8J1L7P8/entry", "A0A8J1L7P8")</f>
        <v/>
      </c>
      <c r="F437" t="n">
        <v>36.9</v>
      </c>
      <c r="G437" t="n">
        <v>539</v>
      </c>
      <c r="H437" t="n">
        <v>4.44e-90</v>
      </c>
      <c r="I437" t="inlineStr">
        <is>
          <t>TrEMBL</t>
        </is>
      </c>
      <c r="J437" t="inlineStr">
        <is>
          <t>LOC121395346</t>
        </is>
      </c>
      <c r="K437" t="inlineStr">
        <is>
          <t>A0A8J1L7P8_XENLA</t>
        </is>
      </c>
      <c r="L437" t="inlineStr">
        <is>
          <t>tr|A0A8J1L7P8|A0A8J1L7P8_XENLA uncharacterized protein LOC121395346 isoform X1 OS=Xenopus laevis OX=8355 GN=LOC121395346 PE=4 SV=1</t>
        </is>
      </c>
      <c r="M437" t="n">
        <v>840</v>
      </c>
      <c r="N437" t="inlineStr">
        <is>
          <t>Xenopus laevis</t>
        </is>
      </c>
      <c r="O437" t="inlineStr">
        <is>
          <t>uncharacterized protein LOC121395346 isoform X1</t>
        </is>
      </c>
    </row>
    <row r="438">
      <c r="A438" t="inlineStr"/>
      <c r="B438" t="inlineStr"/>
      <c r="C438" t="inlineStr"/>
      <c r="D438" t="inlineStr"/>
      <c r="E438">
        <f>HYPERLINK("https://www.uniprot.org/uniprotkb/A0A8C5PKA4/entry", "A0A8C5PKA4")</f>
        <v/>
      </c>
      <c r="F438" t="n">
        <v>36.2</v>
      </c>
      <c r="G438" t="n">
        <v>519</v>
      </c>
      <c r="H438" t="n">
        <v>6.94e-90</v>
      </c>
      <c r="I438" t="inlineStr">
        <is>
          <t>TrEMBL</t>
        </is>
      </c>
      <c r="J438" t="inlineStr"/>
      <c r="K438" t="inlineStr">
        <is>
          <t>A0A8C5PKA4_9ANUR</t>
        </is>
      </c>
      <c r="L438" t="inlineStr">
        <is>
          <t>tr|A0A8C5PKA4|A0A8C5PKA4_9ANUR Reverse transcriptase domain-containing protein OS=Leptobrachium leishanense OX=445787 PE=4 SV=1</t>
        </is>
      </c>
      <c r="M438" t="n">
        <v>672</v>
      </c>
      <c r="N438" t="inlineStr">
        <is>
          <t>Leptobrachium leishanense</t>
        </is>
      </c>
      <c r="O438" t="inlineStr">
        <is>
          <t>Reverse transcriptase domain-containing protein</t>
        </is>
      </c>
    </row>
    <row r="439">
      <c r="A439" t="inlineStr"/>
      <c r="B439" t="inlineStr"/>
      <c r="C439" t="inlineStr"/>
      <c r="D439" t="inlineStr"/>
      <c r="E439">
        <f>HYPERLINK("https://www.uniprot.org/uniprotkb/A0A8C5QWJ2/entry", "A0A8C5QWJ2")</f>
        <v/>
      </c>
      <c r="F439" t="n">
        <v>36.3</v>
      </c>
      <c r="G439" t="n">
        <v>523</v>
      </c>
      <c r="H439" t="n">
        <v>1.01e-89</v>
      </c>
      <c r="I439" t="inlineStr">
        <is>
          <t>TrEMBL</t>
        </is>
      </c>
      <c r="J439" t="inlineStr"/>
      <c r="K439" t="inlineStr">
        <is>
          <t>A0A8C5QWJ2_9ANUR</t>
        </is>
      </c>
      <c r="L439" t="inlineStr">
        <is>
          <t>tr|A0A8C5QWJ2|A0A8C5QWJ2_9ANUR Reverse transcriptase domain-containing protein OS=Leptobrachium leishanense OX=445787 PE=4 SV=1</t>
        </is>
      </c>
      <c r="M439" t="n">
        <v>688</v>
      </c>
      <c r="N439" t="inlineStr">
        <is>
          <t>Leptobrachium leishanense</t>
        </is>
      </c>
      <c r="O439" t="inlineStr">
        <is>
          <t>Reverse transcriptase domain-containing protein</t>
        </is>
      </c>
    </row>
    <row r="440">
      <c r="A440" t="inlineStr"/>
      <c r="B440" t="inlineStr"/>
      <c r="C440" t="inlineStr"/>
      <c r="D440" t="inlineStr"/>
      <c r="E440">
        <f>HYPERLINK("https://www.ncbi.nlm.nih.gov/gene/?term=XP_041424610.1", "XP_041424610.1")</f>
        <v/>
      </c>
      <c r="F440" t="n">
        <v>36.9</v>
      </c>
      <c r="G440" t="n">
        <v>539</v>
      </c>
      <c r="H440" t="n">
        <v>1.14e-89</v>
      </c>
      <c r="I440" t="inlineStr">
        <is>
          <t>Nr</t>
        </is>
      </c>
      <c r="J440" t="inlineStr"/>
      <c r="K440" t="inlineStr"/>
      <c r="L440" t="inlineStr">
        <is>
          <t>XP_041424610.1 uncharacterized protein LOC121395346 isoform X1 [Xenopus laevis]</t>
        </is>
      </c>
      <c r="M440" t="n">
        <v>840</v>
      </c>
      <c r="N440" t="inlineStr">
        <is>
          <t>Xenopus laevis</t>
        </is>
      </c>
      <c r="O440" t="inlineStr">
        <is>
          <t>uncharacterized protein LOC121395346 isoform X1</t>
        </is>
      </c>
    </row>
    <row r="441">
      <c r="A441" t="inlineStr"/>
      <c r="B441" t="inlineStr"/>
      <c r="C441" t="inlineStr"/>
      <c r="D441" t="inlineStr"/>
      <c r="E441">
        <f>HYPERLINK("https://www.uniprot.org/uniprotkb/A0A2G9RVM5/entry", "A0A2G9RVM5")</f>
        <v/>
      </c>
      <c r="F441" t="n">
        <v>34.8</v>
      </c>
      <c r="G441" t="n">
        <v>520</v>
      </c>
      <c r="H441" t="n">
        <v>2.84e-87</v>
      </c>
      <c r="I441" t="inlineStr">
        <is>
          <t>TrEMBL</t>
        </is>
      </c>
      <c r="J441" t="inlineStr">
        <is>
          <t>AB205_0011770</t>
        </is>
      </c>
      <c r="K441" t="inlineStr">
        <is>
          <t>A0A2G9RVM5_LITCT</t>
        </is>
      </c>
      <c r="L441" t="inlineStr">
        <is>
          <t>tr|A0A2G9RVM5|A0A2G9RVM5_LITCT Reverse transcriptase domain-containing protein OS=Lithobates catesbeianus OX=8400 GN=AB205_0011770 PE=4 SV=1</t>
        </is>
      </c>
      <c r="M441" t="n">
        <v>612</v>
      </c>
      <c r="N441" t="inlineStr">
        <is>
          <t>Lithobates catesbeianus</t>
        </is>
      </c>
      <c r="O441" t="inlineStr">
        <is>
          <t>Reverse transcriptase domain-containing protein</t>
        </is>
      </c>
    </row>
    <row r="442">
      <c r="A442" t="inlineStr"/>
      <c r="B442" t="inlineStr"/>
      <c r="C442" t="inlineStr"/>
      <c r="D442" t="inlineStr"/>
      <c r="E442">
        <f>HYPERLINK("https://www.ncbi.nlm.nih.gov/gene/?term=PIO31912.1", "PIO31912.1")</f>
        <v/>
      </c>
      <c r="F442" t="n">
        <v>34.8</v>
      </c>
      <c r="G442" t="n">
        <v>520</v>
      </c>
      <c r="H442" t="n">
        <v>7.29e-87</v>
      </c>
      <c r="I442" t="inlineStr">
        <is>
          <t>Nr</t>
        </is>
      </c>
      <c r="J442" t="inlineStr"/>
      <c r="K442" t="inlineStr"/>
      <c r="L442" t="inlineStr">
        <is>
          <t>PIO31912.1 hypothetical protein AB205_0011770 [Lithobates catesbeianus]</t>
        </is>
      </c>
      <c r="M442" t="n">
        <v>612</v>
      </c>
      <c r="N442" t="inlineStr">
        <is>
          <t>Lithobates catesbeianus</t>
        </is>
      </c>
      <c r="O442" t="inlineStr">
        <is>
          <t>hypothetical protein AB205_0011770</t>
        </is>
      </c>
    </row>
    <row r="443">
      <c r="A443" t="inlineStr"/>
      <c r="B443" t="inlineStr"/>
      <c r="C443" t="inlineStr"/>
      <c r="D443" t="inlineStr"/>
      <c r="E443">
        <f>HYPERLINK("https://www.uniprot.org/uniprotkb/A0A8C5QJ44/entry", "A0A8C5QJ44")</f>
        <v/>
      </c>
      <c r="F443" t="n">
        <v>38.2</v>
      </c>
      <c r="G443" t="n">
        <v>455</v>
      </c>
      <c r="H443" t="n">
        <v>2.48e-86</v>
      </c>
      <c r="I443" t="inlineStr">
        <is>
          <t>TrEMBL</t>
        </is>
      </c>
      <c r="J443" t="inlineStr"/>
      <c r="K443" t="inlineStr">
        <is>
          <t>A0A8C5QJ44_9ANUR</t>
        </is>
      </c>
      <c r="L443" t="inlineStr">
        <is>
          <t>tr|A0A8C5QJ44|A0A8C5QJ44_9ANUR Reverse transcriptase domain-containing protein OS=Leptobrachium leishanense OX=445787 PE=4 SV=1</t>
        </is>
      </c>
      <c r="M443" t="n">
        <v>720</v>
      </c>
      <c r="N443" t="inlineStr">
        <is>
          <t>Leptobrachium leishanense</t>
        </is>
      </c>
      <c r="O443" t="inlineStr">
        <is>
          <t>Reverse transcriptase domain-containing protein</t>
        </is>
      </c>
    </row>
    <row r="444">
      <c r="A444" t="inlineStr"/>
      <c r="B444" t="inlineStr"/>
      <c r="C444" t="inlineStr"/>
      <c r="D444" t="inlineStr"/>
      <c r="E444">
        <f>HYPERLINK("https://www.uniprot.org/uniprotkb/A0A803K2I9/entry", "A0A803K2I9")</f>
        <v/>
      </c>
      <c r="F444" t="n">
        <v>35.6</v>
      </c>
      <c r="G444" t="n">
        <v>520</v>
      </c>
      <c r="H444" t="n">
        <v>3.78e-84</v>
      </c>
      <c r="I444" t="inlineStr">
        <is>
          <t>TrEMBL</t>
        </is>
      </c>
      <c r="J444" t="inlineStr"/>
      <c r="K444" t="inlineStr">
        <is>
          <t>A0A803K2I9_XENTR</t>
        </is>
      </c>
      <c r="L444" t="inlineStr">
        <is>
          <t>tr|A0A803K2I9|A0A803K2I9_XENTR Reverse transcriptase domain-containing protein OS=Xenopus tropicalis OX=8364 PE=4 SV=1</t>
        </is>
      </c>
      <c r="M444" t="n">
        <v>688</v>
      </c>
      <c r="N444" t="inlineStr">
        <is>
          <t>Xenopus tropicalis</t>
        </is>
      </c>
      <c r="O444" t="inlineStr">
        <is>
          <t>Reverse transcriptase domain-containing protein</t>
        </is>
      </c>
    </row>
    <row r="445">
      <c r="A445" t="inlineStr"/>
      <c r="B445" t="inlineStr"/>
      <c r="C445" t="inlineStr"/>
      <c r="D445" t="inlineStr"/>
      <c r="E445">
        <f>HYPERLINK("https://www.uniprot.org/uniprotkb/A0A803JX24/entry", "A0A803JX24")</f>
        <v/>
      </c>
      <c r="F445" t="n">
        <v>35.4</v>
      </c>
      <c r="G445" t="n">
        <v>520</v>
      </c>
      <c r="H445" t="n">
        <v>9.689999999999999e-84</v>
      </c>
      <c r="I445" t="inlineStr">
        <is>
          <t>TrEMBL</t>
        </is>
      </c>
      <c r="J445" t="inlineStr"/>
      <c r="K445" t="inlineStr">
        <is>
          <t>A0A803JX24_XENTR</t>
        </is>
      </c>
      <c r="L445" t="inlineStr">
        <is>
          <t>tr|A0A803JX24|A0A803JX24_XENTR Reverse transcriptase domain-containing protein OS=Xenopus tropicalis OX=8364 PE=4 SV=1</t>
        </is>
      </c>
      <c r="M445" t="n">
        <v>626</v>
      </c>
      <c r="N445" t="inlineStr">
        <is>
          <t>Xenopus tropicalis</t>
        </is>
      </c>
      <c r="O445" t="inlineStr">
        <is>
          <t>Reverse transcriptase domain-containing protein</t>
        </is>
      </c>
    </row>
    <row r="446">
      <c r="A446" t="inlineStr"/>
      <c r="B446" t="inlineStr"/>
      <c r="C446" t="inlineStr"/>
      <c r="D446" t="inlineStr"/>
      <c r="E446">
        <f>HYPERLINK("https://www.uniprot.org/uniprotkb/A0A803K635/entry", "A0A803K635")</f>
        <v/>
      </c>
      <c r="F446" t="n">
        <v>35.6</v>
      </c>
      <c r="G446" t="n">
        <v>520</v>
      </c>
      <c r="H446" t="n">
        <v>5.42e-83</v>
      </c>
      <c r="I446" t="inlineStr">
        <is>
          <t>TrEMBL</t>
        </is>
      </c>
      <c r="J446" t="inlineStr"/>
      <c r="K446" t="inlineStr">
        <is>
          <t>A0A803K635_XENTR</t>
        </is>
      </c>
      <c r="L446" t="inlineStr">
        <is>
          <t>tr|A0A803K635|A0A803K635_XENTR Reverse transcriptase domain-containing protein OS=Xenopus tropicalis OX=8364 PE=4 SV=1</t>
        </is>
      </c>
      <c r="M446" t="n">
        <v>734</v>
      </c>
      <c r="N446" t="inlineStr">
        <is>
          <t>Xenopus tropicalis</t>
        </is>
      </c>
      <c r="O446" t="inlineStr">
        <is>
          <t>Reverse transcriptase domain-containing protein</t>
        </is>
      </c>
    </row>
    <row r="447">
      <c r="A447" t="inlineStr"/>
      <c r="B447" t="inlineStr"/>
      <c r="C447" t="inlineStr"/>
      <c r="D447" t="inlineStr"/>
      <c r="E447">
        <f>HYPERLINK("https://www.uniprot.org/uniprotkb/A0A8J1L5X3/entry", "A0A8J1L5X3")</f>
        <v/>
      </c>
      <c r="F447" t="n">
        <v>35.6</v>
      </c>
      <c r="G447" t="n">
        <v>517</v>
      </c>
      <c r="H447" t="n">
        <v>7.699999999999999e-83</v>
      </c>
      <c r="I447" t="inlineStr">
        <is>
          <t>TrEMBL</t>
        </is>
      </c>
      <c r="J447" t="inlineStr">
        <is>
          <t>LOC121395456</t>
        </is>
      </c>
      <c r="K447" t="inlineStr">
        <is>
          <t>A0A8J1L5X3_XENLA</t>
        </is>
      </c>
      <c r="L447" t="inlineStr">
        <is>
          <t>tr|A0A8J1L5X3|A0A8J1L5X3_XENLA uncharacterized protein LOC121395456 isoform X1 OS=Xenopus laevis OX=8355 GN=LOC121395456 PE=4 SV=1</t>
        </is>
      </c>
      <c r="M447" t="n">
        <v>494</v>
      </c>
      <c r="N447" t="inlineStr">
        <is>
          <t>Xenopus laevis</t>
        </is>
      </c>
      <c r="O447" t="inlineStr">
        <is>
          <t>uncharacterized protein LOC121395456 isoform X1</t>
        </is>
      </c>
    </row>
    <row r="448">
      <c r="A448" t="inlineStr"/>
      <c r="B448" t="inlineStr"/>
      <c r="C448" t="inlineStr"/>
      <c r="D448" t="inlineStr"/>
      <c r="E448">
        <f>HYPERLINK("https://www.uniprot.org/uniprotkb/A0A6P6MRC2/entry", "A0A6P6MRC2")</f>
        <v/>
      </c>
      <c r="F448" t="n">
        <v>34.5</v>
      </c>
      <c r="G448" t="n">
        <v>521</v>
      </c>
      <c r="H448" t="n">
        <v>1.35e-82</v>
      </c>
      <c r="I448" t="inlineStr">
        <is>
          <t>TrEMBL</t>
        </is>
      </c>
      <c r="J448" t="inlineStr">
        <is>
          <t>LOC113069710</t>
        </is>
      </c>
      <c r="K448" t="inlineStr">
        <is>
          <t>A0A6P6MRC2_CARAU</t>
        </is>
      </c>
      <c r="L448" t="inlineStr">
        <is>
          <t>tr|A0A6P6MRC2|A0A6P6MRC2_CARAU uncharacterized protein LOC113069710 OS=Carassius auratus OX=7957 GN=LOC113069710 PE=4 SV=1</t>
        </is>
      </c>
      <c r="M448" t="n">
        <v>581</v>
      </c>
      <c r="N448" t="inlineStr">
        <is>
          <t>Carassius auratus</t>
        </is>
      </c>
      <c r="O448" t="inlineStr">
        <is>
          <t>uncharacterized protein LOC113069710</t>
        </is>
      </c>
    </row>
    <row r="449">
      <c r="A449" t="inlineStr"/>
      <c r="B449" t="inlineStr"/>
      <c r="C449" t="inlineStr"/>
      <c r="D449" t="inlineStr"/>
      <c r="E449">
        <f>HYPERLINK("https://www.ncbi.nlm.nih.gov/gene/?term=XP_041424947.1", "XP_041424947.1")</f>
        <v/>
      </c>
      <c r="F449" t="n">
        <v>35.6</v>
      </c>
      <c r="G449" t="n">
        <v>517</v>
      </c>
      <c r="H449" t="n">
        <v>1.98e-82</v>
      </c>
      <c r="I449" t="inlineStr">
        <is>
          <t>Nr</t>
        </is>
      </c>
      <c r="J449" t="inlineStr"/>
      <c r="K449" t="inlineStr"/>
      <c r="L449" t="inlineStr">
        <is>
          <t>XP_041424947.1 uncharacterized protein LOC121395456 isoform X1 [Xenopus laevis]</t>
        </is>
      </c>
      <c r="M449" t="n">
        <v>494</v>
      </c>
      <c r="N449" t="inlineStr">
        <is>
          <t>Xenopus laevis</t>
        </is>
      </c>
      <c r="O449" t="inlineStr">
        <is>
          <t>uncharacterized protein LOC121395456 isoform X1</t>
        </is>
      </c>
    </row>
    <row r="450">
      <c r="A450" t="inlineStr"/>
      <c r="B450" t="inlineStr"/>
      <c r="C450" t="inlineStr"/>
      <c r="D450" t="inlineStr"/>
      <c r="E450">
        <f>HYPERLINK("https://www.uniprot.org/uniprotkb/A0A803KAJ0/entry", "A0A803KAJ0")</f>
        <v/>
      </c>
      <c r="F450" t="n">
        <v>35.8</v>
      </c>
      <c r="G450" t="n">
        <v>522</v>
      </c>
      <c r="H450" t="n">
        <v>1.99e-82</v>
      </c>
      <c r="I450" t="inlineStr">
        <is>
          <t>TrEMBL</t>
        </is>
      </c>
      <c r="J450" t="inlineStr"/>
      <c r="K450" t="inlineStr">
        <is>
          <t>A0A803KAJ0_XENTR</t>
        </is>
      </c>
      <c r="L450" t="inlineStr">
        <is>
          <t>tr|A0A803KAJ0|A0A803KAJ0_XENTR Reverse transcriptase domain-containing protein OS=Xenopus tropicalis OX=8364 PE=4 SV=1</t>
        </is>
      </c>
      <c r="M450" t="n">
        <v>856</v>
      </c>
      <c r="N450" t="inlineStr">
        <is>
          <t>Xenopus tropicalis</t>
        </is>
      </c>
      <c r="O450" t="inlineStr">
        <is>
          <t>Reverse transcriptase domain-containing protein</t>
        </is>
      </c>
    </row>
    <row r="451">
      <c r="A451" t="inlineStr"/>
      <c r="B451" t="inlineStr"/>
      <c r="C451" t="inlineStr"/>
      <c r="D451" t="inlineStr"/>
      <c r="E451">
        <f>HYPERLINK("https://www.ncbi.nlm.nih.gov/gene/?term=XP_026098621.1", "XP_026098621.1")</f>
        <v/>
      </c>
      <c r="F451" t="n">
        <v>34.5</v>
      </c>
      <c r="G451" t="n">
        <v>521</v>
      </c>
      <c r="H451" t="n">
        <v>3.47e-82</v>
      </c>
      <c r="I451" t="inlineStr">
        <is>
          <t>Nr</t>
        </is>
      </c>
      <c r="J451" t="inlineStr"/>
      <c r="K451" t="inlineStr"/>
      <c r="L451" t="inlineStr">
        <is>
          <t>XP_026098621.1 uncharacterized protein LOC113069710 [Carassius auratus]</t>
        </is>
      </c>
      <c r="M451" t="n">
        <v>581</v>
      </c>
      <c r="N451" t="inlineStr">
        <is>
          <t>Carassius auratus</t>
        </is>
      </c>
      <c r="O451" t="inlineStr">
        <is>
          <t>uncharacterized protein LOC113069710</t>
        </is>
      </c>
    </row>
    <row r="452">
      <c r="A452" t="inlineStr"/>
      <c r="B452" t="inlineStr"/>
      <c r="C452" t="inlineStr"/>
      <c r="D452" t="inlineStr"/>
      <c r="E452">
        <f>HYPERLINK("https://www.ncbi.nlm.nih.gov/gene/?term=XP_023143528.2", "XP_023143528.2")</f>
        <v/>
      </c>
      <c r="F452" t="n">
        <v>34.1</v>
      </c>
      <c r="G452" t="n">
        <v>522</v>
      </c>
      <c r="H452" t="n">
        <v>3.33e-81</v>
      </c>
      <c r="I452" t="inlineStr">
        <is>
          <t>Nr</t>
        </is>
      </c>
      <c r="J452" t="inlineStr"/>
      <c r="K452" t="inlineStr"/>
      <c r="L452" t="inlineStr">
        <is>
          <t>XP_023143528.2 uncharacterized protein LOC111580143 isoform X2 [Amphiprion ocellaris]</t>
        </is>
      </c>
      <c r="M452" t="n">
        <v>633</v>
      </c>
      <c r="N452" t="inlineStr">
        <is>
          <t>Amphiprion ocellaris</t>
        </is>
      </c>
      <c r="O452" t="inlineStr">
        <is>
          <t>uncharacterized protein LOC111580143 isoform X2</t>
        </is>
      </c>
    </row>
    <row r="453">
      <c r="A453" t="inlineStr"/>
      <c r="B453" t="inlineStr"/>
      <c r="C453" t="inlineStr"/>
      <c r="D453" t="inlineStr"/>
      <c r="E453">
        <f>HYPERLINK("https://www.uniprot.org/uniprotkb/A0A803J6K6/entry", "A0A803J6K6")</f>
        <v/>
      </c>
      <c r="F453" t="n">
        <v>35.6</v>
      </c>
      <c r="G453" t="n">
        <v>526</v>
      </c>
      <c r="H453" t="n">
        <v>3.92e-81</v>
      </c>
      <c r="I453" t="inlineStr">
        <is>
          <t>TrEMBL</t>
        </is>
      </c>
      <c r="J453" t="inlineStr"/>
      <c r="K453" t="inlineStr">
        <is>
          <t>A0A803J6K6_XENTR</t>
        </is>
      </c>
      <c r="L453" t="inlineStr">
        <is>
          <t>tr|A0A803J6K6|A0A803J6K6_XENTR GIY-YIG domain-containing protein OS=Xenopus tropicalis OX=8364 PE=4 SV=1</t>
        </is>
      </c>
      <c r="M453" t="n">
        <v>764</v>
      </c>
      <c r="N453" t="inlineStr">
        <is>
          <t>Xenopus tropicalis</t>
        </is>
      </c>
      <c r="O453" t="inlineStr">
        <is>
          <t>GIY-YIG domain-containing protein</t>
        </is>
      </c>
    </row>
    <row r="454">
      <c r="A454" t="inlineStr"/>
      <c r="B454" t="inlineStr"/>
      <c r="C454" t="inlineStr"/>
      <c r="D454" t="inlineStr"/>
      <c r="E454">
        <f>HYPERLINK("https://www.ncbi.nlm.nih.gov/gene/?term=XP_035796656.1", "XP_035796656.1")</f>
        <v/>
      </c>
      <c r="F454" t="n">
        <v>33.9</v>
      </c>
      <c r="G454" t="n">
        <v>522</v>
      </c>
      <c r="H454" t="n">
        <v>1.8e-80</v>
      </c>
      <c r="I454" t="inlineStr">
        <is>
          <t>Nr</t>
        </is>
      </c>
      <c r="J454" t="inlineStr"/>
      <c r="K454" t="inlineStr"/>
      <c r="L454" t="inlineStr">
        <is>
          <t>XP_035796656.1 uncharacterized protein LOC111584630 isoform X1 [Amphiprion ocellaris]</t>
        </is>
      </c>
      <c r="M454" t="n">
        <v>633</v>
      </c>
      <c r="N454" t="inlineStr">
        <is>
          <t>Amphiprion ocellaris</t>
        </is>
      </c>
      <c r="O454" t="inlineStr">
        <is>
          <t>uncharacterized protein LOC111584630 isoform X1</t>
        </is>
      </c>
    </row>
    <row r="455">
      <c r="A455" t="inlineStr"/>
      <c r="B455" t="inlineStr"/>
      <c r="C455" t="inlineStr"/>
      <c r="D455" t="inlineStr"/>
      <c r="E455">
        <f>HYPERLINK("https://www.ncbi.nlm.nih.gov/gene/?term=XP_035799256.1", "XP_035799256.1")</f>
        <v/>
      </c>
      <c r="F455" t="n">
        <v>33.9</v>
      </c>
      <c r="G455" t="n">
        <v>522</v>
      </c>
      <c r="H455" t="n">
        <v>3.47e-80</v>
      </c>
      <c r="I455" t="inlineStr">
        <is>
          <t>Nr</t>
        </is>
      </c>
      <c r="J455" t="inlineStr"/>
      <c r="K455" t="inlineStr"/>
      <c r="L455" t="inlineStr">
        <is>
          <t>XP_035799256.1 uncharacterized protein LOC111588690 isoform X1 [Amphiprion ocellaris]</t>
        </is>
      </c>
      <c r="M455" t="n">
        <v>662</v>
      </c>
      <c r="N455" t="inlineStr">
        <is>
          <t>Amphiprion ocellaris</t>
        </is>
      </c>
      <c r="O455" t="inlineStr">
        <is>
          <t>uncharacterized protein LOC111588690 isoform X1</t>
        </is>
      </c>
    </row>
    <row r="456">
      <c r="A456" t="inlineStr"/>
      <c r="B456" t="inlineStr"/>
      <c r="C456" t="inlineStr"/>
      <c r="D456" t="inlineStr"/>
      <c r="E456">
        <f>HYPERLINK("https://www.ncbi.nlm.nih.gov/gene/?term=XP_041435825.1", "XP_041435825.1")</f>
        <v/>
      </c>
      <c r="F456" t="n">
        <v>40.2</v>
      </c>
      <c r="G456" t="n">
        <v>346</v>
      </c>
      <c r="H456" t="n">
        <v>1.01e-79</v>
      </c>
      <c r="I456" t="inlineStr">
        <is>
          <t>Nr</t>
        </is>
      </c>
      <c r="J456" t="inlineStr"/>
      <c r="K456" t="inlineStr"/>
      <c r="L456" t="inlineStr">
        <is>
          <t>XP_041435825.1 uncharacterized protein LOC121399362 [Xenopus laevis]</t>
        </is>
      </c>
      <c r="M456" t="n">
        <v>389</v>
      </c>
      <c r="N456" t="inlineStr">
        <is>
          <t>Xenopus laevis</t>
        </is>
      </c>
      <c r="O456" t="inlineStr">
        <is>
          <t>uncharacterized protein LOC121399362</t>
        </is>
      </c>
    </row>
    <row r="457">
      <c r="A457" t="inlineStr"/>
      <c r="B457" t="inlineStr"/>
      <c r="C457" t="inlineStr"/>
      <c r="D457" t="inlineStr"/>
      <c r="E457">
        <f>HYPERLINK("https://www.ncbi.nlm.nih.gov/gene/?term=XP_040212985.1", "XP_040212985.1")</f>
        <v/>
      </c>
      <c r="F457" t="n">
        <v>32.6</v>
      </c>
      <c r="G457" t="n">
        <v>512</v>
      </c>
      <c r="H457" t="n">
        <v>2.57e-79</v>
      </c>
      <c r="I457" t="inlineStr">
        <is>
          <t>Nr</t>
        </is>
      </c>
      <c r="J457" t="inlineStr"/>
      <c r="K457" t="inlineStr"/>
      <c r="L457" t="inlineStr">
        <is>
          <t>XP_040212985.1 uncharacterized protein LOC120943646 [Rana temporaria]</t>
        </is>
      </c>
      <c r="M457" t="n">
        <v>646</v>
      </c>
      <c r="N457" t="inlineStr">
        <is>
          <t>Rana temporaria</t>
        </is>
      </c>
      <c r="O457" t="inlineStr">
        <is>
          <t>uncharacterized protein LOC120943646</t>
        </is>
      </c>
    </row>
    <row r="458">
      <c r="A458" t="inlineStr"/>
      <c r="B458" t="inlineStr"/>
      <c r="C458" t="inlineStr"/>
      <c r="D458" t="inlineStr"/>
      <c r="E458">
        <f>HYPERLINK("https://www.ncbi.nlm.nih.gov/gene/?term=XP_040212877.1", "XP_040212877.1")</f>
        <v/>
      </c>
      <c r="F458" t="n">
        <v>32.6</v>
      </c>
      <c r="G458" t="n">
        <v>512</v>
      </c>
      <c r="H458" t="n">
        <v>2.98e-78</v>
      </c>
      <c r="I458" t="inlineStr">
        <is>
          <t>Nr</t>
        </is>
      </c>
      <c r="J458" t="inlineStr"/>
      <c r="K458" t="inlineStr"/>
      <c r="L458" t="inlineStr">
        <is>
          <t>XP_040212877.1 uncharacterized protein LOC120943569 [Rana temporaria]</t>
        </is>
      </c>
      <c r="M458" t="n">
        <v>765</v>
      </c>
      <c r="N458" t="inlineStr">
        <is>
          <t>Rana temporaria</t>
        </is>
      </c>
      <c r="O458" t="inlineStr">
        <is>
          <t>uncharacterized protein LOC120943569</t>
        </is>
      </c>
    </row>
    <row r="459">
      <c r="A459" t="inlineStr"/>
      <c r="B459" t="inlineStr"/>
      <c r="C459" t="inlineStr"/>
      <c r="D459" t="inlineStr"/>
      <c r="E459">
        <f>HYPERLINK("https://www.ncbi.nlm.nih.gov/gene/?term=KAE8601590.1", "KAE8601590.1")</f>
        <v/>
      </c>
      <c r="F459" t="n">
        <v>36.1</v>
      </c>
      <c r="G459" t="n">
        <v>535</v>
      </c>
      <c r="H459" t="n">
        <v>7.1e-78</v>
      </c>
      <c r="I459" t="inlineStr">
        <is>
          <t>Nr</t>
        </is>
      </c>
      <c r="J459" t="inlineStr"/>
      <c r="K459" t="inlineStr"/>
      <c r="L459" t="inlineStr">
        <is>
          <t>KAE8601590.1 hypothetical protein XENTR_v10013728 [Xenopus tropicalis]</t>
        </is>
      </c>
      <c r="M459" t="n">
        <v>1505</v>
      </c>
      <c r="N459" t="inlineStr">
        <is>
          <t>Xenopus tropicalis</t>
        </is>
      </c>
      <c r="O459" t="inlineStr">
        <is>
          <t>hypothetical protein XENTR_v10013728</t>
        </is>
      </c>
    </row>
    <row r="460">
      <c r="A460" t="inlineStr"/>
      <c r="B460" t="inlineStr"/>
      <c r="C460" t="inlineStr"/>
      <c r="D460" t="inlineStr"/>
      <c r="E460">
        <f>HYPERLINK("https://www.ncbi.nlm.nih.gov/gene/?term=XP_040188254.1", "XP_040188254.1")</f>
        <v/>
      </c>
      <c r="F460" t="n">
        <v>34.2</v>
      </c>
      <c r="G460" t="n">
        <v>521</v>
      </c>
      <c r="H460" t="n">
        <v>6.199999999999999e-76</v>
      </c>
      <c r="I460" t="inlineStr">
        <is>
          <t>Nr</t>
        </is>
      </c>
      <c r="J460" t="inlineStr"/>
      <c r="K460" t="inlineStr"/>
      <c r="L460" t="inlineStr">
        <is>
          <t>XP_040188254.1 uncharacterized protein LOC120920313 [Rana temporaria]</t>
        </is>
      </c>
      <c r="M460" t="n">
        <v>618</v>
      </c>
      <c r="N460" t="inlineStr">
        <is>
          <t>Rana temporaria</t>
        </is>
      </c>
      <c r="O460" t="inlineStr">
        <is>
          <t>uncharacterized protein LOC120920313</t>
        </is>
      </c>
    </row>
    <row r="461">
      <c r="A461" t="inlineStr"/>
      <c r="B461" t="inlineStr"/>
      <c r="C461" t="inlineStr"/>
      <c r="D461" t="inlineStr"/>
      <c r="E461">
        <f>HYPERLINK("https://www.ncbi.nlm.nih.gov/gene/?term=XP_044129795.1", "XP_044129795.1")</f>
        <v/>
      </c>
      <c r="F461" t="n">
        <v>42.8</v>
      </c>
      <c r="G461" t="n">
        <v>327</v>
      </c>
      <c r="H461" t="n">
        <v>1.55e-75</v>
      </c>
      <c r="I461" t="inlineStr">
        <is>
          <t>Nr</t>
        </is>
      </c>
      <c r="J461" t="inlineStr"/>
      <c r="K461" t="inlineStr"/>
      <c r="L461" t="inlineStr">
        <is>
          <t>XP_044129795.1 uncharacterized protein LOC122923137 [Bufo gargarizans]</t>
        </is>
      </c>
      <c r="M461" t="n">
        <v>334</v>
      </c>
      <c r="N461" t="inlineStr">
        <is>
          <t>Bufo gargarizans</t>
        </is>
      </c>
      <c r="O461" t="inlineStr">
        <is>
          <t>uncharacterized protein LOC122923137</t>
        </is>
      </c>
    </row>
    <row r="462">
      <c r="A462" t="inlineStr"/>
      <c r="B462" t="inlineStr"/>
      <c r="C462" t="inlineStr"/>
      <c r="D462" t="inlineStr"/>
      <c r="E462">
        <f>HYPERLINK("https://www.ncbi.nlm.nih.gov/gene/?term=XP_049912442.1", "XP_049912442.1")</f>
        <v/>
      </c>
      <c r="F462" t="n">
        <v>34.2</v>
      </c>
      <c r="G462" t="n">
        <v>515</v>
      </c>
      <c r="H462" t="n">
        <v>2e-74</v>
      </c>
      <c r="I462" t="inlineStr">
        <is>
          <t>Nr</t>
        </is>
      </c>
      <c r="J462" t="inlineStr"/>
      <c r="K462" t="inlineStr"/>
      <c r="L462" t="inlineStr">
        <is>
          <t>XP_049912442.1 coiled-coil-helix-coiled-coil-helix domain-containing protein 7 isoform X1 [Epinephelus moara]</t>
        </is>
      </c>
      <c r="M462" t="n">
        <v>608</v>
      </c>
      <c r="N462" t="inlineStr">
        <is>
          <t>Epinephelus moara</t>
        </is>
      </c>
      <c r="O462" t="inlineStr">
        <is>
          <t>coiled-coil-helix-coiled-coil-helix domain-containing protein 7 isoform X1</t>
        </is>
      </c>
    </row>
    <row r="463">
      <c r="A463" t="inlineStr"/>
      <c r="B463" t="inlineStr"/>
      <c r="C463" t="inlineStr"/>
      <c r="D463" t="inlineStr"/>
      <c r="E463">
        <f>HYPERLINK("https://www.ncbi.nlm.nih.gov/gene/?term=XP_035692610.1", "XP_035692610.1")</f>
        <v/>
      </c>
      <c r="F463" t="n">
        <v>34.2</v>
      </c>
      <c r="G463" t="n">
        <v>512</v>
      </c>
      <c r="H463" t="n">
        <v>4.41e-74</v>
      </c>
      <c r="I463" t="inlineStr">
        <is>
          <t>Nr</t>
        </is>
      </c>
      <c r="J463" t="inlineStr"/>
      <c r="K463" t="inlineStr"/>
      <c r="L463" t="inlineStr">
        <is>
          <t>XP_035692610.1 uncharacterized protein LOC118427080 [Branchiostoma floridae]</t>
        </is>
      </c>
      <c r="M463" t="n">
        <v>935</v>
      </c>
      <c r="N463" t="inlineStr">
        <is>
          <t>Branchiostoma floridae</t>
        </is>
      </c>
      <c r="O463" t="inlineStr">
        <is>
          <t>uncharacterized protein LOC118427080</t>
        </is>
      </c>
    </row>
    <row r="464">
      <c r="A464" t="inlineStr"/>
      <c r="B464" t="inlineStr"/>
      <c r="C464" t="inlineStr"/>
      <c r="D464" t="inlineStr"/>
      <c r="E464">
        <f>HYPERLINK("https://www.ncbi.nlm.nih.gov/gene/?term=XP_035675994.1", "XP_035675994.1")</f>
        <v/>
      </c>
      <c r="F464" t="n">
        <v>33.8</v>
      </c>
      <c r="G464" t="n">
        <v>517</v>
      </c>
      <c r="H464" t="n">
        <v>8.089999999999999e-74</v>
      </c>
      <c r="I464" t="inlineStr">
        <is>
          <t>Nr</t>
        </is>
      </c>
      <c r="J464" t="inlineStr"/>
      <c r="K464" t="inlineStr"/>
      <c r="L464" t="inlineStr">
        <is>
          <t>XP_035675994.1 uncharacterized protein LOC118415457 [Branchiostoma floridae]</t>
        </is>
      </c>
      <c r="M464" t="n">
        <v>1015</v>
      </c>
      <c r="N464" t="inlineStr">
        <is>
          <t>Branchiostoma floridae</t>
        </is>
      </c>
      <c r="O464" t="inlineStr">
        <is>
          <t>uncharacterized protein LOC118415457</t>
        </is>
      </c>
    </row>
    <row r="465">
      <c r="A465" t="inlineStr"/>
      <c r="B465" t="inlineStr"/>
      <c r="C465" t="inlineStr"/>
      <c r="D465" t="inlineStr"/>
      <c r="E465">
        <f>HYPERLINK("https://www.ncbi.nlm.nih.gov/gene/?term=KAJ0060014.1", "KAJ0060014.1")</f>
        <v/>
      </c>
      <c r="F465" t="n">
        <v>35.1</v>
      </c>
      <c r="G465" t="n">
        <v>485</v>
      </c>
      <c r="H465" t="n">
        <v>1.14e-73</v>
      </c>
      <c r="I465" t="inlineStr">
        <is>
          <t>Nr</t>
        </is>
      </c>
      <c r="J465" t="inlineStr"/>
      <c r="K465" t="inlineStr"/>
      <c r="L465" t="inlineStr">
        <is>
          <t>KAJ0060014.1 hypothetical protein NL108_018667 [Boleophthalmus pectinirostris]</t>
        </is>
      </c>
      <c r="M465" t="n">
        <v>472</v>
      </c>
      <c r="N465" t="inlineStr">
        <is>
          <t>Boleophthalmus pectinirostris</t>
        </is>
      </c>
      <c r="O465" t="inlineStr">
        <is>
          <t>hypothetical protein NL108_018667</t>
        </is>
      </c>
    </row>
    <row r="466">
      <c r="A466" t="inlineStr"/>
      <c r="B466" t="inlineStr"/>
      <c r="C466" t="inlineStr"/>
      <c r="D466" t="inlineStr"/>
      <c r="E466">
        <f>HYPERLINK("https://www.ncbi.nlm.nih.gov/gene/?term=XP_041418569.1", "XP_041418569.1")</f>
        <v/>
      </c>
      <c r="F466" t="n">
        <v>33.7</v>
      </c>
      <c r="G466" t="n">
        <v>523</v>
      </c>
      <c r="H466" t="n">
        <v>8.640000000000001e-73</v>
      </c>
      <c r="I466" t="inlineStr">
        <is>
          <t>Nr</t>
        </is>
      </c>
      <c r="J466" t="inlineStr"/>
      <c r="K466" t="inlineStr"/>
      <c r="L466" t="inlineStr">
        <is>
          <t>XP_041418569.1 uncharacterized protein LOC121393620 [Xenopus laevis]</t>
        </is>
      </c>
      <c r="M466" t="n">
        <v>611</v>
      </c>
      <c r="N466" t="inlineStr">
        <is>
          <t>Xenopus laevis</t>
        </is>
      </c>
      <c r="O466" t="inlineStr">
        <is>
          <t>uncharacterized protein LOC121393620</t>
        </is>
      </c>
    </row>
    <row r="467">
      <c r="A467" t="inlineStr"/>
      <c r="B467" t="inlineStr"/>
      <c r="C467" t="inlineStr"/>
      <c r="D467" t="inlineStr"/>
      <c r="E467">
        <f>HYPERLINK("https://www.ncbi.nlm.nih.gov/gene/?term=XP_041418589.1", "XP_041418589.1")</f>
        <v/>
      </c>
      <c r="F467" t="n">
        <v>33.7</v>
      </c>
      <c r="G467" t="n">
        <v>523</v>
      </c>
      <c r="H467" t="n">
        <v>8.640000000000001e-73</v>
      </c>
      <c r="I467" t="inlineStr">
        <is>
          <t>Nr</t>
        </is>
      </c>
      <c r="J467" t="inlineStr"/>
      <c r="K467" t="inlineStr"/>
      <c r="L467" t="inlineStr">
        <is>
          <t>XP_041418589.1 uncharacterized protein LOC121393628 [Xenopus laevis]</t>
        </is>
      </c>
      <c r="M467" t="n">
        <v>611</v>
      </c>
      <c r="N467" t="inlineStr">
        <is>
          <t>Xenopus laevis</t>
        </is>
      </c>
      <c r="O467" t="inlineStr">
        <is>
          <t>uncharacterized protein LOC121393628</t>
        </is>
      </c>
    </row>
    <row r="468">
      <c r="A468" t="inlineStr"/>
      <c r="B468" t="inlineStr"/>
      <c r="C468" t="inlineStr"/>
      <c r="D468" t="inlineStr"/>
      <c r="E468">
        <f>HYPERLINK("https://www.ncbi.nlm.nih.gov/gene/?term=XP_033796209.1", "XP_033796209.1")</f>
        <v/>
      </c>
      <c r="F468" t="n">
        <v>31.8</v>
      </c>
      <c r="G468" t="n">
        <v>534</v>
      </c>
      <c r="H468" t="n">
        <v>1.38e-72</v>
      </c>
      <c r="I468" t="inlineStr">
        <is>
          <t>Nr</t>
        </is>
      </c>
      <c r="J468" t="inlineStr"/>
      <c r="K468" t="inlineStr"/>
      <c r="L468" t="inlineStr">
        <is>
          <t>XP_033796209.1 uncharacterized protein LOC117358730 [Geotrypetes seraphini]</t>
        </is>
      </c>
      <c r="M468" t="n">
        <v>530</v>
      </c>
      <c r="N468" t="inlineStr">
        <is>
          <t>Geotrypetes seraphini</t>
        </is>
      </c>
      <c r="O468" t="inlineStr">
        <is>
          <t>uncharacterized protein LOC117358730</t>
        </is>
      </c>
    </row>
    <row r="469">
      <c r="A469" t="inlineStr"/>
      <c r="B469" t="inlineStr"/>
      <c r="C469" t="inlineStr"/>
      <c r="D469" t="inlineStr"/>
      <c r="E469">
        <f>HYPERLINK("https://www.ncbi.nlm.nih.gov/gene/?term=OCT55832.1", "OCT55832.1")</f>
        <v/>
      </c>
      <c r="F469" t="n">
        <v>37.1</v>
      </c>
      <c r="G469" t="n">
        <v>410</v>
      </c>
      <c r="H469" t="n">
        <v>1.46e-72</v>
      </c>
      <c r="I469" t="inlineStr">
        <is>
          <t>Nr</t>
        </is>
      </c>
      <c r="J469" t="inlineStr"/>
      <c r="K469" t="inlineStr"/>
      <c r="L469" t="inlineStr">
        <is>
          <t>OCT55832.1 hypothetical protein XELAEV_18003247mg [Xenopus laevis]</t>
        </is>
      </c>
      <c r="M469" t="n">
        <v>404</v>
      </c>
      <c r="N469" t="inlineStr">
        <is>
          <t>Xenopus laevis</t>
        </is>
      </c>
      <c r="O469" t="inlineStr">
        <is>
          <t>hypothetical protein XELAEV_18003247mg</t>
        </is>
      </c>
    </row>
    <row r="470">
      <c r="A470" t="inlineStr"/>
      <c r="B470" t="inlineStr"/>
      <c r="C470" t="inlineStr"/>
      <c r="D470" t="inlineStr"/>
      <c r="E470">
        <f>HYPERLINK("https://www.ncbi.nlm.nih.gov/gene/?term=XP_041430880.1", "XP_041430880.1")</f>
        <v/>
      </c>
      <c r="F470" t="n">
        <v>33.5</v>
      </c>
      <c r="G470" t="n">
        <v>523</v>
      </c>
      <c r="H470" t="n">
        <v>3.31e-72</v>
      </c>
      <c r="I470" t="inlineStr">
        <is>
          <t>Nr</t>
        </is>
      </c>
      <c r="J470" t="inlineStr"/>
      <c r="K470" t="inlineStr"/>
      <c r="L470" t="inlineStr">
        <is>
          <t>XP_041430880.1 uncharacterized protein LOC121397711 [Xenopus laevis]</t>
        </is>
      </c>
      <c r="M470" t="n">
        <v>611</v>
      </c>
      <c r="N470" t="inlineStr">
        <is>
          <t>Xenopus laevis</t>
        </is>
      </c>
      <c r="O470" t="inlineStr">
        <is>
          <t>uncharacterized protein LOC121397711</t>
        </is>
      </c>
    </row>
    <row r="471">
      <c r="A471" t="inlineStr"/>
      <c r="B471" t="inlineStr"/>
      <c r="C471" t="inlineStr"/>
      <c r="D471" t="inlineStr"/>
      <c r="E471">
        <f>HYPERLINK("https://www.ncbi.nlm.nih.gov/gene/?term=OCT78081.1", "OCT78081.1")</f>
        <v/>
      </c>
      <c r="F471" t="n">
        <v>36.6</v>
      </c>
      <c r="G471" t="n">
        <v>101</v>
      </c>
      <c r="H471" t="n">
        <v>5.27e-10</v>
      </c>
      <c r="I471" t="inlineStr">
        <is>
          <t>Nr</t>
        </is>
      </c>
      <c r="J471" t="inlineStr"/>
      <c r="K471" t="inlineStr"/>
      <c r="L471" t="inlineStr">
        <is>
          <t>OCT78081.1 hypothetical protein XELAEV_18029181mg [Xenopus laevis]</t>
        </is>
      </c>
      <c r="M471" t="n">
        <v>170</v>
      </c>
      <c r="N471" t="inlineStr">
        <is>
          <t>Xenopus laevis</t>
        </is>
      </c>
      <c r="O471" t="inlineStr">
        <is>
          <t>hypothetical protein XELAEV_18029181mg</t>
        </is>
      </c>
    </row>
    <row r="472">
      <c r="A472" t="inlineStr"/>
      <c r="B472" t="inlineStr"/>
      <c r="C472" t="inlineStr"/>
      <c r="D472" t="inlineStr"/>
      <c r="E472">
        <f>HYPERLINK("https://www.ncbi.nlm.nih.gov/gene/?term=OCU02666.1", "OCU02666.1")</f>
        <v/>
      </c>
      <c r="F472" t="n">
        <v>36</v>
      </c>
      <c r="G472" t="n">
        <v>111</v>
      </c>
      <c r="H472" t="n">
        <v>6e-10</v>
      </c>
      <c r="I472" t="inlineStr">
        <is>
          <t>Nr</t>
        </is>
      </c>
      <c r="J472" t="inlineStr"/>
      <c r="K472" t="inlineStr"/>
      <c r="L472" t="inlineStr">
        <is>
          <t>OCU02666.1 hypothetical protein XELAEV_18008432mg [Xenopus laevis]</t>
        </is>
      </c>
      <c r="M472" t="n">
        <v>243</v>
      </c>
      <c r="N472" t="inlineStr">
        <is>
          <t>Xenopus laevis</t>
        </is>
      </c>
      <c r="O472" t="inlineStr">
        <is>
          <t>hypothetical protein XELAEV_18008432mg</t>
        </is>
      </c>
    </row>
    <row r="473">
      <c r="A473" t="inlineStr"/>
      <c r="B473" t="inlineStr"/>
      <c r="C473" t="inlineStr"/>
      <c r="D473" t="inlineStr"/>
      <c r="E473">
        <f>HYPERLINK("https://www.ncbi.nlm.nih.gov/gene/?term=OCT76223.1", "OCT76223.1")</f>
        <v/>
      </c>
      <c r="F473" t="n">
        <v>32.6</v>
      </c>
      <c r="G473" t="n">
        <v>132</v>
      </c>
      <c r="H473" t="n">
        <v>6.93e-09</v>
      </c>
      <c r="I473" t="inlineStr">
        <is>
          <t>Nr</t>
        </is>
      </c>
      <c r="J473" t="inlineStr"/>
      <c r="K473" t="inlineStr"/>
      <c r="L473" t="inlineStr">
        <is>
          <t>OCT76223.1 hypothetical protein XELAEV_18031425mg [Xenopus laevis]</t>
        </is>
      </c>
      <c r="M473" t="n">
        <v>294</v>
      </c>
      <c r="N473" t="inlineStr">
        <is>
          <t>Xenopus laevis</t>
        </is>
      </c>
      <c r="O473" t="inlineStr">
        <is>
          <t>hypothetical protein XELAEV_18031425mg</t>
        </is>
      </c>
    </row>
    <row r="474">
      <c r="A474" t="inlineStr"/>
      <c r="B474" t="inlineStr"/>
      <c r="C474" t="inlineStr"/>
      <c r="D474" t="inlineStr"/>
      <c r="E474">
        <f>HYPERLINK("https://www.ncbi.nlm.nih.gov/gene/?term=OCT60421.1", "OCT60421.1")</f>
        <v/>
      </c>
      <c r="F474" t="n">
        <v>32.5</v>
      </c>
      <c r="G474" t="n">
        <v>114</v>
      </c>
      <c r="H474" t="n">
        <v>9.559999999999999e-09</v>
      </c>
      <c r="I474" t="inlineStr">
        <is>
          <t>Nr</t>
        </is>
      </c>
      <c r="J474" t="inlineStr"/>
      <c r="K474" t="inlineStr"/>
      <c r="L474" t="inlineStr">
        <is>
          <t>OCT60421.1 hypothetical protein XELAEV_18046443mg [Xenopus laevis]</t>
        </is>
      </c>
      <c r="M474" t="n">
        <v>192</v>
      </c>
      <c r="N474" t="inlineStr">
        <is>
          <t>Xenopus laevis</t>
        </is>
      </c>
      <c r="O474" t="inlineStr">
        <is>
          <t>hypothetical protein XELAEV_18046443mg</t>
        </is>
      </c>
    </row>
    <row r="475">
      <c r="A475" t="inlineStr"/>
      <c r="B475" t="inlineStr"/>
      <c r="C475" t="inlineStr"/>
      <c r="D475" t="inlineStr"/>
      <c r="E475">
        <f>HYPERLINK("https://www.ncbi.nlm.nih.gov/gene/?term=OCT55913.1", "OCT55913.1")</f>
        <v/>
      </c>
      <c r="F475" t="n">
        <v>27.6</v>
      </c>
      <c r="G475" t="n">
        <v>123</v>
      </c>
      <c r="H475" t="n">
        <v>1.51e-07</v>
      </c>
      <c r="I475" t="inlineStr">
        <is>
          <t>Nr</t>
        </is>
      </c>
      <c r="J475" t="inlineStr"/>
      <c r="K475" t="inlineStr"/>
      <c r="L475" t="inlineStr">
        <is>
          <t>OCT55913.1 hypothetical protein XELAEV_18000474mg, partial [Xenopus laevis]</t>
        </is>
      </c>
      <c r="M475" t="n">
        <v>278</v>
      </c>
      <c r="N475" t="inlineStr">
        <is>
          <t>Xenopus laevis</t>
        </is>
      </c>
      <c r="O475" t="inlineStr">
        <is>
          <t>hypothetical protein XELAEV_18000474mg, partial</t>
        </is>
      </c>
    </row>
    <row r="476">
      <c r="A476" t="inlineStr"/>
      <c r="B476" t="inlineStr"/>
      <c r="C476" t="inlineStr"/>
      <c r="D476" t="inlineStr"/>
      <c r="E476">
        <f>HYPERLINK("https://www.ncbi.nlm.nih.gov/gene/?term=OCT88635.1", "OCT88635.1")</f>
        <v/>
      </c>
      <c r="F476" t="n">
        <v>27.6</v>
      </c>
      <c r="G476" t="n">
        <v>123</v>
      </c>
      <c r="H476" t="n">
        <v>1.7e-07</v>
      </c>
      <c r="I476" t="inlineStr">
        <is>
          <t>Nr</t>
        </is>
      </c>
      <c r="J476" t="inlineStr"/>
      <c r="K476" t="inlineStr"/>
      <c r="L476" t="inlineStr">
        <is>
          <t>OCT88635.1 hypothetical protein XELAEV_18017264mg [Xenopus laevis]</t>
        </is>
      </c>
      <c r="M476" t="n">
        <v>290</v>
      </c>
      <c r="N476" t="inlineStr">
        <is>
          <t>Xenopus laevis</t>
        </is>
      </c>
      <c r="O476" t="inlineStr">
        <is>
          <t>hypothetical protein XELAEV_18017264mg</t>
        </is>
      </c>
    </row>
    <row r="477">
      <c r="A477" t="inlineStr"/>
      <c r="B477" t="inlineStr"/>
      <c r="C477" t="inlineStr"/>
      <c r="D477" t="inlineStr"/>
      <c r="E477">
        <f>HYPERLINK("https://www.ncbi.nlm.nih.gov/gene/?term=KAJ1104232.1", "KAJ1104232.1")</f>
        <v/>
      </c>
      <c r="F477" t="n">
        <v>29.8</v>
      </c>
      <c r="G477" t="n">
        <v>121</v>
      </c>
      <c r="H477" t="n">
        <v>4.18e-07</v>
      </c>
      <c r="I477" t="inlineStr">
        <is>
          <t>Nr</t>
        </is>
      </c>
      <c r="J477" t="inlineStr"/>
      <c r="K477" t="inlineStr"/>
      <c r="L477" t="inlineStr">
        <is>
          <t>KAJ1104232.1 hypothetical protein NDU88_001644 [Pleurodeles waltl]</t>
        </is>
      </c>
      <c r="M477" t="n">
        <v>166</v>
      </c>
      <c r="N477" t="inlineStr">
        <is>
          <t>Pleurodeles waltl</t>
        </is>
      </c>
      <c r="O477" t="inlineStr">
        <is>
          <t>hypothetical protein NDU88_001644</t>
        </is>
      </c>
    </row>
    <row r="478">
      <c r="A478" t="inlineStr"/>
      <c r="B478" t="inlineStr"/>
      <c r="C478" t="inlineStr"/>
      <c r="D478" t="inlineStr"/>
      <c r="E478">
        <f>HYPERLINK("https://www.ncbi.nlm.nih.gov/gene/?term=KAJ1215697.1", "KAJ1215697.1")</f>
        <v/>
      </c>
      <c r="F478" t="n">
        <v>34.5</v>
      </c>
      <c r="G478" t="n">
        <v>87</v>
      </c>
      <c r="H478" t="n">
        <v>5.66e-07</v>
      </c>
      <c r="I478" t="inlineStr">
        <is>
          <t>Nr</t>
        </is>
      </c>
      <c r="J478" t="inlineStr"/>
      <c r="K478" t="inlineStr"/>
      <c r="L478" t="inlineStr">
        <is>
          <t>KAJ1215697.1 hypothetical protein NDU88_003305 [Pleurodeles waltl]</t>
        </is>
      </c>
      <c r="M478" t="n">
        <v>137</v>
      </c>
      <c r="N478" t="inlineStr">
        <is>
          <t>Pleurodeles waltl</t>
        </is>
      </c>
      <c r="O478" t="inlineStr">
        <is>
          <t>hypothetical protein NDU88_003305</t>
        </is>
      </c>
    </row>
    <row r="479">
      <c r="A479" t="inlineStr"/>
      <c r="B479" t="inlineStr"/>
      <c r="C479" t="inlineStr"/>
      <c r="D479" t="inlineStr"/>
      <c r="E479">
        <f>HYPERLINK("https://www.uniprot.org/uniprotkb/A0A8J1LN60/entry", "A0A8J1LN60")</f>
        <v/>
      </c>
      <c r="F479" t="n">
        <v>27.4</v>
      </c>
      <c r="G479" t="n">
        <v>124</v>
      </c>
      <c r="H479" t="n">
        <v>7.8e-07</v>
      </c>
      <c r="I479" t="inlineStr">
        <is>
          <t>TrEMBL</t>
        </is>
      </c>
      <c r="J479" t="inlineStr">
        <is>
          <t>LOC121397635</t>
        </is>
      </c>
      <c r="K479" t="inlineStr">
        <is>
          <t>A0A8J1LN60_XENLA</t>
        </is>
      </c>
      <c r="L479" t="inlineStr">
        <is>
          <t>tr|A0A8J1LN60|A0A8J1LN60_XENLA uncharacterized protein LOC121397635 OS=Xenopus laevis OX=8355 GN=LOC121397635 PE=4 SV=1</t>
        </is>
      </c>
      <c r="M479" t="n">
        <v>348</v>
      </c>
      <c r="N479" t="inlineStr">
        <is>
          <t>Xenopus laevis</t>
        </is>
      </c>
      <c r="O479" t="inlineStr">
        <is>
          <t>uncharacterized protein LOC121397635</t>
        </is>
      </c>
    </row>
    <row r="480">
      <c r="A480" t="inlineStr"/>
      <c r="B480" t="inlineStr"/>
      <c r="C480" t="inlineStr"/>
      <c r="D480" t="inlineStr"/>
      <c r="E480">
        <f>HYPERLINK("https://www.uniprot.org/uniprotkb/A0A8J1KUL5/entry", "A0A8J1KUL5")</f>
        <v/>
      </c>
      <c r="F480" t="n">
        <v>27.4</v>
      </c>
      <c r="G480" t="n">
        <v>124</v>
      </c>
      <c r="H480" t="n">
        <v>7.8e-07</v>
      </c>
      <c r="I480" t="inlineStr">
        <is>
          <t>TrEMBL</t>
        </is>
      </c>
      <c r="J480" t="inlineStr">
        <is>
          <t>LOC121394206</t>
        </is>
      </c>
      <c r="K480" t="inlineStr">
        <is>
          <t>A0A8J1KUL5_XENLA</t>
        </is>
      </c>
      <c r="L480" t="inlineStr">
        <is>
          <t>tr|A0A8J1KUL5|A0A8J1KUL5_XENLA uncharacterized protein LOC121394206 OS=Xenopus laevis OX=8355 GN=LOC121394206 PE=4 SV=1</t>
        </is>
      </c>
      <c r="M480" t="n">
        <v>348</v>
      </c>
      <c r="N480" t="inlineStr">
        <is>
          <t>Xenopus laevis</t>
        </is>
      </c>
      <c r="O480" t="inlineStr">
        <is>
          <t>uncharacterized protein LOC121394206</t>
        </is>
      </c>
    </row>
    <row r="481">
      <c r="A481" t="inlineStr"/>
      <c r="B481" t="inlineStr"/>
      <c r="C481" t="inlineStr"/>
      <c r="D481" t="inlineStr"/>
      <c r="E481">
        <f>HYPERLINK("https://www.ncbi.nlm.nih.gov/gene/?term=XP_041420448.1", "XP_041420448.1")</f>
        <v/>
      </c>
      <c r="F481" t="n">
        <v>27.4</v>
      </c>
      <c r="G481" t="n">
        <v>124</v>
      </c>
      <c r="H481" t="n">
        <v>2e-06</v>
      </c>
      <c r="I481" t="inlineStr">
        <is>
          <t>Nr</t>
        </is>
      </c>
      <c r="J481" t="inlineStr"/>
      <c r="K481" t="inlineStr"/>
      <c r="L481" t="inlineStr">
        <is>
          <t>XP_041420448.1 uncharacterized protein LOC121394206 [Xenopus laevis]</t>
        </is>
      </c>
      <c r="M481" t="n">
        <v>348</v>
      </c>
      <c r="N481" t="inlineStr">
        <is>
          <t>Xenopus laevis</t>
        </is>
      </c>
      <c r="O481" t="inlineStr">
        <is>
          <t>uncharacterized protein LOC121394206</t>
        </is>
      </c>
    </row>
    <row r="482">
      <c r="A482" t="inlineStr"/>
      <c r="B482" t="inlineStr"/>
      <c r="C482" t="inlineStr"/>
      <c r="D482" t="inlineStr"/>
      <c r="E482">
        <f>HYPERLINK("https://www.ncbi.nlm.nih.gov/gene/?term=XP_041430626.1", "XP_041430626.1")</f>
        <v/>
      </c>
      <c r="F482" t="n">
        <v>27.4</v>
      </c>
      <c r="G482" t="n">
        <v>124</v>
      </c>
      <c r="H482" t="n">
        <v>2e-06</v>
      </c>
      <c r="I482" t="inlineStr">
        <is>
          <t>Nr</t>
        </is>
      </c>
      <c r="J482" t="inlineStr"/>
      <c r="K482" t="inlineStr"/>
      <c r="L482" t="inlineStr">
        <is>
          <t>XP_041430626.1 uncharacterized protein LOC121397635 [Xenopus laevis]</t>
        </is>
      </c>
      <c r="M482" t="n">
        <v>348</v>
      </c>
      <c r="N482" t="inlineStr">
        <is>
          <t>Xenopus laevis</t>
        </is>
      </c>
      <c r="O482" t="inlineStr">
        <is>
          <t>uncharacterized protein LOC121397635</t>
        </is>
      </c>
    </row>
    <row r="483">
      <c r="A483" t="inlineStr"/>
      <c r="B483" t="inlineStr"/>
      <c r="C483" t="inlineStr"/>
      <c r="D483" t="inlineStr"/>
      <c r="E483">
        <f>HYPERLINK("https://www.ncbi.nlm.nih.gov/gene/?term=KAJ1191724.1", "KAJ1191724.1")</f>
        <v/>
      </c>
      <c r="F483" t="n">
        <v>34.2</v>
      </c>
      <c r="G483" t="n">
        <v>111</v>
      </c>
      <c r="H483" t="n">
        <v>2.56e-06</v>
      </c>
      <c r="I483" t="inlineStr">
        <is>
          <t>Nr</t>
        </is>
      </c>
      <c r="J483" t="inlineStr"/>
      <c r="K483" t="inlineStr"/>
      <c r="L483" t="inlineStr">
        <is>
          <t>KAJ1191724.1 hypothetical protein NDU88_001040 [Pleurodeles waltl]</t>
        </is>
      </c>
      <c r="M483" t="n">
        <v>340</v>
      </c>
      <c r="N483" t="inlineStr">
        <is>
          <t>Pleurodeles waltl</t>
        </is>
      </c>
      <c r="O483" t="inlineStr">
        <is>
          <t>hypothetical protein NDU88_001040</t>
        </is>
      </c>
    </row>
    <row r="484">
      <c r="A484" t="inlineStr"/>
      <c r="B484" t="inlineStr"/>
      <c r="C484" t="inlineStr"/>
      <c r="D484" t="inlineStr"/>
      <c r="E484">
        <f>HYPERLINK("https://www.ncbi.nlm.nih.gov/gene/?term=KAJ1208774.1", "KAJ1208774.1")</f>
        <v/>
      </c>
      <c r="F484" t="n">
        <v>29.4</v>
      </c>
      <c r="G484" t="n">
        <v>119</v>
      </c>
      <c r="H484" t="n">
        <v>2.98e-06</v>
      </c>
      <c r="I484" t="inlineStr">
        <is>
          <t>Nr</t>
        </is>
      </c>
      <c r="J484" t="inlineStr"/>
      <c r="K484" t="inlineStr"/>
      <c r="L484" t="inlineStr">
        <is>
          <t>KAJ1208774.1 hypothetical protein NDU88_004157 [Pleurodeles waltl]</t>
        </is>
      </c>
      <c r="M484" t="n">
        <v>253</v>
      </c>
      <c r="N484" t="inlineStr">
        <is>
          <t>Pleurodeles waltl</t>
        </is>
      </c>
      <c r="O484" t="inlineStr">
        <is>
          <t>hypothetical protein NDU88_004157</t>
        </is>
      </c>
    </row>
    <row r="485">
      <c r="A485" t="inlineStr"/>
      <c r="B485" t="inlineStr"/>
      <c r="C485" t="inlineStr"/>
      <c r="D485" t="inlineStr"/>
      <c r="E485">
        <f>HYPERLINK("https://www.ncbi.nlm.nih.gov/gene/?term=KAJ1101388.1", "KAJ1101388.1")</f>
        <v/>
      </c>
      <c r="F485" t="n">
        <v>28.8</v>
      </c>
      <c r="G485" t="n">
        <v>125</v>
      </c>
      <c r="H485" t="n">
        <v>3.71e-06</v>
      </c>
      <c r="I485" t="inlineStr">
        <is>
          <t>Nr</t>
        </is>
      </c>
      <c r="J485" t="inlineStr"/>
      <c r="K485" t="inlineStr"/>
      <c r="L485" t="inlineStr">
        <is>
          <t>KAJ1101388.1 hypothetical protein NDU88_006456 [Pleurodeles waltl]</t>
        </is>
      </c>
      <c r="M485" t="n">
        <v>168</v>
      </c>
      <c r="N485" t="inlineStr">
        <is>
          <t>Pleurodeles waltl</t>
        </is>
      </c>
      <c r="O485" t="inlineStr">
        <is>
          <t>hypothetical protein NDU88_006456</t>
        </is>
      </c>
    </row>
    <row r="486">
      <c r="A486" t="inlineStr"/>
      <c r="B486" t="inlineStr"/>
      <c r="C486" t="inlineStr"/>
      <c r="D486" t="inlineStr"/>
      <c r="E486">
        <f>HYPERLINK("https://www.ncbi.nlm.nih.gov/gene/?term=KAJ1203732.1", "KAJ1203732.1")</f>
        <v/>
      </c>
      <c r="F486" t="n">
        <v>30</v>
      </c>
      <c r="G486" t="n">
        <v>130</v>
      </c>
      <c r="H486" t="n">
        <v>3.93e-06</v>
      </c>
      <c r="I486" t="inlineStr">
        <is>
          <t>Nr</t>
        </is>
      </c>
      <c r="J486" t="inlineStr"/>
      <c r="K486" t="inlineStr"/>
      <c r="L486" t="inlineStr">
        <is>
          <t>KAJ1203732.1 hypothetical protein NDU88_007513 [Pleurodeles waltl]</t>
        </is>
      </c>
      <c r="M486" t="n">
        <v>171</v>
      </c>
      <c r="N486" t="inlineStr">
        <is>
          <t>Pleurodeles waltl</t>
        </is>
      </c>
      <c r="O486" t="inlineStr">
        <is>
          <t>hypothetical protein NDU88_007513</t>
        </is>
      </c>
    </row>
    <row r="487">
      <c r="A487" t="inlineStr"/>
      <c r="B487" t="inlineStr"/>
      <c r="C487" t="inlineStr"/>
      <c r="D487" t="inlineStr"/>
      <c r="E487">
        <f>HYPERLINK("https://www.ncbi.nlm.nih.gov/gene/?term=KAJ1185381.1", "KAJ1185381.1")</f>
        <v/>
      </c>
      <c r="F487" t="n">
        <v>29.4</v>
      </c>
      <c r="G487" t="n">
        <v>119</v>
      </c>
      <c r="H487" t="n">
        <v>4.01e-06</v>
      </c>
      <c r="I487" t="inlineStr">
        <is>
          <t>Nr</t>
        </is>
      </c>
      <c r="J487" t="inlineStr"/>
      <c r="K487" t="inlineStr"/>
      <c r="L487" t="inlineStr">
        <is>
          <t>KAJ1185381.1 hypothetical protein NDU88_002174 [Pleurodeles waltl]</t>
        </is>
      </c>
      <c r="M487" t="n">
        <v>253</v>
      </c>
      <c r="N487" t="inlineStr">
        <is>
          <t>Pleurodeles waltl</t>
        </is>
      </c>
      <c r="O487" t="inlineStr">
        <is>
          <t>hypothetical protein NDU88_002174</t>
        </is>
      </c>
    </row>
    <row r="488">
      <c r="A488" t="inlineStr"/>
      <c r="B488" t="inlineStr"/>
      <c r="C488" t="inlineStr"/>
      <c r="D488" t="inlineStr"/>
      <c r="E488">
        <f>HYPERLINK("https://www.ncbi.nlm.nih.gov/gene/?term=KAJ1125638.1", "KAJ1125638.1")</f>
        <v/>
      </c>
      <c r="F488" t="n">
        <v>29.4</v>
      </c>
      <c r="G488" t="n">
        <v>119</v>
      </c>
      <c r="H488" t="n">
        <v>4.01e-06</v>
      </c>
      <c r="I488" t="inlineStr">
        <is>
          <t>Nr</t>
        </is>
      </c>
      <c r="J488" t="inlineStr"/>
      <c r="K488" t="inlineStr"/>
      <c r="L488" t="inlineStr">
        <is>
          <t>KAJ1125638.1 hypothetical protein NDU88_004062 [Pleurodeles waltl]</t>
        </is>
      </c>
      <c r="M488" t="n">
        <v>253</v>
      </c>
      <c r="N488" t="inlineStr">
        <is>
          <t>Pleurodeles waltl</t>
        </is>
      </c>
      <c r="O488" t="inlineStr">
        <is>
          <t>hypothetical protein NDU88_004062</t>
        </is>
      </c>
    </row>
    <row r="489">
      <c r="A489" t="inlineStr"/>
      <c r="B489" t="inlineStr"/>
      <c r="C489" t="inlineStr"/>
      <c r="D489" t="inlineStr"/>
      <c r="E489">
        <f>HYPERLINK("https://www.ncbi.nlm.nih.gov/gene/?term=KAJ1215698.1", "KAJ1215698.1")</f>
        <v/>
      </c>
      <c r="F489" t="n">
        <v>26.4</v>
      </c>
      <c r="G489" t="n">
        <v>148</v>
      </c>
      <c r="H489" t="n">
        <v>4.37e-06</v>
      </c>
      <c r="I489" t="inlineStr">
        <is>
          <t>Nr</t>
        </is>
      </c>
      <c r="J489" t="inlineStr"/>
      <c r="K489" t="inlineStr"/>
      <c r="L489" t="inlineStr">
        <is>
          <t>KAJ1215698.1 hypothetical protein NDU88_003306 [Pleurodeles waltl]</t>
        </is>
      </c>
      <c r="M489" t="n">
        <v>261</v>
      </c>
      <c r="N489" t="inlineStr">
        <is>
          <t>Pleurodeles waltl</t>
        </is>
      </c>
      <c r="O489" t="inlineStr">
        <is>
          <t>hypothetical protein NDU88_003306</t>
        </is>
      </c>
    </row>
    <row r="490">
      <c r="A490" t="inlineStr"/>
      <c r="B490" t="inlineStr"/>
      <c r="C490" t="inlineStr"/>
      <c r="D490" t="inlineStr"/>
      <c r="E490">
        <f>HYPERLINK("https://www.ncbi.nlm.nih.gov/gene/?term=KAJ1097854.1", "KAJ1097854.1")</f>
        <v/>
      </c>
      <c r="F490" t="n">
        <v>26.2</v>
      </c>
      <c r="G490" t="n">
        <v>141</v>
      </c>
      <c r="H490" t="n">
        <v>5.21e-06</v>
      </c>
      <c r="I490" t="inlineStr">
        <is>
          <t>Nr</t>
        </is>
      </c>
      <c r="J490" t="inlineStr"/>
      <c r="K490" t="inlineStr"/>
      <c r="L490" t="inlineStr">
        <is>
          <t>KAJ1097854.1 hypothetical protein NDU88_002970 [Pleurodeles waltl]</t>
        </is>
      </c>
      <c r="M490" t="n">
        <v>226</v>
      </c>
      <c r="N490" t="inlineStr">
        <is>
          <t>Pleurodeles waltl</t>
        </is>
      </c>
      <c r="O490" t="inlineStr">
        <is>
          <t>hypothetical protein NDU88_002970</t>
        </is>
      </c>
    </row>
    <row r="491">
      <c r="A491" t="inlineStr"/>
      <c r="B491" t="inlineStr"/>
      <c r="C491" t="inlineStr"/>
      <c r="D491" t="inlineStr"/>
      <c r="E491">
        <f>HYPERLINK("https://www.ncbi.nlm.nih.gov/gene/?term=OCT84824.1", "OCT84824.1")</f>
        <v/>
      </c>
      <c r="F491" t="n">
        <v>26.4</v>
      </c>
      <c r="G491" t="n">
        <v>129</v>
      </c>
      <c r="H491" t="n">
        <v>7.13e-06</v>
      </c>
      <c r="I491" t="inlineStr">
        <is>
          <t>Nr</t>
        </is>
      </c>
      <c r="J491" t="inlineStr"/>
      <c r="K491" t="inlineStr"/>
      <c r="L491" t="inlineStr">
        <is>
          <t>OCT84824.1 hypothetical protein XELAEV_18022981mg, partial [Xenopus laevis]</t>
        </is>
      </c>
      <c r="M491" t="n">
        <v>281</v>
      </c>
      <c r="N491" t="inlineStr">
        <is>
          <t>Xenopus laevis</t>
        </is>
      </c>
      <c r="O491" t="inlineStr">
        <is>
          <t>hypothetical protein XELAEV_18022981mg, partial</t>
        </is>
      </c>
    </row>
    <row r="492">
      <c r="A492" t="inlineStr"/>
      <c r="B492" t="inlineStr"/>
      <c r="C492" t="inlineStr"/>
      <c r="D492" t="inlineStr"/>
      <c r="E492">
        <f>HYPERLINK("https://www.ncbi.nlm.nih.gov/gene/?term=OCT97272.1", "OCT97272.1")</f>
        <v/>
      </c>
      <c r="F492" t="n">
        <v>26.5</v>
      </c>
      <c r="G492" t="n">
        <v>136</v>
      </c>
      <c r="H492" t="n">
        <v>7.64e-06</v>
      </c>
      <c r="I492" t="inlineStr">
        <is>
          <t>Nr</t>
        </is>
      </c>
      <c r="J492" t="inlineStr"/>
      <c r="K492" t="inlineStr"/>
      <c r="L492" t="inlineStr">
        <is>
          <t>OCT97272.1 hypothetical protein XELAEV_18009496mg [Xenopus laevis]</t>
        </is>
      </c>
      <c r="M492" t="n">
        <v>289</v>
      </c>
      <c r="N492" t="inlineStr">
        <is>
          <t>Xenopus laevis</t>
        </is>
      </c>
      <c r="O492" t="inlineStr">
        <is>
          <t>hypothetical protein XELAEV_18009496mg</t>
        </is>
      </c>
    </row>
    <row r="493">
      <c r="A493" t="inlineStr"/>
      <c r="B493" t="inlineStr"/>
      <c r="C493" t="inlineStr"/>
      <c r="D493" t="inlineStr"/>
      <c r="E493">
        <f>HYPERLINK("https://www.ncbi.nlm.nih.gov/gene/?term=OCT99700.1", "OCT99700.1")</f>
        <v/>
      </c>
      <c r="F493" t="n">
        <v>34</v>
      </c>
      <c r="G493" t="n">
        <v>100</v>
      </c>
      <c r="H493" t="n">
        <v>8.399999999999999e-06</v>
      </c>
      <c r="I493" t="inlineStr">
        <is>
          <t>Nr</t>
        </is>
      </c>
      <c r="J493" t="inlineStr"/>
      <c r="K493" t="inlineStr"/>
      <c r="L493" t="inlineStr">
        <is>
          <t>OCT99700.1 hypothetical protein XELAEV_18005484mg [Xenopus laevis]</t>
        </is>
      </c>
      <c r="M493" t="n">
        <v>301</v>
      </c>
      <c r="N493" t="inlineStr">
        <is>
          <t>Xenopus laevis</t>
        </is>
      </c>
      <c r="O493" t="inlineStr">
        <is>
          <t>hypothetical protein XELAEV_18005484mg</t>
        </is>
      </c>
    </row>
    <row r="494">
      <c r="A494" t="inlineStr"/>
      <c r="B494" t="inlineStr"/>
      <c r="C494" t="inlineStr"/>
      <c r="D494" t="inlineStr"/>
      <c r="E494">
        <f>HYPERLINK("https://www.ncbi.nlm.nih.gov/gene/?term=KAJ1097855.1", "KAJ1097855.1")</f>
        <v/>
      </c>
      <c r="F494" t="n">
        <v>28.1</v>
      </c>
      <c r="G494" t="n">
        <v>114</v>
      </c>
      <c r="H494" t="n">
        <v>8.610000000000001e-06</v>
      </c>
      <c r="I494" t="inlineStr">
        <is>
          <t>Nr</t>
        </is>
      </c>
      <c r="J494" t="inlineStr"/>
      <c r="K494" t="inlineStr"/>
      <c r="L494" t="inlineStr">
        <is>
          <t>KAJ1097855.1 hypothetical protein NDU88_002971 [Pleurodeles waltl]</t>
        </is>
      </c>
      <c r="M494" t="n">
        <v>164</v>
      </c>
      <c r="N494" t="inlineStr">
        <is>
          <t>Pleurodeles waltl</t>
        </is>
      </c>
      <c r="O494" t="inlineStr">
        <is>
          <t>hypothetical protein NDU88_002971</t>
        </is>
      </c>
    </row>
    <row r="495">
      <c r="A495" t="inlineStr"/>
      <c r="B495" t="inlineStr"/>
      <c r="C495" t="inlineStr"/>
      <c r="D495" t="inlineStr"/>
      <c r="E495">
        <f>HYPERLINK("https://www.ncbi.nlm.nih.gov/gene/?term=KAJ1207412.1", "KAJ1207412.1")</f>
        <v/>
      </c>
      <c r="F495" t="n">
        <v>27.7</v>
      </c>
      <c r="G495" t="n">
        <v>141</v>
      </c>
      <c r="H495" t="n">
        <v>1.3e-05</v>
      </c>
      <c r="I495" t="inlineStr">
        <is>
          <t>Nr</t>
        </is>
      </c>
      <c r="J495" t="inlineStr"/>
      <c r="K495" t="inlineStr"/>
      <c r="L495" t="inlineStr">
        <is>
          <t>KAJ1207412.1 hypothetical protein NDU88_002803 [Pleurodeles waltl]</t>
        </is>
      </c>
      <c r="M495" t="n">
        <v>227</v>
      </c>
      <c r="N495" t="inlineStr">
        <is>
          <t>Pleurodeles waltl</t>
        </is>
      </c>
      <c r="O495" t="inlineStr">
        <is>
          <t>hypothetical protein NDU88_002803</t>
        </is>
      </c>
    </row>
    <row r="496">
      <c r="A496" t="inlineStr"/>
      <c r="B496" t="inlineStr"/>
      <c r="C496" t="inlineStr"/>
      <c r="D496" t="inlineStr"/>
      <c r="E496">
        <f>HYPERLINK("https://www.ncbi.nlm.nih.gov/gene/?term=KAJ1217750.1", "KAJ1217750.1")</f>
        <v/>
      </c>
      <c r="F496" t="n">
        <v>28.6</v>
      </c>
      <c r="G496" t="n">
        <v>119</v>
      </c>
      <c r="H496" t="n">
        <v>1.31e-05</v>
      </c>
      <c r="I496" t="inlineStr">
        <is>
          <t>Nr</t>
        </is>
      </c>
      <c r="J496" t="inlineStr"/>
      <c r="K496" t="inlineStr"/>
      <c r="L496" t="inlineStr">
        <is>
          <t>KAJ1217750.1 hypothetical protein NDU88_005340 [Pleurodeles waltl]</t>
        </is>
      </c>
      <c r="M496" t="n">
        <v>253</v>
      </c>
      <c r="N496" t="inlineStr">
        <is>
          <t>Pleurodeles waltl</t>
        </is>
      </c>
      <c r="O496" t="inlineStr">
        <is>
          <t>hypothetical protein NDU88_005340</t>
        </is>
      </c>
    </row>
    <row r="497">
      <c r="A497" t="inlineStr"/>
      <c r="B497" t="inlineStr"/>
      <c r="C497" t="inlineStr"/>
      <c r="D497" t="inlineStr"/>
      <c r="E497">
        <f>HYPERLINK("https://www.ncbi.nlm.nih.gov/gene/?term=KAJ1082733.1", "KAJ1082733.1")</f>
        <v/>
      </c>
      <c r="F497" t="n">
        <v>37.9</v>
      </c>
      <c r="G497" t="n">
        <v>87</v>
      </c>
      <c r="H497" t="n">
        <v>1.39e-05</v>
      </c>
      <c r="I497" t="inlineStr">
        <is>
          <t>Nr</t>
        </is>
      </c>
      <c r="J497" t="inlineStr"/>
      <c r="K497" t="inlineStr"/>
      <c r="L497" t="inlineStr">
        <is>
          <t>KAJ1082733.1 hypothetical protein NDU88_002898 [Pleurodeles waltl]</t>
        </is>
      </c>
      <c r="M497" t="n">
        <v>291</v>
      </c>
      <c r="N497" t="inlineStr">
        <is>
          <t>Pleurodeles waltl</t>
        </is>
      </c>
      <c r="O497" t="inlineStr">
        <is>
          <t>hypothetical protein NDU88_002898</t>
        </is>
      </c>
    </row>
    <row r="498">
      <c r="A498" t="inlineStr"/>
      <c r="B498" t="inlineStr"/>
      <c r="C498" t="inlineStr"/>
      <c r="D498" t="inlineStr"/>
      <c r="E498">
        <f>HYPERLINK("https://www.uniprot.org/uniprotkb/A0A8J1L5B0/entry", "A0A8J1L5B0")</f>
        <v/>
      </c>
      <c r="F498" t="n">
        <v>28.4</v>
      </c>
      <c r="G498" t="n">
        <v>116</v>
      </c>
      <c r="H498" t="n">
        <v>0.000152</v>
      </c>
      <c r="I498" t="inlineStr">
        <is>
          <t>TrEMBL</t>
        </is>
      </c>
      <c r="J498" t="inlineStr">
        <is>
          <t>LOC121395395</t>
        </is>
      </c>
      <c r="K498" t="inlineStr">
        <is>
          <t>A0A8J1L5B0_XENLA</t>
        </is>
      </c>
      <c r="L498" t="inlineStr">
        <is>
          <t>tr|A0A8J1L5B0|A0A8J1L5B0_XENLA uncharacterized protein LOC121395395 OS=Xenopus laevis OX=8355 GN=LOC121395395 PE=4 SV=1</t>
        </is>
      </c>
      <c r="M498" t="n">
        <v>313</v>
      </c>
      <c r="N498" t="inlineStr">
        <is>
          <t>Xenopus laevis</t>
        </is>
      </c>
      <c r="O498" t="inlineStr">
        <is>
          <t>uncharacterized protein LOC121395395</t>
        </is>
      </c>
    </row>
    <row r="499">
      <c r="A499" t="inlineStr"/>
      <c r="B499" t="inlineStr"/>
      <c r="C499" t="inlineStr"/>
      <c r="D499" t="inlineStr"/>
      <c r="E499">
        <f>HYPERLINK("https://www.uniprot.org/uniprotkb/A0A8J1KTG7/entry", "A0A8J1KTG7")</f>
        <v/>
      </c>
      <c r="F499" t="n">
        <v>33.3</v>
      </c>
      <c r="G499" t="n">
        <v>96</v>
      </c>
      <c r="H499" t="n">
        <v>0.000158</v>
      </c>
      <c r="I499" t="inlineStr">
        <is>
          <t>TrEMBL</t>
        </is>
      </c>
      <c r="J499" t="inlineStr">
        <is>
          <t>LOC121394107</t>
        </is>
      </c>
      <c r="K499" t="inlineStr">
        <is>
          <t>A0A8J1KTG7_XENLA</t>
        </is>
      </c>
      <c r="L499" t="inlineStr">
        <is>
          <t>tr|A0A8J1KTG7|A0A8J1KTG7_XENLA LOW QUALITY PROTEIN: interphotoreceptor matrix proteoglycan 1-like OS=Xenopus laevis OX=8355 GN=LOC121394107 PE=4 SV=1</t>
        </is>
      </c>
      <c r="M499" t="n">
        <v>1144</v>
      </c>
      <c r="N499" t="inlineStr">
        <is>
          <t>Xenopus laevis</t>
        </is>
      </c>
      <c r="O499" t="inlineStr">
        <is>
          <t>LOW QUALITY PROTEIN: interphotoreceptor matrix proteoglycan 1-like</t>
        </is>
      </c>
    </row>
    <row r="500">
      <c r="A500" t="inlineStr"/>
      <c r="B500" t="inlineStr"/>
      <c r="C500" t="inlineStr"/>
      <c r="D500" t="inlineStr"/>
      <c r="E500">
        <f>HYPERLINK("https://www.uniprot.org/uniprotkb/A0A8J1M1Q2/entry", "A0A8J1M1Q2")</f>
        <v/>
      </c>
      <c r="F500" t="n">
        <v>28.4</v>
      </c>
      <c r="G500" t="n">
        <v>116</v>
      </c>
      <c r="H500" t="n">
        <v>0.000203</v>
      </c>
      <c r="I500" t="inlineStr">
        <is>
          <t>TrEMBL</t>
        </is>
      </c>
      <c r="J500" t="inlineStr">
        <is>
          <t>LOC121399256</t>
        </is>
      </c>
      <c r="K500" t="inlineStr">
        <is>
          <t>A0A8J1M1Q2_XENLA</t>
        </is>
      </c>
      <c r="L500" t="inlineStr">
        <is>
          <t>tr|A0A8J1M1Q2|A0A8J1M1Q2_XENLA uncharacterized protein LOC121399256 OS=Xenopus laevis OX=8355 GN=LOC121399256 PE=4 SV=1</t>
        </is>
      </c>
      <c r="M500" t="n">
        <v>313</v>
      </c>
      <c r="N500" t="inlineStr">
        <is>
          <t>Xenopus laevis</t>
        </is>
      </c>
      <c r="O500" t="inlineStr">
        <is>
          <t>uncharacterized protein LOC121399256</t>
        </is>
      </c>
    </row>
    <row r="501">
      <c r="A501" t="inlineStr">
        <is>
          <t>NODE_109534_length_1522_cov_11.346392_g43889_i0</t>
        </is>
      </c>
      <c r="B501" t="inlineStr">
        <is>
          <t>bombina_pachypus_blastx</t>
        </is>
      </c>
      <c r="C501" t="n">
        <v>6.16288597927389</v>
      </c>
      <c r="D501" t="n">
        <v>0.0001912767143033</v>
      </c>
      <c r="E501">
        <f>HYPERLINK("https://www.uniprot.org/uniprotkb/A0A803JHQ6/entry", "A0A803JHQ6")</f>
        <v/>
      </c>
      <c r="F501" t="n">
        <v>45.5</v>
      </c>
      <c r="G501" t="n">
        <v>176</v>
      </c>
      <c r="H501" t="n">
        <v>6.66e-39</v>
      </c>
      <c r="I501" t="inlineStr">
        <is>
          <t>TrEMBL</t>
        </is>
      </c>
      <c r="J501" t="inlineStr"/>
      <c r="K501" t="inlineStr">
        <is>
          <t>A0A803JHQ6_XENTR</t>
        </is>
      </c>
      <c r="L501" t="inlineStr">
        <is>
          <t>tr|A0A803JHQ6|A0A803JHQ6_XENTR Reverse transcriptase domain-containing protein OS=Xenopus tropicalis OX=8364 PE=4 SV=1</t>
        </is>
      </c>
      <c r="M501" t="n">
        <v>584</v>
      </c>
      <c r="N501" t="inlineStr">
        <is>
          <t>Xenopus tropicalis</t>
        </is>
      </c>
      <c r="O501" t="inlineStr">
        <is>
          <t>Reverse transcriptase domain-containing protein</t>
        </is>
      </c>
    </row>
    <row r="502">
      <c r="A502" t="inlineStr"/>
      <c r="B502" t="inlineStr"/>
      <c r="C502" t="inlineStr"/>
      <c r="D502" t="inlineStr"/>
      <c r="E502">
        <f>HYPERLINK("https://www.ncbi.nlm.nih.gov/gene/?term=CAH2329928.1", "CAH2329928.1")</f>
        <v/>
      </c>
      <c r="F502" t="n">
        <v>41.7</v>
      </c>
      <c r="G502" t="n">
        <v>156</v>
      </c>
      <c r="H502" t="n">
        <v>5.15e-37</v>
      </c>
      <c r="I502" t="inlineStr">
        <is>
          <t>Nr</t>
        </is>
      </c>
      <c r="J502" t="inlineStr"/>
      <c r="K502" t="inlineStr"/>
      <c r="L502" t="inlineStr">
        <is>
          <t>CAH2329928.1 Hypothetical predicted protein, partial [Pelobates cultripes]</t>
        </is>
      </c>
      <c r="M502" t="n">
        <v>535</v>
      </c>
      <c r="N502" t="inlineStr">
        <is>
          <t>Pelobates cultripes</t>
        </is>
      </c>
      <c r="O502" t="inlineStr">
        <is>
          <t>Hypothetical predicted protein, partial</t>
        </is>
      </c>
    </row>
    <row r="503">
      <c r="A503" t="inlineStr"/>
      <c r="B503" t="inlineStr"/>
      <c r="C503" t="inlineStr"/>
      <c r="D503" t="inlineStr"/>
      <c r="E503">
        <f>HYPERLINK("https://www.ncbi.nlm.nih.gov/gene/?term=OCT65601.1", "OCT65601.1")</f>
        <v/>
      </c>
      <c r="F503" t="n">
        <v>50</v>
      </c>
      <c r="G503" t="n">
        <v>136</v>
      </c>
      <c r="H503" t="n">
        <v>2.21e-36</v>
      </c>
      <c r="I503" t="inlineStr">
        <is>
          <t>Nr</t>
        </is>
      </c>
      <c r="J503" t="inlineStr"/>
      <c r="K503" t="inlineStr"/>
      <c r="L503" t="inlineStr">
        <is>
          <t>OCT65601.1 hypothetical protein XELAEV_18041839mg [Xenopus laevis]</t>
        </is>
      </c>
      <c r="M503" t="n">
        <v>493</v>
      </c>
      <c r="N503" t="inlineStr">
        <is>
          <t>Xenopus laevis</t>
        </is>
      </c>
      <c r="O503" t="inlineStr">
        <is>
          <t>hypothetical protein XELAEV_18041839mg</t>
        </is>
      </c>
    </row>
    <row r="504">
      <c r="A504" t="inlineStr"/>
      <c r="B504" t="inlineStr"/>
      <c r="C504" t="inlineStr"/>
      <c r="D504" t="inlineStr"/>
      <c r="E504">
        <f>HYPERLINK("https://www.ncbi.nlm.nih.gov/gene/?term=OCT70436.1", "OCT70436.1")</f>
        <v/>
      </c>
      <c r="F504" t="n">
        <v>50</v>
      </c>
      <c r="G504" t="n">
        <v>138</v>
      </c>
      <c r="H504" t="n">
        <v>1.61e-35</v>
      </c>
      <c r="I504" t="inlineStr">
        <is>
          <t>Nr</t>
        </is>
      </c>
      <c r="J504" t="inlineStr"/>
      <c r="K504" t="inlineStr"/>
      <c r="L504" t="inlineStr">
        <is>
          <t>OCT70436.1 hypothetical protein XELAEV_18037355mg [Xenopus laevis]</t>
        </is>
      </c>
      <c r="M504" t="n">
        <v>493</v>
      </c>
      <c r="N504" t="inlineStr">
        <is>
          <t>Xenopus laevis</t>
        </is>
      </c>
      <c r="O504" t="inlineStr">
        <is>
          <t>hypothetical protein XELAEV_18037355mg</t>
        </is>
      </c>
    </row>
    <row r="505">
      <c r="A505" t="inlineStr"/>
      <c r="B505" t="inlineStr"/>
      <c r="C505" t="inlineStr"/>
      <c r="D505" t="inlineStr"/>
      <c r="E505">
        <f>HYPERLINK("https://www.uniprot.org/uniprotkb/A0A803JSK4/entry", "A0A803JSK4")</f>
        <v/>
      </c>
      <c r="F505" t="n">
        <v>41</v>
      </c>
      <c r="G505" t="n">
        <v>173</v>
      </c>
      <c r="H505" t="n">
        <v>1.77e-35</v>
      </c>
      <c r="I505" t="inlineStr">
        <is>
          <t>TrEMBL</t>
        </is>
      </c>
      <c r="J505" t="inlineStr"/>
      <c r="K505" t="inlineStr">
        <is>
          <t>A0A803JSK4_XENTR</t>
        </is>
      </c>
      <c r="L505" t="inlineStr">
        <is>
          <t>tr|A0A803JSK4|A0A803JSK4_XENTR Reverse transcriptase domain-containing protein OS=Xenopus tropicalis OX=8364 PE=4 SV=1</t>
        </is>
      </c>
      <c r="M505" t="n">
        <v>639</v>
      </c>
      <c r="N505" t="inlineStr">
        <is>
          <t>Xenopus tropicalis</t>
        </is>
      </c>
      <c r="O505" t="inlineStr">
        <is>
          <t>Reverse transcriptase domain-containing protein</t>
        </is>
      </c>
    </row>
    <row r="506">
      <c r="A506" t="inlineStr"/>
      <c r="B506" t="inlineStr"/>
      <c r="C506" t="inlineStr"/>
      <c r="D506" t="inlineStr"/>
      <c r="E506">
        <f>HYPERLINK("https://www.uniprot.org/uniprotkb/A0A803J844/entry", "A0A803J844")</f>
        <v/>
      </c>
      <c r="F506" t="n">
        <v>41</v>
      </c>
      <c r="G506" t="n">
        <v>173</v>
      </c>
      <c r="H506" t="n">
        <v>2.13e-35</v>
      </c>
      <c r="I506" t="inlineStr">
        <is>
          <t>TrEMBL</t>
        </is>
      </c>
      <c r="J506" t="inlineStr"/>
      <c r="K506" t="inlineStr">
        <is>
          <t>A0A803J844_XENTR</t>
        </is>
      </c>
      <c r="L506" t="inlineStr">
        <is>
          <t>tr|A0A803J844|A0A803J844_XENTR Reverse transcriptase domain-containing protein OS=Xenopus tropicalis OX=8364 PE=4 SV=1</t>
        </is>
      </c>
      <c r="M506" t="n">
        <v>673</v>
      </c>
      <c r="N506" t="inlineStr">
        <is>
          <t>Xenopus tropicalis</t>
        </is>
      </c>
      <c r="O506" t="inlineStr">
        <is>
          <t>Reverse transcriptase domain-containing protein</t>
        </is>
      </c>
    </row>
    <row r="507">
      <c r="A507" t="inlineStr"/>
      <c r="B507" t="inlineStr"/>
      <c r="C507" t="inlineStr"/>
      <c r="D507" t="inlineStr"/>
      <c r="E507">
        <f>HYPERLINK("https://www.uniprot.org/uniprotkb/A0A803JZX6/entry", "A0A803JZX6")</f>
        <v/>
      </c>
      <c r="F507" t="n">
        <v>42.9</v>
      </c>
      <c r="G507" t="n">
        <v>177</v>
      </c>
      <c r="H507" t="n">
        <v>5.53e-35</v>
      </c>
      <c r="I507" t="inlineStr">
        <is>
          <t>TrEMBL</t>
        </is>
      </c>
      <c r="J507" t="inlineStr"/>
      <c r="K507" t="inlineStr">
        <is>
          <t>A0A803JZX6_XENTR</t>
        </is>
      </c>
      <c r="L507" t="inlineStr">
        <is>
          <t>tr|A0A803JZX6|A0A803JZX6_XENTR Reverse transcriptase domain-containing protein OS=Xenopus tropicalis OX=8364 PE=4 SV=1</t>
        </is>
      </c>
      <c r="M507" t="n">
        <v>482</v>
      </c>
      <c r="N507" t="inlineStr">
        <is>
          <t>Xenopus tropicalis</t>
        </is>
      </c>
      <c r="O507" t="inlineStr">
        <is>
          <t>Reverse transcriptase domain-containing protein</t>
        </is>
      </c>
    </row>
    <row r="508">
      <c r="A508" t="inlineStr"/>
      <c r="B508" t="inlineStr"/>
      <c r="C508" t="inlineStr"/>
      <c r="D508" t="inlineStr"/>
      <c r="E508">
        <f>HYPERLINK("https://www.uniprot.org/uniprotkb/A0A803KFZ4/entry", "A0A803KFZ4")</f>
        <v/>
      </c>
      <c r="F508" t="n">
        <v>48.1</v>
      </c>
      <c r="G508" t="n">
        <v>135</v>
      </c>
      <c r="H508" t="n">
        <v>6.850000000000001e-35</v>
      </c>
      <c r="I508" t="inlineStr">
        <is>
          <t>TrEMBL</t>
        </is>
      </c>
      <c r="J508" t="inlineStr"/>
      <c r="K508" t="inlineStr">
        <is>
          <t>A0A803KFZ4_XENTR</t>
        </is>
      </c>
      <c r="L508" t="inlineStr">
        <is>
          <t>tr|A0A803KFZ4|A0A803KFZ4_XENTR Reverse transcriptase domain-containing protein OS=Xenopus tropicalis OX=8364 PE=4 SV=1</t>
        </is>
      </c>
      <c r="M508" t="n">
        <v>561</v>
      </c>
      <c r="N508" t="inlineStr">
        <is>
          <t>Xenopus tropicalis</t>
        </is>
      </c>
      <c r="O508" t="inlineStr">
        <is>
          <t>Reverse transcriptase domain-containing protein</t>
        </is>
      </c>
    </row>
    <row r="509">
      <c r="A509" t="inlineStr"/>
      <c r="B509" t="inlineStr"/>
      <c r="C509" t="inlineStr"/>
      <c r="D509" t="inlineStr"/>
      <c r="E509">
        <f>HYPERLINK("https://www.ncbi.nlm.nih.gov/gene/?term=OCT98704.1", "OCT98704.1")</f>
        <v/>
      </c>
      <c r="F509" t="n">
        <v>42</v>
      </c>
      <c r="G509" t="n">
        <v>176</v>
      </c>
      <c r="H509" t="n">
        <v>1.86e-34</v>
      </c>
      <c r="I509" t="inlineStr">
        <is>
          <t>Nr</t>
        </is>
      </c>
      <c r="J509" t="inlineStr"/>
      <c r="K509" t="inlineStr"/>
      <c r="L509" t="inlineStr">
        <is>
          <t>OCT98704.1 hypothetical protein XELAEV_18010935mg, partial [Xenopus laevis]</t>
        </is>
      </c>
      <c r="M509" t="n">
        <v>322</v>
      </c>
      <c r="N509" t="inlineStr">
        <is>
          <t>Xenopus laevis</t>
        </is>
      </c>
      <c r="O509" t="inlineStr">
        <is>
          <t>hypothetical protein XELAEV_18010935mg, partial</t>
        </is>
      </c>
    </row>
    <row r="510">
      <c r="A510" t="inlineStr"/>
      <c r="B510" t="inlineStr"/>
      <c r="C510" t="inlineStr"/>
      <c r="D510" t="inlineStr"/>
      <c r="E510">
        <f>HYPERLINK("https://www.ncbi.nlm.nih.gov/gene/?term=XP_044141771.1", "XP_044141771.1")</f>
        <v/>
      </c>
      <c r="F510" t="n">
        <v>46.2</v>
      </c>
      <c r="G510" t="n">
        <v>156</v>
      </c>
      <c r="H510" t="n">
        <v>2.18e-34</v>
      </c>
      <c r="I510" t="inlineStr">
        <is>
          <t>Nr</t>
        </is>
      </c>
      <c r="J510" t="inlineStr"/>
      <c r="K510" t="inlineStr"/>
      <c r="L510" t="inlineStr">
        <is>
          <t>XP_044141771.1 zinc finger protein 585A-like [Bufo gargarizans]</t>
        </is>
      </c>
      <c r="M510" t="n">
        <v>974</v>
      </c>
      <c r="N510" t="inlineStr">
        <is>
          <t>Bufo gargarizans</t>
        </is>
      </c>
      <c r="O510" t="inlineStr">
        <is>
          <t>zinc finger protein 585A-like</t>
        </is>
      </c>
    </row>
    <row r="511">
      <c r="A511" t="inlineStr"/>
      <c r="B511" t="inlineStr"/>
      <c r="C511" t="inlineStr"/>
      <c r="D511" t="inlineStr"/>
      <c r="E511">
        <f>HYPERLINK("https://www.ncbi.nlm.nih.gov/gene/?term=OCT60119.1", "OCT60119.1")</f>
        <v/>
      </c>
      <c r="F511" t="n">
        <v>48.9</v>
      </c>
      <c r="G511" t="n">
        <v>139</v>
      </c>
      <c r="H511" t="n">
        <v>2.3e-34</v>
      </c>
      <c r="I511" t="inlineStr">
        <is>
          <t>Nr</t>
        </is>
      </c>
      <c r="J511" t="inlineStr"/>
      <c r="K511" t="inlineStr"/>
      <c r="L511" t="inlineStr">
        <is>
          <t>OCT60119.1 hypothetical protein XELAEV_18046140mg [Xenopus laevis]</t>
        </is>
      </c>
      <c r="M511" t="n">
        <v>494</v>
      </c>
      <c r="N511" t="inlineStr">
        <is>
          <t>Xenopus laevis</t>
        </is>
      </c>
      <c r="O511" t="inlineStr">
        <is>
          <t>hypothetical protein XELAEV_18046140mg</t>
        </is>
      </c>
    </row>
    <row r="512">
      <c r="A512" t="inlineStr"/>
      <c r="B512" t="inlineStr"/>
      <c r="C512" t="inlineStr"/>
      <c r="D512" t="inlineStr"/>
      <c r="E512">
        <f>HYPERLINK("https://www.uniprot.org/uniprotkb/A0A803JCF5/entry", "A0A803JCF5")</f>
        <v/>
      </c>
      <c r="F512" t="n">
        <v>42.4</v>
      </c>
      <c r="G512" t="n">
        <v>177</v>
      </c>
      <c r="H512" t="n">
        <v>3.18e-34</v>
      </c>
      <c r="I512" t="inlineStr">
        <is>
          <t>TrEMBL</t>
        </is>
      </c>
      <c r="J512" t="inlineStr"/>
      <c r="K512" t="inlineStr">
        <is>
          <t>A0A803JCF5_XENTR</t>
        </is>
      </c>
      <c r="L512" t="inlineStr">
        <is>
          <t>tr|A0A803JCF5|A0A803JCF5_XENTR Reverse transcriptase domain-containing protein OS=Xenopus tropicalis OX=8364 PE=4 SV=1</t>
        </is>
      </c>
      <c r="M512" t="n">
        <v>551</v>
      </c>
      <c r="N512" t="inlineStr">
        <is>
          <t>Xenopus tropicalis</t>
        </is>
      </c>
      <c r="O512" t="inlineStr">
        <is>
          <t>Reverse transcriptase domain-containing protein</t>
        </is>
      </c>
    </row>
    <row r="513">
      <c r="A513" t="inlineStr"/>
      <c r="B513" t="inlineStr"/>
      <c r="C513" t="inlineStr"/>
      <c r="D513" t="inlineStr"/>
      <c r="E513">
        <f>HYPERLINK("https://www.uniprot.org/uniprotkb/A0A8C5PLW3/entry", "A0A8C5PLW3")</f>
        <v/>
      </c>
      <c r="F513" t="n">
        <v>44</v>
      </c>
      <c r="G513" t="n">
        <v>141</v>
      </c>
      <c r="H513" t="n">
        <v>3.27e-34</v>
      </c>
      <c r="I513" t="inlineStr">
        <is>
          <t>TrEMBL</t>
        </is>
      </c>
      <c r="J513" t="inlineStr"/>
      <c r="K513" t="inlineStr">
        <is>
          <t>A0A8C5PLW3_9ANUR</t>
        </is>
      </c>
      <c r="L513" t="inlineStr">
        <is>
          <t>tr|A0A8C5PLW3|A0A8C5PLW3_9ANUR Reverse transcriptase domain-containing protein OS=Leptobrachium leishanense OX=445787 PE=4 SV=1</t>
        </is>
      </c>
      <c r="M513" t="n">
        <v>594</v>
      </c>
      <c r="N513" t="inlineStr">
        <is>
          <t>Leptobrachium leishanense</t>
        </is>
      </c>
      <c r="O513" t="inlineStr">
        <is>
          <t>Reverse transcriptase domain-containing protein</t>
        </is>
      </c>
    </row>
    <row r="514">
      <c r="A514" t="inlineStr"/>
      <c r="B514" t="inlineStr"/>
      <c r="C514" t="inlineStr"/>
      <c r="D514" t="inlineStr"/>
      <c r="E514">
        <f>HYPERLINK("https://www.ncbi.nlm.nih.gov/gene/?term=KAJ1156481.1", "KAJ1156481.1")</f>
        <v/>
      </c>
      <c r="F514" t="n">
        <v>48.9</v>
      </c>
      <c r="G514" t="n">
        <v>139</v>
      </c>
      <c r="H514" t="n">
        <v>3.49e-34</v>
      </c>
      <c r="I514" t="inlineStr">
        <is>
          <t>Nr</t>
        </is>
      </c>
      <c r="J514" t="inlineStr"/>
      <c r="K514" t="inlineStr"/>
      <c r="L514" t="inlineStr">
        <is>
          <t>KAJ1156481.1 hypothetical protein NDU88_009200 [Pleurodeles waltl]</t>
        </is>
      </c>
      <c r="M514" t="n">
        <v>220</v>
      </c>
      <c r="N514" t="inlineStr">
        <is>
          <t>Pleurodeles waltl</t>
        </is>
      </c>
      <c r="O514" t="inlineStr">
        <is>
          <t>hypothetical protein NDU88_009200</t>
        </is>
      </c>
    </row>
    <row r="515">
      <c r="A515" t="inlineStr"/>
      <c r="B515" t="inlineStr"/>
      <c r="C515" t="inlineStr"/>
      <c r="D515" t="inlineStr"/>
      <c r="E515">
        <f>HYPERLINK("https://www.uniprot.org/uniprotkb/A0A8C5LIJ5/entry", "A0A8C5LIJ5")</f>
        <v/>
      </c>
      <c r="F515" t="n">
        <v>44</v>
      </c>
      <c r="G515" t="n">
        <v>141</v>
      </c>
      <c r="H515" t="n">
        <v>4.36e-34</v>
      </c>
      <c r="I515" t="inlineStr">
        <is>
          <t>TrEMBL</t>
        </is>
      </c>
      <c r="J515" t="inlineStr"/>
      <c r="K515" t="inlineStr">
        <is>
          <t>A0A8C5LIJ5_9ANUR</t>
        </is>
      </c>
      <c r="L515" t="inlineStr">
        <is>
          <t>tr|A0A8C5LIJ5|A0A8C5LIJ5_9ANUR GIY-YIG domain-containing protein OS=Leptobrachium leishanense OX=445787 PE=4 SV=1</t>
        </is>
      </c>
      <c r="M515" t="n">
        <v>721</v>
      </c>
      <c r="N515" t="inlineStr">
        <is>
          <t>Leptobrachium leishanense</t>
        </is>
      </c>
      <c r="O515" t="inlineStr">
        <is>
          <t>GIY-YIG domain-containing protein</t>
        </is>
      </c>
    </row>
    <row r="516">
      <c r="A516" t="inlineStr"/>
      <c r="B516" t="inlineStr"/>
      <c r="C516" t="inlineStr"/>
      <c r="D516" t="inlineStr"/>
      <c r="E516">
        <f>HYPERLINK("https://www.ncbi.nlm.nih.gov/gene/?term=KAE8601590.1", "KAE8601590.1")</f>
        <v/>
      </c>
      <c r="F516" t="n">
        <v>42.4</v>
      </c>
      <c r="G516" t="n">
        <v>177</v>
      </c>
      <c r="H516" t="n">
        <v>5.79e-34</v>
      </c>
      <c r="I516" t="inlineStr">
        <is>
          <t>Nr</t>
        </is>
      </c>
      <c r="J516" t="inlineStr"/>
      <c r="K516" t="inlineStr"/>
      <c r="L516" t="inlineStr">
        <is>
          <t>KAE8601590.1 hypothetical protein XENTR_v10013728 [Xenopus tropicalis]</t>
        </is>
      </c>
      <c r="M516" t="n">
        <v>1505</v>
      </c>
      <c r="N516" t="inlineStr">
        <is>
          <t>Xenopus tropicalis</t>
        </is>
      </c>
      <c r="O516" t="inlineStr">
        <is>
          <t>hypothetical protein XENTR_v10013728</t>
        </is>
      </c>
    </row>
    <row r="517">
      <c r="A517" t="inlineStr"/>
      <c r="B517" t="inlineStr"/>
      <c r="C517" t="inlineStr"/>
      <c r="D517" t="inlineStr"/>
      <c r="E517">
        <f>HYPERLINK("https://www.uniprot.org/uniprotkb/A0A8C5PV95/entry", "A0A8C5PV95")</f>
        <v/>
      </c>
      <c r="F517" t="n">
        <v>38.6</v>
      </c>
      <c r="G517" t="n">
        <v>176</v>
      </c>
      <c r="H517" t="n">
        <v>8.13e-34</v>
      </c>
      <c r="I517" t="inlineStr">
        <is>
          <t>TrEMBL</t>
        </is>
      </c>
      <c r="J517" t="inlineStr"/>
      <c r="K517" t="inlineStr">
        <is>
          <t>A0A8C5PV95_9ANUR</t>
        </is>
      </c>
      <c r="L517" t="inlineStr">
        <is>
          <t>tr|A0A8C5PV95|A0A8C5PV95_9ANUR Reverse transcriptase domain-containing protein OS=Leptobrachium leishanense OX=445787 PE=4 SV=1</t>
        </is>
      </c>
      <c r="M517" t="n">
        <v>637</v>
      </c>
      <c r="N517" t="inlineStr">
        <is>
          <t>Leptobrachium leishanense</t>
        </is>
      </c>
      <c r="O517" t="inlineStr">
        <is>
          <t>Reverse transcriptase domain-containing protein</t>
        </is>
      </c>
    </row>
    <row r="518">
      <c r="A518" t="inlineStr"/>
      <c r="B518" t="inlineStr"/>
      <c r="C518" t="inlineStr"/>
      <c r="D518" t="inlineStr"/>
      <c r="E518">
        <f>HYPERLINK("https://www.ncbi.nlm.nih.gov/gene/?term=OCT93449.1", "OCT93449.1")</f>
        <v/>
      </c>
      <c r="F518" t="n">
        <v>49.3</v>
      </c>
      <c r="G518" t="n">
        <v>136</v>
      </c>
      <c r="H518" t="n">
        <v>1.18e-33</v>
      </c>
      <c r="I518" t="inlineStr">
        <is>
          <t>Nr</t>
        </is>
      </c>
      <c r="J518" t="inlineStr"/>
      <c r="K518" t="inlineStr"/>
      <c r="L518" t="inlineStr">
        <is>
          <t>OCT93449.1 hypothetical protein XELAEV_18016518mg [Xenopus laevis]</t>
        </is>
      </c>
      <c r="M518" t="n">
        <v>493</v>
      </c>
      <c r="N518" t="inlineStr">
        <is>
          <t>Xenopus laevis</t>
        </is>
      </c>
      <c r="O518" t="inlineStr">
        <is>
          <t>hypothetical protein XELAEV_18016518mg</t>
        </is>
      </c>
    </row>
    <row r="519">
      <c r="A519" t="inlineStr"/>
      <c r="B519" t="inlineStr"/>
      <c r="C519" t="inlineStr"/>
      <c r="D519" t="inlineStr"/>
      <c r="E519">
        <f>HYPERLINK("https://www.uniprot.org/uniprotkb/A0A8J1JBP4/entry", "A0A8J1JBP4")</f>
        <v/>
      </c>
      <c r="F519" t="n">
        <v>41.8</v>
      </c>
      <c r="G519" t="n">
        <v>177</v>
      </c>
      <c r="H519" t="n">
        <v>1.88e-33</v>
      </c>
      <c r="I519" t="inlineStr">
        <is>
          <t>TrEMBL</t>
        </is>
      </c>
      <c r="J519" t="inlineStr">
        <is>
          <t>LOC108645441</t>
        </is>
      </c>
      <c r="K519" t="inlineStr">
        <is>
          <t>A0A8J1JBP4_XENTR</t>
        </is>
      </c>
      <c r="L519" t="inlineStr">
        <is>
          <t>tr|A0A8J1JBP4|A0A8J1JBP4_XENTR uncharacterized protein LOC108645441 OS=Xenopus tropicalis OX=8364 GN=LOC108645441 PE=4 SV=1</t>
        </is>
      </c>
      <c r="M519" t="n">
        <v>569</v>
      </c>
      <c r="N519" t="inlineStr">
        <is>
          <t>Xenopus tropicalis</t>
        </is>
      </c>
      <c r="O519" t="inlineStr">
        <is>
          <t>uncharacterized protein LOC108645441</t>
        </is>
      </c>
    </row>
    <row r="520">
      <c r="A520" t="inlineStr"/>
      <c r="B520" t="inlineStr"/>
      <c r="C520" t="inlineStr"/>
      <c r="D520" t="inlineStr"/>
      <c r="E520">
        <f>HYPERLINK("https://www.uniprot.org/uniprotkb/A0A8C5QN04/entry", "A0A8C5QN04")</f>
        <v/>
      </c>
      <c r="F520" t="n">
        <v>45.4</v>
      </c>
      <c r="G520" t="n">
        <v>141</v>
      </c>
      <c r="H520" t="n">
        <v>2.41e-33</v>
      </c>
      <c r="I520" t="inlineStr">
        <is>
          <t>TrEMBL</t>
        </is>
      </c>
      <c r="J520" t="inlineStr"/>
      <c r="K520" t="inlineStr">
        <is>
          <t>A0A8C5QN04_9ANUR</t>
        </is>
      </c>
      <c r="L520" t="inlineStr">
        <is>
          <t>tr|A0A8C5QN04|A0A8C5QN04_9ANUR GIY-YIG domain-containing protein OS=Leptobrachium leishanense OX=445787 PE=4 SV=1</t>
        </is>
      </c>
      <c r="M520" t="n">
        <v>815</v>
      </c>
      <c r="N520" t="inlineStr">
        <is>
          <t>Leptobrachium leishanense</t>
        </is>
      </c>
      <c r="O520" t="inlineStr">
        <is>
          <t>GIY-YIG domain-containing protein</t>
        </is>
      </c>
    </row>
    <row r="521">
      <c r="A521" t="inlineStr"/>
      <c r="B521" t="inlineStr"/>
      <c r="C521" t="inlineStr"/>
      <c r="D521" t="inlineStr"/>
      <c r="E521">
        <f>HYPERLINK("https://www.uniprot.org/uniprotkb/A0A803J3S0/entry", "A0A803J3S0")</f>
        <v/>
      </c>
      <c r="F521" t="n">
        <v>41.5</v>
      </c>
      <c r="G521" t="n">
        <v>176</v>
      </c>
      <c r="H521" t="n">
        <v>2.53e-33</v>
      </c>
      <c r="I521" t="inlineStr">
        <is>
          <t>TrEMBL</t>
        </is>
      </c>
      <c r="J521" t="inlineStr"/>
      <c r="K521" t="inlineStr">
        <is>
          <t>A0A803J3S0_XENTR</t>
        </is>
      </c>
      <c r="L521" t="inlineStr">
        <is>
          <t>tr|A0A803J3S0|A0A803J3S0_XENTR Reverse transcriptase domain-containing protein OS=Xenopus tropicalis OX=8364 PE=4 SV=1</t>
        </is>
      </c>
      <c r="M521" t="n">
        <v>679</v>
      </c>
      <c r="N521" t="inlineStr">
        <is>
          <t>Xenopus tropicalis</t>
        </is>
      </c>
      <c r="O521" t="inlineStr">
        <is>
          <t>Reverse transcriptase domain-containing protein</t>
        </is>
      </c>
    </row>
    <row r="522">
      <c r="A522" t="inlineStr"/>
      <c r="B522" t="inlineStr"/>
      <c r="C522" t="inlineStr"/>
      <c r="D522" t="inlineStr"/>
      <c r="E522">
        <f>HYPERLINK("https://www.uniprot.org/uniprotkb/A0A803JVB3/entry", "A0A803JVB3")</f>
        <v/>
      </c>
      <c r="F522" t="n">
        <v>41.8</v>
      </c>
      <c r="G522" t="n">
        <v>177</v>
      </c>
      <c r="H522" t="n">
        <v>3.49e-33</v>
      </c>
      <c r="I522" t="inlineStr">
        <is>
          <t>TrEMBL</t>
        </is>
      </c>
      <c r="J522" t="inlineStr"/>
      <c r="K522" t="inlineStr">
        <is>
          <t>A0A803JVB3_XENTR</t>
        </is>
      </c>
      <c r="L522" t="inlineStr">
        <is>
          <t>tr|A0A803JVB3|A0A803JVB3_XENTR Reverse transcriptase domain-containing protein OS=Xenopus tropicalis OX=8364 PE=4 SV=1</t>
        </is>
      </c>
      <c r="M522" t="n">
        <v>680</v>
      </c>
      <c r="N522" t="inlineStr">
        <is>
          <t>Xenopus tropicalis</t>
        </is>
      </c>
      <c r="O522" t="inlineStr">
        <is>
          <t>Reverse transcriptase domain-containing protein</t>
        </is>
      </c>
    </row>
    <row r="523">
      <c r="A523" t="inlineStr"/>
      <c r="B523" t="inlineStr"/>
      <c r="C523" t="inlineStr"/>
      <c r="D523" t="inlineStr"/>
      <c r="E523">
        <f>HYPERLINK("https://www.ncbi.nlm.nih.gov/gene/?term=XP_044129795.1", "XP_044129795.1")</f>
        <v/>
      </c>
      <c r="F523" t="n">
        <v>48.1</v>
      </c>
      <c r="G523" t="n">
        <v>135</v>
      </c>
      <c r="H523" t="n">
        <v>3.65e-33</v>
      </c>
      <c r="I523" t="inlineStr">
        <is>
          <t>Nr</t>
        </is>
      </c>
      <c r="J523" t="inlineStr"/>
      <c r="K523" t="inlineStr"/>
      <c r="L523" t="inlineStr">
        <is>
          <t>XP_044129795.1 uncharacterized protein LOC122923137 [Bufo gargarizans]</t>
        </is>
      </c>
      <c r="M523" t="n">
        <v>334</v>
      </c>
      <c r="N523" t="inlineStr">
        <is>
          <t>Bufo gargarizans</t>
        </is>
      </c>
      <c r="O523" t="inlineStr">
        <is>
          <t>uncharacterized protein LOC122923137</t>
        </is>
      </c>
    </row>
    <row r="524">
      <c r="A524" t="inlineStr"/>
      <c r="B524" t="inlineStr"/>
      <c r="C524" t="inlineStr"/>
      <c r="D524" t="inlineStr"/>
      <c r="E524">
        <f>HYPERLINK("https://www.ncbi.nlm.nih.gov/gene/?term=XP_031754066.1", "XP_031754066.1")</f>
        <v/>
      </c>
      <c r="F524" t="n">
        <v>41.8</v>
      </c>
      <c r="G524" t="n">
        <v>177</v>
      </c>
      <c r="H524" t="n">
        <v>4.83e-33</v>
      </c>
      <c r="I524" t="inlineStr">
        <is>
          <t>Nr</t>
        </is>
      </c>
      <c r="J524" t="inlineStr"/>
      <c r="K524" t="inlineStr"/>
      <c r="L524" t="inlineStr">
        <is>
          <t>XP_031754066.1 uncharacterized protein LOC108645441 [Xenopus tropicalis]</t>
        </is>
      </c>
      <c r="M524" t="n">
        <v>569</v>
      </c>
      <c r="N524" t="inlineStr">
        <is>
          <t>Xenopus tropicalis</t>
        </is>
      </c>
      <c r="O524" t="inlineStr">
        <is>
          <t>uncharacterized protein LOC108645441</t>
        </is>
      </c>
    </row>
    <row r="525">
      <c r="A525" t="inlineStr"/>
      <c r="B525" t="inlineStr"/>
      <c r="C525" t="inlineStr"/>
      <c r="D525" t="inlineStr"/>
      <c r="E525">
        <f>HYPERLINK("https://www.ncbi.nlm.nih.gov/gene/?term=KAJ1092986.1", "KAJ1092986.1")</f>
        <v/>
      </c>
      <c r="F525" t="n">
        <v>42.2</v>
      </c>
      <c r="G525" t="n">
        <v>180</v>
      </c>
      <c r="H525" t="n">
        <v>6.04e-33</v>
      </c>
      <c r="I525" t="inlineStr">
        <is>
          <t>Nr</t>
        </is>
      </c>
      <c r="J525" t="inlineStr"/>
      <c r="K525" t="inlineStr"/>
      <c r="L525" t="inlineStr">
        <is>
          <t>KAJ1092986.1 hypothetical protein NDU88_006096 [Pleurodeles waltl]</t>
        </is>
      </c>
      <c r="M525" t="n">
        <v>465</v>
      </c>
      <c r="N525" t="inlineStr">
        <is>
          <t>Pleurodeles waltl</t>
        </is>
      </c>
      <c r="O525" t="inlineStr">
        <is>
          <t>hypothetical protein NDU88_006096</t>
        </is>
      </c>
    </row>
    <row r="526">
      <c r="A526" t="inlineStr"/>
      <c r="B526" t="inlineStr"/>
      <c r="C526" t="inlineStr"/>
      <c r="D526" t="inlineStr"/>
      <c r="E526">
        <f>HYPERLINK("https://www.uniprot.org/uniprotkb/A0A8C5LU34/entry", "A0A8C5LU34")</f>
        <v/>
      </c>
      <c r="F526" t="n">
        <v>41.7</v>
      </c>
      <c r="G526" t="n">
        <v>156</v>
      </c>
      <c r="H526" t="n">
        <v>8.850000000000001e-33</v>
      </c>
      <c r="I526" t="inlineStr">
        <is>
          <t>TrEMBL</t>
        </is>
      </c>
      <c r="J526" t="inlineStr"/>
      <c r="K526" t="inlineStr">
        <is>
          <t>A0A8C5LU34_9ANUR</t>
        </is>
      </c>
      <c r="L526" t="inlineStr">
        <is>
          <t>tr|A0A8C5LU34|A0A8C5LU34_9ANUR Reverse transcriptase domain-containing protein OS=Leptobrachium leishanense OX=445787 PE=4 SV=1</t>
        </is>
      </c>
      <c r="M526" t="n">
        <v>377</v>
      </c>
      <c r="N526" t="inlineStr">
        <is>
          <t>Leptobrachium leishanense</t>
        </is>
      </c>
      <c r="O526" t="inlineStr">
        <is>
          <t>Reverse transcriptase domain-containing protein</t>
        </is>
      </c>
    </row>
    <row r="527">
      <c r="A527" t="inlineStr"/>
      <c r="B527" t="inlineStr"/>
      <c r="C527" t="inlineStr"/>
      <c r="D527" t="inlineStr"/>
      <c r="E527">
        <f>HYPERLINK("https://www.ncbi.nlm.nih.gov/gene/?term=KAJ1200103.1", "KAJ1200103.1")</f>
        <v/>
      </c>
      <c r="F527" t="n">
        <v>49.6</v>
      </c>
      <c r="G527" t="n">
        <v>139</v>
      </c>
      <c r="H527" t="n">
        <v>9.340000000000001e-33</v>
      </c>
      <c r="I527" t="inlineStr">
        <is>
          <t>Nr</t>
        </is>
      </c>
      <c r="J527" t="inlineStr"/>
      <c r="K527" t="inlineStr"/>
      <c r="L527" t="inlineStr">
        <is>
          <t>KAJ1200103.1 hypothetical protein NDU88_003931 [Pleurodeles waltl]</t>
        </is>
      </c>
      <c r="M527" t="n">
        <v>1443</v>
      </c>
      <c r="N527" t="inlineStr">
        <is>
          <t>Pleurodeles waltl</t>
        </is>
      </c>
      <c r="O527" t="inlineStr">
        <is>
          <t>hypothetical protein NDU88_003931</t>
        </is>
      </c>
    </row>
    <row r="528">
      <c r="A528" t="inlineStr"/>
      <c r="B528" t="inlineStr"/>
      <c r="C528" t="inlineStr"/>
      <c r="D528" t="inlineStr"/>
      <c r="E528">
        <f>HYPERLINK("https://www.ncbi.nlm.nih.gov/gene/?term=OCT72372.1", "OCT72372.1")</f>
        <v/>
      </c>
      <c r="F528" t="n">
        <v>40.7</v>
      </c>
      <c r="G528" t="n">
        <v>177</v>
      </c>
      <c r="H528" t="n">
        <v>9.37e-33</v>
      </c>
      <c r="I528" t="inlineStr">
        <is>
          <t>Nr</t>
        </is>
      </c>
      <c r="J528" t="inlineStr"/>
      <c r="K528" t="inlineStr"/>
      <c r="L528" t="inlineStr">
        <is>
          <t>OCT72372.1 hypothetical protein XELAEV_18035350mg [Xenopus laevis]</t>
        </is>
      </c>
      <c r="M528" t="n">
        <v>404</v>
      </c>
      <c r="N528" t="inlineStr">
        <is>
          <t>Xenopus laevis</t>
        </is>
      </c>
      <c r="O528" t="inlineStr">
        <is>
          <t>hypothetical protein XELAEV_18035350mg</t>
        </is>
      </c>
    </row>
    <row r="529">
      <c r="A529" t="inlineStr"/>
      <c r="B529" t="inlineStr"/>
      <c r="C529" t="inlineStr"/>
      <c r="D529" t="inlineStr"/>
      <c r="E529">
        <f>HYPERLINK("https://www.ncbi.nlm.nih.gov/gene/?term=OCT89306.1", "OCT89306.1")</f>
        <v/>
      </c>
      <c r="F529" t="n">
        <v>42.4</v>
      </c>
      <c r="G529" t="n">
        <v>177</v>
      </c>
      <c r="H529" t="n">
        <v>1.01e-32</v>
      </c>
      <c r="I529" t="inlineStr">
        <is>
          <t>Nr</t>
        </is>
      </c>
      <c r="J529" t="inlineStr"/>
      <c r="K529" t="inlineStr"/>
      <c r="L529" t="inlineStr">
        <is>
          <t>OCT89306.1 hypothetical protein XELAEV_18017926mg [Xenopus laevis]</t>
        </is>
      </c>
      <c r="M529" t="n">
        <v>723</v>
      </c>
      <c r="N529" t="inlineStr">
        <is>
          <t>Xenopus laevis</t>
        </is>
      </c>
      <c r="O529" t="inlineStr">
        <is>
          <t>hypothetical protein XELAEV_18017926mg</t>
        </is>
      </c>
    </row>
    <row r="530">
      <c r="A530" t="inlineStr"/>
      <c r="B530" t="inlineStr"/>
      <c r="C530" t="inlineStr"/>
      <c r="D530" t="inlineStr"/>
      <c r="E530">
        <f>HYPERLINK("https://www.ncbi.nlm.nih.gov/gene/?term=KAJ1132389.1", "KAJ1132389.1")</f>
        <v/>
      </c>
      <c r="F530" t="n">
        <v>44.5</v>
      </c>
      <c r="G530" t="n">
        <v>137</v>
      </c>
      <c r="H530" t="n">
        <v>1.07e-32</v>
      </c>
      <c r="I530" t="inlineStr">
        <is>
          <t>Nr</t>
        </is>
      </c>
      <c r="J530" t="inlineStr"/>
      <c r="K530" t="inlineStr"/>
      <c r="L530" t="inlineStr">
        <is>
          <t>KAJ1132389.1 hypothetical protein NDU88_010703, partial [Pleurodeles waltl]</t>
        </is>
      </c>
      <c r="M530" t="n">
        <v>219</v>
      </c>
      <c r="N530" t="inlineStr">
        <is>
          <t>Pleurodeles waltl</t>
        </is>
      </c>
      <c r="O530" t="inlineStr">
        <is>
          <t>hypothetical protein NDU88_010703, partial</t>
        </is>
      </c>
    </row>
    <row r="531">
      <c r="A531" t="inlineStr"/>
      <c r="B531" t="inlineStr"/>
      <c r="C531" t="inlineStr"/>
      <c r="D531" t="inlineStr"/>
      <c r="E531">
        <f>HYPERLINK("https://www.uniprot.org/uniprotkb/A0A8C5PH59/entry", "A0A8C5PH59")</f>
        <v/>
      </c>
      <c r="F531" t="n">
        <v>42.4</v>
      </c>
      <c r="G531" t="n">
        <v>139</v>
      </c>
      <c r="H531" t="n">
        <v>1.48e-32</v>
      </c>
      <c r="I531" t="inlineStr">
        <is>
          <t>TrEMBL</t>
        </is>
      </c>
      <c r="J531" t="inlineStr"/>
      <c r="K531" t="inlineStr">
        <is>
          <t>A0A8C5PH59_9ANUR</t>
        </is>
      </c>
      <c r="L531" t="inlineStr">
        <is>
          <t>tr|A0A8C5PH59|A0A8C5PH59_9ANUR ATP-grasp domain-containing protein OS=Leptobrachium leishanense OX=445787 PE=4 SV=1</t>
        </is>
      </c>
      <c r="M531" t="n">
        <v>408</v>
      </c>
      <c r="N531" t="inlineStr">
        <is>
          <t>Leptobrachium leishanense</t>
        </is>
      </c>
      <c r="O531" t="inlineStr">
        <is>
          <t>ATP-grasp domain-containing protein</t>
        </is>
      </c>
    </row>
    <row r="532">
      <c r="A532" t="inlineStr"/>
      <c r="B532" t="inlineStr"/>
      <c r="C532" t="inlineStr"/>
      <c r="D532" t="inlineStr"/>
      <c r="E532">
        <f>HYPERLINK("https://www.ncbi.nlm.nih.gov/gene/?term=KAJ1161196.1", "KAJ1161196.1")</f>
        <v/>
      </c>
      <c r="F532" t="n">
        <v>49.6</v>
      </c>
      <c r="G532" t="n">
        <v>139</v>
      </c>
      <c r="H532" t="n">
        <v>1.6e-32</v>
      </c>
      <c r="I532" t="inlineStr">
        <is>
          <t>Nr</t>
        </is>
      </c>
      <c r="J532" t="inlineStr"/>
      <c r="K532" t="inlineStr"/>
      <c r="L532" t="inlineStr">
        <is>
          <t>KAJ1161196.1 hypothetical protein NDU88_001683 [Pleurodeles waltl]</t>
        </is>
      </c>
      <c r="M532" t="n">
        <v>557</v>
      </c>
      <c r="N532" t="inlineStr">
        <is>
          <t>Pleurodeles waltl</t>
        </is>
      </c>
      <c r="O532" t="inlineStr">
        <is>
          <t>hypothetical protein NDU88_001683</t>
        </is>
      </c>
    </row>
    <row r="533">
      <c r="A533" t="inlineStr"/>
      <c r="B533" t="inlineStr"/>
      <c r="C533" t="inlineStr"/>
      <c r="D533" t="inlineStr"/>
      <c r="E533">
        <f>HYPERLINK("https://www.uniprot.org/uniprotkb/A0A8C5LSF6/entry", "A0A8C5LSF6")</f>
        <v/>
      </c>
      <c r="F533" t="n">
        <v>44.5</v>
      </c>
      <c r="G533" t="n">
        <v>137</v>
      </c>
      <c r="H533" t="n">
        <v>2.1e-32</v>
      </c>
      <c r="I533" t="inlineStr">
        <is>
          <t>TrEMBL</t>
        </is>
      </c>
      <c r="J533" t="inlineStr"/>
      <c r="K533" t="inlineStr">
        <is>
          <t>A0A8C5LSF6_9ANUR</t>
        </is>
      </c>
      <c r="L533" t="inlineStr">
        <is>
          <t>tr|A0A8C5LSF6|A0A8C5LSF6_9ANUR Reverse transcriptase domain-containing protein OS=Leptobrachium leishanense OX=445787 PE=4 SV=1</t>
        </is>
      </c>
      <c r="M533" t="n">
        <v>482</v>
      </c>
      <c r="N533" t="inlineStr">
        <is>
          <t>Leptobrachium leishanense</t>
        </is>
      </c>
      <c r="O533" t="inlineStr">
        <is>
          <t>Reverse transcriptase domain-containing protein</t>
        </is>
      </c>
    </row>
    <row r="534">
      <c r="A534" t="inlineStr"/>
      <c r="B534" t="inlineStr"/>
      <c r="C534" t="inlineStr"/>
      <c r="D534" t="inlineStr"/>
      <c r="E534">
        <f>HYPERLINK("https://www.ncbi.nlm.nih.gov/gene/?term=XP_040212777.1", "XP_040212777.1")</f>
        <v/>
      </c>
      <c r="F534" t="n">
        <v>42.9</v>
      </c>
      <c r="G534" t="n">
        <v>156</v>
      </c>
      <c r="H534" t="n">
        <v>3.59e-32</v>
      </c>
      <c r="I534" t="inlineStr">
        <is>
          <t>Nr</t>
        </is>
      </c>
      <c r="J534" t="inlineStr"/>
      <c r="K534" t="inlineStr"/>
      <c r="L534" t="inlineStr">
        <is>
          <t>XP_040212777.1 uncharacterized protein LOC120943503 [Rana temporaria]</t>
        </is>
      </c>
      <c r="M534" t="n">
        <v>253</v>
      </c>
      <c r="N534" t="inlineStr">
        <is>
          <t>Rana temporaria</t>
        </is>
      </c>
      <c r="O534" t="inlineStr">
        <is>
          <t>uncharacterized protein LOC120943503</t>
        </is>
      </c>
    </row>
    <row r="535">
      <c r="A535" t="inlineStr"/>
      <c r="B535" t="inlineStr"/>
      <c r="C535" t="inlineStr"/>
      <c r="D535" t="inlineStr"/>
      <c r="E535">
        <f>HYPERLINK("https://www.uniprot.org/uniprotkb/A0A803J5Z4/entry", "A0A803J5Z4")</f>
        <v/>
      </c>
      <c r="F535" t="n">
        <v>40.1</v>
      </c>
      <c r="G535" t="n">
        <v>177</v>
      </c>
      <c r="H535" t="n">
        <v>5.950000000000001e-32</v>
      </c>
      <c r="I535" t="inlineStr">
        <is>
          <t>TrEMBL</t>
        </is>
      </c>
      <c r="J535" t="inlineStr"/>
      <c r="K535" t="inlineStr">
        <is>
          <t>A0A803J5Z4_XENTR</t>
        </is>
      </c>
      <c r="L535" t="inlineStr">
        <is>
          <t>tr|A0A803J5Z4|A0A803J5Z4_XENTR Reverse transcriptase domain-containing protein OS=Xenopus tropicalis OX=8364 PE=4 SV=1</t>
        </is>
      </c>
      <c r="M535" t="n">
        <v>680</v>
      </c>
      <c r="N535" t="inlineStr">
        <is>
          <t>Xenopus tropicalis</t>
        </is>
      </c>
      <c r="O535" t="inlineStr">
        <is>
          <t>Reverse transcriptase domain-containing protein</t>
        </is>
      </c>
    </row>
    <row r="536">
      <c r="A536" t="inlineStr"/>
      <c r="B536" t="inlineStr"/>
      <c r="C536" t="inlineStr"/>
      <c r="D536" t="inlineStr"/>
      <c r="E536">
        <f>HYPERLINK("https://www.uniprot.org/uniprotkb/A0A803KCP2/entry", "A0A803KCP2")</f>
        <v/>
      </c>
      <c r="F536" t="n">
        <v>45</v>
      </c>
      <c r="G536" t="n">
        <v>140</v>
      </c>
      <c r="H536" t="n">
        <v>8.28e-32</v>
      </c>
      <c r="I536" t="inlineStr">
        <is>
          <t>TrEMBL</t>
        </is>
      </c>
      <c r="J536" t="inlineStr"/>
      <c r="K536" t="inlineStr">
        <is>
          <t>A0A803KCP2_XENTR</t>
        </is>
      </c>
      <c r="L536" t="inlineStr">
        <is>
          <t>tr|A0A803KCP2|A0A803KCP2_XENTR Reverse transcriptase domain-containing protein OS=Xenopus tropicalis OX=8364 PE=4 SV=1</t>
        </is>
      </c>
      <c r="M536" t="n">
        <v>390</v>
      </c>
      <c r="N536" t="inlineStr">
        <is>
          <t>Xenopus tropicalis</t>
        </is>
      </c>
      <c r="O536" t="inlineStr">
        <is>
          <t>Reverse transcriptase domain-containing protein</t>
        </is>
      </c>
    </row>
    <row r="537">
      <c r="A537" t="inlineStr"/>
      <c r="B537" t="inlineStr"/>
      <c r="C537" t="inlineStr"/>
      <c r="D537" t="inlineStr"/>
      <c r="E537">
        <f>HYPERLINK("https://www.uniprot.org/uniprotkb/A0A8C5MP19/entry", "A0A8C5MP19")</f>
        <v/>
      </c>
      <c r="F537" t="n">
        <v>39.3</v>
      </c>
      <c r="G537" t="n">
        <v>173</v>
      </c>
      <c r="H537" t="n">
        <v>1.25e-31</v>
      </c>
      <c r="I537" t="inlineStr">
        <is>
          <t>TrEMBL</t>
        </is>
      </c>
      <c r="J537" t="inlineStr"/>
      <c r="K537" t="inlineStr">
        <is>
          <t>A0A8C5MP19_9ANUR</t>
        </is>
      </c>
      <c r="L537" t="inlineStr">
        <is>
          <t>tr|A0A8C5MP19|A0A8C5MP19_9ANUR Reverse transcriptase domain-containing protein OS=Leptobrachium leishanense OX=445787 PE=4 SV=1</t>
        </is>
      </c>
      <c r="M537" t="n">
        <v>729</v>
      </c>
      <c r="N537" t="inlineStr">
        <is>
          <t>Leptobrachium leishanense</t>
        </is>
      </c>
      <c r="O537" t="inlineStr">
        <is>
          <t>Reverse transcriptase domain-containing protein</t>
        </is>
      </c>
    </row>
    <row r="538">
      <c r="A538" t="inlineStr"/>
      <c r="B538" t="inlineStr"/>
      <c r="C538" t="inlineStr"/>
      <c r="D538" t="inlineStr"/>
      <c r="E538">
        <f>HYPERLINK("https://www.ncbi.nlm.nih.gov/gene/?term=KAJ1186782.1", "KAJ1186782.1")</f>
        <v/>
      </c>
      <c r="F538" t="n">
        <v>46</v>
      </c>
      <c r="G538" t="n">
        <v>137</v>
      </c>
      <c r="H538" t="n">
        <v>3.63e-31</v>
      </c>
      <c r="I538" t="inlineStr">
        <is>
          <t>Nr</t>
        </is>
      </c>
      <c r="J538" t="inlineStr"/>
      <c r="K538" t="inlineStr"/>
      <c r="L538" t="inlineStr">
        <is>
          <t>KAJ1186782.1 hypothetical protein NDU88_003563 [Pleurodeles waltl]</t>
        </is>
      </c>
      <c r="M538" t="n">
        <v>543</v>
      </c>
      <c r="N538" t="inlineStr">
        <is>
          <t>Pleurodeles waltl</t>
        </is>
      </c>
      <c r="O538" t="inlineStr">
        <is>
          <t>hypothetical protein NDU88_003563</t>
        </is>
      </c>
    </row>
    <row r="539">
      <c r="A539" t="inlineStr"/>
      <c r="B539" t="inlineStr"/>
      <c r="C539" t="inlineStr"/>
      <c r="D539" t="inlineStr"/>
      <c r="E539">
        <f>HYPERLINK("https://www.uniprot.org/uniprotkb/A0A8C5PEB8/entry", "A0A8C5PEB8")</f>
        <v/>
      </c>
      <c r="F539" t="n">
        <v>36.9</v>
      </c>
      <c r="G539" t="n">
        <v>179</v>
      </c>
      <c r="H539" t="n">
        <v>3.65e-31</v>
      </c>
      <c r="I539" t="inlineStr">
        <is>
          <t>TrEMBL</t>
        </is>
      </c>
      <c r="J539" t="inlineStr"/>
      <c r="K539" t="inlineStr">
        <is>
          <t>A0A8C5PEB8_9ANUR</t>
        </is>
      </c>
      <c r="L539" t="inlineStr">
        <is>
          <t>tr|A0A8C5PEB8|A0A8C5PEB8_9ANUR Reverse transcriptase domain-containing protein OS=Leptobrachium leishanense OX=445787 PE=4 SV=1</t>
        </is>
      </c>
      <c r="M539" t="n">
        <v>473</v>
      </c>
      <c r="N539" t="inlineStr">
        <is>
          <t>Leptobrachium leishanense</t>
        </is>
      </c>
      <c r="O539" t="inlineStr">
        <is>
          <t>Reverse transcriptase domain-containing protein</t>
        </is>
      </c>
    </row>
    <row r="540">
      <c r="A540" t="inlineStr"/>
      <c r="B540" t="inlineStr"/>
      <c r="C540" t="inlineStr"/>
      <c r="D540" t="inlineStr"/>
      <c r="E540">
        <f>HYPERLINK("https://www.uniprot.org/uniprotkb/A0A2G9RDK5/entry", "A0A2G9RDK5")</f>
        <v/>
      </c>
      <c r="F540" t="n">
        <v>40.9</v>
      </c>
      <c r="G540" t="n">
        <v>159</v>
      </c>
      <c r="H540" t="n">
        <v>4.96e-31</v>
      </c>
      <c r="I540" t="inlineStr">
        <is>
          <t>TrEMBL</t>
        </is>
      </c>
      <c r="J540" t="inlineStr">
        <is>
          <t>AB205_0190500</t>
        </is>
      </c>
      <c r="K540" t="inlineStr">
        <is>
          <t>A0A2G9RDK5_LITCT</t>
        </is>
      </c>
      <c r="L540" t="inlineStr">
        <is>
          <t>tr|A0A2G9RDK5|A0A2G9RDK5_LITCT Reverse transcriptase domain-containing protein (Fragment) OS=Lithobates catesbeianus OX=8400 GN=AB205_0190500 PE=4 SV=1</t>
        </is>
      </c>
      <c r="M540" t="n">
        <v>538</v>
      </c>
      <c r="N540" t="inlineStr">
        <is>
          <t>Lithobates catesbeianus</t>
        </is>
      </c>
      <c r="O540" t="inlineStr">
        <is>
          <t>Reverse transcriptase domain-containing protein (Fragment)</t>
        </is>
      </c>
    </row>
    <row r="541">
      <c r="A541" t="inlineStr"/>
      <c r="B541" t="inlineStr"/>
      <c r="C541" t="inlineStr"/>
      <c r="D541" t="inlineStr"/>
      <c r="E541">
        <f>HYPERLINK("https://www.uniprot.org/uniprotkb/A0A2G9RDP9/entry", "A0A2G9RDP9")</f>
        <v/>
      </c>
      <c r="F541" t="n">
        <v>40.9</v>
      </c>
      <c r="G541" t="n">
        <v>159</v>
      </c>
      <c r="H541" t="n">
        <v>5.850000000000001e-31</v>
      </c>
      <c r="I541" t="inlineStr">
        <is>
          <t>TrEMBL</t>
        </is>
      </c>
      <c r="J541" t="inlineStr">
        <is>
          <t>AB205_0190500</t>
        </is>
      </c>
      <c r="K541" t="inlineStr">
        <is>
          <t>A0A2G9RDP9_LITCT</t>
        </is>
      </c>
      <c r="L541" t="inlineStr">
        <is>
          <t>tr|A0A2G9RDP9|A0A2G9RDP9_LITCT Reverse transcriptase domain-containing protein (Fragment) OS=Lithobates catesbeianus OX=8400 GN=AB205_0190500 PE=4 SV=1</t>
        </is>
      </c>
      <c r="M541" t="n">
        <v>560</v>
      </c>
      <c r="N541" t="inlineStr">
        <is>
          <t>Lithobates catesbeianus</t>
        </is>
      </c>
      <c r="O541" t="inlineStr">
        <is>
          <t>Reverse transcriptase domain-containing protein (Fragment)</t>
        </is>
      </c>
    </row>
    <row r="542">
      <c r="A542" t="inlineStr"/>
      <c r="B542" t="inlineStr"/>
      <c r="C542" t="inlineStr"/>
      <c r="D542" t="inlineStr"/>
      <c r="E542">
        <f>HYPERLINK("https://www.ncbi.nlm.nih.gov/gene/?term=OCT93721.1", "OCT93721.1")</f>
        <v/>
      </c>
      <c r="F542" t="n">
        <v>39.7</v>
      </c>
      <c r="G542" t="n">
        <v>179</v>
      </c>
      <c r="H542" t="n">
        <v>5.95e-31</v>
      </c>
      <c r="I542" t="inlineStr">
        <is>
          <t>Nr</t>
        </is>
      </c>
      <c r="J542" t="inlineStr"/>
      <c r="K542" t="inlineStr"/>
      <c r="L542" t="inlineStr">
        <is>
          <t>OCT93721.1 hypothetical protein XELAEV_18011398mg [Xenopus laevis]</t>
        </is>
      </c>
      <c r="M542" t="n">
        <v>413</v>
      </c>
      <c r="N542" t="inlineStr">
        <is>
          <t>Xenopus laevis</t>
        </is>
      </c>
      <c r="O542" t="inlineStr">
        <is>
          <t>hypothetical protein XELAEV_18011398mg</t>
        </is>
      </c>
    </row>
    <row r="543">
      <c r="A543" t="inlineStr"/>
      <c r="B543" t="inlineStr"/>
      <c r="C543" t="inlineStr"/>
      <c r="D543" t="inlineStr"/>
      <c r="E543">
        <f>HYPERLINK("https://www.uniprot.org/uniprotkb/A0A803JX24/entry", "A0A803JX24")</f>
        <v/>
      </c>
      <c r="F543" t="n">
        <v>39</v>
      </c>
      <c r="G543" t="n">
        <v>177</v>
      </c>
      <c r="H543" t="n">
        <v>1.16e-30</v>
      </c>
      <c r="I543" t="inlineStr">
        <is>
          <t>TrEMBL</t>
        </is>
      </c>
      <c r="J543" t="inlineStr"/>
      <c r="K543" t="inlineStr">
        <is>
          <t>A0A803JX24_XENTR</t>
        </is>
      </c>
      <c r="L543" t="inlineStr">
        <is>
          <t>tr|A0A803JX24|A0A803JX24_XENTR Reverse transcriptase domain-containing protein OS=Xenopus tropicalis OX=8364 PE=4 SV=1</t>
        </is>
      </c>
      <c r="M543" t="n">
        <v>626</v>
      </c>
      <c r="N543" t="inlineStr">
        <is>
          <t>Xenopus tropicalis</t>
        </is>
      </c>
      <c r="O543" t="inlineStr">
        <is>
          <t>Reverse transcriptase domain-containing protein</t>
        </is>
      </c>
    </row>
    <row r="544">
      <c r="A544" t="inlineStr"/>
      <c r="B544" t="inlineStr"/>
      <c r="C544" t="inlineStr"/>
      <c r="D544" t="inlineStr"/>
      <c r="E544">
        <f>HYPERLINK("https://www.ncbi.nlm.nih.gov/gene/?term=PIO25998.1", "PIO25998.1")</f>
        <v/>
      </c>
      <c r="F544" t="n">
        <v>40.9</v>
      </c>
      <c r="G544" t="n">
        <v>159</v>
      </c>
      <c r="H544" t="n">
        <v>1.27e-30</v>
      </c>
      <c r="I544" t="inlineStr">
        <is>
          <t>Nr</t>
        </is>
      </c>
      <c r="J544" t="inlineStr"/>
      <c r="K544" t="inlineStr"/>
      <c r="L544" t="inlineStr">
        <is>
          <t>PIO25998.1 hypothetical protein AB205_0190500, partial [Lithobates catesbeianus]</t>
        </is>
      </c>
      <c r="M544" t="n">
        <v>538</v>
      </c>
      <c r="N544" t="inlineStr">
        <is>
          <t>Lithobates catesbeianus</t>
        </is>
      </c>
      <c r="O544" t="inlineStr">
        <is>
          <t>hypothetical protein AB205_0190500, partial</t>
        </is>
      </c>
    </row>
    <row r="545">
      <c r="A545" t="inlineStr"/>
      <c r="B545" t="inlineStr"/>
      <c r="C545" t="inlineStr"/>
      <c r="D545" t="inlineStr"/>
      <c r="E545">
        <f>HYPERLINK("https://www.uniprot.org/uniprotkb/A0A803K4D8/entry", "A0A803K4D8")</f>
        <v/>
      </c>
      <c r="F545" t="n">
        <v>39.4</v>
      </c>
      <c r="G545" t="n">
        <v>180</v>
      </c>
      <c r="H545" t="n">
        <v>1.35e-30</v>
      </c>
      <c r="I545" t="inlineStr">
        <is>
          <t>TrEMBL</t>
        </is>
      </c>
      <c r="J545" t="inlineStr"/>
      <c r="K545" t="inlineStr">
        <is>
          <t>A0A803K4D8_XENTR</t>
        </is>
      </c>
      <c r="L545" t="inlineStr">
        <is>
          <t>tr|A0A803K4D8|A0A803K4D8_XENTR Reverse transcriptase domain-containing protein OS=Xenopus tropicalis OX=8364 PE=4 SV=1</t>
        </is>
      </c>
      <c r="M545" t="n">
        <v>504</v>
      </c>
      <c r="N545" t="inlineStr">
        <is>
          <t>Xenopus tropicalis</t>
        </is>
      </c>
      <c r="O545" t="inlineStr">
        <is>
          <t>Reverse transcriptase domain-containing protein</t>
        </is>
      </c>
    </row>
    <row r="546">
      <c r="A546" t="inlineStr"/>
      <c r="B546" t="inlineStr"/>
      <c r="C546" t="inlineStr"/>
      <c r="D546" t="inlineStr"/>
      <c r="E546">
        <f>HYPERLINK("https://www.ncbi.nlm.nih.gov/gene/?term=PIO25999.1", "PIO25999.1")</f>
        <v/>
      </c>
      <c r="F546" t="n">
        <v>40.9</v>
      </c>
      <c r="G546" t="n">
        <v>159</v>
      </c>
      <c r="H546" t="n">
        <v>1.5e-30</v>
      </c>
      <c r="I546" t="inlineStr">
        <is>
          <t>Nr</t>
        </is>
      </c>
      <c r="J546" t="inlineStr"/>
      <c r="K546" t="inlineStr"/>
      <c r="L546" t="inlineStr">
        <is>
          <t>PIO25999.1 hypothetical protein AB205_0190500, partial [Lithobates catesbeianus]</t>
        </is>
      </c>
      <c r="M546" t="n">
        <v>560</v>
      </c>
      <c r="N546" t="inlineStr">
        <is>
          <t>Lithobates catesbeianus</t>
        </is>
      </c>
      <c r="O546" t="inlineStr">
        <is>
          <t>hypothetical protein AB205_0190500, partial</t>
        </is>
      </c>
    </row>
    <row r="547">
      <c r="A547" t="inlineStr"/>
      <c r="B547" t="inlineStr"/>
      <c r="C547" t="inlineStr"/>
      <c r="D547" t="inlineStr"/>
      <c r="E547">
        <f>HYPERLINK("https://www.uniprot.org/uniprotkb/A0A8C5MBB2/entry", "A0A8C5MBB2")</f>
        <v/>
      </c>
      <c r="F547" t="n">
        <v>44.4</v>
      </c>
      <c r="G547" t="n">
        <v>135</v>
      </c>
      <c r="H547" t="n">
        <v>1.55e-30</v>
      </c>
      <c r="I547" t="inlineStr">
        <is>
          <t>TrEMBL</t>
        </is>
      </c>
      <c r="J547" t="inlineStr"/>
      <c r="K547" t="inlineStr">
        <is>
          <t>A0A8C5MBB2_9ANUR</t>
        </is>
      </c>
      <c r="L547" t="inlineStr">
        <is>
          <t>tr|A0A8C5MBB2|A0A8C5MBB2_9ANUR Reverse transcriptase domain-containing protein OS=Leptobrachium leishanense OX=445787 PE=4 SV=1</t>
        </is>
      </c>
      <c r="M547" t="n">
        <v>456</v>
      </c>
      <c r="N547" t="inlineStr">
        <is>
          <t>Leptobrachium leishanense</t>
        </is>
      </c>
      <c r="O547" t="inlineStr">
        <is>
          <t>Reverse transcriptase domain-containing protein</t>
        </is>
      </c>
    </row>
    <row r="548">
      <c r="A548" t="inlineStr"/>
      <c r="B548" t="inlineStr"/>
      <c r="C548" t="inlineStr"/>
      <c r="D548" t="inlineStr"/>
      <c r="E548">
        <f>HYPERLINK("https://www.ncbi.nlm.nih.gov/gene/?term=PIO31912.1", "PIO31912.1")</f>
        <v/>
      </c>
      <c r="F548" t="n">
        <v>39.1</v>
      </c>
      <c r="G548" t="n">
        <v>156</v>
      </c>
      <c r="H548" t="n">
        <v>9.949999999999999e-30</v>
      </c>
      <c r="I548" t="inlineStr">
        <is>
          <t>Nr</t>
        </is>
      </c>
      <c r="J548" t="inlineStr"/>
      <c r="K548" t="inlineStr"/>
      <c r="L548" t="inlineStr">
        <is>
          <t>PIO31912.1 hypothetical protein AB205_0011770 [Lithobates catesbeianus]</t>
        </is>
      </c>
      <c r="M548" t="n">
        <v>612</v>
      </c>
      <c r="N548" t="inlineStr">
        <is>
          <t>Lithobates catesbeianus</t>
        </is>
      </c>
      <c r="O548" t="inlineStr">
        <is>
          <t>hypothetical protein AB205_0011770</t>
        </is>
      </c>
    </row>
    <row r="549">
      <c r="A549" t="inlineStr"/>
      <c r="B549" t="inlineStr"/>
      <c r="C549" t="inlineStr"/>
      <c r="D549" t="inlineStr"/>
      <c r="E549">
        <f>HYPERLINK("https://www.ncbi.nlm.nih.gov/gene/?term=OCU00192.1", "OCU00192.1")</f>
        <v/>
      </c>
      <c r="F549" t="n">
        <v>41.5</v>
      </c>
      <c r="G549" t="n">
        <v>142</v>
      </c>
      <c r="H549" t="n">
        <v>1.94e-29</v>
      </c>
      <c r="I549" t="inlineStr">
        <is>
          <t>Nr</t>
        </is>
      </c>
      <c r="J549" t="inlineStr"/>
      <c r="K549" t="inlineStr"/>
      <c r="L549" t="inlineStr">
        <is>
          <t>OCU00192.1 hypothetical protein XELAEV_18005966mg [Xenopus laevis]</t>
        </is>
      </c>
      <c r="M549" t="n">
        <v>258</v>
      </c>
      <c r="N549" t="inlineStr">
        <is>
          <t>Xenopus laevis</t>
        </is>
      </c>
      <c r="O549" t="inlineStr">
        <is>
          <t>hypothetical protein XELAEV_18005966mg</t>
        </is>
      </c>
    </row>
    <row r="550">
      <c r="A550" t="inlineStr"/>
      <c r="B550" t="inlineStr"/>
      <c r="C550" t="inlineStr"/>
      <c r="D550" t="inlineStr"/>
      <c r="E550">
        <f>HYPERLINK("https://www.ncbi.nlm.nih.gov/gene/?term=XP_040216983.1", "XP_040216983.1")</f>
        <v/>
      </c>
      <c r="F550" t="n">
        <v>34.8</v>
      </c>
      <c r="G550" t="n">
        <v>178</v>
      </c>
      <c r="H550" t="n">
        <v>7.680000000000001e-29</v>
      </c>
      <c r="I550" t="inlineStr">
        <is>
          <t>Nr</t>
        </is>
      </c>
      <c r="J550" t="inlineStr"/>
      <c r="K550" t="inlineStr"/>
      <c r="L550" t="inlineStr">
        <is>
          <t>XP_040216983.1 histo-blood group ABO system transferase 2-like [Rana temporaria]</t>
        </is>
      </c>
      <c r="M550" t="n">
        <v>456</v>
      </c>
      <c r="N550" t="inlineStr">
        <is>
          <t>Rana temporaria</t>
        </is>
      </c>
      <c r="O550" t="inlineStr">
        <is>
          <t>histo-blood group ABO system transferase 2-like</t>
        </is>
      </c>
    </row>
    <row r="551">
      <c r="A551" t="inlineStr">
        <is>
          <t>NODE_113230_length_1471_cov_141.961538_g42187_i1</t>
        </is>
      </c>
      <c r="B551" t="inlineStr">
        <is>
          <t>bombina_pachypus_blastx</t>
        </is>
      </c>
      <c r="C551" t="n">
        <v>-2.40641352896706</v>
      </c>
      <c r="D551" t="n">
        <v>0.0090128617456706</v>
      </c>
      <c r="E551">
        <f>HYPERLINK("https://www.uniprot.org/uniprotkb/A0A8J6ECP5/entry", "A0A8J6ECP5")</f>
        <v/>
      </c>
      <c r="F551" t="n">
        <v>93.3</v>
      </c>
      <c r="G551" t="n">
        <v>104</v>
      </c>
      <c r="H551" t="n">
        <v>3.61e-61</v>
      </c>
      <c r="I551" t="inlineStr">
        <is>
          <t>TrEMBL</t>
        </is>
      </c>
      <c r="J551" t="inlineStr">
        <is>
          <t>GDO78_017681</t>
        </is>
      </c>
      <c r="K551" t="inlineStr">
        <is>
          <t>A0A8J6ECP5_ELECQ</t>
        </is>
      </c>
      <c r="L551" t="inlineStr">
        <is>
          <t>tr|A0A8J6ECP5|A0A8J6ECP5_ELECQ Transmembrane protein 267 OS=Eleutherodactylus coqui OX=57060 GN=GDO78_017681 PE=4 SV=1</t>
        </is>
      </c>
      <c r="M551" t="n">
        <v>215</v>
      </c>
      <c r="N551" t="inlineStr">
        <is>
          <t>Eleutherodactylus coqui</t>
        </is>
      </c>
      <c r="O551" t="inlineStr">
        <is>
          <t>Transmembrane protein 267</t>
        </is>
      </c>
    </row>
    <row r="552">
      <c r="A552" t="inlineStr"/>
      <c r="B552" t="inlineStr"/>
      <c r="C552" t="inlineStr"/>
      <c r="D552" t="inlineStr"/>
      <c r="E552">
        <f>HYPERLINK("https://www.ncbi.nlm.nih.gov/gene/?term=KAG9465821.1", "KAG9465821.1")</f>
        <v/>
      </c>
      <c r="F552" t="n">
        <v>93.3</v>
      </c>
      <c r="G552" t="n">
        <v>104</v>
      </c>
      <c r="H552" t="n">
        <v>9.28e-61</v>
      </c>
      <c r="I552" t="inlineStr">
        <is>
          <t>Nr</t>
        </is>
      </c>
      <c r="J552" t="inlineStr"/>
      <c r="K552" t="inlineStr"/>
      <c r="L552" t="inlineStr">
        <is>
          <t>KAG9465821.1 hypothetical protein GDO78_017681 [Eleutherodactylus coqui]</t>
        </is>
      </c>
      <c r="M552" t="n">
        <v>215</v>
      </c>
      <c r="N552" t="inlineStr">
        <is>
          <t>Eleutherodactylus coqui</t>
        </is>
      </c>
      <c r="O552" t="inlineStr">
        <is>
          <t>hypothetical protein GDO78_017681</t>
        </is>
      </c>
    </row>
    <row r="553">
      <c r="A553" t="inlineStr"/>
      <c r="B553" t="inlineStr"/>
      <c r="C553" t="inlineStr"/>
      <c r="D553" t="inlineStr"/>
      <c r="E553">
        <f>HYPERLINK("https://www.uniprot.org/uniprotkb/A0A822EE29/entry", "A0A822EE29")</f>
        <v/>
      </c>
      <c r="F553" t="n">
        <v>89.40000000000001</v>
      </c>
      <c r="G553" t="n">
        <v>104</v>
      </c>
      <c r="H553" t="n">
        <v>2.18e-60</v>
      </c>
      <c r="I553" t="inlineStr">
        <is>
          <t>TrEMBL</t>
        </is>
      </c>
      <c r="J553" t="inlineStr">
        <is>
          <t>RIMITATOR_LOCUS9187604</t>
        </is>
      </c>
      <c r="K553" t="inlineStr">
        <is>
          <t>A0A822EE29_9NEOB</t>
        </is>
      </c>
      <c r="L553" t="inlineStr">
        <is>
          <t>tr|A0A822EE29|A0A822EE29_9NEOB Transmembrane protein 267 OS=Ranitomeya imitator OX=111125 GN=RIMITATOR_LOCUS9187604 PE=4 SV=1</t>
        </is>
      </c>
      <c r="M553" t="n">
        <v>107</v>
      </c>
      <c r="N553" t="inlineStr">
        <is>
          <t>Ranitomeya imitator</t>
        </is>
      </c>
      <c r="O553" t="inlineStr">
        <is>
          <t>Transmembrane protein 267</t>
        </is>
      </c>
    </row>
    <row r="554">
      <c r="A554" t="inlineStr"/>
      <c r="B554" t="inlineStr"/>
      <c r="C554" t="inlineStr"/>
      <c r="D554" t="inlineStr"/>
      <c r="E554">
        <f>HYPERLINK("https://www.ncbi.nlm.nih.gov/gene/?term=KAG8598864.1", "KAG8598864.1")</f>
        <v/>
      </c>
      <c r="F554" t="n">
        <v>91.3</v>
      </c>
      <c r="G554" t="n">
        <v>104</v>
      </c>
      <c r="H554" t="n">
        <v>5.34e-60</v>
      </c>
      <c r="I554" t="inlineStr">
        <is>
          <t>Nr</t>
        </is>
      </c>
      <c r="J554" t="inlineStr"/>
      <c r="K554" t="inlineStr"/>
      <c r="L554" t="inlineStr">
        <is>
          <t>KAG8598864.1 hypothetical protein GDO81_002770 [Engystomops pustulosus]</t>
        </is>
      </c>
      <c r="M554" t="n">
        <v>215</v>
      </c>
      <c r="N554" t="inlineStr">
        <is>
          <t>Engystomops pustulosus</t>
        </is>
      </c>
      <c r="O554" t="inlineStr">
        <is>
          <t>hypothetical protein GDO81_002770</t>
        </is>
      </c>
    </row>
    <row r="555">
      <c r="A555" t="inlineStr"/>
      <c r="B555" t="inlineStr"/>
      <c r="C555" t="inlineStr"/>
      <c r="D555" t="inlineStr"/>
      <c r="E555">
        <f>HYPERLINK("https://www.ncbi.nlm.nih.gov/gene/?term=XP_040194985.1", "XP_040194985.1")</f>
        <v/>
      </c>
      <c r="F555" t="n">
        <v>90.40000000000001</v>
      </c>
      <c r="G555" t="n">
        <v>104</v>
      </c>
      <c r="H555" t="n">
        <v>1.07e-59</v>
      </c>
      <c r="I555" t="inlineStr">
        <is>
          <t>Nr</t>
        </is>
      </c>
      <c r="J555" t="inlineStr"/>
      <c r="K555" t="inlineStr"/>
      <c r="L555" t="inlineStr">
        <is>
          <t>XP_040194985.1 transmembrane protein 267 [Rana temporaria]</t>
        </is>
      </c>
      <c r="M555" t="n">
        <v>215</v>
      </c>
      <c r="N555" t="inlineStr">
        <is>
          <t>Rana temporaria</t>
        </is>
      </c>
      <c r="O555" t="inlineStr">
        <is>
          <t>transmembrane protein 267</t>
        </is>
      </c>
    </row>
    <row r="556">
      <c r="A556" t="inlineStr"/>
      <c r="B556" t="inlineStr"/>
      <c r="C556" t="inlineStr"/>
      <c r="D556" t="inlineStr"/>
      <c r="E556">
        <f>HYPERLINK("https://www.uniprot.org/uniprotkb/Q6DED9/entry", "Q6DED9")</f>
        <v/>
      </c>
      <c r="F556" t="n">
        <v>83.7</v>
      </c>
      <c r="G556" t="n">
        <v>104</v>
      </c>
      <c r="H556" t="n">
        <v>3.83e-58</v>
      </c>
      <c r="I556" t="inlineStr">
        <is>
          <t>Swiss-Prot</t>
        </is>
      </c>
      <c r="J556" t="inlineStr">
        <is>
          <t>tmem267</t>
        </is>
      </c>
      <c r="K556" t="inlineStr">
        <is>
          <t>TM267_XENLA</t>
        </is>
      </c>
      <c r="L556" t="inlineStr">
        <is>
          <t>sp|Q6DED9|TM267_XENLA Transmembrane protein 267 OS=Xenopus laevis OX=8355 GN=tmem267 PE=2 SV=1</t>
        </is>
      </c>
      <c r="M556" t="n">
        <v>215</v>
      </c>
      <c r="N556" t="inlineStr">
        <is>
          <t>Xenopus laevis</t>
        </is>
      </c>
      <c r="O556" t="inlineStr">
        <is>
          <t>Transmembrane protein 267</t>
        </is>
      </c>
    </row>
    <row r="557">
      <c r="A557" t="inlineStr"/>
      <c r="B557" t="inlineStr"/>
      <c r="C557" t="inlineStr"/>
      <c r="D557" t="inlineStr"/>
      <c r="E557">
        <f>HYPERLINK("https://www.ncbi.nlm.nih.gov/gene/?term=XP_018417814.1", "XP_018417814.1")</f>
        <v/>
      </c>
      <c r="F557" t="n">
        <v>86.5</v>
      </c>
      <c r="G557" t="n">
        <v>104</v>
      </c>
      <c r="H557" t="n">
        <v>2.89e-57</v>
      </c>
      <c r="I557" t="inlineStr">
        <is>
          <t>Nr</t>
        </is>
      </c>
      <c r="J557" t="inlineStr"/>
      <c r="K557" t="inlineStr"/>
      <c r="L557" t="inlineStr">
        <is>
          <t>XP_018417814.1 PREDICTED: transmembrane protein C5orf28 homolog [Nanorana parkeri]</t>
        </is>
      </c>
      <c r="M557" t="n">
        <v>215</v>
      </c>
      <c r="N557" t="inlineStr">
        <is>
          <t>Nanorana parkeri</t>
        </is>
      </c>
      <c r="O557" t="inlineStr">
        <is>
          <t>PREDICTED: transmembrane protein C5orf28 homolog</t>
        </is>
      </c>
    </row>
    <row r="558">
      <c r="A558" t="inlineStr"/>
      <c r="B558" t="inlineStr"/>
      <c r="C558" t="inlineStr"/>
      <c r="D558" t="inlineStr"/>
      <c r="E558">
        <f>HYPERLINK("https://www.uniprot.org/uniprotkb/A0A8T2KMK7/entry", "A0A8T2KMK7")</f>
        <v/>
      </c>
      <c r="F558" t="n">
        <v>86.5</v>
      </c>
      <c r="G558" t="n">
        <v>104</v>
      </c>
      <c r="H558" t="n">
        <v>3.22e-57</v>
      </c>
      <c r="I558" t="inlineStr">
        <is>
          <t>TrEMBL</t>
        </is>
      </c>
      <c r="J558" t="inlineStr">
        <is>
          <t>GDO86_002443</t>
        </is>
      </c>
      <c r="K558" t="inlineStr">
        <is>
          <t>A0A8T2KMK7_9PIPI</t>
        </is>
      </c>
      <c r="L558" t="inlineStr">
        <is>
          <t>tr|A0A8T2KMK7|A0A8T2KMK7_9PIPI Transmembrane protein 267 OS=Hymenochirus boettgeri OX=247094 GN=GDO86_002443 PE=4 SV=1</t>
        </is>
      </c>
      <c r="M558" t="n">
        <v>215</v>
      </c>
      <c r="N558" t="inlineStr">
        <is>
          <t>Hymenochirus boettgeri</t>
        </is>
      </c>
      <c r="O558" t="inlineStr">
        <is>
          <t>Transmembrane protein 267</t>
        </is>
      </c>
    </row>
    <row r="559">
      <c r="A559" t="inlineStr"/>
      <c r="B559" t="inlineStr"/>
      <c r="C559" t="inlineStr"/>
      <c r="D559" t="inlineStr"/>
      <c r="E559">
        <f>HYPERLINK("https://www.ncbi.nlm.nih.gov/gene/?term=XP_040277210.1", "XP_040277210.1")</f>
        <v/>
      </c>
      <c r="F559" t="n">
        <v>85.59999999999999</v>
      </c>
      <c r="G559" t="n">
        <v>104</v>
      </c>
      <c r="H559" t="n">
        <v>5.820000000000001e-57</v>
      </c>
      <c r="I559" t="inlineStr">
        <is>
          <t>Nr</t>
        </is>
      </c>
      <c r="J559" t="inlineStr"/>
      <c r="K559" t="inlineStr"/>
      <c r="L559" t="inlineStr">
        <is>
          <t>XP_040277210.1 transmembrane protein 267 [Bufo bufo]</t>
        </is>
      </c>
      <c r="M559" t="n">
        <v>215</v>
      </c>
      <c r="N559" t="inlineStr">
        <is>
          <t>Bufo bufo</t>
        </is>
      </c>
      <c r="O559" t="inlineStr">
        <is>
          <t>transmembrane protein 267</t>
        </is>
      </c>
    </row>
    <row r="560">
      <c r="A560" t="inlineStr"/>
      <c r="B560" t="inlineStr"/>
      <c r="C560" t="inlineStr"/>
      <c r="D560" t="inlineStr"/>
      <c r="E560">
        <f>HYPERLINK("https://www.ncbi.nlm.nih.gov/gene/?term=KAG8456660.1", "KAG8456660.1")</f>
        <v/>
      </c>
      <c r="F560" t="n">
        <v>86.5</v>
      </c>
      <c r="G560" t="n">
        <v>104</v>
      </c>
      <c r="H560" t="n">
        <v>8.26e-57</v>
      </c>
      <c r="I560" t="inlineStr">
        <is>
          <t>Nr</t>
        </is>
      </c>
      <c r="J560" t="inlineStr"/>
      <c r="K560" t="inlineStr"/>
      <c r="L560" t="inlineStr">
        <is>
          <t>KAG8456660.1 hypothetical protein GDO86_002443 [Hymenochirus boettgeri]</t>
        </is>
      </c>
      <c r="M560" t="n">
        <v>215</v>
      </c>
      <c r="N560" t="inlineStr">
        <is>
          <t>Hymenochirus boettgeri</t>
        </is>
      </c>
      <c r="O560" t="inlineStr">
        <is>
          <t>hypothetical protein GDO86_002443</t>
        </is>
      </c>
    </row>
    <row r="561">
      <c r="A561" t="inlineStr"/>
      <c r="B561" t="inlineStr"/>
      <c r="C561" t="inlineStr"/>
      <c r="D561" t="inlineStr"/>
      <c r="E561">
        <f>HYPERLINK("https://www.ncbi.nlm.nih.gov/gene/?term=XP_053313926.1", "XP_053313926.1")</f>
        <v/>
      </c>
      <c r="F561" t="n">
        <v>86.5</v>
      </c>
      <c r="G561" t="n">
        <v>104</v>
      </c>
      <c r="H561" t="n">
        <v>2.36e-56</v>
      </c>
      <c r="I561" t="inlineStr">
        <is>
          <t>Nr</t>
        </is>
      </c>
      <c r="J561" t="inlineStr"/>
      <c r="K561" t="inlineStr"/>
      <c r="L561" t="inlineStr">
        <is>
          <t>XP_053313926.1 transmembrane protein 267 [Spea bombifrons]</t>
        </is>
      </c>
      <c r="M561" t="n">
        <v>215</v>
      </c>
      <c r="N561" t="inlineStr">
        <is>
          <t>Spea bombifrons</t>
        </is>
      </c>
      <c r="O561" t="inlineStr">
        <is>
          <t>transmembrane protein 267</t>
        </is>
      </c>
    </row>
    <row r="562">
      <c r="A562" t="inlineStr"/>
      <c r="B562" t="inlineStr"/>
      <c r="C562" t="inlineStr"/>
      <c r="D562" t="inlineStr"/>
      <c r="E562">
        <f>HYPERLINK("https://www.uniprot.org/uniprotkb/A0A6I8RD39/entry", "A0A6I8RD39")</f>
        <v/>
      </c>
      <c r="F562" t="n">
        <v>85.59999999999999</v>
      </c>
      <c r="G562" t="n">
        <v>104</v>
      </c>
      <c r="H562" t="n">
        <v>2.62e-56</v>
      </c>
      <c r="I562" t="inlineStr">
        <is>
          <t>TrEMBL</t>
        </is>
      </c>
      <c r="J562" t="inlineStr">
        <is>
          <t>tmem267</t>
        </is>
      </c>
      <c r="K562" t="inlineStr">
        <is>
          <t>A0A6I8RD39_XENTR</t>
        </is>
      </c>
      <c r="L562" t="inlineStr">
        <is>
          <t>tr|A0A6I8RD39|A0A6I8RD39_XENTR Transmembrane protein 267 OS=Xenopus tropicalis OX=8364 GN=tmem267 PE=4 SV=1</t>
        </is>
      </c>
      <c r="M562" t="n">
        <v>215</v>
      </c>
      <c r="N562" t="inlineStr">
        <is>
          <t>Xenopus tropicalis</t>
        </is>
      </c>
      <c r="O562" t="inlineStr">
        <is>
          <t>Transmembrane protein 267</t>
        </is>
      </c>
    </row>
    <row r="563">
      <c r="A563" t="inlineStr"/>
      <c r="B563" t="inlineStr"/>
      <c r="C563" t="inlineStr"/>
      <c r="D563" t="inlineStr"/>
      <c r="E563">
        <f>HYPERLINK("https://www.ncbi.nlm.nih.gov/gene/?term=KFQ76726.1", "KFQ76726.1")</f>
        <v/>
      </c>
      <c r="F563" t="n">
        <v>85.7</v>
      </c>
      <c r="G563" t="n">
        <v>105</v>
      </c>
      <c r="H563" t="n">
        <v>4.260000000000001e-56</v>
      </c>
      <c r="I563" t="inlineStr">
        <is>
          <t>Nr</t>
        </is>
      </c>
      <c r="J563" t="inlineStr"/>
      <c r="K563" t="inlineStr"/>
      <c r="L563" t="inlineStr">
        <is>
          <t>KFQ76726.1 Transmembrane protein C5orf28, partial [Phoenicopterus ruber ruber]</t>
        </is>
      </c>
      <c r="M563" t="n">
        <v>112</v>
      </c>
      <c r="N563" t="inlineStr">
        <is>
          <t>Phoenicopterus ruber ruber</t>
        </is>
      </c>
      <c r="O563" t="inlineStr">
        <is>
          <t>Transmembrane protein C5orf28, partial</t>
        </is>
      </c>
    </row>
    <row r="564">
      <c r="A564" t="inlineStr"/>
      <c r="B564" t="inlineStr"/>
      <c r="C564" t="inlineStr"/>
      <c r="D564" t="inlineStr"/>
      <c r="E564">
        <f>HYPERLINK("https://www.ncbi.nlm.nih.gov/gene/?term=XP_002933078.1", "XP_002933078.1")</f>
        <v/>
      </c>
      <c r="F564" t="n">
        <v>85.59999999999999</v>
      </c>
      <c r="G564" t="n">
        <v>104</v>
      </c>
      <c r="H564" t="n">
        <v>6.730000000000001e-56</v>
      </c>
      <c r="I564" t="inlineStr">
        <is>
          <t>Nr</t>
        </is>
      </c>
      <c r="J564" t="inlineStr"/>
      <c r="K564" t="inlineStr"/>
      <c r="L564" t="inlineStr">
        <is>
          <t>XP_002933078.1 transmembrane protein 267 [Xenopus tropicalis]</t>
        </is>
      </c>
      <c r="M564" t="n">
        <v>215</v>
      </c>
      <c r="N564" t="inlineStr">
        <is>
          <t>Xenopus tropicalis</t>
        </is>
      </c>
      <c r="O564" t="inlineStr">
        <is>
          <t>transmembrane protein 267</t>
        </is>
      </c>
    </row>
    <row r="565">
      <c r="A565" t="inlineStr"/>
      <c r="B565" t="inlineStr"/>
      <c r="C565" t="inlineStr"/>
      <c r="D565" t="inlineStr"/>
      <c r="E565">
        <f>HYPERLINK("https://www.ncbi.nlm.nih.gov/gene/?term=KFZ51347.1", "KFZ51347.1")</f>
        <v/>
      </c>
      <c r="F565" t="n">
        <v>84.8</v>
      </c>
      <c r="G565" t="n">
        <v>105</v>
      </c>
      <c r="H565" t="n">
        <v>8.590000000000001e-56</v>
      </c>
      <c r="I565" t="inlineStr">
        <is>
          <t>Nr</t>
        </is>
      </c>
      <c r="J565" t="inlineStr"/>
      <c r="K565" t="inlineStr"/>
      <c r="L565" t="inlineStr">
        <is>
          <t>KFZ51347.1 Transmembrane protein C5orf28, partial [Podiceps cristatus]</t>
        </is>
      </c>
      <c r="M565" t="n">
        <v>112</v>
      </c>
      <c r="N565" t="inlineStr">
        <is>
          <t>Podiceps cristatus</t>
        </is>
      </c>
      <c r="O565" t="inlineStr">
        <is>
          <t>Transmembrane protein C5orf28, partial</t>
        </is>
      </c>
    </row>
    <row r="566">
      <c r="A566" t="inlineStr"/>
      <c r="B566" t="inlineStr"/>
      <c r="C566" t="inlineStr"/>
      <c r="D566" t="inlineStr"/>
      <c r="E566">
        <f>HYPERLINK("https://www.ncbi.nlm.nih.gov/gene/?term=KFV92861.1", "KFV92861.1")</f>
        <v/>
      </c>
      <c r="F566" t="n">
        <v>83.8</v>
      </c>
      <c r="G566" t="n">
        <v>105</v>
      </c>
      <c r="H566" t="n">
        <v>2.46e-55</v>
      </c>
      <c r="I566" t="inlineStr">
        <is>
          <t>Nr</t>
        </is>
      </c>
      <c r="J566" t="inlineStr"/>
      <c r="K566" t="inlineStr"/>
      <c r="L566" t="inlineStr">
        <is>
          <t>KFV92861.1 Transmembrane protein C5orf28, partial [Eurypyga helias]</t>
        </is>
      </c>
      <c r="M566" t="n">
        <v>112</v>
      </c>
      <c r="N566" t="inlineStr">
        <is>
          <t>Eurypyga helias</t>
        </is>
      </c>
      <c r="O566" t="inlineStr">
        <is>
          <t>Transmembrane protein C5orf28, partial</t>
        </is>
      </c>
    </row>
    <row r="567">
      <c r="A567" t="inlineStr"/>
      <c r="B567" t="inlineStr"/>
      <c r="C567" t="inlineStr"/>
      <c r="D567" t="inlineStr"/>
      <c r="E567">
        <f>HYPERLINK("https://www.uniprot.org/uniprotkb/A0A8C5P8L0/entry", "A0A8C5P8L0")</f>
        <v/>
      </c>
      <c r="F567" t="n">
        <v>86.5</v>
      </c>
      <c r="G567" t="n">
        <v>104</v>
      </c>
      <c r="H567" t="n">
        <v>3.03e-55</v>
      </c>
      <c r="I567" t="inlineStr">
        <is>
          <t>TrEMBL</t>
        </is>
      </c>
      <c r="J567" t="inlineStr">
        <is>
          <t>TMEM267</t>
        </is>
      </c>
      <c r="K567" t="inlineStr">
        <is>
          <t>A0A8C5P8L0_9ANUR</t>
        </is>
      </c>
      <c r="L567" t="inlineStr">
        <is>
          <t>tr|A0A8C5P8L0|A0A8C5P8L0_9ANUR Transmembrane protein 267 OS=Leptobrachium leishanense OX=445787 GN=TMEM267 PE=4 SV=1</t>
        </is>
      </c>
      <c r="M567" t="n">
        <v>215</v>
      </c>
      <c r="N567" t="inlineStr">
        <is>
          <t>Leptobrachium leishanense</t>
        </is>
      </c>
      <c r="O567" t="inlineStr">
        <is>
          <t>Transmembrane protein 267</t>
        </is>
      </c>
    </row>
    <row r="568">
      <c r="A568" t="inlineStr"/>
      <c r="B568" t="inlineStr"/>
      <c r="C568" t="inlineStr"/>
      <c r="D568" t="inlineStr"/>
      <c r="E568">
        <f>HYPERLINK("https://www.ncbi.nlm.nih.gov/gene/?term=KFQ47421.1", "KFQ47421.1")</f>
        <v/>
      </c>
      <c r="F568" t="n">
        <v>82.90000000000001</v>
      </c>
      <c r="G568" t="n">
        <v>105</v>
      </c>
      <c r="H568" t="n">
        <v>3.5e-55</v>
      </c>
      <c r="I568" t="inlineStr">
        <is>
          <t>Nr</t>
        </is>
      </c>
      <c r="J568" t="inlineStr"/>
      <c r="K568" t="inlineStr"/>
      <c r="L568" t="inlineStr">
        <is>
          <t>KFQ47421.1 Transmembrane protein C5orf28, partial [Pelecanus crispus]</t>
        </is>
      </c>
      <c r="M568" t="n">
        <v>112</v>
      </c>
      <c r="N568" t="inlineStr">
        <is>
          <t>Pelecanus crispus</t>
        </is>
      </c>
      <c r="O568" t="inlineStr">
        <is>
          <t>Transmembrane protein C5orf28, partial</t>
        </is>
      </c>
    </row>
    <row r="569">
      <c r="A569" t="inlineStr"/>
      <c r="B569" t="inlineStr"/>
      <c r="C569" t="inlineStr"/>
      <c r="D569" t="inlineStr"/>
      <c r="E569">
        <f>HYPERLINK("https://www.ncbi.nlm.nih.gov/gene/?term=NP_001086617.1", "NP_001086617.1")</f>
        <v/>
      </c>
      <c r="F569" t="n">
        <v>83.7</v>
      </c>
      <c r="G569" t="n">
        <v>104</v>
      </c>
      <c r="H569" t="n">
        <v>3.87e-55</v>
      </c>
      <c r="I569" t="inlineStr">
        <is>
          <t>Nr</t>
        </is>
      </c>
      <c r="J569" t="inlineStr"/>
      <c r="K569" t="inlineStr"/>
      <c r="L569" t="inlineStr">
        <is>
          <t>NP_001086617.1 transmembrane protein 267 [Xenopus laevis]</t>
        </is>
      </c>
      <c r="M569" t="n">
        <v>215</v>
      </c>
      <c r="N569" t="inlineStr">
        <is>
          <t>Xenopus laevis</t>
        </is>
      </c>
      <c r="O569" t="inlineStr">
        <is>
          <t>transmembrane protein 267</t>
        </is>
      </c>
    </row>
    <row r="570">
      <c r="A570" t="inlineStr"/>
      <c r="B570" t="inlineStr"/>
      <c r="C570" t="inlineStr"/>
      <c r="D570" t="inlineStr"/>
      <c r="E570">
        <f>HYPERLINK("https://www.uniprot.org/uniprotkb/A0A093QIC6/entry", "A0A093QIC6")</f>
        <v/>
      </c>
      <c r="F570" t="n">
        <v>82.90000000000001</v>
      </c>
      <c r="G570" t="n">
        <v>105</v>
      </c>
      <c r="H570" t="n">
        <v>3.899999999999999e-55</v>
      </c>
      <c r="I570" t="inlineStr">
        <is>
          <t>TrEMBL</t>
        </is>
      </c>
      <c r="J570" t="inlineStr">
        <is>
          <t>N305_00177</t>
        </is>
      </c>
      <c r="K570" t="inlineStr">
        <is>
          <t>A0A093QIC6_9PASS</t>
        </is>
      </c>
      <c r="L570" t="inlineStr">
        <is>
          <t>tr|A0A093QIC6|A0A093QIC6_9PASS Transmembrane protein 267 (Fragment) OS=Manacus vitellinus OX=328815 GN=N305_00177 PE=4 SV=1</t>
        </is>
      </c>
      <c r="M570" t="n">
        <v>112</v>
      </c>
      <c r="N570" t="inlineStr">
        <is>
          <t>Manacus vitellinus</t>
        </is>
      </c>
      <c r="O570" t="inlineStr">
        <is>
          <t>Transmembrane protein 267 (Fragment)</t>
        </is>
      </c>
    </row>
    <row r="571">
      <c r="A571" t="inlineStr"/>
      <c r="B571" t="inlineStr"/>
      <c r="C571" t="inlineStr"/>
      <c r="D571" t="inlineStr"/>
      <c r="E571">
        <f>HYPERLINK("https://www.uniprot.org/uniprotkb/A0A663N827/entry", "A0A663N827")</f>
        <v/>
      </c>
      <c r="F571" t="n">
        <v>84.8</v>
      </c>
      <c r="G571" t="n">
        <v>105</v>
      </c>
      <c r="H571" t="n">
        <v>4.63e-55</v>
      </c>
      <c r="I571" t="inlineStr">
        <is>
          <t>TrEMBL</t>
        </is>
      </c>
      <c r="J571" t="inlineStr">
        <is>
          <t>TMEM267</t>
        </is>
      </c>
      <c r="K571" t="inlineStr">
        <is>
          <t>A0A663N827_ATHCN</t>
        </is>
      </c>
      <c r="L571" t="inlineStr">
        <is>
          <t>tr|A0A663N827|A0A663N827_ATHCN Transmembrane protein 267 OS=Athene cunicularia OX=194338 GN=TMEM267 PE=4 SV=1</t>
        </is>
      </c>
      <c r="M571" t="n">
        <v>229</v>
      </c>
      <c r="N571" t="inlineStr">
        <is>
          <t>Athene cunicularia</t>
        </is>
      </c>
      <c r="O571" t="inlineStr">
        <is>
          <t>Transmembrane protein 267</t>
        </is>
      </c>
    </row>
    <row r="572">
      <c r="A572" t="inlineStr"/>
      <c r="B572" t="inlineStr"/>
      <c r="C572" t="inlineStr"/>
      <c r="D572" t="inlineStr"/>
      <c r="E572">
        <f>HYPERLINK("https://www.ncbi.nlm.nih.gov/gene/?term=XP_009479083.1", "XP_009479083.1")</f>
        <v/>
      </c>
      <c r="F572" t="n">
        <v>78.8</v>
      </c>
      <c r="G572" t="n">
        <v>113</v>
      </c>
      <c r="H572" t="n">
        <v>4.7e-55</v>
      </c>
      <c r="I572" t="inlineStr">
        <is>
          <t>Nr</t>
        </is>
      </c>
      <c r="J572" t="inlineStr"/>
      <c r="K572" t="inlineStr"/>
      <c r="L572" t="inlineStr">
        <is>
          <t>XP_009479083.1 PREDICTED: transmembrane protein C5orf28 homolog [Pelecanus crispus]</t>
        </is>
      </c>
      <c r="M572" t="n">
        <v>210</v>
      </c>
      <c r="N572" t="inlineStr">
        <is>
          <t>Pelecanus crispus</t>
        </is>
      </c>
      <c r="O572" t="inlineStr">
        <is>
          <t>PREDICTED: transmembrane protein C5orf28 homolog</t>
        </is>
      </c>
    </row>
    <row r="573">
      <c r="A573" t="inlineStr"/>
      <c r="B573" t="inlineStr"/>
      <c r="C573" t="inlineStr"/>
      <c r="D573" t="inlineStr"/>
      <c r="E573">
        <f>HYPERLINK("https://www.ncbi.nlm.nih.gov/gene/?term=XP_009472353.1", "XP_009472353.1")</f>
        <v/>
      </c>
      <c r="F573" t="n">
        <v>83.7</v>
      </c>
      <c r="G573" t="n">
        <v>104</v>
      </c>
      <c r="H573" t="n">
        <v>9.12e-55</v>
      </c>
      <c r="I573" t="inlineStr">
        <is>
          <t>Nr</t>
        </is>
      </c>
      <c r="J573" t="inlineStr"/>
      <c r="K573" t="inlineStr"/>
      <c r="L573" t="inlineStr">
        <is>
          <t>XP_009472353.1 PREDICTED: transmembrane protein C5orf28 homolog isoform X2 [Nipponia nippon]</t>
        </is>
      </c>
      <c r="M573" t="n">
        <v>109</v>
      </c>
      <c r="N573" t="inlineStr">
        <is>
          <t>Nipponia nippon</t>
        </is>
      </c>
      <c r="O573" t="inlineStr">
        <is>
          <t>PREDICTED: transmembrane protein C5orf28 homolog isoform X2</t>
        </is>
      </c>
    </row>
    <row r="574">
      <c r="A574" t="inlineStr"/>
      <c r="B574" t="inlineStr"/>
      <c r="C574" t="inlineStr"/>
      <c r="D574" t="inlineStr"/>
      <c r="E574">
        <f>HYPERLINK("https://www.ncbi.nlm.nih.gov/gene/?term=KFW88321.1", "KFW88321.1")</f>
        <v/>
      </c>
      <c r="F574" t="n">
        <v>82.90000000000001</v>
      </c>
      <c r="G574" t="n">
        <v>105</v>
      </c>
      <c r="H574" t="n">
        <v>9.999999999999999e-55</v>
      </c>
      <c r="I574" t="inlineStr">
        <is>
          <t>Nr</t>
        </is>
      </c>
      <c r="J574" t="inlineStr"/>
      <c r="K574" t="inlineStr"/>
      <c r="L574" t="inlineStr">
        <is>
          <t>KFW88321.1 Transmembrane protein C5orf28, partial [Manacus vitellinus]</t>
        </is>
      </c>
      <c r="M574" t="n">
        <v>112</v>
      </c>
      <c r="N574" t="inlineStr">
        <is>
          <t>Manacus vitellinus</t>
        </is>
      </c>
      <c r="O574" t="inlineStr">
        <is>
          <t>Transmembrane protein C5orf28, partial</t>
        </is>
      </c>
    </row>
    <row r="575">
      <c r="A575" t="inlineStr"/>
      <c r="B575" t="inlineStr"/>
      <c r="C575" t="inlineStr"/>
      <c r="D575" t="inlineStr"/>
      <c r="E575">
        <f>HYPERLINK("https://www.uniprot.org/uniprotkb/A0A7L1AGK2/entry", "A0A7L1AGK2")</f>
        <v/>
      </c>
      <c r="F575" t="n">
        <v>85.59999999999999</v>
      </c>
      <c r="G575" t="n">
        <v>104</v>
      </c>
      <c r="H575" t="n">
        <v>1.04e-54</v>
      </c>
      <c r="I575" t="inlineStr">
        <is>
          <t>TrEMBL</t>
        </is>
      </c>
      <c r="J575" t="inlineStr">
        <is>
          <t>Tmem267</t>
        </is>
      </c>
      <c r="K575" t="inlineStr">
        <is>
          <t>A0A7L1AGK2_GYMTI</t>
        </is>
      </c>
      <c r="L575" t="inlineStr">
        <is>
          <t>tr|A0A7L1AGK2|A0A7L1AGK2_GYMTI Transmembrane protein 267 (Fragment) OS=Gymnorhina tibicen OX=9132 GN=Tmem267 PE=4 SV=1</t>
        </is>
      </c>
      <c r="M575" t="n">
        <v>221</v>
      </c>
      <c r="N575" t="inlineStr">
        <is>
          <t>Gymnorhina tibicen</t>
        </is>
      </c>
      <c r="O575" t="inlineStr">
        <is>
          <t>Transmembrane protein 267 (Fragment)</t>
        </is>
      </c>
    </row>
    <row r="576">
      <c r="A576" t="inlineStr"/>
      <c r="B576" t="inlineStr"/>
      <c r="C576" t="inlineStr"/>
      <c r="D576" t="inlineStr"/>
      <c r="E576">
        <f>HYPERLINK("https://www.ncbi.nlm.nih.gov/gene/?term=XP_026721175.1", "XP_026721175.1")</f>
        <v/>
      </c>
      <c r="F576" t="n">
        <v>84.8</v>
      </c>
      <c r="G576" t="n">
        <v>105</v>
      </c>
      <c r="H576" t="n">
        <v>1.19e-54</v>
      </c>
      <c r="I576" t="inlineStr">
        <is>
          <t>Nr</t>
        </is>
      </c>
      <c r="J576" t="inlineStr"/>
      <c r="K576" t="inlineStr"/>
      <c r="L576" t="inlineStr">
        <is>
          <t>XP_026721175.1 transmembrane protein 267 isoform X1 [Athene cunicularia]</t>
        </is>
      </c>
      <c r="M576" t="n">
        <v>229</v>
      </c>
      <c r="N576" t="inlineStr">
        <is>
          <t>Athene cunicularia</t>
        </is>
      </c>
      <c r="O576" t="inlineStr">
        <is>
          <t>transmembrane protein 267 isoform X1</t>
        </is>
      </c>
    </row>
    <row r="577">
      <c r="A577" t="inlineStr"/>
      <c r="B577" t="inlineStr"/>
      <c r="C577" t="inlineStr"/>
      <c r="D577" t="inlineStr"/>
      <c r="E577">
        <f>HYPERLINK("https://www.uniprot.org/uniprotkb/A0A7L3MBB0/entry", "A0A7L3MBB0")</f>
        <v/>
      </c>
      <c r="F577" t="n">
        <v>83.7</v>
      </c>
      <c r="G577" t="n">
        <v>104</v>
      </c>
      <c r="H577" t="n">
        <v>1.23e-54</v>
      </c>
      <c r="I577" t="inlineStr">
        <is>
          <t>TrEMBL</t>
        </is>
      </c>
      <c r="J577" t="inlineStr">
        <is>
          <t>Tmem267</t>
        </is>
      </c>
      <c r="K577" t="inlineStr">
        <is>
          <t>A0A7L3MBB0_9PASS</t>
        </is>
      </c>
      <c r="L577" t="inlineStr">
        <is>
          <t>tr|A0A7L3MBB0|A0A7L3MBB0_9PASS Transmembrane protein 267 (Fragment) OS=Horornis vulcanius OX=2585811 GN=Tmem267 PE=4 SV=1</t>
        </is>
      </c>
      <c r="M577" t="n">
        <v>159</v>
      </c>
      <c r="N577" t="inlineStr">
        <is>
          <t>Horornis vulcanius</t>
        </is>
      </c>
      <c r="O577" t="inlineStr">
        <is>
          <t>Transmembrane protein 267 (Fragment)</t>
        </is>
      </c>
    </row>
    <row r="578">
      <c r="A578" t="inlineStr"/>
      <c r="B578" t="inlineStr"/>
      <c r="C578" t="inlineStr"/>
      <c r="D578" t="inlineStr"/>
      <c r="E578">
        <f>HYPERLINK("https://www.uniprot.org/uniprotkb/A0A663N4N9/entry", "A0A663N4N9")</f>
        <v/>
      </c>
      <c r="F578" t="n">
        <v>84.59999999999999</v>
      </c>
      <c r="G578" t="n">
        <v>104</v>
      </c>
      <c r="H578" t="n">
        <v>1.38e-54</v>
      </c>
      <c r="I578" t="inlineStr">
        <is>
          <t>TrEMBL</t>
        </is>
      </c>
      <c r="J578" t="inlineStr">
        <is>
          <t>TMEM267</t>
        </is>
      </c>
      <c r="K578" t="inlineStr">
        <is>
          <t>A0A663N4N9_ATHCN</t>
        </is>
      </c>
      <c r="L578" t="inlineStr">
        <is>
          <t>tr|A0A663N4N9|A0A663N4N9_ATHCN Transmembrane protein 267 OS=Athene cunicularia OX=194338 GN=TMEM267 PE=4 SV=1</t>
        </is>
      </c>
      <c r="M578" t="n">
        <v>219</v>
      </c>
      <c r="N578" t="inlineStr">
        <is>
          <t>Athene cunicularia</t>
        </is>
      </c>
      <c r="O578" t="inlineStr">
        <is>
          <t>Transmembrane protein 267</t>
        </is>
      </c>
    </row>
    <row r="579">
      <c r="A579" t="inlineStr"/>
      <c r="B579" t="inlineStr"/>
      <c r="C579" t="inlineStr"/>
      <c r="D579" t="inlineStr"/>
      <c r="E579">
        <f>HYPERLINK("https://www.uniprot.org/uniprotkb/A0A8D0ESB2/entry", "A0A8D0ESB2")</f>
        <v/>
      </c>
      <c r="F579" t="n">
        <v>84.59999999999999</v>
      </c>
      <c r="G579" t="n">
        <v>104</v>
      </c>
      <c r="H579" t="n">
        <v>1.38e-54</v>
      </c>
      <c r="I579" t="inlineStr">
        <is>
          <t>TrEMBL</t>
        </is>
      </c>
      <c r="J579" t="inlineStr"/>
      <c r="K579" t="inlineStr">
        <is>
          <t>A0A8D0ESB2_STROC</t>
        </is>
      </c>
      <c r="L579" t="inlineStr">
        <is>
          <t>tr|A0A8D0ESB2|A0A8D0ESB2_STROC Transmembrane protein 267 OS=Strix occidentalis caurina OX=311401 PE=4 SV=1</t>
        </is>
      </c>
      <c r="M579" t="n">
        <v>219</v>
      </c>
      <c r="N579" t="inlineStr">
        <is>
          <t>Strix occidentalis caurina</t>
        </is>
      </c>
      <c r="O579" t="inlineStr">
        <is>
          <t>Transmembrane protein 267</t>
        </is>
      </c>
    </row>
    <row r="580">
      <c r="A580" t="inlineStr"/>
      <c r="B580" t="inlineStr"/>
      <c r="C580" t="inlineStr"/>
      <c r="D580" t="inlineStr"/>
      <c r="E580">
        <f>HYPERLINK("https://www.uniprot.org/uniprotkb/A0A7L2S593/entry", "A0A7L2S593")</f>
        <v/>
      </c>
      <c r="F580" t="n">
        <v>84.59999999999999</v>
      </c>
      <c r="G580" t="n">
        <v>104</v>
      </c>
      <c r="H580" t="n">
        <v>1.42e-54</v>
      </c>
      <c r="I580" t="inlineStr">
        <is>
          <t>TrEMBL</t>
        </is>
      </c>
      <c r="J580" t="inlineStr">
        <is>
          <t>Tmem267</t>
        </is>
      </c>
      <c r="K580" t="inlineStr">
        <is>
          <t>A0A7L2S593_9PASS</t>
        </is>
      </c>
      <c r="L580" t="inlineStr">
        <is>
          <t>tr|A0A7L2S593|A0A7L2S593_9PASS Transmembrane protein 267 (Fragment) OS=Mystacornis crossleyi OX=98133 GN=Tmem267 PE=4 SV=1</t>
        </is>
      </c>
      <c r="M580" t="n">
        <v>197</v>
      </c>
      <c r="N580" t="inlineStr">
        <is>
          <t>Mystacornis crossleyi</t>
        </is>
      </c>
      <c r="O580" t="inlineStr">
        <is>
          <t>Transmembrane protein 267 (Fragment)</t>
        </is>
      </c>
    </row>
    <row r="581">
      <c r="A581" t="inlineStr"/>
      <c r="B581" t="inlineStr"/>
      <c r="C581" t="inlineStr"/>
      <c r="D581" t="inlineStr"/>
      <c r="E581">
        <f>HYPERLINK("https://www.uniprot.org/uniprotkb/A0A7K4TXA6/entry", "A0A7K4TXA6")</f>
        <v/>
      </c>
      <c r="F581" t="n">
        <v>84.59999999999999</v>
      </c>
      <c r="G581" t="n">
        <v>104</v>
      </c>
      <c r="H581" t="n">
        <v>1.47e-54</v>
      </c>
      <c r="I581" t="inlineStr">
        <is>
          <t>TrEMBL</t>
        </is>
      </c>
      <c r="J581" t="inlineStr">
        <is>
          <t>Tmem267</t>
        </is>
      </c>
      <c r="K581" t="inlineStr">
        <is>
          <t>A0A7K4TXA6_9SYLV</t>
        </is>
      </c>
      <c r="L581" t="inlineStr">
        <is>
          <t>tr|A0A7K4TXA6|A0A7K4TXA6_9SYLV Transmembrane protein 267 (Fragment) OS=Sinosuthora webbiana OX=337173 GN=Tmem267 PE=4 SV=1</t>
        </is>
      </c>
      <c r="M581" t="n">
        <v>221</v>
      </c>
      <c r="N581" t="inlineStr">
        <is>
          <t>Sinosuthora webbiana</t>
        </is>
      </c>
      <c r="O581" t="inlineStr">
        <is>
          <t>Transmembrane protein 267 (Fragment)</t>
        </is>
      </c>
    </row>
    <row r="582">
      <c r="A582" t="inlineStr"/>
      <c r="B582" t="inlineStr"/>
      <c r="C582" t="inlineStr"/>
      <c r="D582" t="inlineStr"/>
      <c r="E582">
        <f>HYPERLINK("https://www.uniprot.org/uniprotkb/A0A7L0S5L5/entry", "A0A7L0S5L5")</f>
        <v/>
      </c>
      <c r="F582" t="n">
        <v>84.59999999999999</v>
      </c>
      <c r="G582" t="n">
        <v>104</v>
      </c>
      <c r="H582" t="n">
        <v>1.47e-54</v>
      </c>
      <c r="I582" t="inlineStr">
        <is>
          <t>TrEMBL</t>
        </is>
      </c>
      <c r="J582" t="inlineStr">
        <is>
          <t>Tmem267</t>
        </is>
      </c>
      <c r="K582" t="inlineStr">
        <is>
          <t>A0A7L0S5L5_GLABR</t>
        </is>
      </c>
      <c r="L582" t="inlineStr">
        <is>
          <t>tr|A0A7L0S5L5|A0A7L0S5L5_GLABR Transmembrane protein 267 (Fragment) OS=Glaucidium brasilianum OX=78217 GN=Tmem267 PE=4 SV=1</t>
        </is>
      </c>
      <c r="M582" t="n">
        <v>221</v>
      </c>
      <c r="N582" t="inlineStr">
        <is>
          <t>Glaucidium brasilianum</t>
        </is>
      </c>
      <c r="O582" t="inlineStr">
        <is>
          <t>Transmembrane protein 267 (Fragment)</t>
        </is>
      </c>
    </row>
    <row r="583">
      <c r="A583" t="inlineStr"/>
      <c r="B583" t="inlineStr"/>
      <c r="C583" t="inlineStr"/>
      <c r="D583" t="inlineStr"/>
      <c r="E583">
        <f>HYPERLINK("https://www.uniprot.org/uniprotkb/A0A7L0YXW4/entry", "A0A7L0YXW4")</f>
        <v/>
      </c>
      <c r="F583" t="n">
        <v>84.59999999999999</v>
      </c>
      <c r="G583" t="n">
        <v>104</v>
      </c>
      <c r="H583" t="n">
        <v>1.47e-54</v>
      </c>
      <c r="I583" t="inlineStr">
        <is>
          <t>TrEMBL</t>
        </is>
      </c>
      <c r="J583" t="inlineStr">
        <is>
          <t>Tmem267</t>
        </is>
      </c>
      <c r="K583" t="inlineStr">
        <is>
          <t>A0A7L0YXW4_9PASE</t>
        </is>
      </c>
      <c r="L583" t="inlineStr">
        <is>
          <t>tr|A0A7L0YXW4|A0A7L0YXW4_9PASE Transmembrane protein 267 (Fragment) OS=Ploceus nigricollis OX=441696 GN=Tmem267 PE=4 SV=1</t>
        </is>
      </c>
      <c r="M583" t="n">
        <v>221</v>
      </c>
      <c r="N583" t="inlineStr">
        <is>
          <t>Ploceus nigricollis</t>
        </is>
      </c>
      <c r="O583" t="inlineStr">
        <is>
          <t>Transmembrane protein 267 (Fragment)</t>
        </is>
      </c>
    </row>
    <row r="584">
      <c r="A584" t="inlineStr"/>
      <c r="B584" t="inlineStr"/>
      <c r="C584" t="inlineStr"/>
      <c r="D584" t="inlineStr"/>
      <c r="E584">
        <f>HYPERLINK("https://www.uniprot.org/uniprotkb/A0A7K9MTQ0/entry", "A0A7K9MTQ0")</f>
        <v/>
      </c>
      <c r="F584" t="n">
        <v>81.5</v>
      </c>
      <c r="G584" t="n">
        <v>108</v>
      </c>
      <c r="H584" t="n">
        <v>1.61e-54</v>
      </c>
      <c r="I584" t="inlineStr">
        <is>
          <t>TrEMBL</t>
        </is>
      </c>
      <c r="J584" t="inlineStr">
        <is>
          <t>Tmem267</t>
        </is>
      </c>
      <c r="K584" t="inlineStr">
        <is>
          <t>A0A7K9MTQ0_OCETE</t>
        </is>
      </c>
      <c r="L584" t="inlineStr">
        <is>
          <t>tr|A0A7K9MTQ0|A0A7K9MTQ0_OCETE Transmembrane protein 267 (Fragment) OS=Oceanodroma tethys OX=79633 GN=Tmem267 PE=4 SV=1</t>
        </is>
      </c>
      <c r="M584" t="n">
        <v>224</v>
      </c>
      <c r="N584" t="inlineStr">
        <is>
          <t>Oceanodroma tethys</t>
        </is>
      </c>
      <c r="O584" t="inlineStr">
        <is>
          <t>Transmembrane protein 267 (Fragment)</t>
        </is>
      </c>
    </row>
    <row r="585">
      <c r="A585" t="inlineStr"/>
      <c r="B585" t="inlineStr"/>
      <c r="C585" t="inlineStr"/>
      <c r="D585" t="inlineStr"/>
      <c r="E585">
        <f>HYPERLINK("https://www.uniprot.org/uniprotkb/A0A8C8BE44/entry", "A0A8C8BE44")</f>
        <v/>
      </c>
      <c r="F585" t="n">
        <v>84.59999999999999</v>
      </c>
      <c r="G585" t="n">
        <v>104</v>
      </c>
      <c r="H585" t="n">
        <v>1.96e-54</v>
      </c>
      <c r="I585" t="inlineStr">
        <is>
          <t>TrEMBL</t>
        </is>
      </c>
      <c r="J585" t="inlineStr"/>
      <c r="K585" t="inlineStr">
        <is>
          <t>A0A8C8BE44_9STRI</t>
        </is>
      </c>
      <c r="L585" t="inlineStr">
        <is>
          <t>tr|A0A8C8BE44|A0A8C8BE44_9STRI Transmembrane protein 267 OS=Otus sunia OX=257818 PE=4 SV=1</t>
        </is>
      </c>
      <c r="M585" t="n">
        <v>219</v>
      </c>
      <c r="N585" t="inlineStr">
        <is>
          <t>Otus sunia</t>
        </is>
      </c>
      <c r="O585" t="inlineStr">
        <is>
          <t>Transmembrane protein 267</t>
        </is>
      </c>
    </row>
    <row r="586">
      <c r="A586" t="inlineStr"/>
      <c r="B586" t="inlineStr"/>
      <c r="C586" t="inlineStr"/>
      <c r="D586" t="inlineStr"/>
      <c r="E586">
        <f>HYPERLINK("https://www.uniprot.org/uniprotkb/A0A7K6V6W9/entry", "A0A7K6V6W9")</f>
        <v/>
      </c>
      <c r="F586" t="n">
        <v>84.59999999999999</v>
      </c>
      <c r="G586" t="n">
        <v>104</v>
      </c>
      <c r="H586" t="n">
        <v>2.09e-54</v>
      </c>
      <c r="I586" t="inlineStr">
        <is>
          <t>TrEMBL</t>
        </is>
      </c>
      <c r="J586" t="inlineStr">
        <is>
          <t>Tmem267</t>
        </is>
      </c>
      <c r="K586" t="inlineStr">
        <is>
          <t>A0A7K6V6W9_9PASS</t>
        </is>
      </c>
      <c r="L586" t="inlineStr">
        <is>
          <t>tr|A0A7K6V6W9|A0A7K6V6W9_9PASS Transmembrane protein 267 (Fragment) OS=Notiomystis cincta OX=366454 GN=Tmem267 PE=4 SV=1</t>
        </is>
      </c>
      <c r="M586" t="n">
        <v>221</v>
      </c>
      <c r="N586" t="inlineStr">
        <is>
          <t>Notiomystis cincta</t>
        </is>
      </c>
      <c r="O586" t="inlineStr">
        <is>
          <t>Transmembrane protein 267 (Fragment)</t>
        </is>
      </c>
    </row>
    <row r="587">
      <c r="A587" t="inlineStr"/>
      <c r="B587" t="inlineStr"/>
      <c r="C587" t="inlineStr"/>
      <c r="D587" t="inlineStr"/>
      <c r="E587">
        <f>HYPERLINK("https://www.uniprot.org/uniprotkb/A0A7L3AYJ1/entry", "A0A7L3AYJ1")</f>
        <v/>
      </c>
      <c r="F587" t="n">
        <v>85.59999999999999</v>
      </c>
      <c r="G587" t="n">
        <v>104</v>
      </c>
      <c r="H587" t="n">
        <v>2.09e-54</v>
      </c>
      <c r="I587" t="inlineStr">
        <is>
          <t>TrEMBL</t>
        </is>
      </c>
      <c r="J587" t="inlineStr">
        <is>
          <t>Tmem267</t>
        </is>
      </c>
      <c r="K587" t="inlineStr">
        <is>
          <t>A0A7L3AYJ1_9AVES</t>
        </is>
      </c>
      <c r="L587" t="inlineStr">
        <is>
          <t>tr|A0A7L3AYJ1|A0A7L3AYJ1_9AVES Transmembrane protein 267 (Fragment) OS=Syrrhaptes paradoxus OX=302527 GN=Tmem267 PE=4 SV=1</t>
        </is>
      </c>
      <c r="M587" t="n">
        <v>221</v>
      </c>
      <c r="N587" t="inlineStr">
        <is>
          <t>Syrrhaptes paradoxus</t>
        </is>
      </c>
      <c r="O587" t="inlineStr">
        <is>
          <t>Transmembrane protein 267 (Fragment)</t>
        </is>
      </c>
    </row>
    <row r="588">
      <c r="A588" t="inlineStr"/>
      <c r="B588" t="inlineStr"/>
      <c r="C588" t="inlineStr"/>
      <c r="D588" t="inlineStr"/>
      <c r="E588">
        <f>HYPERLINK("https://www.uniprot.org/uniprotkb/A0A7K8Y6C6/entry", "A0A7K8Y6C6")</f>
        <v/>
      </c>
      <c r="F588" t="n">
        <v>85.59999999999999</v>
      </c>
      <c r="G588" t="n">
        <v>104</v>
      </c>
      <c r="H588" t="n">
        <v>2.09e-54</v>
      </c>
      <c r="I588" t="inlineStr">
        <is>
          <t>TrEMBL</t>
        </is>
      </c>
      <c r="J588" t="inlineStr">
        <is>
          <t>Tmem267</t>
        </is>
      </c>
      <c r="K588" t="inlineStr">
        <is>
          <t>A0A7K8Y6C6_9PASS</t>
        </is>
      </c>
      <c r="L588" t="inlineStr">
        <is>
          <t>tr|A0A7K8Y6C6|A0A7K8Y6C6_9PASS Transmembrane protein 267 (Fragment) OS=Sakesphorus luctuosus OX=419690 GN=Tmem267 PE=4 SV=1</t>
        </is>
      </c>
      <c r="M588" t="n">
        <v>221</v>
      </c>
      <c r="N588" t="inlineStr">
        <is>
          <t>Sakesphorus luctuosus</t>
        </is>
      </c>
      <c r="O588" t="inlineStr">
        <is>
          <t>Transmembrane protein 267 (Fragment)</t>
        </is>
      </c>
    </row>
    <row r="589">
      <c r="A589" t="inlineStr"/>
      <c r="B589" t="inlineStr"/>
      <c r="C589" t="inlineStr"/>
      <c r="D589" t="inlineStr"/>
      <c r="E589">
        <f>HYPERLINK("https://www.uniprot.org/uniprotkb/A0A8C3DEE5/entry", "A0A8C3DEE5")</f>
        <v/>
      </c>
      <c r="F589" t="n">
        <v>84.59999999999999</v>
      </c>
      <c r="G589" t="n">
        <v>104</v>
      </c>
      <c r="H589" t="n">
        <v>2.47e-54</v>
      </c>
      <c r="I589" t="inlineStr">
        <is>
          <t>TrEMBL</t>
        </is>
      </c>
      <c r="J589" t="inlineStr">
        <is>
          <t>TMEM267</t>
        </is>
      </c>
      <c r="K589" t="inlineStr">
        <is>
          <t>A0A8C3DEE5_CORMO</t>
        </is>
      </c>
      <c r="L589" t="inlineStr">
        <is>
          <t>tr|A0A8C3DEE5|A0A8C3DEE5_CORMO Transmembrane protein 267 OS=Corvus moneduloides OX=1196302 GN=TMEM267 PE=4 SV=1</t>
        </is>
      </c>
      <c r="M589" t="n">
        <v>215</v>
      </c>
      <c r="N589" t="inlineStr">
        <is>
          <t>Corvus moneduloides</t>
        </is>
      </c>
      <c r="O589" t="inlineStr">
        <is>
          <t>Transmembrane protein 267</t>
        </is>
      </c>
    </row>
    <row r="590">
      <c r="A590" t="inlineStr"/>
      <c r="B590" t="inlineStr"/>
      <c r="C590" t="inlineStr"/>
      <c r="D590" t="inlineStr"/>
      <c r="E590">
        <f>HYPERLINK("https://www.uniprot.org/uniprotkb/A0A7K9JI00/entry", "A0A7K9JI00")</f>
        <v/>
      </c>
      <c r="F590" t="n">
        <v>84.59999999999999</v>
      </c>
      <c r="G590" t="n">
        <v>104</v>
      </c>
      <c r="H590" t="n">
        <v>2.47e-54</v>
      </c>
      <c r="I590" t="inlineStr">
        <is>
          <t>TrEMBL</t>
        </is>
      </c>
      <c r="J590" t="inlineStr">
        <is>
          <t>Tmem267</t>
        </is>
      </c>
      <c r="K590" t="inlineStr">
        <is>
          <t>A0A7K9JI00_9PASE</t>
        </is>
      </c>
      <c r="L590" t="inlineStr">
        <is>
          <t>tr|A0A7K9JI00|A0A7K9JI00_9PASE Transmembrane protein 267 (Fragment) OS=Dicaeum eximium OX=667154 GN=Tmem267 PE=4 SV=1</t>
        </is>
      </c>
      <c r="M590" t="n">
        <v>215</v>
      </c>
      <c r="N590" t="inlineStr">
        <is>
          <t>Dicaeum eximium</t>
        </is>
      </c>
      <c r="O590" t="inlineStr">
        <is>
          <t>Transmembrane protein 267 (Fragment)</t>
        </is>
      </c>
    </row>
    <row r="591">
      <c r="A591" t="inlineStr"/>
      <c r="B591" t="inlineStr"/>
      <c r="C591" t="inlineStr"/>
      <c r="D591" t="inlineStr"/>
      <c r="E591">
        <f>HYPERLINK("https://www.uniprot.org/uniprotkb/A0A1L8HRT8/entry", "A0A1L8HRT8")</f>
        <v/>
      </c>
      <c r="F591" t="n">
        <v>82.7</v>
      </c>
      <c r="G591" t="n">
        <v>104</v>
      </c>
      <c r="H591" t="n">
        <v>2.47e-54</v>
      </c>
      <c r="I591" t="inlineStr">
        <is>
          <t>TrEMBL</t>
        </is>
      </c>
      <c r="J591" t="inlineStr">
        <is>
          <t>tmem267.S</t>
        </is>
      </c>
      <c r="K591" t="inlineStr">
        <is>
          <t>A0A1L8HRT8_XENLA</t>
        </is>
      </c>
      <c r="L591" t="inlineStr">
        <is>
          <t>tr|A0A1L8HRT8|A0A1L8HRT8_XENLA Transmembrane protein 267 OS=Xenopus laevis OX=8355 GN=tmem267.S PE=4 SV=1</t>
        </is>
      </c>
      <c r="M591" t="n">
        <v>215</v>
      </c>
      <c r="N591" t="inlineStr">
        <is>
          <t>Xenopus laevis</t>
        </is>
      </c>
      <c r="O591" t="inlineStr">
        <is>
          <t>Transmembrane protein 267</t>
        </is>
      </c>
    </row>
    <row r="592">
      <c r="A592" t="inlineStr"/>
      <c r="B592" t="inlineStr"/>
      <c r="C592" t="inlineStr"/>
      <c r="D592" t="inlineStr"/>
      <c r="E592">
        <f>HYPERLINK("https://www.ncbi.nlm.nih.gov/gene/?term=NXM40432.1", "NXM40432.1")</f>
        <v/>
      </c>
      <c r="F592" t="n">
        <v>85.59999999999999</v>
      </c>
      <c r="G592" t="n">
        <v>104</v>
      </c>
      <c r="H592" t="n">
        <v>2.659999999999999e-54</v>
      </c>
      <c r="I592" t="inlineStr">
        <is>
          <t>Nr</t>
        </is>
      </c>
      <c r="J592" t="inlineStr"/>
      <c r="K592" t="inlineStr"/>
      <c r="L592" t="inlineStr">
        <is>
          <t>NXM40432.1 TM267 protein [Gymnorhina tibicen]</t>
        </is>
      </c>
      <c r="M592" t="n">
        <v>221</v>
      </c>
      <c r="N592" t="inlineStr">
        <is>
          <t>Gymnorhina tibicen</t>
        </is>
      </c>
      <c r="O592" t="inlineStr">
        <is>
          <t>TM267 protein</t>
        </is>
      </c>
    </row>
    <row r="593">
      <c r="A593" t="inlineStr"/>
      <c r="B593" t="inlineStr"/>
      <c r="C593" t="inlineStr"/>
      <c r="D593" t="inlineStr"/>
      <c r="E593">
        <f>HYPERLINK("https://www.ncbi.nlm.nih.gov/gene/?term=XP_021409587.1", "XP_021409587.1")</f>
        <v/>
      </c>
      <c r="F593" t="n">
        <v>84.59999999999999</v>
      </c>
      <c r="G593" t="n">
        <v>104</v>
      </c>
      <c r="H593" t="n">
        <v>2.67e-54</v>
      </c>
      <c r="I593" t="inlineStr">
        <is>
          <t>Nr</t>
        </is>
      </c>
      <c r="J593" t="inlineStr"/>
      <c r="K593" t="inlineStr"/>
      <c r="L593" t="inlineStr">
        <is>
          <t>XP_021409587.1 transmembrane protein 267 isoform X2 [Lonchura striata domestica]</t>
        </is>
      </c>
      <c r="M593" t="n">
        <v>187</v>
      </c>
      <c r="N593" t="inlineStr">
        <is>
          <t>Lonchura striata domestica</t>
        </is>
      </c>
      <c r="O593" t="inlineStr">
        <is>
          <t>transmembrane protein 267 isoform X2</t>
        </is>
      </c>
    </row>
    <row r="594">
      <c r="A594" t="inlineStr"/>
      <c r="B594" t="inlineStr"/>
      <c r="C594" t="inlineStr"/>
      <c r="D594" t="inlineStr"/>
      <c r="E594">
        <f>HYPERLINK("https://www.uniprot.org/uniprotkb/A0A8C3MFJ4/entry", "A0A8C3MFJ4")</f>
        <v/>
      </c>
      <c r="F594" t="n">
        <v>83.7</v>
      </c>
      <c r="G594" t="n">
        <v>104</v>
      </c>
      <c r="H594" t="n">
        <v>2.78e-54</v>
      </c>
      <c r="I594" t="inlineStr">
        <is>
          <t>TrEMBL</t>
        </is>
      </c>
      <c r="J594" t="inlineStr">
        <is>
          <t>TMEM267</t>
        </is>
      </c>
      <c r="K594" t="inlineStr">
        <is>
          <t>A0A8C3MFJ4_GEOPR</t>
        </is>
      </c>
      <c r="L594" t="inlineStr">
        <is>
          <t>tr|A0A8C3MFJ4|A0A8C3MFJ4_GEOPR Transmembrane protein 267 OS=Geospiza parvula OX=87175 GN=TMEM267 PE=4 SV=1</t>
        </is>
      </c>
      <c r="M594" t="n">
        <v>219</v>
      </c>
      <c r="N594" t="inlineStr">
        <is>
          <t>Geospiza parvula</t>
        </is>
      </c>
      <c r="O594" t="inlineStr">
        <is>
          <t>Transmembrane protein 267</t>
        </is>
      </c>
    </row>
    <row r="595">
      <c r="A595" t="inlineStr"/>
      <c r="B595" t="inlineStr"/>
      <c r="C595" t="inlineStr"/>
      <c r="D595" t="inlineStr"/>
      <c r="E595">
        <f>HYPERLINK("https://www.uniprot.org/uniprotkb/A0A8C0BMD3/entry", "A0A8C0BMD3")</f>
        <v/>
      </c>
      <c r="F595" t="n">
        <v>84.59999999999999</v>
      </c>
      <c r="G595" t="n">
        <v>104</v>
      </c>
      <c r="H595" t="n">
        <v>2.78e-54</v>
      </c>
      <c r="I595" t="inlineStr">
        <is>
          <t>TrEMBL</t>
        </is>
      </c>
      <c r="J595" t="inlineStr"/>
      <c r="K595" t="inlineStr">
        <is>
          <t>A0A8C0BMD3_9AVES</t>
        </is>
      </c>
      <c r="L595" t="inlineStr">
        <is>
          <t>tr|A0A8C0BMD3|A0A8C0BMD3_9AVES Transmembrane protein 267 OS=Buteo japonicus OX=224669 PE=4 SV=1</t>
        </is>
      </c>
      <c r="M595" t="n">
        <v>219</v>
      </c>
      <c r="N595" t="inlineStr">
        <is>
          <t>Buteo japonicus</t>
        </is>
      </c>
      <c r="O595" t="inlineStr">
        <is>
          <t>Transmembrane protein 267</t>
        </is>
      </c>
    </row>
    <row r="596">
      <c r="A596" t="inlineStr"/>
      <c r="B596" t="inlineStr"/>
      <c r="C596" t="inlineStr"/>
      <c r="D596" t="inlineStr"/>
      <c r="E596">
        <f>HYPERLINK("https://www.ncbi.nlm.nih.gov/gene/?term=NXU63849.1", "NXU63849.1")</f>
        <v/>
      </c>
      <c r="F596" t="n">
        <v>83.7</v>
      </c>
      <c r="G596" t="n">
        <v>104</v>
      </c>
      <c r="H596" t="n">
        <v>3.149999999999999e-54</v>
      </c>
      <c r="I596" t="inlineStr">
        <is>
          <t>Nr</t>
        </is>
      </c>
      <c r="J596" t="inlineStr"/>
      <c r="K596" t="inlineStr"/>
      <c r="L596" t="inlineStr">
        <is>
          <t>NXU63849.1 TM267 protein [Horornis vulcanius]</t>
        </is>
      </c>
      <c r="M596" t="n">
        <v>159</v>
      </c>
      <c r="N596" t="inlineStr">
        <is>
          <t>Horornis vulcanius</t>
        </is>
      </c>
      <c r="O596" t="inlineStr">
        <is>
          <t>TM267 protein</t>
        </is>
      </c>
    </row>
    <row r="597">
      <c r="A597" t="inlineStr"/>
      <c r="B597" t="inlineStr"/>
      <c r="C597" t="inlineStr"/>
      <c r="D597" t="inlineStr"/>
      <c r="E597">
        <f>HYPERLINK("https://www.ncbi.nlm.nih.gov/gene/?term=XP_026721177.1", "XP_026721177.1")</f>
        <v/>
      </c>
      <c r="F597" t="n">
        <v>84.59999999999999</v>
      </c>
      <c r="G597" t="n">
        <v>104</v>
      </c>
      <c r="H597" t="n">
        <v>3.56e-54</v>
      </c>
      <c r="I597" t="inlineStr">
        <is>
          <t>Nr</t>
        </is>
      </c>
      <c r="J597" t="inlineStr"/>
      <c r="K597" t="inlineStr"/>
      <c r="L597" t="inlineStr">
        <is>
          <t>XP_026721177.1 transmembrane protein 267 isoform X2 [Athene cunicularia]</t>
        </is>
      </c>
      <c r="M597" t="n">
        <v>219</v>
      </c>
      <c r="N597" t="inlineStr">
        <is>
          <t>Athene cunicularia</t>
        </is>
      </c>
      <c r="O597" t="inlineStr">
        <is>
          <t>transmembrane protein 267 isoform X2</t>
        </is>
      </c>
    </row>
    <row r="598">
      <c r="A598" t="inlineStr"/>
      <c r="B598" t="inlineStr"/>
      <c r="C598" t="inlineStr"/>
      <c r="D598" t="inlineStr"/>
      <c r="E598">
        <f>HYPERLINK("https://www.ncbi.nlm.nih.gov/gene/?term=NXS15745.1", "NXS15745.1")</f>
        <v/>
      </c>
      <c r="F598" t="n">
        <v>84.59999999999999</v>
      </c>
      <c r="G598" t="n">
        <v>104</v>
      </c>
      <c r="H598" t="n">
        <v>3.639999999999999e-54</v>
      </c>
      <c r="I598" t="inlineStr">
        <is>
          <t>Nr</t>
        </is>
      </c>
      <c r="J598" t="inlineStr"/>
      <c r="K598" t="inlineStr"/>
      <c r="L598" t="inlineStr">
        <is>
          <t>NXS15745.1 TM267 protein [Mystacornis crossleyi]</t>
        </is>
      </c>
      <c r="M598" t="n">
        <v>197</v>
      </c>
      <c r="N598" t="inlineStr">
        <is>
          <t>Mystacornis crossleyi</t>
        </is>
      </c>
      <c r="O598" t="inlineStr">
        <is>
          <t>TM267 protein</t>
        </is>
      </c>
    </row>
    <row r="599">
      <c r="A599" t="inlineStr"/>
      <c r="B599" t="inlineStr"/>
      <c r="C599" t="inlineStr"/>
      <c r="D599" t="inlineStr"/>
      <c r="E599">
        <f>HYPERLINK("https://www.ncbi.nlm.nih.gov/gene/?term=XP_039565729.1", "XP_039565729.1")</f>
        <v/>
      </c>
      <c r="F599" t="n">
        <v>83.2</v>
      </c>
      <c r="G599" t="n">
        <v>107</v>
      </c>
      <c r="H599" t="n">
        <v>3.75e-54</v>
      </c>
      <c r="I599" t="inlineStr">
        <is>
          <t>Nr</t>
        </is>
      </c>
      <c r="J599" t="inlineStr"/>
      <c r="K599" t="inlineStr"/>
      <c r="L599" t="inlineStr">
        <is>
          <t>XP_039565729.1 transmembrane protein 267 isoform X2 [Passer montanus]</t>
        </is>
      </c>
      <c r="M599" t="n">
        <v>244</v>
      </c>
      <c r="N599" t="inlineStr">
        <is>
          <t>Passer montanus</t>
        </is>
      </c>
      <c r="O599" t="inlineStr">
        <is>
          <t>transmembrane protein 267 isoform X2</t>
        </is>
      </c>
    </row>
    <row r="600">
      <c r="A600" t="inlineStr"/>
      <c r="B600" t="inlineStr"/>
      <c r="C600" t="inlineStr"/>
      <c r="D600" t="inlineStr"/>
      <c r="E600">
        <f>HYPERLINK("https://www.ncbi.nlm.nih.gov/gene/?term=NWR02431.1", "NWR02431.1")</f>
        <v/>
      </c>
      <c r="F600" t="n">
        <v>84.59999999999999</v>
      </c>
      <c r="G600" t="n">
        <v>104</v>
      </c>
      <c r="H600" t="n">
        <v>3.78e-54</v>
      </c>
      <c r="I600" t="inlineStr">
        <is>
          <t>Nr</t>
        </is>
      </c>
      <c r="J600" t="inlineStr"/>
      <c r="K600" t="inlineStr"/>
      <c r="L600" t="inlineStr">
        <is>
          <t>NWR02431.1 TM267 protein [Sinosuthora webbiana]</t>
        </is>
      </c>
      <c r="M600" t="n">
        <v>221</v>
      </c>
      <c r="N600" t="inlineStr">
        <is>
          <t>Sinosuthora webbiana</t>
        </is>
      </c>
      <c r="O600" t="inlineStr">
        <is>
          <t>TM267 protein</t>
        </is>
      </c>
    </row>
    <row r="601">
      <c r="A601" t="inlineStr"/>
      <c r="B601" t="inlineStr"/>
      <c r="C601" t="inlineStr"/>
      <c r="D601" t="inlineStr"/>
      <c r="E601">
        <f>HYPERLINK("https://www.ncbi.nlm.nih.gov/gene/?term=NXL37771.1", "NXL37771.1")</f>
        <v/>
      </c>
      <c r="F601" t="n">
        <v>84.59999999999999</v>
      </c>
      <c r="G601" t="n">
        <v>104</v>
      </c>
      <c r="H601" t="n">
        <v>3.78e-54</v>
      </c>
      <c r="I601" t="inlineStr">
        <is>
          <t>Nr</t>
        </is>
      </c>
      <c r="J601" t="inlineStr"/>
      <c r="K601" t="inlineStr"/>
      <c r="L601" t="inlineStr">
        <is>
          <t>NXL37771.1 TM267 protein [Glaucidium brasilianum]</t>
        </is>
      </c>
      <c r="M601" t="n">
        <v>221</v>
      </c>
      <c r="N601" t="inlineStr">
        <is>
          <t>Glaucidium brasilianum</t>
        </is>
      </c>
      <c r="O601" t="inlineStr">
        <is>
          <t>TM267 protein</t>
        </is>
      </c>
    </row>
    <row r="602">
      <c r="A602" t="inlineStr"/>
      <c r="B602" t="inlineStr"/>
      <c r="C602" t="inlineStr"/>
      <c r="D602" t="inlineStr"/>
      <c r="E602">
        <f>HYPERLINK("https://www.uniprot.org/uniprotkb/Q0VDI3/entry", "Q0VDI3")</f>
        <v/>
      </c>
      <c r="F602" t="n">
        <v>74</v>
      </c>
      <c r="G602" t="n">
        <v>104</v>
      </c>
      <c r="H602" t="n">
        <v>9.68e-49</v>
      </c>
      <c r="I602" t="inlineStr">
        <is>
          <t>Swiss-Prot</t>
        </is>
      </c>
      <c r="J602" t="inlineStr">
        <is>
          <t>TMEM267</t>
        </is>
      </c>
      <c r="K602" t="inlineStr">
        <is>
          <t>TM267_HUMAN</t>
        </is>
      </c>
      <c r="L602" t="inlineStr">
        <is>
          <t>sp|Q0VDI3|TM267_HUMAN Transmembrane protein 267 OS=Homo sapiens OX=9606 GN=TMEM267 PE=1 SV=1</t>
        </is>
      </c>
      <c r="M602" t="n">
        <v>215</v>
      </c>
      <c r="N602" t="inlineStr">
        <is>
          <t>Homo sapiens</t>
        </is>
      </c>
      <c r="O602" t="inlineStr">
        <is>
          <t>Transmembrane protein 267</t>
        </is>
      </c>
    </row>
    <row r="603">
      <c r="A603" t="inlineStr"/>
      <c r="B603" t="inlineStr"/>
      <c r="C603" t="inlineStr"/>
      <c r="D603" t="inlineStr"/>
      <c r="E603">
        <f>HYPERLINK("https://www.uniprot.org/uniprotkb/Q17QJ2/entry", "Q17QJ2")</f>
        <v/>
      </c>
      <c r="F603" t="n">
        <v>70.2</v>
      </c>
      <c r="G603" t="n">
        <v>104</v>
      </c>
      <c r="H603" t="n">
        <v>5.14e-46</v>
      </c>
      <c r="I603" t="inlineStr">
        <is>
          <t>Swiss-Prot</t>
        </is>
      </c>
      <c r="J603" t="inlineStr">
        <is>
          <t>TMEM267</t>
        </is>
      </c>
      <c r="K603" t="inlineStr">
        <is>
          <t>TM267_BOVIN</t>
        </is>
      </c>
      <c r="L603" t="inlineStr">
        <is>
          <t>sp|Q17QJ2|TM267_BOVIN Transmembrane protein 267 OS=Bos taurus OX=9913 GN=TMEM267 PE=2 SV=1</t>
        </is>
      </c>
      <c r="M603" t="n">
        <v>215</v>
      </c>
      <c r="N603" t="inlineStr">
        <is>
          <t>Bos taurus</t>
        </is>
      </c>
      <c r="O603" t="inlineStr">
        <is>
          <t>Transmembrane protein 267</t>
        </is>
      </c>
    </row>
    <row r="604">
      <c r="A604" t="inlineStr"/>
      <c r="B604" t="inlineStr"/>
      <c r="C604" t="inlineStr"/>
      <c r="D604" t="inlineStr"/>
      <c r="E604">
        <f>HYPERLINK("https://www.uniprot.org/uniprotkb/Q6DC75/entry", "Q6DC75")</f>
        <v/>
      </c>
      <c r="F604" t="n">
        <v>67.3</v>
      </c>
      <c r="G604" t="n">
        <v>104</v>
      </c>
      <c r="H604" t="n">
        <v>8e-44</v>
      </c>
      <c r="I604" t="inlineStr">
        <is>
          <t>Swiss-Prot</t>
        </is>
      </c>
      <c r="J604" t="inlineStr">
        <is>
          <t>tmem267</t>
        </is>
      </c>
      <c r="K604" t="inlineStr">
        <is>
          <t>TM267_DANRE</t>
        </is>
      </c>
      <c r="L604" t="inlineStr">
        <is>
          <t>sp|Q6DC75|TM267_DANRE Transmembrane protein 267 OS=Danio rerio OX=7955 GN=tmem267 PE=2 SV=1</t>
        </is>
      </c>
      <c r="M604" t="n">
        <v>221</v>
      </c>
      <c r="N604" t="inlineStr">
        <is>
          <t>Danio rerio</t>
        </is>
      </c>
      <c r="O604" t="inlineStr">
        <is>
          <t>Transmembrane protein 267</t>
        </is>
      </c>
    </row>
    <row r="605">
      <c r="A605" t="inlineStr"/>
      <c r="B605" t="inlineStr"/>
      <c r="C605" t="inlineStr"/>
      <c r="D605" t="inlineStr"/>
      <c r="E605">
        <f>HYPERLINK("https://www.uniprot.org/uniprotkb/Q8VDR5/entry", "Q8VDR5")</f>
        <v/>
      </c>
      <c r="F605" t="n">
        <v>66.3</v>
      </c>
      <c r="G605" t="n">
        <v>104</v>
      </c>
      <c r="H605" t="n">
        <v>7.730000000000001e-43</v>
      </c>
      <c r="I605" t="inlineStr">
        <is>
          <t>Swiss-Prot</t>
        </is>
      </c>
      <c r="J605" t="inlineStr">
        <is>
          <t>Tmem267</t>
        </is>
      </c>
      <c r="K605" t="inlineStr">
        <is>
          <t>TM267_MOUSE</t>
        </is>
      </c>
      <c r="L605" t="inlineStr">
        <is>
          <t>sp|Q8VDR5|TM267_MOUSE Transmembrane protein 267 OS=Mus musculus OX=10090 GN=Tmem267 PE=2 SV=1</t>
        </is>
      </c>
      <c r="M605" t="n">
        <v>215</v>
      </c>
      <c r="N605" t="inlineStr">
        <is>
          <t>Mus musculus</t>
        </is>
      </c>
      <c r="O605" t="inlineStr">
        <is>
          <t>Transmembrane protein 267</t>
        </is>
      </c>
    </row>
    <row r="606">
      <c r="A606" t="inlineStr">
        <is>
          <t>NODE_113803_length_1463_cov_89.829513_g46252_i0</t>
        </is>
      </c>
      <c r="B606" t="inlineStr">
        <is>
          <t>bombina_pachypus_blastx</t>
        </is>
      </c>
      <c r="C606" t="n">
        <v>-6.41968079419042</v>
      </c>
      <c r="D606" t="n">
        <v>0.0090128617456706</v>
      </c>
      <c r="E606">
        <f>HYPERLINK("https://www.ncbi.nlm.nih.gov/gene/?term=XP_044147653.1", "XP_044147653.1")</f>
        <v/>
      </c>
      <c r="F606" t="n">
        <v>76.2</v>
      </c>
      <c r="G606" t="n">
        <v>206</v>
      </c>
      <c r="H606" t="n">
        <v>4.19e-110</v>
      </c>
      <c r="I606" t="inlineStr">
        <is>
          <t>Nr</t>
        </is>
      </c>
      <c r="J606" t="inlineStr"/>
      <c r="K606" t="inlineStr"/>
      <c r="L606" t="inlineStr">
        <is>
          <t>XP_044147653.1 uncharacterized protein K02A2.6-like [Bufo gargarizans]</t>
        </is>
      </c>
      <c r="M606" t="n">
        <v>616</v>
      </c>
      <c r="N606" t="inlineStr">
        <is>
          <t>Bufo gargarizans</t>
        </is>
      </c>
      <c r="O606" t="inlineStr">
        <is>
          <t>uncharacterized protein K02A2.6-like</t>
        </is>
      </c>
    </row>
    <row r="607">
      <c r="A607" t="inlineStr"/>
      <c r="B607" t="inlineStr"/>
      <c r="C607" t="inlineStr"/>
      <c r="D607" t="inlineStr"/>
      <c r="E607">
        <f>HYPERLINK("https://www.ncbi.nlm.nih.gov/gene/?term=XP_040201364.1", "XP_040201364.1")</f>
        <v/>
      </c>
      <c r="F607" t="n">
        <v>76.7</v>
      </c>
      <c r="G607" t="n">
        <v>206</v>
      </c>
      <c r="H607" t="n">
        <v>1.73e-109</v>
      </c>
      <c r="I607" t="inlineStr">
        <is>
          <t>Nr</t>
        </is>
      </c>
      <c r="J607" t="inlineStr"/>
      <c r="K607" t="inlineStr"/>
      <c r="L607" t="inlineStr">
        <is>
          <t>XP_040201364.1 uncharacterized protein K02A2.6-like [Rana temporaria]</t>
        </is>
      </c>
      <c r="M607" t="n">
        <v>738</v>
      </c>
      <c r="N607" t="inlineStr">
        <is>
          <t>Rana temporaria</t>
        </is>
      </c>
      <c r="O607" t="inlineStr">
        <is>
          <t>uncharacterized protein K02A2.6-like</t>
        </is>
      </c>
    </row>
    <row r="608">
      <c r="A608" t="inlineStr"/>
      <c r="B608" t="inlineStr"/>
      <c r="C608" t="inlineStr"/>
      <c r="D608" t="inlineStr"/>
      <c r="E608">
        <f>HYPERLINK("https://www.ncbi.nlm.nih.gov/gene/?term=XP_040294429.1", "XP_040294429.1")</f>
        <v/>
      </c>
      <c r="F608" t="n">
        <v>76.2</v>
      </c>
      <c r="G608" t="n">
        <v>206</v>
      </c>
      <c r="H608" t="n">
        <v>4.780000000000001e-109</v>
      </c>
      <c r="I608" t="inlineStr">
        <is>
          <t>Nr</t>
        </is>
      </c>
      <c r="J608" t="inlineStr"/>
      <c r="K608" t="inlineStr"/>
      <c r="L608" t="inlineStr">
        <is>
          <t>XP_040294429.1 uncharacterized protein K02A2.6-like [Bufo bufo]</t>
        </is>
      </c>
      <c r="M608" t="n">
        <v>766</v>
      </c>
      <c r="N608" t="inlineStr">
        <is>
          <t>Bufo bufo</t>
        </is>
      </c>
      <c r="O608" t="inlineStr">
        <is>
          <t>uncharacterized protein K02A2.6-like</t>
        </is>
      </c>
    </row>
    <row r="609">
      <c r="A609" t="inlineStr"/>
      <c r="B609" t="inlineStr"/>
      <c r="C609" t="inlineStr"/>
      <c r="D609" t="inlineStr"/>
      <c r="E609">
        <f>HYPERLINK("https://www.ncbi.nlm.nih.gov/gene/?term=XP_040289972.1", "XP_040289972.1")</f>
        <v/>
      </c>
      <c r="F609" t="n">
        <v>76.2</v>
      </c>
      <c r="G609" t="n">
        <v>206</v>
      </c>
      <c r="H609" t="n">
        <v>1.57e-107</v>
      </c>
      <c r="I609" t="inlineStr">
        <is>
          <t>Nr</t>
        </is>
      </c>
      <c r="J609" t="inlineStr"/>
      <c r="K609" t="inlineStr"/>
      <c r="L609" t="inlineStr">
        <is>
          <t>XP_040289972.1 uncharacterized protein K02A2.6-like [Bufo bufo]</t>
        </is>
      </c>
      <c r="M609" t="n">
        <v>861</v>
      </c>
      <c r="N609" t="inlineStr">
        <is>
          <t>Bufo bufo</t>
        </is>
      </c>
      <c r="O609" t="inlineStr">
        <is>
          <t>uncharacterized protein K02A2.6-like</t>
        </is>
      </c>
    </row>
    <row r="610">
      <c r="A610" t="inlineStr"/>
      <c r="B610" t="inlineStr"/>
      <c r="C610" t="inlineStr"/>
      <c r="D610" t="inlineStr"/>
      <c r="E610">
        <f>HYPERLINK("https://www.ncbi.nlm.nih.gov/gene/?term=XP_040275500.1", "XP_040275500.1")</f>
        <v/>
      </c>
      <c r="F610" t="n">
        <v>76.2</v>
      </c>
      <c r="G610" t="n">
        <v>206</v>
      </c>
      <c r="H610" t="n">
        <v>1.88e-107</v>
      </c>
      <c r="I610" t="inlineStr">
        <is>
          <t>Nr</t>
        </is>
      </c>
      <c r="J610" t="inlineStr"/>
      <c r="K610" t="inlineStr"/>
      <c r="L610" t="inlineStr">
        <is>
          <t>XP_040275500.1 uncharacterized protein K02A2.6-like [Bufo bufo]</t>
        </is>
      </c>
      <c r="M610" t="n">
        <v>937</v>
      </c>
      <c r="N610" t="inlineStr">
        <is>
          <t>Bufo bufo</t>
        </is>
      </c>
      <c r="O610" t="inlineStr">
        <is>
          <t>uncharacterized protein K02A2.6-like</t>
        </is>
      </c>
    </row>
    <row r="611">
      <c r="A611" t="inlineStr"/>
      <c r="B611" t="inlineStr"/>
      <c r="C611" t="inlineStr"/>
      <c r="D611" t="inlineStr"/>
      <c r="E611">
        <f>HYPERLINK("https://www.ncbi.nlm.nih.gov/gene/?term=XP_040294520.1", "XP_040294520.1")</f>
        <v/>
      </c>
      <c r="F611" t="n">
        <v>76.2</v>
      </c>
      <c r="G611" t="n">
        <v>206</v>
      </c>
      <c r="H611" t="n">
        <v>1.88e-107</v>
      </c>
      <c r="I611" t="inlineStr">
        <is>
          <t>Nr</t>
        </is>
      </c>
      <c r="J611" t="inlineStr"/>
      <c r="K611" t="inlineStr"/>
      <c r="L611" t="inlineStr">
        <is>
          <t>XP_040294520.1 uncharacterized protein K02A2.6-like [Bufo bufo]</t>
        </is>
      </c>
      <c r="M611" t="n">
        <v>937</v>
      </c>
      <c r="N611" t="inlineStr">
        <is>
          <t>Bufo bufo</t>
        </is>
      </c>
      <c r="O611" t="inlineStr">
        <is>
          <t>uncharacterized protein K02A2.6-like</t>
        </is>
      </c>
    </row>
    <row r="612">
      <c r="A612" t="inlineStr"/>
      <c r="B612" t="inlineStr"/>
      <c r="C612" t="inlineStr"/>
      <c r="D612" t="inlineStr"/>
      <c r="E612">
        <f>HYPERLINK("https://www.uniprot.org/uniprotkb/A0A8C5QUS7/entry", "A0A8C5QUS7")</f>
        <v/>
      </c>
      <c r="F612" t="n">
        <v>73.3</v>
      </c>
      <c r="G612" t="n">
        <v>206</v>
      </c>
      <c r="H612" t="n">
        <v>2.86e-107</v>
      </c>
      <c r="I612" t="inlineStr">
        <is>
          <t>TrEMBL</t>
        </is>
      </c>
      <c r="J612" t="inlineStr"/>
      <c r="K612" t="inlineStr">
        <is>
          <t>A0A8C5QUS7_9ANUR</t>
        </is>
      </c>
      <c r="L612" t="inlineStr">
        <is>
          <t>tr|A0A8C5QUS7|A0A8C5QUS7_9ANUR ribonuclease H OS=Leptobrachium leishanense OX=445787 PE=3 SV=1</t>
        </is>
      </c>
      <c r="M612" t="n">
        <v>376</v>
      </c>
      <c r="N612" t="inlineStr">
        <is>
          <t>Leptobrachium leishanense</t>
        </is>
      </c>
      <c r="O612" t="inlineStr">
        <is>
          <t>ribonuclease H</t>
        </is>
      </c>
    </row>
    <row r="613">
      <c r="A613" t="inlineStr"/>
      <c r="B613" t="inlineStr"/>
      <c r="C613" t="inlineStr"/>
      <c r="D613" t="inlineStr"/>
      <c r="E613">
        <f>HYPERLINK("https://www.ncbi.nlm.nih.gov/gene/?term=XP_044131074.1", "XP_044131074.1")</f>
        <v/>
      </c>
      <c r="F613" t="n">
        <v>75.7</v>
      </c>
      <c r="G613" t="n">
        <v>206</v>
      </c>
      <c r="H613" t="n">
        <v>4.32e-107</v>
      </c>
      <c r="I613" t="inlineStr">
        <is>
          <t>Nr</t>
        </is>
      </c>
      <c r="J613" t="inlineStr"/>
      <c r="K613" t="inlineStr"/>
      <c r="L613" t="inlineStr">
        <is>
          <t>XP_044131074.1 LOW QUALITY PROTEIN: uncharacterized protein K02A2.6-like [Bufo gargarizans]</t>
        </is>
      </c>
      <c r="M613" t="n">
        <v>768</v>
      </c>
      <c r="N613" t="inlineStr">
        <is>
          <t>Bufo gargarizans</t>
        </is>
      </c>
      <c r="O613" t="inlineStr">
        <is>
          <t>LOW QUALITY PROTEIN: uncharacterized protein K02A2.6-like</t>
        </is>
      </c>
    </row>
    <row r="614">
      <c r="A614" t="inlineStr"/>
      <c r="B614" t="inlineStr"/>
      <c r="C614" t="inlineStr"/>
      <c r="D614" t="inlineStr"/>
      <c r="E614">
        <f>HYPERLINK("https://www.ncbi.nlm.nih.gov/gene/?term=XP_044155518.1", "XP_044155518.1")</f>
        <v/>
      </c>
      <c r="F614" t="n">
        <v>75.59999999999999</v>
      </c>
      <c r="G614" t="n">
        <v>205</v>
      </c>
      <c r="H614" t="n">
        <v>5.09e-107</v>
      </c>
      <c r="I614" t="inlineStr">
        <is>
          <t>Nr</t>
        </is>
      </c>
      <c r="J614" t="inlineStr"/>
      <c r="K614" t="inlineStr"/>
      <c r="L614" t="inlineStr">
        <is>
          <t>XP_044155518.1 uncharacterized protein K02A2.6-like [Bufo gargarizans]</t>
        </is>
      </c>
      <c r="M614" t="n">
        <v>790</v>
      </c>
      <c r="N614" t="inlineStr">
        <is>
          <t>Bufo gargarizans</t>
        </is>
      </c>
      <c r="O614" t="inlineStr">
        <is>
          <t>uncharacterized protein K02A2.6-like</t>
        </is>
      </c>
    </row>
    <row r="615">
      <c r="A615" t="inlineStr"/>
      <c r="B615" t="inlineStr"/>
      <c r="C615" t="inlineStr"/>
      <c r="D615" t="inlineStr"/>
      <c r="E615">
        <f>HYPERLINK("https://www.ncbi.nlm.nih.gov/gene/?term=XP_040270920.1", "XP_040270920.1")</f>
        <v/>
      </c>
      <c r="F615" t="n">
        <v>76.2</v>
      </c>
      <c r="G615" t="n">
        <v>206</v>
      </c>
      <c r="H615" t="n">
        <v>9.38e-107</v>
      </c>
      <c r="I615" t="inlineStr">
        <is>
          <t>Nr</t>
        </is>
      </c>
      <c r="J615" t="inlineStr"/>
      <c r="K615" t="inlineStr"/>
      <c r="L615" t="inlineStr">
        <is>
          <t>XP_040270920.1 uncharacterized protein K02A2.6-like [Bufo bufo]</t>
        </is>
      </c>
      <c r="M615" t="n">
        <v>1025</v>
      </c>
      <c r="N615" t="inlineStr">
        <is>
          <t>Bufo bufo</t>
        </is>
      </c>
      <c r="O615" t="inlineStr">
        <is>
          <t>uncharacterized protein K02A2.6-like</t>
        </is>
      </c>
    </row>
    <row r="616">
      <c r="A616" t="inlineStr"/>
      <c r="B616" t="inlineStr"/>
      <c r="C616" t="inlineStr"/>
      <c r="D616" t="inlineStr"/>
      <c r="E616">
        <f>HYPERLINK("https://www.ncbi.nlm.nih.gov/gene/?term=XP_040264848.1", "XP_040264848.1")</f>
        <v/>
      </c>
      <c r="F616" t="n">
        <v>75.7</v>
      </c>
      <c r="G616" t="n">
        <v>206</v>
      </c>
      <c r="H616" t="n">
        <v>1.19e-106</v>
      </c>
      <c r="I616" t="inlineStr">
        <is>
          <t>Nr</t>
        </is>
      </c>
      <c r="J616" t="inlineStr"/>
      <c r="K616" t="inlineStr"/>
      <c r="L616" t="inlineStr">
        <is>
          <t>XP_040264848.1 uncharacterized protein K02A2.6-like [Bufo bufo]</t>
        </is>
      </c>
      <c r="M616" t="n">
        <v>963</v>
      </c>
      <c r="N616" t="inlineStr">
        <is>
          <t>Bufo bufo</t>
        </is>
      </c>
      <c r="O616" t="inlineStr">
        <is>
          <t>uncharacterized protein K02A2.6-like</t>
        </is>
      </c>
    </row>
    <row r="617">
      <c r="A617" t="inlineStr"/>
      <c r="B617" t="inlineStr"/>
      <c r="C617" t="inlineStr"/>
      <c r="D617" t="inlineStr"/>
      <c r="E617">
        <f>HYPERLINK("https://www.ncbi.nlm.nih.gov/gene/?term=XP_044160283.1", "XP_044160283.1")</f>
        <v/>
      </c>
      <c r="F617" t="n">
        <v>75.2</v>
      </c>
      <c r="G617" t="n">
        <v>206</v>
      </c>
      <c r="H617" t="n">
        <v>1.38e-106</v>
      </c>
      <c r="I617" t="inlineStr">
        <is>
          <t>Nr</t>
        </is>
      </c>
      <c r="J617" t="inlineStr"/>
      <c r="K617" t="inlineStr"/>
      <c r="L617" t="inlineStr">
        <is>
          <t>XP_044160283.1 uncharacterized protein K02A2.6-like [Bufo gargarizans]</t>
        </is>
      </c>
      <c r="M617" t="n">
        <v>716</v>
      </c>
      <c r="N617" t="inlineStr">
        <is>
          <t>Bufo gargarizans</t>
        </is>
      </c>
      <c r="O617" t="inlineStr">
        <is>
          <t>uncharacterized protein K02A2.6-like</t>
        </is>
      </c>
    </row>
    <row r="618">
      <c r="A618" t="inlineStr"/>
      <c r="B618" t="inlineStr"/>
      <c r="C618" t="inlineStr"/>
      <c r="D618" t="inlineStr"/>
      <c r="E618">
        <f>HYPERLINK("https://www.ncbi.nlm.nih.gov/gene/?term=XP_040285840.1", "XP_040285840.1")</f>
        <v/>
      </c>
      <c r="F618" t="n">
        <v>75.7</v>
      </c>
      <c r="G618" t="n">
        <v>206</v>
      </c>
      <c r="H618" t="n">
        <v>1.54e-106</v>
      </c>
      <c r="I618" t="inlineStr">
        <is>
          <t>Nr</t>
        </is>
      </c>
      <c r="J618" t="inlineStr"/>
      <c r="K618" t="inlineStr"/>
      <c r="L618" t="inlineStr">
        <is>
          <t>XP_040285840.1 uncharacterized protein K02A2.6-like [Bufo bufo]</t>
        </is>
      </c>
      <c r="M618" t="n">
        <v>977</v>
      </c>
      <c r="N618" t="inlineStr">
        <is>
          <t>Bufo bufo</t>
        </is>
      </c>
      <c r="O618" t="inlineStr">
        <is>
          <t>uncharacterized protein K02A2.6-like</t>
        </is>
      </c>
    </row>
    <row r="619">
      <c r="A619" t="inlineStr"/>
      <c r="B619" t="inlineStr"/>
      <c r="C619" t="inlineStr"/>
      <c r="D619" t="inlineStr"/>
      <c r="E619">
        <f>HYPERLINK("https://www.ncbi.nlm.nih.gov/gene/?term=XP_040278112.1", "XP_040278112.1")</f>
        <v/>
      </c>
      <c r="F619" t="n">
        <v>76.2</v>
      </c>
      <c r="G619" t="n">
        <v>206</v>
      </c>
      <c r="H619" t="n">
        <v>1.54e-106</v>
      </c>
      <c r="I619" t="inlineStr">
        <is>
          <t>Nr</t>
        </is>
      </c>
      <c r="J619" t="inlineStr"/>
      <c r="K619" t="inlineStr"/>
      <c r="L619" t="inlineStr">
        <is>
          <t>XP_040278112.1 uncharacterized protein K02A2.6-like [Bufo bufo]</t>
        </is>
      </c>
      <c r="M619" t="n">
        <v>977</v>
      </c>
      <c r="N619" t="inlineStr">
        <is>
          <t>Bufo bufo</t>
        </is>
      </c>
      <c r="O619" t="inlineStr">
        <is>
          <t>uncharacterized protein K02A2.6-like</t>
        </is>
      </c>
    </row>
    <row r="620">
      <c r="A620" t="inlineStr"/>
      <c r="B620" t="inlineStr"/>
      <c r="C620" t="inlineStr"/>
      <c r="D620" t="inlineStr"/>
      <c r="E620">
        <f>HYPERLINK("https://www.ncbi.nlm.nih.gov/gene/?term=XP_040278153.1", "XP_040278153.1")</f>
        <v/>
      </c>
      <c r="F620" t="n">
        <v>76.2</v>
      </c>
      <c r="G620" t="n">
        <v>206</v>
      </c>
      <c r="H620" t="n">
        <v>1.66e-106</v>
      </c>
      <c r="I620" t="inlineStr">
        <is>
          <t>Nr</t>
        </is>
      </c>
      <c r="J620" t="inlineStr"/>
      <c r="K620" t="inlineStr"/>
      <c r="L620" t="inlineStr">
        <is>
          <t>XP_040278153.1 uncharacterized protein K02A2.6-like [Bufo bufo]</t>
        </is>
      </c>
      <c r="M620" t="n">
        <v>1059</v>
      </c>
      <c r="N620" t="inlineStr">
        <is>
          <t>Bufo bufo</t>
        </is>
      </c>
      <c r="O620" t="inlineStr">
        <is>
          <t>uncharacterized protein K02A2.6-like</t>
        </is>
      </c>
    </row>
    <row r="621">
      <c r="A621" t="inlineStr"/>
      <c r="B621" t="inlineStr"/>
      <c r="C621" t="inlineStr"/>
      <c r="D621" t="inlineStr"/>
      <c r="E621">
        <f>HYPERLINK("https://www.ncbi.nlm.nih.gov/gene/?term=XP_044155685.1", "XP_044155685.1")</f>
        <v/>
      </c>
      <c r="F621" t="n">
        <v>75.7</v>
      </c>
      <c r="G621" t="n">
        <v>206</v>
      </c>
      <c r="H621" t="n">
        <v>4.01e-106</v>
      </c>
      <c r="I621" t="inlineStr">
        <is>
          <t>Nr</t>
        </is>
      </c>
      <c r="J621" t="inlineStr"/>
      <c r="K621" t="inlineStr"/>
      <c r="L621" t="inlineStr">
        <is>
          <t>XP_044155685.1 uncharacterized protein K02A2.6-like [Bufo gargarizans]</t>
        </is>
      </c>
      <c r="M621" t="n">
        <v>853</v>
      </c>
      <c r="N621" t="inlineStr">
        <is>
          <t>Bufo gargarizans</t>
        </is>
      </c>
      <c r="O621" t="inlineStr">
        <is>
          <t>uncharacterized protein K02A2.6-like</t>
        </is>
      </c>
    </row>
    <row r="622">
      <c r="A622" t="inlineStr"/>
      <c r="B622" t="inlineStr"/>
      <c r="C622" t="inlineStr"/>
      <c r="D622" t="inlineStr"/>
      <c r="E622">
        <f>HYPERLINK("https://www.ncbi.nlm.nih.gov/gene/?term=XP_044139657.1", "XP_044139657.1")</f>
        <v/>
      </c>
      <c r="F622" t="n">
        <v>76.2</v>
      </c>
      <c r="G622" t="n">
        <v>206</v>
      </c>
      <c r="H622" t="n">
        <v>5.94e-106</v>
      </c>
      <c r="I622" t="inlineStr">
        <is>
          <t>Nr</t>
        </is>
      </c>
      <c r="J622" t="inlineStr"/>
      <c r="K622" t="inlineStr"/>
      <c r="L622" t="inlineStr">
        <is>
          <t>XP_044139657.1 uncharacterized protein K02A2.6-like [Bufo gargarizans]</t>
        </is>
      </c>
      <c r="M622" t="n">
        <v>1055</v>
      </c>
      <c r="N622" t="inlineStr">
        <is>
          <t>Bufo gargarizans</t>
        </is>
      </c>
      <c r="O622" t="inlineStr">
        <is>
          <t>uncharacterized protein K02A2.6-like</t>
        </is>
      </c>
    </row>
    <row r="623">
      <c r="A623" t="inlineStr"/>
      <c r="B623" t="inlineStr"/>
      <c r="C623" t="inlineStr"/>
      <c r="D623" t="inlineStr"/>
      <c r="E623">
        <f>HYPERLINK("https://www.ncbi.nlm.nih.gov/gene/?term=XP_044139543.1", "XP_044139543.1")</f>
        <v/>
      </c>
      <c r="F623" t="n">
        <v>76.2</v>
      </c>
      <c r="G623" t="n">
        <v>206</v>
      </c>
      <c r="H623" t="n">
        <v>1.07e-105</v>
      </c>
      <c r="I623" t="inlineStr">
        <is>
          <t>Nr</t>
        </is>
      </c>
      <c r="J623" t="inlineStr"/>
      <c r="K623" t="inlineStr"/>
      <c r="L623" t="inlineStr">
        <is>
          <t>XP_044139543.1 uncharacterized protein K02A2.6-like [Bufo gargarizans]</t>
        </is>
      </c>
      <c r="M623" t="n">
        <v>1071</v>
      </c>
      <c r="N623" t="inlineStr">
        <is>
          <t>Bufo gargarizans</t>
        </is>
      </c>
      <c r="O623" t="inlineStr">
        <is>
          <t>uncharacterized protein K02A2.6-like</t>
        </is>
      </c>
    </row>
    <row r="624">
      <c r="A624" t="inlineStr"/>
      <c r="B624" t="inlineStr"/>
      <c r="C624" t="inlineStr"/>
      <c r="D624" t="inlineStr"/>
      <c r="E624">
        <f>HYPERLINK("https://www.ncbi.nlm.nih.gov/gene/?term=XP_040275489.1", "XP_040275489.1")</f>
        <v/>
      </c>
      <c r="F624" t="n">
        <v>76.2</v>
      </c>
      <c r="G624" t="n">
        <v>206</v>
      </c>
      <c r="H624" t="n">
        <v>8.47e-105</v>
      </c>
      <c r="I624" t="inlineStr">
        <is>
          <t>Nr</t>
        </is>
      </c>
      <c r="J624" t="inlineStr"/>
      <c r="K624" t="inlineStr"/>
      <c r="L624" t="inlineStr">
        <is>
          <t>XP_040275489.1 uncharacterized protein K02A2.6-like [Bufo bufo]</t>
        </is>
      </c>
      <c r="M624" t="n">
        <v>1373</v>
      </c>
      <c r="N624" t="inlineStr">
        <is>
          <t>Bufo bufo</t>
        </is>
      </c>
      <c r="O624" t="inlineStr">
        <is>
          <t>uncharacterized protein K02A2.6-like</t>
        </is>
      </c>
    </row>
    <row r="625">
      <c r="A625" t="inlineStr"/>
      <c r="B625" t="inlineStr"/>
      <c r="C625" t="inlineStr"/>
      <c r="D625" t="inlineStr"/>
      <c r="E625">
        <f>HYPERLINK("https://www.ncbi.nlm.nih.gov/gene/?term=XP_040296230.1", "XP_040296230.1")</f>
        <v/>
      </c>
      <c r="F625" t="n">
        <v>76.2</v>
      </c>
      <c r="G625" t="n">
        <v>206</v>
      </c>
      <c r="H625" t="n">
        <v>8.47e-105</v>
      </c>
      <c r="I625" t="inlineStr">
        <is>
          <t>Nr</t>
        </is>
      </c>
      <c r="J625" t="inlineStr"/>
      <c r="K625" t="inlineStr"/>
      <c r="L625" t="inlineStr">
        <is>
          <t>XP_040296230.1 uncharacterized protein K02A2.6-like [Bufo bufo]</t>
        </is>
      </c>
      <c r="M625" t="n">
        <v>1373</v>
      </c>
      <c r="N625" t="inlineStr">
        <is>
          <t>Bufo bufo</t>
        </is>
      </c>
      <c r="O625" t="inlineStr">
        <is>
          <t>uncharacterized protein K02A2.6-like</t>
        </is>
      </c>
    </row>
    <row r="626">
      <c r="A626" t="inlineStr"/>
      <c r="B626" t="inlineStr"/>
      <c r="C626" t="inlineStr"/>
      <c r="D626" t="inlineStr"/>
      <c r="E626">
        <f>HYPERLINK("https://www.ncbi.nlm.nih.gov/gene/?term=XP_040262232.1", "XP_040262232.1")</f>
        <v/>
      </c>
      <c r="F626" t="n">
        <v>76.2</v>
      </c>
      <c r="G626" t="n">
        <v>206</v>
      </c>
      <c r="H626" t="n">
        <v>1.48e-104</v>
      </c>
      <c r="I626" t="inlineStr">
        <is>
          <t>Nr</t>
        </is>
      </c>
      <c r="J626" t="inlineStr"/>
      <c r="K626" t="inlineStr"/>
      <c r="L626" t="inlineStr">
        <is>
          <t>XP_040262232.1 uncharacterized protein LOC120978059 [Bufo bufo]</t>
        </is>
      </c>
      <c r="M626" t="n">
        <v>1442</v>
      </c>
      <c r="N626" t="inlineStr">
        <is>
          <t>Bufo bufo</t>
        </is>
      </c>
      <c r="O626" t="inlineStr">
        <is>
          <t>uncharacterized protein LOC120978059</t>
        </is>
      </c>
    </row>
    <row r="627">
      <c r="A627" t="inlineStr"/>
      <c r="B627" t="inlineStr"/>
      <c r="C627" t="inlineStr"/>
      <c r="D627" t="inlineStr"/>
      <c r="E627">
        <f>HYPERLINK("https://www.ncbi.nlm.nih.gov/gene/?term=XP_040277223.1", "XP_040277223.1")</f>
        <v/>
      </c>
      <c r="F627" t="n">
        <v>75.7</v>
      </c>
      <c r="G627" t="n">
        <v>206</v>
      </c>
      <c r="H627" t="n">
        <v>2.24e-104</v>
      </c>
      <c r="I627" t="inlineStr">
        <is>
          <t>Nr</t>
        </is>
      </c>
      <c r="J627" t="inlineStr"/>
      <c r="K627" t="inlineStr"/>
      <c r="L627" t="inlineStr">
        <is>
          <t>XP_040277223.1 uncharacterized protein K02A2.6-like [Bufo bufo]</t>
        </is>
      </c>
      <c r="M627" t="n">
        <v>1373</v>
      </c>
      <c r="N627" t="inlineStr">
        <is>
          <t>Bufo bufo</t>
        </is>
      </c>
      <c r="O627" t="inlineStr">
        <is>
          <t>uncharacterized protein K02A2.6-like</t>
        </is>
      </c>
    </row>
    <row r="628">
      <c r="A628" t="inlineStr"/>
      <c r="B628" t="inlineStr"/>
      <c r="C628" t="inlineStr"/>
      <c r="D628" t="inlineStr"/>
      <c r="E628">
        <f>HYPERLINK("https://www.ncbi.nlm.nih.gov/gene/?term=XP_044160276.1", "XP_044160276.1")</f>
        <v/>
      </c>
      <c r="F628" t="n">
        <v>75.7</v>
      </c>
      <c r="G628" t="n">
        <v>206</v>
      </c>
      <c r="H628" t="n">
        <v>2.43e-104</v>
      </c>
      <c r="I628" t="inlineStr">
        <is>
          <t>Nr</t>
        </is>
      </c>
      <c r="J628" t="inlineStr"/>
      <c r="K628" t="inlineStr"/>
      <c r="L628" t="inlineStr">
        <is>
          <t>XP_044160276.1 uncharacterized protein K02A2.6-like [Bufo gargarizans]</t>
        </is>
      </c>
      <c r="M628" t="n">
        <v>1100</v>
      </c>
      <c r="N628" t="inlineStr">
        <is>
          <t>Bufo gargarizans</t>
        </is>
      </c>
      <c r="O628" t="inlineStr">
        <is>
          <t>uncharacterized protein K02A2.6-like</t>
        </is>
      </c>
    </row>
    <row r="629">
      <c r="A629" t="inlineStr"/>
      <c r="B629" t="inlineStr"/>
      <c r="C629" t="inlineStr"/>
      <c r="D629" t="inlineStr"/>
      <c r="E629">
        <f>HYPERLINK("https://www.ncbi.nlm.nih.gov/gene/?term=XP_044133191.1", "XP_044133191.1")</f>
        <v/>
      </c>
      <c r="F629" t="n">
        <v>76.2</v>
      </c>
      <c r="G629" t="n">
        <v>206</v>
      </c>
      <c r="H629" t="n">
        <v>3.11e-104</v>
      </c>
      <c r="I629" t="inlineStr">
        <is>
          <t>Nr</t>
        </is>
      </c>
      <c r="J629" t="inlineStr"/>
      <c r="K629" t="inlineStr"/>
      <c r="L629" t="inlineStr">
        <is>
          <t>XP_044133191.1 uncharacterized protein K02A2.6-like [Bufo gargarizans]</t>
        </is>
      </c>
      <c r="M629" t="n">
        <v>1373</v>
      </c>
      <c r="N629" t="inlineStr">
        <is>
          <t>Bufo gargarizans</t>
        </is>
      </c>
      <c r="O629" t="inlineStr">
        <is>
          <t>uncharacterized protein K02A2.6-like</t>
        </is>
      </c>
    </row>
    <row r="630">
      <c r="A630" t="inlineStr"/>
      <c r="B630" t="inlineStr"/>
      <c r="C630" t="inlineStr"/>
      <c r="D630" t="inlineStr"/>
      <c r="E630">
        <f>HYPERLINK("https://www.ncbi.nlm.nih.gov/gene/?term=XP_044142495.1", "XP_044142495.1")</f>
        <v/>
      </c>
      <c r="F630" t="n">
        <v>76.2</v>
      </c>
      <c r="G630" t="n">
        <v>206</v>
      </c>
      <c r="H630" t="n">
        <v>3.11e-104</v>
      </c>
      <c r="I630" t="inlineStr">
        <is>
          <t>Nr</t>
        </is>
      </c>
      <c r="J630" t="inlineStr"/>
      <c r="K630" t="inlineStr"/>
      <c r="L630" t="inlineStr">
        <is>
          <t>XP_044142495.1 uncharacterized protein K02A2.6-like [Bufo gargarizans]</t>
        </is>
      </c>
      <c r="M630" t="n">
        <v>1373</v>
      </c>
      <c r="N630" t="inlineStr">
        <is>
          <t>Bufo gargarizans</t>
        </is>
      </c>
      <c r="O630" t="inlineStr">
        <is>
          <t>uncharacterized protein K02A2.6-like</t>
        </is>
      </c>
    </row>
    <row r="631">
      <c r="A631" t="inlineStr"/>
      <c r="B631" t="inlineStr"/>
      <c r="C631" t="inlineStr"/>
      <c r="D631" t="inlineStr"/>
      <c r="E631">
        <f>HYPERLINK("https://www.ncbi.nlm.nih.gov/gene/?term=XP_040195220.1", "XP_040195220.1")</f>
        <v/>
      </c>
      <c r="F631" t="n">
        <v>72.09999999999999</v>
      </c>
      <c r="G631" t="n">
        <v>208</v>
      </c>
      <c r="H631" t="n">
        <v>7.819999999999999e-104</v>
      </c>
      <c r="I631" t="inlineStr">
        <is>
          <t>Nr</t>
        </is>
      </c>
      <c r="J631" t="inlineStr"/>
      <c r="K631" t="inlineStr"/>
      <c r="L631" t="inlineStr">
        <is>
          <t>XP_040195220.1 uncharacterized protein K02A2.6-like [Rana temporaria]</t>
        </is>
      </c>
      <c r="M631" t="n">
        <v>600</v>
      </c>
      <c r="N631" t="inlineStr">
        <is>
          <t>Rana temporaria</t>
        </is>
      </c>
      <c r="O631" t="inlineStr">
        <is>
          <t>uncharacterized protein K02A2.6-like</t>
        </is>
      </c>
    </row>
    <row r="632">
      <c r="A632" t="inlineStr"/>
      <c r="B632" t="inlineStr"/>
      <c r="C632" t="inlineStr"/>
      <c r="D632" t="inlineStr"/>
      <c r="E632">
        <f>HYPERLINK("https://www.uniprot.org/uniprotkb/A0A8C5PEH0/entry", "A0A8C5PEH0")</f>
        <v/>
      </c>
      <c r="F632" t="n">
        <v>69.40000000000001</v>
      </c>
      <c r="G632" t="n">
        <v>206</v>
      </c>
      <c r="H632" t="n">
        <v>1.39e-100</v>
      </c>
      <c r="I632" t="inlineStr">
        <is>
          <t>TrEMBL</t>
        </is>
      </c>
      <c r="J632" t="inlineStr"/>
      <c r="K632" t="inlineStr">
        <is>
          <t>A0A8C5PEH0_9ANUR</t>
        </is>
      </c>
      <c r="L632" t="inlineStr">
        <is>
          <t>tr|A0A8C5PEH0|A0A8C5PEH0_9ANUR ribonuclease H OS=Leptobrachium leishanense OX=445787 PE=3 SV=1</t>
        </is>
      </c>
      <c r="M632" t="n">
        <v>492</v>
      </c>
      <c r="N632" t="inlineStr">
        <is>
          <t>Leptobrachium leishanense</t>
        </is>
      </c>
      <c r="O632" t="inlineStr">
        <is>
          <t>ribonuclease H</t>
        </is>
      </c>
    </row>
    <row r="633">
      <c r="A633" t="inlineStr"/>
      <c r="B633" t="inlineStr"/>
      <c r="C633" t="inlineStr"/>
      <c r="D633" t="inlineStr"/>
      <c r="E633">
        <f>HYPERLINK("https://www.uniprot.org/uniprotkb/A0A8C5PH91/entry", "A0A8C5PH91")</f>
        <v/>
      </c>
      <c r="F633" t="n">
        <v>71.40000000000001</v>
      </c>
      <c r="G633" t="n">
        <v>206</v>
      </c>
      <c r="H633" t="n">
        <v>2.57e-100</v>
      </c>
      <c r="I633" t="inlineStr">
        <is>
          <t>TrEMBL</t>
        </is>
      </c>
      <c r="J633" t="inlineStr"/>
      <c r="K633" t="inlineStr">
        <is>
          <t>A0A8C5PH91_9ANUR</t>
        </is>
      </c>
      <c r="L633" t="inlineStr">
        <is>
          <t>tr|A0A8C5PH91|A0A8C5PH91_9ANUR ribonuclease H OS=Leptobrachium leishanense OX=445787 PE=3 SV=1</t>
        </is>
      </c>
      <c r="M633" t="n">
        <v>408</v>
      </c>
      <c r="N633" t="inlineStr">
        <is>
          <t>Leptobrachium leishanense</t>
        </is>
      </c>
      <c r="O633" t="inlineStr">
        <is>
          <t>ribonuclease H</t>
        </is>
      </c>
    </row>
    <row r="634">
      <c r="A634" t="inlineStr"/>
      <c r="B634" t="inlineStr"/>
      <c r="C634" t="inlineStr"/>
      <c r="D634" t="inlineStr"/>
      <c r="E634">
        <f>HYPERLINK("https://www.uniprot.org/uniprotkb/A0A8C5R8N7/entry", "A0A8C5R8N7")</f>
        <v/>
      </c>
      <c r="F634" t="n">
        <v>68.90000000000001</v>
      </c>
      <c r="G634" t="n">
        <v>206</v>
      </c>
      <c r="H634" t="n">
        <v>2.99e-96</v>
      </c>
      <c r="I634" t="inlineStr">
        <is>
          <t>TrEMBL</t>
        </is>
      </c>
      <c r="J634" t="inlineStr"/>
      <c r="K634" t="inlineStr">
        <is>
          <t>A0A8C5R8N7_9ANUR</t>
        </is>
      </c>
      <c r="L634" t="inlineStr">
        <is>
          <t>tr|A0A8C5R8N7|A0A8C5R8N7_9ANUR ribonuclease H OS=Leptobrachium leishanense OX=445787 PE=3 SV=1</t>
        </is>
      </c>
      <c r="M634" t="n">
        <v>526</v>
      </c>
      <c r="N634" t="inlineStr">
        <is>
          <t>Leptobrachium leishanense</t>
        </is>
      </c>
      <c r="O634" t="inlineStr">
        <is>
          <t>ribonuclease H</t>
        </is>
      </c>
    </row>
    <row r="635">
      <c r="A635" t="inlineStr"/>
      <c r="B635" t="inlineStr"/>
      <c r="C635" t="inlineStr"/>
      <c r="D635" t="inlineStr"/>
      <c r="E635">
        <f>HYPERLINK("https://www.uniprot.org/uniprotkb/A0A8C5MDD5/entry", "A0A8C5MDD5")</f>
        <v/>
      </c>
      <c r="F635" t="n">
        <v>68.90000000000001</v>
      </c>
      <c r="G635" t="n">
        <v>206</v>
      </c>
      <c r="H635" t="n">
        <v>3.43e-96</v>
      </c>
      <c r="I635" t="inlineStr">
        <is>
          <t>TrEMBL</t>
        </is>
      </c>
      <c r="J635" t="inlineStr"/>
      <c r="K635" t="inlineStr">
        <is>
          <t>A0A8C5MDD5_9ANUR</t>
        </is>
      </c>
      <c r="L635" t="inlineStr">
        <is>
          <t>tr|A0A8C5MDD5|A0A8C5MDD5_9ANUR ribonuclease H OS=Leptobrachium leishanense OX=445787 PE=3 SV=1</t>
        </is>
      </c>
      <c r="M635" t="n">
        <v>531</v>
      </c>
      <c r="N635" t="inlineStr">
        <is>
          <t>Leptobrachium leishanense</t>
        </is>
      </c>
      <c r="O635" t="inlineStr">
        <is>
          <t>ribonuclease H</t>
        </is>
      </c>
    </row>
    <row r="636">
      <c r="A636" t="inlineStr"/>
      <c r="B636" t="inlineStr"/>
      <c r="C636" t="inlineStr"/>
      <c r="D636" t="inlineStr"/>
      <c r="E636">
        <f>HYPERLINK("https://www.uniprot.org/uniprotkb/A0A8C5QHQ9/entry", "A0A8C5QHQ9")</f>
        <v/>
      </c>
      <c r="F636" t="n">
        <v>68</v>
      </c>
      <c r="G636" t="n">
        <v>206</v>
      </c>
      <c r="H636" t="n">
        <v>6.31e-96</v>
      </c>
      <c r="I636" t="inlineStr">
        <is>
          <t>TrEMBL</t>
        </is>
      </c>
      <c r="J636" t="inlineStr"/>
      <c r="K636" t="inlineStr">
        <is>
          <t>A0A8C5QHQ9_9ANUR</t>
        </is>
      </c>
      <c r="L636" t="inlineStr">
        <is>
          <t>tr|A0A8C5QHQ9|A0A8C5QHQ9_9ANUR ribonuclease H OS=Leptobrachium leishanense OX=445787 PE=3 SV=1</t>
        </is>
      </c>
      <c r="M636" t="n">
        <v>443</v>
      </c>
      <c r="N636" t="inlineStr">
        <is>
          <t>Leptobrachium leishanense</t>
        </is>
      </c>
      <c r="O636" t="inlineStr">
        <is>
          <t>ribonuclease H</t>
        </is>
      </c>
    </row>
    <row r="637">
      <c r="A637" t="inlineStr"/>
      <c r="B637" t="inlineStr"/>
      <c r="C637" t="inlineStr"/>
      <c r="D637" t="inlineStr"/>
      <c r="E637">
        <f>HYPERLINK("https://www.uniprot.org/uniprotkb/A0A8C5PY90/entry", "A0A8C5PY90")</f>
        <v/>
      </c>
      <c r="F637" t="n">
        <v>68</v>
      </c>
      <c r="G637" t="n">
        <v>206</v>
      </c>
      <c r="H637" t="n">
        <v>2.63e-95</v>
      </c>
      <c r="I637" t="inlineStr">
        <is>
          <t>TrEMBL</t>
        </is>
      </c>
      <c r="J637" t="inlineStr"/>
      <c r="K637" t="inlineStr">
        <is>
          <t>A0A8C5PY90_9ANUR</t>
        </is>
      </c>
      <c r="L637" t="inlineStr">
        <is>
          <t>tr|A0A8C5PY90|A0A8C5PY90_9ANUR ribonuclease H OS=Leptobrachium leishanense OX=445787 PE=3 SV=1</t>
        </is>
      </c>
      <c r="M637" t="n">
        <v>517</v>
      </c>
      <c r="N637" t="inlineStr">
        <is>
          <t>Leptobrachium leishanense</t>
        </is>
      </c>
      <c r="O637" t="inlineStr">
        <is>
          <t>ribonuclease H</t>
        </is>
      </c>
    </row>
    <row r="638">
      <c r="A638" t="inlineStr"/>
      <c r="B638" t="inlineStr"/>
      <c r="C638" t="inlineStr"/>
      <c r="D638" t="inlineStr"/>
      <c r="E638">
        <f>HYPERLINK("https://www.uniprot.org/uniprotkb/A0A8C5MJI7/entry", "A0A8C5MJI7")</f>
        <v/>
      </c>
      <c r="F638" t="n">
        <v>68.90000000000001</v>
      </c>
      <c r="G638" t="n">
        <v>206</v>
      </c>
      <c r="H638" t="n">
        <v>1.04e-94</v>
      </c>
      <c r="I638" t="inlineStr">
        <is>
          <t>TrEMBL</t>
        </is>
      </c>
      <c r="J638" t="inlineStr"/>
      <c r="K638" t="inlineStr">
        <is>
          <t>A0A8C5MJI7_9ANUR</t>
        </is>
      </c>
      <c r="L638" t="inlineStr">
        <is>
          <t>tr|A0A8C5MJI7|A0A8C5MJI7_9ANUR ribonuclease H OS=Leptobrachium leishanense OX=445787 PE=3 SV=1</t>
        </is>
      </c>
      <c r="M638" t="n">
        <v>664</v>
      </c>
      <c r="N638" t="inlineStr">
        <is>
          <t>Leptobrachium leishanense</t>
        </is>
      </c>
      <c r="O638" t="inlineStr">
        <is>
          <t>ribonuclease H</t>
        </is>
      </c>
    </row>
    <row r="639">
      <c r="A639" t="inlineStr"/>
      <c r="B639" t="inlineStr"/>
      <c r="C639" t="inlineStr"/>
      <c r="D639" t="inlineStr"/>
      <c r="E639">
        <f>HYPERLINK("https://www.uniprot.org/uniprotkb/A0A8C5MPW8/entry", "A0A8C5MPW8")</f>
        <v/>
      </c>
      <c r="F639" t="n">
        <v>68.40000000000001</v>
      </c>
      <c r="G639" t="n">
        <v>206</v>
      </c>
      <c r="H639" t="n">
        <v>6.02e-94</v>
      </c>
      <c r="I639" t="inlineStr">
        <is>
          <t>TrEMBL</t>
        </is>
      </c>
      <c r="J639" t="inlineStr"/>
      <c r="K639" t="inlineStr">
        <is>
          <t>A0A8C5MPW8_9ANUR</t>
        </is>
      </c>
      <c r="L639" t="inlineStr">
        <is>
          <t>tr|A0A8C5MPW8|A0A8C5MPW8_9ANUR ribonuclease H OS=Leptobrachium leishanense OX=445787 PE=3 SV=1</t>
        </is>
      </c>
      <c r="M639" t="n">
        <v>807</v>
      </c>
      <c r="N639" t="inlineStr">
        <is>
          <t>Leptobrachium leishanense</t>
        </is>
      </c>
      <c r="O639" t="inlineStr">
        <is>
          <t>ribonuclease H</t>
        </is>
      </c>
    </row>
    <row r="640">
      <c r="A640" t="inlineStr"/>
      <c r="B640" t="inlineStr"/>
      <c r="C640" t="inlineStr"/>
      <c r="D640" t="inlineStr"/>
      <c r="E640">
        <f>HYPERLINK("https://www.uniprot.org/uniprotkb/A0A8C5QAJ8/entry", "A0A8C5QAJ8")</f>
        <v/>
      </c>
      <c r="F640" t="n">
        <v>68.90000000000001</v>
      </c>
      <c r="G640" t="n">
        <v>206</v>
      </c>
      <c r="H640" t="n">
        <v>2.12e-93</v>
      </c>
      <c r="I640" t="inlineStr">
        <is>
          <t>TrEMBL</t>
        </is>
      </c>
      <c r="J640" t="inlineStr"/>
      <c r="K640" t="inlineStr">
        <is>
          <t>A0A8C5QAJ8_9ANUR</t>
        </is>
      </c>
      <c r="L640" t="inlineStr">
        <is>
          <t>tr|A0A8C5QAJ8|A0A8C5QAJ8_9ANUR ribonuclease H OS=Leptobrachium leishanense OX=445787 PE=3 SV=1</t>
        </is>
      </c>
      <c r="M640" t="n">
        <v>802</v>
      </c>
      <c r="N640" t="inlineStr">
        <is>
          <t>Leptobrachium leishanense</t>
        </is>
      </c>
      <c r="O640" t="inlineStr">
        <is>
          <t>ribonuclease H</t>
        </is>
      </c>
    </row>
    <row r="641">
      <c r="A641" t="inlineStr"/>
      <c r="B641" t="inlineStr"/>
      <c r="C641" t="inlineStr"/>
      <c r="D641" t="inlineStr"/>
      <c r="E641">
        <f>HYPERLINK("https://www.uniprot.org/uniprotkb/A0A8C5MNZ8/entry", "A0A8C5MNZ8")</f>
        <v/>
      </c>
      <c r="F641" t="n">
        <v>67.5</v>
      </c>
      <c r="G641" t="n">
        <v>206</v>
      </c>
      <c r="H641" t="n">
        <v>2.17e-93</v>
      </c>
      <c r="I641" t="inlineStr">
        <is>
          <t>TrEMBL</t>
        </is>
      </c>
      <c r="J641" t="inlineStr"/>
      <c r="K641" t="inlineStr">
        <is>
          <t>A0A8C5MNZ8_9ANUR</t>
        </is>
      </c>
      <c r="L641" t="inlineStr">
        <is>
          <t>tr|A0A8C5MNZ8|A0A8C5MNZ8_9ANUR ribonuclease H OS=Leptobrachium leishanense OX=445787 PE=3 SV=1</t>
        </is>
      </c>
      <c r="M641" t="n">
        <v>592</v>
      </c>
      <c r="N641" t="inlineStr">
        <is>
          <t>Leptobrachium leishanense</t>
        </is>
      </c>
      <c r="O641" t="inlineStr">
        <is>
          <t>ribonuclease H</t>
        </is>
      </c>
    </row>
    <row r="642">
      <c r="A642" t="inlineStr"/>
      <c r="B642" t="inlineStr"/>
      <c r="C642" t="inlineStr"/>
      <c r="D642" t="inlineStr"/>
      <c r="E642">
        <f>HYPERLINK("https://www.uniprot.org/uniprotkb/A0A8C5MU27/entry", "A0A8C5MU27")</f>
        <v/>
      </c>
      <c r="F642" t="n">
        <v>68.90000000000001</v>
      </c>
      <c r="G642" t="n">
        <v>206</v>
      </c>
      <c r="H642" t="n">
        <v>2.39e-93</v>
      </c>
      <c r="I642" t="inlineStr">
        <is>
          <t>TrEMBL</t>
        </is>
      </c>
      <c r="J642" t="inlineStr"/>
      <c r="K642" t="inlineStr">
        <is>
          <t>A0A8C5MU27_9ANUR</t>
        </is>
      </c>
      <c r="L642" t="inlineStr">
        <is>
          <t>tr|A0A8C5MU27|A0A8C5MU27_9ANUR ribonuclease H OS=Leptobrachium leishanense OX=445787 PE=3 SV=1</t>
        </is>
      </c>
      <c r="M642" t="n">
        <v>808</v>
      </c>
      <c r="N642" t="inlineStr">
        <is>
          <t>Leptobrachium leishanense</t>
        </is>
      </c>
      <c r="O642" t="inlineStr">
        <is>
          <t>ribonuclease H</t>
        </is>
      </c>
    </row>
    <row r="643">
      <c r="A643" t="inlineStr"/>
      <c r="B643" t="inlineStr"/>
      <c r="C643" t="inlineStr"/>
      <c r="D643" t="inlineStr"/>
      <c r="E643">
        <f>HYPERLINK("https://www.uniprot.org/uniprotkb/A0A8C5MHZ9/entry", "A0A8C5MHZ9")</f>
        <v/>
      </c>
      <c r="F643" t="n">
        <v>68.90000000000001</v>
      </c>
      <c r="G643" t="n">
        <v>206</v>
      </c>
      <c r="H643" t="n">
        <v>2.68e-93</v>
      </c>
      <c r="I643" t="inlineStr">
        <is>
          <t>TrEMBL</t>
        </is>
      </c>
      <c r="J643" t="inlineStr"/>
      <c r="K643" t="inlineStr">
        <is>
          <t>A0A8C5MHZ9_9ANUR</t>
        </is>
      </c>
      <c r="L643" t="inlineStr">
        <is>
          <t>tr|A0A8C5MHZ9|A0A8C5MHZ9_9ANUR ribonuclease H OS=Leptobrachium leishanense OX=445787 PE=3 SV=1</t>
        </is>
      </c>
      <c r="M643" t="n">
        <v>814</v>
      </c>
      <c r="N643" t="inlineStr">
        <is>
          <t>Leptobrachium leishanense</t>
        </is>
      </c>
      <c r="O643" t="inlineStr">
        <is>
          <t>ribonuclease H</t>
        </is>
      </c>
    </row>
    <row r="644">
      <c r="A644" t="inlineStr"/>
      <c r="B644" t="inlineStr"/>
      <c r="C644" t="inlineStr"/>
      <c r="D644" t="inlineStr"/>
      <c r="E644">
        <f>HYPERLINK("https://www.uniprot.org/uniprotkb/A0A8C5QH39/entry", "A0A8C5QH39")</f>
        <v/>
      </c>
      <c r="F644" t="n">
        <v>68.40000000000001</v>
      </c>
      <c r="G644" t="n">
        <v>206</v>
      </c>
      <c r="H644" t="n">
        <v>5.71e-93</v>
      </c>
      <c r="I644" t="inlineStr">
        <is>
          <t>TrEMBL</t>
        </is>
      </c>
      <c r="J644" t="inlineStr"/>
      <c r="K644" t="inlineStr">
        <is>
          <t>A0A8C5QH39_9ANUR</t>
        </is>
      </c>
      <c r="L644" t="inlineStr">
        <is>
          <t>tr|A0A8C5QH39|A0A8C5QH39_9ANUR ribonuclease H OS=Leptobrachium leishanense OX=445787 PE=3 SV=1</t>
        </is>
      </c>
      <c r="M644" t="n">
        <v>704</v>
      </c>
      <c r="N644" t="inlineStr">
        <is>
          <t>Leptobrachium leishanense</t>
        </is>
      </c>
      <c r="O644" t="inlineStr">
        <is>
          <t>ribonuclease H</t>
        </is>
      </c>
    </row>
    <row r="645">
      <c r="A645" t="inlineStr"/>
      <c r="B645" t="inlineStr"/>
      <c r="C645" t="inlineStr"/>
      <c r="D645" t="inlineStr"/>
      <c r="E645">
        <f>HYPERLINK("https://www.uniprot.org/uniprotkb/A0A8C5QKT8/entry", "A0A8C5QKT8")</f>
        <v/>
      </c>
      <c r="F645" t="n">
        <v>68.90000000000001</v>
      </c>
      <c r="G645" t="n">
        <v>206</v>
      </c>
      <c r="H645" t="n">
        <v>6.53e-93</v>
      </c>
      <c r="I645" t="inlineStr">
        <is>
          <t>TrEMBL</t>
        </is>
      </c>
      <c r="J645" t="inlineStr"/>
      <c r="K645" t="inlineStr">
        <is>
          <t>A0A8C5QKT8_9ANUR</t>
        </is>
      </c>
      <c r="L645" t="inlineStr">
        <is>
          <t>tr|A0A8C5QKT8|A0A8C5QKT8_9ANUR ribonuclease H OS=Leptobrachium leishanense OX=445787 PE=3 SV=1</t>
        </is>
      </c>
      <c r="M645" t="n">
        <v>861</v>
      </c>
      <c r="N645" t="inlineStr">
        <is>
          <t>Leptobrachium leishanense</t>
        </is>
      </c>
      <c r="O645" t="inlineStr">
        <is>
          <t>ribonuclease H</t>
        </is>
      </c>
    </row>
    <row r="646">
      <c r="A646" t="inlineStr"/>
      <c r="B646" t="inlineStr"/>
      <c r="C646" t="inlineStr"/>
      <c r="D646" t="inlineStr"/>
      <c r="E646">
        <f>HYPERLINK("https://www.uniprot.org/uniprotkb/A0A8C5W5S6/entry", "A0A8C5W5S6")</f>
        <v/>
      </c>
      <c r="F646" t="n">
        <v>68.8</v>
      </c>
      <c r="G646" t="n">
        <v>205</v>
      </c>
      <c r="H646" t="n">
        <v>1.28e-92</v>
      </c>
      <c r="I646" t="inlineStr">
        <is>
          <t>TrEMBL</t>
        </is>
      </c>
      <c r="J646" t="inlineStr"/>
      <c r="K646" t="inlineStr">
        <is>
          <t>A0A8C5W5S6_9ANUR</t>
        </is>
      </c>
      <c r="L646" t="inlineStr">
        <is>
          <t>tr|A0A8C5W5S6|A0A8C5W5S6_9ANUR ribonuclease H OS=Leptobrachium leishanense OX=445787 PE=3 SV=1</t>
        </is>
      </c>
      <c r="M646" t="n">
        <v>807</v>
      </c>
      <c r="N646" t="inlineStr">
        <is>
          <t>Leptobrachium leishanense</t>
        </is>
      </c>
      <c r="O646" t="inlineStr">
        <is>
          <t>ribonuclease H</t>
        </is>
      </c>
    </row>
    <row r="647">
      <c r="A647" t="inlineStr"/>
      <c r="B647" t="inlineStr"/>
      <c r="C647" t="inlineStr"/>
      <c r="D647" t="inlineStr"/>
      <c r="E647">
        <f>HYPERLINK("https://www.uniprot.org/uniprotkb/A0A8C5N553/entry", "A0A8C5N553")</f>
        <v/>
      </c>
      <c r="F647" t="n">
        <v>68.40000000000001</v>
      </c>
      <c r="G647" t="n">
        <v>206</v>
      </c>
      <c r="H647" t="n">
        <v>1.53e-92</v>
      </c>
      <c r="I647" t="inlineStr">
        <is>
          <t>TrEMBL</t>
        </is>
      </c>
      <c r="J647" t="inlineStr"/>
      <c r="K647" t="inlineStr">
        <is>
          <t>A0A8C5N553_9ANUR</t>
        </is>
      </c>
      <c r="L647" t="inlineStr">
        <is>
          <t>tr|A0A8C5N553|A0A8C5N553_9ANUR ribonuclease H OS=Leptobrachium leishanense OX=445787 PE=3 SV=1</t>
        </is>
      </c>
      <c r="M647" t="n">
        <v>782</v>
      </c>
      <c r="N647" t="inlineStr">
        <is>
          <t>Leptobrachium leishanense</t>
        </is>
      </c>
      <c r="O647" t="inlineStr">
        <is>
          <t>ribonuclease H</t>
        </is>
      </c>
    </row>
    <row r="648">
      <c r="A648" t="inlineStr"/>
      <c r="B648" t="inlineStr"/>
      <c r="C648" t="inlineStr"/>
      <c r="D648" t="inlineStr"/>
      <c r="E648">
        <f>HYPERLINK("https://www.uniprot.org/uniprotkb/A0A8C5QQT3/entry", "A0A8C5QQT3")</f>
        <v/>
      </c>
      <c r="F648" t="n">
        <v>68.90000000000001</v>
      </c>
      <c r="G648" t="n">
        <v>206</v>
      </c>
      <c r="H648" t="n">
        <v>5.23e-92</v>
      </c>
      <c r="I648" t="inlineStr">
        <is>
          <t>TrEMBL</t>
        </is>
      </c>
      <c r="J648" t="inlineStr"/>
      <c r="K648" t="inlineStr">
        <is>
          <t>A0A8C5QQT3_9ANUR</t>
        </is>
      </c>
      <c r="L648" t="inlineStr">
        <is>
          <t>tr|A0A8C5QQT3|A0A8C5QQT3_9ANUR ribonuclease H OS=Leptobrachium leishanense OX=445787 PE=3 SV=1</t>
        </is>
      </c>
      <c r="M648" t="n">
        <v>987</v>
      </c>
      <c r="N648" t="inlineStr">
        <is>
          <t>Leptobrachium leishanense</t>
        </is>
      </c>
      <c r="O648" t="inlineStr">
        <is>
          <t>ribonuclease H</t>
        </is>
      </c>
    </row>
    <row r="649">
      <c r="A649" t="inlineStr"/>
      <c r="B649" t="inlineStr"/>
      <c r="C649" t="inlineStr"/>
      <c r="D649" t="inlineStr"/>
      <c r="E649">
        <f>HYPERLINK("https://www.uniprot.org/uniprotkb/A0A8C5QPJ8/entry", "A0A8C5QPJ8")</f>
        <v/>
      </c>
      <c r="F649" t="n">
        <v>69.40000000000001</v>
      </c>
      <c r="G649" t="n">
        <v>206</v>
      </c>
      <c r="H649" t="n">
        <v>6.13e-91</v>
      </c>
      <c r="I649" t="inlineStr">
        <is>
          <t>TrEMBL</t>
        </is>
      </c>
      <c r="J649" t="inlineStr"/>
      <c r="K649" t="inlineStr">
        <is>
          <t>A0A8C5QPJ8_9ANUR</t>
        </is>
      </c>
      <c r="L649" t="inlineStr">
        <is>
          <t>tr|A0A8C5QPJ8|A0A8C5QPJ8_9ANUR ribonuclease H OS=Leptobrachium leishanense OX=445787 PE=3 SV=1</t>
        </is>
      </c>
      <c r="M649" t="n">
        <v>1370</v>
      </c>
      <c r="N649" t="inlineStr">
        <is>
          <t>Leptobrachium leishanense</t>
        </is>
      </c>
      <c r="O649" t="inlineStr">
        <is>
          <t>ribonuclease H</t>
        </is>
      </c>
    </row>
    <row r="650">
      <c r="A650" t="inlineStr"/>
      <c r="B650" t="inlineStr"/>
      <c r="C650" t="inlineStr"/>
      <c r="D650" t="inlineStr"/>
      <c r="E650">
        <f>HYPERLINK("https://www.uniprot.org/uniprotkb/A0A8C5LM49/entry", "A0A8C5LM49")</f>
        <v/>
      </c>
      <c r="F650" t="n">
        <v>68.90000000000001</v>
      </c>
      <c r="G650" t="n">
        <v>206</v>
      </c>
      <c r="H650" t="n">
        <v>7.149999999999999e-91</v>
      </c>
      <c r="I650" t="inlineStr">
        <is>
          <t>TrEMBL</t>
        </is>
      </c>
      <c r="J650" t="inlineStr"/>
      <c r="K650" t="inlineStr">
        <is>
          <t>A0A8C5LM49_9ANUR</t>
        </is>
      </c>
      <c r="L650" t="inlineStr">
        <is>
          <t>tr|A0A8C5LM49|A0A8C5LM49_9ANUR ribonuclease H OS=Leptobrachium leishanense OX=445787 PE=3 SV=1</t>
        </is>
      </c>
      <c r="M650" t="n">
        <v>1209</v>
      </c>
      <c r="N650" t="inlineStr">
        <is>
          <t>Leptobrachium leishanense</t>
        </is>
      </c>
      <c r="O650" t="inlineStr">
        <is>
          <t>ribonuclease H</t>
        </is>
      </c>
    </row>
    <row r="651">
      <c r="A651" t="inlineStr"/>
      <c r="B651" t="inlineStr"/>
      <c r="C651" t="inlineStr"/>
      <c r="D651" t="inlineStr"/>
      <c r="E651">
        <f>HYPERLINK("https://www.uniprot.org/uniprotkb/A0A8C5MP92/entry", "A0A8C5MP92")</f>
        <v/>
      </c>
      <c r="F651" t="n">
        <v>68.90000000000001</v>
      </c>
      <c r="G651" t="n">
        <v>206</v>
      </c>
      <c r="H651" t="n">
        <v>9.31e-91</v>
      </c>
      <c r="I651" t="inlineStr">
        <is>
          <t>TrEMBL</t>
        </is>
      </c>
      <c r="J651" t="inlineStr"/>
      <c r="K651" t="inlineStr">
        <is>
          <t>A0A8C5MP92_9ANUR</t>
        </is>
      </c>
      <c r="L651" t="inlineStr">
        <is>
          <t>tr|A0A8C5MP92|A0A8C5MP92_9ANUR ribonuclease H OS=Leptobrachium leishanense OX=445787 PE=3 SV=1</t>
        </is>
      </c>
      <c r="M651" t="n">
        <v>1240</v>
      </c>
      <c r="N651" t="inlineStr">
        <is>
          <t>Leptobrachium leishanense</t>
        </is>
      </c>
      <c r="O651" t="inlineStr">
        <is>
          <t>ribonuclease H</t>
        </is>
      </c>
    </row>
    <row r="652">
      <c r="A652" t="inlineStr"/>
      <c r="B652" t="inlineStr"/>
      <c r="C652" t="inlineStr"/>
      <c r="D652" t="inlineStr"/>
      <c r="E652">
        <f>HYPERLINK("https://www.uniprot.org/uniprotkb/A0A8C5PIS1/entry", "A0A8C5PIS1")</f>
        <v/>
      </c>
      <c r="F652" t="n">
        <v>68</v>
      </c>
      <c r="G652" t="n">
        <v>206</v>
      </c>
      <c r="H652" t="n">
        <v>9.79e-91</v>
      </c>
      <c r="I652" t="inlineStr">
        <is>
          <t>TrEMBL</t>
        </is>
      </c>
      <c r="J652" t="inlineStr"/>
      <c r="K652" t="inlineStr">
        <is>
          <t>A0A8C5PIS1_9ANUR</t>
        </is>
      </c>
      <c r="L652" t="inlineStr">
        <is>
          <t>tr|A0A8C5PIS1|A0A8C5PIS1_9ANUR ribonuclease H OS=Leptobrachium leishanense OX=445787 PE=3 SV=1</t>
        </is>
      </c>
      <c r="M652" t="n">
        <v>1082</v>
      </c>
      <c r="N652" t="inlineStr">
        <is>
          <t>Leptobrachium leishanense</t>
        </is>
      </c>
      <c r="O652" t="inlineStr">
        <is>
          <t>ribonuclease H</t>
        </is>
      </c>
    </row>
    <row r="653">
      <c r="A653" t="inlineStr"/>
      <c r="B653" t="inlineStr"/>
      <c r="C653" t="inlineStr"/>
      <c r="D653" t="inlineStr"/>
      <c r="E653">
        <f>HYPERLINK("https://www.uniprot.org/uniprotkb/A0A8C5LM67/entry", "A0A8C5LM67")</f>
        <v/>
      </c>
      <c r="F653" t="n">
        <v>68.90000000000001</v>
      </c>
      <c r="G653" t="n">
        <v>206</v>
      </c>
      <c r="H653" t="n">
        <v>1.05e-90</v>
      </c>
      <c r="I653" t="inlineStr">
        <is>
          <t>TrEMBL</t>
        </is>
      </c>
      <c r="J653" t="inlineStr"/>
      <c r="K653" t="inlineStr">
        <is>
          <t>A0A8C5LM67_9ANUR</t>
        </is>
      </c>
      <c r="L653" t="inlineStr">
        <is>
          <t>tr|A0A8C5LM67|A0A8C5LM67_9ANUR ribonuclease H OS=Leptobrachium leishanense OX=445787 PE=3 SV=1</t>
        </is>
      </c>
      <c r="M653" t="n">
        <v>1255</v>
      </c>
      <c r="N653" t="inlineStr">
        <is>
          <t>Leptobrachium leishanense</t>
        </is>
      </c>
      <c r="O653" t="inlineStr">
        <is>
          <t>ribonuclease H</t>
        </is>
      </c>
    </row>
    <row r="654">
      <c r="A654" t="inlineStr"/>
      <c r="B654" t="inlineStr"/>
      <c r="C654" t="inlineStr"/>
      <c r="D654" t="inlineStr"/>
      <c r="E654">
        <f>HYPERLINK("https://www.uniprot.org/uniprotkb/A0A8C5QQ79/entry", "A0A8C5QQ79")</f>
        <v/>
      </c>
      <c r="F654" t="n">
        <v>68.90000000000001</v>
      </c>
      <c r="G654" t="n">
        <v>206</v>
      </c>
      <c r="H654" t="n">
        <v>2.2e-90</v>
      </c>
      <c r="I654" t="inlineStr">
        <is>
          <t>TrEMBL</t>
        </is>
      </c>
      <c r="J654" t="inlineStr"/>
      <c r="K654" t="inlineStr">
        <is>
          <t>A0A8C5QQ79_9ANUR</t>
        </is>
      </c>
      <c r="L654" t="inlineStr">
        <is>
          <t>tr|A0A8C5QQ79|A0A8C5QQ79_9ANUR ribonuclease H OS=Leptobrachium leishanense OX=445787 PE=3 SV=1</t>
        </is>
      </c>
      <c r="M654" t="n">
        <v>1370</v>
      </c>
      <c r="N654" t="inlineStr">
        <is>
          <t>Leptobrachium leishanense</t>
        </is>
      </c>
      <c r="O654" t="inlineStr">
        <is>
          <t>ribonuclease H</t>
        </is>
      </c>
    </row>
    <row r="655">
      <c r="A655" t="inlineStr"/>
      <c r="B655" t="inlineStr"/>
      <c r="C655" t="inlineStr"/>
      <c r="D655" t="inlineStr"/>
      <c r="E655">
        <f>HYPERLINK("https://www.uniprot.org/uniprotkb/A0A8C5LVK5/entry", "A0A8C5LVK5")</f>
        <v/>
      </c>
      <c r="F655" t="n">
        <v>68.90000000000001</v>
      </c>
      <c r="G655" t="n">
        <v>206</v>
      </c>
      <c r="H655" t="n">
        <v>2.2e-90</v>
      </c>
      <c r="I655" t="inlineStr">
        <is>
          <t>TrEMBL</t>
        </is>
      </c>
      <c r="J655" t="inlineStr"/>
      <c r="K655" t="inlineStr">
        <is>
          <t>A0A8C5LVK5_9ANUR</t>
        </is>
      </c>
      <c r="L655" t="inlineStr">
        <is>
          <t>tr|A0A8C5LVK5|A0A8C5LVK5_9ANUR ribonuclease H OS=Leptobrachium leishanense OX=445787 PE=3 SV=1</t>
        </is>
      </c>
      <c r="M655" t="n">
        <v>1370</v>
      </c>
      <c r="N655" t="inlineStr">
        <is>
          <t>Leptobrachium leishanense</t>
        </is>
      </c>
      <c r="O655" t="inlineStr">
        <is>
          <t>ribonuclease H</t>
        </is>
      </c>
    </row>
    <row r="656">
      <c r="A656" t="inlineStr"/>
      <c r="B656" t="inlineStr"/>
      <c r="C656" t="inlineStr"/>
      <c r="D656" t="inlineStr"/>
      <c r="E656">
        <f>HYPERLINK("https://www.uniprot.org/uniprotkb/P0CT41/entry", "P0CT41")</f>
        <v/>
      </c>
      <c r="F656" t="n">
        <v>34</v>
      </c>
      <c r="G656" t="n">
        <v>206</v>
      </c>
      <c r="H656" t="n">
        <v>2.57e-34</v>
      </c>
      <c r="I656" t="inlineStr">
        <is>
          <t>Swiss-Prot</t>
        </is>
      </c>
      <c r="J656" t="inlineStr">
        <is>
          <t>Tf2-12</t>
        </is>
      </c>
      <c r="K656" t="inlineStr">
        <is>
          <t>TF212_SCHPO</t>
        </is>
      </c>
      <c r="L656" t="inlineStr">
        <is>
          <t>sp|P0CT41|TF212_SCHPO Transposon Tf2-12 polyprotein OS=Schizosaccharomyces pombe (strain 972 / ATCC 24843) OX=284812 GN=Tf2-12 PE=3 SV=1</t>
        </is>
      </c>
      <c r="M656" t="n">
        <v>1333</v>
      </c>
      <c r="N656" t="inlineStr">
        <is>
          <t>Schizosaccharomyces pombe (strain 972 / ATCC 24843)</t>
        </is>
      </c>
      <c r="O656" t="inlineStr">
        <is>
          <t>Transposon Tf2-12 polyprotein</t>
        </is>
      </c>
    </row>
    <row r="657">
      <c r="A657" t="inlineStr"/>
      <c r="B657" t="inlineStr"/>
      <c r="C657" t="inlineStr"/>
      <c r="D657" t="inlineStr"/>
      <c r="E657">
        <f>HYPERLINK("https://www.uniprot.org/uniprotkb/P0CT34/entry", "P0CT34")</f>
        <v/>
      </c>
      <c r="F657" t="n">
        <v>34</v>
      </c>
      <c r="G657" t="n">
        <v>206</v>
      </c>
      <c r="H657" t="n">
        <v>2.57e-34</v>
      </c>
      <c r="I657" t="inlineStr">
        <is>
          <t>Swiss-Prot</t>
        </is>
      </c>
      <c r="J657" t="inlineStr">
        <is>
          <t>Tf2-1</t>
        </is>
      </c>
      <c r="K657" t="inlineStr">
        <is>
          <t>TF21_SCHPO</t>
        </is>
      </c>
      <c r="L657" t="inlineStr">
        <is>
          <t>sp|P0CT34|TF21_SCHPO Transposon Tf2-1 polyprotein OS=Schizosaccharomyces pombe (strain 972 / ATCC 24843) OX=284812 GN=Tf2-1 PE=3 SV=1</t>
        </is>
      </c>
      <c r="M657" t="n">
        <v>1333</v>
      </c>
      <c r="N657" t="inlineStr">
        <is>
          <t>Schizosaccharomyces pombe (strain 972 / ATCC 24843)</t>
        </is>
      </c>
      <c r="O657" t="inlineStr">
        <is>
          <t>Transposon Tf2-1 polyprotein</t>
        </is>
      </c>
    </row>
    <row r="658">
      <c r="A658" t="inlineStr"/>
      <c r="B658" t="inlineStr"/>
      <c r="C658" t="inlineStr"/>
      <c r="D658" t="inlineStr"/>
      <c r="E658">
        <f>HYPERLINK("https://www.uniprot.org/uniprotkb/P0CT35/entry", "P0CT35")</f>
        <v/>
      </c>
      <c r="F658" t="n">
        <v>34</v>
      </c>
      <c r="G658" t="n">
        <v>206</v>
      </c>
      <c r="H658" t="n">
        <v>2.57e-34</v>
      </c>
      <c r="I658" t="inlineStr">
        <is>
          <t>Swiss-Prot</t>
        </is>
      </c>
      <c r="J658" t="inlineStr">
        <is>
          <t>Tf2-2</t>
        </is>
      </c>
      <c r="K658" t="inlineStr">
        <is>
          <t>TF22_SCHPO</t>
        </is>
      </c>
      <c r="L658" t="inlineStr">
        <is>
          <t>sp|P0CT35|TF22_SCHPO Transposon Tf2-2 polyprotein OS=Schizosaccharomyces pombe (strain 972 / ATCC 24843) OX=284812 GN=Tf2-2 PE=3 SV=1</t>
        </is>
      </c>
      <c r="M658" t="n">
        <v>1333</v>
      </c>
      <c r="N658" t="inlineStr">
        <is>
          <t>Schizosaccharomyces pombe (strain 972 / ATCC 24843)</t>
        </is>
      </c>
      <c r="O658" t="inlineStr">
        <is>
          <t>Transposon Tf2-2 polyprotein</t>
        </is>
      </c>
    </row>
    <row r="659">
      <c r="A659" t="inlineStr"/>
      <c r="B659" t="inlineStr"/>
      <c r="C659" t="inlineStr"/>
      <c r="D659" t="inlineStr"/>
      <c r="E659">
        <f>HYPERLINK("https://www.uniprot.org/uniprotkb/P0CT36/entry", "P0CT36")</f>
        <v/>
      </c>
      <c r="F659" t="n">
        <v>34</v>
      </c>
      <c r="G659" t="n">
        <v>206</v>
      </c>
      <c r="H659" t="n">
        <v>2.57e-34</v>
      </c>
      <c r="I659" t="inlineStr">
        <is>
          <t>Swiss-Prot</t>
        </is>
      </c>
      <c r="J659" t="inlineStr">
        <is>
          <t>Tf2-3</t>
        </is>
      </c>
      <c r="K659" t="inlineStr">
        <is>
          <t>TF23_SCHPO</t>
        </is>
      </c>
      <c r="L659" t="inlineStr">
        <is>
          <t>sp|P0CT36|TF23_SCHPO Transposon Tf2-3 polyprotein OS=Schizosaccharomyces pombe (strain 972 / ATCC 24843) OX=284812 GN=Tf2-3 PE=1 SV=1</t>
        </is>
      </c>
      <c r="M659" t="n">
        <v>1333</v>
      </c>
      <c r="N659" t="inlineStr">
        <is>
          <t>Schizosaccharomyces pombe (strain 972 / ATCC 24843)</t>
        </is>
      </c>
      <c r="O659" t="inlineStr">
        <is>
          <t>Transposon Tf2-3 polyprotein</t>
        </is>
      </c>
    </row>
    <row r="660">
      <c r="A660" t="inlineStr"/>
      <c r="B660" t="inlineStr"/>
      <c r="C660" t="inlineStr"/>
      <c r="D660" t="inlineStr"/>
      <c r="E660">
        <f>HYPERLINK("https://www.uniprot.org/uniprotkb/P0CT37/entry", "P0CT37")</f>
        <v/>
      </c>
      <c r="F660" t="n">
        <v>34</v>
      </c>
      <c r="G660" t="n">
        <v>206</v>
      </c>
      <c r="H660" t="n">
        <v>2.57e-34</v>
      </c>
      <c r="I660" t="inlineStr">
        <is>
          <t>Swiss-Prot</t>
        </is>
      </c>
      <c r="J660" t="inlineStr">
        <is>
          <t>Tf2-4</t>
        </is>
      </c>
      <c r="K660" t="inlineStr">
        <is>
          <t>TF24_SCHPO</t>
        </is>
      </c>
      <c r="L660" t="inlineStr">
        <is>
          <t>sp|P0CT37|TF24_SCHPO Transposon Tf2-4 polyprotein OS=Schizosaccharomyces pombe (strain 972 / ATCC 24843) OX=284812 GN=Tf2-4 PE=3 SV=1</t>
        </is>
      </c>
      <c r="M660" t="n">
        <v>1333</v>
      </c>
      <c r="N660" t="inlineStr">
        <is>
          <t>Schizosaccharomyces pombe (strain 972 / ATCC 24843)</t>
        </is>
      </c>
      <c r="O660" t="inlineStr">
        <is>
          <t>Transposon Tf2-4 polyprotein</t>
        </is>
      </c>
    </row>
    <row r="661">
      <c r="A661" t="inlineStr"/>
      <c r="B661" t="inlineStr"/>
      <c r="C661" t="inlineStr"/>
      <c r="D661" t="inlineStr"/>
      <c r="E661">
        <f>HYPERLINK("https://www.uniprot.org/uniprotkb/P0CT38/entry", "P0CT38")</f>
        <v/>
      </c>
      <c r="F661" t="n">
        <v>34</v>
      </c>
      <c r="G661" t="n">
        <v>206</v>
      </c>
      <c r="H661" t="n">
        <v>2.57e-34</v>
      </c>
      <c r="I661" t="inlineStr">
        <is>
          <t>Swiss-Prot</t>
        </is>
      </c>
      <c r="J661" t="inlineStr">
        <is>
          <t>Tf2-5</t>
        </is>
      </c>
      <c r="K661" t="inlineStr">
        <is>
          <t>TF25_SCHPO</t>
        </is>
      </c>
      <c r="L661" t="inlineStr">
        <is>
          <t>sp|P0CT38|TF25_SCHPO Transposon Tf2-5 polyprotein OS=Schizosaccharomyces pombe (strain 972 / ATCC 24843) OX=284812 GN=Tf2-5 PE=3 SV=1</t>
        </is>
      </c>
      <c r="M661" t="n">
        <v>1333</v>
      </c>
      <c r="N661" t="inlineStr">
        <is>
          <t>Schizosaccharomyces pombe (strain 972 / ATCC 24843)</t>
        </is>
      </c>
      <c r="O661" t="inlineStr">
        <is>
          <t>Transposon Tf2-5 polyprotein</t>
        </is>
      </c>
    </row>
    <row r="662">
      <c r="A662" t="inlineStr"/>
      <c r="B662" t="inlineStr"/>
      <c r="C662" t="inlineStr"/>
      <c r="D662" t="inlineStr"/>
      <c r="E662">
        <f>HYPERLINK("https://www.uniprot.org/uniprotkb/P0CT39/entry", "P0CT39")</f>
        <v/>
      </c>
      <c r="F662" t="n">
        <v>34</v>
      </c>
      <c r="G662" t="n">
        <v>206</v>
      </c>
      <c r="H662" t="n">
        <v>2.57e-34</v>
      </c>
      <c r="I662" t="inlineStr">
        <is>
          <t>Swiss-Prot</t>
        </is>
      </c>
      <c r="J662" t="inlineStr">
        <is>
          <t>Tf2-6</t>
        </is>
      </c>
      <c r="K662" t="inlineStr">
        <is>
          <t>TF26_SCHPO</t>
        </is>
      </c>
      <c r="L662" t="inlineStr">
        <is>
          <t>sp|P0CT39|TF26_SCHPO Transposon Tf2-6 polyprotein OS=Schizosaccharomyces pombe (strain 972 / ATCC 24843) OX=284812 GN=Tf2-6 PE=3 SV=1</t>
        </is>
      </c>
      <c r="M662" t="n">
        <v>1333</v>
      </c>
      <c r="N662" t="inlineStr">
        <is>
          <t>Schizosaccharomyces pombe (strain 972 / ATCC 24843)</t>
        </is>
      </c>
      <c r="O662" t="inlineStr">
        <is>
          <t>Transposon Tf2-6 polyprotein</t>
        </is>
      </c>
    </row>
    <row r="663">
      <c r="A663" t="inlineStr"/>
      <c r="B663" t="inlineStr"/>
      <c r="C663" t="inlineStr"/>
      <c r="D663" t="inlineStr"/>
      <c r="E663">
        <f>HYPERLINK("https://www.uniprot.org/uniprotkb/P0CT40/entry", "P0CT40")</f>
        <v/>
      </c>
      <c r="F663" t="n">
        <v>34</v>
      </c>
      <c r="G663" t="n">
        <v>206</v>
      </c>
      <c r="H663" t="n">
        <v>2.57e-34</v>
      </c>
      <c r="I663" t="inlineStr">
        <is>
          <t>Swiss-Prot</t>
        </is>
      </c>
      <c r="J663" t="inlineStr">
        <is>
          <t>Tf2-9</t>
        </is>
      </c>
      <c r="K663" t="inlineStr">
        <is>
          <t>TF29_SCHPO</t>
        </is>
      </c>
      <c r="L663" t="inlineStr">
        <is>
          <t>sp|P0CT40|TF29_SCHPO Transposon Tf2-9 polyprotein OS=Schizosaccharomyces pombe (strain 972 / ATCC 24843) OX=284812 GN=Tf2-9 PE=3 SV=1</t>
        </is>
      </c>
      <c r="M663" t="n">
        <v>1333</v>
      </c>
      <c r="N663" t="inlineStr">
        <is>
          <t>Schizosaccharomyces pombe (strain 972 / ATCC 24843)</t>
        </is>
      </c>
      <c r="O663" t="inlineStr">
        <is>
          <t>Transposon Tf2-9 polyprotein</t>
        </is>
      </c>
    </row>
    <row r="664">
      <c r="A664" t="inlineStr"/>
      <c r="B664" t="inlineStr"/>
      <c r="C664" t="inlineStr"/>
      <c r="D664" t="inlineStr"/>
      <c r="E664">
        <f>HYPERLINK("https://www.uniprot.org/uniprotkb/Q9UR07/entry", "Q9UR07")</f>
        <v/>
      </c>
      <c r="F664" t="n">
        <v>33.5</v>
      </c>
      <c r="G664" t="n">
        <v>206</v>
      </c>
      <c r="H664" t="n">
        <v>6.479999999999999e-34</v>
      </c>
      <c r="I664" t="inlineStr">
        <is>
          <t>Swiss-Prot</t>
        </is>
      </c>
      <c r="J664" t="inlineStr">
        <is>
          <t>Tf2-11</t>
        </is>
      </c>
      <c r="K664" t="inlineStr">
        <is>
          <t>TF211_SCHPO</t>
        </is>
      </c>
      <c r="L664" t="inlineStr">
        <is>
          <t>sp|Q9UR07|TF211_SCHPO Transposon Tf2-11 polyprotein OS=Schizosaccharomyces pombe (strain 972 / ATCC 24843) OX=284812 GN=Tf2-11 PE=3 SV=1</t>
        </is>
      </c>
      <c r="M664" t="n">
        <v>1333</v>
      </c>
      <c r="N664" t="inlineStr">
        <is>
          <t>Schizosaccharomyces pombe (strain 972 / ATCC 24843)</t>
        </is>
      </c>
      <c r="O664" t="inlineStr">
        <is>
          <t>Transposon Tf2-11 polyprotein</t>
        </is>
      </c>
    </row>
    <row r="665">
      <c r="A665" t="inlineStr"/>
      <c r="B665" t="inlineStr"/>
      <c r="C665" t="inlineStr"/>
      <c r="D665" t="inlineStr"/>
      <c r="E665">
        <f>HYPERLINK("https://www.uniprot.org/uniprotkb/P0CT42/entry", "P0CT42")</f>
        <v/>
      </c>
      <c r="F665" t="n">
        <v>33.5</v>
      </c>
      <c r="G665" t="n">
        <v>206</v>
      </c>
      <c r="H665" t="n">
        <v>6.479999999999999e-34</v>
      </c>
      <c r="I665" t="inlineStr">
        <is>
          <t>Swiss-Prot</t>
        </is>
      </c>
      <c r="J665" t="inlineStr">
        <is>
          <t>Tf2-7</t>
        </is>
      </c>
      <c r="K665" t="inlineStr">
        <is>
          <t>TF27_SCHPO</t>
        </is>
      </c>
      <c r="L665" t="inlineStr">
        <is>
          <t>sp|P0CT42|TF27_SCHPO Transposon Tf2-7 polyprotein OS=Schizosaccharomyces pombe (strain 972 / ATCC 24843) OX=284812 GN=Tf2-7 PE=3 SV=1</t>
        </is>
      </c>
      <c r="M665" t="n">
        <v>1333</v>
      </c>
      <c r="N665" t="inlineStr">
        <is>
          <t>Schizosaccharomyces pombe (strain 972 / ATCC 24843)</t>
        </is>
      </c>
      <c r="O665" t="inlineStr">
        <is>
          <t>Transposon Tf2-7 polyprotein</t>
        </is>
      </c>
    </row>
    <row r="666">
      <c r="A666" t="inlineStr"/>
      <c r="B666" t="inlineStr"/>
      <c r="C666" t="inlineStr"/>
      <c r="D666" t="inlineStr"/>
      <c r="E666">
        <f>HYPERLINK("https://www.uniprot.org/uniprotkb/P0CT43/entry", "P0CT43")</f>
        <v/>
      </c>
      <c r="F666" t="n">
        <v>33.5</v>
      </c>
      <c r="G666" t="n">
        <v>206</v>
      </c>
      <c r="H666" t="n">
        <v>6.479999999999999e-34</v>
      </c>
      <c r="I666" t="inlineStr">
        <is>
          <t>Swiss-Prot</t>
        </is>
      </c>
      <c r="J666" t="inlineStr">
        <is>
          <t>Tf2-8</t>
        </is>
      </c>
      <c r="K666" t="inlineStr">
        <is>
          <t>TF28_SCHPO</t>
        </is>
      </c>
      <c r="L666" t="inlineStr">
        <is>
          <t>sp|P0CT43|TF28_SCHPO Transposon Tf2-8 polyprotein OS=Schizosaccharomyces pombe (strain 972 / ATCC 24843) OX=284812 GN=Tf2-8 PE=3 SV=1</t>
        </is>
      </c>
      <c r="M666" t="n">
        <v>1333</v>
      </c>
      <c r="N666" t="inlineStr">
        <is>
          <t>Schizosaccharomyces pombe (strain 972 / ATCC 24843)</t>
        </is>
      </c>
      <c r="O666" t="inlineStr">
        <is>
          <t>Transposon Tf2-8 polyprotein</t>
        </is>
      </c>
    </row>
    <row r="667">
      <c r="A667" t="inlineStr"/>
      <c r="B667" t="inlineStr"/>
      <c r="C667" t="inlineStr"/>
      <c r="D667" t="inlineStr"/>
      <c r="E667">
        <f>HYPERLINK("https://www.uniprot.org/uniprotkb/P20825/entry", "P20825")</f>
        <v/>
      </c>
      <c r="F667" t="n">
        <v>35.6</v>
      </c>
      <c r="G667" t="n">
        <v>208</v>
      </c>
      <c r="H667" t="n">
        <v>1.87e-32</v>
      </c>
      <c r="I667" t="inlineStr">
        <is>
          <t>Swiss-Prot</t>
        </is>
      </c>
      <c r="J667" t="inlineStr">
        <is>
          <t>pol</t>
        </is>
      </c>
      <c r="K667" t="inlineStr">
        <is>
          <t>POL2_DROME</t>
        </is>
      </c>
      <c r="L667" t="inlineStr">
        <is>
          <t>sp|P20825|POL2_DROME Retrovirus-related Pol polyprotein from transposon 297 OS=Drosophila melanogaster OX=7227 GN=pol PE=4 SV=1</t>
        </is>
      </c>
      <c r="M667" t="n">
        <v>1059</v>
      </c>
      <c r="N667" t="inlineStr">
        <is>
          <t>Drosophila melanogaster</t>
        </is>
      </c>
      <c r="O667" t="inlineStr">
        <is>
          <t>Retrovirus-related Pol polyprotein from transposon 297</t>
        </is>
      </c>
    </row>
    <row r="668">
      <c r="A668" t="inlineStr"/>
      <c r="B668" t="inlineStr"/>
      <c r="C668" t="inlineStr"/>
      <c r="D668" t="inlineStr"/>
      <c r="E668">
        <f>HYPERLINK("https://www.uniprot.org/uniprotkb/P04323/entry", "P04323")</f>
        <v/>
      </c>
      <c r="F668" t="n">
        <v>33.2</v>
      </c>
      <c r="G668" t="n">
        <v>208</v>
      </c>
      <c r="H668" t="n">
        <v>5.65e-29</v>
      </c>
      <c r="I668" t="inlineStr">
        <is>
          <t>Swiss-Prot</t>
        </is>
      </c>
      <c r="J668" t="inlineStr">
        <is>
          <t>pol</t>
        </is>
      </c>
      <c r="K668" t="inlineStr">
        <is>
          <t>POL3_DROME</t>
        </is>
      </c>
      <c r="L668" t="inlineStr">
        <is>
          <t>sp|P04323|POL3_DROME Retrovirus-related Pol polyprotein from transposon 17.6 OS=Drosophila melanogaster OX=7227 GN=pol PE=4 SV=1</t>
        </is>
      </c>
      <c r="M668" t="n">
        <v>1058</v>
      </c>
      <c r="N668" t="inlineStr">
        <is>
          <t>Drosophila melanogaster</t>
        </is>
      </c>
      <c r="O668" t="inlineStr">
        <is>
          <t>Retrovirus-related Pol polyprotein from transposon 17.6</t>
        </is>
      </c>
    </row>
    <row r="669">
      <c r="A669" t="inlineStr"/>
      <c r="B669" t="inlineStr"/>
      <c r="C669" t="inlineStr"/>
      <c r="D669" t="inlineStr"/>
      <c r="E669">
        <f>HYPERLINK("https://www.uniprot.org/uniprotkb/P10401/entry", "P10401")</f>
        <v/>
      </c>
      <c r="F669" t="n">
        <v>33.2</v>
      </c>
      <c r="G669" t="n">
        <v>217</v>
      </c>
      <c r="H669" t="n">
        <v>9.01e-28</v>
      </c>
      <c r="I669" t="inlineStr">
        <is>
          <t>Swiss-Prot</t>
        </is>
      </c>
      <c r="J669" t="inlineStr">
        <is>
          <t>pol</t>
        </is>
      </c>
      <c r="K669" t="inlineStr">
        <is>
          <t>POLY_DROME</t>
        </is>
      </c>
      <c r="L669" t="inlineStr">
        <is>
          <t>sp|P10401|POLY_DROME Retrovirus-related Pol polyprotein from transposon gypsy OS=Drosophila melanogaster OX=7227 GN=pol PE=4 SV=1</t>
        </is>
      </c>
      <c r="M669" t="n">
        <v>1035</v>
      </c>
      <c r="N669" t="inlineStr">
        <is>
          <t>Drosophila melanogaster</t>
        </is>
      </c>
      <c r="O669" t="inlineStr">
        <is>
          <t>Retrovirus-related Pol polyprotein from transposon gypsy</t>
        </is>
      </c>
    </row>
    <row r="670">
      <c r="A670" t="inlineStr"/>
      <c r="B670" t="inlineStr"/>
      <c r="C670" t="inlineStr"/>
      <c r="D670" t="inlineStr"/>
      <c r="E670">
        <f>HYPERLINK("https://www.uniprot.org/uniprotkb/Q8I7P9/entry", "Q8I7P9")</f>
        <v/>
      </c>
      <c r="F670" t="n">
        <v>31.3</v>
      </c>
      <c r="G670" t="n">
        <v>217</v>
      </c>
      <c r="H670" t="n">
        <v>5.690000000000001e-27</v>
      </c>
      <c r="I670" t="inlineStr">
        <is>
          <t>Swiss-Prot</t>
        </is>
      </c>
      <c r="J670" t="inlineStr">
        <is>
          <t>pol</t>
        </is>
      </c>
      <c r="K670" t="inlineStr">
        <is>
          <t>POL5_DROME</t>
        </is>
      </c>
      <c r="L670" t="inlineStr">
        <is>
          <t>sp|Q8I7P9|POL5_DROME Retrovirus-related Pol polyprotein from transposon opus OS=Drosophila melanogaster OX=7227 GN=pol PE=4 SV=1</t>
        </is>
      </c>
      <c r="M670" t="n">
        <v>1003</v>
      </c>
      <c r="N670" t="inlineStr">
        <is>
          <t>Drosophila melanogaster</t>
        </is>
      </c>
      <c r="O670" t="inlineStr">
        <is>
          <t>Retrovirus-related Pol polyprotein from transposon opus</t>
        </is>
      </c>
    </row>
    <row r="671">
      <c r="A671" t="inlineStr"/>
      <c r="B671" t="inlineStr"/>
      <c r="C671" t="inlineStr"/>
      <c r="D671" t="inlineStr"/>
      <c r="E671">
        <f>HYPERLINK("https://www.uniprot.org/uniprotkb/Q7LHG5/entry", "Q7LHG5")</f>
        <v/>
      </c>
      <c r="F671" t="n">
        <v>32.5</v>
      </c>
      <c r="G671" t="n">
        <v>191</v>
      </c>
      <c r="H671" t="n">
        <v>5.990000000000001e-27</v>
      </c>
      <c r="I671" t="inlineStr">
        <is>
          <t>Swiss-Prot</t>
        </is>
      </c>
      <c r="J671" t="inlineStr">
        <is>
          <t>TY3B-I</t>
        </is>
      </c>
      <c r="K671" t="inlineStr">
        <is>
          <t>YI31B_YEAST</t>
        </is>
      </c>
      <c r="L671" t="inlineStr">
        <is>
          <t>sp|Q7LHG5|YI31B_YEAST Transposon Ty3-I Gag-Pol polyprotein OS=Saccharomyces cerevisiae (strain ATCC 204508 / S288c) OX=559292 GN=TY3B-I PE=1 SV=2</t>
        </is>
      </c>
      <c r="M671" t="n">
        <v>1498</v>
      </c>
      <c r="N671" t="inlineStr">
        <is>
          <t>Saccharomyces cerevisiae (strain ATCC 204508 / S288c)</t>
        </is>
      </c>
      <c r="O671" t="inlineStr">
        <is>
          <t>Transposon Ty3-I Gag-Pol polyprotein</t>
        </is>
      </c>
    </row>
    <row r="672">
      <c r="A672" t="inlineStr"/>
      <c r="B672" t="inlineStr"/>
      <c r="C672" t="inlineStr"/>
      <c r="D672" t="inlineStr"/>
      <c r="E672">
        <f>HYPERLINK("https://www.uniprot.org/uniprotkb/Q99315/entry", "Q99315")</f>
        <v/>
      </c>
      <c r="F672" t="n">
        <v>31.9</v>
      </c>
      <c r="G672" t="n">
        <v>191</v>
      </c>
      <c r="H672" t="n">
        <v>1.11e-26</v>
      </c>
      <c r="I672" t="inlineStr">
        <is>
          <t>Swiss-Prot</t>
        </is>
      </c>
      <c r="J672" t="inlineStr">
        <is>
          <t>TY3B-G</t>
        </is>
      </c>
      <c r="K672" t="inlineStr">
        <is>
          <t>YG31B_YEAST</t>
        </is>
      </c>
      <c r="L672" t="inlineStr">
        <is>
          <t>sp|Q99315|YG31B_YEAST Transposon Ty3-G Gag-Pol polyprotein OS=Saccharomyces cerevisiae (strain ATCC 204508 / S288c) OX=559292 GN=TY3B-G PE=1 SV=3</t>
        </is>
      </c>
      <c r="M672" t="n">
        <v>1547</v>
      </c>
      <c r="N672" t="inlineStr">
        <is>
          <t>Saccharomyces cerevisiae (strain ATCC 204508 / S288c)</t>
        </is>
      </c>
      <c r="O672" t="inlineStr">
        <is>
          <t>Transposon Ty3-G Gag-Pol polyprotein</t>
        </is>
      </c>
    </row>
    <row r="673">
      <c r="A673" t="inlineStr"/>
      <c r="B673" t="inlineStr"/>
      <c r="C673" t="inlineStr"/>
      <c r="D673" t="inlineStr"/>
      <c r="E673">
        <f>HYPERLINK("https://www.uniprot.org/uniprotkb/P10394/entry", "P10394")</f>
        <v/>
      </c>
      <c r="F673" t="n">
        <v>30.7</v>
      </c>
      <c r="G673" t="n">
        <v>205</v>
      </c>
      <c r="H673" t="n">
        <v>2.35e-25</v>
      </c>
      <c r="I673" t="inlineStr">
        <is>
          <t>Swiss-Prot</t>
        </is>
      </c>
      <c r="J673" t="inlineStr">
        <is>
          <t>POL</t>
        </is>
      </c>
      <c r="K673" t="inlineStr">
        <is>
          <t>POL4_DROME</t>
        </is>
      </c>
      <c r="L673" t="inlineStr">
        <is>
          <t>sp|P10394|POL4_DROME Retrovirus-related Pol polyprotein from transposon 412 OS=Drosophila melanogaster OX=7227 GN=POL PE=4 SV=1</t>
        </is>
      </c>
      <c r="M673" t="n">
        <v>1237</v>
      </c>
      <c r="N673" t="inlineStr">
        <is>
          <t>Drosophila melanogaster</t>
        </is>
      </c>
      <c r="O673" t="inlineStr">
        <is>
          <t>Retrovirus-related Pol polyprotein from transposon 412</t>
        </is>
      </c>
    </row>
    <row r="674">
      <c r="A674" t="inlineStr"/>
      <c r="B674" t="inlineStr"/>
      <c r="C674" t="inlineStr"/>
      <c r="D674" t="inlineStr"/>
      <c r="E674">
        <f>HYPERLINK("https://www.uniprot.org/uniprotkb/Q00962/entry", "Q00962")</f>
        <v/>
      </c>
      <c r="F674" t="n">
        <v>27.6</v>
      </c>
      <c r="G674" t="n">
        <v>192</v>
      </c>
      <c r="H674" t="n">
        <v>6.04e-16</v>
      </c>
      <c r="I674" t="inlineStr">
        <is>
          <t>Swiss-Prot</t>
        </is>
      </c>
      <c r="J674" t="inlineStr">
        <is>
          <t>ORF V</t>
        </is>
      </c>
      <c r="K674" t="inlineStr">
        <is>
          <t>POL_CAMVN</t>
        </is>
      </c>
      <c r="L674" t="inlineStr">
        <is>
          <t>sp|Q00962|POL_CAMVN Enzymatic polyprotein OS=Cauliflower mosaic virus (strain NY8153) OX=31557 GN=ORF V PE=3 SV=1</t>
        </is>
      </c>
      <c r="M674" t="n">
        <v>680</v>
      </c>
      <c r="N674" t="inlineStr">
        <is>
          <t>Cauliflower mosaic virus (strain NY8153)</t>
        </is>
      </c>
      <c r="O674" t="inlineStr">
        <is>
          <t>Enzymatic polyprotein</t>
        </is>
      </c>
    </row>
    <row r="675">
      <c r="A675" t="inlineStr"/>
      <c r="B675" t="inlineStr"/>
      <c r="C675" t="inlineStr"/>
      <c r="D675" t="inlineStr"/>
      <c r="E675">
        <f>HYPERLINK("https://www.uniprot.org/uniprotkb/P03556/entry", "P03556")</f>
        <v/>
      </c>
      <c r="F675" t="n">
        <v>27.6</v>
      </c>
      <c r="G675" t="n">
        <v>192</v>
      </c>
      <c r="H675" t="n">
        <v>2.04e-15</v>
      </c>
      <c r="I675" t="inlineStr">
        <is>
          <t>Swiss-Prot</t>
        </is>
      </c>
      <c r="J675" t="inlineStr">
        <is>
          <t>ORF V</t>
        </is>
      </c>
      <c r="K675" t="inlineStr">
        <is>
          <t>POL_CAMVD</t>
        </is>
      </c>
      <c r="L675" t="inlineStr">
        <is>
          <t>sp|P03556|POL_CAMVD Enzymatic polyprotein OS=Cauliflower mosaic virus (strain D/H) OX=10645 GN=ORF V PE=3 SV=1</t>
        </is>
      </c>
      <c r="M675" t="n">
        <v>674</v>
      </c>
      <c r="N675" t="inlineStr">
        <is>
          <t>Cauliflower mosaic virus (strain D/H)</t>
        </is>
      </c>
      <c r="O675" t="inlineStr">
        <is>
          <t>Enzymatic polyprotein</t>
        </is>
      </c>
    </row>
    <row r="676">
      <c r="A676" t="inlineStr"/>
      <c r="B676" t="inlineStr"/>
      <c r="C676" t="inlineStr"/>
      <c r="D676" t="inlineStr"/>
      <c r="E676">
        <f>HYPERLINK("https://www.uniprot.org/uniprotkb/P03555/entry", "P03555")</f>
        <v/>
      </c>
      <c r="F676" t="n">
        <v>27.6</v>
      </c>
      <c r="G676" t="n">
        <v>192</v>
      </c>
      <c r="H676" t="n">
        <v>2.05e-15</v>
      </c>
      <c r="I676" t="inlineStr">
        <is>
          <t>Swiss-Prot</t>
        </is>
      </c>
      <c r="J676" t="inlineStr">
        <is>
          <t>ORF V</t>
        </is>
      </c>
      <c r="K676" t="inlineStr">
        <is>
          <t>POL_CAMVC</t>
        </is>
      </c>
      <c r="L676" t="inlineStr">
        <is>
          <t>sp|P03555|POL_CAMVC Enzymatic polyprotein OS=Cauliflower mosaic virus (strain CM-1841) OX=10644 GN=ORF V PE=3 SV=1</t>
        </is>
      </c>
      <c r="M676" t="n">
        <v>679</v>
      </c>
      <c r="N676" t="inlineStr">
        <is>
          <t>Cauliflower mosaic virus (strain CM-1841)</t>
        </is>
      </c>
      <c r="O676" t="inlineStr">
        <is>
          <t>Enzymatic polyprotein</t>
        </is>
      </c>
    </row>
    <row r="677">
      <c r="A677" t="inlineStr"/>
      <c r="B677" t="inlineStr"/>
      <c r="C677" t="inlineStr"/>
      <c r="D677" t="inlineStr"/>
      <c r="E677">
        <f>HYPERLINK("https://www.uniprot.org/uniprotkb/Q02964/entry", "Q02964")</f>
        <v/>
      </c>
      <c r="F677" t="n">
        <v>27.6</v>
      </c>
      <c r="G677" t="n">
        <v>192</v>
      </c>
      <c r="H677" t="n">
        <v>2.05e-15</v>
      </c>
      <c r="I677" t="inlineStr">
        <is>
          <t>Swiss-Prot</t>
        </is>
      </c>
      <c r="J677" t="inlineStr">
        <is>
          <t>ORF V</t>
        </is>
      </c>
      <c r="K677" t="inlineStr">
        <is>
          <t>POL_CAMVE</t>
        </is>
      </c>
      <c r="L677" t="inlineStr">
        <is>
          <t>sp|Q02964|POL_CAMVE Enzymatic polyprotein OS=Cauliflower mosaic virus (strain BBC) OX=31556 GN=ORF V PE=3 SV=1</t>
        </is>
      </c>
      <c r="M677" t="n">
        <v>679</v>
      </c>
      <c r="N677" t="inlineStr">
        <is>
          <t>Cauliflower mosaic virus (strain BBC)</t>
        </is>
      </c>
      <c r="O677" t="inlineStr">
        <is>
          <t>Enzymatic polyprotein</t>
        </is>
      </c>
    </row>
    <row r="678">
      <c r="A678" t="inlineStr"/>
      <c r="B678" t="inlineStr"/>
      <c r="C678" t="inlineStr"/>
      <c r="D678" t="inlineStr"/>
      <c r="E678">
        <f>HYPERLINK("https://www.uniprot.org/uniprotkb/P03554/entry", "P03554")</f>
        <v/>
      </c>
      <c r="F678" t="n">
        <v>27.6</v>
      </c>
      <c r="G678" t="n">
        <v>192</v>
      </c>
      <c r="H678" t="n">
        <v>2.05e-15</v>
      </c>
      <c r="I678" t="inlineStr">
        <is>
          <t>Swiss-Prot</t>
        </is>
      </c>
      <c r="J678" t="inlineStr">
        <is>
          <t>ORF V</t>
        </is>
      </c>
      <c r="K678" t="inlineStr">
        <is>
          <t>POL_CAMVS</t>
        </is>
      </c>
      <c r="L678" t="inlineStr">
        <is>
          <t>sp|P03554|POL_CAMVS Enzymatic polyprotein OS=Cauliflower mosaic virus (strain Strasbourg) OX=10648 GN=ORF V PE=3 SV=1</t>
        </is>
      </c>
      <c r="M678" t="n">
        <v>679</v>
      </c>
      <c r="N678" t="inlineStr">
        <is>
          <t>Cauliflower mosaic virus (strain Strasbourg)</t>
        </is>
      </c>
      <c r="O678" t="inlineStr">
        <is>
          <t>Enzymatic polyprotein</t>
        </is>
      </c>
    </row>
    <row r="679">
      <c r="A679" t="inlineStr"/>
      <c r="B679" t="inlineStr"/>
      <c r="C679" t="inlineStr"/>
      <c r="D679" t="inlineStr"/>
      <c r="E679">
        <f>HYPERLINK("https://www.uniprot.org/uniprotkb/P92523/entry", "P92523")</f>
        <v/>
      </c>
      <c r="F679" t="n">
        <v>33.9</v>
      </c>
      <c r="G679" t="n">
        <v>127</v>
      </c>
      <c r="H679" t="n">
        <v>5.69e-15</v>
      </c>
      <c r="I679" t="inlineStr">
        <is>
          <t>Swiss-Prot</t>
        </is>
      </c>
      <c r="J679" t="inlineStr">
        <is>
          <t>AtMg00860</t>
        </is>
      </c>
      <c r="K679" t="inlineStr">
        <is>
          <t>M860_ARATH</t>
        </is>
      </c>
      <c r="L679" t="inlineStr">
        <is>
          <t>sp|P92523|M860_ARATH Uncharacterized mitochondrial protein AtMg00860 OS=Arabidopsis thaliana OX=3702 GN=AtMg00860 PE=4 SV=1</t>
        </is>
      </c>
      <c r="M679" t="n">
        <v>158</v>
      </c>
      <c r="N679" t="inlineStr">
        <is>
          <t>Arabidopsis thaliana</t>
        </is>
      </c>
      <c r="O679" t="inlineStr">
        <is>
          <t>Uncharacterized mitochondrial protein AtMg00860</t>
        </is>
      </c>
    </row>
    <row r="680">
      <c r="A680" t="inlineStr"/>
      <c r="B680" t="inlineStr"/>
      <c r="C680" t="inlineStr"/>
      <c r="D680" t="inlineStr"/>
      <c r="E680">
        <f>HYPERLINK("https://www.uniprot.org/uniprotkb/P23074/entry", "P23074")</f>
        <v/>
      </c>
      <c r="F680" t="n">
        <v>24.1</v>
      </c>
      <c r="G680" t="n">
        <v>203</v>
      </c>
      <c r="H680" t="n">
        <v>1.04e-14</v>
      </c>
      <c r="I680" t="inlineStr">
        <is>
          <t>Swiss-Prot</t>
        </is>
      </c>
      <c r="J680" t="inlineStr">
        <is>
          <t>pol</t>
        </is>
      </c>
      <c r="K680" t="inlineStr">
        <is>
          <t>POL_SFV1</t>
        </is>
      </c>
      <c r="L680" t="inlineStr">
        <is>
          <t>sp|P23074|POL_SFV1 Pro-Pol polyprotein OS=Simian foamy virus type 1 OX=338478 GN=pol PE=1 SV=3</t>
        </is>
      </c>
      <c r="M680" t="n">
        <v>1149</v>
      </c>
      <c r="N680" t="inlineStr">
        <is>
          <t>Simian foamy virus type 1</t>
        </is>
      </c>
      <c r="O680" t="inlineStr">
        <is>
          <t>Pro-Pol polyprotein</t>
        </is>
      </c>
    </row>
    <row r="681">
      <c r="A681" t="inlineStr">
        <is>
          <t>NODE_114669_length_1451_cov_673.469653_g10612_i1</t>
        </is>
      </c>
      <c r="B681" t="inlineStr">
        <is>
          <t>bombina_pachypus_blastx</t>
        </is>
      </c>
      <c r="C681" t="n">
        <v>8.01505729721343</v>
      </c>
      <c r="D681" t="n">
        <v>4.86728597975199e-06</v>
      </c>
      <c r="E681">
        <f>HYPERLINK("https://www.uniprot.org/uniprotkb/A0A8J0VJE0/entry", "A0A8J0VJE0")</f>
        <v/>
      </c>
      <c r="F681" t="n">
        <v>66.40000000000001</v>
      </c>
      <c r="G681" t="n">
        <v>122</v>
      </c>
      <c r="H681" t="n">
        <v>6.1e-45</v>
      </c>
      <c r="I681" t="inlineStr">
        <is>
          <t>TrEMBL</t>
        </is>
      </c>
      <c r="J681" t="inlineStr">
        <is>
          <t>ndufs6.L</t>
        </is>
      </c>
      <c r="K681" t="inlineStr">
        <is>
          <t>A0A8J0VJE0_XENLA</t>
        </is>
      </c>
      <c r="L681" t="inlineStr">
        <is>
          <t>tr|A0A8J0VJE0|A0A8J0VJE0_XENLA NADH dehydrogenase [ubiquinone] iron-sulfur protein 6, mitochondrial isoform X2 OS=Xenopus laevis OX=8355 GN=ndufs6.L PE=4 SV=1</t>
        </is>
      </c>
      <c r="M681" t="n">
        <v>123</v>
      </c>
      <c r="N681" t="inlineStr">
        <is>
          <t>Xenopus laevis</t>
        </is>
      </c>
      <c r="O681" t="inlineStr">
        <is>
          <t>NADH dehydrogenase [ubiquinone] iron-sulfur protein 6, mitochondrial isoform X2</t>
        </is>
      </c>
    </row>
    <row r="682">
      <c r="A682" t="inlineStr"/>
      <c r="B682" t="inlineStr"/>
      <c r="C682" t="inlineStr"/>
      <c r="D682" t="inlineStr"/>
      <c r="E682">
        <f>HYPERLINK("https://www.uniprot.org/uniprotkb/A0A1L8FX37/entry", "A0A1L8FX37")</f>
        <v/>
      </c>
      <c r="F682" t="n">
        <v>66.40000000000001</v>
      </c>
      <c r="G682" t="n">
        <v>122</v>
      </c>
      <c r="H682" t="n">
        <v>9.139999999999999e-45</v>
      </c>
      <c r="I682" t="inlineStr">
        <is>
          <t>TrEMBL</t>
        </is>
      </c>
      <c r="J682" t="inlineStr">
        <is>
          <t>ndufs6.L</t>
        </is>
      </c>
      <c r="K682" t="inlineStr">
        <is>
          <t>A0A1L8FX37_XENLA</t>
        </is>
      </c>
      <c r="L682" t="inlineStr">
        <is>
          <t>tr|A0A1L8FX37|A0A1L8FX37_XENLA NADH dehydrogenase [ubiquinone] iron-sulfur protein 6, mitochondrial isoform X1 OS=Xenopus laevis OX=8355 GN=ndufs6.L PE=4 SV=1</t>
        </is>
      </c>
      <c r="M682" t="n">
        <v>136</v>
      </c>
      <c r="N682" t="inlineStr">
        <is>
          <t>Xenopus laevis</t>
        </is>
      </c>
      <c r="O682" t="inlineStr">
        <is>
          <t>NADH dehydrogenase [ubiquinone] iron-sulfur protein 6, mitochondrial isoform X1</t>
        </is>
      </c>
    </row>
    <row r="683">
      <c r="A683" t="inlineStr"/>
      <c r="B683" t="inlineStr"/>
      <c r="C683" t="inlineStr"/>
      <c r="D683" t="inlineStr"/>
      <c r="E683">
        <f>HYPERLINK("https://www.ncbi.nlm.nih.gov/gene/?term=XP_018123114.1", "XP_018123114.1")</f>
        <v/>
      </c>
      <c r="F683" t="n">
        <v>66.40000000000001</v>
      </c>
      <c r="G683" t="n">
        <v>122</v>
      </c>
      <c r="H683" t="n">
        <v>1.57e-44</v>
      </c>
      <c r="I683" t="inlineStr">
        <is>
          <t>Nr</t>
        </is>
      </c>
      <c r="J683" t="inlineStr"/>
      <c r="K683" t="inlineStr"/>
      <c r="L683" t="inlineStr">
        <is>
          <t>XP_018123114.1 NADH dehydrogenase [ubiquinone] iron-sulfur protein 6, mitochondrial isoform X2 [Xenopus laevis]</t>
        </is>
      </c>
      <c r="M683" t="n">
        <v>123</v>
      </c>
      <c r="N683" t="inlineStr">
        <is>
          <t>Xenopus laevis</t>
        </is>
      </c>
      <c r="O683" t="inlineStr">
        <is>
          <t>NADH dehydrogenase</t>
        </is>
      </c>
    </row>
    <row r="684">
      <c r="A684" t="inlineStr"/>
      <c r="B684" t="inlineStr"/>
      <c r="C684" t="inlineStr"/>
      <c r="D684" t="inlineStr"/>
      <c r="E684">
        <f>HYPERLINK("https://www.uniprot.org/uniprotkb/F6ZWK3/entry", "F6ZWK3")</f>
        <v/>
      </c>
      <c r="F684" t="n">
        <v>65.59999999999999</v>
      </c>
      <c r="G684" t="n">
        <v>122</v>
      </c>
      <c r="H684" t="n">
        <v>1.58e-44</v>
      </c>
      <c r="I684" t="inlineStr">
        <is>
          <t>TrEMBL</t>
        </is>
      </c>
      <c r="J684" t="inlineStr">
        <is>
          <t>mfsd4b</t>
        </is>
      </c>
      <c r="K684" t="inlineStr">
        <is>
          <t>F6ZWK3_XENTR</t>
        </is>
      </c>
      <c r="L684" t="inlineStr">
        <is>
          <t>tr|F6ZWK3|F6ZWK3_XENTR NADH dehydrogenase [ubiquinone] iron-sulfur protein 6, mitochondrial OS=Xenopus tropicalis OX=8364 GN=mfsd4b PE=4 SV=4</t>
        </is>
      </c>
      <c r="M684" t="n">
        <v>165</v>
      </c>
      <c r="N684" t="inlineStr">
        <is>
          <t>Xenopus tropicalis</t>
        </is>
      </c>
      <c r="O684" t="inlineStr">
        <is>
          <t>NADH dehydrogenase [ubiquinone] iron-sulfur protein 6, mitochondrial</t>
        </is>
      </c>
    </row>
    <row r="685">
      <c r="A685" t="inlineStr"/>
      <c r="B685" t="inlineStr"/>
      <c r="C685" t="inlineStr"/>
      <c r="D685" t="inlineStr"/>
      <c r="E685">
        <f>HYPERLINK("https://www.ncbi.nlm.nih.gov/gene/?term=XP_018123113.1", "XP_018123113.1")</f>
        <v/>
      </c>
      <c r="F685" t="n">
        <v>66.40000000000001</v>
      </c>
      <c r="G685" t="n">
        <v>122</v>
      </c>
      <c r="H685" t="n">
        <v>2.35e-44</v>
      </c>
      <c r="I685" t="inlineStr">
        <is>
          <t>Nr</t>
        </is>
      </c>
      <c r="J685" t="inlineStr"/>
      <c r="K685" t="inlineStr"/>
      <c r="L685" t="inlineStr">
        <is>
          <t>XP_018123113.1 NADH dehydrogenase [ubiquinone] iron-sulfur protein 6, mitochondrial isoform X1 [Xenopus laevis]</t>
        </is>
      </c>
      <c r="M685" t="n">
        <v>136</v>
      </c>
      <c r="N685" t="inlineStr">
        <is>
          <t>Xenopus laevis</t>
        </is>
      </c>
      <c r="O685" t="inlineStr">
        <is>
          <t>NADH dehydrogenase</t>
        </is>
      </c>
    </row>
    <row r="686">
      <c r="A686" t="inlineStr"/>
      <c r="B686" t="inlineStr"/>
      <c r="C686" t="inlineStr"/>
      <c r="D686" t="inlineStr"/>
      <c r="E686">
        <f>HYPERLINK("https://www.uniprot.org/uniprotkb/A0A8C5PTV5/entry", "A0A8C5PTV5")</f>
        <v/>
      </c>
      <c r="F686" t="n">
        <v>65.59999999999999</v>
      </c>
      <c r="G686" t="n">
        <v>122</v>
      </c>
      <c r="H686" t="n">
        <v>3.24e-44</v>
      </c>
      <c r="I686" t="inlineStr">
        <is>
          <t>TrEMBL</t>
        </is>
      </c>
      <c r="J686" t="inlineStr">
        <is>
          <t>NDUFS6</t>
        </is>
      </c>
      <c r="K686" t="inlineStr">
        <is>
          <t>A0A8C5PTV5_9ANUR</t>
        </is>
      </c>
      <c r="L686" t="inlineStr">
        <is>
          <t>tr|A0A8C5PTV5|A0A8C5PTV5_9ANUR NADH dehydrogenase [ubiquinone] iron-sulfur protein 6, mitochondrial OS=Leptobrachium leishanense OX=445787 GN=NDUFS6 PE=3 SV=1</t>
        </is>
      </c>
      <c r="M686" t="n">
        <v>143</v>
      </c>
      <c r="N686" t="inlineStr">
        <is>
          <t>Leptobrachium leishanense</t>
        </is>
      </c>
      <c r="O686" t="inlineStr">
        <is>
          <t>NADH dehydrogenase [ubiquinone] iron-sulfur protein 6, mitochondrial</t>
        </is>
      </c>
    </row>
    <row r="687">
      <c r="A687" t="inlineStr"/>
      <c r="B687" t="inlineStr"/>
      <c r="C687" t="inlineStr"/>
      <c r="D687" t="inlineStr"/>
      <c r="E687">
        <f>HYPERLINK("https://www.ncbi.nlm.nih.gov/gene/?term=XP_002941817.3", "XP_002941817.3")</f>
        <v/>
      </c>
      <c r="F687" t="n">
        <v>65.59999999999999</v>
      </c>
      <c r="G687" t="n">
        <v>122</v>
      </c>
      <c r="H687" t="n">
        <v>4.05e-44</v>
      </c>
      <c r="I687" t="inlineStr">
        <is>
          <t>Nr</t>
        </is>
      </c>
      <c r="J687" t="inlineStr"/>
      <c r="K687" t="inlineStr"/>
      <c r="L687" t="inlineStr">
        <is>
          <t>XP_002941817.3 NADH dehydrogenase [ubiquinone] iron-sulfur protein 6, mitochondrial [Xenopus tropicalis]</t>
        </is>
      </c>
      <c r="M687" t="n">
        <v>165</v>
      </c>
      <c r="N687" t="inlineStr">
        <is>
          <t>Xenopus tropicalis</t>
        </is>
      </c>
      <c r="O687" t="inlineStr">
        <is>
          <t>NADH dehydrogenase</t>
        </is>
      </c>
    </row>
    <row r="688">
      <c r="A688" t="inlineStr"/>
      <c r="B688" t="inlineStr"/>
      <c r="C688" t="inlineStr"/>
      <c r="D688" t="inlineStr"/>
      <c r="E688">
        <f>HYPERLINK("https://www.ncbi.nlm.nih.gov/gene/?term=XP_053323812.1", "XP_053323812.1")</f>
        <v/>
      </c>
      <c r="F688" t="n">
        <v>66.90000000000001</v>
      </c>
      <c r="G688" t="n">
        <v>121</v>
      </c>
      <c r="H688" t="n">
        <v>8.92e-44</v>
      </c>
      <c r="I688" t="inlineStr">
        <is>
          <t>Nr</t>
        </is>
      </c>
      <c r="J688" t="inlineStr"/>
      <c r="K688" t="inlineStr"/>
      <c r="L688" t="inlineStr">
        <is>
          <t>XP_053323812.1 NADH dehydrogenase [ubiquinone] iron-sulfur protein 6, mitochondrial [Spea bombifrons]</t>
        </is>
      </c>
      <c r="M688" t="n">
        <v>168</v>
      </c>
      <c r="N688" t="inlineStr">
        <is>
          <t>Spea bombifrons</t>
        </is>
      </c>
      <c r="O688" t="inlineStr">
        <is>
          <t>NADH dehydrogenase</t>
        </is>
      </c>
    </row>
    <row r="689">
      <c r="A689" t="inlineStr"/>
      <c r="B689" t="inlineStr"/>
      <c r="C689" t="inlineStr"/>
      <c r="D689" t="inlineStr"/>
      <c r="E689">
        <f>HYPERLINK("https://www.uniprot.org/uniprotkb/Q6GPQ9/entry", "Q6GPQ9")</f>
        <v/>
      </c>
      <c r="F689" t="n">
        <v>63.6</v>
      </c>
      <c r="G689" t="n">
        <v>121</v>
      </c>
      <c r="H689" t="n">
        <v>9.059999999999999e-42</v>
      </c>
      <c r="I689" t="inlineStr">
        <is>
          <t>TrEMBL</t>
        </is>
      </c>
      <c r="J689" t="inlineStr">
        <is>
          <t>ndufs6.S</t>
        </is>
      </c>
      <c r="K689" t="inlineStr">
        <is>
          <t>Q6GPQ9_XENLA</t>
        </is>
      </c>
      <c r="L689" t="inlineStr">
        <is>
          <t>tr|Q6GPQ9|Q6GPQ9_XENLA MGC82679 protein OS=Xenopus laevis OX=8355 GN=ndufs6.S PE=2 SV=1</t>
        </is>
      </c>
      <c r="M689" t="n">
        <v>133</v>
      </c>
      <c r="N689" t="inlineStr">
        <is>
          <t>Xenopus laevis</t>
        </is>
      </c>
      <c r="O689" t="inlineStr">
        <is>
          <t>MGC82679 protein</t>
        </is>
      </c>
    </row>
    <row r="690">
      <c r="A690" t="inlineStr"/>
      <c r="B690" t="inlineStr"/>
      <c r="C690" t="inlineStr"/>
      <c r="D690" t="inlineStr"/>
      <c r="E690">
        <f>HYPERLINK("https://www.ncbi.nlm.nih.gov/gene/?term=NP_001085631.1", "NP_001085631.1")</f>
        <v/>
      </c>
      <c r="F690" t="n">
        <v>63.6</v>
      </c>
      <c r="G690" t="n">
        <v>121</v>
      </c>
      <c r="H690" t="n">
        <v>2.33e-41</v>
      </c>
      <c r="I690" t="inlineStr">
        <is>
          <t>Nr</t>
        </is>
      </c>
      <c r="J690" t="inlineStr"/>
      <c r="K690" t="inlineStr"/>
      <c r="L690" t="inlineStr">
        <is>
          <t>NP_001085631.1 NADH:ubiquinone oxidoreductase subunit S6 S homeolog [Xenopus laevis]</t>
        </is>
      </c>
      <c r="M690" t="n">
        <v>133</v>
      </c>
      <c r="N690" t="inlineStr">
        <is>
          <t>Xenopus laevis</t>
        </is>
      </c>
      <c r="O690" t="inlineStr">
        <is>
          <t>NADH:ubiquinone oxidoreductase subunit S6 S homeolog</t>
        </is>
      </c>
    </row>
    <row r="691">
      <c r="A691" t="inlineStr"/>
      <c r="B691" t="inlineStr"/>
      <c r="C691" t="inlineStr"/>
      <c r="D691" t="inlineStr"/>
      <c r="E691">
        <f>HYPERLINK("https://www.ncbi.nlm.nih.gov/gene/?term=KAG8550114.1", "KAG8550114.1")</f>
        <v/>
      </c>
      <c r="F691" t="n">
        <v>64.5</v>
      </c>
      <c r="G691" t="n">
        <v>121</v>
      </c>
      <c r="H691" t="n">
        <v>2.24e-40</v>
      </c>
      <c r="I691" t="inlineStr">
        <is>
          <t>Nr</t>
        </is>
      </c>
      <c r="J691" t="inlineStr"/>
      <c r="K691" t="inlineStr"/>
      <c r="L691" t="inlineStr">
        <is>
          <t>KAG8550114.1 hypothetical protein GDO81_028670 [Engystomops pustulosus]</t>
        </is>
      </c>
      <c r="M691" t="n">
        <v>127</v>
      </c>
      <c r="N691" t="inlineStr">
        <is>
          <t>Engystomops pustulosus</t>
        </is>
      </c>
      <c r="O691" t="inlineStr">
        <is>
          <t>hypothetical protein GDO81_028670</t>
        </is>
      </c>
    </row>
    <row r="692">
      <c r="A692" t="inlineStr"/>
      <c r="B692" t="inlineStr"/>
      <c r="C692" t="inlineStr"/>
      <c r="D692" t="inlineStr"/>
      <c r="E692">
        <f>HYPERLINK("https://www.ncbi.nlm.nih.gov/gene/?term=KAG8550113.1", "KAG8550113.1")</f>
        <v/>
      </c>
      <c r="F692" t="n">
        <v>64.5</v>
      </c>
      <c r="G692" t="n">
        <v>121</v>
      </c>
      <c r="H692" t="n">
        <v>2.94e-40</v>
      </c>
      <c r="I692" t="inlineStr">
        <is>
          <t>Nr</t>
        </is>
      </c>
      <c r="J692" t="inlineStr"/>
      <c r="K692" t="inlineStr"/>
      <c r="L692" t="inlineStr">
        <is>
          <t>KAG8550113.1 hypothetical protein GDO81_028670 [Engystomops pustulosus]</t>
        </is>
      </c>
      <c r="M692" t="n">
        <v>136</v>
      </c>
      <c r="N692" t="inlineStr">
        <is>
          <t>Engystomops pustulosus</t>
        </is>
      </c>
      <c r="O692" t="inlineStr">
        <is>
          <t>hypothetical protein GDO81_028670</t>
        </is>
      </c>
    </row>
    <row r="693">
      <c r="A693" t="inlineStr"/>
      <c r="B693" t="inlineStr"/>
      <c r="C693" t="inlineStr"/>
      <c r="D693" t="inlineStr"/>
      <c r="E693">
        <f>HYPERLINK("https://www.ncbi.nlm.nih.gov/gene/?term=XP_018426774.1", "XP_018426774.1")</f>
        <v/>
      </c>
      <c r="F693" t="n">
        <v>61.2</v>
      </c>
      <c r="G693" t="n">
        <v>129</v>
      </c>
      <c r="H693" t="n">
        <v>2.96e-39</v>
      </c>
      <c r="I693" t="inlineStr">
        <is>
          <t>Nr</t>
        </is>
      </c>
      <c r="J693" t="inlineStr"/>
      <c r="K693" t="inlineStr"/>
      <c r="L693" t="inlineStr">
        <is>
          <t>XP_018426774.1 PREDICTED: NADH dehydrogenase [ubiquinone] iron-sulfur protein 6, mitochondrial [Nanorana parkeri]</t>
        </is>
      </c>
      <c r="M693" t="n">
        <v>143</v>
      </c>
      <c r="N693" t="inlineStr">
        <is>
          <t>Nanorana parkeri</t>
        </is>
      </c>
      <c r="O693" t="inlineStr">
        <is>
          <t>PREDICTED: NADH dehydrogenase</t>
        </is>
      </c>
    </row>
    <row r="694">
      <c r="A694" t="inlineStr"/>
      <c r="B694" t="inlineStr"/>
      <c r="C694" t="inlineStr"/>
      <c r="D694" t="inlineStr"/>
      <c r="E694">
        <f>HYPERLINK("https://www.ncbi.nlm.nih.gov/gene/?term=XP_040209404.1", "XP_040209404.1")</f>
        <v/>
      </c>
      <c r="F694" t="n">
        <v>61.9</v>
      </c>
      <c r="G694" t="n">
        <v>126</v>
      </c>
      <c r="H694" t="n">
        <v>7.95e-39</v>
      </c>
      <c r="I694" t="inlineStr">
        <is>
          <t>Nr</t>
        </is>
      </c>
      <c r="J694" t="inlineStr"/>
      <c r="K694" t="inlineStr"/>
      <c r="L694" t="inlineStr">
        <is>
          <t>XP_040209404.1 NADH dehydrogenase [ubiquinone] iron-sulfur protein 6, mitochondrial [Rana temporaria]</t>
        </is>
      </c>
      <c r="M694" t="n">
        <v>141</v>
      </c>
      <c r="N694" t="inlineStr">
        <is>
          <t>Rana temporaria</t>
        </is>
      </c>
      <c r="O694" t="inlineStr">
        <is>
          <t>NADH dehydrogenase</t>
        </is>
      </c>
    </row>
    <row r="695">
      <c r="A695" t="inlineStr"/>
      <c r="B695" t="inlineStr"/>
      <c r="C695" t="inlineStr"/>
      <c r="D695" t="inlineStr"/>
      <c r="E695">
        <f>HYPERLINK("https://www.uniprot.org/uniprotkb/A9JSN0/entry", "A9JSN0")</f>
        <v/>
      </c>
      <c r="F695" t="n">
        <v>75</v>
      </c>
      <c r="G695" t="n">
        <v>88</v>
      </c>
      <c r="H695" t="n">
        <v>1.33e-38</v>
      </c>
      <c r="I695" t="inlineStr">
        <is>
          <t>TrEMBL</t>
        </is>
      </c>
      <c r="J695" t="inlineStr">
        <is>
          <t>LOC100127764</t>
        </is>
      </c>
      <c r="K695" t="inlineStr">
        <is>
          <t>A9JSN0_XENTR</t>
        </is>
      </c>
      <c r="L695" t="inlineStr">
        <is>
          <t>tr|A9JSN0|A9JSN0_XENTR NADH dehydrogenase [ubiquinone] iron-sulfur protein 6, mitochondrial (Fragment) OS=Xenopus tropicalis OX=8364 GN=LOC100127764 PE=2 SV=1</t>
        </is>
      </c>
      <c r="M695" t="n">
        <v>120</v>
      </c>
      <c r="N695" t="inlineStr">
        <is>
          <t>Xenopus tropicalis</t>
        </is>
      </c>
      <c r="O695" t="inlineStr">
        <is>
          <t>NADH dehydrogenase [ubiquinone] iron-sulfur protein 6, mitochondrial (Fragment)</t>
        </is>
      </c>
    </row>
    <row r="696">
      <c r="A696" t="inlineStr"/>
      <c r="B696" t="inlineStr"/>
      <c r="C696" t="inlineStr"/>
      <c r="D696" t="inlineStr"/>
      <c r="E696">
        <f>HYPERLINK("https://www.ncbi.nlm.nih.gov/gene/?term=XP_040289005.1", "XP_040289005.1")</f>
        <v/>
      </c>
      <c r="F696" t="n">
        <v>64.5</v>
      </c>
      <c r="G696" t="n">
        <v>121</v>
      </c>
      <c r="H696" t="n">
        <v>2.6e-38</v>
      </c>
      <c r="I696" t="inlineStr">
        <is>
          <t>Nr</t>
        </is>
      </c>
      <c r="J696" t="inlineStr"/>
      <c r="K696" t="inlineStr"/>
      <c r="L696" t="inlineStr">
        <is>
          <t>XP_040289005.1 NADH dehydrogenase [ubiquinone] iron-sulfur protein 6, mitochondrial [Bufo bufo]</t>
        </is>
      </c>
      <c r="M696" t="n">
        <v>134</v>
      </c>
      <c r="N696" t="inlineStr">
        <is>
          <t>Bufo bufo</t>
        </is>
      </c>
      <c r="O696" t="inlineStr">
        <is>
          <t>NADH dehydrogenase</t>
        </is>
      </c>
    </row>
    <row r="697">
      <c r="A697" t="inlineStr"/>
      <c r="B697" t="inlineStr"/>
      <c r="C697" t="inlineStr"/>
      <c r="D697" t="inlineStr"/>
      <c r="E697">
        <f>HYPERLINK("https://www.ncbi.nlm.nih.gov/gene/?term=AAI55003.1", "AAI55003.1")</f>
        <v/>
      </c>
      <c r="F697" t="n">
        <v>75</v>
      </c>
      <c r="G697" t="n">
        <v>88</v>
      </c>
      <c r="H697" t="n">
        <v>3.41e-38</v>
      </c>
      <c r="I697" t="inlineStr">
        <is>
          <t>Nr</t>
        </is>
      </c>
      <c r="J697" t="inlineStr"/>
      <c r="K697" t="inlineStr"/>
      <c r="L697" t="inlineStr">
        <is>
          <t>AAI55003.1 LOC100127764 protein, partial [Xenopus tropicalis]</t>
        </is>
      </c>
      <c r="M697" t="n">
        <v>120</v>
      </c>
      <c r="N697" t="inlineStr">
        <is>
          <t>Xenopus tropicalis</t>
        </is>
      </c>
      <c r="O697" t="inlineStr">
        <is>
          <t>LOC100127764 protein, partial</t>
        </is>
      </c>
    </row>
    <row r="698">
      <c r="A698" t="inlineStr"/>
      <c r="B698" t="inlineStr"/>
      <c r="C698" t="inlineStr"/>
      <c r="D698" t="inlineStr"/>
      <c r="E698">
        <f>HYPERLINK("https://www.ncbi.nlm.nih.gov/gene/?term=XP_044144317.1", "XP_044144317.1")</f>
        <v/>
      </c>
      <c r="F698" t="n">
        <v>64.5</v>
      </c>
      <c r="G698" t="n">
        <v>121</v>
      </c>
      <c r="H698" t="n">
        <v>3.68e-38</v>
      </c>
      <c r="I698" t="inlineStr">
        <is>
          <t>Nr</t>
        </is>
      </c>
      <c r="J698" t="inlineStr"/>
      <c r="K698" t="inlineStr"/>
      <c r="L698" t="inlineStr">
        <is>
          <t>XP_044144317.1 NADH dehydrogenase [ubiquinone] iron-sulfur protein 6, mitochondrial [Bufo gargarizans]</t>
        </is>
      </c>
      <c r="M698" t="n">
        <v>134</v>
      </c>
      <c r="N698" t="inlineStr">
        <is>
          <t>Bufo gargarizans</t>
        </is>
      </c>
      <c r="O698" t="inlineStr">
        <is>
          <t>NADH dehydrogenase</t>
        </is>
      </c>
    </row>
    <row r="699">
      <c r="A699" t="inlineStr"/>
      <c r="B699" t="inlineStr"/>
      <c r="C699" t="inlineStr"/>
      <c r="D699" t="inlineStr"/>
      <c r="E699">
        <f>HYPERLINK("https://www.uniprot.org/uniprotkb/Q0MQH6/entry", "Q0MQH6")</f>
        <v/>
      </c>
      <c r="F699" t="n">
        <v>74.40000000000001</v>
      </c>
      <c r="G699" t="n">
        <v>78</v>
      </c>
      <c r="H699" t="n">
        <v>4.12e-38</v>
      </c>
      <c r="I699" t="inlineStr">
        <is>
          <t>Swiss-Prot</t>
        </is>
      </c>
      <c r="J699" t="inlineStr">
        <is>
          <t>NDUFS6</t>
        </is>
      </c>
      <c r="K699" t="inlineStr">
        <is>
          <t>NDUS6_GORGO</t>
        </is>
      </c>
      <c r="L699" t="inlineStr">
        <is>
          <t>sp|Q0MQH6|NDUS6_GORGO NADH dehydrogenase [ubiquinone] iron-sulfur protein 6, mitochondrial OS=Gorilla gorilla gorilla OX=9595 GN=NDUFS6 PE=2 SV=1</t>
        </is>
      </c>
      <c r="M699" t="n">
        <v>124</v>
      </c>
      <c r="N699" t="inlineStr">
        <is>
          <t>Gorilla gorilla gorilla</t>
        </is>
      </c>
      <c r="O699" t="inlineStr">
        <is>
          <t>NADH dehydrogenase [ubiquinone] iron-sulfur protein 6, mitochondrial</t>
        </is>
      </c>
    </row>
    <row r="700">
      <c r="A700" t="inlineStr"/>
      <c r="B700" t="inlineStr"/>
      <c r="C700" t="inlineStr"/>
      <c r="D700" t="inlineStr"/>
      <c r="E700">
        <f>HYPERLINK("https://www.uniprot.org/uniprotkb/O75380/entry", "O75380")</f>
        <v/>
      </c>
      <c r="F700" t="n">
        <v>74.40000000000001</v>
      </c>
      <c r="G700" t="n">
        <v>78</v>
      </c>
      <c r="H700" t="n">
        <v>4.12e-38</v>
      </c>
      <c r="I700" t="inlineStr">
        <is>
          <t>Swiss-Prot</t>
        </is>
      </c>
      <c r="J700" t="inlineStr">
        <is>
          <t>NDUFS6</t>
        </is>
      </c>
      <c r="K700" t="inlineStr">
        <is>
          <t>NDUS6_HUMAN</t>
        </is>
      </c>
      <c r="L700" t="inlineStr">
        <is>
          <t>sp|O75380|NDUS6_HUMAN NADH dehydrogenase [ubiquinone] iron-sulfur protein 6, mitochondrial OS=Homo sapiens OX=9606 GN=NDUFS6 PE=1 SV=1</t>
        </is>
      </c>
      <c r="M700" t="n">
        <v>124</v>
      </c>
      <c r="N700" t="inlineStr">
        <is>
          <t>Homo sapiens</t>
        </is>
      </c>
      <c r="O700" t="inlineStr">
        <is>
          <t>NADH dehydrogenase [ubiquinone] iron-sulfur protein 6, mitochondrial</t>
        </is>
      </c>
    </row>
    <row r="701">
      <c r="A701" t="inlineStr"/>
      <c r="B701" t="inlineStr"/>
      <c r="C701" t="inlineStr"/>
      <c r="D701" t="inlineStr"/>
      <c r="E701">
        <f>HYPERLINK("https://www.uniprot.org/uniprotkb/Q0MQH7/entry", "Q0MQH7")</f>
        <v/>
      </c>
      <c r="F701" t="n">
        <v>74.40000000000001</v>
      </c>
      <c r="G701" t="n">
        <v>78</v>
      </c>
      <c r="H701" t="n">
        <v>4.12e-38</v>
      </c>
      <c r="I701" t="inlineStr">
        <is>
          <t>Swiss-Prot</t>
        </is>
      </c>
      <c r="J701" t="inlineStr">
        <is>
          <t>NDUFS6</t>
        </is>
      </c>
      <c r="K701" t="inlineStr">
        <is>
          <t>NDUS6_PANTR</t>
        </is>
      </c>
      <c r="L701" t="inlineStr">
        <is>
          <t>sp|Q0MQH7|NDUS6_PANTR NADH dehydrogenase [ubiquinone] iron-sulfur protein 6, mitochondrial OS=Pan troglodytes OX=9598 GN=NDUFS6 PE=2 SV=1</t>
        </is>
      </c>
      <c r="M701" t="n">
        <v>124</v>
      </c>
      <c r="N701" t="inlineStr">
        <is>
          <t>Pan troglodytes</t>
        </is>
      </c>
      <c r="O701" t="inlineStr">
        <is>
          <t>NADH dehydrogenase [ubiquinone] iron-sulfur protein 6, mitochondrial</t>
        </is>
      </c>
    </row>
    <row r="702">
      <c r="A702" t="inlineStr"/>
      <c r="B702" t="inlineStr"/>
      <c r="C702" t="inlineStr"/>
      <c r="D702" t="inlineStr"/>
      <c r="E702">
        <f>HYPERLINK("https://www.uniprot.org/uniprotkb/Q0MQH5/entry", "Q0MQH5")</f>
        <v/>
      </c>
      <c r="F702" t="n">
        <v>74.40000000000001</v>
      </c>
      <c r="G702" t="n">
        <v>78</v>
      </c>
      <c r="H702" t="n">
        <v>4.12e-38</v>
      </c>
      <c r="I702" t="inlineStr">
        <is>
          <t>Swiss-Prot</t>
        </is>
      </c>
      <c r="J702" t="inlineStr">
        <is>
          <t>NDUFS6</t>
        </is>
      </c>
      <c r="K702" t="inlineStr">
        <is>
          <t>NDUS6_PONPY</t>
        </is>
      </c>
      <c r="L702" t="inlineStr">
        <is>
          <t>sp|Q0MQH5|NDUS6_PONPY NADH dehydrogenase [ubiquinone] iron-sulfur protein 6, mitochondrial OS=Pongo pygmaeus OX=9600 GN=NDUFS6 PE=2 SV=1</t>
        </is>
      </c>
      <c r="M702" t="n">
        <v>124</v>
      </c>
      <c r="N702" t="inlineStr">
        <is>
          <t>Pongo pygmaeus</t>
        </is>
      </c>
      <c r="O702" t="inlineStr">
        <is>
          <t>NADH dehydrogenase [ubiquinone] iron-sulfur protein 6, mitochondrial</t>
        </is>
      </c>
    </row>
    <row r="703">
      <c r="A703" t="inlineStr"/>
      <c r="B703" t="inlineStr"/>
      <c r="C703" t="inlineStr"/>
      <c r="D703" t="inlineStr"/>
      <c r="E703">
        <f>HYPERLINK("https://www.uniprot.org/uniprotkb/A0A8K1GVN8/entry", "A0A8K1GVN8")</f>
        <v/>
      </c>
      <c r="F703" t="n">
        <v>62.4</v>
      </c>
      <c r="G703" t="n">
        <v>109</v>
      </c>
      <c r="H703" t="n">
        <v>9.709999999999999e-38</v>
      </c>
      <c r="I703" t="inlineStr">
        <is>
          <t>TrEMBL</t>
        </is>
      </c>
      <c r="J703" t="inlineStr">
        <is>
          <t>HGM15179_001473</t>
        </is>
      </c>
      <c r="K703" t="inlineStr">
        <is>
          <t>A0A8K1GVN8_9PASS</t>
        </is>
      </c>
      <c r="L703" t="inlineStr">
        <is>
          <t>tr|A0A8K1GVN8|A0A8K1GVN8_9PASS NADH dehydrogenase [ubiquinone] iron-sulfur protein 6, mitochondrial OS=Zosterops borbonicus OX=364589 GN=HGM15179_001473 PE=3 SV=1</t>
        </is>
      </c>
      <c r="M703" t="n">
        <v>128</v>
      </c>
      <c r="N703" t="inlineStr">
        <is>
          <t>Zosterops borbonicus</t>
        </is>
      </c>
      <c r="O703" t="inlineStr">
        <is>
          <t>NADH dehydrogenase [ubiquinone] iron-sulfur protein 6, mitochondrial</t>
        </is>
      </c>
    </row>
    <row r="704">
      <c r="A704" t="inlineStr"/>
      <c r="B704" t="inlineStr"/>
      <c r="C704" t="inlineStr"/>
      <c r="D704" t="inlineStr"/>
      <c r="E704">
        <f>HYPERLINK("https://www.uniprot.org/uniprotkb/P23934/entry", "P23934")</f>
        <v/>
      </c>
      <c r="F704" t="n">
        <v>76.90000000000001</v>
      </c>
      <c r="G704" t="n">
        <v>78</v>
      </c>
      <c r="H704" t="n">
        <v>1.66e-37</v>
      </c>
      <c r="I704" t="inlineStr">
        <is>
          <t>Swiss-Prot</t>
        </is>
      </c>
      <c r="J704" t="inlineStr">
        <is>
          <t>NDUFS6</t>
        </is>
      </c>
      <c r="K704" t="inlineStr">
        <is>
          <t>NDUS6_BOVIN</t>
        </is>
      </c>
      <c r="L704" t="inlineStr">
        <is>
          <t>sp|P23934|NDUS6_BOVIN NADH dehydrogenase [ubiquinone] iron-sulfur protein 6, mitochondrial OS=Bos taurus OX=9913 GN=NDUFS6 PE=1 SV=2</t>
        </is>
      </c>
      <c r="M704" t="n">
        <v>124</v>
      </c>
      <c r="N704" t="inlineStr">
        <is>
          <t>Bos taurus</t>
        </is>
      </c>
      <c r="O704" t="inlineStr">
        <is>
          <t>NADH dehydrogenase [ubiquinone] iron-sulfur protein 6, mitochondrial</t>
        </is>
      </c>
    </row>
    <row r="705">
      <c r="A705" t="inlineStr"/>
      <c r="B705" t="inlineStr"/>
      <c r="C705" t="inlineStr"/>
      <c r="D705" t="inlineStr"/>
      <c r="E705">
        <f>HYPERLINK("https://www.ncbi.nlm.nih.gov/gene/?term=OCT76143.1", "OCT76143.1")</f>
        <v/>
      </c>
      <c r="F705" t="n">
        <v>66.7</v>
      </c>
      <c r="G705" t="n">
        <v>105</v>
      </c>
      <c r="H705" t="n">
        <v>2.27e-37</v>
      </c>
      <c r="I705" t="inlineStr">
        <is>
          <t>Nr</t>
        </is>
      </c>
      <c r="J705" t="inlineStr"/>
      <c r="K705" t="inlineStr"/>
      <c r="L705" t="inlineStr">
        <is>
          <t>OCT76143.1 hypothetical protein XELAEV_18031331mg [Xenopus laevis]</t>
        </is>
      </c>
      <c r="M705" t="n">
        <v>106</v>
      </c>
      <c r="N705" t="inlineStr">
        <is>
          <t>Xenopus laevis</t>
        </is>
      </c>
      <c r="O705" t="inlineStr">
        <is>
          <t>hypothetical protein XELAEV_18031331mg</t>
        </is>
      </c>
    </row>
    <row r="706">
      <c r="A706" t="inlineStr"/>
      <c r="B706" t="inlineStr"/>
      <c r="C706" t="inlineStr"/>
      <c r="D706" t="inlineStr"/>
      <c r="E706">
        <f>HYPERLINK("https://www.ncbi.nlm.nih.gov/gene/?term=XP_035406520.1", "XP_035406520.1")</f>
        <v/>
      </c>
      <c r="F706" t="n">
        <v>75.3</v>
      </c>
      <c r="G706" t="n">
        <v>81</v>
      </c>
      <c r="H706" t="n">
        <v>2.35e-37</v>
      </c>
      <c r="I706" t="inlineStr">
        <is>
          <t>Nr</t>
        </is>
      </c>
      <c r="J706" t="inlineStr"/>
      <c r="K706" t="inlineStr"/>
      <c r="L706" t="inlineStr">
        <is>
          <t>XP_035406520.1 NADH dehydrogenase [ubiquinone] iron-sulfur protein 6, mitochondrial [Cygnus atratus]</t>
        </is>
      </c>
      <c r="M706" t="n">
        <v>126</v>
      </c>
      <c r="N706" t="inlineStr">
        <is>
          <t>Cygnus atratus</t>
        </is>
      </c>
      <c r="O706" t="inlineStr">
        <is>
          <t>NADH dehydrogenase</t>
        </is>
      </c>
    </row>
    <row r="707">
      <c r="A707" t="inlineStr"/>
      <c r="B707" t="inlineStr"/>
      <c r="C707" t="inlineStr"/>
      <c r="D707" t="inlineStr"/>
      <c r="E707">
        <f>HYPERLINK("https://www.ncbi.nlm.nih.gov/gene/?term=TRZ25662.1", "TRZ25662.1")</f>
        <v/>
      </c>
      <c r="F707" t="n">
        <v>62.4</v>
      </c>
      <c r="G707" t="n">
        <v>109</v>
      </c>
      <c r="H707" t="n">
        <v>2.5e-37</v>
      </c>
      <c r="I707" t="inlineStr">
        <is>
          <t>Nr</t>
        </is>
      </c>
      <c r="J707" t="inlineStr"/>
      <c r="K707" t="inlineStr"/>
      <c r="L707" t="inlineStr">
        <is>
          <t>TRZ25662.1 hypothetical protein HGM15179_001473 [Zosterops borbonicus]</t>
        </is>
      </c>
      <c r="M707" t="n">
        <v>128</v>
      </c>
      <c r="N707" t="inlineStr">
        <is>
          <t>Zosterops borbonicus</t>
        </is>
      </c>
      <c r="O707" t="inlineStr">
        <is>
          <t>hypothetical protein HGM15179_001473</t>
        </is>
      </c>
    </row>
    <row r="708">
      <c r="A708" t="inlineStr"/>
      <c r="B708" t="inlineStr"/>
      <c r="C708" t="inlineStr"/>
      <c r="D708" t="inlineStr"/>
      <c r="E708">
        <f>HYPERLINK("https://www.uniprot.org/uniprotkb/P52503/entry", "P52503")</f>
        <v/>
      </c>
      <c r="F708" t="n">
        <v>74.40000000000001</v>
      </c>
      <c r="G708" t="n">
        <v>78</v>
      </c>
      <c r="H708" t="n">
        <v>2.63e-37</v>
      </c>
      <c r="I708" t="inlineStr">
        <is>
          <t>Swiss-Prot</t>
        </is>
      </c>
      <c r="J708" t="inlineStr">
        <is>
          <t>Ndufs6</t>
        </is>
      </c>
      <c r="K708" t="inlineStr">
        <is>
          <t>NDUS6_MOUSE</t>
        </is>
      </c>
      <c r="L708" t="inlineStr">
        <is>
          <t>sp|P52503|NDUS6_MOUSE NADH dehydrogenase [ubiquinone] iron-sulfur protein 6, mitochondrial OS=Mus musculus OX=10090 GN=Ndufs6 PE=1 SV=2</t>
        </is>
      </c>
      <c r="M708" t="n">
        <v>116</v>
      </c>
      <c r="N708" t="inlineStr">
        <is>
          <t>Mus musculus</t>
        </is>
      </c>
      <c r="O708" t="inlineStr">
        <is>
          <t>NADH dehydrogenase [ubiquinone] iron-sulfur protein 6, mitochondrial</t>
        </is>
      </c>
    </row>
    <row r="709">
      <c r="A709" t="inlineStr"/>
      <c r="B709" t="inlineStr"/>
      <c r="C709" t="inlineStr"/>
      <c r="D709" t="inlineStr"/>
      <c r="E709">
        <f>HYPERLINK("https://www.ncbi.nlm.nih.gov/gene/?term=XP_036993297.1", "XP_036993297.1")</f>
        <v/>
      </c>
      <c r="F709" t="n">
        <v>80.8</v>
      </c>
      <c r="G709" t="n">
        <v>78</v>
      </c>
      <c r="H709" t="n">
        <v>3.13e-37</v>
      </c>
      <c r="I709" t="inlineStr">
        <is>
          <t>Nr</t>
        </is>
      </c>
      <c r="J709" t="inlineStr"/>
      <c r="K709" t="inlineStr"/>
      <c r="L709" t="inlineStr">
        <is>
          <t>XP_036993297.1 NADH dehydrogenase [ubiquinone] iron-sulfur protein 6, mitochondrial [Artibeus jamaicensis]</t>
        </is>
      </c>
      <c r="M709" t="n">
        <v>124</v>
      </c>
      <c r="N709" t="inlineStr">
        <is>
          <t>Artibeus jamaicensis</t>
        </is>
      </c>
      <c r="O709" t="inlineStr">
        <is>
          <t>NADH dehydrogenase</t>
        </is>
      </c>
    </row>
    <row r="710">
      <c r="A710" t="inlineStr"/>
      <c r="B710" t="inlineStr"/>
      <c r="C710" t="inlineStr"/>
      <c r="D710" t="inlineStr"/>
      <c r="E710">
        <f>HYPERLINK("https://www.uniprot.org/uniprotkb/A0A8T2JGE8/entry", "A0A8T2JGE8")</f>
        <v/>
      </c>
      <c r="F710" t="n">
        <v>79.3</v>
      </c>
      <c r="G710" t="n">
        <v>82</v>
      </c>
      <c r="H710" t="n">
        <v>3.22e-37</v>
      </c>
      <c r="I710" t="inlineStr">
        <is>
          <t>TrEMBL</t>
        </is>
      </c>
      <c r="J710" t="inlineStr">
        <is>
          <t>GDO86_011385</t>
        </is>
      </c>
      <c r="K710" t="inlineStr">
        <is>
          <t>A0A8T2JGE8_9PIPI</t>
        </is>
      </c>
      <c r="L710" t="inlineStr">
        <is>
          <t>tr|A0A8T2JGE8|A0A8T2JGE8_9PIPI NADH dehydrogenase [ubiquinone] iron-sulfur protein 6, mitochondrial OS=Hymenochirus boettgeri OX=247094 GN=GDO86_011385 PE=3 SV=1</t>
        </is>
      </c>
      <c r="M710" t="n">
        <v>133</v>
      </c>
      <c r="N710" t="inlineStr">
        <is>
          <t>Hymenochirus boettgeri</t>
        </is>
      </c>
      <c r="O710" t="inlineStr">
        <is>
          <t>NADH dehydrogenase [ubiquinone] iron-sulfur protein 6, mitochondrial</t>
        </is>
      </c>
    </row>
    <row r="711">
      <c r="A711" t="inlineStr"/>
      <c r="B711" t="inlineStr"/>
      <c r="C711" t="inlineStr"/>
      <c r="D711" t="inlineStr"/>
      <c r="E711">
        <f>HYPERLINK("https://www.uniprot.org/uniprotkb/H0WIC7/entry", "H0WIC7")</f>
        <v/>
      </c>
      <c r="F711" t="n">
        <v>68.40000000000001</v>
      </c>
      <c r="G711" t="n">
        <v>98</v>
      </c>
      <c r="H711" t="n">
        <v>3.48e-37</v>
      </c>
      <c r="I711" t="inlineStr">
        <is>
          <t>TrEMBL</t>
        </is>
      </c>
      <c r="J711" t="inlineStr">
        <is>
          <t>NDUFS6</t>
        </is>
      </c>
      <c r="K711" t="inlineStr">
        <is>
          <t>H0WIC7_OTOGA</t>
        </is>
      </c>
      <c r="L711" t="inlineStr">
        <is>
          <t>tr|H0WIC7|H0WIC7_OTOGA NADH dehydrogenase [ubiquinone] iron-sulfur protein 6, mitochondrial OS=Otolemur garnettii OX=30611 GN=NDUFS6 PE=3 SV=1</t>
        </is>
      </c>
      <c r="M711" t="n">
        <v>124</v>
      </c>
      <c r="N711" t="inlineStr">
        <is>
          <t>Otolemur garnettii</t>
        </is>
      </c>
      <c r="O711" t="inlineStr">
        <is>
          <t>NADH dehydrogenase [ubiquinone] iron-sulfur protein 6, mitochondrial</t>
        </is>
      </c>
    </row>
    <row r="712">
      <c r="A712" t="inlineStr"/>
      <c r="B712" t="inlineStr"/>
      <c r="C712" t="inlineStr"/>
      <c r="D712" t="inlineStr"/>
      <c r="E712">
        <f>HYPERLINK("https://www.uniprot.org/uniprotkb/A0A8B9BSY1/entry", "A0A8B9BSY1")</f>
        <v/>
      </c>
      <c r="F712" t="n">
        <v>74.09999999999999</v>
      </c>
      <c r="G712" t="n">
        <v>81</v>
      </c>
      <c r="H712" t="n">
        <v>3.7e-37</v>
      </c>
      <c r="I712" t="inlineStr">
        <is>
          <t>TrEMBL</t>
        </is>
      </c>
      <c r="J712" t="inlineStr">
        <is>
          <t>NDUFS6</t>
        </is>
      </c>
      <c r="K712" t="inlineStr">
        <is>
          <t>A0A8B9BSY1_9AVES</t>
        </is>
      </c>
      <c r="L712" t="inlineStr">
        <is>
          <t>tr|A0A8B9BSY1|A0A8B9BSY1_9AVES NADH:ubiquinone oxidoreductase subunit S6 OS=Anser brachyrhynchus OX=132585 GN=NDUFS6 PE=4 SV=1</t>
        </is>
      </c>
      <c r="M712" t="n">
        <v>126</v>
      </c>
      <c r="N712" t="inlineStr">
        <is>
          <t>Anser brachyrhynchus</t>
        </is>
      </c>
      <c r="O712" t="inlineStr">
        <is>
          <t>NADH:ubiquinone oxidoreductase subunit S6</t>
        </is>
      </c>
    </row>
    <row r="713">
      <c r="A713" t="inlineStr"/>
      <c r="B713" t="inlineStr"/>
      <c r="C713" t="inlineStr"/>
      <c r="D713" t="inlineStr"/>
      <c r="E713">
        <f>HYPERLINK("https://www.ncbi.nlm.nih.gov/gene/?term=XP_005443843.1", "XP_005443843.1")</f>
        <v/>
      </c>
      <c r="F713" t="n">
        <v>73.3</v>
      </c>
      <c r="G713" t="n">
        <v>86</v>
      </c>
      <c r="H713" t="n">
        <v>5.35e-37</v>
      </c>
      <c r="I713" t="inlineStr">
        <is>
          <t>Nr</t>
        </is>
      </c>
      <c r="J713" t="inlineStr"/>
      <c r="K713" t="inlineStr"/>
      <c r="L713" t="inlineStr">
        <is>
          <t>XP_005443843.1 NADH dehydrogenase [ubiquinone] iron-sulfur protein 6, mitochondrial, partial [Falco cherrug]</t>
        </is>
      </c>
      <c r="M713" t="n">
        <v>107</v>
      </c>
      <c r="N713" t="inlineStr">
        <is>
          <t>Falco cherrug</t>
        </is>
      </c>
      <c r="O713" t="inlineStr">
        <is>
          <t>NADH dehydrogenase</t>
        </is>
      </c>
    </row>
    <row r="714">
      <c r="A714" t="inlineStr"/>
      <c r="B714" t="inlineStr"/>
      <c r="C714" t="inlineStr"/>
      <c r="D714" t="inlineStr"/>
      <c r="E714">
        <f>HYPERLINK("https://www.uniprot.org/uniprotkb/A0A7J8J0H3/entry", "A0A7J8J0H3")</f>
        <v/>
      </c>
      <c r="F714" t="n">
        <v>77.5</v>
      </c>
      <c r="G714" t="n">
        <v>80</v>
      </c>
      <c r="H714" t="n">
        <v>6.280000000000001e-37</v>
      </c>
      <c r="I714" t="inlineStr">
        <is>
          <t>TrEMBL</t>
        </is>
      </c>
      <c r="J714" t="inlineStr">
        <is>
          <t>HJG59_012942</t>
        </is>
      </c>
      <c r="K714" t="inlineStr">
        <is>
          <t>A0A7J8J0H3_MOLMO</t>
        </is>
      </c>
      <c r="L714" t="inlineStr">
        <is>
          <t>tr|A0A7J8J0H3|A0A7J8J0H3_MOLMO NADH dehydrogenase [ubiquinone] iron-sulfur protein 6, mitochondrial OS=Molossus molossus OX=27622 GN=HJG59_012942 PE=3 SV=1</t>
        </is>
      </c>
      <c r="M714" t="n">
        <v>132</v>
      </c>
      <c r="N714" t="inlineStr">
        <is>
          <t>Molossus molossus</t>
        </is>
      </c>
      <c r="O714" t="inlineStr">
        <is>
          <t>NADH dehydrogenase [ubiquinone] iron-sulfur protein 6, mitochondrial</t>
        </is>
      </c>
    </row>
    <row r="715">
      <c r="A715" t="inlineStr"/>
      <c r="B715" t="inlineStr"/>
      <c r="C715" t="inlineStr"/>
      <c r="D715" t="inlineStr"/>
      <c r="E715">
        <f>HYPERLINK("https://www.uniprot.org/uniprotkb/D7NYI7/entry", "D7NYI7")</f>
        <v/>
      </c>
      <c r="F715" t="n">
        <v>76.3</v>
      </c>
      <c r="G715" t="n">
        <v>80</v>
      </c>
      <c r="H715" t="n">
        <v>6.5e-37</v>
      </c>
      <c r="I715" t="inlineStr">
        <is>
          <t>TrEMBL</t>
        </is>
      </c>
      <c r="J715" t="inlineStr">
        <is>
          <t>NDUFS6</t>
        </is>
      </c>
      <c r="K715" t="inlineStr">
        <is>
          <t>D7NYI7_MINSC</t>
        </is>
      </c>
      <c r="L715" t="inlineStr">
        <is>
          <t>tr|D7NYI7|D7NYI7_MINSC NADH dehydrogenase [ubiquinone] iron-sulfur protein 6, mitochondrial (Fragment) OS=Miniopterus schreibersii OX=9433 GN=NDUFS6 PE=2 SV=1</t>
        </is>
      </c>
      <c r="M715" t="n">
        <v>110</v>
      </c>
      <c r="N715" t="inlineStr">
        <is>
          <t>Miniopterus schreibersii</t>
        </is>
      </c>
      <c r="O715" t="inlineStr">
        <is>
          <t>NADH dehydrogenase [ubiquinone] iron-sulfur protein 6, mitochondrial (Fragment)</t>
        </is>
      </c>
    </row>
    <row r="716">
      <c r="A716" t="inlineStr"/>
      <c r="B716" t="inlineStr"/>
      <c r="C716" t="inlineStr"/>
      <c r="D716" t="inlineStr"/>
      <c r="E716">
        <f>HYPERLINK("https://www.uniprot.org/uniprotkb/Q4R5X8/entry", "Q4R5X8")</f>
        <v/>
      </c>
      <c r="F716" t="n">
        <v>60</v>
      </c>
      <c r="G716" t="n">
        <v>100</v>
      </c>
      <c r="H716" t="n">
        <v>6.72e-37</v>
      </c>
      <c r="I716" t="inlineStr">
        <is>
          <t>Swiss-Prot</t>
        </is>
      </c>
      <c r="J716" t="inlineStr">
        <is>
          <t>NDUFS6</t>
        </is>
      </c>
      <c r="K716" t="inlineStr">
        <is>
          <t>NDUS6_MACFA</t>
        </is>
      </c>
      <c r="L716" t="inlineStr">
        <is>
          <t>sp|Q4R5X8|NDUS6_MACFA NADH dehydrogenase [ubiquinone] iron-sulfur protein 6, mitochondrial OS=Macaca fascicularis OX=9541 GN=NDUFS6 PE=2 SV=1</t>
        </is>
      </c>
      <c r="M716" t="n">
        <v>124</v>
      </c>
      <c r="N716" t="inlineStr">
        <is>
          <t>Macaca fascicularis</t>
        </is>
      </c>
      <c r="O716" t="inlineStr">
        <is>
          <t>NADH dehydrogenase [ubiquinone] iron-sulfur protein 6, mitochondrial</t>
        </is>
      </c>
    </row>
    <row r="717">
      <c r="A717" t="inlineStr"/>
      <c r="B717" t="inlineStr"/>
      <c r="C717" t="inlineStr"/>
      <c r="D717" t="inlineStr"/>
      <c r="E717">
        <f>HYPERLINK("https://www.uniprot.org/uniprotkb/H0ZDT7/entry", "H0ZDT7")</f>
        <v/>
      </c>
      <c r="F717" t="n">
        <v>70</v>
      </c>
      <c r="G717" t="n">
        <v>90</v>
      </c>
      <c r="H717" t="n">
        <v>7.890000000000001e-37</v>
      </c>
      <c r="I717" t="inlineStr">
        <is>
          <t>TrEMBL</t>
        </is>
      </c>
      <c r="J717" t="inlineStr">
        <is>
          <t>NDUFS6</t>
        </is>
      </c>
      <c r="K717" t="inlineStr">
        <is>
          <t>H0ZDT7_TAEGU</t>
        </is>
      </c>
      <c r="L717" t="inlineStr">
        <is>
          <t>tr|H0ZDT7|H0ZDT7_TAEGU zf-CHCC domain-containing protein OS=Taeniopygia guttata OX=59729 GN=NDUFS6 PE=4 SV=1</t>
        </is>
      </c>
      <c r="M717" t="n">
        <v>128</v>
      </c>
      <c r="N717" t="inlineStr">
        <is>
          <t>Taeniopygia guttata</t>
        </is>
      </c>
      <c r="O717" t="inlineStr">
        <is>
          <t>zf-CHCC domain-containing protein</t>
        </is>
      </c>
    </row>
    <row r="718">
      <c r="A718" t="inlineStr"/>
      <c r="B718" t="inlineStr"/>
      <c r="C718" t="inlineStr"/>
      <c r="D718" t="inlineStr"/>
      <c r="E718">
        <f>HYPERLINK("https://www.uniprot.org/uniprotkb/A0A8C4V051/entry", "A0A8C4V051")</f>
        <v/>
      </c>
      <c r="F718" t="n">
        <v>62.4</v>
      </c>
      <c r="G718" t="n">
        <v>109</v>
      </c>
      <c r="H718" t="n">
        <v>8.130000000000001e-37</v>
      </c>
      <c r="I718" t="inlineStr">
        <is>
          <t>TrEMBL</t>
        </is>
      </c>
      <c r="J718" t="inlineStr"/>
      <c r="K718" t="inlineStr">
        <is>
          <t>A0A8C4V051_FALTI</t>
        </is>
      </c>
      <c r="L718" t="inlineStr">
        <is>
          <t>tr|A0A8C4V051|A0A8C4V051_FALTI NADH dehydrogenase [ubiquinone] iron-sulfur protein 6, mitochondrial OS=Falco tinnunculus OX=100819 PE=3 SV=1</t>
        </is>
      </c>
      <c r="M718" t="n">
        <v>129</v>
      </c>
      <c r="N718" t="inlineStr">
        <is>
          <t>Falco tinnunculus</t>
        </is>
      </c>
      <c r="O718" t="inlineStr">
        <is>
          <t>NADH dehydrogenase [ubiquinone] iron-sulfur protein 6, mitochondrial</t>
        </is>
      </c>
    </row>
    <row r="719">
      <c r="A719" t="inlineStr"/>
      <c r="B719" t="inlineStr"/>
      <c r="C719" t="inlineStr"/>
      <c r="D719" t="inlineStr"/>
      <c r="E719">
        <f>HYPERLINK("https://www.ncbi.nlm.nih.gov/gene/?term=KAG8442574.1", "KAG8442574.1")</f>
        <v/>
      </c>
      <c r="F719" t="n">
        <v>79.3</v>
      </c>
      <c r="G719" t="n">
        <v>82</v>
      </c>
      <c r="H719" t="n">
        <v>8.27e-37</v>
      </c>
      <c r="I719" t="inlineStr">
        <is>
          <t>Nr</t>
        </is>
      </c>
      <c r="J719" t="inlineStr"/>
      <c r="K719" t="inlineStr"/>
      <c r="L719" t="inlineStr">
        <is>
          <t>KAG8442574.1 hypothetical protein GDO86_011385 [Hymenochirus boettgeri]</t>
        </is>
      </c>
      <c r="M719" t="n">
        <v>133</v>
      </c>
      <c r="N719" t="inlineStr">
        <is>
          <t>Hymenochirus boettgeri</t>
        </is>
      </c>
      <c r="O719" t="inlineStr">
        <is>
          <t>hypothetical protein GDO86_011385</t>
        </is>
      </c>
    </row>
    <row r="720">
      <c r="A720" t="inlineStr"/>
      <c r="B720" t="inlineStr"/>
      <c r="C720" t="inlineStr"/>
      <c r="D720" t="inlineStr"/>
      <c r="E720">
        <f>HYPERLINK("https://www.ncbi.nlm.nih.gov/gene/?term=XP_003802066.1", "XP_003802066.1")</f>
        <v/>
      </c>
      <c r="F720" t="n">
        <v>68.40000000000001</v>
      </c>
      <c r="G720" t="n">
        <v>98</v>
      </c>
      <c r="H720" t="n">
        <v>8.940000000000001e-37</v>
      </c>
      <c r="I720" t="inlineStr">
        <is>
          <t>Nr</t>
        </is>
      </c>
      <c r="J720" t="inlineStr"/>
      <c r="K720" t="inlineStr"/>
      <c r="L720" t="inlineStr">
        <is>
          <t>XP_003802066.1 NADH dehydrogenase [ubiquinone] iron-sulfur protein 6, mitochondrial [Otolemur garnettii]</t>
        </is>
      </c>
      <c r="M720" t="n">
        <v>124</v>
      </c>
      <c r="N720" t="inlineStr">
        <is>
          <t>Otolemur garnettii</t>
        </is>
      </c>
      <c r="O720" t="inlineStr">
        <is>
          <t>NADH dehydrogenase</t>
        </is>
      </c>
    </row>
    <row r="721">
      <c r="A721" t="inlineStr"/>
      <c r="B721" t="inlineStr"/>
      <c r="C721" t="inlineStr"/>
      <c r="D721" t="inlineStr"/>
      <c r="E721">
        <f>HYPERLINK("https://www.uniprot.org/uniprotkb/A0A8J7P4Q0/entry", "A0A8J7P4Q0")</f>
        <v/>
      </c>
      <c r="F721" t="n">
        <v>65</v>
      </c>
      <c r="G721" t="n">
        <v>100</v>
      </c>
      <c r="H721" t="n">
        <v>9.01e-37</v>
      </c>
      <c r="I721" t="inlineStr">
        <is>
          <t>TrEMBL</t>
        </is>
      </c>
      <c r="J721" t="inlineStr">
        <is>
          <t>Ndufs6</t>
        </is>
      </c>
      <c r="K721" t="inlineStr">
        <is>
          <t>A0A8J7P4Q0_ATRSP</t>
        </is>
      </c>
      <c r="L721" t="inlineStr">
        <is>
          <t>tr|A0A8J7P4Q0|A0A8J7P4Q0_ATRSP NDUS6 protein (Fragment) OS=Atractosteus spatula OX=7917 GN=Ndufs6 PE=4 SV=1</t>
        </is>
      </c>
      <c r="M721" t="n">
        <v>144</v>
      </c>
      <c r="N721" t="inlineStr">
        <is>
          <t>Atractosteus spatula</t>
        </is>
      </c>
      <c r="O721" t="inlineStr">
        <is>
          <t>NDUS6 protein (Fragment)</t>
        </is>
      </c>
    </row>
    <row r="722">
      <c r="A722" t="inlineStr"/>
      <c r="B722" t="inlineStr"/>
      <c r="C722" t="inlineStr"/>
      <c r="D722" t="inlineStr"/>
      <c r="E722">
        <f>HYPERLINK("https://www.uniprot.org/uniprotkb/A0A7J8J2P7/entry", "A0A7J8J2P7")</f>
        <v/>
      </c>
      <c r="F722" t="n">
        <v>78.2</v>
      </c>
      <c r="G722" t="n">
        <v>78</v>
      </c>
      <c r="H722" t="n">
        <v>9.920000000000001e-37</v>
      </c>
      <c r="I722" t="inlineStr">
        <is>
          <t>TrEMBL</t>
        </is>
      </c>
      <c r="J722" t="inlineStr">
        <is>
          <t>HJG59_012942</t>
        </is>
      </c>
      <c r="K722" t="inlineStr">
        <is>
          <t>A0A7J8J2P7_MOLMO</t>
        </is>
      </c>
      <c r="L722" t="inlineStr">
        <is>
          <t>tr|A0A7J8J2P7|A0A7J8J2P7_MOLMO NADH dehydrogenase [ubiquinone] iron-sulfur protein 6, mitochondrial OS=Molossus molossus OX=27622 GN=HJG59_012942 PE=3 SV=1</t>
        </is>
      </c>
      <c r="M722" t="n">
        <v>124</v>
      </c>
      <c r="N722" t="inlineStr">
        <is>
          <t>Molossus molossus</t>
        </is>
      </c>
      <c r="O722" t="inlineStr">
        <is>
          <t>NADH dehydrogenase [ubiquinone] iron-sulfur protein 6, mitochondrial</t>
        </is>
      </c>
    </row>
    <row r="723">
      <c r="A723" t="inlineStr"/>
      <c r="B723" t="inlineStr"/>
      <c r="C723" t="inlineStr"/>
      <c r="D723" t="inlineStr"/>
      <c r="E723">
        <f>HYPERLINK("https://www.ncbi.nlm.nih.gov/gene/?term=XP_006635942.1", "XP_006635942.1")</f>
        <v/>
      </c>
      <c r="F723" t="n">
        <v>66</v>
      </c>
      <c r="G723" t="n">
        <v>100</v>
      </c>
      <c r="H723" t="n">
        <v>1.1e-36</v>
      </c>
      <c r="I723" t="inlineStr">
        <is>
          <t>Nr</t>
        </is>
      </c>
      <c r="J723" t="inlineStr"/>
      <c r="K723" t="inlineStr"/>
      <c r="L723" t="inlineStr">
        <is>
          <t>XP_006635942.1 PREDICTED: NADH dehydrogenase [ubiquinone] iron-sulfur protein 6, mitochondrial [Lepisosteus oculatus]</t>
        </is>
      </c>
      <c r="M723" t="n">
        <v>131</v>
      </c>
      <c r="N723" t="inlineStr">
        <is>
          <t>Lepisosteus oculatus</t>
        </is>
      </c>
      <c r="O723" t="inlineStr">
        <is>
          <t>PREDICTED: NADH dehydrogenase</t>
        </is>
      </c>
    </row>
    <row r="724">
      <c r="A724" t="inlineStr"/>
      <c r="B724" t="inlineStr"/>
      <c r="C724" t="inlineStr"/>
      <c r="D724" t="inlineStr"/>
      <c r="E724">
        <f>HYPERLINK("https://www.uniprot.org/uniprotkb/A0A803TY25/entry", "A0A803TY25")</f>
        <v/>
      </c>
      <c r="F724" t="n">
        <v>77.8</v>
      </c>
      <c r="G724" t="n">
        <v>81</v>
      </c>
      <c r="H724" t="n">
        <v>1.54e-36</v>
      </c>
      <c r="I724" t="inlineStr">
        <is>
          <t>TrEMBL</t>
        </is>
      </c>
      <c r="J724" t="inlineStr">
        <is>
          <t>ndufs6</t>
        </is>
      </c>
      <c r="K724" t="inlineStr">
        <is>
          <t>A0A803TY25_ANOCA</t>
        </is>
      </c>
      <c r="L724" t="inlineStr">
        <is>
          <t>tr|A0A803TY25|A0A803TY25_ANOCA NADH dehydrogenase [ubiquinone] iron-sulfur protein 6, mitochondrial OS=Anolis carolinensis OX=28377 GN=ndufs6 PE=3 SV=1</t>
        </is>
      </c>
      <c r="M724" t="n">
        <v>127</v>
      </c>
      <c r="N724" t="inlineStr">
        <is>
          <t>Anolis carolinensis</t>
        </is>
      </c>
      <c r="O724" t="inlineStr">
        <is>
          <t>NADH dehydrogenase [ubiquinone] iron-sulfur protein 6, mitochondrial</t>
        </is>
      </c>
    </row>
    <row r="725">
      <c r="A725" t="inlineStr"/>
      <c r="B725" t="inlineStr"/>
      <c r="C725" t="inlineStr"/>
      <c r="D725" t="inlineStr"/>
      <c r="E725">
        <f>HYPERLINK("https://www.ncbi.nlm.nih.gov/gene/?term=KAF6490373.1", "KAF6490373.1")</f>
        <v/>
      </c>
      <c r="F725" t="n">
        <v>77.5</v>
      </c>
      <c r="G725" t="n">
        <v>80</v>
      </c>
      <c r="H725" t="n">
        <v>1.61e-36</v>
      </c>
      <c r="I725" t="inlineStr">
        <is>
          <t>Nr</t>
        </is>
      </c>
      <c r="J725" t="inlineStr"/>
      <c r="K725" t="inlineStr"/>
      <c r="L725" t="inlineStr">
        <is>
          <t>KAF6490373.1 NADH:ubiquinone oxidoreductase subunit S6 [Molossus molossus]</t>
        </is>
      </c>
      <c r="M725" t="n">
        <v>132</v>
      </c>
      <c r="N725" t="inlineStr">
        <is>
          <t>Molossus molossus</t>
        </is>
      </c>
      <c r="O725" t="inlineStr">
        <is>
          <t>NADH:ubiquinone oxidoreductase subunit S6</t>
        </is>
      </c>
    </row>
    <row r="726">
      <c r="A726" t="inlineStr"/>
      <c r="B726" t="inlineStr"/>
      <c r="C726" t="inlineStr"/>
      <c r="D726" t="inlineStr"/>
      <c r="E726">
        <f>HYPERLINK("https://www.ncbi.nlm.nih.gov/gene/?term=XP_034982119.1", "XP_034982119.1")</f>
        <v/>
      </c>
      <c r="F726" t="n">
        <v>71.3</v>
      </c>
      <c r="G726" t="n">
        <v>87</v>
      </c>
      <c r="H726" t="n">
        <v>1.66e-36</v>
      </c>
      <c r="I726" t="inlineStr">
        <is>
          <t>Nr</t>
        </is>
      </c>
      <c r="J726" t="inlineStr"/>
      <c r="K726" t="inlineStr"/>
      <c r="L726" t="inlineStr">
        <is>
          <t>XP_034982119.1 NADH dehydrogenase [ubiquinone] iron-sulfur protein 6, mitochondrial [Zootoca vivipara]</t>
        </is>
      </c>
      <c r="M726" t="n">
        <v>133</v>
      </c>
      <c r="N726" t="inlineStr">
        <is>
          <t>Zootoca vivipara</t>
        </is>
      </c>
      <c r="O726" t="inlineStr">
        <is>
          <t>NADH dehydrogenase</t>
        </is>
      </c>
    </row>
    <row r="727">
      <c r="A727" t="inlineStr"/>
      <c r="B727" t="inlineStr"/>
      <c r="C727" t="inlineStr"/>
      <c r="D727" t="inlineStr"/>
      <c r="E727">
        <f>HYPERLINK("https://www.ncbi.nlm.nih.gov/gene/?term=ADI40700.1", "ADI40700.1")</f>
        <v/>
      </c>
      <c r="F727" t="n">
        <v>76.3</v>
      </c>
      <c r="G727" t="n">
        <v>80</v>
      </c>
      <c r="H727" t="n">
        <v>1.67e-36</v>
      </c>
      <c r="I727" t="inlineStr">
        <is>
          <t>Nr</t>
        </is>
      </c>
      <c r="J727" t="inlineStr"/>
      <c r="K727" t="inlineStr"/>
      <c r="L727" t="inlineStr">
        <is>
          <t>ADI40700.1 NADH dehydrogenase Fe-S protein 6, 13kDa, partial [Miniopterus schreibersii]</t>
        </is>
      </c>
      <c r="M727" t="n">
        <v>110</v>
      </c>
      <c r="N727" t="inlineStr">
        <is>
          <t>Miniopterus schreibersii</t>
        </is>
      </c>
      <c r="O727" t="inlineStr">
        <is>
          <t>NADH dehydrogenase Fe-S protein 6, 13kDa, partial</t>
        </is>
      </c>
    </row>
    <row r="728">
      <c r="A728" t="inlineStr"/>
      <c r="B728" t="inlineStr"/>
      <c r="C728" t="inlineStr"/>
      <c r="D728" t="inlineStr"/>
      <c r="E728">
        <f>HYPERLINK("https://www.uniprot.org/uniprotkb/A0A834BDM8/entry", "A0A834BDM8")</f>
        <v/>
      </c>
      <c r="F728" t="n">
        <v>76.3</v>
      </c>
      <c r="G728" t="n">
        <v>80</v>
      </c>
      <c r="H728" t="n">
        <v>1.79e-36</v>
      </c>
      <c r="I728" t="inlineStr">
        <is>
          <t>TrEMBL</t>
        </is>
      </c>
      <c r="J728" t="inlineStr">
        <is>
          <t>HJG60_013691</t>
        </is>
      </c>
      <c r="K728" t="inlineStr">
        <is>
          <t>A0A834BDM8_9CHIR</t>
        </is>
      </c>
      <c r="L728" t="inlineStr">
        <is>
          <t>tr|A0A834BDM8|A0A834BDM8_9CHIR NADH dehydrogenase [ubiquinone] iron-sulfur protein 6, mitochondrial OS=Phyllostomus discolor OX=89673 GN=HJG60_013691 PE=3 SV=1</t>
        </is>
      </c>
      <c r="M728" t="n">
        <v>132</v>
      </c>
      <c r="N728" t="inlineStr">
        <is>
          <t>Phyllostomus discolor</t>
        </is>
      </c>
      <c r="O728" t="inlineStr">
        <is>
          <t>NADH dehydrogenase [ubiquinone] iron-sulfur protein 6, mitochondrial</t>
        </is>
      </c>
    </row>
    <row r="729">
      <c r="A729" t="inlineStr"/>
      <c r="B729" t="inlineStr"/>
      <c r="C729" t="inlineStr"/>
      <c r="D729" t="inlineStr"/>
      <c r="E729">
        <f>HYPERLINK("https://www.ncbi.nlm.nih.gov/gene/?term=XP_037236858.1", "XP_037236858.1")</f>
        <v/>
      </c>
      <c r="F729" t="n">
        <v>62.4</v>
      </c>
      <c r="G729" t="n">
        <v>109</v>
      </c>
      <c r="H729" t="n">
        <v>2.09e-36</v>
      </c>
      <c r="I729" t="inlineStr">
        <is>
          <t>Nr</t>
        </is>
      </c>
      <c r="J729" t="inlineStr"/>
      <c r="K729" t="inlineStr"/>
      <c r="L729" t="inlineStr">
        <is>
          <t>XP_037236858.1 NADH dehydrogenase [ubiquinone] iron-sulfur protein 6, mitochondrial [Falco rusticolus]</t>
        </is>
      </c>
      <c r="M729" t="n">
        <v>129</v>
      </c>
      <c r="N729" t="inlineStr">
        <is>
          <t>Falco rusticolus</t>
        </is>
      </c>
      <c r="O729" t="inlineStr">
        <is>
          <t>NADH dehydrogenase</t>
        </is>
      </c>
    </row>
    <row r="730">
      <c r="A730" t="inlineStr"/>
      <c r="B730" t="inlineStr"/>
      <c r="C730" t="inlineStr"/>
      <c r="D730" t="inlineStr"/>
      <c r="E730">
        <f>HYPERLINK("https://www.uniprot.org/uniprotkb/A0A5E4CRU1/entry", "A0A5E4CRU1")</f>
        <v/>
      </c>
      <c r="F730" t="n">
        <v>75.59999999999999</v>
      </c>
      <c r="G730" t="n">
        <v>78</v>
      </c>
      <c r="H730" t="n">
        <v>2.22e-36</v>
      </c>
      <c r="I730" t="inlineStr">
        <is>
          <t>TrEMBL</t>
        </is>
      </c>
      <c r="J730" t="inlineStr">
        <is>
          <t>GHT09_014163</t>
        </is>
      </c>
      <c r="K730" t="inlineStr">
        <is>
          <t>A0A5E4CRU1_MARMO</t>
        </is>
      </c>
      <c r="L730" t="inlineStr">
        <is>
          <t>tr|A0A5E4CRU1|A0A5E4CRU1_MARMO NADH dehydrogenase [ubiquinone] iron-sulfur protein 6, mitochondrial OS=Marmota monax OX=9995 GN=GHT09_014163 PE=3 SV=1</t>
        </is>
      </c>
      <c r="M730" t="n">
        <v>116</v>
      </c>
      <c r="N730" t="inlineStr">
        <is>
          <t>Marmota monax</t>
        </is>
      </c>
      <c r="O730" t="inlineStr">
        <is>
          <t>NADH dehydrogenase [ubiquinone] iron-sulfur protein 6, mitochondrial</t>
        </is>
      </c>
    </row>
    <row r="731">
      <c r="A731" t="inlineStr"/>
      <c r="B731" t="inlineStr"/>
      <c r="C731" t="inlineStr"/>
      <c r="D731" t="inlineStr"/>
      <c r="E731">
        <f>HYPERLINK("https://www.uniprot.org/uniprotkb/I3M2T4/entry", "I3M2T4")</f>
        <v/>
      </c>
      <c r="F731" t="n">
        <v>75.59999999999999</v>
      </c>
      <c r="G731" t="n">
        <v>78</v>
      </c>
      <c r="H731" t="n">
        <v>2.22e-36</v>
      </c>
      <c r="I731" t="inlineStr">
        <is>
          <t>TrEMBL</t>
        </is>
      </c>
      <c r="J731" t="inlineStr">
        <is>
          <t>NDUFS6</t>
        </is>
      </c>
      <c r="K731" t="inlineStr">
        <is>
          <t>I3M2T4_ICTTR</t>
        </is>
      </c>
      <c r="L731" t="inlineStr">
        <is>
          <t>tr|I3M2T4|I3M2T4_ICTTR NADH dehydrogenase [ubiquinone] iron-sulfur protein 6, mitochondrial OS=Ictidomys tridecemlineatus OX=43179 GN=NDUFS6 PE=3 SV=1</t>
        </is>
      </c>
      <c r="M731" t="n">
        <v>116</v>
      </c>
      <c r="N731" t="inlineStr">
        <is>
          <t>Ictidomys tridecemlineatus</t>
        </is>
      </c>
      <c r="O731" t="inlineStr">
        <is>
          <t>NADH dehydrogenase [ubiquinone] iron-sulfur protein 6, mitochondrial</t>
        </is>
      </c>
    </row>
    <row r="732">
      <c r="A732" t="inlineStr"/>
      <c r="B732" t="inlineStr"/>
      <c r="C732" t="inlineStr"/>
      <c r="D732" t="inlineStr"/>
      <c r="E732">
        <f>HYPERLINK("https://www.uniprot.org/uniprotkb/A0A8C5ZQ30/entry", "A0A8C5ZQ30")</f>
        <v/>
      </c>
      <c r="F732" t="n">
        <v>75.59999999999999</v>
      </c>
      <c r="G732" t="n">
        <v>78</v>
      </c>
      <c r="H732" t="n">
        <v>2.22e-36</v>
      </c>
      <c r="I732" t="inlineStr">
        <is>
          <t>TrEMBL</t>
        </is>
      </c>
      <c r="J732" t="inlineStr">
        <is>
          <t>NDUFS6</t>
        </is>
      </c>
      <c r="K732" t="inlineStr">
        <is>
          <t>A0A8C5ZQ30_MARMA</t>
        </is>
      </c>
      <c r="L732" t="inlineStr">
        <is>
          <t>tr|A0A8C5ZQ30|A0A8C5ZQ30_MARMA NADH dehydrogenase [ubiquinone] iron-sulfur protein 6, mitochondrial OS=Marmota marmota marmota OX=9994 GN=NDUFS6 PE=3 SV=1</t>
        </is>
      </c>
      <c r="M732" t="n">
        <v>116</v>
      </c>
      <c r="N732" t="inlineStr">
        <is>
          <t>Marmota marmota marmota</t>
        </is>
      </c>
      <c r="O732" t="inlineStr">
        <is>
          <t>NADH dehydrogenase [ubiquinone] iron-sulfur protein 6, mitochondrial</t>
        </is>
      </c>
    </row>
    <row r="733">
      <c r="A733" t="inlineStr"/>
      <c r="B733" t="inlineStr"/>
      <c r="C733" t="inlineStr"/>
      <c r="D733" t="inlineStr"/>
      <c r="E733">
        <f>HYPERLINK("https://www.uniprot.org/uniprotkb/A0A8D2HEA4/entry", "A0A8D2HEA4")</f>
        <v/>
      </c>
      <c r="F733" t="n">
        <v>75.59999999999999</v>
      </c>
      <c r="G733" t="n">
        <v>78</v>
      </c>
      <c r="H733" t="n">
        <v>2.22e-36</v>
      </c>
      <c r="I733" t="inlineStr">
        <is>
          <t>TrEMBL</t>
        </is>
      </c>
      <c r="J733" t="inlineStr">
        <is>
          <t>NDUFS6</t>
        </is>
      </c>
      <c r="K733" t="inlineStr">
        <is>
          <t>A0A8D2HEA4_UROPR</t>
        </is>
      </c>
      <c r="L733" t="inlineStr">
        <is>
          <t>tr|A0A8D2HEA4|A0A8D2HEA4_UROPR NADH dehydrogenase [ubiquinone] iron-sulfur protein 6, mitochondrial OS=Urocitellus parryii OX=9999 GN=NDUFS6 PE=3 SV=1</t>
        </is>
      </c>
      <c r="M733" t="n">
        <v>116</v>
      </c>
      <c r="N733" t="inlineStr">
        <is>
          <t>Urocitellus parryii</t>
        </is>
      </c>
      <c r="O733" t="inlineStr">
        <is>
          <t>NADH dehydrogenase [ubiquinone] iron-sulfur protein 6, mitochondrial</t>
        </is>
      </c>
    </row>
    <row r="734">
      <c r="A734" t="inlineStr"/>
      <c r="B734" t="inlineStr"/>
      <c r="C734" t="inlineStr"/>
      <c r="D734" t="inlineStr"/>
      <c r="E734">
        <f>HYPERLINK("https://www.uniprot.org/uniprotkb/A0A8B9DZG7/entry", "A0A8B9DZG7")</f>
        <v/>
      </c>
      <c r="F734" t="n">
        <v>74.09999999999999</v>
      </c>
      <c r="G734" t="n">
        <v>81</v>
      </c>
      <c r="H734" t="n">
        <v>2.24e-36</v>
      </c>
      <c r="I734" t="inlineStr">
        <is>
          <t>TrEMBL</t>
        </is>
      </c>
      <c r="J734" t="inlineStr"/>
      <c r="K734" t="inlineStr">
        <is>
          <t>A0A8B9DZG7_ANSCY</t>
        </is>
      </c>
      <c r="L734" t="inlineStr">
        <is>
          <t>tr|A0A8B9DZG7|A0A8B9DZG7_ANSCY NADH:ubiquinone oxidoreductase subunit S6 OS=Anser cygnoid OX=8845 PE=4 SV=1</t>
        </is>
      </c>
      <c r="M734" t="n">
        <v>187</v>
      </c>
      <c r="N734" t="inlineStr">
        <is>
          <t>Anser cygnoid</t>
        </is>
      </c>
      <c r="O734" t="inlineStr">
        <is>
          <t>NADH:ubiquinone oxidoreductase subunit S6</t>
        </is>
      </c>
    </row>
    <row r="735">
      <c r="A735" t="inlineStr"/>
      <c r="B735" t="inlineStr"/>
      <c r="C735" t="inlineStr"/>
      <c r="D735" t="inlineStr"/>
      <c r="E735">
        <f>HYPERLINK("https://www.uniprot.org/uniprotkb/A0A834B9F2/entry", "A0A834B9F2")</f>
        <v/>
      </c>
      <c r="F735" t="n">
        <v>76.90000000000001</v>
      </c>
      <c r="G735" t="n">
        <v>78</v>
      </c>
      <c r="H735" t="n">
        <v>2.26e-36</v>
      </c>
      <c r="I735" t="inlineStr">
        <is>
          <t>TrEMBL</t>
        </is>
      </c>
      <c r="J735" t="inlineStr">
        <is>
          <t>HJG60_013691</t>
        </is>
      </c>
      <c r="K735" t="inlineStr">
        <is>
          <t>A0A834B9F2_9CHIR</t>
        </is>
      </c>
      <c r="L735" t="inlineStr">
        <is>
          <t>tr|A0A834B9F2|A0A834B9F2_9CHIR NADH:ubiquinone oxidoreductase subunit S6 OS=Phyllostomus discolor OX=89673 GN=HJG60_013691 PE=4 SV=1</t>
        </is>
      </c>
      <c r="M735" t="n">
        <v>105</v>
      </c>
      <c r="N735" t="inlineStr">
        <is>
          <t>Phyllostomus discolor</t>
        </is>
      </c>
      <c r="O735" t="inlineStr">
        <is>
          <t>NADH:ubiquinone oxidoreductase subunit S6</t>
        </is>
      </c>
    </row>
    <row r="736">
      <c r="A736" t="inlineStr"/>
      <c r="B736" t="inlineStr"/>
      <c r="C736" t="inlineStr"/>
      <c r="D736" t="inlineStr"/>
      <c r="E736">
        <f>HYPERLINK("https://www.ncbi.nlm.nih.gov/gene/?term=MBN3322921.1", "MBN3322921.1")</f>
        <v/>
      </c>
      <c r="F736" t="n">
        <v>65</v>
      </c>
      <c r="G736" t="n">
        <v>100</v>
      </c>
      <c r="H736" t="n">
        <v>2.31e-36</v>
      </c>
      <c r="I736" t="inlineStr">
        <is>
          <t>Nr</t>
        </is>
      </c>
      <c r="J736" t="inlineStr"/>
      <c r="K736" t="inlineStr"/>
      <c r="L736" t="inlineStr">
        <is>
          <t>MBN3322921.1 NDUS6 protein [Atractosteus spatula]</t>
        </is>
      </c>
      <c r="M736" t="n">
        <v>144</v>
      </c>
      <c r="N736" t="inlineStr">
        <is>
          <t>Atractosteus spatula</t>
        </is>
      </c>
      <c r="O736" t="inlineStr">
        <is>
          <t>NDUS6 protein</t>
        </is>
      </c>
    </row>
    <row r="737">
      <c r="A737" t="inlineStr"/>
      <c r="B737" t="inlineStr"/>
      <c r="C737" t="inlineStr"/>
      <c r="D737" t="inlineStr"/>
      <c r="E737">
        <f>HYPERLINK("https://www.uniprot.org/uniprotkb/A0A8C5L3G1/entry", "A0A8C5L3G1")</f>
        <v/>
      </c>
      <c r="F737" t="n">
        <v>76.90000000000001</v>
      </c>
      <c r="G737" t="n">
        <v>78</v>
      </c>
      <c r="H737" t="n">
        <v>2.36e-36</v>
      </c>
      <c r="I737" t="inlineStr">
        <is>
          <t>TrEMBL</t>
        </is>
      </c>
      <c r="J737" t="inlineStr">
        <is>
          <t>Ndufs6</t>
        </is>
      </c>
      <c r="K737" t="inlineStr">
        <is>
          <t>A0A8C5L3G1_JACJA</t>
        </is>
      </c>
      <c r="L737" t="inlineStr">
        <is>
          <t>tr|A0A8C5L3G1|A0A8C5L3G1_JACJA NADH dehydrogenase [ubiquinone] iron-sulfur protein 6, mitochondrial OS=Jaculus jaculus OX=51337 GN=Ndufs6 PE=3 SV=1</t>
        </is>
      </c>
      <c r="M737" t="n">
        <v>118</v>
      </c>
      <c r="N737" t="inlineStr">
        <is>
          <t>Jaculus jaculus</t>
        </is>
      </c>
      <c r="O737" t="inlineStr">
        <is>
          <t>NADH dehydrogenase [ubiquinone] iron-sulfur protein 6, mitochondrial</t>
        </is>
      </c>
    </row>
    <row r="738">
      <c r="A738" t="inlineStr"/>
      <c r="B738" t="inlineStr"/>
      <c r="C738" t="inlineStr"/>
      <c r="D738" t="inlineStr"/>
      <c r="E738">
        <f>HYPERLINK("https://www.ncbi.nlm.nih.gov/gene/?term=XP_036136094.1", "XP_036136094.1")</f>
        <v/>
      </c>
      <c r="F738" t="n">
        <v>78.2</v>
      </c>
      <c r="G738" t="n">
        <v>78</v>
      </c>
      <c r="H738" t="n">
        <v>2.55e-36</v>
      </c>
      <c r="I738" t="inlineStr">
        <is>
          <t>Nr</t>
        </is>
      </c>
      <c r="J738" t="inlineStr"/>
      <c r="K738" t="inlineStr"/>
      <c r="L738" t="inlineStr">
        <is>
          <t>XP_036136094.1 NADH dehydrogenase [ubiquinone] iron-sulfur protein 6, mitochondrial [Molossus molossus]</t>
        </is>
      </c>
      <c r="M738" t="n">
        <v>124</v>
      </c>
      <c r="N738" t="inlineStr">
        <is>
          <t>Molossus molossus</t>
        </is>
      </c>
      <c r="O738" t="inlineStr">
        <is>
          <t>NADH dehydrogenase</t>
        </is>
      </c>
    </row>
    <row r="739">
      <c r="A739" t="inlineStr"/>
      <c r="B739" t="inlineStr"/>
      <c r="C739" t="inlineStr"/>
      <c r="D739" t="inlineStr"/>
      <c r="E739">
        <f>HYPERLINK("https://www.uniprot.org/uniprotkb/P52504/entry", "P52504")</f>
        <v/>
      </c>
      <c r="F739" t="n">
        <v>70.5</v>
      </c>
      <c r="G739" t="n">
        <v>78</v>
      </c>
      <c r="H739" t="n">
        <v>8.049999999999999e-34</v>
      </c>
      <c r="I739" t="inlineStr">
        <is>
          <t>Swiss-Prot</t>
        </is>
      </c>
      <c r="J739" t="inlineStr">
        <is>
          <t>Ndufs6</t>
        </is>
      </c>
      <c r="K739" t="inlineStr">
        <is>
          <t>NDUS6_RAT</t>
        </is>
      </c>
      <c r="L739" t="inlineStr">
        <is>
          <t>sp|P52504|NDUS6_RAT NADH dehydrogenase [ubiquinone] iron-sulfur protein 6, mitochondrial OS=Rattus norvegicus OX=10116 GN=Ndufs6 PE=3 SV=1</t>
        </is>
      </c>
      <c r="M739" t="n">
        <v>116</v>
      </c>
      <c r="N739" t="inlineStr">
        <is>
          <t>Rattus norvegicus</t>
        </is>
      </c>
      <c r="O739" t="inlineStr">
        <is>
          <t>NADH dehydrogenase [ubiquinone] iron-sulfur protein 6, mitochondrial</t>
        </is>
      </c>
    </row>
    <row r="740">
      <c r="A740" t="inlineStr"/>
      <c r="B740" t="inlineStr"/>
      <c r="C740" t="inlineStr"/>
      <c r="D740" t="inlineStr"/>
      <c r="E740">
        <f>HYPERLINK("https://www.uniprot.org/uniprotkb/A0A6I8S1K5/entry", "A0A6I8S1K5")</f>
        <v/>
      </c>
      <c r="F740" t="n">
        <v>61.5</v>
      </c>
      <c r="G740" t="n">
        <v>109</v>
      </c>
      <c r="H740" t="n">
        <v>3.9e-32</v>
      </c>
      <c r="I740" t="inlineStr">
        <is>
          <t>TrEMBL</t>
        </is>
      </c>
      <c r="J740" t="inlineStr"/>
      <c r="K740" t="inlineStr">
        <is>
          <t>A0A6I8S1K5_XENTR</t>
        </is>
      </c>
      <c r="L740" t="inlineStr">
        <is>
          <t>tr|A0A6I8S1K5|A0A6I8S1K5_XENTR Ribosomal protein OS=Xenopus tropicalis OX=8364 PE=3 SV=2</t>
        </is>
      </c>
      <c r="M740" t="n">
        <v>143</v>
      </c>
      <c r="N740" t="inlineStr">
        <is>
          <t>Xenopus tropicalis</t>
        </is>
      </c>
      <c r="O740" t="inlineStr">
        <is>
          <t>Ribosomal protein</t>
        </is>
      </c>
    </row>
    <row r="741">
      <c r="A741" t="inlineStr"/>
      <c r="B741" t="inlineStr"/>
      <c r="C741" t="inlineStr"/>
      <c r="D741" t="inlineStr"/>
      <c r="E741">
        <f>HYPERLINK("https://www.ncbi.nlm.nih.gov/gene/?term=OCT74349.1", "OCT74349.1")</f>
        <v/>
      </c>
      <c r="F741" t="n">
        <v>60</v>
      </c>
      <c r="G741" t="n">
        <v>105</v>
      </c>
      <c r="H741" t="n">
        <v>9.650000000000001e-32</v>
      </c>
      <c r="I741" t="inlineStr">
        <is>
          <t>Nr</t>
        </is>
      </c>
      <c r="J741" t="inlineStr"/>
      <c r="K741" t="inlineStr"/>
      <c r="L741" t="inlineStr">
        <is>
          <t>OCT74349.1 hypothetical protein XELAEV_18033318mg [Xenopus laevis]</t>
        </is>
      </c>
      <c r="M741" t="n">
        <v>106</v>
      </c>
      <c r="N741" t="inlineStr">
        <is>
          <t>Xenopus laevis</t>
        </is>
      </c>
      <c r="O741" t="inlineStr">
        <is>
          <t>hypothetical protein XELAEV_18033318mg</t>
        </is>
      </c>
    </row>
    <row r="742">
      <c r="A742" t="inlineStr"/>
      <c r="B742" t="inlineStr"/>
      <c r="C742" t="inlineStr"/>
      <c r="D742" t="inlineStr"/>
      <c r="E742">
        <f>HYPERLINK("https://www.ncbi.nlm.nih.gov/gene/?term=KAE8597409.1", "KAE8597409.1")</f>
        <v/>
      </c>
      <c r="F742" t="n">
        <v>61.9</v>
      </c>
      <c r="G742" t="n">
        <v>105</v>
      </c>
      <c r="H742" t="n">
        <v>7.01e-31</v>
      </c>
      <c r="I742" t="inlineStr">
        <is>
          <t>Nr</t>
        </is>
      </c>
      <c r="J742" t="inlineStr"/>
      <c r="K742" t="inlineStr"/>
      <c r="L742" t="inlineStr">
        <is>
          <t>KAE8597409.1 hypothetical protein XENTR_v10016460 [Xenopus tropicalis]</t>
        </is>
      </c>
      <c r="M742" t="n">
        <v>102</v>
      </c>
      <c r="N742" t="inlineStr">
        <is>
          <t>Xenopus tropicalis</t>
        </is>
      </c>
      <c r="O742" t="inlineStr">
        <is>
          <t>hypothetical protein XENTR_v10016460</t>
        </is>
      </c>
    </row>
    <row r="743">
      <c r="A743" t="inlineStr"/>
      <c r="B743" t="inlineStr"/>
      <c r="C743" t="inlineStr"/>
      <c r="D743" t="inlineStr"/>
      <c r="E743">
        <f>HYPERLINK("https://www.ncbi.nlm.nih.gov/gene/?term=XP_040288137.1", "XP_040288137.1")</f>
        <v/>
      </c>
      <c r="F743" t="n">
        <v>50.5</v>
      </c>
      <c r="G743" t="n">
        <v>107</v>
      </c>
      <c r="H743" t="n">
        <v>4.49e-26</v>
      </c>
      <c r="I743" t="inlineStr">
        <is>
          <t>Nr</t>
        </is>
      </c>
      <c r="J743" t="inlineStr"/>
      <c r="K743" t="inlineStr"/>
      <c r="L743" t="inlineStr">
        <is>
          <t>XP_040288137.1 39S ribosomal protein L36, mitochondrial [Bufo bufo]</t>
        </is>
      </c>
      <c r="M743" t="n">
        <v>122</v>
      </c>
      <c r="N743" t="inlineStr">
        <is>
          <t>Bufo bufo</t>
        </is>
      </c>
      <c r="O743" t="inlineStr">
        <is>
          <t>39S ribosomal protein L36, mitochondrial</t>
        </is>
      </c>
    </row>
    <row r="744">
      <c r="A744" t="inlineStr"/>
      <c r="B744" t="inlineStr"/>
      <c r="C744" t="inlineStr"/>
      <c r="D744" t="inlineStr"/>
      <c r="E744">
        <f>HYPERLINK("https://www.uniprot.org/uniprotkb/A0A8T2JG66/entry", "A0A8T2JG66")</f>
        <v/>
      </c>
      <c r="F744" t="n">
        <v>55.2</v>
      </c>
      <c r="G744" t="n">
        <v>105</v>
      </c>
      <c r="H744" t="n">
        <v>2.5e-25</v>
      </c>
      <c r="I744" t="inlineStr">
        <is>
          <t>TrEMBL</t>
        </is>
      </c>
      <c r="J744" t="inlineStr">
        <is>
          <t>GDO86_011384</t>
        </is>
      </c>
      <c r="K744" t="inlineStr">
        <is>
          <t>A0A8T2JG66_9PIPI</t>
        </is>
      </c>
      <c r="L744" t="inlineStr">
        <is>
          <t>tr|A0A8T2JG66|A0A8T2JG66_9PIPI Ribosomal protein OS=Hymenochirus boettgeri OX=247094 GN=GDO86_011384 PE=3 SV=1</t>
        </is>
      </c>
      <c r="M744" t="n">
        <v>105</v>
      </c>
      <c r="N744" t="inlineStr">
        <is>
          <t>Hymenochirus boettgeri</t>
        </is>
      </c>
      <c r="O744" t="inlineStr">
        <is>
          <t>Ribosomal protein</t>
        </is>
      </c>
    </row>
    <row r="745">
      <c r="A745" t="inlineStr"/>
      <c r="B745" t="inlineStr"/>
      <c r="C745" t="inlineStr"/>
      <c r="D745" t="inlineStr"/>
      <c r="E745">
        <f>HYPERLINK("https://www.ncbi.nlm.nih.gov/gene/?term=KAG8442570.1", "KAG8442570.1")</f>
        <v/>
      </c>
      <c r="F745" t="n">
        <v>55.2</v>
      </c>
      <c r="G745" t="n">
        <v>105</v>
      </c>
      <c r="H745" t="n">
        <v>6.43e-25</v>
      </c>
      <c r="I745" t="inlineStr">
        <is>
          <t>Nr</t>
        </is>
      </c>
      <c r="J745" t="inlineStr"/>
      <c r="K745" t="inlineStr"/>
      <c r="L745" t="inlineStr">
        <is>
          <t>KAG8442570.1 hypothetical protein GDO86_011384 [Hymenochirus boettgeri]</t>
        </is>
      </c>
      <c r="M745" t="n">
        <v>105</v>
      </c>
      <c r="N745" t="inlineStr">
        <is>
          <t>Hymenochirus boettgeri</t>
        </is>
      </c>
      <c r="O745" t="inlineStr">
        <is>
          <t>hypothetical protein GDO86_011384</t>
        </is>
      </c>
    </row>
    <row r="746">
      <c r="A746" t="inlineStr"/>
      <c r="B746" t="inlineStr"/>
      <c r="C746" t="inlineStr"/>
      <c r="D746" t="inlineStr"/>
      <c r="E746">
        <f>HYPERLINK("https://www.uniprot.org/uniprotkb/A0A8C5PUR3/entry", "A0A8C5PUR3")</f>
        <v/>
      </c>
      <c r="F746" t="n">
        <v>48.6</v>
      </c>
      <c r="G746" t="n">
        <v>105</v>
      </c>
      <c r="H746" t="n">
        <v>1e-22</v>
      </c>
      <c r="I746" t="inlineStr">
        <is>
          <t>TrEMBL</t>
        </is>
      </c>
      <c r="J746" t="inlineStr"/>
      <c r="K746" t="inlineStr">
        <is>
          <t>A0A8C5PUR3_9ANUR</t>
        </is>
      </c>
      <c r="L746" t="inlineStr">
        <is>
          <t>tr|A0A8C5PUR3|A0A8C5PUR3_9ANUR Ribosomal protein OS=Leptobrachium leishanense OX=445787 PE=3 SV=1</t>
        </is>
      </c>
      <c r="M746" t="n">
        <v>107</v>
      </c>
      <c r="N746" t="inlineStr">
        <is>
          <t>Leptobrachium leishanense</t>
        </is>
      </c>
      <c r="O746" t="inlineStr">
        <is>
          <t>Ribosomal protein</t>
        </is>
      </c>
    </row>
    <row r="747">
      <c r="A747" t="inlineStr"/>
      <c r="B747" t="inlineStr"/>
      <c r="C747" t="inlineStr"/>
      <c r="D747" t="inlineStr"/>
      <c r="E747">
        <f>HYPERLINK("https://www.ncbi.nlm.nih.gov/gene/?term=KAG8550115.1", "KAG8550115.1")</f>
        <v/>
      </c>
      <c r="F747" t="n">
        <v>51.9</v>
      </c>
      <c r="G747" t="n">
        <v>104</v>
      </c>
      <c r="H747" t="n">
        <v>1.54e-22</v>
      </c>
      <c r="I747" t="inlineStr">
        <is>
          <t>Nr</t>
        </is>
      </c>
      <c r="J747" t="inlineStr"/>
      <c r="K747" t="inlineStr"/>
      <c r="L747" t="inlineStr">
        <is>
          <t>KAG8550115.1 hypothetical protein GDO81_028671 [Engystomops pustulosus]</t>
        </is>
      </c>
      <c r="M747" t="n">
        <v>101</v>
      </c>
      <c r="N747" t="inlineStr">
        <is>
          <t>Engystomops pustulosus</t>
        </is>
      </c>
      <c r="O747" t="inlineStr">
        <is>
          <t>hypothetical protein GDO81_028671</t>
        </is>
      </c>
    </row>
    <row r="748">
      <c r="A748" t="inlineStr"/>
      <c r="B748" t="inlineStr"/>
      <c r="C748" t="inlineStr"/>
      <c r="D748" t="inlineStr"/>
      <c r="E748">
        <f>HYPERLINK("https://www.uniprot.org/uniprotkb/A0A7N4PJ39/entry", "A0A7N4PJ39")</f>
        <v/>
      </c>
      <c r="F748" t="n">
        <v>48.6</v>
      </c>
      <c r="G748" t="n">
        <v>111</v>
      </c>
      <c r="H748" t="n">
        <v>9.610000000000001e-22</v>
      </c>
      <c r="I748" t="inlineStr">
        <is>
          <t>TrEMBL</t>
        </is>
      </c>
      <c r="J748" t="inlineStr">
        <is>
          <t>MRPL36</t>
        </is>
      </c>
      <c r="K748" t="inlineStr">
        <is>
          <t>A0A7N4PJ39_SARHA</t>
        </is>
      </c>
      <c r="L748" t="inlineStr">
        <is>
          <t>tr|A0A7N4PJ39|A0A7N4PJ39_SARHA Ribosomal protein OS=Sarcophilus harrisii OX=9305 GN=MRPL36 PE=3 SV=1</t>
        </is>
      </c>
      <c r="M748" t="n">
        <v>113</v>
      </c>
      <c r="N748" t="inlineStr">
        <is>
          <t>Sarcophilus harrisii</t>
        </is>
      </c>
      <c r="O748" t="inlineStr">
        <is>
          <t>Ribosomal protein</t>
        </is>
      </c>
    </row>
    <row r="749">
      <c r="A749" t="inlineStr"/>
      <c r="B749" t="inlineStr"/>
      <c r="C749" t="inlineStr"/>
      <c r="D749" t="inlineStr"/>
      <c r="E749">
        <f>HYPERLINK("https://www.ncbi.nlm.nih.gov/gene/?term=XP_023351664.1", "XP_023351664.1")</f>
        <v/>
      </c>
      <c r="F749" t="n">
        <v>48.6</v>
      </c>
      <c r="G749" t="n">
        <v>111</v>
      </c>
      <c r="H749" t="n">
        <v>2.47e-21</v>
      </c>
      <c r="I749" t="inlineStr">
        <is>
          <t>Nr</t>
        </is>
      </c>
      <c r="J749" t="inlineStr"/>
      <c r="K749" t="inlineStr"/>
      <c r="L749" t="inlineStr">
        <is>
          <t>XP_023351664.1 39S ribosomal protein L36, mitochondrial [Sarcophilus harrisii]</t>
        </is>
      </c>
      <c r="M749" t="n">
        <v>113</v>
      </c>
      <c r="N749" t="inlineStr">
        <is>
          <t>Sarcophilus harrisii</t>
        </is>
      </c>
      <c r="O749" t="inlineStr">
        <is>
          <t>39S ribosomal protein L36, mitochondrial</t>
        </is>
      </c>
    </row>
    <row r="750">
      <c r="A750" t="inlineStr"/>
      <c r="B750" t="inlineStr"/>
      <c r="C750" t="inlineStr"/>
      <c r="D750" t="inlineStr"/>
      <c r="E750">
        <f>HYPERLINK("https://www.uniprot.org/uniprotkb/A0A4X2M2E9/entry", "A0A4X2M2E9")</f>
        <v/>
      </c>
      <c r="F750" t="n">
        <v>47.3</v>
      </c>
      <c r="G750" t="n">
        <v>110</v>
      </c>
      <c r="H750" t="n">
        <v>2.59e-21</v>
      </c>
      <c r="I750" t="inlineStr">
        <is>
          <t>TrEMBL</t>
        </is>
      </c>
      <c r="J750" t="inlineStr">
        <is>
          <t>MRPL36</t>
        </is>
      </c>
      <c r="K750" t="inlineStr">
        <is>
          <t>A0A4X2M2E9_VOMUR</t>
        </is>
      </c>
      <c r="L750" t="inlineStr">
        <is>
          <t>tr|A0A4X2M2E9|A0A4X2M2E9_VOMUR Ribosomal protein OS=Vombatus ursinus OX=29139 GN=MRPL36 PE=3 SV=1</t>
        </is>
      </c>
      <c r="M750" t="n">
        <v>111</v>
      </c>
      <c r="N750" t="inlineStr">
        <is>
          <t>Vombatus ursinus</t>
        </is>
      </c>
      <c r="O750" t="inlineStr">
        <is>
          <t>Ribosomal protein</t>
        </is>
      </c>
    </row>
    <row r="751">
      <c r="A751" t="inlineStr"/>
      <c r="B751" t="inlineStr"/>
      <c r="C751" t="inlineStr"/>
      <c r="D751" t="inlineStr"/>
      <c r="E751">
        <f>HYPERLINK("https://www.ncbi.nlm.nih.gov/gene/?term=XP_051825771.1", "XP_051825771.1")</f>
        <v/>
      </c>
      <c r="F751" t="n">
        <v>48.6</v>
      </c>
      <c r="G751" t="n">
        <v>111</v>
      </c>
      <c r="H751" t="n">
        <v>3.5e-21</v>
      </c>
      <c r="I751" t="inlineStr">
        <is>
          <t>Nr</t>
        </is>
      </c>
      <c r="J751" t="inlineStr"/>
      <c r="K751" t="inlineStr"/>
      <c r="L751" t="inlineStr">
        <is>
          <t>XP_051825771.1 39S ribosomal protein L36, mitochondrial [Antechinus flavipes]</t>
        </is>
      </c>
      <c r="M751" t="n">
        <v>113</v>
      </c>
      <c r="N751" t="inlineStr">
        <is>
          <t>Antechinus flavipes</t>
        </is>
      </c>
      <c r="O751" t="inlineStr">
        <is>
          <t>39S ribosomal protein L36, mitochondrial</t>
        </is>
      </c>
    </row>
    <row r="752">
      <c r="A752" t="inlineStr"/>
      <c r="B752" t="inlineStr"/>
      <c r="C752" t="inlineStr"/>
      <c r="D752" t="inlineStr"/>
      <c r="E752">
        <f>HYPERLINK("https://www.ncbi.nlm.nih.gov/gene/?term=XP_027724774.1", "XP_027724774.1")</f>
        <v/>
      </c>
      <c r="F752" t="n">
        <v>47.3</v>
      </c>
      <c r="G752" t="n">
        <v>110</v>
      </c>
      <c r="H752" t="n">
        <v>7.02e-21</v>
      </c>
      <c r="I752" t="inlineStr">
        <is>
          <t>Nr</t>
        </is>
      </c>
      <c r="J752" t="inlineStr"/>
      <c r="K752" t="inlineStr"/>
      <c r="L752" t="inlineStr">
        <is>
          <t>XP_027724774.1 39S ribosomal protein L36, mitochondrial [Vombatus ursinus]</t>
        </is>
      </c>
      <c r="M752" t="n">
        <v>113</v>
      </c>
      <c r="N752" t="inlineStr">
        <is>
          <t>Vombatus ursinus</t>
        </is>
      </c>
      <c r="O752" t="inlineStr">
        <is>
          <t>39S ribosomal protein L36, mitochondrial</t>
        </is>
      </c>
    </row>
    <row r="753">
      <c r="A753" t="inlineStr"/>
      <c r="B753" t="inlineStr"/>
      <c r="C753" t="inlineStr"/>
      <c r="D753" t="inlineStr"/>
      <c r="E753">
        <f>HYPERLINK("https://www.ncbi.nlm.nih.gov/gene/?term=XP_043850855.1", "XP_043850855.1")</f>
        <v/>
      </c>
      <c r="F753" t="n">
        <v>47.7</v>
      </c>
      <c r="G753" t="n">
        <v>111</v>
      </c>
      <c r="H753" t="n">
        <v>2.91e-20</v>
      </c>
      <c r="I753" t="inlineStr">
        <is>
          <t>Nr</t>
        </is>
      </c>
      <c r="J753" t="inlineStr"/>
      <c r="K753" t="inlineStr"/>
      <c r="L753" t="inlineStr">
        <is>
          <t>XP_043850855.1 39S ribosomal protein L36, mitochondrial [Dromiciops gliroides]</t>
        </is>
      </c>
      <c r="M753" t="n">
        <v>114</v>
      </c>
      <c r="N753" t="inlineStr">
        <is>
          <t>Dromiciops gliroides</t>
        </is>
      </c>
      <c r="O753" t="inlineStr">
        <is>
          <t>39S ribosomal protein L36, mitochondrial</t>
        </is>
      </c>
    </row>
    <row r="754">
      <c r="A754" t="inlineStr"/>
      <c r="B754" t="inlineStr"/>
      <c r="C754" t="inlineStr"/>
      <c r="D754" t="inlineStr"/>
      <c r="E754">
        <f>HYPERLINK("https://www.uniprot.org/uniprotkb/A0A8J6ECC6/entry", "A0A8J6ECC6")</f>
        <v/>
      </c>
      <c r="F754" t="n">
        <v>47.1</v>
      </c>
      <c r="G754" t="n">
        <v>104</v>
      </c>
      <c r="H754" t="n">
        <v>5.2e-20</v>
      </c>
      <c r="I754" t="inlineStr">
        <is>
          <t>TrEMBL</t>
        </is>
      </c>
      <c r="J754" t="inlineStr">
        <is>
          <t>GDO78_020615</t>
        </is>
      </c>
      <c r="K754" t="inlineStr">
        <is>
          <t>A0A8J6ECC6_ELECQ</t>
        </is>
      </c>
      <c r="L754" t="inlineStr">
        <is>
          <t>tr|A0A8J6ECC6|A0A8J6ECC6_ELECQ Ribosomal protein OS=Eleutherodactylus coqui OX=57060 GN=GDO78_020615 PE=3 SV=1</t>
        </is>
      </c>
      <c r="M754" t="n">
        <v>106</v>
      </c>
      <c r="N754" t="inlineStr">
        <is>
          <t>Eleutherodactylus coqui</t>
        </is>
      </c>
      <c r="O754" t="inlineStr">
        <is>
          <t>Ribosomal protein</t>
        </is>
      </c>
    </row>
    <row r="755">
      <c r="A755" t="inlineStr"/>
      <c r="B755" t="inlineStr"/>
      <c r="C755" t="inlineStr"/>
      <c r="D755" t="inlineStr"/>
      <c r="E755">
        <f>HYPERLINK("https://www.ncbi.nlm.nih.gov/gene/?term=KAG9464036.1", "KAG9464036.1")</f>
        <v/>
      </c>
      <c r="F755" t="n">
        <v>47.1</v>
      </c>
      <c r="G755" t="n">
        <v>104</v>
      </c>
      <c r="H755" t="n">
        <v>1.34e-19</v>
      </c>
      <c r="I755" t="inlineStr">
        <is>
          <t>Nr</t>
        </is>
      </c>
      <c r="J755" t="inlineStr"/>
      <c r="K755" t="inlineStr"/>
      <c r="L755" t="inlineStr">
        <is>
          <t>KAG9464036.1 hypothetical protein GDO78_020615 [Eleutherodactylus coqui]</t>
        </is>
      </c>
      <c r="M755" t="n">
        <v>106</v>
      </c>
      <c r="N755" t="inlineStr">
        <is>
          <t>Eleutherodactylus coqui</t>
        </is>
      </c>
      <c r="O755" t="inlineStr">
        <is>
          <t>hypothetical protein GDO78_020615</t>
        </is>
      </c>
    </row>
    <row r="756">
      <c r="A756" t="inlineStr"/>
      <c r="B756" t="inlineStr"/>
      <c r="C756" t="inlineStr"/>
      <c r="D756" t="inlineStr"/>
      <c r="E756">
        <f>HYPERLINK("https://www.uniprot.org/uniprotkb/A0A2Y9R513/entry", "A0A2Y9R513")</f>
        <v/>
      </c>
      <c r="F756" t="n">
        <v>45.5</v>
      </c>
      <c r="G756" t="n">
        <v>110</v>
      </c>
      <c r="H756" t="n">
        <v>6.64e-19</v>
      </c>
      <c r="I756" t="inlineStr">
        <is>
          <t>TrEMBL</t>
        </is>
      </c>
      <c r="J756" t="inlineStr">
        <is>
          <t>LOC101348775</t>
        </is>
      </c>
      <c r="K756" t="inlineStr">
        <is>
          <t>A0A2Y9R513_TRIMA</t>
        </is>
      </c>
      <c r="L756" t="inlineStr">
        <is>
          <t>tr|A0A2Y9R513|A0A2Y9R513_TRIMA Ribosomal protein OS=Trichechus manatus latirostris OX=127582 GN=LOC101348775 PE=3 SV=1</t>
        </is>
      </c>
      <c r="M756" t="n">
        <v>110</v>
      </c>
      <c r="N756" t="inlineStr">
        <is>
          <t>Trichechus manatus latirostris</t>
        </is>
      </c>
      <c r="O756" t="inlineStr">
        <is>
          <t>Ribosomal protein</t>
        </is>
      </c>
    </row>
    <row r="757">
      <c r="A757" t="inlineStr"/>
      <c r="B757" t="inlineStr"/>
      <c r="C757" t="inlineStr"/>
      <c r="D757" t="inlineStr"/>
      <c r="E757">
        <f>HYPERLINK("https://www.uniprot.org/uniprotkb/A0A2Y9RF27/entry", "A0A2Y9RF27")</f>
        <v/>
      </c>
      <c r="F757" t="n">
        <v>45.5</v>
      </c>
      <c r="G757" t="n">
        <v>110</v>
      </c>
      <c r="H757" t="n">
        <v>8.23e-19</v>
      </c>
      <c r="I757" t="inlineStr">
        <is>
          <t>TrEMBL</t>
        </is>
      </c>
      <c r="J757" t="inlineStr">
        <is>
          <t>LOC101348775</t>
        </is>
      </c>
      <c r="K757" t="inlineStr">
        <is>
          <t>A0A2Y9RF27_TRIMA</t>
        </is>
      </c>
      <c r="L757" t="inlineStr">
        <is>
          <t>tr|A0A2Y9RF27|A0A2Y9RF27_TRIMA Ribosomal protein OS=Trichechus manatus latirostris OX=127582 GN=LOC101348775 PE=3 SV=1</t>
        </is>
      </c>
      <c r="M757" t="n">
        <v>118</v>
      </c>
      <c r="N757" t="inlineStr">
        <is>
          <t>Trichechus manatus latirostris</t>
        </is>
      </c>
      <c r="O757" t="inlineStr">
        <is>
          <t>Ribosomal protein</t>
        </is>
      </c>
    </row>
    <row r="758">
      <c r="A758" t="inlineStr"/>
      <c r="B758" t="inlineStr"/>
      <c r="C758" t="inlineStr"/>
      <c r="D758" t="inlineStr"/>
      <c r="E758">
        <f>HYPERLINK("https://www.ncbi.nlm.nih.gov/gene/?term=XP_036596714.1", "XP_036596714.1")</f>
        <v/>
      </c>
      <c r="F758" t="n">
        <v>45.5</v>
      </c>
      <c r="G758" t="n">
        <v>110</v>
      </c>
      <c r="H758" t="n">
        <v>9.22e-19</v>
      </c>
      <c r="I758" t="inlineStr">
        <is>
          <t>Nr</t>
        </is>
      </c>
      <c r="J758" t="inlineStr"/>
      <c r="K758" t="inlineStr"/>
      <c r="L758" t="inlineStr">
        <is>
          <t>XP_036596714.1 39S ribosomal protein L36, mitochondrial [Trichosurus vulpecula]</t>
        </is>
      </c>
      <c r="M758" t="n">
        <v>113</v>
      </c>
      <c r="N758" t="inlineStr">
        <is>
          <t>Trichosurus vulpecula</t>
        </is>
      </c>
      <c r="O758" t="inlineStr">
        <is>
          <t>39S ribosomal protein L36, mitochondrial</t>
        </is>
      </c>
    </row>
    <row r="759">
      <c r="A759" t="inlineStr"/>
      <c r="B759" t="inlineStr"/>
      <c r="C759" t="inlineStr"/>
      <c r="D759" t="inlineStr"/>
      <c r="E759">
        <f>HYPERLINK("https://www.uniprot.org/uniprotkb/F6R2H4/entry", "F6R2H4")</f>
        <v/>
      </c>
      <c r="F759" t="n">
        <v>45.9</v>
      </c>
      <c r="G759" t="n">
        <v>111</v>
      </c>
      <c r="H759" t="n">
        <v>9.659999999999999e-19</v>
      </c>
      <c r="I759" t="inlineStr">
        <is>
          <t>TrEMBL</t>
        </is>
      </c>
      <c r="J759" t="inlineStr">
        <is>
          <t>MRPL36</t>
        </is>
      </c>
      <c r="K759" t="inlineStr">
        <is>
          <t>F6R2H4_MONDO</t>
        </is>
      </c>
      <c r="L759" t="inlineStr">
        <is>
          <t>tr|F6R2H4|F6R2H4_MONDO Ribosomal protein OS=Monodelphis domestica OX=13616 GN=MRPL36 PE=3 SV=2</t>
        </is>
      </c>
      <c r="M759" t="n">
        <v>111</v>
      </c>
      <c r="N759" t="inlineStr">
        <is>
          <t>Monodelphis domestica</t>
        </is>
      </c>
      <c r="O759" t="inlineStr">
        <is>
          <t>Ribosomal protein</t>
        </is>
      </c>
    </row>
    <row r="760">
      <c r="A760" t="inlineStr"/>
      <c r="B760" t="inlineStr"/>
      <c r="C760" t="inlineStr"/>
      <c r="D760" t="inlineStr"/>
      <c r="E760">
        <f>HYPERLINK("https://www.ncbi.nlm.nih.gov/gene/?term=XP_023590575.1", "XP_023590575.1")</f>
        <v/>
      </c>
      <c r="F760" t="n">
        <v>45.5</v>
      </c>
      <c r="G760" t="n">
        <v>110</v>
      </c>
      <c r="H760" t="n">
        <v>1.71e-18</v>
      </c>
      <c r="I760" t="inlineStr">
        <is>
          <t>Nr</t>
        </is>
      </c>
      <c r="J760" t="inlineStr"/>
      <c r="K760" t="inlineStr"/>
      <c r="L760" t="inlineStr">
        <is>
          <t>XP_023590575.1 39S ribosomal protein L36, mitochondrial isoform X2 [Trichechus manatus latirostris]</t>
        </is>
      </c>
      <c r="M760" t="n">
        <v>110</v>
      </c>
      <c r="N760" t="inlineStr">
        <is>
          <t>Trichechus manatus latirostris</t>
        </is>
      </c>
      <c r="O760" t="inlineStr">
        <is>
          <t>39S ribosomal protein L36, mitochondrial isoform X2</t>
        </is>
      </c>
    </row>
    <row r="761">
      <c r="A761" t="inlineStr"/>
      <c r="B761" t="inlineStr"/>
      <c r="C761" t="inlineStr"/>
      <c r="D761" t="inlineStr"/>
      <c r="E761">
        <f>HYPERLINK("https://www.ncbi.nlm.nih.gov/gene/?term=XP_023590574.1", "XP_023590574.1")</f>
        <v/>
      </c>
      <c r="F761" t="n">
        <v>45.5</v>
      </c>
      <c r="G761" t="n">
        <v>110</v>
      </c>
      <c r="H761" t="n">
        <v>2.11e-18</v>
      </c>
      <c r="I761" t="inlineStr">
        <is>
          <t>Nr</t>
        </is>
      </c>
      <c r="J761" t="inlineStr"/>
      <c r="K761" t="inlineStr"/>
      <c r="L761" t="inlineStr">
        <is>
          <t>XP_023590574.1 39S ribosomal protein L36, mitochondrial isoform X1 [Trichechus manatus latirostris]</t>
        </is>
      </c>
      <c r="M761" t="n">
        <v>118</v>
      </c>
      <c r="N761" t="inlineStr">
        <is>
          <t>Trichechus manatus latirostris</t>
        </is>
      </c>
      <c r="O761" t="inlineStr">
        <is>
          <t>39S ribosomal protein L36, mitochondrial isoform X1</t>
        </is>
      </c>
    </row>
    <row r="762">
      <c r="A762" t="inlineStr"/>
      <c r="B762" t="inlineStr"/>
      <c r="C762" t="inlineStr"/>
      <c r="D762" t="inlineStr"/>
      <c r="E762">
        <f>HYPERLINK("https://www.ncbi.nlm.nih.gov/gene/?term=XP_007486855.1", "XP_007486855.1")</f>
        <v/>
      </c>
      <c r="F762" t="n">
        <v>45.9</v>
      </c>
      <c r="G762" t="n">
        <v>111</v>
      </c>
      <c r="H762" t="n">
        <v>2.69e-18</v>
      </c>
      <c r="I762" t="inlineStr">
        <is>
          <t>Nr</t>
        </is>
      </c>
      <c r="J762" t="inlineStr"/>
      <c r="K762" t="inlineStr"/>
      <c r="L762" t="inlineStr">
        <is>
          <t>XP_007486855.1 PREDICTED: 39S ribosomal protein L36, mitochondrial [Monodelphis domestica]</t>
        </is>
      </c>
      <c r="M762" t="n">
        <v>114</v>
      </c>
      <c r="N762" t="inlineStr">
        <is>
          <t>Monodelphis domestica</t>
        </is>
      </c>
      <c r="O762" t="inlineStr">
        <is>
          <t>PREDICTED: 39S ribosomal protein L36, mitochondrial</t>
        </is>
      </c>
    </row>
    <row r="763">
      <c r="A763" t="inlineStr"/>
      <c r="B763" t="inlineStr"/>
      <c r="C763" t="inlineStr"/>
      <c r="D763" t="inlineStr"/>
      <c r="E763">
        <f>HYPERLINK("https://www.uniprot.org/uniprotkb/K4GLJ2/entry", "K4GLJ2")</f>
        <v/>
      </c>
      <c r="F763" t="n">
        <v>44.3</v>
      </c>
      <c r="G763" t="n">
        <v>115</v>
      </c>
      <c r="H763" t="n">
        <v>3.14e-18</v>
      </c>
      <c r="I763" t="inlineStr">
        <is>
          <t>TrEMBL</t>
        </is>
      </c>
      <c r="J763" t="inlineStr">
        <is>
          <t>mrpl36</t>
        </is>
      </c>
      <c r="K763" t="inlineStr">
        <is>
          <t>K4GLJ2_CALMI</t>
        </is>
      </c>
      <c r="L763" t="inlineStr">
        <is>
          <t>tr|K4GLJ2|K4GLJ2_CALMI Ribosomal protein OS=Callorhinchus milii OX=7868 GN=mrpl36 PE=2 SV=1</t>
        </is>
      </c>
      <c r="M763" t="n">
        <v>116</v>
      </c>
      <c r="N763" t="inlineStr">
        <is>
          <t>Callorhinchus milii</t>
        </is>
      </c>
      <c r="O763" t="inlineStr">
        <is>
          <t>Ribosomal protein</t>
        </is>
      </c>
    </row>
    <row r="764">
      <c r="A764" t="inlineStr"/>
      <c r="B764" t="inlineStr"/>
      <c r="C764" t="inlineStr"/>
      <c r="D764" t="inlineStr"/>
      <c r="E764">
        <f>HYPERLINK("https://www.ncbi.nlm.nih.gov/gene/?term=XP_044539788.1", "XP_044539788.1")</f>
        <v/>
      </c>
      <c r="F764" t="n">
        <v>44.5</v>
      </c>
      <c r="G764" t="n">
        <v>110</v>
      </c>
      <c r="H764" t="n">
        <v>3.81e-18</v>
      </c>
      <c r="I764" t="inlineStr">
        <is>
          <t>Nr</t>
        </is>
      </c>
      <c r="J764" t="inlineStr"/>
      <c r="K764" t="inlineStr"/>
      <c r="L764" t="inlineStr">
        <is>
          <t>XP_044539788.1 39S ribosomal protein L36, mitochondrial [Gracilinanus agilis]</t>
        </is>
      </c>
      <c r="M764" t="n">
        <v>114</v>
      </c>
      <c r="N764" t="inlineStr">
        <is>
          <t>Gracilinanus agilis</t>
        </is>
      </c>
      <c r="O764" t="inlineStr">
        <is>
          <t>39S ribosomal protein L36, mitochondrial</t>
        </is>
      </c>
    </row>
    <row r="765">
      <c r="A765" t="inlineStr"/>
      <c r="B765" t="inlineStr"/>
      <c r="C765" t="inlineStr"/>
      <c r="D765" t="inlineStr"/>
      <c r="E765">
        <f>HYPERLINK("https://www.ncbi.nlm.nih.gov/gene/?term=NP_001280072.1", "NP_001280072.1")</f>
        <v/>
      </c>
      <c r="F765" t="n">
        <v>44.3</v>
      </c>
      <c r="G765" t="n">
        <v>115</v>
      </c>
      <c r="H765" t="n">
        <v>8.06e-18</v>
      </c>
      <c r="I765" t="inlineStr">
        <is>
          <t>Nr</t>
        </is>
      </c>
      <c r="J765" t="inlineStr"/>
      <c r="K765" t="inlineStr"/>
      <c r="L765" t="inlineStr">
        <is>
          <t>NP_001280072.1 39S ribosomal protein L36, mitochondrial [Callorhinchus milii]</t>
        </is>
      </c>
      <c r="M765" t="n">
        <v>116</v>
      </c>
      <c r="N765" t="inlineStr">
        <is>
          <t>Callorhinchus milii</t>
        </is>
      </c>
      <c r="O765" t="inlineStr">
        <is>
          <t>39S ribosomal protein L36, mitochondrial</t>
        </is>
      </c>
    </row>
    <row r="766">
      <c r="A766" t="inlineStr"/>
      <c r="B766" t="inlineStr"/>
      <c r="C766" t="inlineStr"/>
      <c r="D766" t="inlineStr"/>
      <c r="E766">
        <f>HYPERLINK("https://www.uniprot.org/uniprotkb/A0A8B7AP81/entry", "A0A8B7AP81")</f>
        <v/>
      </c>
      <c r="F766" t="n">
        <v>43.6</v>
      </c>
      <c r="G766" t="n">
        <v>110</v>
      </c>
      <c r="H766" t="n">
        <v>1.44e-17</v>
      </c>
      <c r="I766" t="inlineStr">
        <is>
          <t>TrEMBL</t>
        </is>
      </c>
      <c r="J766" t="inlineStr">
        <is>
          <t>MRPL36</t>
        </is>
      </c>
      <c r="K766" t="inlineStr">
        <is>
          <t>A0A8B7AP81_ORYAF</t>
        </is>
      </c>
      <c r="L766" t="inlineStr">
        <is>
          <t>tr|A0A8B7AP81|A0A8B7AP81_ORYAF Ribosomal protein OS=Orycteropus afer afer OX=1230840 GN=MRPL36 PE=3 SV=1</t>
        </is>
      </c>
      <c r="M766" t="n">
        <v>121</v>
      </c>
      <c r="N766" t="inlineStr">
        <is>
          <t>Orycteropus afer afer</t>
        </is>
      </c>
      <c r="O766" t="inlineStr">
        <is>
          <t>Ribosomal protein</t>
        </is>
      </c>
    </row>
    <row r="767">
      <c r="A767" t="inlineStr"/>
      <c r="B767" t="inlineStr"/>
      <c r="C767" t="inlineStr"/>
      <c r="D767" t="inlineStr"/>
      <c r="E767">
        <f>HYPERLINK("https://www.uniprot.org/uniprotkb/W5MQY4/entry", "W5MQY4")</f>
        <v/>
      </c>
      <c r="F767" t="n">
        <v>45.2</v>
      </c>
      <c r="G767" t="n">
        <v>115</v>
      </c>
      <c r="H767" t="n">
        <v>2.88e-17</v>
      </c>
      <c r="I767" t="inlineStr">
        <is>
          <t>TrEMBL</t>
        </is>
      </c>
      <c r="J767" t="inlineStr"/>
      <c r="K767" t="inlineStr">
        <is>
          <t>W5MQY4_LEPOC</t>
        </is>
      </c>
      <c r="L767" t="inlineStr">
        <is>
          <t>tr|W5MQY4|W5MQY4_LEPOC Ribosomal protein OS=Lepisosteus oculatus OX=7918 PE=3 SV=1</t>
        </is>
      </c>
      <c r="M767" t="n">
        <v>121</v>
      </c>
      <c r="N767" t="inlineStr">
        <is>
          <t>Lepisosteus oculatus</t>
        </is>
      </c>
      <c r="O767" t="inlineStr">
        <is>
          <t>Ribosomal protein</t>
        </is>
      </c>
    </row>
    <row r="768">
      <c r="A768" t="inlineStr"/>
      <c r="B768" t="inlineStr"/>
      <c r="C768" t="inlineStr"/>
      <c r="D768" t="inlineStr"/>
      <c r="E768">
        <f>HYPERLINK("https://www.ncbi.nlm.nih.gov/gene/?term=MBN3276473.1", "MBN3276473.1")</f>
        <v/>
      </c>
      <c r="F768" t="n">
        <v>44.1</v>
      </c>
      <c r="G768" t="n">
        <v>111</v>
      </c>
      <c r="H768" t="n">
        <v>8.270000000000001e-17</v>
      </c>
      <c r="I768" t="inlineStr">
        <is>
          <t>Nr</t>
        </is>
      </c>
      <c r="J768" t="inlineStr"/>
      <c r="K768" t="inlineStr"/>
      <c r="L768" t="inlineStr">
        <is>
          <t>MBN3276473.1 RM36 protein [Polyodon spathula]</t>
        </is>
      </c>
      <c r="M768" t="n">
        <v>112</v>
      </c>
      <c r="N768" t="inlineStr">
        <is>
          <t>Polyodon spathula</t>
        </is>
      </c>
      <c r="O768" t="inlineStr">
        <is>
          <t>RM36 protein</t>
        </is>
      </c>
    </row>
    <row r="769">
      <c r="A769" t="inlineStr"/>
      <c r="B769" t="inlineStr"/>
      <c r="C769" t="inlineStr"/>
      <c r="D769" t="inlineStr"/>
      <c r="E769">
        <f>HYPERLINK("https://www.uniprot.org/uniprotkb/A0A8J6GVU8/entry", "A0A8J6GVU8")</f>
        <v/>
      </c>
      <c r="F769" t="n">
        <v>45.3</v>
      </c>
      <c r="G769" t="n">
        <v>106</v>
      </c>
      <c r="H769" t="n">
        <v>9.929999999999999e-17</v>
      </c>
      <c r="I769" t="inlineStr">
        <is>
          <t>TrEMBL</t>
        </is>
      </c>
      <c r="J769" t="inlineStr">
        <is>
          <t>LTLLF_102075</t>
        </is>
      </c>
      <c r="K769" t="inlineStr">
        <is>
          <t>A0A8J6GVU8_MICOH</t>
        </is>
      </c>
      <c r="L769" t="inlineStr">
        <is>
          <t>tr|A0A8J6GVU8|A0A8J6GVU8_MICOH Ribosomal protein OS=Microtus ochrogaster OX=79684 GN=LTLLF_102075 PE=3 SV=1</t>
        </is>
      </c>
      <c r="M769" t="n">
        <v>102</v>
      </c>
      <c r="N769" t="inlineStr">
        <is>
          <t>Microtus ochrogaster</t>
        </is>
      </c>
      <c r="O769" t="inlineStr">
        <is>
          <t>Ribosomal protein</t>
        </is>
      </c>
    </row>
    <row r="770">
      <c r="A770" t="inlineStr"/>
      <c r="B770" t="inlineStr"/>
      <c r="C770" t="inlineStr"/>
      <c r="D770" t="inlineStr"/>
      <c r="E770">
        <f>HYPERLINK("https://www.uniprot.org/uniprotkb/A0A3Q2PTB2/entry", "A0A3Q2PTB2")</f>
        <v/>
      </c>
      <c r="F770" t="n">
        <v>62.1</v>
      </c>
      <c r="G770" t="n">
        <v>66</v>
      </c>
      <c r="H770" t="n">
        <v>1.01e-16</v>
      </c>
      <c r="I770" t="inlineStr">
        <is>
          <t>TrEMBL</t>
        </is>
      </c>
      <c r="J770" t="inlineStr"/>
      <c r="K770" t="inlineStr">
        <is>
          <t>A0A3Q2PTB2_FUNHE</t>
        </is>
      </c>
      <c r="L770" t="inlineStr">
        <is>
          <t>tr|A0A3Q2PTB2|A0A3Q2PTB2_FUNHE Ribosomal protein OS=Fundulus heteroclitus OX=8078 PE=3 SV=1</t>
        </is>
      </c>
      <c r="M770" t="n">
        <v>116</v>
      </c>
      <c r="N770" t="inlineStr">
        <is>
          <t>Fundulus heteroclitus</t>
        </is>
      </c>
      <c r="O770" t="inlineStr">
        <is>
          <t>Ribosomal protein</t>
        </is>
      </c>
    </row>
    <row r="771">
      <c r="A771" t="inlineStr"/>
      <c r="B771" t="inlineStr"/>
      <c r="C771" t="inlineStr"/>
      <c r="D771" t="inlineStr"/>
      <c r="E771">
        <f>HYPERLINK("https://www.ncbi.nlm.nih.gov/gene/?term=XP_031215944.1", "XP_031215944.1")</f>
        <v/>
      </c>
      <c r="F771" t="n">
        <v>44.3</v>
      </c>
      <c r="G771" t="n">
        <v>106</v>
      </c>
      <c r="H771" t="n">
        <v>1.27e-16</v>
      </c>
      <c r="I771" t="inlineStr">
        <is>
          <t>Nr</t>
        </is>
      </c>
      <c r="J771" t="inlineStr"/>
      <c r="K771" t="inlineStr"/>
      <c r="L771" t="inlineStr">
        <is>
          <t>XP_031215944.1 39S ribosomal protein L36, mitochondrial [Mastomys coucha]</t>
        </is>
      </c>
      <c r="M771" t="n">
        <v>102</v>
      </c>
      <c r="N771" t="inlineStr">
        <is>
          <t>Mastomys coucha</t>
        </is>
      </c>
      <c r="O771" t="inlineStr">
        <is>
          <t>39S ribosomal protein L36, mitochondrial</t>
        </is>
      </c>
    </row>
    <row r="772">
      <c r="A772" t="inlineStr"/>
      <c r="B772" t="inlineStr"/>
      <c r="C772" t="inlineStr"/>
      <c r="D772" t="inlineStr"/>
      <c r="E772">
        <f>HYPERLINK("https://www.uniprot.org/uniprotkb/Q99N90/entry", "Q99N90")</f>
        <v/>
      </c>
      <c r="F772" t="n">
        <v>42.2</v>
      </c>
      <c r="G772" t="n">
        <v>109</v>
      </c>
      <c r="H772" t="n">
        <v>1.32e-16</v>
      </c>
      <c r="I772" t="inlineStr">
        <is>
          <t>Swiss-Prot</t>
        </is>
      </c>
      <c r="J772" t="inlineStr">
        <is>
          <t>Mrpl36</t>
        </is>
      </c>
      <c r="K772" t="inlineStr">
        <is>
          <t>RM36_MOUSE</t>
        </is>
      </c>
      <c r="L772" t="inlineStr">
        <is>
          <t>sp|Q99N90|RM36_MOUSE 39S ribosomal protein L36, mitochondrial OS=Mus musculus OX=10090 GN=Mrpl36 PE=3 SV=1</t>
        </is>
      </c>
      <c r="M772" t="n">
        <v>102</v>
      </c>
      <c r="N772" t="inlineStr">
        <is>
          <t>Mus musculus</t>
        </is>
      </c>
      <c r="O772" t="inlineStr">
        <is>
          <t>39S ribosomal protein L36, mitochondrial</t>
        </is>
      </c>
    </row>
    <row r="773">
      <c r="A773" t="inlineStr"/>
      <c r="B773" t="inlineStr"/>
      <c r="C773" t="inlineStr"/>
      <c r="D773" t="inlineStr"/>
      <c r="E773">
        <f>HYPERLINK("https://www.uniprot.org/uniprotkb/M7BB97/entry", "M7BB97")</f>
        <v/>
      </c>
      <c r="F773" t="n">
        <v>44.4</v>
      </c>
      <c r="G773" t="n">
        <v>108</v>
      </c>
      <c r="H773" t="n">
        <v>1.69e-16</v>
      </c>
      <c r="I773" t="inlineStr">
        <is>
          <t>TrEMBL</t>
        </is>
      </c>
      <c r="J773" t="inlineStr">
        <is>
          <t>UY3_08396</t>
        </is>
      </c>
      <c r="K773" t="inlineStr">
        <is>
          <t>M7BB97_CHEMY</t>
        </is>
      </c>
      <c r="L773" t="inlineStr">
        <is>
          <t>tr|M7BB97|M7BB97_CHEMY Ribosomal protein OS=Chelonia mydas OX=8469 GN=UY3_08396 PE=3 SV=1</t>
        </is>
      </c>
      <c r="M773" t="n">
        <v>109</v>
      </c>
      <c r="N773" t="inlineStr">
        <is>
          <t>Chelonia mydas</t>
        </is>
      </c>
      <c r="O773" t="inlineStr">
        <is>
          <t>Ribosomal protein</t>
        </is>
      </c>
    </row>
    <row r="774">
      <c r="A774" t="inlineStr"/>
      <c r="B774" t="inlineStr"/>
      <c r="C774" t="inlineStr"/>
      <c r="D774" t="inlineStr"/>
      <c r="E774">
        <f>HYPERLINK("https://www.uniprot.org/uniprotkb/A0A8C1YJY9/entry", "A0A8C1YJY9")</f>
        <v/>
      </c>
      <c r="F774" t="n">
        <v>45.9</v>
      </c>
      <c r="G774" t="n">
        <v>122</v>
      </c>
      <c r="H774" t="n">
        <v>2.19e-16</v>
      </c>
      <c r="I774" t="inlineStr">
        <is>
          <t>TrEMBL</t>
        </is>
      </c>
      <c r="J774" t="inlineStr"/>
      <c r="K774" t="inlineStr">
        <is>
          <t>A0A8C1YJY9_CYPCA</t>
        </is>
      </c>
      <c r="L774" t="inlineStr">
        <is>
          <t>tr|A0A8C1YJY9|A0A8C1YJY9_CYPCA Ribosomal protein OS=Cyprinus carpio OX=7962 PE=3 SV=1</t>
        </is>
      </c>
      <c r="M774" t="n">
        <v>119</v>
      </c>
      <c r="N774" t="inlineStr">
        <is>
          <t>Cyprinus carpio</t>
        </is>
      </c>
      <c r="O774" t="inlineStr">
        <is>
          <t>Ribosomal protein</t>
        </is>
      </c>
    </row>
    <row r="775">
      <c r="A775" t="inlineStr"/>
      <c r="B775" t="inlineStr"/>
      <c r="C775" t="inlineStr"/>
      <c r="D775" t="inlineStr"/>
      <c r="E775">
        <f>HYPERLINK("https://www.ncbi.nlm.nih.gov/gene/?term=XP_006635995.1", "XP_006635995.1")</f>
        <v/>
      </c>
      <c r="F775" t="n">
        <v>44.7</v>
      </c>
      <c r="G775" t="n">
        <v>114</v>
      </c>
      <c r="H775" t="n">
        <v>2.54e-16</v>
      </c>
      <c r="I775" t="inlineStr">
        <is>
          <t>Nr</t>
        </is>
      </c>
      <c r="J775" t="inlineStr"/>
      <c r="K775" t="inlineStr"/>
      <c r="L775" t="inlineStr">
        <is>
          <t>XP_006635995.1 PREDICTED: 39S ribosomal protein L36, mitochondrial [Lepisosteus oculatus]</t>
        </is>
      </c>
      <c r="M775" t="n">
        <v>115</v>
      </c>
      <c r="N775" t="inlineStr">
        <is>
          <t>Lepisosteus oculatus</t>
        </is>
      </c>
      <c r="O775" t="inlineStr">
        <is>
          <t>PREDICTED: 39S ribosomal protein L36, mitochondrial</t>
        </is>
      </c>
    </row>
    <row r="776">
      <c r="A776" t="inlineStr"/>
      <c r="B776" t="inlineStr"/>
      <c r="C776" t="inlineStr"/>
      <c r="D776" t="inlineStr"/>
      <c r="E776">
        <f>HYPERLINK("https://www.ncbi.nlm.nih.gov/gene/?term=XP_005371904.1", "XP_005371904.1")</f>
        <v/>
      </c>
      <c r="F776" t="n">
        <v>45.3</v>
      </c>
      <c r="G776" t="n">
        <v>106</v>
      </c>
      <c r="H776" t="n">
        <v>2.55e-16</v>
      </c>
      <c r="I776" t="inlineStr">
        <is>
          <t>Nr</t>
        </is>
      </c>
      <c r="J776" t="inlineStr"/>
      <c r="K776" t="inlineStr"/>
      <c r="L776" t="inlineStr">
        <is>
          <t>XP_005371904.1 39S ribosomal protein L36, mitochondrial-like [Microtus ochrogaster]</t>
        </is>
      </c>
      <c r="M776" t="n">
        <v>102</v>
      </c>
      <c r="N776" t="inlineStr">
        <is>
          <t>Microtus ochrogaster</t>
        </is>
      </c>
      <c r="O776" t="inlineStr">
        <is>
          <t>39S ribosomal protein L36, mitochondrial-like</t>
        </is>
      </c>
    </row>
    <row r="777">
      <c r="A777" t="inlineStr"/>
      <c r="B777" t="inlineStr"/>
      <c r="C777" t="inlineStr"/>
      <c r="D777" t="inlineStr"/>
      <c r="E777">
        <f>HYPERLINK("https://www.ncbi.nlm.nih.gov/gene/?term=XP_005356763.1", "XP_005356763.1")</f>
        <v/>
      </c>
      <c r="F777" t="n">
        <v>45.3</v>
      </c>
      <c r="G777" t="n">
        <v>106</v>
      </c>
      <c r="H777" t="n">
        <v>2.55e-16</v>
      </c>
      <c r="I777" t="inlineStr">
        <is>
          <t>Nr</t>
        </is>
      </c>
      <c r="J777" t="inlineStr"/>
      <c r="K777" t="inlineStr"/>
      <c r="L777" t="inlineStr">
        <is>
          <t>XP_005356763.1 39S ribosomal protein L36, mitochondrial [Microtus ochrogaster]</t>
        </is>
      </c>
      <c r="M777" t="n">
        <v>102</v>
      </c>
      <c r="N777" t="inlineStr">
        <is>
          <t>Microtus ochrogaster</t>
        </is>
      </c>
      <c r="O777" t="inlineStr">
        <is>
          <t>39S ribosomal protein L36, mitochondrial</t>
        </is>
      </c>
    </row>
    <row r="778">
      <c r="A778" t="inlineStr"/>
      <c r="B778" t="inlineStr"/>
      <c r="C778" t="inlineStr"/>
      <c r="D778" t="inlineStr"/>
      <c r="E778">
        <f>HYPERLINK("https://www.uniprot.org/uniprotkb/A0A3S2P968/entry", "A0A3S2P968")</f>
        <v/>
      </c>
      <c r="F778" t="n">
        <v>48.2</v>
      </c>
      <c r="G778" t="n">
        <v>112</v>
      </c>
      <c r="H778" t="n">
        <v>3.2e-16</v>
      </c>
      <c r="I778" t="inlineStr">
        <is>
          <t>TrEMBL</t>
        </is>
      </c>
      <c r="J778" t="inlineStr">
        <is>
          <t>OJAV_G00235830</t>
        </is>
      </c>
      <c r="K778" t="inlineStr">
        <is>
          <t>A0A3S2P968_ORYJA</t>
        </is>
      </c>
      <c r="L778" t="inlineStr">
        <is>
          <t>tr|A0A3S2P968|A0A3S2P968_ORYJA Ribosomal protein OS=Oryzias javanicus OX=123683 GN=OJAV_G00235830 PE=3 SV=1</t>
        </is>
      </c>
      <c r="M778" t="n">
        <v>148</v>
      </c>
      <c r="N778" t="inlineStr">
        <is>
          <t>Oryzias javanicus</t>
        </is>
      </c>
      <c r="O778" t="inlineStr">
        <is>
          <t>Ribosomal protein</t>
        </is>
      </c>
    </row>
    <row r="779">
      <c r="A779" t="inlineStr"/>
      <c r="B779" t="inlineStr"/>
      <c r="C779" t="inlineStr"/>
      <c r="D779" t="inlineStr"/>
      <c r="E779">
        <f>HYPERLINK("https://www.ncbi.nlm.nih.gov/gene/?term=XP_048693178.1", "XP_048693178.1")</f>
        <v/>
      </c>
      <c r="F779" t="n">
        <v>44.4</v>
      </c>
      <c r="G779" t="n">
        <v>108</v>
      </c>
      <c r="H779" t="n">
        <v>4.35e-16</v>
      </c>
      <c r="I779" t="inlineStr">
        <is>
          <t>Nr</t>
        </is>
      </c>
      <c r="J779" t="inlineStr"/>
      <c r="K779" t="inlineStr"/>
      <c r="L779" t="inlineStr">
        <is>
          <t>XP_048693178.1 39S ribosomal protein L36, mitochondrial [Caretta caretta]</t>
        </is>
      </c>
      <c r="M779" t="n">
        <v>109</v>
      </c>
      <c r="N779" t="inlineStr">
        <is>
          <t>Caretta caretta</t>
        </is>
      </c>
      <c r="O779" t="inlineStr">
        <is>
          <t>39S ribosomal protein L36, mitochondrial</t>
        </is>
      </c>
    </row>
    <row r="780">
      <c r="A780" t="inlineStr"/>
      <c r="B780" t="inlineStr"/>
      <c r="C780" t="inlineStr"/>
      <c r="D780" t="inlineStr"/>
      <c r="E780">
        <f>HYPERLINK("https://www.uniprot.org/uniprotkb/A0A1U7SNB4/entry", "A0A1U7SNB4")</f>
        <v/>
      </c>
      <c r="F780" t="n">
        <v>43.9</v>
      </c>
      <c r="G780" t="n">
        <v>107</v>
      </c>
      <c r="H780" t="n">
        <v>4.44e-16</v>
      </c>
      <c r="I780" t="inlineStr">
        <is>
          <t>TrEMBL</t>
        </is>
      </c>
      <c r="J780" t="inlineStr">
        <is>
          <t>MRPL36</t>
        </is>
      </c>
      <c r="K780" t="inlineStr">
        <is>
          <t>A0A1U7SNB4_CARSF</t>
        </is>
      </c>
      <c r="L780" t="inlineStr">
        <is>
          <t>tr|A0A1U7SNB4|A0A1U7SNB4_CARSF Ribosomal protein OS=Carlito syrichta OX=1868482 GN=MRPL36 PE=3 SV=1</t>
        </is>
      </c>
      <c r="M780" t="n">
        <v>106</v>
      </c>
      <c r="N780" t="inlineStr">
        <is>
          <t>Carlito syrichta</t>
        </is>
      </c>
      <c r="O780" t="inlineStr">
        <is>
          <t>Ribosomal protein</t>
        </is>
      </c>
    </row>
    <row r="781">
      <c r="A781" t="inlineStr"/>
      <c r="B781" t="inlineStr"/>
      <c r="C781" t="inlineStr"/>
      <c r="D781" t="inlineStr"/>
      <c r="E781">
        <f>HYPERLINK("https://www.uniprot.org/uniprotkb/A0A8C3TDA8/entry", "A0A8C3TDA8")</f>
        <v/>
      </c>
      <c r="F781" t="n">
        <v>44.5</v>
      </c>
      <c r="G781" t="n">
        <v>110</v>
      </c>
      <c r="H781" t="n">
        <v>4.8e-16</v>
      </c>
      <c r="I781" t="inlineStr">
        <is>
          <t>TrEMBL</t>
        </is>
      </c>
      <c r="J781" t="inlineStr"/>
      <c r="K781" t="inlineStr">
        <is>
          <t>A0A8C3TDA8_CHESE</t>
        </is>
      </c>
      <c r="L781" t="inlineStr">
        <is>
          <t>tr|A0A8C3TDA8|A0A8C3TDA8_CHESE Ribosomal protein OS=Chelydra serpentina OX=8475 PE=3 SV=1</t>
        </is>
      </c>
      <c r="M781" t="n">
        <v>109</v>
      </c>
      <c r="N781" t="inlineStr">
        <is>
          <t>Chelydra serpentina</t>
        </is>
      </c>
      <c r="O781" t="inlineStr">
        <is>
          <t>Ribosomal protein</t>
        </is>
      </c>
    </row>
    <row r="782">
      <c r="A782" t="inlineStr"/>
      <c r="B782" t="inlineStr"/>
      <c r="C782" t="inlineStr"/>
      <c r="D782" t="inlineStr"/>
      <c r="E782">
        <f>HYPERLINK("https://www.ncbi.nlm.nih.gov/gene/?term=XP_005344458.1", "XP_005344458.1")</f>
        <v/>
      </c>
      <c r="F782" t="n">
        <v>45.5</v>
      </c>
      <c r="G782" t="n">
        <v>110</v>
      </c>
      <c r="H782" t="n">
        <v>5.54e-16</v>
      </c>
      <c r="I782" t="inlineStr">
        <is>
          <t>Nr</t>
        </is>
      </c>
      <c r="J782" t="inlineStr"/>
      <c r="K782" t="inlineStr"/>
      <c r="L782" t="inlineStr">
        <is>
          <t>XP_005344458.1 39S ribosomal protein L36, mitochondrial-like [Microtus ochrogaster]</t>
        </is>
      </c>
      <c r="M782" t="n">
        <v>105</v>
      </c>
      <c r="N782" t="inlineStr">
        <is>
          <t>Microtus ochrogaster</t>
        </is>
      </c>
      <c r="O782" t="inlineStr">
        <is>
          <t>39S ribosomal protein L36, mitochondrial-like</t>
        </is>
      </c>
    </row>
    <row r="783">
      <c r="A783" t="inlineStr"/>
      <c r="B783" t="inlineStr"/>
      <c r="C783" t="inlineStr"/>
      <c r="D783" t="inlineStr"/>
      <c r="E783">
        <f>HYPERLINK("https://www.uniprot.org/uniprotkb/A0A8C2E7T9/entry", "A0A8C2E7T9")</f>
        <v/>
      </c>
      <c r="F783" t="n">
        <v>45.9</v>
      </c>
      <c r="G783" t="n">
        <v>122</v>
      </c>
      <c r="H783" t="n">
        <v>6.22e-16</v>
      </c>
      <c r="I783" t="inlineStr">
        <is>
          <t>TrEMBL</t>
        </is>
      </c>
      <c r="J783" t="inlineStr"/>
      <c r="K783" t="inlineStr">
        <is>
          <t>A0A8C2E7T9_CYPCA</t>
        </is>
      </c>
      <c r="L783" t="inlineStr">
        <is>
          <t>tr|A0A8C2E7T9|A0A8C2E7T9_CYPCA Ribosomal protein OS=Cyprinus carpio OX=7962 PE=3 SV=1</t>
        </is>
      </c>
      <c r="M783" t="n">
        <v>119</v>
      </c>
      <c r="N783" t="inlineStr">
        <is>
          <t>Cyprinus carpio</t>
        </is>
      </c>
      <c r="O783" t="inlineStr">
        <is>
          <t>Ribosomal protein</t>
        </is>
      </c>
    </row>
    <row r="784">
      <c r="A784" t="inlineStr"/>
      <c r="B784" t="inlineStr"/>
      <c r="C784" t="inlineStr"/>
      <c r="D784" t="inlineStr"/>
      <c r="E784">
        <f>HYPERLINK("https://www.uniprot.org/uniprotkb/A0A8C1RT87/entry", "A0A8C1RT87")</f>
        <v/>
      </c>
      <c r="F784" t="n">
        <v>45.9</v>
      </c>
      <c r="G784" t="n">
        <v>122</v>
      </c>
      <c r="H784" t="n">
        <v>6.22e-16</v>
      </c>
      <c r="I784" t="inlineStr">
        <is>
          <t>TrEMBL</t>
        </is>
      </c>
      <c r="J784" t="inlineStr"/>
      <c r="K784" t="inlineStr">
        <is>
          <t>A0A8C1RT87_CYPCA</t>
        </is>
      </c>
      <c r="L784" t="inlineStr">
        <is>
          <t>tr|A0A8C1RT87|A0A8C1RT87_CYPCA Ribosomal protein OS=Cyprinus carpio OX=7962 PE=3 SV=1</t>
        </is>
      </c>
      <c r="M784" t="n">
        <v>119</v>
      </c>
      <c r="N784" t="inlineStr">
        <is>
          <t>Cyprinus carpio</t>
        </is>
      </c>
      <c r="O784" t="inlineStr">
        <is>
          <t>Ribosomal protein</t>
        </is>
      </c>
    </row>
    <row r="785">
      <c r="A785" t="inlineStr"/>
      <c r="B785" t="inlineStr"/>
      <c r="C785" t="inlineStr"/>
      <c r="D785" t="inlineStr"/>
      <c r="E785">
        <f>HYPERLINK("https://www.uniprot.org/uniprotkb/A0A3B3C3U3/entry", "A0A3B3C3U3")</f>
        <v/>
      </c>
      <c r="F785" t="n">
        <v>46.5</v>
      </c>
      <c r="G785" t="n">
        <v>114</v>
      </c>
      <c r="H785" t="n">
        <v>7.16e-16</v>
      </c>
      <c r="I785" t="inlineStr">
        <is>
          <t>TrEMBL</t>
        </is>
      </c>
      <c r="J785" t="inlineStr"/>
      <c r="K785" t="inlineStr">
        <is>
          <t>A0A3B3C3U3_ORYME</t>
        </is>
      </c>
      <c r="L785" t="inlineStr">
        <is>
          <t>tr|A0A3B3C3U3|A0A3B3C3U3_ORYME Ribosomal protein OS=Oryzias melastigma OX=30732 PE=3 SV=1</t>
        </is>
      </c>
      <c r="M785" t="n">
        <v>111</v>
      </c>
      <c r="N785" t="inlineStr">
        <is>
          <t>Oryzias melastigma</t>
        </is>
      </c>
      <c r="O785" t="inlineStr">
        <is>
          <t>Ribosomal protein</t>
        </is>
      </c>
    </row>
    <row r="786">
      <c r="A786" t="inlineStr"/>
      <c r="B786" t="inlineStr"/>
      <c r="C786" t="inlineStr"/>
      <c r="D786" t="inlineStr"/>
      <c r="E786">
        <f>HYPERLINK("https://www.ncbi.nlm.nih.gov/gene/?term=XP_026798150.2", "XP_026798150.2")</f>
        <v/>
      </c>
      <c r="F786" t="n">
        <v>44.2</v>
      </c>
      <c r="G786" t="n">
        <v>120</v>
      </c>
      <c r="H786" t="n">
        <v>7.38e-16</v>
      </c>
      <c r="I786" t="inlineStr">
        <is>
          <t>Nr</t>
        </is>
      </c>
      <c r="J786" t="inlineStr"/>
      <c r="K786" t="inlineStr"/>
      <c r="L786" t="inlineStr">
        <is>
          <t>XP_026798150.2 39S ribosomal protein L36, mitochondrial [Pangasianodon hypophthalmus]</t>
        </is>
      </c>
      <c r="M786" t="n">
        <v>116</v>
      </c>
      <c r="N786" t="inlineStr">
        <is>
          <t>Pangasianodon hypophthalmus</t>
        </is>
      </c>
      <c r="O786" t="inlineStr">
        <is>
          <t>39S ribosomal protein L36, mitochondrial</t>
        </is>
      </c>
    </row>
    <row r="787">
      <c r="A787" t="inlineStr"/>
      <c r="B787" t="inlineStr"/>
      <c r="C787" t="inlineStr"/>
      <c r="D787" t="inlineStr"/>
      <c r="E787">
        <f>HYPERLINK("https://www.uniprot.org/uniprotkb/A0A7J6AEX9/entry", "A0A7J6AEX9")</f>
        <v/>
      </c>
      <c r="F787" t="n">
        <v>44.1</v>
      </c>
      <c r="G787" t="n">
        <v>127</v>
      </c>
      <c r="H787" t="n">
        <v>7.8e-16</v>
      </c>
      <c r="I787" t="inlineStr">
        <is>
          <t>TrEMBL</t>
        </is>
      </c>
      <c r="J787" t="inlineStr">
        <is>
          <t>AMELA_G00172820</t>
        </is>
      </c>
      <c r="K787" t="inlineStr">
        <is>
          <t>A0A7J6AEX9_AMEME</t>
        </is>
      </c>
      <c r="L787" t="inlineStr">
        <is>
          <t>tr|A0A7J6AEX9|A0A7J6AEX9_AMEME Ribosomal protein OS=Ameiurus melas OX=219545 GN=AMELA_G00172820 PE=3 SV=1</t>
        </is>
      </c>
      <c r="M787" t="n">
        <v>142</v>
      </c>
      <c r="N787" t="inlineStr">
        <is>
          <t>Ameiurus melas</t>
        </is>
      </c>
      <c r="O787" t="inlineStr">
        <is>
          <t>Ribosomal protein</t>
        </is>
      </c>
    </row>
    <row r="788">
      <c r="A788" t="inlineStr"/>
      <c r="B788" t="inlineStr"/>
      <c r="C788" t="inlineStr"/>
      <c r="D788" t="inlineStr"/>
      <c r="E788">
        <f>HYPERLINK("https://www.uniprot.org/uniprotkb/A0A3S2U9Y7/entry", "A0A3S2U9Y7")</f>
        <v/>
      </c>
      <c r="F788" t="n">
        <v>46.4</v>
      </c>
      <c r="G788" t="n">
        <v>112</v>
      </c>
      <c r="H788" t="n">
        <v>9.01e-16</v>
      </c>
      <c r="I788" t="inlineStr">
        <is>
          <t>TrEMBL</t>
        </is>
      </c>
      <c r="J788" t="inlineStr">
        <is>
          <t>OJAV_G00106020</t>
        </is>
      </c>
      <c r="K788" t="inlineStr">
        <is>
          <t>A0A3S2U9Y7_ORYJA</t>
        </is>
      </c>
      <c r="L788" t="inlineStr">
        <is>
          <t>tr|A0A3S2U9Y7|A0A3S2U9Y7_ORYJA Ribosomal protein OS=Oryzias javanicus OX=123683 GN=OJAV_G00106020 PE=3 SV=1</t>
        </is>
      </c>
      <c r="M788" t="n">
        <v>148</v>
      </c>
      <c r="N788" t="inlineStr">
        <is>
          <t>Oryzias javanicus</t>
        </is>
      </c>
      <c r="O788" t="inlineStr">
        <is>
          <t>Ribosomal protein</t>
        </is>
      </c>
    </row>
    <row r="789">
      <c r="A789" t="inlineStr"/>
      <c r="B789" t="inlineStr"/>
      <c r="C789" t="inlineStr"/>
      <c r="D789" t="inlineStr"/>
      <c r="E789">
        <f>HYPERLINK("https://www.uniprot.org/uniprotkb/Q9P0J6/entry", "Q9P0J6")</f>
        <v/>
      </c>
      <c r="F789" t="n">
        <v>37.5</v>
      </c>
      <c r="G789" t="n">
        <v>112</v>
      </c>
      <c r="H789" t="n">
        <v>1.08e-15</v>
      </c>
      <c r="I789" t="inlineStr">
        <is>
          <t>Swiss-Prot</t>
        </is>
      </c>
      <c r="J789" t="inlineStr">
        <is>
          <t>MRPL36</t>
        </is>
      </c>
      <c r="K789" t="inlineStr">
        <is>
          <t>RM36_HUMAN</t>
        </is>
      </c>
      <c r="L789" t="inlineStr">
        <is>
          <t>sp|Q9P0J6|RM36_HUMAN 39S ribosomal protein L36, mitochondrial OS=Homo sapiens OX=9606 GN=MRPL36 PE=1 SV=1</t>
        </is>
      </c>
      <c r="M789" t="n">
        <v>103</v>
      </c>
      <c r="N789" t="inlineStr">
        <is>
          <t>Homo sapiens</t>
        </is>
      </c>
      <c r="O789" t="inlineStr">
        <is>
          <t>39S ribosomal protein L36, mitochondrial</t>
        </is>
      </c>
    </row>
    <row r="790">
      <c r="A790" t="inlineStr"/>
      <c r="B790" t="inlineStr"/>
      <c r="C790" t="inlineStr"/>
      <c r="D790" t="inlineStr"/>
      <c r="E790">
        <f>HYPERLINK("https://www.uniprot.org/uniprotkb/Q19724/entry", "Q19724")</f>
        <v/>
      </c>
      <c r="F790" t="n">
        <v>54.4</v>
      </c>
      <c r="G790" t="n">
        <v>68</v>
      </c>
      <c r="H790" t="n">
        <v>1.17e-15</v>
      </c>
      <c r="I790" t="inlineStr">
        <is>
          <t>Swiss-Prot</t>
        </is>
      </c>
      <c r="J790" t="inlineStr">
        <is>
          <t>nduf-6</t>
        </is>
      </c>
      <c r="K790" t="inlineStr">
        <is>
          <t>NDUS6_CAEEL</t>
        </is>
      </c>
      <c r="L790" t="inlineStr">
        <is>
          <t>sp|Q19724|NDUS6_CAEEL Probable NADH dehydrogenase [ubiquinone] iron-sulfur protein 6, mitochondrial OS=Caenorhabditis elegans OX=6239 GN=nduf-6 PE=3 SV=1</t>
        </is>
      </c>
      <c r="M790" t="n">
        <v>140</v>
      </c>
      <c r="N790" t="inlineStr">
        <is>
          <t>Caenorhabditis elegans</t>
        </is>
      </c>
      <c r="O790" t="inlineStr">
        <is>
          <t>Probable NADH dehydrogenase [ubiquinone] iron-sulfur protein 6, mitochondrial</t>
        </is>
      </c>
    </row>
    <row r="791">
      <c r="A791" t="inlineStr"/>
      <c r="B791" t="inlineStr"/>
      <c r="C791" t="inlineStr"/>
      <c r="D791" t="inlineStr"/>
      <c r="E791">
        <f>HYPERLINK("https://www.uniprot.org/uniprotkb/A0A3Q2E917/entry", "A0A3Q2E917")</f>
        <v/>
      </c>
      <c r="F791" t="n">
        <v>59.1</v>
      </c>
      <c r="G791" t="n">
        <v>66</v>
      </c>
      <c r="H791" t="n">
        <v>1.37e-15</v>
      </c>
      <c r="I791" t="inlineStr">
        <is>
          <t>TrEMBL</t>
        </is>
      </c>
      <c r="J791" t="inlineStr"/>
      <c r="K791" t="inlineStr">
        <is>
          <t>A0A3Q2E917_CYPVA</t>
        </is>
      </c>
      <c r="L791" t="inlineStr">
        <is>
          <t>tr|A0A3Q2E917|A0A3Q2E917_CYPVA Ribosomal protein OS=Cyprinodon variegatus OX=28743 PE=3 SV=1</t>
        </is>
      </c>
      <c r="M791" t="n">
        <v>96</v>
      </c>
      <c r="N791" t="inlineStr">
        <is>
          <t>Cyprinodon variegatus</t>
        </is>
      </c>
      <c r="O791" t="inlineStr">
        <is>
          <t>Ribosomal protein</t>
        </is>
      </c>
    </row>
    <row r="792">
      <c r="A792" t="inlineStr"/>
      <c r="B792" t="inlineStr"/>
      <c r="C792" t="inlineStr"/>
      <c r="D792" t="inlineStr"/>
      <c r="E792">
        <f>HYPERLINK("https://www.uniprot.org/uniprotkb/Q1LWG3/entry", "Q1LWG3")</f>
        <v/>
      </c>
      <c r="F792" t="n">
        <v>51.8</v>
      </c>
      <c r="G792" t="n">
        <v>83</v>
      </c>
      <c r="H792" t="n">
        <v>1.5e-15</v>
      </c>
      <c r="I792" t="inlineStr">
        <is>
          <t>Swiss-Prot</t>
        </is>
      </c>
      <c r="J792" t="inlineStr">
        <is>
          <t>mrpl36</t>
        </is>
      </c>
      <c r="K792" t="inlineStr">
        <is>
          <t>RM36_DANRE</t>
        </is>
      </c>
      <c r="L792" t="inlineStr">
        <is>
          <t>sp|Q1LWG3|RM36_DANRE 39S ribosomal protein L36, mitochondrial OS=Danio rerio OX=7955 GN=mrpl36 PE=3 SV=1</t>
        </is>
      </c>
      <c r="M792" t="n">
        <v>116</v>
      </c>
      <c r="N792" t="inlineStr">
        <is>
          <t>Danio rerio</t>
        </is>
      </c>
      <c r="O792" t="inlineStr">
        <is>
          <t>39S ribosomal protein L36, mitochondrial</t>
        </is>
      </c>
    </row>
    <row r="793">
      <c r="A793" t="inlineStr"/>
      <c r="B793" t="inlineStr"/>
      <c r="C793" t="inlineStr"/>
      <c r="D793" t="inlineStr"/>
      <c r="E793">
        <f>HYPERLINK("https://www.uniprot.org/uniprotkb/C1BJQ3/entry", "C1BJQ3")</f>
        <v/>
      </c>
      <c r="F793" t="n">
        <v>51.5</v>
      </c>
      <c r="G793" t="n">
        <v>68</v>
      </c>
      <c r="H793" t="n">
        <v>6.59e-15</v>
      </c>
      <c r="I793" t="inlineStr">
        <is>
          <t>Swiss-Prot</t>
        </is>
      </c>
      <c r="J793" t="inlineStr">
        <is>
          <t>mrpl36</t>
        </is>
      </c>
      <c r="K793" t="inlineStr">
        <is>
          <t>RM36_OSMMO</t>
        </is>
      </c>
      <c r="L793" t="inlineStr">
        <is>
          <t>sp|C1BJQ3|RM36_OSMMO 39S ribosomal protein L36, mitochondrial OS=Osmerus mordax OX=8014 GN=mrpl36 PE=2 SV=1</t>
        </is>
      </c>
      <c r="M793" t="n">
        <v>120</v>
      </c>
      <c r="N793" t="inlineStr">
        <is>
          <t>Osmerus mordax</t>
        </is>
      </c>
      <c r="O793" t="inlineStr">
        <is>
          <t>39S ribosomal protein L36, mitochondrial</t>
        </is>
      </c>
    </row>
    <row r="794">
      <c r="A794" t="inlineStr"/>
      <c r="B794" t="inlineStr"/>
      <c r="C794" t="inlineStr"/>
      <c r="D794" t="inlineStr"/>
      <c r="E794">
        <f>HYPERLINK("https://www.uniprot.org/uniprotkb/B2RZ39/entry", "B2RZ39")</f>
        <v/>
      </c>
      <c r="F794" t="n">
        <v>47.8</v>
      </c>
      <c r="G794" t="n">
        <v>69</v>
      </c>
      <c r="H794" t="n">
        <v>8.44e-14</v>
      </c>
      <c r="I794" t="inlineStr">
        <is>
          <t>Swiss-Prot</t>
        </is>
      </c>
      <c r="J794" t="inlineStr">
        <is>
          <t>Mrpl36</t>
        </is>
      </c>
      <c r="K794" t="inlineStr">
        <is>
          <t>RM36_RAT</t>
        </is>
      </c>
      <c r="L794" t="inlineStr">
        <is>
          <t>sp|B2RZ39|RM36_RAT 39S ribosomal protein L36, mitochondrial OS=Rattus norvegicus OX=10116 GN=Mrpl36 PE=3 SV=1</t>
        </is>
      </c>
      <c r="M794" t="n">
        <v>97</v>
      </c>
      <c r="N794" t="inlineStr">
        <is>
          <t>Rattus norvegicus</t>
        </is>
      </c>
      <c r="O794" t="inlineStr">
        <is>
          <t>39S ribosomal protein L36, mitochondrial</t>
        </is>
      </c>
    </row>
    <row r="795">
      <c r="A795" t="inlineStr"/>
      <c r="B795" t="inlineStr"/>
      <c r="C795" t="inlineStr"/>
      <c r="D795" t="inlineStr"/>
      <c r="E795">
        <f>HYPERLINK("https://www.uniprot.org/uniprotkb/O14464/entry", "O14464")</f>
        <v/>
      </c>
      <c r="F795" t="n">
        <v>45.3</v>
      </c>
      <c r="G795" t="n">
        <v>64</v>
      </c>
      <c r="H795" t="n">
        <v>1.22e-12</v>
      </c>
      <c r="I795" t="inlineStr">
        <is>
          <t>Swiss-Prot</t>
        </is>
      </c>
      <c r="J795" t="inlineStr">
        <is>
          <t>RTC6</t>
        </is>
      </c>
      <c r="K795" t="inlineStr">
        <is>
          <t>RTC6_YEAST</t>
        </is>
      </c>
      <c r="L795" t="inlineStr">
        <is>
          <t>sp|O14464|RTC6_YEAST 54S ribosomal protein RTC6, mitochondrial OS=Saccharomyces cerevisiae (strain ATCC 204508 / S288c) OX=559292 GN=RTC6 PE=1 SV=1</t>
        </is>
      </c>
      <c r="M795" t="n">
        <v>93</v>
      </c>
      <c r="N795" t="inlineStr">
        <is>
          <t>Saccharomyces cerevisiae (strain ATCC 204508 / S288c)</t>
        </is>
      </c>
      <c r="O795" t="inlineStr">
        <is>
          <t>54S ribosomal protein RTC6, mitochondrial</t>
        </is>
      </c>
    </row>
    <row r="796">
      <c r="A796" t="inlineStr"/>
      <c r="B796" t="inlineStr"/>
      <c r="C796" t="inlineStr"/>
      <c r="D796" t="inlineStr"/>
      <c r="E796">
        <f>HYPERLINK("https://www.uniprot.org/uniprotkb/O94690/entry", "O94690")</f>
        <v/>
      </c>
      <c r="F796" t="n">
        <v>48.2</v>
      </c>
      <c r="G796" t="n">
        <v>56</v>
      </c>
      <c r="H796" t="n">
        <v>4.21e-10</v>
      </c>
      <c r="I796" t="inlineStr">
        <is>
          <t>Swiss-Prot</t>
        </is>
      </c>
      <c r="J796" t="inlineStr">
        <is>
          <t>SPBC83.06c</t>
        </is>
      </c>
      <c r="K796" t="inlineStr">
        <is>
          <t>RTC6_SCHPO</t>
        </is>
      </c>
      <c r="L796" t="inlineStr">
        <is>
          <t>sp|O94690|RTC6_SCHPO 54S ribosomal protein c83.06c, mitochondrial OS=Schizosaccharomyces pombe (strain 972 / ATCC 24843) OX=284812 GN=SPBC83.06c PE=3 SV=2</t>
        </is>
      </c>
      <c r="M796" t="n">
        <v>92</v>
      </c>
      <c r="N796" t="inlineStr">
        <is>
          <t>Schizosaccharomyces pombe (strain 972 / ATCC 24843)</t>
        </is>
      </c>
      <c r="O796" t="inlineStr">
        <is>
          <t>54S ribosomal protein c83.06c, mitochondrial</t>
        </is>
      </c>
    </row>
    <row r="797">
      <c r="A797" t="inlineStr"/>
      <c r="B797" t="inlineStr"/>
      <c r="C797" t="inlineStr"/>
      <c r="D797" t="inlineStr"/>
      <c r="E797">
        <f>HYPERLINK("https://www.uniprot.org/uniprotkb/Q5AUI1/entry", "Q5AUI1")</f>
        <v/>
      </c>
      <c r="F797" t="n">
        <v>68.59999999999999</v>
      </c>
      <c r="G797" t="n">
        <v>35</v>
      </c>
      <c r="H797" t="n">
        <v>3.7e-09</v>
      </c>
      <c r="I797" t="inlineStr">
        <is>
          <t>Swiss-Prot</t>
        </is>
      </c>
      <c r="J797" t="inlineStr">
        <is>
          <t>lbsA</t>
        </is>
      </c>
      <c r="K797" t="inlineStr">
        <is>
          <t>LBSA_EMENI</t>
        </is>
      </c>
      <c r="L797" t="inlineStr">
        <is>
          <t>sp|Q5AUI1|LBSA_EMENI Lactobacillus shifted protein OS=Emericella nidulans (strain FGSC A4 / ATCC 38163 / CBS 112.46 / NRRL 194 / M139) OX=227321 GN=lbsA PE=1 SV=1</t>
        </is>
      </c>
      <c r="M797" t="n">
        <v>213</v>
      </c>
      <c r="N797" t="inlineStr">
        <is>
          <t>Emericella nidulans (strain FGSC A4 / ATCC 38163 / CBS 112.46 / NRRL 194 / M139)</t>
        </is>
      </c>
      <c r="O797" t="inlineStr">
        <is>
          <t>Lactobacillus shifted protein</t>
        </is>
      </c>
    </row>
    <row r="798">
      <c r="A798" t="inlineStr"/>
      <c r="B798" t="inlineStr"/>
      <c r="C798" t="inlineStr"/>
      <c r="D798" t="inlineStr"/>
      <c r="E798">
        <f>HYPERLINK("https://www.uniprot.org/uniprotkb/Q19VB5/entry", "Q19VB5")</f>
        <v/>
      </c>
      <c r="F798" t="n">
        <v>56.8</v>
      </c>
      <c r="G798" t="n">
        <v>37</v>
      </c>
      <c r="H798" t="n">
        <v>4.81e-07</v>
      </c>
      <c r="I798" t="inlineStr">
        <is>
          <t>Swiss-Prot</t>
        </is>
      </c>
      <c r="J798" t="inlineStr">
        <is>
          <t>rpl36</t>
        </is>
      </c>
      <c r="K798" t="inlineStr">
        <is>
          <t>RK36_CHLAT</t>
        </is>
      </c>
      <c r="L798" t="inlineStr">
        <is>
          <t>sp|Q19VB5|RK36_CHLAT 50S ribosomal protein L36, chloroplastic OS=Chlorokybus atmophyticus OX=3144 GN=rpl36 PE=3 SV=1</t>
        </is>
      </c>
      <c r="M798" t="n">
        <v>37</v>
      </c>
      <c r="N798" t="inlineStr">
        <is>
          <t>Chlorokybus atmophyticus</t>
        </is>
      </c>
      <c r="O798" t="inlineStr">
        <is>
          <t>50S ribosomal protein L36, chloroplastic</t>
        </is>
      </c>
    </row>
    <row r="799">
      <c r="A799" t="inlineStr"/>
      <c r="B799" t="inlineStr"/>
      <c r="C799" t="inlineStr"/>
      <c r="D799" t="inlineStr"/>
      <c r="E799">
        <f>HYPERLINK("https://www.uniprot.org/uniprotkb/B3WAJ5/entry", "B3WAJ5")</f>
        <v/>
      </c>
      <c r="F799" t="n">
        <v>54.1</v>
      </c>
      <c r="G799" t="n">
        <v>37</v>
      </c>
      <c r="H799" t="n">
        <v>4.9e-07</v>
      </c>
      <c r="I799" t="inlineStr">
        <is>
          <t>Swiss-Prot</t>
        </is>
      </c>
      <c r="J799" t="inlineStr">
        <is>
          <t>rpmJ</t>
        </is>
      </c>
      <c r="K799" t="inlineStr">
        <is>
          <t>RL36_LACCB</t>
        </is>
      </c>
      <c r="L799" t="inlineStr">
        <is>
          <t>sp|B3WAJ5|RL36_LACCB 50S ribosomal protein L36 OS=Lacticaseibacillus casei (strain BL23) OX=543734 GN=rpmJ PE=3 SV=1</t>
        </is>
      </c>
      <c r="M799" t="n">
        <v>38</v>
      </c>
      <c r="N799" t="inlineStr">
        <is>
          <t>Lacticaseibacillus casei (strain BL23)</t>
        </is>
      </c>
      <c r="O799" t="inlineStr">
        <is>
          <t>50S ribosomal protein L36</t>
        </is>
      </c>
    </row>
    <row r="800">
      <c r="A800" t="inlineStr"/>
      <c r="B800" t="inlineStr"/>
      <c r="C800" t="inlineStr"/>
      <c r="D800" t="inlineStr"/>
      <c r="E800">
        <f>HYPERLINK("https://www.uniprot.org/uniprotkb/Q035A6/entry", "Q035A6")</f>
        <v/>
      </c>
      <c r="F800" t="n">
        <v>54.1</v>
      </c>
      <c r="G800" t="n">
        <v>37</v>
      </c>
      <c r="H800" t="n">
        <v>4.9e-07</v>
      </c>
      <c r="I800" t="inlineStr">
        <is>
          <t>Swiss-Prot</t>
        </is>
      </c>
      <c r="J800" t="inlineStr">
        <is>
          <t>rpmJ</t>
        </is>
      </c>
      <c r="K800" t="inlineStr">
        <is>
          <t>RL36_LACP3</t>
        </is>
      </c>
      <c r="L800" t="inlineStr">
        <is>
          <t>sp|Q035A6|RL36_LACP3 50S ribosomal protein L36 OS=Lacticaseibacillus paracasei (strain ATCC 334 / BCRC 17002 / CCUG 31169 / CIP 107868 / KCTC 3260 / NRRL B-441) OX=321967 GN=rpmJ PE=3 SV=1</t>
        </is>
      </c>
      <c r="M800" t="n">
        <v>38</v>
      </c>
      <c r="N800" t="inlineStr">
        <is>
          <t>Lacticaseibacillus paracasei (strain ATCC 334 / BCRC 17002 / CCUG 31169 / CIP 107868 / KCTC 3260 / NRRL B-441)</t>
        </is>
      </c>
      <c r="O800" t="inlineStr">
        <is>
          <t>50S ribosomal protein L36</t>
        </is>
      </c>
    </row>
    <row r="801">
      <c r="A801" t="inlineStr"/>
      <c r="B801" t="inlineStr"/>
      <c r="C801" t="inlineStr"/>
      <c r="D801" t="inlineStr"/>
      <c r="E801">
        <f>HYPERLINK("https://www.uniprot.org/uniprotkb/P73300/entry", "P73300")</f>
        <v/>
      </c>
      <c r="F801" t="n">
        <v>51.4</v>
      </c>
      <c r="G801" t="n">
        <v>37</v>
      </c>
      <c r="H801" t="n">
        <v>4.9e-07</v>
      </c>
      <c r="I801" t="inlineStr">
        <is>
          <t>Swiss-Prot</t>
        </is>
      </c>
      <c r="J801" t="inlineStr">
        <is>
          <t>rpmJ</t>
        </is>
      </c>
      <c r="K801" t="inlineStr">
        <is>
          <t>RL36_SYNY3</t>
        </is>
      </c>
      <c r="L801" t="inlineStr">
        <is>
          <t>sp|P73300|RL36_SYNY3 50S ribosomal protein L36 OS=Synechocystis sp. (strain PCC 6803 / Kazusa) OX=1111708 GN=rpmJ PE=3 SV=1</t>
        </is>
      </c>
      <c r="M801" t="n">
        <v>38</v>
      </c>
      <c r="N801" t="inlineStr">
        <is>
          <t>Synechocystis sp. (strain PCC 6803 / Kazusa)</t>
        </is>
      </c>
      <c r="O801" t="inlineStr">
        <is>
          <t>50S ribosomal protein L36</t>
        </is>
      </c>
    </row>
    <row r="802">
      <c r="A802" t="inlineStr"/>
      <c r="B802" t="inlineStr"/>
      <c r="C802" t="inlineStr"/>
      <c r="D802" t="inlineStr"/>
      <c r="E802">
        <f>HYPERLINK("https://www.uniprot.org/uniprotkb/A8F4T5/entry", "A8F4T5")</f>
        <v/>
      </c>
      <c r="F802" t="n">
        <v>48.6</v>
      </c>
      <c r="G802" t="n">
        <v>37</v>
      </c>
      <c r="H802" t="n">
        <v>6.9e-07</v>
      </c>
      <c r="I802" t="inlineStr">
        <is>
          <t>Swiss-Prot</t>
        </is>
      </c>
      <c r="J802" t="inlineStr">
        <is>
          <t>rpmJ</t>
        </is>
      </c>
      <c r="K802" t="inlineStr">
        <is>
          <t>RL36_PSELT</t>
        </is>
      </c>
      <c r="L802" t="inlineStr">
        <is>
          <t>sp|A8F4T5|RL36_PSELT 50S ribosomal protein L36 OS=Pseudothermotoga lettingae (strain ATCC BAA-301 / DSM 14385 / NBRC 107922 / TMO) OX=416591 GN=rpmJ PE=3 SV=1</t>
        </is>
      </c>
      <c r="M802" t="n">
        <v>38</v>
      </c>
      <c r="N802" t="inlineStr">
        <is>
          <t>Pseudothermotoga lettingae (strain ATCC BAA-301 / DSM 14385 / NBRC 107922 / TMO)</t>
        </is>
      </c>
      <c r="O802" t="inlineStr">
        <is>
          <t>50S ribosomal protein L36</t>
        </is>
      </c>
    </row>
    <row r="803">
      <c r="A803" t="inlineStr"/>
      <c r="B803" t="inlineStr"/>
      <c r="C803" t="inlineStr"/>
      <c r="D803" t="inlineStr"/>
      <c r="E803">
        <f>HYPERLINK("https://www.uniprot.org/uniprotkb/A6LLN7/entry", "A6LLN7")</f>
        <v/>
      </c>
      <c r="F803" t="n">
        <v>45.9</v>
      </c>
      <c r="G803" t="n">
        <v>37</v>
      </c>
      <c r="H803" t="n">
        <v>6.9e-07</v>
      </c>
      <c r="I803" t="inlineStr">
        <is>
          <t>Swiss-Prot</t>
        </is>
      </c>
      <c r="J803" t="inlineStr">
        <is>
          <t>rpmJ</t>
        </is>
      </c>
      <c r="K803" t="inlineStr">
        <is>
          <t>RL36_THEM4</t>
        </is>
      </c>
      <c r="L803" t="inlineStr">
        <is>
          <t>sp|A6LLN7|RL36_THEM4 50S ribosomal protein L36 OS=Thermosipho melanesiensis (strain DSM 12029 / CIP 104789 / BI429) OX=391009 GN=rpmJ PE=3 SV=1</t>
        </is>
      </c>
      <c r="M803" t="n">
        <v>38</v>
      </c>
      <c r="N803" t="inlineStr">
        <is>
          <t>Thermosipho melanesiensis (strain DSM 12029 / CIP 104789 / BI429)</t>
        </is>
      </c>
      <c r="O803" t="inlineStr">
        <is>
          <t>50S ribosomal protein L36</t>
        </is>
      </c>
    </row>
    <row r="804">
      <c r="A804" t="inlineStr"/>
      <c r="B804" t="inlineStr"/>
      <c r="C804" t="inlineStr"/>
      <c r="D804" t="inlineStr"/>
      <c r="E804">
        <f>HYPERLINK("https://www.uniprot.org/uniprotkb/B3QYE6/entry", "B3QYE6")</f>
        <v/>
      </c>
      <c r="F804" t="n">
        <v>45.9</v>
      </c>
      <c r="G804" t="n">
        <v>37</v>
      </c>
      <c r="H804" t="n">
        <v>9.739999999999999e-07</v>
      </c>
      <c r="I804" t="inlineStr">
        <is>
          <t>Swiss-Prot</t>
        </is>
      </c>
      <c r="J804" t="inlineStr">
        <is>
          <t>rpmJ</t>
        </is>
      </c>
      <c r="K804" t="inlineStr">
        <is>
          <t>RL36_CHLT3</t>
        </is>
      </c>
      <c r="L804" t="inlineStr">
        <is>
          <t>sp|B3QYE6|RL36_CHLT3 50S ribosomal protein L36 OS=Chloroherpeton thalassium (strain ATCC 35110 / GB-78) OX=517418 GN=rpmJ PE=3 SV=1</t>
        </is>
      </c>
      <c r="M804" t="n">
        <v>38</v>
      </c>
      <c r="N804" t="inlineStr">
        <is>
          <t>Chloroherpeton thalassium (strain ATCC 35110 / GB-78)</t>
        </is>
      </c>
      <c r="O804" t="inlineStr">
        <is>
          <t>50S ribosomal protein L36</t>
        </is>
      </c>
    </row>
    <row r="805">
      <c r="A805" t="inlineStr"/>
      <c r="B805" t="inlineStr"/>
      <c r="C805" t="inlineStr"/>
      <c r="D805" t="inlineStr"/>
      <c r="E805">
        <f>HYPERLINK("https://www.uniprot.org/uniprotkb/A7HM28/entry", "A7HM28")</f>
        <v/>
      </c>
      <c r="F805" t="n">
        <v>51.4</v>
      </c>
      <c r="G805" t="n">
        <v>37</v>
      </c>
      <c r="H805" t="n">
        <v>9.739999999999999e-07</v>
      </c>
      <c r="I805" t="inlineStr">
        <is>
          <t>Swiss-Prot</t>
        </is>
      </c>
      <c r="J805" t="inlineStr">
        <is>
          <t>rpmJ</t>
        </is>
      </c>
      <c r="K805" t="inlineStr">
        <is>
          <t>RL36_FERNB</t>
        </is>
      </c>
      <c r="L805" t="inlineStr">
        <is>
          <t>sp|A7HM28|RL36_FERNB 50S ribosomal protein L36 OS=Fervidobacterium nodosum (strain ATCC 35602 / DSM 5306 / Rt17-B1) OX=381764 GN=rpmJ PE=3 SV=1</t>
        </is>
      </c>
      <c r="M805" t="n">
        <v>38</v>
      </c>
      <c r="N805" t="inlineStr">
        <is>
          <t>Fervidobacterium nodosum (strain ATCC 35602 / DSM 5306 / Rt17-B1)</t>
        </is>
      </c>
      <c r="O805" t="inlineStr">
        <is>
          <t>50S ribosomal protein L36</t>
        </is>
      </c>
    </row>
    <row r="806">
      <c r="A806" t="inlineStr"/>
      <c r="B806" t="inlineStr"/>
      <c r="C806" t="inlineStr"/>
      <c r="D806" t="inlineStr"/>
      <c r="E806">
        <f>HYPERLINK("https://www.uniprot.org/uniprotkb/B3EP38/entry", "B3EP38")</f>
        <v/>
      </c>
      <c r="F806" t="n">
        <v>48.6</v>
      </c>
      <c r="G806" t="n">
        <v>37</v>
      </c>
      <c r="H806" t="n">
        <v>1.37e-06</v>
      </c>
      <c r="I806" t="inlineStr">
        <is>
          <t>Swiss-Prot</t>
        </is>
      </c>
      <c r="J806" t="inlineStr">
        <is>
          <t>rpmJ</t>
        </is>
      </c>
      <c r="K806" t="inlineStr">
        <is>
          <t>RL36_CHLPB</t>
        </is>
      </c>
      <c r="L806" t="inlineStr">
        <is>
          <t>sp|B3EP38|RL36_CHLPB 50S ribosomal protein L36 OS=Chlorobium phaeobacteroides (strain BS1) OX=331678 GN=rpmJ PE=3 SV=1</t>
        </is>
      </c>
      <c r="M806" t="n">
        <v>38</v>
      </c>
      <c r="N806" t="inlineStr">
        <is>
          <t>Chlorobium phaeobacteroides (strain BS1)</t>
        </is>
      </c>
      <c r="O806" t="inlineStr">
        <is>
          <t>50S ribosomal protein L36</t>
        </is>
      </c>
    </row>
    <row r="807">
      <c r="A807" t="inlineStr"/>
      <c r="B807" t="inlineStr"/>
      <c r="C807" t="inlineStr"/>
      <c r="D807" t="inlineStr"/>
      <c r="E807">
        <f>HYPERLINK("https://www.uniprot.org/uniprotkb/A4SCT2/entry", "A4SCT2")</f>
        <v/>
      </c>
      <c r="F807" t="n">
        <v>48.6</v>
      </c>
      <c r="G807" t="n">
        <v>37</v>
      </c>
      <c r="H807" t="n">
        <v>1.37e-06</v>
      </c>
      <c r="I807" t="inlineStr">
        <is>
          <t>Swiss-Prot</t>
        </is>
      </c>
      <c r="J807" t="inlineStr">
        <is>
          <t>rpmJ</t>
        </is>
      </c>
      <c r="K807" t="inlineStr">
        <is>
          <t>RL36_CHLPM</t>
        </is>
      </c>
      <c r="L807" t="inlineStr">
        <is>
          <t>sp|A4SCT2|RL36_CHLPM 50S ribosomal protein L36 OS=Chlorobium phaeovibrioides (strain DSM 265 / 1930) OX=290318 GN=rpmJ PE=3 SV=1</t>
        </is>
      </c>
      <c r="M807" t="n">
        <v>38</v>
      </c>
      <c r="N807" t="inlineStr">
        <is>
          <t>Chlorobium phaeovibrioides (strain DSM 265 / 1930)</t>
        </is>
      </c>
      <c r="O807" t="inlineStr">
        <is>
          <t>50S ribosomal protein L36</t>
        </is>
      </c>
    </row>
    <row r="808">
      <c r="A808" t="inlineStr"/>
      <c r="B808" t="inlineStr"/>
      <c r="C808" t="inlineStr"/>
      <c r="D808" t="inlineStr"/>
      <c r="E808">
        <f>HYPERLINK("https://www.uniprot.org/uniprotkb/B4S5A5/entry", "B4S5A5")</f>
        <v/>
      </c>
      <c r="F808" t="n">
        <v>48.6</v>
      </c>
      <c r="G808" t="n">
        <v>37</v>
      </c>
      <c r="H808" t="n">
        <v>1.37e-06</v>
      </c>
      <c r="I808" t="inlineStr">
        <is>
          <t>Swiss-Prot</t>
        </is>
      </c>
      <c r="J808" t="inlineStr">
        <is>
          <t>rpmJ</t>
        </is>
      </c>
      <c r="K808" t="inlineStr">
        <is>
          <t>RL36_PROA2</t>
        </is>
      </c>
      <c r="L808" t="inlineStr">
        <is>
          <t>sp|B4S5A5|RL36_PROA2 50S ribosomal protein L36 OS=Prosthecochloris aestuarii (strain DSM 271 / SK 413) OX=290512 GN=rpmJ PE=3 SV=1</t>
        </is>
      </c>
      <c r="M808" t="n">
        <v>38</v>
      </c>
      <c r="N808" t="inlineStr">
        <is>
          <t>Prosthecochloris aestuarii (strain DSM 271 / SK 413)</t>
        </is>
      </c>
      <c r="O808" t="inlineStr">
        <is>
          <t>50S ribosomal protein L36</t>
        </is>
      </c>
    </row>
    <row r="809">
      <c r="A809" t="inlineStr"/>
      <c r="B809" t="inlineStr"/>
      <c r="C809" t="inlineStr"/>
      <c r="D809" t="inlineStr"/>
      <c r="E809">
        <f>HYPERLINK("https://www.uniprot.org/uniprotkb/B3EGW7/entry", "B3EGW7")</f>
        <v/>
      </c>
      <c r="F809" t="n">
        <v>48.6</v>
      </c>
      <c r="G809" t="n">
        <v>37</v>
      </c>
      <c r="H809" t="n">
        <v>1.94e-06</v>
      </c>
      <c r="I809" t="inlineStr">
        <is>
          <t>Swiss-Prot</t>
        </is>
      </c>
      <c r="J809" t="inlineStr">
        <is>
          <t>rpmJ</t>
        </is>
      </c>
      <c r="K809" t="inlineStr">
        <is>
          <t>RL36_CHLL2</t>
        </is>
      </c>
      <c r="L809" t="inlineStr">
        <is>
          <t>sp|B3EGW7|RL36_CHLL2 50S ribosomal protein L36 OS=Chlorobium limicola (strain DSM 245 / NBRC 103803 / 6330) OX=290315 GN=rpmJ PE=3 SV=1</t>
        </is>
      </c>
      <c r="M809" t="n">
        <v>38</v>
      </c>
      <c r="N809" t="inlineStr">
        <is>
          <t>Chlorobium limicola (strain DSM 245 / NBRC 103803 / 6330)</t>
        </is>
      </c>
      <c r="O809" t="inlineStr">
        <is>
          <t>50S ribosomal protein L36</t>
        </is>
      </c>
    </row>
    <row r="810">
      <c r="A810" t="inlineStr"/>
      <c r="B810" t="inlineStr"/>
      <c r="C810" t="inlineStr"/>
      <c r="D810" t="inlineStr"/>
      <c r="E810">
        <f>HYPERLINK("https://www.uniprot.org/uniprotkb/A1BJ11/entry", "A1BJ11")</f>
        <v/>
      </c>
      <c r="F810" t="n">
        <v>48.6</v>
      </c>
      <c r="G810" t="n">
        <v>37</v>
      </c>
      <c r="H810" t="n">
        <v>1.94e-06</v>
      </c>
      <c r="I810" t="inlineStr">
        <is>
          <t>Swiss-Prot</t>
        </is>
      </c>
      <c r="J810" t="inlineStr">
        <is>
          <t>rpmJ</t>
        </is>
      </c>
      <c r="K810" t="inlineStr">
        <is>
          <t>RL36_CHLPD</t>
        </is>
      </c>
      <c r="L810" t="inlineStr">
        <is>
          <t>sp|A1BJ11|RL36_CHLPD 50S ribosomal protein L36 OS=Chlorobium phaeobacteroides (strain DSM 266) OX=290317 GN=rpmJ PE=3 SV=1</t>
        </is>
      </c>
      <c r="M810" t="n">
        <v>38</v>
      </c>
      <c r="N810" t="inlineStr">
        <is>
          <t>Chlorobium phaeobacteroides (strain DSM 266)</t>
        </is>
      </c>
      <c r="O810" t="inlineStr">
        <is>
          <t>50S ribosomal protein L36</t>
        </is>
      </c>
    </row>
    <row r="811">
      <c r="A811" t="inlineStr"/>
      <c r="B811" t="inlineStr"/>
      <c r="C811" t="inlineStr"/>
      <c r="D811" t="inlineStr"/>
      <c r="E811">
        <f>HYPERLINK("https://www.uniprot.org/uniprotkb/Q8KAJ4/entry", "Q8KAJ4")</f>
        <v/>
      </c>
      <c r="F811" t="n">
        <v>48.6</v>
      </c>
      <c r="G811" t="n">
        <v>37</v>
      </c>
      <c r="H811" t="n">
        <v>1.94e-06</v>
      </c>
      <c r="I811" t="inlineStr">
        <is>
          <t>Swiss-Prot</t>
        </is>
      </c>
      <c r="J811" t="inlineStr">
        <is>
          <t>rpmJ</t>
        </is>
      </c>
      <c r="K811" t="inlineStr">
        <is>
          <t>RL36_CHLTE</t>
        </is>
      </c>
      <c r="L811" t="inlineStr">
        <is>
          <t>sp|Q8KAJ4|RL36_CHLTE 50S ribosomal protein L36 OS=Chlorobaculum tepidum (strain ATCC 49652 / DSM 12025 / NBRC 103806 / TLS) OX=194439 GN=rpmJ PE=3 SV=1</t>
        </is>
      </c>
      <c r="M811" t="n">
        <v>38</v>
      </c>
      <c r="N811" t="inlineStr">
        <is>
          <t>Chlorobaculum tepidum (strain ATCC 49652 / DSM 12025 / NBRC 103806 / TLS)</t>
        </is>
      </c>
      <c r="O811" t="inlineStr">
        <is>
          <t>50S ribosomal protein L36</t>
        </is>
      </c>
    </row>
    <row r="812">
      <c r="A812" t="inlineStr"/>
      <c r="B812" t="inlineStr"/>
      <c r="C812" t="inlineStr"/>
      <c r="D812" t="inlineStr"/>
      <c r="E812">
        <f>HYPERLINK("https://www.uniprot.org/uniprotkb/A9BFZ4/entry", "A9BFZ4")</f>
        <v/>
      </c>
      <c r="F812" t="n">
        <v>48.6</v>
      </c>
      <c r="G812" t="n">
        <v>37</v>
      </c>
      <c r="H812" t="n">
        <v>1.94e-06</v>
      </c>
      <c r="I812" t="inlineStr">
        <is>
          <t>Swiss-Prot</t>
        </is>
      </c>
      <c r="J812" t="inlineStr">
        <is>
          <t>rpmJ</t>
        </is>
      </c>
      <c r="K812" t="inlineStr">
        <is>
          <t>RL36_PETMO</t>
        </is>
      </c>
      <c r="L812" t="inlineStr">
        <is>
          <t>sp|A9BFZ4|RL36_PETMO 50S ribosomal protein L36 OS=Petrotoga mobilis (strain DSM 10674 / SJ95) OX=403833 GN=rpmJ PE=3 SV=1</t>
        </is>
      </c>
      <c r="M812" t="n">
        <v>38</v>
      </c>
      <c r="N812" t="inlineStr">
        <is>
          <t>Petrotoga mobilis (strain DSM 10674 / SJ95)</t>
        </is>
      </c>
      <c r="O812" t="inlineStr">
        <is>
          <t>50S ribosomal protein L36</t>
        </is>
      </c>
    </row>
    <row r="813">
      <c r="A813" t="inlineStr"/>
      <c r="B813" t="inlineStr"/>
      <c r="C813" t="inlineStr"/>
      <c r="D813" t="inlineStr"/>
      <c r="E813">
        <f>HYPERLINK("https://www.uniprot.org/uniprotkb/A5VLI2/entry", "A5VLI2")</f>
        <v/>
      </c>
      <c r="F813" t="n">
        <v>48.6</v>
      </c>
      <c r="G813" t="n">
        <v>37</v>
      </c>
      <c r="H813" t="n">
        <v>2.78e-06</v>
      </c>
      <c r="I813" t="inlineStr">
        <is>
          <t>Swiss-Prot</t>
        </is>
      </c>
      <c r="J813" t="inlineStr">
        <is>
          <t>rpmJ</t>
        </is>
      </c>
      <c r="K813" t="inlineStr">
        <is>
          <t>RL36_LIMRD</t>
        </is>
      </c>
      <c r="L813" t="inlineStr">
        <is>
          <t>sp|A5VLI2|RL36_LIMRD 50S ribosomal protein L36 OS=Limosilactobacillus reuteri (strain DSM 20016) OX=557436 GN=rpmJ PE=3 SV=1</t>
        </is>
      </c>
      <c r="M813" t="n">
        <v>39</v>
      </c>
      <c r="N813" t="inlineStr">
        <is>
          <t>Limosilactobacillus reuteri (strain DSM 20016)</t>
        </is>
      </c>
      <c r="O813" t="inlineStr">
        <is>
          <t>50S ribosomal protein L36</t>
        </is>
      </c>
    </row>
    <row r="814">
      <c r="A814" t="inlineStr"/>
      <c r="B814" t="inlineStr"/>
      <c r="C814" t="inlineStr"/>
      <c r="D814" t="inlineStr"/>
      <c r="E814">
        <f>HYPERLINK("https://www.uniprot.org/uniprotkb/B2G8V5/entry", "B2G8V5")</f>
        <v/>
      </c>
      <c r="F814" t="n">
        <v>48.6</v>
      </c>
      <c r="G814" t="n">
        <v>37</v>
      </c>
      <c r="H814" t="n">
        <v>2.78e-06</v>
      </c>
      <c r="I814" t="inlineStr">
        <is>
          <t>Swiss-Prot</t>
        </is>
      </c>
      <c r="J814" t="inlineStr">
        <is>
          <t>rpmJ</t>
        </is>
      </c>
      <c r="K814" t="inlineStr">
        <is>
          <t>RL36_LIMRJ</t>
        </is>
      </c>
      <c r="L814" t="inlineStr">
        <is>
          <t>sp|B2G8V5|RL36_LIMRJ 50S ribosomal protein L36 OS=Limosilactobacillus reuteri (strain JCM 1112) OX=557433 GN=rpmJ PE=3 SV=1</t>
        </is>
      </c>
      <c r="M814" t="n">
        <v>39</v>
      </c>
      <c r="N814" t="inlineStr">
        <is>
          <t>Limosilactobacillus reuteri (strain JCM 1112)</t>
        </is>
      </c>
      <c r="O814" t="inlineStr">
        <is>
          <t>50S ribosomal protein L36</t>
        </is>
      </c>
    </row>
    <row r="815">
      <c r="A815" t="inlineStr"/>
      <c r="B815" t="inlineStr"/>
      <c r="C815" t="inlineStr"/>
      <c r="D815" t="inlineStr"/>
      <c r="E815">
        <f>HYPERLINK("https://www.uniprot.org/uniprotkb/B3DFA8/entry", "B3DFA8")</f>
        <v/>
      </c>
      <c r="F815" t="n">
        <v>54.1</v>
      </c>
      <c r="G815" t="n">
        <v>37</v>
      </c>
      <c r="H815" t="n">
        <v>3.78e-06</v>
      </c>
      <c r="I815" t="inlineStr">
        <is>
          <t>Swiss-Prot</t>
        </is>
      </c>
      <c r="J815" t="inlineStr">
        <is>
          <t>rpmJ</t>
        </is>
      </c>
      <c r="K815" t="inlineStr">
        <is>
          <t>RL36_MICAN</t>
        </is>
      </c>
      <c r="L815" t="inlineStr">
        <is>
          <t>sp|B3DFA8|RL36_MICAN 50S ribosomal protein L36 OS=Microcystis aeruginosa (strain NIES-843 / IAM M-2473) OX=449447 GN=rpmJ PE=3 SV=1</t>
        </is>
      </c>
      <c r="M815" t="n">
        <v>37</v>
      </c>
      <c r="N815" t="inlineStr">
        <is>
          <t>Microcystis aeruginosa (strain NIES-843 / IAM M-2473)</t>
        </is>
      </c>
      <c r="O815" t="inlineStr">
        <is>
          <t>50S ribosomal protein L36</t>
        </is>
      </c>
    </row>
    <row r="816">
      <c r="A816" t="inlineStr">
        <is>
          <t>NODE_11681_length_5929_cov_13.905493_g4176_i0</t>
        </is>
      </c>
      <c r="B816" t="inlineStr">
        <is>
          <t>bombina_pachypus_blastx</t>
        </is>
      </c>
      <c r="C816" t="n">
        <v>2.25125201866138</v>
      </c>
      <c r="D816" t="n">
        <v>0.036295308299531</v>
      </c>
      <c r="E816">
        <f>HYPERLINK("https://www.uniprot.org/uniprotkb/A0A8C5MP19/entry", "A0A8C5MP19")</f>
        <v/>
      </c>
      <c r="F816" t="n">
        <v>38.4</v>
      </c>
      <c r="G816" t="n">
        <v>615</v>
      </c>
      <c r="H816" t="n">
        <v>9.570000000000001e-129</v>
      </c>
      <c r="I816" t="inlineStr">
        <is>
          <t>TrEMBL</t>
        </is>
      </c>
      <c r="J816" t="inlineStr"/>
      <c r="K816" t="inlineStr">
        <is>
          <t>A0A8C5MP19_9ANUR</t>
        </is>
      </c>
      <c r="L816" t="inlineStr">
        <is>
          <t>tr|A0A8C5MP19|A0A8C5MP19_9ANUR Reverse transcriptase domain-containing protein OS=Leptobrachium leishanense OX=445787 PE=4 SV=1</t>
        </is>
      </c>
      <c r="M816" t="n">
        <v>729</v>
      </c>
      <c r="N816" t="inlineStr">
        <is>
          <t>Leptobrachium leishanense</t>
        </is>
      </c>
      <c r="O816" t="inlineStr">
        <is>
          <t>Reverse transcriptase domain-containing protein</t>
        </is>
      </c>
    </row>
    <row r="817">
      <c r="A817" t="inlineStr"/>
      <c r="B817" t="inlineStr"/>
      <c r="C817" t="inlineStr"/>
      <c r="D817" t="inlineStr"/>
      <c r="E817">
        <f>HYPERLINK("https://www.uniprot.org/uniprotkb/A0A8C5LIJ5/entry", "A0A8C5LIJ5")</f>
        <v/>
      </c>
      <c r="F817" t="n">
        <v>37.7</v>
      </c>
      <c r="G817" t="n">
        <v>620</v>
      </c>
      <c r="H817" t="n">
        <v>3.66e-126</v>
      </c>
      <c r="I817" t="inlineStr">
        <is>
          <t>TrEMBL</t>
        </is>
      </c>
      <c r="J817" t="inlineStr"/>
      <c r="K817" t="inlineStr">
        <is>
          <t>A0A8C5LIJ5_9ANUR</t>
        </is>
      </c>
      <c r="L817" t="inlineStr">
        <is>
          <t>tr|A0A8C5LIJ5|A0A8C5LIJ5_9ANUR GIY-YIG domain-containing protein OS=Leptobrachium leishanense OX=445787 PE=4 SV=1</t>
        </is>
      </c>
      <c r="M817" t="n">
        <v>721</v>
      </c>
      <c r="N817" t="inlineStr">
        <is>
          <t>Leptobrachium leishanense</t>
        </is>
      </c>
      <c r="O817" t="inlineStr">
        <is>
          <t>GIY-YIG domain-containing protein</t>
        </is>
      </c>
    </row>
    <row r="818">
      <c r="A818" t="inlineStr"/>
      <c r="B818" t="inlineStr"/>
      <c r="C818" t="inlineStr"/>
      <c r="D818" t="inlineStr"/>
      <c r="E818">
        <f>HYPERLINK("https://www.uniprot.org/uniprotkb/A0A8C5QN04/entry", "A0A8C5QN04")</f>
        <v/>
      </c>
      <c r="F818" t="n">
        <v>37.6</v>
      </c>
      <c r="G818" t="n">
        <v>614</v>
      </c>
      <c r="H818" t="n">
        <v>1.11e-121</v>
      </c>
      <c r="I818" t="inlineStr">
        <is>
          <t>TrEMBL</t>
        </is>
      </c>
      <c r="J818" t="inlineStr"/>
      <c r="K818" t="inlineStr">
        <is>
          <t>A0A8C5QN04_9ANUR</t>
        </is>
      </c>
      <c r="L818" t="inlineStr">
        <is>
          <t>tr|A0A8C5QN04|A0A8C5QN04_9ANUR GIY-YIG domain-containing protein OS=Leptobrachium leishanense OX=445787 PE=4 SV=1</t>
        </is>
      </c>
      <c r="M818" t="n">
        <v>815</v>
      </c>
      <c r="N818" t="inlineStr">
        <is>
          <t>Leptobrachium leishanense</t>
        </is>
      </c>
      <c r="O818" t="inlineStr">
        <is>
          <t>GIY-YIG domain-containing protein</t>
        </is>
      </c>
    </row>
    <row r="819">
      <c r="A819" t="inlineStr"/>
      <c r="B819" t="inlineStr"/>
      <c r="C819" t="inlineStr"/>
      <c r="D819" t="inlineStr"/>
      <c r="E819">
        <f>HYPERLINK("https://www.uniprot.org/uniprotkb/A0A8C5R7W1/entry", "A0A8C5R7W1")</f>
        <v/>
      </c>
      <c r="F819" t="n">
        <v>38.9</v>
      </c>
      <c r="G819" t="n">
        <v>628</v>
      </c>
      <c r="H819" t="n">
        <v>2.69e-116</v>
      </c>
      <c r="I819" t="inlineStr">
        <is>
          <t>TrEMBL</t>
        </is>
      </c>
      <c r="J819" t="inlineStr"/>
      <c r="K819" t="inlineStr">
        <is>
          <t>A0A8C5R7W1_9ANUR</t>
        </is>
      </c>
      <c r="L819" t="inlineStr">
        <is>
          <t>tr|A0A8C5R7W1|A0A8C5R7W1_9ANUR Reverse transcriptase domain-containing protein OS=Leptobrachium leishanense OX=445787 PE=4 SV=1</t>
        </is>
      </c>
      <c r="M819" t="n">
        <v>780</v>
      </c>
      <c r="N819" t="inlineStr">
        <is>
          <t>Leptobrachium leishanense</t>
        </is>
      </c>
      <c r="O819" t="inlineStr">
        <is>
          <t>Reverse transcriptase domain-containing protein</t>
        </is>
      </c>
    </row>
    <row r="820">
      <c r="A820" t="inlineStr"/>
      <c r="B820" t="inlineStr"/>
      <c r="C820" t="inlineStr"/>
      <c r="D820" t="inlineStr"/>
      <c r="E820">
        <f>HYPERLINK("https://www.uniprot.org/uniprotkb/A0A8C5MNI7/entry", "A0A8C5MNI7")</f>
        <v/>
      </c>
      <c r="F820" t="n">
        <v>38.6</v>
      </c>
      <c r="G820" t="n">
        <v>624</v>
      </c>
      <c r="H820" t="n">
        <v>1.52e-115</v>
      </c>
      <c r="I820" t="inlineStr">
        <is>
          <t>TrEMBL</t>
        </is>
      </c>
      <c r="J820" t="inlineStr"/>
      <c r="K820" t="inlineStr">
        <is>
          <t>A0A8C5MNI7_9ANUR</t>
        </is>
      </c>
      <c r="L820" t="inlineStr">
        <is>
          <t>tr|A0A8C5MNI7|A0A8C5MNI7_9ANUR Reverse transcriptase domain-containing protein OS=Leptobrachium leishanense OX=445787 PE=4 SV=1</t>
        </is>
      </c>
      <c r="M820" t="n">
        <v>728</v>
      </c>
      <c r="N820" t="inlineStr">
        <is>
          <t>Leptobrachium leishanense</t>
        </is>
      </c>
      <c r="O820" t="inlineStr">
        <is>
          <t>Reverse transcriptase domain-containing protein</t>
        </is>
      </c>
    </row>
    <row r="821">
      <c r="A821" t="inlineStr"/>
      <c r="B821" t="inlineStr"/>
      <c r="C821" t="inlineStr"/>
      <c r="D821" t="inlineStr"/>
      <c r="E821">
        <f>HYPERLINK("https://www.uniprot.org/uniprotkb/A0A8C5MP74/entry", "A0A8C5MP74")</f>
        <v/>
      </c>
      <c r="F821" t="n">
        <v>35.3</v>
      </c>
      <c r="G821" t="n">
        <v>623</v>
      </c>
      <c r="H821" t="n">
        <v>7.05e-114</v>
      </c>
      <c r="I821" t="inlineStr">
        <is>
          <t>TrEMBL</t>
        </is>
      </c>
      <c r="J821" t="inlineStr"/>
      <c r="K821" t="inlineStr">
        <is>
          <t>A0A8C5MP74_9ANUR</t>
        </is>
      </c>
      <c r="L821" t="inlineStr">
        <is>
          <t>tr|A0A8C5MP74|A0A8C5MP74_9ANUR Reverse transcriptase domain-containing protein OS=Leptobrachium leishanense OX=445787 PE=4 SV=1</t>
        </is>
      </c>
      <c r="M821" t="n">
        <v>667</v>
      </c>
      <c r="N821" t="inlineStr">
        <is>
          <t>Leptobrachium leishanense</t>
        </is>
      </c>
      <c r="O821" t="inlineStr">
        <is>
          <t>Reverse transcriptase domain-containing protein</t>
        </is>
      </c>
    </row>
    <row r="822">
      <c r="A822" t="inlineStr"/>
      <c r="B822" t="inlineStr"/>
      <c r="C822" t="inlineStr"/>
      <c r="D822" t="inlineStr"/>
      <c r="E822">
        <f>HYPERLINK("https://www.uniprot.org/uniprotkb/A0A8C5PUJ4/entry", "A0A8C5PUJ4")</f>
        <v/>
      </c>
      <c r="F822" t="n">
        <v>38.1</v>
      </c>
      <c r="G822" t="n">
        <v>624</v>
      </c>
      <c r="H822" t="n">
        <v>7.609999999999999e-112</v>
      </c>
      <c r="I822" t="inlineStr">
        <is>
          <t>TrEMBL</t>
        </is>
      </c>
      <c r="J822" t="inlineStr"/>
      <c r="K822" t="inlineStr">
        <is>
          <t>A0A8C5PUJ4_9ANUR</t>
        </is>
      </c>
      <c r="L822" t="inlineStr">
        <is>
          <t>tr|A0A8C5PUJ4|A0A8C5PUJ4_9ANUR Reverse transcriptase domain-containing protein OS=Leptobrachium leishanense OX=445787 PE=4 SV=1</t>
        </is>
      </c>
      <c r="M822" t="n">
        <v>728</v>
      </c>
      <c r="N822" t="inlineStr">
        <is>
          <t>Leptobrachium leishanense</t>
        </is>
      </c>
      <c r="O822" t="inlineStr">
        <is>
          <t>Reverse transcriptase domain-containing protein</t>
        </is>
      </c>
    </row>
    <row r="823">
      <c r="A823" t="inlineStr"/>
      <c r="B823" t="inlineStr"/>
      <c r="C823" t="inlineStr"/>
      <c r="D823" t="inlineStr"/>
      <c r="E823">
        <f>HYPERLINK("https://www.uniprot.org/uniprotkb/A0A803JVB3/entry", "A0A803JVB3")</f>
        <v/>
      </c>
      <c r="F823" t="n">
        <v>37.9</v>
      </c>
      <c r="G823" t="n">
        <v>626</v>
      </c>
      <c r="H823" t="n">
        <v>8.47e-112</v>
      </c>
      <c r="I823" t="inlineStr">
        <is>
          <t>TrEMBL</t>
        </is>
      </c>
      <c r="J823" t="inlineStr"/>
      <c r="K823" t="inlineStr">
        <is>
          <t>A0A803JVB3_XENTR</t>
        </is>
      </c>
      <c r="L823" t="inlineStr">
        <is>
          <t>tr|A0A803JVB3|A0A803JVB3_XENTR Reverse transcriptase domain-containing protein OS=Xenopus tropicalis OX=8364 PE=4 SV=1</t>
        </is>
      </c>
      <c r="M823" t="n">
        <v>680</v>
      </c>
      <c r="N823" t="inlineStr">
        <is>
          <t>Xenopus tropicalis</t>
        </is>
      </c>
      <c r="O823" t="inlineStr">
        <is>
          <t>Reverse transcriptase domain-containing protein</t>
        </is>
      </c>
    </row>
    <row r="824">
      <c r="A824" t="inlineStr"/>
      <c r="B824" t="inlineStr"/>
      <c r="C824" t="inlineStr"/>
      <c r="D824" t="inlineStr"/>
      <c r="E824">
        <f>HYPERLINK("https://www.ncbi.nlm.nih.gov/gene/?term=OCT89306.1", "OCT89306.1")</f>
        <v/>
      </c>
      <c r="F824" t="n">
        <v>36.9</v>
      </c>
      <c r="G824" t="n">
        <v>628</v>
      </c>
      <c r="H824" t="n">
        <v>1.22e-111</v>
      </c>
      <c r="I824" t="inlineStr">
        <is>
          <t>Nr</t>
        </is>
      </c>
      <c r="J824" t="inlineStr"/>
      <c r="K824" t="inlineStr"/>
      <c r="L824" t="inlineStr">
        <is>
          <t>OCT89306.1 hypothetical protein XELAEV_18017926mg [Xenopus laevis]</t>
        </is>
      </c>
      <c r="M824" t="n">
        <v>723</v>
      </c>
      <c r="N824" t="inlineStr">
        <is>
          <t>Xenopus laevis</t>
        </is>
      </c>
      <c r="O824" t="inlineStr">
        <is>
          <t>hypothetical protein XELAEV_18017926mg</t>
        </is>
      </c>
    </row>
    <row r="825">
      <c r="A825" t="inlineStr"/>
      <c r="B825" t="inlineStr"/>
      <c r="C825" t="inlineStr"/>
      <c r="D825" t="inlineStr"/>
      <c r="E825">
        <f>HYPERLINK("https://www.uniprot.org/uniprotkb/A0A8C5QWJ2/entry", "A0A8C5QWJ2")</f>
        <v/>
      </c>
      <c r="F825" t="n">
        <v>35.8</v>
      </c>
      <c r="G825" t="n">
        <v>631</v>
      </c>
      <c r="H825" t="n">
        <v>1.34e-108</v>
      </c>
      <c r="I825" t="inlineStr">
        <is>
          <t>TrEMBL</t>
        </is>
      </c>
      <c r="J825" t="inlineStr"/>
      <c r="K825" t="inlineStr">
        <is>
          <t>A0A8C5QWJ2_9ANUR</t>
        </is>
      </c>
      <c r="L825" t="inlineStr">
        <is>
          <t>tr|A0A8C5QWJ2|A0A8C5QWJ2_9ANUR Reverse transcriptase domain-containing protein OS=Leptobrachium leishanense OX=445787 PE=4 SV=1</t>
        </is>
      </c>
      <c r="M825" t="n">
        <v>688</v>
      </c>
      <c r="N825" t="inlineStr">
        <is>
          <t>Leptobrachium leishanense</t>
        </is>
      </c>
      <c r="O825" t="inlineStr">
        <is>
          <t>Reverse transcriptase domain-containing protein</t>
        </is>
      </c>
    </row>
    <row r="826">
      <c r="A826" t="inlineStr"/>
      <c r="B826" t="inlineStr"/>
      <c r="C826" t="inlineStr"/>
      <c r="D826" t="inlineStr"/>
      <c r="E826">
        <f>HYPERLINK("https://www.uniprot.org/uniprotkb/A0A803K2I9/entry", "A0A803K2I9")</f>
        <v/>
      </c>
      <c r="F826" t="n">
        <v>36</v>
      </c>
      <c r="G826" t="n">
        <v>622</v>
      </c>
      <c r="H826" t="n">
        <v>2.65e-108</v>
      </c>
      <c r="I826" t="inlineStr">
        <is>
          <t>TrEMBL</t>
        </is>
      </c>
      <c r="J826" t="inlineStr"/>
      <c r="K826" t="inlineStr">
        <is>
          <t>A0A803K2I9_XENTR</t>
        </is>
      </c>
      <c r="L826" t="inlineStr">
        <is>
          <t>tr|A0A803K2I9|A0A803K2I9_XENTR Reverse transcriptase domain-containing protein OS=Xenopus tropicalis OX=8364 PE=4 SV=1</t>
        </is>
      </c>
      <c r="M826" t="n">
        <v>688</v>
      </c>
      <c r="N826" t="inlineStr">
        <is>
          <t>Xenopus tropicalis</t>
        </is>
      </c>
      <c r="O826" t="inlineStr">
        <is>
          <t>Reverse transcriptase domain-containing protein</t>
        </is>
      </c>
    </row>
    <row r="827">
      <c r="A827" t="inlineStr"/>
      <c r="B827" t="inlineStr"/>
      <c r="C827" t="inlineStr"/>
      <c r="D827" t="inlineStr"/>
      <c r="E827">
        <f>HYPERLINK("https://www.uniprot.org/uniprotkb/A0A803JX24/entry", "A0A803JX24")</f>
        <v/>
      </c>
      <c r="F827" t="n">
        <v>35.9</v>
      </c>
      <c r="G827" t="n">
        <v>622</v>
      </c>
      <c r="H827" t="n">
        <v>5.49e-108</v>
      </c>
      <c r="I827" t="inlineStr">
        <is>
          <t>TrEMBL</t>
        </is>
      </c>
      <c r="J827" t="inlineStr"/>
      <c r="K827" t="inlineStr">
        <is>
          <t>A0A803JX24_XENTR</t>
        </is>
      </c>
      <c r="L827" t="inlineStr">
        <is>
          <t>tr|A0A803JX24|A0A803JX24_XENTR Reverse transcriptase domain-containing protein OS=Xenopus tropicalis OX=8364 PE=4 SV=1</t>
        </is>
      </c>
      <c r="M827" t="n">
        <v>626</v>
      </c>
      <c r="N827" t="inlineStr">
        <is>
          <t>Xenopus tropicalis</t>
        </is>
      </c>
      <c r="O827" t="inlineStr">
        <is>
          <t>Reverse transcriptase domain-containing protein</t>
        </is>
      </c>
    </row>
    <row r="828">
      <c r="A828" t="inlineStr"/>
      <c r="B828" t="inlineStr"/>
      <c r="C828" t="inlineStr"/>
      <c r="D828" t="inlineStr"/>
      <c r="E828">
        <f>HYPERLINK("https://www.uniprot.org/uniprotkb/A0A8C5PV95/entry", "A0A8C5PV95")</f>
        <v/>
      </c>
      <c r="F828" t="n">
        <v>35.9</v>
      </c>
      <c r="G828" t="n">
        <v>582</v>
      </c>
      <c r="H828" t="n">
        <v>7.41e-108</v>
      </c>
      <c r="I828" t="inlineStr">
        <is>
          <t>TrEMBL</t>
        </is>
      </c>
      <c r="J828" t="inlineStr"/>
      <c r="K828" t="inlineStr">
        <is>
          <t>A0A8C5PV95_9ANUR</t>
        </is>
      </c>
      <c r="L828" t="inlineStr">
        <is>
          <t>tr|A0A8C5PV95|A0A8C5PV95_9ANUR Reverse transcriptase domain-containing protein OS=Leptobrachium leishanense OX=445787 PE=4 SV=1</t>
        </is>
      </c>
      <c r="M828" t="n">
        <v>637</v>
      </c>
      <c r="N828" t="inlineStr">
        <is>
          <t>Leptobrachium leishanense</t>
        </is>
      </c>
      <c r="O828" t="inlineStr">
        <is>
          <t>Reverse transcriptase domain-containing protein</t>
        </is>
      </c>
    </row>
    <row r="829">
      <c r="A829" t="inlineStr"/>
      <c r="B829" t="inlineStr"/>
      <c r="C829" t="inlineStr"/>
      <c r="D829" t="inlineStr"/>
      <c r="E829">
        <f>HYPERLINK("https://www.uniprot.org/uniprotkb/A0A8C5QEN8/entry", "A0A8C5QEN8")</f>
        <v/>
      </c>
      <c r="F829" t="n">
        <v>36.2</v>
      </c>
      <c r="G829" t="n">
        <v>625</v>
      </c>
      <c r="H829" t="n">
        <v>1.44e-106</v>
      </c>
      <c r="I829" t="inlineStr">
        <is>
          <t>TrEMBL</t>
        </is>
      </c>
      <c r="J829" t="inlineStr"/>
      <c r="K829" t="inlineStr">
        <is>
          <t>A0A8C5QEN8_9ANUR</t>
        </is>
      </c>
      <c r="L829" t="inlineStr">
        <is>
          <t>tr|A0A8C5QEN8|A0A8C5QEN8_9ANUR Reverse transcriptase domain-containing protein OS=Leptobrachium leishanense OX=445787 PE=4 SV=1</t>
        </is>
      </c>
      <c r="M829" t="n">
        <v>780</v>
      </c>
      <c r="N829" t="inlineStr">
        <is>
          <t>Leptobrachium leishanense</t>
        </is>
      </c>
      <c r="O829" t="inlineStr">
        <is>
          <t>Reverse transcriptase domain-containing protein</t>
        </is>
      </c>
    </row>
    <row r="830">
      <c r="A830" t="inlineStr"/>
      <c r="B830" t="inlineStr"/>
      <c r="C830" t="inlineStr"/>
      <c r="D830" t="inlineStr"/>
      <c r="E830">
        <f>HYPERLINK("https://www.uniprot.org/uniprotkb/A0A8C5WDY6/entry", "A0A8C5WDY6")</f>
        <v/>
      </c>
      <c r="F830" t="n">
        <v>34.9</v>
      </c>
      <c r="G830" t="n">
        <v>622</v>
      </c>
      <c r="H830" t="n">
        <v>2.59e-106</v>
      </c>
      <c r="I830" t="inlineStr">
        <is>
          <t>TrEMBL</t>
        </is>
      </c>
      <c r="J830" t="inlineStr"/>
      <c r="K830" t="inlineStr">
        <is>
          <t>A0A8C5WDY6_9ANUR</t>
        </is>
      </c>
      <c r="L830" t="inlineStr">
        <is>
          <t>tr|A0A8C5WDY6|A0A8C5WDY6_9ANUR Reverse transcriptase domain-containing protein OS=Leptobrachium leishanense OX=445787 PE=4 SV=1</t>
        </is>
      </c>
      <c r="M830" t="n">
        <v>668</v>
      </c>
      <c r="N830" t="inlineStr">
        <is>
          <t>Leptobrachium leishanense</t>
        </is>
      </c>
      <c r="O830" t="inlineStr">
        <is>
          <t>Reverse transcriptase domain-containing protein</t>
        </is>
      </c>
    </row>
    <row r="831">
      <c r="A831" t="inlineStr"/>
      <c r="B831" t="inlineStr"/>
      <c r="C831" t="inlineStr"/>
      <c r="D831" t="inlineStr"/>
      <c r="E831">
        <f>HYPERLINK("https://www.uniprot.org/uniprotkb/A0A803K635/entry", "A0A803K635")</f>
        <v/>
      </c>
      <c r="F831" t="n">
        <v>35.7</v>
      </c>
      <c r="G831" t="n">
        <v>622</v>
      </c>
      <c r="H831" t="n">
        <v>5.05e-106</v>
      </c>
      <c r="I831" t="inlineStr">
        <is>
          <t>TrEMBL</t>
        </is>
      </c>
      <c r="J831" t="inlineStr"/>
      <c r="K831" t="inlineStr">
        <is>
          <t>A0A803K635_XENTR</t>
        </is>
      </c>
      <c r="L831" t="inlineStr">
        <is>
          <t>tr|A0A803K635|A0A803K635_XENTR Reverse transcriptase domain-containing protein OS=Xenopus tropicalis OX=8364 PE=4 SV=1</t>
        </is>
      </c>
      <c r="M831" t="n">
        <v>734</v>
      </c>
      <c r="N831" t="inlineStr">
        <is>
          <t>Xenopus tropicalis</t>
        </is>
      </c>
      <c r="O831" t="inlineStr">
        <is>
          <t>Reverse transcriptase domain-containing protein</t>
        </is>
      </c>
    </row>
    <row r="832">
      <c r="A832" t="inlineStr"/>
      <c r="B832" t="inlineStr"/>
      <c r="C832" t="inlineStr"/>
      <c r="D832" t="inlineStr"/>
      <c r="E832">
        <f>HYPERLINK("https://www.uniprot.org/uniprotkb/A0A803J3S0/entry", "A0A803J3S0")</f>
        <v/>
      </c>
      <c r="F832" t="n">
        <v>37</v>
      </c>
      <c r="G832" t="n">
        <v>625</v>
      </c>
      <c r="H832" t="n">
        <v>6.83e-106</v>
      </c>
      <c r="I832" t="inlineStr">
        <is>
          <t>TrEMBL</t>
        </is>
      </c>
      <c r="J832" t="inlineStr"/>
      <c r="K832" t="inlineStr">
        <is>
          <t>A0A803J3S0_XENTR</t>
        </is>
      </c>
      <c r="L832" t="inlineStr">
        <is>
          <t>tr|A0A803J3S0|A0A803J3S0_XENTR Reverse transcriptase domain-containing protein OS=Xenopus tropicalis OX=8364 PE=4 SV=1</t>
        </is>
      </c>
      <c r="M832" t="n">
        <v>679</v>
      </c>
      <c r="N832" t="inlineStr">
        <is>
          <t>Xenopus tropicalis</t>
        </is>
      </c>
      <c r="O832" t="inlineStr">
        <is>
          <t>Reverse transcriptase domain-containing protein</t>
        </is>
      </c>
    </row>
    <row r="833">
      <c r="A833" t="inlineStr"/>
      <c r="B833" t="inlineStr"/>
      <c r="C833" t="inlineStr"/>
      <c r="D833" t="inlineStr"/>
      <c r="E833">
        <f>HYPERLINK("https://www.uniprot.org/uniprotkb/A0A803JQE7/entry", "A0A803JQE7")</f>
        <v/>
      </c>
      <c r="F833" t="n">
        <v>35.3</v>
      </c>
      <c r="G833" t="n">
        <v>631</v>
      </c>
      <c r="H833" t="n">
        <v>2.11e-105</v>
      </c>
      <c r="I833" t="inlineStr">
        <is>
          <t>TrEMBL</t>
        </is>
      </c>
      <c r="J833" t="inlineStr"/>
      <c r="K833" t="inlineStr">
        <is>
          <t>A0A803JQE7_XENTR</t>
        </is>
      </c>
      <c r="L833" t="inlineStr">
        <is>
          <t>tr|A0A803JQE7|A0A803JQE7_XENTR Reverse transcriptase domain-containing protein OS=Xenopus tropicalis OX=8364 PE=4 SV=1</t>
        </is>
      </c>
      <c r="M833" t="n">
        <v>619</v>
      </c>
      <c r="N833" t="inlineStr">
        <is>
          <t>Xenopus tropicalis</t>
        </is>
      </c>
      <c r="O833" t="inlineStr">
        <is>
          <t>Reverse transcriptase domain-containing protein</t>
        </is>
      </c>
    </row>
    <row r="834">
      <c r="A834" t="inlineStr"/>
      <c r="B834" t="inlineStr"/>
      <c r="C834" t="inlineStr"/>
      <c r="D834" t="inlineStr"/>
      <c r="E834">
        <f>HYPERLINK("https://www.uniprot.org/uniprotkb/A0A8C5W849/entry", "A0A8C5W849")</f>
        <v/>
      </c>
      <c r="F834" t="n">
        <v>36.5</v>
      </c>
      <c r="G834" t="n">
        <v>628</v>
      </c>
      <c r="H834" t="n">
        <v>2.29e-105</v>
      </c>
      <c r="I834" t="inlineStr">
        <is>
          <t>TrEMBL</t>
        </is>
      </c>
      <c r="J834" t="inlineStr"/>
      <c r="K834" t="inlineStr">
        <is>
          <t>A0A8C5W849_9ANUR</t>
        </is>
      </c>
      <c r="L834" t="inlineStr">
        <is>
          <t>tr|A0A8C5W849|A0A8C5W849_9ANUR Reverse transcriptase domain-containing protein OS=Leptobrachium leishanense OX=445787 PE=4 SV=1</t>
        </is>
      </c>
      <c r="M834" t="n">
        <v>797</v>
      </c>
      <c r="N834" t="inlineStr">
        <is>
          <t>Leptobrachium leishanense</t>
        </is>
      </c>
      <c r="O834" t="inlineStr">
        <is>
          <t>Reverse transcriptase domain-containing protein</t>
        </is>
      </c>
    </row>
    <row r="835">
      <c r="A835" t="inlineStr"/>
      <c r="B835" t="inlineStr"/>
      <c r="C835" t="inlineStr"/>
      <c r="D835" t="inlineStr"/>
      <c r="E835">
        <f>HYPERLINK("https://www.uniprot.org/uniprotkb/A0A8C5QJ44/entry", "A0A8C5QJ44")</f>
        <v/>
      </c>
      <c r="F835" t="n">
        <v>38</v>
      </c>
      <c r="G835" t="n">
        <v>560</v>
      </c>
      <c r="H835" t="n">
        <v>5.38e-105</v>
      </c>
      <c r="I835" t="inlineStr">
        <is>
          <t>TrEMBL</t>
        </is>
      </c>
      <c r="J835" t="inlineStr"/>
      <c r="K835" t="inlineStr">
        <is>
          <t>A0A8C5QJ44_9ANUR</t>
        </is>
      </c>
      <c r="L835" t="inlineStr">
        <is>
          <t>tr|A0A8C5QJ44|A0A8C5QJ44_9ANUR Reverse transcriptase domain-containing protein OS=Leptobrachium leishanense OX=445787 PE=4 SV=1</t>
        </is>
      </c>
      <c r="M835" t="n">
        <v>720</v>
      </c>
      <c r="N835" t="inlineStr">
        <is>
          <t>Leptobrachium leishanense</t>
        </is>
      </c>
      <c r="O835" t="inlineStr">
        <is>
          <t>Reverse transcriptase domain-containing protein</t>
        </is>
      </c>
    </row>
    <row r="836">
      <c r="A836" t="inlineStr"/>
      <c r="B836" t="inlineStr"/>
      <c r="C836" t="inlineStr"/>
      <c r="D836" t="inlineStr"/>
      <c r="E836">
        <f>HYPERLINK("https://www.uniprot.org/uniprotkb/A0A803KAJ0/entry", "A0A803KAJ0")</f>
        <v/>
      </c>
      <c r="F836" t="n">
        <v>35.5</v>
      </c>
      <c r="G836" t="n">
        <v>620</v>
      </c>
      <c r="H836" t="n">
        <v>8.63e-105</v>
      </c>
      <c r="I836" t="inlineStr">
        <is>
          <t>TrEMBL</t>
        </is>
      </c>
      <c r="J836" t="inlineStr"/>
      <c r="K836" t="inlineStr">
        <is>
          <t>A0A803KAJ0_XENTR</t>
        </is>
      </c>
      <c r="L836" t="inlineStr">
        <is>
          <t>tr|A0A803KAJ0|A0A803KAJ0_XENTR Reverse transcriptase domain-containing protein OS=Xenopus tropicalis OX=8364 PE=4 SV=1</t>
        </is>
      </c>
      <c r="M836" t="n">
        <v>856</v>
      </c>
      <c r="N836" t="inlineStr">
        <is>
          <t>Xenopus tropicalis</t>
        </is>
      </c>
      <c r="O836" t="inlineStr">
        <is>
          <t>Reverse transcriptase domain-containing protein</t>
        </is>
      </c>
    </row>
    <row r="837">
      <c r="A837" t="inlineStr"/>
      <c r="B837" t="inlineStr"/>
      <c r="C837" t="inlineStr"/>
      <c r="D837" t="inlineStr"/>
      <c r="E837">
        <f>HYPERLINK("https://www.uniprot.org/uniprotkb/A0A8C5WHQ7/entry", "A0A8C5WHQ7")</f>
        <v/>
      </c>
      <c r="F837" t="n">
        <v>36.8</v>
      </c>
      <c r="G837" t="n">
        <v>617</v>
      </c>
      <c r="H837" t="n">
        <v>1.16e-104</v>
      </c>
      <c r="I837" t="inlineStr">
        <is>
          <t>TrEMBL</t>
        </is>
      </c>
      <c r="J837" t="inlineStr"/>
      <c r="K837" t="inlineStr">
        <is>
          <t>A0A8C5WHQ7_9ANUR</t>
        </is>
      </c>
      <c r="L837" t="inlineStr">
        <is>
          <t>tr|A0A8C5WHQ7|A0A8C5WHQ7_9ANUR Reverse transcriptase domain-containing protein OS=Leptobrachium leishanense OX=445787 PE=4 SV=1</t>
        </is>
      </c>
      <c r="M837" t="n">
        <v>710</v>
      </c>
      <c r="N837" t="inlineStr">
        <is>
          <t>Leptobrachium leishanense</t>
        </is>
      </c>
      <c r="O837" t="inlineStr">
        <is>
          <t>Reverse transcriptase domain-containing protein</t>
        </is>
      </c>
    </row>
    <row r="838">
      <c r="A838" t="inlineStr"/>
      <c r="B838" t="inlineStr"/>
      <c r="C838" t="inlineStr"/>
      <c r="D838" t="inlineStr"/>
      <c r="E838">
        <f>HYPERLINK("https://www.uniprot.org/uniprotkb/A0A8C5M9U5/entry", "A0A8C5M9U5")</f>
        <v/>
      </c>
      <c r="F838" t="n">
        <v>36.7</v>
      </c>
      <c r="G838" t="n">
        <v>572</v>
      </c>
      <c r="H838" t="n">
        <v>3.2e-103</v>
      </c>
      <c r="I838" t="inlineStr">
        <is>
          <t>TrEMBL</t>
        </is>
      </c>
      <c r="J838" t="inlineStr"/>
      <c r="K838" t="inlineStr">
        <is>
          <t>A0A8C5M9U5_9ANUR</t>
        </is>
      </c>
      <c r="L838" t="inlineStr">
        <is>
          <t>tr|A0A8C5M9U5|A0A8C5M9U5_9ANUR Reverse transcriptase domain-containing protein OS=Leptobrachium leishanense OX=445787 PE=4 SV=1</t>
        </is>
      </c>
      <c r="M838" t="n">
        <v>667</v>
      </c>
      <c r="N838" t="inlineStr">
        <is>
          <t>Leptobrachium leishanense</t>
        </is>
      </c>
      <c r="O838" t="inlineStr">
        <is>
          <t>Reverse transcriptase domain-containing protein</t>
        </is>
      </c>
    </row>
    <row r="839">
      <c r="A839" t="inlineStr"/>
      <c r="B839" t="inlineStr"/>
      <c r="C839" t="inlineStr"/>
      <c r="D839" t="inlineStr"/>
      <c r="E839">
        <f>HYPERLINK("https://www.uniprot.org/uniprotkb/A0A8C5PKA4/entry", "A0A8C5PKA4")</f>
        <v/>
      </c>
      <c r="F839" t="n">
        <v>36.2</v>
      </c>
      <c r="G839" t="n">
        <v>625</v>
      </c>
      <c r="H839" t="n">
        <v>1.01e-102</v>
      </c>
      <c r="I839" t="inlineStr">
        <is>
          <t>TrEMBL</t>
        </is>
      </c>
      <c r="J839" t="inlineStr"/>
      <c r="K839" t="inlineStr">
        <is>
          <t>A0A8C5PKA4_9ANUR</t>
        </is>
      </c>
      <c r="L839" t="inlineStr">
        <is>
          <t>tr|A0A8C5PKA4|A0A8C5PKA4_9ANUR Reverse transcriptase domain-containing protein OS=Leptobrachium leishanense OX=445787 PE=4 SV=1</t>
        </is>
      </c>
      <c r="M839" t="n">
        <v>672</v>
      </c>
      <c r="N839" t="inlineStr">
        <is>
          <t>Leptobrachium leishanense</t>
        </is>
      </c>
      <c r="O839" t="inlineStr">
        <is>
          <t>Reverse transcriptase domain-containing protein</t>
        </is>
      </c>
    </row>
    <row r="840">
      <c r="A840" t="inlineStr"/>
      <c r="B840" t="inlineStr"/>
      <c r="C840" t="inlineStr"/>
      <c r="D840" t="inlineStr"/>
      <c r="E840">
        <f>HYPERLINK("https://www.uniprot.org/uniprotkb/A0A803JPB3/entry", "A0A803JPB3")</f>
        <v/>
      </c>
      <c r="F840" t="n">
        <v>34.9</v>
      </c>
      <c r="G840" t="n">
        <v>644</v>
      </c>
      <c r="H840" t="n">
        <v>1.38e-102</v>
      </c>
      <c r="I840" t="inlineStr">
        <is>
          <t>TrEMBL</t>
        </is>
      </c>
      <c r="J840" t="inlineStr"/>
      <c r="K840" t="inlineStr">
        <is>
          <t>A0A803JPB3_XENTR</t>
        </is>
      </c>
      <c r="L840" t="inlineStr">
        <is>
          <t>tr|A0A803JPB3|A0A803JPB3_XENTR Reverse transcriptase domain-containing protein OS=Xenopus tropicalis OX=8364 PE=4 SV=1</t>
        </is>
      </c>
      <c r="M840" t="n">
        <v>725</v>
      </c>
      <c r="N840" t="inlineStr">
        <is>
          <t>Xenopus tropicalis</t>
        </is>
      </c>
      <c r="O840" t="inlineStr">
        <is>
          <t>Reverse transcriptase domain-containing protein</t>
        </is>
      </c>
    </row>
    <row r="841">
      <c r="A841" t="inlineStr"/>
      <c r="B841" t="inlineStr"/>
      <c r="C841" t="inlineStr"/>
      <c r="D841" t="inlineStr"/>
      <c r="E841">
        <f>HYPERLINK("https://www.ncbi.nlm.nih.gov/gene/?term=XP_040204899.1", "XP_040204899.1")</f>
        <v/>
      </c>
      <c r="F841" t="n">
        <v>34.7</v>
      </c>
      <c r="G841" t="n">
        <v>626</v>
      </c>
      <c r="H841" t="n">
        <v>3.67e-102</v>
      </c>
      <c r="I841" t="inlineStr">
        <is>
          <t>Nr</t>
        </is>
      </c>
      <c r="J841" t="inlineStr"/>
      <c r="K841" t="inlineStr"/>
      <c r="L841" t="inlineStr">
        <is>
          <t>XP_040204899.1 uncharacterized protein LOC120936529 [Rana temporaria]</t>
        </is>
      </c>
      <c r="M841" t="n">
        <v>608</v>
      </c>
      <c r="N841" t="inlineStr">
        <is>
          <t>Rana temporaria</t>
        </is>
      </c>
      <c r="O841" t="inlineStr">
        <is>
          <t>uncharacterized protein LOC120936529</t>
        </is>
      </c>
    </row>
    <row r="842">
      <c r="A842" t="inlineStr"/>
      <c r="B842" t="inlineStr"/>
      <c r="C842" t="inlineStr"/>
      <c r="D842" t="inlineStr"/>
      <c r="E842">
        <f>HYPERLINK("https://www.uniprot.org/uniprotkb/A0A8C5P7I8/entry", "A0A8C5P7I8")</f>
        <v/>
      </c>
      <c r="F842" t="n">
        <v>33.6</v>
      </c>
      <c r="G842" t="n">
        <v>619</v>
      </c>
      <c r="H842" t="n">
        <v>4.1e-102</v>
      </c>
      <c r="I842" t="inlineStr">
        <is>
          <t>TrEMBL</t>
        </is>
      </c>
      <c r="J842" t="inlineStr"/>
      <c r="K842" t="inlineStr">
        <is>
          <t>A0A8C5P7I8_9ANUR</t>
        </is>
      </c>
      <c r="L842" t="inlineStr">
        <is>
          <t>tr|A0A8C5P7I8|A0A8C5P7I8_9ANUR Reverse transcriptase domain-containing protein OS=Leptobrachium leishanense OX=445787 PE=4 SV=1</t>
        </is>
      </c>
      <c r="M842" t="n">
        <v>728</v>
      </c>
      <c r="N842" t="inlineStr">
        <is>
          <t>Leptobrachium leishanense</t>
        </is>
      </c>
      <c r="O842" t="inlineStr">
        <is>
          <t>Reverse transcriptase domain-containing protein</t>
        </is>
      </c>
    </row>
    <row r="843">
      <c r="A843" t="inlineStr"/>
      <c r="B843" t="inlineStr"/>
      <c r="C843" t="inlineStr"/>
      <c r="D843" t="inlineStr"/>
      <c r="E843">
        <f>HYPERLINK("https://www.ncbi.nlm.nih.gov/gene/?term=KAE8601590.1", "KAE8601590.1")</f>
        <v/>
      </c>
      <c r="F843" t="n">
        <v>37</v>
      </c>
      <c r="G843" t="n">
        <v>625</v>
      </c>
      <c r="H843" t="n">
        <v>4.38e-102</v>
      </c>
      <c r="I843" t="inlineStr">
        <is>
          <t>Nr</t>
        </is>
      </c>
      <c r="J843" t="inlineStr"/>
      <c r="K843" t="inlineStr"/>
      <c r="L843" t="inlineStr">
        <is>
          <t>KAE8601590.1 hypothetical protein XENTR_v10013728 [Xenopus tropicalis]</t>
        </is>
      </c>
      <c r="M843" t="n">
        <v>1505</v>
      </c>
      <c r="N843" t="inlineStr">
        <is>
          <t>Xenopus tropicalis</t>
        </is>
      </c>
      <c r="O843" t="inlineStr">
        <is>
          <t>hypothetical protein XENTR_v10013728</t>
        </is>
      </c>
    </row>
    <row r="844">
      <c r="A844" t="inlineStr"/>
      <c r="B844" t="inlineStr"/>
      <c r="C844" t="inlineStr"/>
      <c r="D844" t="inlineStr"/>
      <c r="E844">
        <f>HYPERLINK("https://www.ncbi.nlm.nih.gov/gene/?term=PIO31912.1", "PIO31912.1")</f>
        <v/>
      </c>
      <c r="F844" t="n">
        <v>34.1</v>
      </c>
      <c r="G844" t="n">
        <v>622</v>
      </c>
      <c r="H844" t="n">
        <v>2.25e-101</v>
      </c>
      <c r="I844" t="inlineStr">
        <is>
          <t>Nr</t>
        </is>
      </c>
      <c r="J844" t="inlineStr"/>
      <c r="K844" t="inlineStr"/>
      <c r="L844" t="inlineStr">
        <is>
          <t>PIO31912.1 hypothetical protein AB205_0011770 [Lithobates catesbeianus]</t>
        </is>
      </c>
      <c r="M844" t="n">
        <v>612</v>
      </c>
      <c r="N844" t="inlineStr">
        <is>
          <t>Lithobates catesbeianus</t>
        </is>
      </c>
      <c r="O844" t="inlineStr">
        <is>
          <t>hypothetical protein AB205_0011770</t>
        </is>
      </c>
    </row>
    <row r="845">
      <c r="A845" t="inlineStr"/>
      <c r="B845" t="inlineStr"/>
      <c r="C845" t="inlineStr"/>
      <c r="D845" t="inlineStr"/>
      <c r="E845">
        <f>HYPERLINK("https://www.ncbi.nlm.nih.gov/gene/?term=XP_040212985.1", "XP_040212985.1")</f>
        <v/>
      </c>
      <c r="F845" t="n">
        <v>32</v>
      </c>
      <c r="G845" t="n">
        <v>610</v>
      </c>
      <c r="H845" t="n">
        <v>9.759999999999999e-98</v>
      </c>
      <c r="I845" t="inlineStr">
        <is>
          <t>Nr</t>
        </is>
      </c>
      <c r="J845" t="inlineStr"/>
      <c r="K845" t="inlineStr"/>
      <c r="L845" t="inlineStr">
        <is>
          <t>XP_040212985.1 uncharacterized protein LOC120943646 [Rana temporaria]</t>
        </is>
      </c>
      <c r="M845" t="n">
        <v>646</v>
      </c>
      <c r="N845" t="inlineStr">
        <is>
          <t>Rana temporaria</t>
        </is>
      </c>
      <c r="O845" t="inlineStr">
        <is>
          <t>uncharacterized protein LOC120943646</t>
        </is>
      </c>
    </row>
    <row r="846">
      <c r="A846" t="inlineStr"/>
      <c r="B846" t="inlineStr"/>
      <c r="C846" t="inlineStr"/>
      <c r="D846" t="inlineStr"/>
      <c r="E846">
        <f>HYPERLINK("https://www.ncbi.nlm.nih.gov/gene/?term=XP_040212877.1", "XP_040212877.1")</f>
        <v/>
      </c>
      <c r="F846" t="n">
        <v>32</v>
      </c>
      <c r="G846" t="n">
        <v>610</v>
      </c>
      <c r="H846" t="n">
        <v>1.73e-96</v>
      </c>
      <c r="I846" t="inlineStr">
        <is>
          <t>Nr</t>
        </is>
      </c>
      <c r="J846" t="inlineStr"/>
      <c r="K846" t="inlineStr"/>
      <c r="L846" t="inlineStr">
        <is>
          <t>XP_040212877.1 uncharacterized protein LOC120943569 [Rana temporaria]</t>
        </is>
      </c>
      <c r="M846" t="n">
        <v>765</v>
      </c>
      <c r="N846" t="inlineStr">
        <is>
          <t>Rana temporaria</t>
        </is>
      </c>
      <c r="O846" t="inlineStr">
        <is>
          <t>uncharacterized protein LOC120943569</t>
        </is>
      </c>
    </row>
    <row r="847">
      <c r="A847" t="inlineStr"/>
      <c r="B847" t="inlineStr"/>
      <c r="C847" t="inlineStr"/>
      <c r="D847" t="inlineStr"/>
      <c r="E847">
        <f>HYPERLINK("https://www.ncbi.nlm.nih.gov/gene/?term=XP_035796656.1", "XP_035796656.1")</f>
        <v/>
      </c>
      <c r="F847" t="n">
        <v>33.2</v>
      </c>
      <c r="G847" t="n">
        <v>621</v>
      </c>
      <c r="H847" t="n">
        <v>8.659999999999999e-95</v>
      </c>
      <c r="I847" t="inlineStr">
        <is>
          <t>Nr</t>
        </is>
      </c>
      <c r="J847" t="inlineStr"/>
      <c r="K847" t="inlineStr"/>
      <c r="L847" t="inlineStr">
        <is>
          <t>XP_035796656.1 uncharacterized protein LOC111584630 isoform X1 [Amphiprion ocellaris]</t>
        </is>
      </c>
      <c r="M847" t="n">
        <v>633</v>
      </c>
      <c r="N847" t="inlineStr">
        <is>
          <t>Amphiprion ocellaris</t>
        </is>
      </c>
      <c r="O847" t="inlineStr">
        <is>
          <t>uncharacterized protein LOC111584630 isoform X1</t>
        </is>
      </c>
    </row>
    <row r="848">
      <c r="A848" t="inlineStr"/>
      <c r="B848" t="inlineStr"/>
      <c r="C848" t="inlineStr"/>
      <c r="D848" t="inlineStr"/>
      <c r="E848">
        <f>HYPERLINK("https://www.ncbi.nlm.nih.gov/gene/?term=XP_023143528.2", "XP_023143528.2")</f>
        <v/>
      </c>
      <c r="F848" t="n">
        <v>33.2</v>
      </c>
      <c r="G848" t="n">
        <v>621</v>
      </c>
      <c r="H848" t="n">
        <v>1.71e-94</v>
      </c>
      <c r="I848" t="inlineStr">
        <is>
          <t>Nr</t>
        </is>
      </c>
      <c r="J848" t="inlineStr"/>
      <c r="K848" t="inlineStr"/>
      <c r="L848" t="inlineStr">
        <is>
          <t>XP_023143528.2 uncharacterized protein LOC111580143 isoform X2 [Amphiprion ocellaris]</t>
        </is>
      </c>
      <c r="M848" t="n">
        <v>633</v>
      </c>
      <c r="N848" t="inlineStr">
        <is>
          <t>Amphiprion ocellaris</t>
        </is>
      </c>
      <c r="O848" t="inlineStr">
        <is>
          <t>uncharacterized protein LOC111580143 isoform X2</t>
        </is>
      </c>
    </row>
    <row r="849">
      <c r="A849" t="inlineStr"/>
      <c r="B849" t="inlineStr"/>
      <c r="C849" t="inlineStr"/>
      <c r="D849" t="inlineStr"/>
      <c r="E849">
        <f>HYPERLINK("https://www.ncbi.nlm.nih.gov/gene/?term=XP_035799256.1", "XP_035799256.1")</f>
        <v/>
      </c>
      <c r="F849" t="n">
        <v>33.2</v>
      </c>
      <c r="G849" t="n">
        <v>621</v>
      </c>
      <c r="H849" t="n">
        <v>1.8e-94</v>
      </c>
      <c r="I849" t="inlineStr">
        <is>
          <t>Nr</t>
        </is>
      </c>
      <c r="J849" t="inlineStr"/>
      <c r="K849" t="inlineStr"/>
      <c r="L849" t="inlineStr">
        <is>
          <t>XP_035799256.1 uncharacterized protein LOC111588690 isoform X1 [Amphiprion ocellaris]</t>
        </is>
      </c>
      <c r="M849" t="n">
        <v>662</v>
      </c>
      <c r="N849" t="inlineStr">
        <is>
          <t>Amphiprion ocellaris</t>
        </is>
      </c>
      <c r="O849" t="inlineStr">
        <is>
          <t>uncharacterized protein LOC111588690 isoform X1</t>
        </is>
      </c>
    </row>
    <row r="850">
      <c r="A850" t="inlineStr"/>
      <c r="B850" t="inlineStr"/>
      <c r="C850" t="inlineStr"/>
      <c r="D850" t="inlineStr"/>
      <c r="E850">
        <f>HYPERLINK("https://www.ncbi.nlm.nih.gov/gene/?term=CAH2329928.1", "CAH2329928.1")</f>
        <v/>
      </c>
      <c r="F850" t="n">
        <v>37.1</v>
      </c>
      <c r="G850" t="n">
        <v>502</v>
      </c>
      <c r="H850" t="n">
        <v>7.929999999999999e-93</v>
      </c>
      <c r="I850" t="inlineStr">
        <is>
          <t>Nr</t>
        </is>
      </c>
      <c r="J850" t="inlineStr"/>
      <c r="K850" t="inlineStr"/>
      <c r="L850" t="inlineStr">
        <is>
          <t>CAH2329928.1 Hypothetical predicted protein, partial [Pelobates cultripes]</t>
        </is>
      </c>
      <c r="M850" t="n">
        <v>535</v>
      </c>
      <c r="N850" t="inlineStr">
        <is>
          <t>Pelobates cultripes</t>
        </is>
      </c>
      <c r="O850" t="inlineStr">
        <is>
          <t>Hypothetical predicted protein, partial</t>
        </is>
      </c>
    </row>
    <row r="851">
      <c r="A851" t="inlineStr"/>
      <c r="B851" t="inlineStr"/>
      <c r="C851" t="inlineStr"/>
      <c r="D851" t="inlineStr"/>
      <c r="E851">
        <f>HYPERLINK("https://www.ncbi.nlm.nih.gov/gene/?term=XP_040188254.1", "XP_040188254.1")</f>
        <v/>
      </c>
      <c r="F851" t="n">
        <v>33.8</v>
      </c>
      <c r="G851" t="n">
        <v>631</v>
      </c>
      <c r="H851" t="n">
        <v>3.69e-92</v>
      </c>
      <c r="I851" t="inlineStr">
        <is>
          <t>Nr</t>
        </is>
      </c>
      <c r="J851" t="inlineStr"/>
      <c r="K851" t="inlineStr"/>
      <c r="L851" t="inlineStr">
        <is>
          <t>XP_040188254.1 uncharacterized protein LOC120920313 [Rana temporaria]</t>
        </is>
      </c>
      <c r="M851" t="n">
        <v>618</v>
      </c>
      <c r="N851" t="inlineStr">
        <is>
          <t>Rana temporaria</t>
        </is>
      </c>
      <c r="O851" t="inlineStr">
        <is>
          <t>uncharacterized protein LOC120920313</t>
        </is>
      </c>
    </row>
    <row r="852">
      <c r="A852" t="inlineStr"/>
      <c r="B852" t="inlineStr"/>
      <c r="C852" t="inlineStr"/>
      <c r="D852" t="inlineStr"/>
      <c r="E852">
        <f>HYPERLINK("https://www.ncbi.nlm.nih.gov/gene/?term=XP_041424610.1", "XP_041424610.1")</f>
        <v/>
      </c>
      <c r="F852" t="n">
        <v>34.3</v>
      </c>
      <c r="G852" t="n">
        <v>636</v>
      </c>
      <c r="H852" t="n">
        <v>3.74e-92</v>
      </c>
      <c r="I852" t="inlineStr">
        <is>
          <t>Nr</t>
        </is>
      </c>
      <c r="J852" t="inlineStr"/>
      <c r="K852" t="inlineStr"/>
      <c r="L852" t="inlineStr">
        <is>
          <t>XP_041424610.1 uncharacterized protein LOC121395346 isoform X1 [Xenopus laevis]</t>
        </is>
      </c>
      <c r="M852" t="n">
        <v>840</v>
      </c>
      <c r="N852" t="inlineStr">
        <is>
          <t>Xenopus laevis</t>
        </is>
      </c>
      <c r="O852" t="inlineStr">
        <is>
          <t>uncharacterized protein LOC121395346 isoform X1</t>
        </is>
      </c>
    </row>
    <row r="853">
      <c r="A853" t="inlineStr"/>
      <c r="B853" t="inlineStr"/>
      <c r="C853" t="inlineStr"/>
      <c r="D853" t="inlineStr"/>
      <c r="E853">
        <f>HYPERLINK("https://www.ncbi.nlm.nih.gov/gene/?term=XP_041418743.1", "XP_041418743.1")</f>
        <v/>
      </c>
      <c r="F853" t="n">
        <v>32.7</v>
      </c>
      <c r="G853" t="n">
        <v>626</v>
      </c>
      <c r="H853" t="n">
        <v>3.49e-90</v>
      </c>
      <c r="I853" t="inlineStr">
        <is>
          <t>Nr</t>
        </is>
      </c>
      <c r="J853" t="inlineStr"/>
      <c r="K853" t="inlineStr"/>
      <c r="L853" t="inlineStr">
        <is>
          <t>XP_041418743.1 uncharacterized protein LOC121393680 isoform X1 [Xenopus laevis]</t>
        </is>
      </c>
      <c r="M853" t="n">
        <v>753</v>
      </c>
      <c r="N853" t="inlineStr">
        <is>
          <t>Xenopus laevis</t>
        </is>
      </c>
      <c r="O853" t="inlineStr">
        <is>
          <t>uncharacterized protein LOC121393680 isoform X1</t>
        </is>
      </c>
    </row>
    <row r="854">
      <c r="A854" t="inlineStr"/>
      <c r="B854" t="inlineStr"/>
      <c r="C854" t="inlineStr"/>
      <c r="D854" t="inlineStr"/>
      <c r="E854">
        <f>HYPERLINK("https://www.ncbi.nlm.nih.gov/gene/?term=XP_041435800.1", "XP_041435800.1")</f>
        <v/>
      </c>
      <c r="F854" t="n">
        <v>33.5</v>
      </c>
      <c r="G854" t="n">
        <v>618</v>
      </c>
      <c r="H854" t="n">
        <v>4.32e-90</v>
      </c>
      <c r="I854" t="inlineStr">
        <is>
          <t>Nr</t>
        </is>
      </c>
      <c r="J854" t="inlineStr"/>
      <c r="K854" t="inlineStr"/>
      <c r="L854" t="inlineStr">
        <is>
          <t>XP_041435800.1 uncharacterized protein LOC121399360 [Xenopus laevis]</t>
        </is>
      </c>
      <c r="M854" t="n">
        <v>674</v>
      </c>
      <c r="N854" t="inlineStr">
        <is>
          <t>Xenopus laevis</t>
        </is>
      </c>
      <c r="O854" t="inlineStr">
        <is>
          <t>uncharacterized protein LOC121399360</t>
        </is>
      </c>
    </row>
    <row r="855">
      <c r="A855" t="inlineStr"/>
      <c r="B855" t="inlineStr"/>
      <c r="C855" t="inlineStr"/>
      <c r="D855" t="inlineStr"/>
      <c r="E855">
        <f>HYPERLINK("https://www.ncbi.nlm.nih.gov/gene/?term=XP_026098621.1", "XP_026098621.1")</f>
        <v/>
      </c>
      <c r="F855" t="n">
        <v>33.5</v>
      </c>
      <c r="G855" t="n">
        <v>597</v>
      </c>
      <c r="H855" t="n">
        <v>8.819999999999999e-90</v>
      </c>
      <c r="I855" t="inlineStr">
        <is>
          <t>Nr</t>
        </is>
      </c>
      <c r="J855" t="inlineStr"/>
      <c r="K855" t="inlineStr"/>
      <c r="L855" t="inlineStr">
        <is>
          <t>XP_026098621.1 uncharacterized protein LOC113069710 [Carassius auratus]</t>
        </is>
      </c>
      <c r="M855" t="n">
        <v>581</v>
      </c>
      <c r="N855" t="inlineStr">
        <is>
          <t>Carassius auratus</t>
        </is>
      </c>
      <c r="O855" t="inlineStr">
        <is>
          <t>uncharacterized protein LOC113069710</t>
        </is>
      </c>
    </row>
    <row r="856">
      <c r="A856" t="inlineStr"/>
      <c r="B856" t="inlineStr"/>
      <c r="C856" t="inlineStr"/>
      <c r="D856" t="inlineStr"/>
      <c r="E856">
        <f>HYPERLINK("https://www.ncbi.nlm.nih.gov/gene/?term=XP_041440270.1", "XP_041440270.1")</f>
        <v/>
      </c>
      <c r="F856" t="n">
        <v>31.9</v>
      </c>
      <c r="G856" t="n">
        <v>626</v>
      </c>
      <c r="H856" t="n">
        <v>9.29e-90</v>
      </c>
      <c r="I856" t="inlineStr">
        <is>
          <t>Nr</t>
        </is>
      </c>
      <c r="J856" t="inlineStr"/>
      <c r="K856" t="inlineStr"/>
      <c r="L856" t="inlineStr">
        <is>
          <t>XP_041440270.1 uncharacterized protein LOC121400667 [Xenopus laevis]</t>
        </is>
      </c>
      <c r="M856" t="n">
        <v>596</v>
      </c>
      <c r="N856" t="inlineStr">
        <is>
          <t>Xenopus laevis</t>
        </is>
      </c>
      <c r="O856" t="inlineStr">
        <is>
          <t>uncharacterized protein LOC121400667</t>
        </is>
      </c>
    </row>
    <row r="857">
      <c r="A857" t="inlineStr"/>
      <c r="B857" t="inlineStr"/>
      <c r="C857" t="inlineStr"/>
      <c r="D857" t="inlineStr"/>
      <c r="E857">
        <f>HYPERLINK("https://www.ncbi.nlm.nih.gov/gene/?term=XP_049912442.1", "XP_049912442.1")</f>
        <v/>
      </c>
      <c r="F857" t="n">
        <v>32.1</v>
      </c>
      <c r="G857" t="n">
        <v>624</v>
      </c>
      <c r="H857" t="n">
        <v>1.26e-89</v>
      </c>
      <c r="I857" t="inlineStr">
        <is>
          <t>Nr</t>
        </is>
      </c>
      <c r="J857" t="inlineStr"/>
      <c r="K857" t="inlineStr"/>
      <c r="L857" t="inlineStr">
        <is>
          <t>XP_049912442.1 coiled-coil-helix-coiled-coil-helix domain-containing protein 7 isoform X1 [Epinephelus moara]</t>
        </is>
      </c>
      <c r="M857" t="n">
        <v>608</v>
      </c>
      <c r="N857" t="inlineStr">
        <is>
          <t>Epinephelus moara</t>
        </is>
      </c>
      <c r="O857" t="inlineStr">
        <is>
          <t>coiled-coil-helix-coiled-coil-helix domain-containing protein 7 isoform X1</t>
        </is>
      </c>
    </row>
    <row r="858">
      <c r="A858" t="inlineStr"/>
      <c r="B858" t="inlineStr"/>
      <c r="C858" t="inlineStr"/>
      <c r="D858" t="inlineStr"/>
      <c r="E858">
        <f>HYPERLINK("https://www.ncbi.nlm.nih.gov/gene/?term=XP_041418589.1", "XP_041418589.1")</f>
        <v/>
      </c>
      <c r="F858" t="n">
        <v>32.8</v>
      </c>
      <c r="G858" t="n">
        <v>618</v>
      </c>
      <c r="H858" t="n">
        <v>3.76e-89</v>
      </c>
      <c r="I858" t="inlineStr">
        <is>
          <t>Nr</t>
        </is>
      </c>
      <c r="J858" t="inlineStr"/>
      <c r="K858" t="inlineStr"/>
      <c r="L858" t="inlineStr">
        <is>
          <t>XP_041418589.1 uncharacterized protein LOC121393628 [Xenopus laevis]</t>
        </is>
      </c>
      <c r="M858" t="n">
        <v>611</v>
      </c>
      <c r="N858" t="inlineStr">
        <is>
          <t>Xenopus laevis</t>
        </is>
      </c>
      <c r="O858" t="inlineStr">
        <is>
          <t>uncharacterized protein LOC121393628</t>
        </is>
      </c>
    </row>
    <row r="859">
      <c r="A859" t="inlineStr"/>
      <c r="B859" t="inlineStr"/>
      <c r="C859" t="inlineStr"/>
      <c r="D859" t="inlineStr"/>
      <c r="E859">
        <f>HYPERLINK("https://www.ncbi.nlm.nih.gov/gene/?term=XP_041418569.1", "XP_041418569.1")</f>
        <v/>
      </c>
      <c r="F859" t="n">
        <v>32.8</v>
      </c>
      <c r="G859" t="n">
        <v>618</v>
      </c>
      <c r="H859" t="n">
        <v>5.269999999999999e-89</v>
      </c>
      <c r="I859" t="inlineStr">
        <is>
          <t>Nr</t>
        </is>
      </c>
      <c r="J859" t="inlineStr"/>
      <c r="K859" t="inlineStr"/>
      <c r="L859" t="inlineStr">
        <is>
          <t>XP_041418569.1 uncharacterized protein LOC121393620 [Xenopus laevis]</t>
        </is>
      </c>
      <c r="M859" t="n">
        <v>611</v>
      </c>
      <c r="N859" t="inlineStr">
        <is>
          <t>Xenopus laevis</t>
        </is>
      </c>
      <c r="O859" t="inlineStr">
        <is>
          <t>uncharacterized protein LOC121393620</t>
        </is>
      </c>
    </row>
    <row r="860">
      <c r="A860" t="inlineStr"/>
      <c r="B860" t="inlineStr"/>
      <c r="C860" t="inlineStr"/>
      <c r="D860" t="inlineStr"/>
      <c r="E860">
        <f>HYPERLINK("https://www.ncbi.nlm.nih.gov/gene/?term=XP_040206073.1", "XP_040206073.1")</f>
        <v/>
      </c>
      <c r="F860" t="n">
        <v>32.1</v>
      </c>
      <c r="G860" t="n">
        <v>607</v>
      </c>
      <c r="H860" t="n">
        <v>1.78e-88</v>
      </c>
      <c r="I860" t="inlineStr">
        <is>
          <t>Nr</t>
        </is>
      </c>
      <c r="J860" t="inlineStr"/>
      <c r="K860" t="inlineStr"/>
      <c r="L860" t="inlineStr">
        <is>
          <t>XP_040206073.1 uncharacterized protein LOC120937139 [Rana temporaria]</t>
        </is>
      </c>
      <c r="M860" t="n">
        <v>619</v>
      </c>
      <c r="N860" t="inlineStr">
        <is>
          <t>Rana temporaria</t>
        </is>
      </c>
      <c r="O860" t="inlineStr">
        <is>
          <t>uncharacterized protein LOC120937139</t>
        </is>
      </c>
    </row>
    <row r="861">
      <c r="A861" t="inlineStr"/>
      <c r="B861" t="inlineStr"/>
      <c r="C861" t="inlineStr"/>
      <c r="D861" t="inlineStr"/>
      <c r="E861">
        <f>HYPERLINK("https://www.ncbi.nlm.nih.gov/gene/?term=XP_041435825.1", "XP_041435825.1")</f>
        <v/>
      </c>
      <c r="F861" t="n">
        <v>40.5</v>
      </c>
      <c r="G861" t="n">
        <v>393</v>
      </c>
      <c r="H861" t="n">
        <v>1.83e-88</v>
      </c>
      <c r="I861" t="inlineStr">
        <is>
          <t>Nr</t>
        </is>
      </c>
      <c r="J861" t="inlineStr"/>
      <c r="K861" t="inlineStr"/>
      <c r="L861" t="inlineStr">
        <is>
          <t>XP_041435825.1 uncharacterized protein LOC121399362 [Xenopus laevis]</t>
        </is>
      </c>
      <c r="M861" t="n">
        <v>389</v>
      </c>
      <c r="N861" t="inlineStr">
        <is>
          <t>Xenopus laevis</t>
        </is>
      </c>
      <c r="O861" t="inlineStr">
        <is>
          <t>uncharacterized protein LOC121399362</t>
        </is>
      </c>
    </row>
    <row r="862">
      <c r="A862" t="inlineStr"/>
      <c r="B862" t="inlineStr"/>
      <c r="C862" t="inlineStr"/>
      <c r="D862" t="inlineStr"/>
      <c r="E862">
        <f>HYPERLINK("https://www.ncbi.nlm.nih.gov/gene/?term=XP_041430880.1", "XP_041430880.1")</f>
        <v/>
      </c>
      <c r="F862" t="n">
        <v>32.7</v>
      </c>
      <c r="G862" t="n">
        <v>618</v>
      </c>
      <c r="H862" t="n">
        <v>2.04e-88</v>
      </c>
      <c r="I862" t="inlineStr">
        <is>
          <t>Nr</t>
        </is>
      </c>
      <c r="J862" t="inlineStr"/>
      <c r="K862" t="inlineStr"/>
      <c r="L862" t="inlineStr">
        <is>
          <t>XP_041430880.1 uncharacterized protein LOC121397711 [Xenopus laevis]</t>
        </is>
      </c>
      <c r="M862" t="n">
        <v>611</v>
      </c>
      <c r="N862" t="inlineStr">
        <is>
          <t>Xenopus laevis</t>
        </is>
      </c>
      <c r="O862" t="inlineStr">
        <is>
          <t>uncharacterized protein LOC121397711</t>
        </is>
      </c>
    </row>
    <row r="863">
      <c r="A863" t="inlineStr"/>
      <c r="B863" t="inlineStr"/>
      <c r="C863" t="inlineStr"/>
      <c r="D863" t="inlineStr"/>
      <c r="E863">
        <f>HYPERLINK("https://www.ncbi.nlm.nih.gov/gene/?term=XP_041423404.1", "XP_041423404.1")</f>
        <v/>
      </c>
      <c r="F863" t="n">
        <v>31.8</v>
      </c>
      <c r="G863" t="n">
        <v>626</v>
      </c>
      <c r="H863" t="n">
        <v>4.6e-88</v>
      </c>
      <c r="I863" t="inlineStr">
        <is>
          <t>Nr</t>
        </is>
      </c>
      <c r="J863" t="inlineStr"/>
      <c r="K863" t="inlineStr"/>
      <c r="L863" t="inlineStr">
        <is>
          <t>XP_041423404.1 uncharacterized protein LOC121395010 [Xenopus laevis]</t>
        </is>
      </c>
      <c r="M863" t="n">
        <v>701</v>
      </c>
      <c r="N863" t="inlineStr">
        <is>
          <t>Xenopus laevis</t>
        </is>
      </c>
      <c r="O863" t="inlineStr">
        <is>
          <t>uncharacterized protein LOC121395010</t>
        </is>
      </c>
    </row>
    <row r="864">
      <c r="A864" t="inlineStr"/>
      <c r="B864" t="inlineStr"/>
      <c r="C864" t="inlineStr"/>
      <c r="D864" t="inlineStr"/>
      <c r="E864">
        <f>HYPERLINK("https://www.ncbi.nlm.nih.gov/gene/?term=XP_040191613.1", "XP_040191613.1")</f>
        <v/>
      </c>
      <c r="F864" t="n">
        <v>32.1</v>
      </c>
      <c r="G864" t="n">
        <v>607</v>
      </c>
      <c r="H864" t="n">
        <v>2.68e-87</v>
      </c>
      <c r="I864" t="inlineStr">
        <is>
          <t>Nr</t>
        </is>
      </c>
      <c r="J864" t="inlineStr"/>
      <c r="K864" t="inlineStr"/>
      <c r="L864" t="inlineStr">
        <is>
          <t>XP_040191613.1 uncharacterized protein LOC120924680 [Rana temporaria]</t>
        </is>
      </c>
      <c r="M864" t="n">
        <v>735</v>
      </c>
      <c r="N864" t="inlineStr">
        <is>
          <t>Rana temporaria</t>
        </is>
      </c>
      <c r="O864" t="inlineStr">
        <is>
          <t>uncharacterized protein LOC120924680</t>
        </is>
      </c>
    </row>
    <row r="865">
      <c r="A865" t="inlineStr"/>
      <c r="B865" t="inlineStr"/>
      <c r="C865" t="inlineStr"/>
      <c r="D865" t="inlineStr"/>
      <c r="E865">
        <f>HYPERLINK("https://www.ncbi.nlm.nih.gov/gene/?term=XP_040196440.1", "XP_040196440.1")</f>
        <v/>
      </c>
      <c r="F865" t="n">
        <v>30.5</v>
      </c>
      <c r="G865" t="n">
        <v>607</v>
      </c>
      <c r="H865" t="n">
        <v>3.12e-87</v>
      </c>
      <c r="I865" t="inlineStr">
        <is>
          <t>Nr</t>
        </is>
      </c>
      <c r="J865" t="inlineStr"/>
      <c r="K865" t="inlineStr"/>
      <c r="L865" t="inlineStr">
        <is>
          <t>XP_040196440.1 uncharacterized protein LOC120929221 [Rana temporaria]</t>
        </is>
      </c>
      <c r="M865" t="n">
        <v>742</v>
      </c>
      <c r="N865" t="inlineStr">
        <is>
          <t>Rana temporaria</t>
        </is>
      </c>
      <c r="O865" t="inlineStr">
        <is>
          <t>uncharacterized protein LOC120929221</t>
        </is>
      </c>
    </row>
    <row r="866">
      <c r="A866" t="inlineStr"/>
      <c r="B866" t="inlineStr"/>
      <c r="C866" t="inlineStr"/>
      <c r="D866" t="inlineStr"/>
      <c r="E866">
        <f>HYPERLINK("https://www.ncbi.nlm.nih.gov/gene/?term=OCU02666.1", "OCU02666.1")</f>
        <v/>
      </c>
      <c r="F866" t="n">
        <v>39</v>
      </c>
      <c r="G866" t="n">
        <v>136</v>
      </c>
      <c r="H866" t="n">
        <v>5e-18</v>
      </c>
      <c r="I866" t="inlineStr">
        <is>
          <t>Nr</t>
        </is>
      </c>
      <c r="J866" t="inlineStr"/>
      <c r="K866" t="inlineStr"/>
      <c r="L866" t="inlineStr">
        <is>
          <t>OCU02666.1 hypothetical protein XELAEV_18008432mg [Xenopus laevis]</t>
        </is>
      </c>
      <c r="M866" t="n">
        <v>243</v>
      </c>
      <c r="N866" t="inlineStr">
        <is>
          <t>Xenopus laevis</t>
        </is>
      </c>
      <c r="O866" t="inlineStr">
        <is>
          <t>hypothetical protein XELAEV_18008432mg</t>
        </is>
      </c>
    </row>
    <row r="867">
      <c r="A867" t="inlineStr"/>
      <c r="B867" t="inlineStr"/>
      <c r="C867" t="inlineStr"/>
      <c r="D867" t="inlineStr"/>
      <c r="E867">
        <f>HYPERLINK("https://www.ncbi.nlm.nih.gov/gene/?term=OCT78081.1", "OCT78081.1")</f>
        <v/>
      </c>
      <c r="F867" t="n">
        <v>35.9</v>
      </c>
      <c r="G867" t="n">
        <v>145</v>
      </c>
      <c r="H867" t="n">
        <v>1.7e-17</v>
      </c>
      <c r="I867" t="inlineStr">
        <is>
          <t>Nr</t>
        </is>
      </c>
      <c r="J867" t="inlineStr"/>
      <c r="K867" t="inlineStr"/>
      <c r="L867" t="inlineStr">
        <is>
          <t>OCT78081.1 hypothetical protein XELAEV_18029181mg [Xenopus laevis]</t>
        </is>
      </c>
      <c r="M867" t="n">
        <v>170</v>
      </c>
      <c r="N867" t="inlineStr">
        <is>
          <t>Xenopus laevis</t>
        </is>
      </c>
      <c r="O867" t="inlineStr">
        <is>
          <t>hypothetical protein XELAEV_18029181mg</t>
        </is>
      </c>
    </row>
    <row r="868">
      <c r="A868" t="inlineStr"/>
      <c r="B868" t="inlineStr"/>
      <c r="C868" t="inlineStr"/>
      <c r="D868" t="inlineStr"/>
      <c r="E868">
        <f>HYPERLINK("https://www.ncbi.nlm.nih.gov/gene/?term=KAJ1082733.1", "KAJ1082733.1")</f>
        <v/>
      </c>
      <c r="F868" t="n">
        <v>37.9</v>
      </c>
      <c r="G868" t="n">
        <v>140</v>
      </c>
      <c r="H868" t="n">
        <v>1.46e-16</v>
      </c>
      <c r="I868" t="inlineStr">
        <is>
          <t>Nr</t>
        </is>
      </c>
      <c r="J868" t="inlineStr"/>
      <c r="K868" t="inlineStr"/>
      <c r="L868" t="inlineStr">
        <is>
          <t>KAJ1082733.1 hypothetical protein NDU88_002898 [Pleurodeles waltl]</t>
        </is>
      </c>
      <c r="M868" t="n">
        <v>291</v>
      </c>
      <c r="N868" t="inlineStr">
        <is>
          <t>Pleurodeles waltl</t>
        </is>
      </c>
      <c r="O868" t="inlineStr">
        <is>
          <t>hypothetical protein NDU88_002898</t>
        </is>
      </c>
    </row>
    <row r="869">
      <c r="A869" t="inlineStr"/>
      <c r="B869" t="inlineStr"/>
      <c r="C869" t="inlineStr"/>
      <c r="D869" t="inlineStr"/>
      <c r="E869">
        <f>HYPERLINK("https://www.ncbi.nlm.nih.gov/gene/?term=KAJ1142801.1", "KAJ1142801.1")</f>
        <v/>
      </c>
      <c r="F869" t="n">
        <v>34.5</v>
      </c>
      <c r="G869" t="n">
        <v>174</v>
      </c>
      <c r="H869" t="n">
        <v>3.75e-16</v>
      </c>
      <c r="I869" t="inlineStr">
        <is>
          <t>Nr</t>
        </is>
      </c>
      <c r="J869" t="inlineStr"/>
      <c r="K869" t="inlineStr"/>
      <c r="L869" t="inlineStr">
        <is>
          <t>KAJ1142801.1 hypothetical protein NDU88_009114 [Pleurodeles waltl]</t>
        </is>
      </c>
      <c r="M869" t="n">
        <v>292</v>
      </c>
      <c r="N869" t="inlineStr">
        <is>
          <t>Pleurodeles waltl</t>
        </is>
      </c>
      <c r="O869" t="inlineStr">
        <is>
          <t>hypothetical protein NDU88_009114</t>
        </is>
      </c>
    </row>
    <row r="870">
      <c r="A870" t="inlineStr"/>
      <c r="B870" t="inlineStr"/>
      <c r="C870" t="inlineStr"/>
      <c r="D870" t="inlineStr"/>
      <c r="E870">
        <f>HYPERLINK("https://www.ncbi.nlm.nih.gov/gene/?term=KAJ1198065.1", "KAJ1198065.1")</f>
        <v/>
      </c>
      <c r="F870" t="n">
        <v>34.5</v>
      </c>
      <c r="G870" t="n">
        <v>174</v>
      </c>
      <c r="H870" t="n">
        <v>5.17e-16</v>
      </c>
      <c r="I870" t="inlineStr">
        <is>
          <t>Nr</t>
        </is>
      </c>
      <c r="J870" t="inlineStr"/>
      <c r="K870" t="inlineStr"/>
      <c r="L870" t="inlineStr">
        <is>
          <t>KAJ1198065.1 hypothetical protein NDU88_001909 [Pleurodeles waltl]</t>
        </is>
      </c>
      <c r="M870" t="n">
        <v>314</v>
      </c>
      <c r="N870" t="inlineStr">
        <is>
          <t>Pleurodeles waltl</t>
        </is>
      </c>
      <c r="O870" t="inlineStr">
        <is>
          <t>hypothetical protein NDU88_001909</t>
        </is>
      </c>
    </row>
    <row r="871">
      <c r="A871" t="inlineStr"/>
      <c r="B871" t="inlineStr"/>
      <c r="C871" t="inlineStr"/>
      <c r="D871" t="inlineStr"/>
      <c r="E871">
        <f>HYPERLINK("https://www.ncbi.nlm.nih.gov/gene/?term=KAJ1181009.1", "KAJ1181009.1")</f>
        <v/>
      </c>
      <c r="F871" t="n">
        <v>34.5</v>
      </c>
      <c r="G871" t="n">
        <v>174</v>
      </c>
      <c r="H871" t="n">
        <v>5.68e-16</v>
      </c>
      <c r="I871" t="inlineStr">
        <is>
          <t>Nr</t>
        </is>
      </c>
      <c r="J871" t="inlineStr"/>
      <c r="K871" t="inlineStr"/>
      <c r="L871" t="inlineStr">
        <is>
          <t>KAJ1181009.1 hypothetical protein NDU88_006220 [Pleurodeles waltl]</t>
        </is>
      </c>
      <c r="M871" t="n">
        <v>321</v>
      </c>
      <c r="N871" t="inlineStr">
        <is>
          <t>Pleurodeles waltl</t>
        </is>
      </c>
      <c r="O871" t="inlineStr">
        <is>
          <t>hypothetical protein NDU88_006220</t>
        </is>
      </c>
    </row>
    <row r="872">
      <c r="A872" t="inlineStr"/>
      <c r="B872" t="inlineStr"/>
      <c r="C872" t="inlineStr"/>
      <c r="D872" t="inlineStr"/>
      <c r="E872">
        <f>HYPERLINK("https://www.ncbi.nlm.nih.gov/gene/?term=KAJ1188078.1", "KAJ1188078.1")</f>
        <v/>
      </c>
      <c r="F872" t="n">
        <v>34.5</v>
      </c>
      <c r="G872" t="n">
        <v>174</v>
      </c>
      <c r="H872" t="n">
        <v>5.68e-16</v>
      </c>
      <c r="I872" t="inlineStr">
        <is>
          <t>Nr</t>
        </is>
      </c>
      <c r="J872" t="inlineStr"/>
      <c r="K872" t="inlineStr"/>
      <c r="L872" t="inlineStr">
        <is>
          <t>KAJ1188078.1 hypothetical protein NDU88_004843 [Pleurodeles waltl]</t>
        </is>
      </c>
      <c r="M872" t="n">
        <v>321</v>
      </c>
      <c r="N872" t="inlineStr">
        <is>
          <t>Pleurodeles waltl</t>
        </is>
      </c>
      <c r="O872" t="inlineStr">
        <is>
          <t>hypothetical protein NDU88_004843</t>
        </is>
      </c>
    </row>
    <row r="873">
      <c r="A873" t="inlineStr"/>
      <c r="B873" t="inlineStr"/>
      <c r="C873" t="inlineStr"/>
      <c r="D873" t="inlineStr"/>
      <c r="E873">
        <f>HYPERLINK("https://www.ncbi.nlm.nih.gov/gene/?term=KAJ1084898.1", "KAJ1084898.1")</f>
        <v/>
      </c>
      <c r="F873" t="n">
        <v>34.5</v>
      </c>
      <c r="G873" t="n">
        <v>174</v>
      </c>
      <c r="H873" t="n">
        <v>5.68e-16</v>
      </c>
      <c r="I873" t="inlineStr">
        <is>
          <t>Nr</t>
        </is>
      </c>
      <c r="J873" t="inlineStr"/>
      <c r="K873" t="inlineStr"/>
      <c r="L873" t="inlineStr">
        <is>
          <t>KAJ1084898.1 hypothetical protein NDU88_005038 [Pleurodeles waltl]</t>
        </is>
      </c>
      <c r="M873" t="n">
        <v>321</v>
      </c>
      <c r="N873" t="inlineStr">
        <is>
          <t>Pleurodeles waltl</t>
        </is>
      </c>
      <c r="O873" t="inlineStr">
        <is>
          <t>hypothetical protein NDU88_005038</t>
        </is>
      </c>
    </row>
    <row r="874">
      <c r="A874" t="inlineStr"/>
      <c r="B874" t="inlineStr"/>
      <c r="C874" t="inlineStr"/>
      <c r="D874" t="inlineStr"/>
      <c r="E874">
        <f>HYPERLINK("https://www.ncbi.nlm.nih.gov/gene/?term=KAJ1216613.1", "KAJ1216613.1")</f>
        <v/>
      </c>
      <c r="F874" t="n">
        <v>32.8</v>
      </c>
      <c r="G874" t="n">
        <v>195</v>
      </c>
      <c r="H874" t="n">
        <v>9.36e-16</v>
      </c>
      <c r="I874" t="inlineStr">
        <is>
          <t>Nr</t>
        </is>
      </c>
      <c r="J874" t="inlineStr"/>
      <c r="K874" t="inlineStr"/>
      <c r="L874" t="inlineStr">
        <is>
          <t>KAJ1216613.1 hypothetical protein NDU88_004214 [Pleurodeles waltl]</t>
        </is>
      </c>
      <c r="M874" t="n">
        <v>291</v>
      </c>
      <c r="N874" t="inlineStr">
        <is>
          <t>Pleurodeles waltl</t>
        </is>
      </c>
      <c r="O874" t="inlineStr">
        <is>
          <t>hypothetical protein NDU88_004214</t>
        </is>
      </c>
    </row>
    <row r="875">
      <c r="A875" t="inlineStr"/>
      <c r="B875" t="inlineStr"/>
      <c r="C875" t="inlineStr"/>
      <c r="D875" t="inlineStr"/>
      <c r="E875">
        <f>HYPERLINK("https://www.ncbi.nlm.nih.gov/gene/?term=KAJ1092201.1", "KAJ1092201.1")</f>
        <v/>
      </c>
      <c r="F875" t="n">
        <v>32.9</v>
      </c>
      <c r="G875" t="n">
        <v>161</v>
      </c>
      <c r="H875" t="n">
        <v>1.46e-15</v>
      </c>
      <c r="I875" t="inlineStr">
        <is>
          <t>Nr</t>
        </is>
      </c>
      <c r="J875" t="inlineStr"/>
      <c r="K875" t="inlineStr"/>
      <c r="L875" t="inlineStr">
        <is>
          <t>KAJ1092201.1 hypothetical protein NDU88_005313 [Pleurodeles waltl]</t>
        </is>
      </c>
      <c r="M875" t="n">
        <v>261</v>
      </c>
      <c r="N875" t="inlineStr">
        <is>
          <t>Pleurodeles waltl</t>
        </is>
      </c>
      <c r="O875" t="inlineStr">
        <is>
          <t>hypothetical protein NDU88_005313</t>
        </is>
      </c>
    </row>
    <row r="876">
      <c r="A876" t="inlineStr"/>
      <c r="B876" t="inlineStr"/>
      <c r="C876" t="inlineStr"/>
      <c r="D876" t="inlineStr"/>
      <c r="E876">
        <f>HYPERLINK("https://www.ncbi.nlm.nih.gov/gene/?term=KAJ1126318.1", "KAJ1126318.1")</f>
        <v/>
      </c>
      <c r="F876" t="n">
        <v>34.4</v>
      </c>
      <c r="G876" t="n">
        <v>151</v>
      </c>
      <c r="H876" t="n">
        <v>2.75e-15</v>
      </c>
      <c r="I876" t="inlineStr">
        <is>
          <t>Nr</t>
        </is>
      </c>
      <c r="J876" t="inlineStr"/>
      <c r="K876" t="inlineStr"/>
      <c r="L876" t="inlineStr">
        <is>
          <t>KAJ1126318.1 hypothetical protein NDU88_004726 [Pleurodeles waltl]</t>
        </is>
      </c>
      <c r="M876" t="n">
        <v>477</v>
      </c>
      <c r="N876" t="inlineStr">
        <is>
          <t>Pleurodeles waltl</t>
        </is>
      </c>
      <c r="O876" t="inlineStr">
        <is>
          <t>hypothetical protein NDU88_004726</t>
        </is>
      </c>
    </row>
    <row r="877">
      <c r="A877" t="inlineStr"/>
      <c r="B877" t="inlineStr"/>
      <c r="C877" t="inlineStr"/>
      <c r="D877" t="inlineStr"/>
      <c r="E877">
        <f>HYPERLINK("https://www.ncbi.nlm.nih.gov/gene/?term=OCT86451.1", "OCT86451.1")</f>
        <v/>
      </c>
      <c r="F877" t="n">
        <v>35.9</v>
      </c>
      <c r="G877" t="n">
        <v>145</v>
      </c>
      <c r="H877" t="n">
        <v>2.85e-15</v>
      </c>
      <c r="I877" t="inlineStr">
        <is>
          <t>Nr</t>
        </is>
      </c>
      <c r="J877" t="inlineStr"/>
      <c r="K877" t="inlineStr"/>
      <c r="L877" t="inlineStr">
        <is>
          <t>OCT86451.1 hypothetical protein XELAEV_18020135mg [Xenopus laevis]</t>
        </is>
      </c>
      <c r="M877" t="n">
        <v>304</v>
      </c>
      <c r="N877" t="inlineStr">
        <is>
          <t>Xenopus laevis</t>
        </is>
      </c>
      <c r="O877" t="inlineStr">
        <is>
          <t>hypothetical protein XELAEV_18020135mg</t>
        </is>
      </c>
    </row>
    <row r="878">
      <c r="A878" t="inlineStr"/>
      <c r="B878" t="inlineStr"/>
      <c r="C878" t="inlineStr"/>
      <c r="D878" t="inlineStr"/>
      <c r="E878">
        <f>HYPERLINK("https://www.ncbi.nlm.nih.gov/gene/?term=KAJ1169334.1", "KAJ1169334.1")</f>
        <v/>
      </c>
      <c r="F878" t="n">
        <v>33.5</v>
      </c>
      <c r="G878" t="n">
        <v>161</v>
      </c>
      <c r="H878" t="n">
        <v>3.27e-15</v>
      </c>
      <c r="I878" t="inlineStr">
        <is>
          <t>Nr</t>
        </is>
      </c>
      <c r="J878" t="inlineStr"/>
      <c r="K878" t="inlineStr"/>
      <c r="L878" t="inlineStr">
        <is>
          <t>KAJ1169334.1 hypothetical protein NDU88_001227 [Pleurodeles waltl]</t>
        </is>
      </c>
      <c r="M878" t="n">
        <v>292</v>
      </c>
      <c r="N878" t="inlineStr">
        <is>
          <t>Pleurodeles waltl</t>
        </is>
      </c>
      <c r="O878" t="inlineStr">
        <is>
          <t>hypothetical protein NDU88_001227</t>
        </is>
      </c>
    </row>
    <row r="879">
      <c r="A879" t="inlineStr"/>
      <c r="B879" t="inlineStr"/>
      <c r="C879" t="inlineStr"/>
      <c r="D879" t="inlineStr"/>
      <c r="E879">
        <f>HYPERLINK("https://www.ncbi.nlm.nih.gov/gene/?term=OCT76223.1", "OCT76223.1")</f>
        <v/>
      </c>
      <c r="F879" t="n">
        <v>30.9</v>
      </c>
      <c r="G879" t="n">
        <v>165</v>
      </c>
      <c r="H879" t="n">
        <v>3.37e-15</v>
      </c>
      <c r="I879" t="inlineStr">
        <is>
          <t>Nr</t>
        </is>
      </c>
      <c r="J879" t="inlineStr"/>
      <c r="K879" t="inlineStr"/>
      <c r="L879" t="inlineStr">
        <is>
          <t>OCT76223.1 hypothetical protein XELAEV_18031425mg [Xenopus laevis]</t>
        </is>
      </c>
      <c r="M879" t="n">
        <v>294</v>
      </c>
      <c r="N879" t="inlineStr">
        <is>
          <t>Xenopus laevis</t>
        </is>
      </c>
      <c r="O879" t="inlineStr">
        <is>
          <t>hypothetical protein XELAEV_18031425mg</t>
        </is>
      </c>
    </row>
    <row r="880">
      <c r="A880" t="inlineStr"/>
      <c r="B880" t="inlineStr"/>
      <c r="C880" t="inlineStr"/>
      <c r="D880" t="inlineStr"/>
      <c r="E880">
        <f>HYPERLINK("https://www.ncbi.nlm.nih.gov/gene/?term=KAJ1212847.1", "KAJ1212847.1")</f>
        <v/>
      </c>
      <c r="F880" t="n">
        <v>34.5</v>
      </c>
      <c r="G880" t="n">
        <v>174</v>
      </c>
      <c r="H880" t="n">
        <v>3.39e-15</v>
      </c>
      <c r="I880" t="inlineStr">
        <is>
          <t>Nr</t>
        </is>
      </c>
      <c r="J880" t="inlineStr"/>
      <c r="K880" t="inlineStr"/>
      <c r="L880" t="inlineStr">
        <is>
          <t>KAJ1212847.1 hypothetical protein NDU88_000491 [Pleurodeles waltl]</t>
        </is>
      </c>
      <c r="M880" t="n">
        <v>751</v>
      </c>
      <c r="N880" t="inlineStr">
        <is>
          <t>Pleurodeles waltl</t>
        </is>
      </c>
      <c r="O880" t="inlineStr">
        <is>
          <t>hypothetical protein NDU88_000491</t>
        </is>
      </c>
    </row>
    <row r="881">
      <c r="A881" t="inlineStr"/>
      <c r="B881" t="inlineStr"/>
      <c r="C881" t="inlineStr"/>
      <c r="D881" t="inlineStr"/>
      <c r="E881">
        <f>HYPERLINK("https://www.ncbi.nlm.nih.gov/gene/?term=KAJ1143385.1", "KAJ1143385.1")</f>
        <v/>
      </c>
      <c r="F881" t="n">
        <v>34.5</v>
      </c>
      <c r="G881" t="n">
        <v>174</v>
      </c>
      <c r="H881" t="n">
        <v>3.41e-15</v>
      </c>
      <c r="I881" t="inlineStr">
        <is>
          <t>Nr</t>
        </is>
      </c>
      <c r="J881" t="inlineStr"/>
      <c r="K881" t="inlineStr"/>
      <c r="L881" t="inlineStr">
        <is>
          <t>KAJ1143385.1 hypothetical protein NDU88_009694 [Pleurodeles waltl]</t>
        </is>
      </c>
      <c r="M881" t="n">
        <v>545</v>
      </c>
      <c r="N881" t="inlineStr">
        <is>
          <t>Pleurodeles waltl</t>
        </is>
      </c>
      <c r="O881" t="inlineStr">
        <is>
          <t>hypothetical protein NDU88_009694</t>
        </is>
      </c>
    </row>
    <row r="882">
      <c r="A882" t="inlineStr"/>
      <c r="B882" t="inlineStr"/>
      <c r="C882" t="inlineStr"/>
      <c r="D882" t="inlineStr"/>
      <c r="E882">
        <f>HYPERLINK("https://www.ncbi.nlm.nih.gov/gene/?term=KAJ1178613.1", "KAJ1178613.1")</f>
        <v/>
      </c>
      <c r="F882" t="n">
        <v>34.5</v>
      </c>
      <c r="G882" t="n">
        <v>174</v>
      </c>
      <c r="H882" t="n">
        <v>3.65e-15</v>
      </c>
      <c r="I882" t="inlineStr">
        <is>
          <t>Nr</t>
        </is>
      </c>
      <c r="J882" t="inlineStr"/>
      <c r="K882" t="inlineStr"/>
      <c r="L882" t="inlineStr">
        <is>
          <t>KAJ1178613.1 hypothetical protein NDU88_003857 [Pleurodeles waltl]</t>
        </is>
      </c>
      <c r="M882" t="n">
        <v>860</v>
      </c>
      <c r="N882" t="inlineStr">
        <is>
          <t>Pleurodeles waltl</t>
        </is>
      </c>
      <c r="O882" t="inlineStr">
        <is>
          <t>hypothetical protein NDU88_003857</t>
        </is>
      </c>
    </row>
    <row r="883">
      <c r="A883" t="inlineStr"/>
      <c r="B883" t="inlineStr"/>
      <c r="C883" t="inlineStr"/>
      <c r="D883" t="inlineStr"/>
      <c r="E883">
        <f>HYPERLINK("https://www.ncbi.nlm.nih.gov/gene/?term=KAJ1188079.1", "KAJ1188079.1")</f>
        <v/>
      </c>
      <c r="F883" t="n">
        <v>34.5</v>
      </c>
      <c r="G883" t="n">
        <v>174</v>
      </c>
      <c r="H883" t="n">
        <v>3.92e-15</v>
      </c>
      <c r="I883" t="inlineStr">
        <is>
          <t>Nr</t>
        </is>
      </c>
      <c r="J883" t="inlineStr"/>
      <c r="K883" t="inlineStr"/>
      <c r="L883" t="inlineStr">
        <is>
          <t>KAJ1188079.1 hypothetical protein NDU88_004844 [Pleurodeles waltl]</t>
        </is>
      </c>
      <c r="M883" t="n">
        <v>1005</v>
      </c>
      <c r="N883" t="inlineStr">
        <is>
          <t>Pleurodeles waltl</t>
        </is>
      </c>
      <c r="O883" t="inlineStr">
        <is>
          <t>hypothetical protein NDU88_004844</t>
        </is>
      </c>
    </row>
    <row r="884">
      <c r="A884" t="inlineStr"/>
      <c r="B884" t="inlineStr"/>
      <c r="C884" t="inlineStr"/>
      <c r="D884" t="inlineStr"/>
      <c r="E884">
        <f>HYPERLINK("https://www.ncbi.nlm.nih.gov/gene/?term=KAJ1165872.1", "KAJ1165872.1")</f>
        <v/>
      </c>
      <c r="F884" t="n">
        <v>34.5</v>
      </c>
      <c r="G884" t="n">
        <v>174</v>
      </c>
      <c r="H884" t="n">
        <v>4.2e-15</v>
      </c>
      <c r="I884" t="inlineStr">
        <is>
          <t>Nr</t>
        </is>
      </c>
      <c r="J884" t="inlineStr"/>
      <c r="K884" t="inlineStr"/>
      <c r="L884" t="inlineStr">
        <is>
          <t>KAJ1165872.1 hypothetical protein NDU88_006289 [Pleurodeles waltl]</t>
        </is>
      </c>
      <c r="M884" t="n">
        <v>1220</v>
      </c>
      <c r="N884" t="inlineStr">
        <is>
          <t>Pleurodeles waltl</t>
        </is>
      </c>
      <c r="O884" t="inlineStr">
        <is>
          <t>hypothetical protein NDU88_006289</t>
        </is>
      </c>
    </row>
    <row r="885">
      <c r="A885" t="inlineStr"/>
      <c r="B885" t="inlineStr"/>
      <c r="C885" t="inlineStr"/>
      <c r="D885" t="inlineStr"/>
      <c r="E885">
        <f>HYPERLINK("https://www.ncbi.nlm.nih.gov/gene/?term=KAJ1087640.1", "KAJ1087640.1")</f>
        <v/>
      </c>
      <c r="F885" t="n">
        <v>31.6</v>
      </c>
      <c r="G885" t="n">
        <v>171</v>
      </c>
      <c r="H885" t="n">
        <v>4.45e-15</v>
      </c>
      <c r="I885" t="inlineStr">
        <is>
          <t>Nr</t>
        </is>
      </c>
      <c r="J885" t="inlineStr"/>
      <c r="K885" t="inlineStr"/>
      <c r="L885" t="inlineStr">
        <is>
          <t>KAJ1087640.1 hypothetical protein NDU88_000807 [Pleurodeles waltl]</t>
        </is>
      </c>
      <c r="M885" t="n">
        <v>292</v>
      </c>
      <c r="N885" t="inlineStr">
        <is>
          <t>Pleurodeles waltl</t>
        </is>
      </c>
      <c r="O885" t="inlineStr">
        <is>
          <t>hypothetical protein NDU88_000807</t>
        </is>
      </c>
    </row>
    <row r="886">
      <c r="A886" t="inlineStr"/>
      <c r="B886" t="inlineStr"/>
      <c r="C886" t="inlineStr"/>
      <c r="D886" t="inlineStr"/>
      <c r="E886">
        <f>HYPERLINK("https://www.ncbi.nlm.nih.gov/gene/?term=KAJ1080704.1", "KAJ1080704.1")</f>
        <v/>
      </c>
      <c r="F886" t="n">
        <v>34.3</v>
      </c>
      <c r="G886" t="n">
        <v>140</v>
      </c>
      <c r="H886" t="n">
        <v>4.5e-15</v>
      </c>
      <c r="I886" t="inlineStr">
        <is>
          <t>Nr</t>
        </is>
      </c>
      <c r="J886" t="inlineStr"/>
      <c r="K886" t="inlineStr"/>
      <c r="L886" t="inlineStr">
        <is>
          <t>KAJ1080704.1 hypothetical protein NDU88_000898 [Pleurodeles waltl]</t>
        </is>
      </c>
      <c r="M886" t="n">
        <v>237</v>
      </c>
      <c r="N886" t="inlineStr">
        <is>
          <t>Pleurodeles waltl</t>
        </is>
      </c>
      <c r="O886" t="inlineStr">
        <is>
          <t>hypothetical protein NDU88_000898</t>
        </is>
      </c>
    </row>
    <row r="887">
      <c r="A887" t="inlineStr"/>
      <c r="B887" t="inlineStr"/>
      <c r="C887" t="inlineStr"/>
      <c r="D887" t="inlineStr"/>
      <c r="E887">
        <f>HYPERLINK("https://www.ncbi.nlm.nih.gov/gene/?term=KAJ1154764.1", "KAJ1154764.1")</f>
        <v/>
      </c>
      <c r="F887" t="n">
        <v>33.3</v>
      </c>
      <c r="G887" t="n">
        <v>168</v>
      </c>
      <c r="H887" t="n">
        <v>4.58e-15</v>
      </c>
      <c r="I887" t="inlineStr">
        <is>
          <t>Nr</t>
        </is>
      </c>
      <c r="J887" t="inlineStr"/>
      <c r="K887" t="inlineStr"/>
      <c r="L887" t="inlineStr">
        <is>
          <t>KAJ1154764.1 hypothetical protein NDU88_007507, partial [Pleurodeles waltl]</t>
        </is>
      </c>
      <c r="M887" t="n">
        <v>294</v>
      </c>
      <c r="N887" t="inlineStr">
        <is>
          <t>Pleurodeles waltl</t>
        </is>
      </c>
      <c r="O887" t="inlineStr">
        <is>
          <t>hypothetical protein NDU88_007507, partial</t>
        </is>
      </c>
    </row>
    <row r="888">
      <c r="A888" t="inlineStr"/>
      <c r="B888" t="inlineStr"/>
      <c r="C888" t="inlineStr"/>
      <c r="D888" t="inlineStr"/>
      <c r="E888">
        <f>HYPERLINK("https://www.ncbi.nlm.nih.gov/gene/?term=KAJ1134918.1", "KAJ1134918.1")</f>
        <v/>
      </c>
      <c r="F888" t="n">
        <v>34.4</v>
      </c>
      <c r="G888" t="n">
        <v>151</v>
      </c>
      <c r="H888" t="n">
        <v>4.74e-15</v>
      </c>
      <c r="I888" t="inlineStr">
        <is>
          <t>Nr</t>
        </is>
      </c>
      <c r="J888" t="inlineStr"/>
      <c r="K888" t="inlineStr"/>
      <c r="L888" t="inlineStr">
        <is>
          <t>KAJ1134918.1 hypothetical protein NDU88_001364 [Pleurodeles waltl]</t>
        </is>
      </c>
      <c r="M888" t="n">
        <v>814</v>
      </c>
      <c r="N888" t="inlineStr">
        <is>
          <t>Pleurodeles waltl</t>
        </is>
      </c>
      <c r="O888" t="inlineStr">
        <is>
          <t>hypothetical protein NDU88_001364</t>
        </is>
      </c>
    </row>
    <row r="889">
      <c r="A889" t="inlineStr"/>
      <c r="B889" t="inlineStr"/>
      <c r="C889" t="inlineStr"/>
      <c r="D889" t="inlineStr"/>
      <c r="E889">
        <f>HYPERLINK("https://www.ncbi.nlm.nih.gov/gene/?term=KAJ1098094.1", "KAJ1098094.1")</f>
        <v/>
      </c>
      <c r="F889" t="n">
        <v>33.3</v>
      </c>
      <c r="G889" t="n">
        <v>168</v>
      </c>
      <c r="H889" t="n">
        <v>5.04e-15</v>
      </c>
      <c r="I889" t="inlineStr">
        <is>
          <t>Nr</t>
        </is>
      </c>
      <c r="J889" t="inlineStr"/>
      <c r="K889" t="inlineStr"/>
      <c r="L889" t="inlineStr">
        <is>
          <t>KAJ1098094.1 hypothetical protein NDU88_003210 [Pleurodeles waltl]</t>
        </is>
      </c>
      <c r="M889" t="n">
        <v>324</v>
      </c>
      <c r="N889" t="inlineStr">
        <is>
          <t>Pleurodeles waltl</t>
        </is>
      </c>
      <c r="O889" t="inlineStr">
        <is>
          <t>hypothetical protein NDU88_003210</t>
        </is>
      </c>
    </row>
    <row r="890">
      <c r="A890" t="inlineStr"/>
      <c r="B890" t="inlineStr"/>
      <c r="C890" t="inlineStr"/>
      <c r="D890" t="inlineStr"/>
      <c r="E890">
        <f>HYPERLINK("https://www.ncbi.nlm.nih.gov/gene/?term=KAJ1152082.1", "KAJ1152082.1")</f>
        <v/>
      </c>
      <c r="F890" t="n">
        <v>34.4</v>
      </c>
      <c r="G890" t="n">
        <v>151</v>
      </c>
      <c r="H890" t="n">
        <v>5.19e-15</v>
      </c>
      <c r="I890" t="inlineStr">
        <is>
          <t>Nr</t>
        </is>
      </c>
      <c r="J890" t="inlineStr"/>
      <c r="K890" t="inlineStr"/>
      <c r="L890" t="inlineStr">
        <is>
          <t>KAJ1152082.1 hypothetical protein NDU88_004859 [Pleurodeles waltl]</t>
        </is>
      </c>
      <c r="M890" t="n">
        <v>984</v>
      </c>
      <c r="N890" t="inlineStr">
        <is>
          <t>Pleurodeles waltl</t>
        </is>
      </c>
      <c r="O890" t="inlineStr">
        <is>
          <t>hypothetical protein NDU88_004859</t>
        </is>
      </c>
    </row>
    <row r="891">
      <c r="A891" t="inlineStr"/>
      <c r="B891" t="inlineStr"/>
      <c r="C891" t="inlineStr"/>
      <c r="D891" t="inlineStr"/>
      <c r="E891">
        <f>HYPERLINK("https://www.uniprot.org/uniprotkb/A0A8J1M1Q2/entry", "A0A8J1M1Q2")</f>
        <v/>
      </c>
      <c r="F891" t="n">
        <v>32.5</v>
      </c>
      <c r="G891" t="n">
        <v>169</v>
      </c>
      <c r="H891" t="n">
        <v>5.79e-15</v>
      </c>
      <c r="I891" t="inlineStr">
        <is>
          <t>TrEMBL</t>
        </is>
      </c>
      <c r="J891" t="inlineStr">
        <is>
          <t>LOC121399256</t>
        </is>
      </c>
      <c r="K891" t="inlineStr">
        <is>
          <t>A0A8J1M1Q2_XENLA</t>
        </is>
      </c>
      <c r="L891" t="inlineStr">
        <is>
          <t>tr|A0A8J1M1Q2|A0A8J1M1Q2_XENLA uncharacterized protein LOC121399256 OS=Xenopus laevis OX=8355 GN=LOC121399256 PE=4 SV=1</t>
        </is>
      </c>
      <c r="M891" t="n">
        <v>313</v>
      </c>
      <c r="N891" t="inlineStr">
        <is>
          <t>Xenopus laevis</t>
        </is>
      </c>
      <c r="O891" t="inlineStr">
        <is>
          <t>uncharacterized protein LOC121399256</t>
        </is>
      </c>
    </row>
    <row r="892">
      <c r="A892" t="inlineStr"/>
      <c r="B892" t="inlineStr"/>
      <c r="C892" t="inlineStr"/>
      <c r="D892" t="inlineStr"/>
      <c r="E892">
        <f>HYPERLINK("https://www.uniprot.org/uniprotkb/A0A8J1L5B0/entry", "A0A8J1L5B0")</f>
        <v/>
      </c>
      <c r="F892" t="n">
        <v>32.5</v>
      </c>
      <c r="G892" t="n">
        <v>169</v>
      </c>
      <c r="H892" t="n">
        <v>4.88e-14</v>
      </c>
      <c r="I892" t="inlineStr">
        <is>
          <t>TrEMBL</t>
        </is>
      </c>
      <c r="J892" t="inlineStr">
        <is>
          <t>LOC121395395</t>
        </is>
      </c>
      <c r="K892" t="inlineStr">
        <is>
          <t>A0A8J1L5B0_XENLA</t>
        </is>
      </c>
      <c r="L892" t="inlineStr">
        <is>
          <t>tr|A0A8J1L5B0|A0A8J1L5B0_XENLA uncharacterized protein LOC121395395 OS=Xenopus laevis OX=8355 GN=LOC121395395 PE=4 SV=1</t>
        </is>
      </c>
      <c r="M892" t="n">
        <v>313</v>
      </c>
      <c r="N892" t="inlineStr">
        <is>
          <t>Xenopus laevis</t>
        </is>
      </c>
      <c r="O892" t="inlineStr">
        <is>
          <t>uncharacterized protein LOC121395395</t>
        </is>
      </c>
    </row>
    <row r="893">
      <c r="A893" t="inlineStr"/>
      <c r="B893" t="inlineStr"/>
      <c r="C893" t="inlineStr"/>
      <c r="D893" t="inlineStr"/>
      <c r="E893">
        <f>HYPERLINK("https://www.uniprot.org/uniprotkb/A0A8J1M155/entry", "A0A8J1M155")</f>
        <v/>
      </c>
      <c r="F893" t="n">
        <v>32.6</v>
      </c>
      <c r="G893" t="n">
        <v>141</v>
      </c>
      <c r="H893" t="n">
        <v>6.61e-14</v>
      </c>
      <c r="I893" t="inlineStr">
        <is>
          <t>TrEMBL</t>
        </is>
      </c>
      <c r="J893" t="inlineStr">
        <is>
          <t>LOC121399162</t>
        </is>
      </c>
      <c r="K893" t="inlineStr">
        <is>
          <t>A0A8J1M155_XENLA</t>
        </is>
      </c>
      <c r="L893" t="inlineStr">
        <is>
          <t>tr|A0A8J1M155|A0A8J1M155_XENLA uncharacterized protein LOC121399162 OS=Xenopus laevis OX=8355 GN=LOC121399162 PE=4 SV=1</t>
        </is>
      </c>
      <c r="M893" t="n">
        <v>249</v>
      </c>
      <c r="N893" t="inlineStr">
        <is>
          <t>Xenopus laevis</t>
        </is>
      </c>
      <c r="O893" t="inlineStr">
        <is>
          <t>uncharacterized protein LOC121399162</t>
        </is>
      </c>
    </row>
    <row r="894">
      <c r="A894" t="inlineStr"/>
      <c r="B894" t="inlineStr"/>
      <c r="C894" t="inlineStr"/>
      <c r="D894" t="inlineStr"/>
      <c r="E894">
        <f>HYPERLINK("https://www.uniprot.org/uniprotkb/A0A8J1KTG7/entry", "A0A8J1KTG7")</f>
        <v/>
      </c>
      <c r="F894" t="n">
        <v>35.2</v>
      </c>
      <c r="G894" t="n">
        <v>145</v>
      </c>
      <c r="H894" t="n">
        <v>9.069999999999999e-14</v>
      </c>
      <c r="I894" t="inlineStr">
        <is>
          <t>TrEMBL</t>
        </is>
      </c>
      <c r="J894" t="inlineStr">
        <is>
          <t>LOC121394107</t>
        </is>
      </c>
      <c r="K894" t="inlineStr">
        <is>
          <t>A0A8J1KTG7_XENLA</t>
        </is>
      </c>
      <c r="L894" t="inlineStr">
        <is>
          <t>tr|A0A8J1KTG7|A0A8J1KTG7_XENLA LOW QUALITY PROTEIN: interphotoreceptor matrix proteoglycan 1-like OS=Xenopus laevis OX=8355 GN=LOC121394107 PE=4 SV=1</t>
        </is>
      </c>
      <c r="M894" t="n">
        <v>1144</v>
      </c>
      <c r="N894" t="inlineStr">
        <is>
          <t>Xenopus laevis</t>
        </is>
      </c>
      <c r="O894" t="inlineStr">
        <is>
          <t>LOW QUALITY PROTEIN: interphotoreceptor matrix proteoglycan 1-like</t>
        </is>
      </c>
    </row>
    <row r="895">
      <c r="A895" t="inlineStr"/>
      <c r="B895" t="inlineStr"/>
      <c r="C895" t="inlineStr"/>
      <c r="D895" t="inlineStr"/>
      <c r="E895">
        <f>HYPERLINK("https://www.uniprot.org/uniprotkb/A0A8J1LN60/entry", "A0A8J1LN60")</f>
        <v/>
      </c>
      <c r="F895" t="n">
        <v>31.4</v>
      </c>
      <c r="G895" t="n">
        <v>153</v>
      </c>
      <c r="H895" t="n">
        <v>4.65e-12</v>
      </c>
      <c r="I895" t="inlineStr">
        <is>
          <t>TrEMBL</t>
        </is>
      </c>
      <c r="J895" t="inlineStr">
        <is>
          <t>LOC121397635</t>
        </is>
      </c>
      <c r="K895" t="inlineStr">
        <is>
          <t>A0A8J1LN60_XENLA</t>
        </is>
      </c>
      <c r="L895" t="inlineStr">
        <is>
          <t>tr|A0A8J1LN60|A0A8J1LN60_XENLA uncharacterized protein LOC121397635 OS=Xenopus laevis OX=8355 GN=LOC121397635 PE=4 SV=1</t>
        </is>
      </c>
      <c r="M895" t="n">
        <v>348</v>
      </c>
      <c r="N895" t="inlineStr">
        <is>
          <t>Xenopus laevis</t>
        </is>
      </c>
      <c r="O895" t="inlineStr">
        <is>
          <t>uncharacterized protein LOC121397635</t>
        </is>
      </c>
    </row>
    <row r="896">
      <c r="A896" t="inlineStr"/>
      <c r="B896" t="inlineStr"/>
      <c r="C896" t="inlineStr"/>
      <c r="D896" t="inlineStr"/>
      <c r="E896">
        <f>HYPERLINK("https://www.uniprot.org/uniprotkb/A0A8J1KUL5/entry", "A0A8J1KUL5")</f>
        <v/>
      </c>
      <c r="F896" t="n">
        <v>31.4</v>
      </c>
      <c r="G896" t="n">
        <v>153</v>
      </c>
      <c r="H896" t="n">
        <v>4.65e-12</v>
      </c>
      <c r="I896" t="inlineStr">
        <is>
          <t>TrEMBL</t>
        </is>
      </c>
      <c r="J896" t="inlineStr">
        <is>
          <t>LOC121394206</t>
        </is>
      </c>
      <c r="K896" t="inlineStr">
        <is>
          <t>A0A8J1KUL5_XENLA</t>
        </is>
      </c>
      <c r="L896" t="inlineStr">
        <is>
          <t>tr|A0A8J1KUL5|A0A8J1KUL5_XENLA uncharacterized protein LOC121394206 OS=Xenopus laevis OX=8355 GN=LOC121394206 PE=4 SV=1</t>
        </is>
      </c>
      <c r="M896" t="n">
        <v>348</v>
      </c>
      <c r="N896" t="inlineStr">
        <is>
          <t>Xenopus laevis</t>
        </is>
      </c>
      <c r="O896" t="inlineStr">
        <is>
          <t>uncharacterized protein LOC121394206</t>
        </is>
      </c>
    </row>
    <row r="897">
      <c r="A897" t="inlineStr"/>
      <c r="B897" t="inlineStr"/>
      <c r="C897" t="inlineStr"/>
      <c r="D897" t="inlineStr"/>
      <c r="E897">
        <f>HYPERLINK("https://www.uniprot.org/uniprotkb/A0A8J1MEZ2/entry", "A0A8J1MEZ2")</f>
        <v/>
      </c>
      <c r="F897" t="n">
        <v>35.6</v>
      </c>
      <c r="G897" t="n">
        <v>132</v>
      </c>
      <c r="H897" t="n">
        <v>8e-08</v>
      </c>
      <c r="I897" t="inlineStr">
        <is>
          <t>TrEMBL</t>
        </is>
      </c>
      <c r="J897" t="inlineStr">
        <is>
          <t>LOC121400642</t>
        </is>
      </c>
      <c r="K897" t="inlineStr">
        <is>
          <t>A0A8J1MEZ2_XENLA</t>
        </is>
      </c>
      <c r="L897" t="inlineStr">
        <is>
          <t>tr|A0A8J1MEZ2|A0A8J1MEZ2_XENLA uncharacterized protein LOC121400642 OS=Xenopus laevis OX=8355 GN=LOC121400642 PE=4 SV=1</t>
        </is>
      </c>
      <c r="M897" t="n">
        <v>314</v>
      </c>
      <c r="N897" t="inlineStr">
        <is>
          <t>Xenopus laevis</t>
        </is>
      </c>
      <c r="O897" t="inlineStr">
        <is>
          <t>uncharacterized protein LOC121400642</t>
        </is>
      </c>
    </row>
    <row r="898">
      <c r="A898" t="inlineStr"/>
      <c r="B898" t="inlineStr"/>
      <c r="C898" t="inlineStr"/>
      <c r="D898" t="inlineStr"/>
      <c r="E898">
        <f>HYPERLINK("https://www.uniprot.org/uniprotkb/A0A8J1MVA4/entry", "A0A8J1MVA4")</f>
        <v/>
      </c>
      <c r="F898" t="n">
        <v>29.1</v>
      </c>
      <c r="G898" t="n">
        <v>158</v>
      </c>
      <c r="H898" t="n">
        <v>8.710000000000001e-08</v>
      </c>
      <c r="I898" t="inlineStr">
        <is>
          <t>TrEMBL</t>
        </is>
      </c>
      <c r="J898" t="inlineStr">
        <is>
          <t>LOC121402375</t>
        </is>
      </c>
      <c r="K898" t="inlineStr">
        <is>
          <t>A0A8J1MVA4_XENLA</t>
        </is>
      </c>
      <c r="L898" t="inlineStr">
        <is>
          <t>tr|A0A8J1MVA4|A0A8J1MVA4_XENLA uncharacterized protein LOC121402375 OS=Xenopus laevis OX=8355 GN=LOC121402375 PE=4 SV=1</t>
        </is>
      </c>
      <c r="M898" t="n">
        <v>259</v>
      </c>
      <c r="N898" t="inlineStr">
        <is>
          <t>Xenopus laevis</t>
        </is>
      </c>
      <c r="O898" t="inlineStr">
        <is>
          <t>uncharacterized protein LOC121402375</t>
        </is>
      </c>
    </row>
    <row r="899">
      <c r="A899" t="inlineStr"/>
      <c r="B899" t="inlineStr"/>
      <c r="C899" t="inlineStr"/>
      <c r="D899" t="inlineStr"/>
      <c r="E899">
        <f>HYPERLINK("https://www.uniprot.org/uniprotkb/A0A8J0UQ52/entry", "A0A8J0UQ52")</f>
        <v/>
      </c>
      <c r="F899" t="n">
        <v>31.2</v>
      </c>
      <c r="G899" t="n">
        <v>138</v>
      </c>
      <c r="H899" t="n">
        <v>8.799999999999999e-08</v>
      </c>
      <c r="I899" t="inlineStr">
        <is>
          <t>TrEMBL</t>
        </is>
      </c>
      <c r="J899" t="inlineStr">
        <is>
          <t>LOC108710848</t>
        </is>
      </c>
      <c r="K899" t="inlineStr">
        <is>
          <t>A0A8J0UQ52_XENLA</t>
        </is>
      </c>
      <c r="L899" t="inlineStr">
        <is>
          <t>tr|A0A8J0UQ52|A0A8J0UQ52_XENLA uncharacterized protein LOC108710848 OS=Xenopus laevis OX=8355 GN=LOC108710848 PE=4 SV=1</t>
        </is>
      </c>
      <c r="M899" t="n">
        <v>260</v>
      </c>
      <c r="N899" t="inlineStr">
        <is>
          <t>Xenopus laevis</t>
        </is>
      </c>
      <c r="O899" t="inlineStr">
        <is>
          <t>uncharacterized protein LOC108710848</t>
        </is>
      </c>
    </row>
    <row r="900">
      <c r="A900" t="inlineStr"/>
      <c r="B900" t="inlineStr"/>
      <c r="C900" t="inlineStr"/>
      <c r="D900" t="inlineStr"/>
      <c r="E900">
        <f>HYPERLINK("https://www.uniprot.org/uniprotkb/A0A8J1MFI0/entry", "A0A8J1MFI0")</f>
        <v/>
      </c>
      <c r="F900" t="n">
        <v>29.1</v>
      </c>
      <c r="G900" t="n">
        <v>158</v>
      </c>
      <c r="H900" t="n">
        <v>1.17e-07</v>
      </c>
      <c r="I900" t="inlineStr">
        <is>
          <t>TrEMBL</t>
        </is>
      </c>
      <c r="J900" t="inlineStr">
        <is>
          <t>LOC121400671</t>
        </is>
      </c>
      <c r="K900" t="inlineStr">
        <is>
          <t>A0A8J1MFI0_XENLA</t>
        </is>
      </c>
      <c r="L900" t="inlineStr">
        <is>
          <t>tr|A0A8J1MFI0|A0A8J1MFI0_XENLA uncharacterized protein LOC121393841 OS=Xenopus laevis OX=8355 GN=LOC121400671 PE=4 SV=1</t>
        </is>
      </c>
      <c r="M900" t="n">
        <v>259</v>
      </c>
      <c r="N900" t="inlineStr">
        <is>
          <t>Xenopus laevis</t>
        </is>
      </c>
      <c r="O900" t="inlineStr">
        <is>
          <t>uncharacterized protein LOC121393841</t>
        </is>
      </c>
    </row>
    <row r="901">
      <c r="A901" t="inlineStr"/>
      <c r="B901" t="inlineStr"/>
      <c r="C901" t="inlineStr"/>
      <c r="D901" t="inlineStr"/>
      <c r="E901">
        <f>HYPERLINK("https://www.uniprot.org/uniprotkb/A0A8J1KKG5/entry", "A0A8J1KKG5")</f>
        <v/>
      </c>
      <c r="F901" t="n">
        <v>30.4</v>
      </c>
      <c r="G901" t="n">
        <v>138</v>
      </c>
      <c r="H901" t="n">
        <v>2.15e-07</v>
      </c>
      <c r="I901" t="inlineStr">
        <is>
          <t>TrEMBL</t>
        </is>
      </c>
      <c r="J901" t="inlineStr">
        <is>
          <t>LOC121393411</t>
        </is>
      </c>
      <c r="K901" t="inlineStr">
        <is>
          <t>A0A8J1KKG5_XENLA</t>
        </is>
      </c>
      <c r="L901" t="inlineStr">
        <is>
          <t>tr|A0A8J1KKG5|A0A8J1KKG5_XENLA uncharacterized protein LOC121393411 OS=Xenopus laevis OX=8355 GN=LOC121393411 PE=4 SV=1</t>
        </is>
      </c>
      <c r="M901" t="n">
        <v>260</v>
      </c>
      <c r="N901" t="inlineStr">
        <is>
          <t>Xenopus laevis</t>
        </is>
      </c>
      <c r="O901" t="inlineStr">
        <is>
          <t>uncharacterized protein LOC121393411</t>
        </is>
      </c>
    </row>
    <row r="902">
      <c r="A902" t="inlineStr"/>
      <c r="B902" t="inlineStr"/>
      <c r="C902" t="inlineStr"/>
      <c r="D902" t="inlineStr"/>
      <c r="E902">
        <f>HYPERLINK("https://www.uniprot.org/uniprotkb/A0A8J1MJP3/entry", "A0A8J1MJP3")</f>
        <v/>
      </c>
      <c r="F902" t="n">
        <v>32.9</v>
      </c>
      <c r="G902" t="n">
        <v>143</v>
      </c>
      <c r="H902" t="n">
        <v>4.53e-07</v>
      </c>
      <c r="I902" t="inlineStr">
        <is>
          <t>TrEMBL</t>
        </is>
      </c>
      <c r="J902" t="inlineStr">
        <is>
          <t>LOC108710783</t>
        </is>
      </c>
      <c r="K902" t="inlineStr">
        <is>
          <t>A0A8J1MJP3_XENLA</t>
        </is>
      </c>
      <c r="L902" t="inlineStr">
        <is>
          <t>tr|A0A8J1MJP3|A0A8J1MJP3_XENLA uncharacterized protein LOC108710783 OS=Xenopus laevis OX=8355 GN=LOC108710783 PE=4 SV=1</t>
        </is>
      </c>
      <c r="M902" t="n">
        <v>311</v>
      </c>
      <c r="N902" t="inlineStr">
        <is>
          <t>Xenopus laevis</t>
        </is>
      </c>
      <c r="O902" t="inlineStr">
        <is>
          <t>uncharacterized protein LOC108710783</t>
        </is>
      </c>
    </row>
    <row r="903">
      <c r="A903" t="inlineStr"/>
      <c r="B903" t="inlineStr"/>
      <c r="C903" t="inlineStr"/>
      <c r="D903" t="inlineStr"/>
      <c r="E903">
        <f>HYPERLINK("https://www.uniprot.org/uniprotkb/A0A8J1MFK4/entry", "A0A8J1MFK4")</f>
        <v/>
      </c>
      <c r="F903" t="n">
        <v>30.5</v>
      </c>
      <c r="G903" t="n">
        <v>141</v>
      </c>
      <c r="H903" t="n">
        <v>5.14e-07</v>
      </c>
      <c r="I903" t="inlineStr">
        <is>
          <t>TrEMBL</t>
        </is>
      </c>
      <c r="J903" t="inlineStr">
        <is>
          <t>LOC121400656</t>
        </is>
      </c>
      <c r="K903" t="inlineStr">
        <is>
          <t>A0A8J1MFK4_XENLA</t>
        </is>
      </c>
      <c r="L903" t="inlineStr">
        <is>
          <t>tr|A0A8J1MFK4|A0A8J1MFK4_XENLA uncharacterized protein LOC121400656 OS=Xenopus laevis OX=8355 GN=LOC121400656 PE=4 SV=1</t>
        </is>
      </c>
      <c r="M903" t="n">
        <v>258</v>
      </c>
      <c r="N903" t="inlineStr">
        <is>
          <t>Xenopus laevis</t>
        </is>
      </c>
      <c r="O903" t="inlineStr">
        <is>
          <t>uncharacterized protein LOC121400656</t>
        </is>
      </c>
    </row>
    <row r="904">
      <c r="A904" t="inlineStr"/>
      <c r="B904" t="inlineStr"/>
      <c r="C904" t="inlineStr"/>
      <c r="D904" t="inlineStr"/>
      <c r="E904">
        <f>HYPERLINK("https://www.uniprot.org/uniprotkb/A0A8J1LCE0/entry", "A0A8J1LCE0")</f>
        <v/>
      </c>
      <c r="F904" t="n">
        <v>29.2</v>
      </c>
      <c r="G904" t="n">
        <v>154</v>
      </c>
      <c r="H904" t="n">
        <v>5.64e-07</v>
      </c>
      <c r="I904" t="inlineStr">
        <is>
          <t>TrEMBL</t>
        </is>
      </c>
      <c r="J904" t="inlineStr">
        <is>
          <t>LOC121396365</t>
        </is>
      </c>
      <c r="K904" t="inlineStr">
        <is>
          <t>A0A8J1LCE0_XENLA</t>
        </is>
      </c>
      <c r="L904" t="inlineStr">
        <is>
          <t>tr|A0A8J1LCE0|A0A8J1LCE0_XENLA uncharacterized protein LOC121396365 OS=Xenopus laevis OX=8355 GN=LOC121396365 PE=4 SV=1</t>
        </is>
      </c>
      <c r="M904" t="n">
        <v>301</v>
      </c>
      <c r="N904" t="inlineStr">
        <is>
          <t>Xenopus laevis</t>
        </is>
      </c>
      <c r="O904" t="inlineStr">
        <is>
          <t>uncharacterized protein LOC121396365</t>
        </is>
      </c>
    </row>
    <row r="905">
      <c r="A905" t="inlineStr"/>
      <c r="B905" t="inlineStr"/>
      <c r="C905" t="inlineStr"/>
      <c r="D905" t="inlineStr"/>
      <c r="E905">
        <f>HYPERLINK("https://www.uniprot.org/uniprotkb/A0A8J1LKN3/entry", "A0A8J1LKN3")</f>
        <v/>
      </c>
      <c r="F905" t="n">
        <v>33.8</v>
      </c>
      <c r="G905" t="n">
        <v>133</v>
      </c>
      <c r="H905" t="n">
        <v>6.52e-07</v>
      </c>
      <c r="I905" t="inlineStr">
        <is>
          <t>TrEMBL</t>
        </is>
      </c>
      <c r="J905" t="inlineStr">
        <is>
          <t>LOC121397286</t>
        </is>
      </c>
      <c r="K905" t="inlineStr">
        <is>
          <t>A0A8J1LKN3_XENLA</t>
        </is>
      </c>
      <c r="L905" t="inlineStr">
        <is>
          <t>tr|A0A8J1LKN3|A0A8J1LKN3_XENLA uncharacterized protein LOC121397286 OS=Xenopus laevis OX=8355 GN=LOC121397286 PE=4 SV=1</t>
        </is>
      </c>
      <c r="M905" t="n">
        <v>493</v>
      </c>
      <c r="N905" t="inlineStr">
        <is>
          <t>Xenopus laevis</t>
        </is>
      </c>
      <c r="O905" t="inlineStr">
        <is>
          <t>uncharacterized protein LOC121397286</t>
        </is>
      </c>
    </row>
    <row r="906">
      <c r="A906" t="inlineStr"/>
      <c r="B906" t="inlineStr"/>
      <c r="C906" t="inlineStr"/>
      <c r="D906" t="inlineStr"/>
      <c r="E906">
        <f>HYPERLINK("https://www.uniprot.org/uniprotkb/A0A8J1LVF9/entry", "A0A8J1LVF9")</f>
        <v/>
      </c>
      <c r="F906" t="n">
        <v>33.5</v>
      </c>
      <c r="G906" t="n">
        <v>155</v>
      </c>
      <c r="H906" t="n">
        <v>1.28e-06</v>
      </c>
      <c r="I906" t="inlineStr">
        <is>
          <t>TrEMBL</t>
        </is>
      </c>
      <c r="J906" t="inlineStr">
        <is>
          <t>LOC121398378</t>
        </is>
      </c>
      <c r="K906" t="inlineStr">
        <is>
          <t>A0A8J1LVF9_XENLA</t>
        </is>
      </c>
      <c r="L906" t="inlineStr">
        <is>
          <t>tr|A0A8J1LVF9|A0A8J1LVF9_XENLA uncharacterized protein LOC121398378 OS=Xenopus laevis OX=8355 GN=LOC121398378 PE=4 SV=1</t>
        </is>
      </c>
      <c r="M906" t="n">
        <v>260</v>
      </c>
      <c r="N906" t="inlineStr">
        <is>
          <t>Xenopus laevis</t>
        </is>
      </c>
      <c r="O906" t="inlineStr">
        <is>
          <t>uncharacterized protein LOC121398378</t>
        </is>
      </c>
    </row>
    <row r="907">
      <c r="A907" t="inlineStr"/>
      <c r="B907" t="inlineStr"/>
      <c r="C907" t="inlineStr"/>
      <c r="D907" t="inlineStr"/>
      <c r="E907">
        <f>HYPERLINK("https://www.uniprot.org/uniprotkb/A0A8J1KRV7/entry", "A0A8J1KRV7")</f>
        <v/>
      </c>
      <c r="F907" t="n">
        <v>30.7</v>
      </c>
      <c r="G907" t="n">
        <v>137</v>
      </c>
      <c r="H907" t="n">
        <v>2.27e-06</v>
      </c>
      <c r="I907" t="inlineStr">
        <is>
          <t>TrEMBL</t>
        </is>
      </c>
      <c r="J907" t="inlineStr">
        <is>
          <t>LOC121394099</t>
        </is>
      </c>
      <c r="K907" t="inlineStr">
        <is>
          <t>A0A8J1KRV7_XENLA</t>
        </is>
      </c>
      <c r="L907" t="inlineStr">
        <is>
          <t>tr|A0A8J1KRV7|A0A8J1KRV7_XENLA uncharacterized protein LOC121394099 OS=Xenopus laevis OX=8355 GN=LOC121394099 PE=4 SV=1</t>
        </is>
      </c>
      <c r="M907" t="n">
        <v>258</v>
      </c>
      <c r="N907" t="inlineStr">
        <is>
          <t>Xenopus laevis</t>
        </is>
      </c>
      <c r="O907" t="inlineStr">
        <is>
          <t>uncharacterized protein LOC121394099</t>
        </is>
      </c>
    </row>
    <row r="908">
      <c r="A908" t="inlineStr"/>
      <c r="B908" t="inlineStr"/>
      <c r="C908" t="inlineStr"/>
      <c r="D908" t="inlineStr"/>
      <c r="E908">
        <f>HYPERLINK("https://www.uniprot.org/uniprotkb/A0A8C5MAL6/entry", "A0A8C5MAL6")</f>
        <v/>
      </c>
      <c r="F908" t="n">
        <v>29.5</v>
      </c>
      <c r="G908" t="n">
        <v>149</v>
      </c>
      <c r="H908" t="n">
        <v>2.45e-06</v>
      </c>
      <c r="I908" t="inlineStr">
        <is>
          <t>TrEMBL</t>
        </is>
      </c>
      <c r="J908" t="inlineStr"/>
      <c r="K908" t="inlineStr">
        <is>
          <t>A0A8C5MAL6_9ANUR</t>
        </is>
      </c>
      <c r="L908" t="inlineStr">
        <is>
          <t>tr|A0A8C5MAL6|A0A8C5MAL6_9ANUR Reverse transcriptase domain-containing protein OS=Leptobrachium leishanense OX=445787 PE=4 SV=1</t>
        </is>
      </c>
      <c r="M908" t="n">
        <v>662</v>
      </c>
      <c r="N908" t="inlineStr">
        <is>
          <t>Leptobrachium leishanense</t>
        </is>
      </c>
      <c r="O908" t="inlineStr">
        <is>
          <t>Reverse transcriptase domain-containing protein</t>
        </is>
      </c>
    </row>
    <row r="909">
      <c r="A909" t="inlineStr"/>
      <c r="B909" t="inlineStr"/>
      <c r="C909" t="inlineStr"/>
      <c r="D909" t="inlineStr"/>
      <c r="E909">
        <f>HYPERLINK("https://www.uniprot.org/uniprotkb/A0A8J1KTL9/entry", "A0A8J1KTL9")</f>
        <v/>
      </c>
      <c r="F909" t="n">
        <v>31.3</v>
      </c>
      <c r="G909" t="n">
        <v>134</v>
      </c>
      <c r="H909" t="n">
        <v>3.79e-06</v>
      </c>
      <c r="I909" t="inlineStr">
        <is>
          <t>TrEMBL</t>
        </is>
      </c>
      <c r="J909" t="inlineStr">
        <is>
          <t>LOC121394259</t>
        </is>
      </c>
      <c r="K909" t="inlineStr">
        <is>
          <t>A0A8J1KTL9_XENLA</t>
        </is>
      </c>
      <c r="L909" t="inlineStr">
        <is>
          <t>tr|A0A8J1KTL9|A0A8J1KTL9_XENLA uncharacterized protein LOC121394259 OS=Xenopus laevis OX=8355 GN=LOC121394259 PE=4 SV=1</t>
        </is>
      </c>
      <c r="M909" t="n">
        <v>325</v>
      </c>
      <c r="N909" t="inlineStr">
        <is>
          <t>Xenopus laevis</t>
        </is>
      </c>
      <c r="O909" t="inlineStr">
        <is>
          <t>uncharacterized protein LOC121394259</t>
        </is>
      </c>
    </row>
    <row r="910">
      <c r="A910" t="inlineStr"/>
      <c r="B910" t="inlineStr"/>
      <c r="C910" t="inlineStr"/>
      <c r="D910" t="inlineStr"/>
      <c r="E910">
        <f>HYPERLINK("https://www.uniprot.org/uniprotkb/A0A8J1MDD9/entry", "A0A8J1MDD9")</f>
        <v/>
      </c>
      <c r="F910" t="n">
        <v>32.1</v>
      </c>
      <c r="G910" t="n">
        <v>156</v>
      </c>
      <c r="H910" t="n">
        <v>5.57e-06</v>
      </c>
      <c r="I910" t="inlineStr">
        <is>
          <t>TrEMBL</t>
        </is>
      </c>
      <c r="J910" t="inlineStr">
        <is>
          <t>LOC121400528</t>
        </is>
      </c>
      <c r="K910" t="inlineStr">
        <is>
          <t>A0A8J1MDD9_XENLA</t>
        </is>
      </c>
      <c r="L910" t="inlineStr">
        <is>
          <t>tr|A0A8J1MDD9|A0A8J1MDD9_XENLA uncharacterized protein LOC121400528 OS=Xenopus laevis OX=8355 GN=LOC121400528 PE=4 SV=1</t>
        </is>
      </c>
      <c r="M910" t="n">
        <v>259</v>
      </c>
      <c r="N910" t="inlineStr">
        <is>
          <t>Xenopus laevis</t>
        </is>
      </c>
      <c r="O910" t="inlineStr">
        <is>
          <t>uncharacterized protein LOC121400528</t>
        </is>
      </c>
    </row>
    <row r="911">
      <c r="A911" t="inlineStr"/>
      <c r="B911" t="inlineStr"/>
      <c r="C911" t="inlineStr"/>
      <c r="D911" t="inlineStr"/>
      <c r="E911">
        <f>HYPERLINK("https://www.uniprot.org/uniprotkb/A0A8J1M7B5/entry", "A0A8J1M7B5")</f>
        <v/>
      </c>
      <c r="F911" t="n">
        <v>31.4</v>
      </c>
      <c r="G911" t="n">
        <v>156</v>
      </c>
      <c r="H911" t="n">
        <v>7.720000000000001e-06</v>
      </c>
      <c r="I911" t="inlineStr">
        <is>
          <t>TrEMBL</t>
        </is>
      </c>
      <c r="J911" t="inlineStr">
        <is>
          <t>LOC121399722</t>
        </is>
      </c>
      <c r="K911" t="inlineStr">
        <is>
          <t>A0A8J1M7B5_XENLA</t>
        </is>
      </c>
      <c r="L911" t="inlineStr">
        <is>
          <t>tr|A0A8J1M7B5|A0A8J1M7B5_XENLA uncharacterized protein LOC121399722 OS=Xenopus laevis OX=8355 GN=LOC121399722 PE=4 SV=1</t>
        </is>
      </c>
      <c r="M911" t="n">
        <v>299</v>
      </c>
      <c r="N911" t="inlineStr">
        <is>
          <t>Xenopus laevis</t>
        </is>
      </c>
      <c r="O911" t="inlineStr">
        <is>
          <t>uncharacterized protein LOC121399722</t>
        </is>
      </c>
    </row>
    <row r="912">
      <c r="A912" t="inlineStr"/>
      <c r="B912" t="inlineStr"/>
      <c r="C912" t="inlineStr"/>
      <c r="D912" t="inlineStr"/>
      <c r="E912">
        <f>HYPERLINK("https://www.uniprot.org/uniprotkb/A0A8J1KIE1/entry", "A0A8J1KIE1")</f>
        <v/>
      </c>
      <c r="F912" t="n">
        <v>31.4</v>
      </c>
      <c r="G912" t="n">
        <v>121</v>
      </c>
      <c r="H912" t="n">
        <v>1.24e-05</v>
      </c>
      <c r="I912" t="inlineStr">
        <is>
          <t>TrEMBL</t>
        </is>
      </c>
      <c r="J912" t="inlineStr">
        <is>
          <t>LOC121393250</t>
        </is>
      </c>
      <c r="K912" t="inlineStr">
        <is>
          <t>A0A8J1KIE1_XENLA</t>
        </is>
      </c>
      <c r="L912" t="inlineStr">
        <is>
          <t>tr|A0A8J1KIE1|A0A8J1KIE1_XENLA uncharacterized protein LOC121393250 OS=Xenopus laevis OX=8355 GN=LOC121393250 PE=4 SV=1</t>
        </is>
      </c>
      <c r="M912" t="n">
        <v>284</v>
      </c>
      <c r="N912" t="inlineStr">
        <is>
          <t>Xenopus laevis</t>
        </is>
      </c>
      <c r="O912" t="inlineStr">
        <is>
          <t>uncharacterized protein LOC121393250</t>
        </is>
      </c>
    </row>
    <row r="913">
      <c r="A913" t="inlineStr"/>
      <c r="B913" t="inlineStr"/>
      <c r="C913" t="inlineStr"/>
      <c r="D913" t="inlineStr"/>
      <c r="E913">
        <f>HYPERLINK("https://www.uniprot.org/uniprotkb/A0A1S3S1N2/entry", "A0A1S3S1N2")</f>
        <v/>
      </c>
      <c r="F913" t="n">
        <v>30.4</v>
      </c>
      <c r="G913" t="n">
        <v>138</v>
      </c>
      <c r="H913" t="n">
        <v>1.57e-05</v>
      </c>
      <c r="I913" t="inlineStr">
        <is>
          <t>TrEMBL</t>
        </is>
      </c>
      <c r="J913" t="inlineStr">
        <is>
          <t>LOC106606555</t>
        </is>
      </c>
      <c r="K913" t="inlineStr">
        <is>
          <t>A0A1S3S1N2_SALSA</t>
        </is>
      </c>
      <c r="L913" t="inlineStr">
        <is>
          <t>tr|A0A1S3S1N2|A0A1S3S1N2_SALSA uncharacterized protein LOC106606555 OS=Salmo salar OX=8030 GN=LOC106606555 PE=4 SV=1</t>
        </is>
      </c>
      <c r="M913" t="n">
        <v>320</v>
      </c>
      <c r="N913" t="inlineStr">
        <is>
          <t>Salmo salar</t>
        </is>
      </c>
      <c r="O913" t="inlineStr">
        <is>
          <t>uncharacterized protein LOC106606555</t>
        </is>
      </c>
    </row>
    <row r="914">
      <c r="A914" t="inlineStr"/>
      <c r="B914" t="inlineStr"/>
      <c r="C914" t="inlineStr"/>
      <c r="D914" t="inlineStr"/>
      <c r="E914">
        <f>HYPERLINK("https://www.uniprot.org/uniprotkb/A0A8J1MZB9/entry", "A0A8J1MZB9")</f>
        <v/>
      </c>
      <c r="F914" t="n">
        <v>30</v>
      </c>
      <c r="G914" t="n">
        <v>130</v>
      </c>
      <c r="H914" t="n">
        <v>2.02e-05</v>
      </c>
      <c r="I914" t="inlineStr">
        <is>
          <t>TrEMBL</t>
        </is>
      </c>
      <c r="J914" t="inlineStr">
        <is>
          <t>LOC121403098</t>
        </is>
      </c>
      <c r="K914" t="inlineStr">
        <is>
          <t>A0A8J1MZB9_XENLA</t>
        </is>
      </c>
      <c r="L914" t="inlineStr">
        <is>
          <t>tr|A0A8J1MZB9|A0A8J1MZB9_XENLA uncharacterized protein LOC121401658 OS=Xenopus laevis OX=8355 GN=LOC121403098 PE=4 SV=1</t>
        </is>
      </c>
      <c r="M914" t="n">
        <v>313</v>
      </c>
      <c r="N914" t="inlineStr">
        <is>
          <t>Xenopus laevis</t>
        </is>
      </c>
      <c r="O914" t="inlineStr">
        <is>
          <t>uncharacterized protein LOC121401658</t>
        </is>
      </c>
    </row>
    <row r="915">
      <c r="A915" t="inlineStr"/>
      <c r="B915" t="inlineStr"/>
      <c r="C915" t="inlineStr"/>
      <c r="D915" t="inlineStr"/>
      <c r="E915">
        <f>HYPERLINK("https://www.uniprot.org/uniprotkb/A0A822G0V4/entry", "A0A822G0V4")</f>
        <v/>
      </c>
      <c r="F915" t="n">
        <v>29.8</v>
      </c>
      <c r="G915" t="n">
        <v>124</v>
      </c>
      <c r="H915" t="n">
        <v>2.11e-05</v>
      </c>
      <c r="I915" t="inlineStr">
        <is>
          <t>TrEMBL</t>
        </is>
      </c>
      <c r="J915" t="inlineStr">
        <is>
          <t>RIMITATOR_LOCUS10546079</t>
        </is>
      </c>
      <c r="K915" t="inlineStr">
        <is>
          <t>A0A822G0V4_9NEOB</t>
        </is>
      </c>
      <c r="L915" t="inlineStr">
        <is>
          <t>tr|A0A822G0V4|A0A822G0V4_9NEOB (mimic poison frog) hypothetical protein OS=Ranitomeya imitator OX=111125 GN=RIMITATOR_LOCUS10546079 PE=4 SV=1</t>
        </is>
      </c>
      <c r="M915" t="n">
        <v>218</v>
      </c>
      <c r="N915" t="inlineStr">
        <is>
          <t>Ranitomeya imitator</t>
        </is>
      </c>
      <c r="O915" t="inlineStr">
        <is>
          <t>(mimic poison frog) hypothetical protein</t>
        </is>
      </c>
    </row>
    <row r="916">
      <c r="A916" t="inlineStr">
        <is>
          <t>NODE_117140_length_1419_cov_133.060651_g38971_i1</t>
        </is>
      </c>
      <c r="B916" t="inlineStr">
        <is>
          <t>bombina_pachypus_blastx</t>
        </is>
      </c>
      <c r="C916" t="n">
        <v>6.98641679883984</v>
      </c>
      <c r="D916" t="n">
        <v>0.0001880453419327</v>
      </c>
      <c r="E916">
        <f>HYPERLINK("https://www.uniprot.org/uniprotkb/A0A8C5QWP7/entry", "A0A8C5QWP7")</f>
        <v/>
      </c>
      <c r="F916" t="n">
        <v>43.3</v>
      </c>
      <c r="G916" t="n">
        <v>104</v>
      </c>
      <c r="H916" t="n">
        <v>1.38e-12</v>
      </c>
      <c r="I916" t="inlineStr">
        <is>
          <t>TrEMBL</t>
        </is>
      </c>
      <c r="J916" t="inlineStr">
        <is>
          <t>PPP1R1B</t>
        </is>
      </c>
      <c r="K916" t="inlineStr">
        <is>
          <t>A0A8C5QWP7_9ANUR</t>
        </is>
      </c>
      <c r="L916" t="inlineStr">
        <is>
          <t>tr|A0A8C5QWP7|A0A8C5QWP7_9ANUR Protein phosphatase 1 regulatory subunit 1B OS=Leptobrachium leishanense OX=445787 GN=PPP1R1B PE=3 SV=1</t>
        </is>
      </c>
      <c r="M916" t="n">
        <v>176</v>
      </c>
      <c r="N916" t="inlineStr">
        <is>
          <t>Leptobrachium leishanense</t>
        </is>
      </c>
      <c r="O916" t="inlineStr">
        <is>
          <t>Protein phosphatase 1 regulatory subunit 1B</t>
        </is>
      </c>
    </row>
    <row r="917">
      <c r="A917" t="inlineStr"/>
      <c r="B917" t="inlineStr"/>
      <c r="C917" t="inlineStr"/>
      <c r="D917" t="inlineStr"/>
      <c r="E917">
        <f>HYPERLINK("https://www.ncbi.nlm.nih.gov/gene/?term=XP_053309814.1", "XP_053309814.1")</f>
        <v/>
      </c>
      <c r="F917" t="n">
        <v>48.1</v>
      </c>
      <c r="G917" t="n">
        <v>106</v>
      </c>
      <c r="H917" t="n">
        <v>3.62e-12</v>
      </c>
      <c r="I917" t="inlineStr">
        <is>
          <t>Nr</t>
        </is>
      </c>
      <c r="J917" t="inlineStr"/>
      <c r="K917" t="inlineStr"/>
      <c r="L917" t="inlineStr">
        <is>
          <t>XP_053309814.1 protein phosphatase 1 regulatory subunit 1B [Spea bombifrons]</t>
        </is>
      </c>
      <c r="M917" t="n">
        <v>177</v>
      </c>
      <c r="N917" t="inlineStr">
        <is>
          <t>Spea bombifrons</t>
        </is>
      </c>
      <c r="O917" t="inlineStr">
        <is>
          <t>protein phosphatase 1 regulatory subunit 1B</t>
        </is>
      </c>
    </row>
    <row r="918">
      <c r="A918" t="inlineStr"/>
      <c r="B918" t="inlineStr"/>
      <c r="C918" t="inlineStr"/>
      <c r="D918" t="inlineStr"/>
      <c r="E918">
        <f>HYPERLINK("https://www.uniprot.org/uniprotkb/A4II07/entry", "A4II07")</f>
        <v/>
      </c>
      <c r="F918" t="n">
        <v>46.3</v>
      </c>
      <c r="G918" t="n">
        <v>108</v>
      </c>
      <c r="H918" t="n">
        <v>6.870000000000001e-11</v>
      </c>
      <c r="I918" t="inlineStr">
        <is>
          <t>TrEMBL</t>
        </is>
      </c>
      <c r="J918" t="inlineStr">
        <is>
          <t>ppp1r1b</t>
        </is>
      </c>
      <c r="K918" t="inlineStr">
        <is>
          <t>A4II07_XENTR</t>
        </is>
      </c>
      <c r="L918" t="inlineStr">
        <is>
          <t>tr|A4II07|A4II07_XENTR Protein phosphatase 1 regulatory subunit 1B OS=Xenopus tropicalis OX=8364 GN=ppp1r1b PE=2 SV=1</t>
        </is>
      </c>
      <c r="M918" t="n">
        <v>185</v>
      </c>
      <c r="N918" t="inlineStr">
        <is>
          <t>Xenopus tropicalis</t>
        </is>
      </c>
      <c r="O918" t="inlineStr">
        <is>
          <t>Protein phosphatase 1 regulatory subunit 1B</t>
        </is>
      </c>
    </row>
    <row r="919">
      <c r="A919" t="inlineStr"/>
      <c r="B919" t="inlineStr"/>
      <c r="C919" t="inlineStr"/>
      <c r="D919" t="inlineStr"/>
      <c r="E919">
        <f>HYPERLINK("https://www.uniprot.org/uniprotkb/A0A803JQT8/entry", "A0A803JQT8")</f>
        <v/>
      </c>
      <c r="F919" t="n">
        <v>46.3</v>
      </c>
      <c r="G919" t="n">
        <v>108</v>
      </c>
      <c r="H919" t="n">
        <v>7.59e-11</v>
      </c>
      <c r="I919" t="inlineStr">
        <is>
          <t>TrEMBL</t>
        </is>
      </c>
      <c r="J919" t="inlineStr">
        <is>
          <t>ppp1r1b</t>
        </is>
      </c>
      <c r="K919" t="inlineStr">
        <is>
          <t>A0A803JQT8_XENTR</t>
        </is>
      </c>
      <c r="L919" t="inlineStr">
        <is>
          <t>tr|A0A803JQT8|A0A803JQT8_XENTR Protein phosphatase 1 regulatory subunit 1B OS=Xenopus tropicalis OX=8364 GN=ppp1r1b PE=3 SV=1</t>
        </is>
      </c>
      <c r="M919" t="n">
        <v>191</v>
      </c>
      <c r="N919" t="inlineStr">
        <is>
          <t>Xenopus tropicalis</t>
        </is>
      </c>
      <c r="O919" t="inlineStr">
        <is>
          <t>Protein phosphatase 1 regulatory subunit 1B</t>
        </is>
      </c>
    </row>
    <row r="920">
      <c r="A920" t="inlineStr"/>
      <c r="B920" t="inlineStr"/>
      <c r="C920" t="inlineStr"/>
      <c r="D920" t="inlineStr"/>
      <c r="E920">
        <f>HYPERLINK("https://www.ncbi.nlm.nih.gov/gene/?term=NP_001096342.1", "NP_001096342.1")</f>
        <v/>
      </c>
      <c r="F920" t="n">
        <v>46.3</v>
      </c>
      <c r="G920" t="n">
        <v>108</v>
      </c>
      <c r="H920" t="n">
        <v>1.76e-10</v>
      </c>
      <c r="I920" t="inlineStr">
        <is>
          <t>Nr</t>
        </is>
      </c>
      <c r="J920" t="inlineStr"/>
      <c r="K920" t="inlineStr"/>
      <c r="L920" t="inlineStr">
        <is>
          <t>NP_001096342.1 protein phosphatase 1 regulatory subunit 1B [Xenopus tropicalis]</t>
        </is>
      </c>
      <c r="M920" t="n">
        <v>185</v>
      </c>
      <c r="N920" t="inlineStr">
        <is>
          <t>Xenopus tropicalis</t>
        </is>
      </c>
      <c r="O920" t="inlineStr">
        <is>
          <t>protein phosphatase 1 regulatory subunit 1B</t>
        </is>
      </c>
    </row>
    <row r="921">
      <c r="A921" t="inlineStr"/>
      <c r="B921" t="inlineStr"/>
      <c r="C921" t="inlineStr"/>
      <c r="D921" t="inlineStr"/>
      <c r="E921">
        <f>HYPERLINK("https://www.uniprot.org/uniprotkb/A0A8T2IMC0/entry", "A0A8T2IMC0")</f>
        <v/>
      </c>
      <c r="F921" t="n">
        <v>40</v>
      </c>
      <c r="G921" t="n">
        <v>105</v>
      </c>
      <c r="H921" t="n">
        <v>3.78e-09</v>
      </c>
      <c r="I921" t="inlineStr">
        <is>
          <t>TrEMBL</t>
        </is>
      </c>
      <c r="J921" t="inlineStr">
        <is>
          <t>GDO86_012404</t>
        </is>
      </c>
      <c r="K921" t="inlineStr">
        <is>
          <t>A0A8T2IMC0_9PIPI</t>
        </is>
      </c>
      <c r="L921" t="inlineStr">
        <is>
          <t>tr|A0A8T2IMC0|A0A8T2IMC0_9PIPI Protein phosphatase 1 regulatory subunit 1B OS=Hymenochirus boettgeri OX=247094 GN=GDO86_012404 PE=3 SV=1</t>
        </is>
      </c>
      <c r="M921" t="n">
        <v>182</v>
      </c>
      <c r="N921" t="inlineStr">
        <is>
          <t>Hymenochirus boettgeri</t>
        </is>
      </c>
      <c r="O921" t="inlineStr">
        <is>
          <t>Protein phosphatase 1 regulatory subunit 1B</t>
        </is>
      </c>
    </row>
    <row r="922">
      <c r="A922" t="inlineStr"/>
      <c r="B922" t="inlineStr"/>
      <c r="C922" t="inlineStr"/>
      <c r="D922" t="inlineStr"/>
      <c r="E922">
        <f>HYPERLINK("https://www.ncbi.nlm.nih.gov/gene/?term=KAG8434029.1", "KAG8434029.1")</f>
        <v/>
      </c>
      <c r="F922" t="n">
        <v>40</v>
      </c>
      <c r="G922" t="n">
        <v>105</v>
      </c>
      <c r="H922" t="n">
        <v>9.710000000000001e-09</v>
      </c>
      <c r="I922" t="inlineStr">
        <is>
          <t>Nr</t>
        </is>
      </c>
      <c r="J922" t="inlineStr"/>
      <c r="K922" t="inlineStr"/>
      <c r="L922" t="inlineStr">
        <is>
          <t>KAG8434029.1 hypothetical protein GDO86_012404 [Hymenochirus boettgeri]</t>
        </is>
      </c>
      <c r="M922" t="n">
        <v>182</v>
      </c>
      <c r="N922" t="inlineStr">
        <is>
          <t>Hymenochirus boettgeri</t>
        </is>
      </c>
      <c r="O922" t="inlineStr">
        <is>
          <t>hypothetical protein GDO86_012404</t>
        </is>
      </c>
    </row>
    <row r="923">
      <c r="A923" t="inlineStr"/>
      <c r="B923" t="inlineStr"/>
      <c r="C923" t="inlineStr"/>
      <c r="D923" t="inlineStr"/>
      <c r="E923">
        <f>HYPERLINK("https://www.uniprot.org/uniprotkb/A0A1L8EKM5/entry", "A0A1L8EKM5")</f>
        <v/>
      </c>
      <c r="F923" t="n">
        <v>38.7</v>
      </c>
      <c r="G923" t="n">
        <v>106</v>
      </c>
      <c r="H923" t="n">
        <v>4.36e-06</v>
      </c>
      <c r="I923" t="inlineStr">
        <is>
          <t>TrEMBL</t>
        </is>
      </c>
      <c r="J923" t="inlineStr">
        <is>
          <t>ppp1r1b.S</t>
        </is>
      </c>
      <c r="K923" t="inlineStr">
        <is>
          <t>A0A1L8EKM5_XENLA</t>
        </is>
      </c>
      <c r="L923" t="inlineStr">
        <is>
          <t>tr|A0A1L8EKM5|A0A1L8EKM5_XENLA Protein phosphatase 1 regulatory subunit 1B OS=Xenopus laevis OX=8355 GN=ppp1r1b.S PE=3 SV=1</t>
        </is>
      </c>
      <c r="M923" t="n">
        <v>183</v>
      </c>
      <c r="N923" t="inlineStr">
        <is>
          <t>Xenopus laevis</t>
        </is>
      </c>
      <c r="O923" t="inlineStr">
        <is>
          <t>Protein phosphatase 1 regulatory subunit 1B</t>
        </is>
      </c>
    </row>
    <row r="924">
      <c r="A924" t="inlineStr"/>
      <c r="B924" t="inlineStr"/>
      <c r="C924" t="inlineStr"/>
      <c r="D924" t="inlineStr"/>
      <c r="E924">
        <f>HYPERLINK("https://www.uniprot.org/uniprotkb/Q32NG9/entry", "Q32NG9")</f>
        <v/>
      </c>
      <c r="F924" t="n">
        <v>38.7</v>
      </c>
      <c r="G924" t="n">
        <v>106</v>
      </c>
      <c r="H924" t="n">
        <v>8.5e-06</v>
      </c>
      <c r="I924" t="inlineStr">
        <is>
          <t>TrEMBL</t>
        </is>
      </c>
      <c r="J924" t="inlineStr">
        <is>
          <t>LOC733416</t>
        </is>
      </c>
      <c r="K924" t="inlineStr">
        <is>
          <t>Q32NG9_XENLA</t>
        </is>
      </c>
      <c r="L924" t="inlineStr">
        <is>
          <t>tr|Q32NG9|Q32NG9_XENLA Protein phosphatase 1 regulatory subunit 1B (Fragment) OS=Xenopus laevis OX=8355 GN=LOC733416 PE=2 SV=1</t>
        </is>
      </c>
      <c r="M924" t="n">
        <v>269</v>
      </c>
      <c r="N924" t="inlineStr">
        <is>
          <t>Xenopus laevis</t>
        </is>
      </c>
      <c r="O924" t="inlineStr">
        <is>
          <t>Protein phosphatase 1 regulatory subunit 1B (Fragment)</t>
        </is>
      </c>
    </row>
    <row r="925">
      <c r="A925" t="inlineStr"/>
      <c r="B925" t="inlineStr"/>
      <c r="C925" t="inlineStr"/>
      <c r="D925" t="inlineStr"/>
      <c r="E925">
        <f>HYPERLINK("https://www.ncbi.nlm.nih.gov/gene/?term=XP_018093469.1", "XP_018093469.1")</f>
        <v/>
      </c>
      <c r="F925" t="n">
        <v>38.7</v>
      </c>
      <c r="G925" t="n">
        <v>106</v>
      </c>
      <c r="H925" t="n">
        <v>1.12e-05</v>
      </c>
      <c r="I925" t="inlineStr">
        <is>
          <t>Nr</t>
        </is>
      </c>
      <c r="J925" t="inlineStr"/>
      <c r="K925" t="inlineStr"/>
      <c r="L925" t="inlineStr">
        <is>
          <t>XP_018093469.1 protein phosphatase 1 regulatory subunit 1B [Xenopus laevis]</t>
        </is>
      </c>
      <c r="M925" t="n">
        <v>183</v>
      </c>
      <c r="N925" t="inlineStr">
        <is>
          <t>Xenopus laevis</t>
        </is>
      </c>
      <c r="O925" t="inlineStr">
        <is>
          <t>protein phosphatase 1 regulatory subunit 1B</t>
        </is>
      </c>
    </row>
    <row r="926">
      <c r="A926" t="inlineStr"/>
      <c r="B926" t="inlineStr"/>
      <c r="C926" t="inlineStr"/>
      <c r="D926" t="inlineStr"/>
      <c r="E926">
        <f>HYPERLINK("https://www.ncbi.nlm.nih.gov/gene/?term=AAI08633.1", "AAI08633.1")</f>
        <v/>
      </c>
      <c r="F926" t="n">
        <v>38.7</v>
      </c>
      <c r="G926" t="n">
        <v>106</v>
      </c>
      <c r="H926" t="n">
        <v>2.18e-05</v>
      </c>
      <c r="I926" t="inlineStr">
        <is>
          <t>Nr</t>
        </is>
      </c>
      <c r="J926" t="inlineStr"/>
      <c r="K926" t="inlineStr"/>
      <c r="L926" t="inlineStr">
        <is>
          <t>AAI08633.1 LOC733416 protein, partial [Xenopus laevis]</t>
        </is>
      </c>
      <c r="M926" t="n">
        <v>269</v>
      </c>
      <c r="N926" t="inlineStr">
        <is>
          <t>Xenopus laevis</t>
        </is>
      </c>
      <c r="O926" t="inlineStr">
        <is>
          <t>LOC733416 protein, partial</t>
        </is>
      </c>
    </row>
    <row r="927">
      <c r="A927" t="inlineStr"/>
      <c r="B927" t="inlineStr"/>
      <c r="C927" t="inlineStr"/>
      <c r="D927" t="inlineStr"/>
      <c r="E927">
        <f>HYPERLINK("https://www.ncbi.nlm.nih.gov/gene/?term=XP_044154929.1", "XP_044154929.1")</f>
        <v/>
      </c>
      <c r="F927" t="n">
        <v>41</v>
      </c>
      <c r="G927" t="n">
        <v>105</v>
      </c>
      <c r="H927" t="n">
        <v>2.68e-05</v>
      </c>
      <c r="I927" t="inlineStr">
        <is>
          <t>Nr</t>
        </is>
      </c>
      <c r="J927" t="inlineStr"/>
      <c r="K927" t="inlineStr"/>
      <c r="L927" t="inlineStr">
        <is>
          <t>XP_044154929.1 protein phosphatase 1 regulatory subunit 1B [Bufo gargarizans]</t>
        </is>
      </c>
      <c r="M927" t="n">
        <v>202</v>
      </c>
      <c r="N927" t="inlineStr">
        <is>
          <t>Bufo gargarizans</t>
        </is>
      </c>
      <c r="O927" t="inlineStr">
        <is>
          <t>protein phosphatase 1 regulatory subunit 1B</t>
        </is>
      </c>
    </row>
    <row r="928">
      <c r="A928" t="inlineStr"/>
      <c r="B928" t="inlineStr"/>
      <c r="C928" t="inlineStr"/>
      <c r="D928" t="inlineStr"/>
      <c r="E928">
        <f>HYPERLINK("https://www.uniprot.org/uniprotkb/A0A8T2JLA9/entry", "A0A8T2JLA9")</f>
        <v/>
      </c>
      <c r="F928" t="n">
        <v>40</v>
      </c>
      <c r="G928" t="n">
        <v>90</v>
      </c>
      <c r="H928" t="n">
        <v>3.8e-05</v>
      </c>
      <c r="I928" t="inlineStr">
        <is>
          <t>TrEMBL</t>
        </is>
      </c>
      <c r="J928" t="inlineStr">
        <is>
          <t>GDO86_009475</t>
        </is>
      </c>
      <c r="K928" t="inlineStr">
        <is>
          <t>A0A8T2JLA9_9PIPI</t>
        </is>
      </c>
      <c r="L928" t="inlineStr">
        <is>
          <t>tr|A0A8T2JLA9|A0A8T2JLA9_9PIPI Protein phosphatase 1 regulatory subunit 1B OS=Hymenochirus boettgeri OX=247094 GN=GDO86_009475 PE=3 SV=1</t>
        </is>
      </c>
      <c r="M928" t="n">
        <v>200</v>
      </c>
      <c r="N928" t="inlineStr">
        <is>
          <t>Hymenochirus boettgeri</t>
        </is>
      </c>
      <c r="O928" t="inlineStr">
        <is>
          <t>Protein phosphatase 1 regulatory subunit 1B</t>
        </is>
      </c>
    </row>
    <row r="929">
      <c r="A929" t="inlineStr"/>
      <c r="B929" t="inlineStr"/>
      <c r="C929" t="inlineStr"/>
      <c r="D929" t="inlineStr"/>
      <c r="E929">
        <f>HYPERLINK("https://www.uniprot.org/uniprotkb/A0A821D2E3/entry", "A0A821D2E3")</f>
        <v/>
      </c>
      <c r="F929" t="n">
        <v>42.5</v>
      </c>
      <c r="G929" t="n">
        <v>106</v>
      </c>
      <c r="H929" t="n">
        <v>3.88e-05</v>
      </c>
      <c r="I929" t="inlineStr">
        <is>
          <t>TrEMBL</t>
        </is>
      </c>
      <c r="J929" t="inlineStr">
        <is>
          <t>RIMITATOR_LOCUS497171</t>
        </is>
      </c>
      <c r="K929" t="inlineStr">
        <is>
          <t>A0A821D2E3_9NEOB</t>
        </is>
      </c>
      <c r="L929" t="inlineStr">
        <is>
          <t>tr|A0A821D2E3|A0A821D2E3_9NEOB Protein phosphatase 1 regulatory subunit 1B OS=Ranitomeya imitator OX=111125 GN=RIMITATOR_LOCUS497171 PE=3 SV=1</t>
        </is>
      </c>
      <c r="M929" t="n">
        <v>202</v>
      </c>
      <c r="N929" t="inlineStr">
        <is>
          <t>Ranitomeya imitator</t>
        </is>
      </c>
      <c r="O929" t="inlineStr">
        <is>
          <t>Protein phosphatase 1 regulatory subunit 1B</t>
        </is>
      </c>
    </row>
    <row r="930">
      <c r="A930" t="inlineStr"/>
      <c r="B930" t="inlineStr"/>
      <c r="C930" t="inlineStr"/>
      <c r="D930" t="inlineStr"/>
      <c r="E930">
        <f>HYPERLINK("https://www.ncbi.nlm.nih.gov/gene/?term=KAG8444303.1", "KAG8444303.1")</f>
        <v/>
      </c>
      <c r="F930" t="n">
        <v>40</v>
      </c>
      <c r="G930" t="n">
        <v>90</v>
      </c>
      <c r="H930" t="n">
        <v>9.77e-05</v>
      </c>
      <c r="I930" t="inlineStr">
        <is>
          <t>Nr</t>
        </is>
      </c>
      <c r="J930" t="inlineStr"/>
      <c r="K930" t="inlineStr"/>
      <c r="L930" t="inlineStr">
        <is>
          <t>KAG8444303.1 hypothetical protein GDO86_009475 [Hymenochirus boettgeri]</t>
        </is>
      </c>
      <c r="M930" t="n">
        <v>200</v>
      </c>
      <c r="N930" t="inlineStr">
        <is>
          <t>Hymenochirus boettgeri</t>
        </is>
      </c>
      <c r="O930" t="inlineStr">
        <is>
          <t>hypothetical protein GDO86_009475</t>
        </is>
      </c>
    </row>
    <row r="931">
      <c r="A931" t="inlineStr"/>
      <c r="B931" t="inlineStr"/>
      <c r="C931" t="inlineStr"/>
      <c r="D931" t="inlineStr"/>
      <c r="E931">
        <f>HYPERLINK("https://www.uniprot.org/uniprotkb/A0A8J6K3M3/entry", "A0A8J6K3M3")</f>
        <v/>
      </c>
      <c r="F931" t="n">
        <v>45.7</v>
      </c>
      <c r="G931" t="n">
        <v>94</v>
      </c>
      <c r="H931" t="n">
        <v>0.000102</v>
      </c>
      <c r="I931" t="inlineStr">
        <is>
          <t>TrEMBL</t>
        </is>
      </c>
      <c r="J931" t="inlineStr">
        <is>
          <t>GDO78_004407</t>
        </is>
      </c>
      <c r="K931" t="inlineStr">
        <is>
          <t>A0A8J6K3M3_ELECQ</t>
        </is>
      </c>
      <c r="L931" t="inlineStr">
        <is>
          <t>tr|A0A8J6K3M3|A0A8J6K3M3_ELECQ Protein phosphatase 1 regulatory subunit 1B OS=Eleutherodactylus coqui OX=57060 GN=GDO78_004407 PE=3 SV=1</t>
        </is>
      </c>
      <c r="M931" t="n">
        <v>200</v>
      </c>
      <c r="N931" t="inlineStr">
        <is>
          <t>Eleutherodactylus coqui</t>
        </is>
      </c>
      <c r="O931" t="inlineStr">
        <is>
          <t>Protein phosphatase 1 regulatory subunit 1B</t>
        </is>
      </c>
    </row>
    <row r="932">
      <c r="A932" t="inlineStr"/>
      <c r="B932" t="inlineStr"/>
      <c r="C932" t="inlineStr"/>
      <c r="D932" t="inlineStr"/>
      <c r="E932">
        <f>HYPERLINK("https://www.ncbi.nlm.nih.gov/gene/?term=XP_040294129.1", "XP_040294129.1")</f>
        <v/>
      </c>
      <c r="F932" t="n">
        <v>38.7</v>
      </c>
      <c r="G932" t="n">
        <v>111</v>
      </c>
      <c r="H932" t="n">
        <v>0.000192</v>
      </c>
      <c r="I932" t="inlineStr">
        <is>
          <t>Nr</t>
        </is>
      </c>
      <c r="J932" t="inlineStr"/>
      <c r="K932" t="inlineStr"/>
      <c r="L932" t="inlineStr">
        <is>
          <t>XP_040294129.1 protein phosphatase 1 regulatory subunit 1B [Bufo bufo]</t>
        </is>
      </c>
      <c r="M932" t="n">
        <v>202</v>
      </c>
      <c r="N932" t="inlineStr">
        <is>
          <t>Bufo bufo</t>
        </is>
      </c>
      <c r="O932" t="inlineStr">
        <is>
          <t>protein phosphatase 1 regulatory subunit 1B</t>
        </is>
      </c>
    </row>
    <row r="933">
      <c r="A933" t="inlineStr"/>
      <c r="B933" t="inlineStr"/>
      <c r="C933" t="inlineStr"/>
      <c r="D933" t="inlineStr"/>
      <c r="E933">
        <f>HYPERLINK("https://www.ncbi.nlm.nih.gov/gene/?term=KAG9474094.1", "KAG9474094.1")</f>
        <v/>
      </c>
      <c r="F933" t="n">
        <v>45.7</v>
      </c>
      <c r="G933" t="n">
        <v>94</v>
      </c>
      <c r="H933" t="n">
        <v>0.000261</v>
      </c>
      <c r="I933" t="inlineStr">
        <is>
          <t>Nr</t>
        </is>
      </c>
      <c r="J933" t="inlineStr"/>
      <c r="K933" t="inlineStr"/>
      <c r="L933" t="inlineStr">
        <is>
          <t>KAG9474094.1 hypothetical protein GDO78_004407 [Eleutherodactylus coqui]</t>
        </is>
      </c>
      <c r="M933" t="n">
        <v>200</v>
      </c>
      <c r="N933" t="inlineStr">
        <is>
          <t>Eleutherodactylus coqui</t>
        </is>
      </c>
      <c r="O933" t="inlineStr">
        <is>
          <t>hypothetical protein GDO78_004407</t>
        </is>
      </c>
    </row>
    <row r="934">
      <c r="A934" t="inlineStr"/>
      <c r="B934" t="inlineStr"/>
      <c r="C934" t="inlineStr"/>
      <c r="D934" t="inlineStr"/>
      <c r="E934">
        <f>HYPERLINK("https://www.ncbi.nlm.nih.gov/gene/?term=KAG8566287.1", "KAG8566287.1")</f>
        <v/>
      </c>
      <c r="F934" t="n">
        <v>43.3</v>
      </c>
      <c r="G934" t="n">
        <v>104</v>
      </c>
      <c r="H934" t="n">
        <v>0.000627</v>
      </c>
      <c r="I934" t="inlineStr">
        <is>
          <t>Nr</t>
        </is>
      </c>
      <c r="J934" t="inlineStr"/>
      <c r="K934" t="inlineStr"/>
      <c r="L934" t="inlineStr">
        <is>
          <t>KAG8566287.1 hypothetical protein GDO81_013167 [Engystomops pustulosus]</t>
        </is>
      </c>
      <c r="M934" t="n">
        <v>159</v>
      </c>
      <c r="N934" t="inlineStr">
        <is>
          <t>Engystomops pustulosus</t>
        </is>
      </c>
      <c r="O934" t="inlineStr">
        <is>
          <t>hypothetical protein GDO81_013167</t>
        </is>
      </c>
    </row>
    <row r="935">
      <c r="A935" t="inlineStr"/>
      <c r="B935" t="inlineStr"/>
      <c r="C935" t="inlineStr"/>
      <c r="D935" t="inlineStr"/>
      <c r="E935">
        <f>HYPERLINK("https://www.ncbi.nlm.nih.gov/gene/?term=KAG8566286.1", "KAG8566286.1")</f>
        <v/>
      </c>
      <c r="F935" t="n">
        <v>43.3</v>
      </c>
      <c r="G935" t="n">
        <v>104</v>
      </c>
      <c r="H935" t="n">
        <v>0.00071</v>
      </c>
      <c r="I935" t="inlineStr">
        <is>
          <t>Nr</t>
        </is>
      </c>
      <c r="J935" t="inlineStr"/>
      <c r="K935" t="inlineStr"/>
      <c r="L935" t="inlineStr">
        <is>
          <t>KAG8566286.1 hypothetical protein GDO81_013167 [Engystomops pustulosus]</t>
        </is>
      </c>
      <c r="M935" t="n">
        <v>169</v>
      </c>
      <c r="N935" t="inlineStr">
        <is>
          <t>Engystomops pustulosus</t>
        </is>
      </c>
      <c r="O935" t="inlineStr">
        <is>
          <t>hypothetical protein GDO81_013167</t>
        </is>
      </c>
    </row>
    <row r="936">
      <c r="A936" t="inlineStr"/>
      <c r="B936" t="inlineStr"/>
      <c r="C936" t="inlineStr"/>
      <c r="D936" t="inlineStr"/>
      <c r="E936">
        <f>HYPERLINK("https://www.ncbi.nlm.nih.gov/gene/?term=KAG8566285.1", "KAG8566285.1")</f>
        <v/>
      </c>
      <c r="F936" t="n">
        <v>43.3</v>
      </c>
      <c r="G936" t="n">
        <v>104</v>
      </c>
      <c r="H936" t="n">
        <v>0.0009389999999999999</v>
      </c>
      <c r="I936" t="inlineStr">
        <is>
          <t>Nr</t>
        </is>
      </c>
      <c r="J936" t="inlineStr"/>
      <c r="K936" t="inlineStr"/>
      <c r="L936" t="inlineStr">
        <is>
          <t>KAG8566285.1 hypothetical protein GDO81_013167 [Engystomops pustulosus]</t>
        </is>
      </c>
      <c r="M936" t="n">
        <v>197</v>
      </c>
      <c r="N936" t="inlineStr">
        <is>
          <t>Engystomops pustulosus</t>
        </is>
      </c>
      <c r="O936" t="inlineStr">
        <is>
          <t>hypothetical protein GDO81_013167</t>
        </is>
      </c>
    </row>
    <row r="937">
      <c r="A937" t="inlineStr">
        <is>
          <t>NODE_117353_length_1417_cov_5.588148_g48346_i0</t>
        </is>
      </c>
      <c r="B937" t="inlineStr">
        <is>
          <t>bombina_pachypus_blastx</t>
        </is>
      </c>
      <c r="C937" t="n">
        <v>-5.02567367147887</v>
      </c>
      <c r="D937" t="n">
        <v>0.0477847737597912</v>
      </c>
      <c r="E937">
        <f>HYPERLINK("https://www.uniprot.org/uniprotkb/A0A803J8S4/entry", "A0A803J8S4")</f>
        <v/>
      </c>
      <c r="F937" t="n">
        <v>45.5</v>
      </c>
      <c r="G937" t="n">
        <v>132</v>
      </c>
      <c r="H937" t="n">
        <v>3.64e-29</v>
      </c>
      <c r="I937" t="inlineStr">
        <is>
          <t>TrEMBL</t>
        </is>
      </c>
      <c r="J937" t="inlineStr"/>
      <c r="K937" t="inlineStr">
        <is>
          <t>A0A803J8S4_XENTR</t>
        </is>
      </c>
      <c r="L937" t="inlineStr">
        <is>
          <t>tr|A0A803J8S4|A0A803J8S4_XENTR LINE-1 retrotransposable element ORF1 protein OS=Xenopus tropicalis OX=8364 PE=4 SV=1</t>
        </is>
      </c>
      <c r="M937" t="n">
        <v>369</v>
      </c>
      <c r="N937" t="inlineStr">
        <is>
          <t>Xenopus tropicalis</t>
        </is>
      </c>
      <c r="O937" t="inlineStr">
        <is>
          <t>LINE-1 retrotransposable element ORF1 protein</t>
        </is>
      </c>
    </row>
    <row r="938">
      <c r="A938" t="inlineStr"/>
      <c r="B938" t="inlineStr"/>
      <c r="C938" t="inlineStr"/>
      <c r="D938" t="inlineStr"/>
      <c r="E938">
        <f>HYPERLINK("https://www.uniprot.org/uniprotkb/A0A803JEW2/entry", "A0A803JEW2")</f>
        <v/>
      </c>
      <c r="F938" t="n">
        <v>45.2</v>
      </c>
      <c r="G938" t="n">
        <v>146</v>
      </c>
      <c r="H938" t="n">
        <v>3.82e-29</v>
      </c>
      <c r="I938" t="inlineStr">
        <is>
          <t>TrEMBL</t>
        </is>
      </c>
      <c r="J938" t="inlineStr"/>
      <c r="K938" t="inlineStr">
        <is>
          <t>A0A803JEW2_XENTR</t>
        </is>
      </c>
      <c r="L938" t="inlineStr">
        <is>
          <t>tr|A0A803JEW2|A0A803JEW2_XENTR Transposase_22 domain-containing protein OS=Xenopus tropicalis OX=8364 PE=4 SV=1</t>
        </is>
      </c>
      <c r="M938" t="n">
        <v>372</v>
      </c>
      <c r="N938" t="inlineStr">
        <is>
          <t>Xenopus tropicalis</t>
        </is>
      </c>
      <c r="O938" t="inlineStr">
        <is>
          <t>Transposase_22 domain-containing protein</t>
        </is>
      </c>
    </row>
    <row r="939">
      <c r="A939" t="inlineStr"/>
      <c r="B939" t="inlineStr"/>
      <c r="C939" t="inlineStr"/>
      <c r="D939" t="inlineStr"/>
      <c r="E939">
        <f>HYPERLINK("https://www.uniprot.org/uniprotkb/A0A670KBT8/entry", "A0A670KBT8")</f>
        <v/>
      </c>
      <c r="F939" t="n">
        <v>41.6</v>
      </c>
      <c r="G939" t="n">
        <v>149</v>
      </c>
      <c r="H939" t="n">
        <v>2.37e-26</v>
      </c>
      <c r="I939" t="inlineStr">
        <is>
          <t>TrEMBL</t>
        </is>
      </c>
      <c r="J939" t="inlineStr"/>
      <c r="K939" t="inlineStr">
        <is>
          <t>A0A670KBT8_PODMU</t>
        </is>
      </c>
      <c r="L939" t="inlineStr">
        <is>
          <t>tr|A0A670KBT8|A0A670KBT8_PODMU Transposase_22 domain-containing protein OS=Podarcis muralis OX=64176 PE=4 SV=1</t>
        </is>
      </c>
      <c r="M939" t="n">
        <v>378</v>
      </c>
      <c r="N939" t="inlineStr">
        <is>
          <t>Podarcis muralis</t>
        </is>
      </c>
      <c r="O939" t="inlineStr">
        <is>
          <t>Transposase_22 domain-containing protein</t>
        </is>
      </c>
    </row>
    <row r="940">
      <c r="A940" t="inlineStr"/>
      <c r="B940" t="inlineStr"/>
      <c r="C940" t="inlineStr"/>
      <c r="D940" t="inlineStr"/>
      <c r="E940">
        <f>HYPERLINK("https://www.ncbi.nlm.nih.gov/gene/?term=XP_034953532.1", "XP_034953532.1")</f>
        <v/>
      </c>
      <c r="F940" t="n">
        <v>43.5</v>
      </c>
      <c r="G940" t="n">
        <v>131</v>
      </c>
      <c r="H940" t="n">
        <v>7.26e-26</v>
      </c>
      <c r="I940" t="inlineStr">
        <is>
          <t>Nr</t>
        </is>
      </c>
      <c r="J940" t="inlineStr"/>
      <c r="K940" t="inlineStr"/>
      <c r="L940" t="inlineStr">
        <is>
          <t>XP_034953532.1 LINE-1 type transposase domain-containing protein 1 [Zootoca vivipara]</t>
        </is>
      </c>
      <c r="M940" t="n">
        <v>367</v>
      </c>
      <c r="N940" t="inlineStr">
        <is>
          <t>Zootoca vivipara</t>
        </is>
      </c>
      <c r="O940" t="inlineStr">
        <is>
          <t>LINE-1 type transposase domain-containing protein 1</t>
        </is>
      </c>
    </row>
    <row r="941">
      <c r="A941" t="inlineStr"/>
      <c r="B941" t="inlineStr"/>
      <c r="C941" t="inlineStr"/>
      <c r="D941" t="inlineStr"/>
      <c r="E941">
        <f>HYPERLINK("https://www.uniprot.org/uniprotkb/A0A670KB55/entry", "A0A670KB55")</f>
        <v/>
      </c>
      <c r="F941" t="n">
        <v>40.9</v>
      </c>
      <c r="G941" t="n">
        <v>149</v>
      </c>
      <c r="H941" t="n">
        <v>4.7e-25</v>
      </c>
      <c r="I941" t="inlineStr">
        <is>
          <t>TrEMBL</t>
        </is>
      </c>
      <c r="J941" t="inlineStr"/>
      <c r="K941" t="inlineStr">
        <is>
          <t>A0A670KB55_PODMU</t>
        </is>
      </c>
      <c r="L941" t="inlineStr">
        <is>
          <t>tr|A0A670KB55|A0A670KB55_PODMU Transposase_22 domain-containing protein OS=Podarcis muralis OX=64176 PE=4 SV=1</t>
        </is>
      </c>
      <c r="M941" t="n">
        <v>378</v>
      </c>
      <c r="N941" t="inlineStr">
        <is>
          <t>Podarcis muralis</t>
        </is>
      </c>
      <c r="O941" t="inlineStr">
        <is>
          <t>Transposase_22 domain-containing protein</t>
        </is>
      </c>
    </row>
    <row r="942">
      <c r="A942" t="inlineStr"/>
      <c r="B942" t="inlineStr"/>
      <c r="C942" t="inlineStr"/>
      <c r="D942" t="inlineStr"/>
      <c r="E942">
        <f>HYPERLINK("https://www.uniprot.org/uniprotkb/A0A670HS05/entry", "A0A670HS05")</f>
        <v/>
      </c>
      <c r="F942" t="n">
        <v>44.9</v>
      </c>
      <c r="G942" t="n">
        <v>127</v>
      </c>
      <c r="H942" t="n">
        <v>5.57e-25</v>
      </c>
      <c r="I942" t="inlineStr">
        <is>
          <t>TrEMBL</t>
        </is>
      </c>
      <c r="J942" t="inlineStr"/>
      <c r="K942" t="inlineStr">
        <is>
          <t>A0A670HS05_PODMU</t>
        </is>
      </c>
      <c r="L942" t="inlineStr">
        <is>
          <t>tr|A0A670HS05|A0A670HS05_PODMU Transposase_22 domain-containing protein OS=Podarcis muralis OX=64176 PE=4 SV=1</t>
        </is>
      </c>
      <c r="M942" t="n">
        <v>366</v>
      </c>
      <c r="N942" t="inlineStr">
        <is>
          <t>Podarcis muralis</t>
        </is>
      </c>
      <c r="O942" t="inlineStr">
        <is>
          <t>Transposase_22 domain-containing protein</t>
        </is>
      </c>
    </row>
    <row r="943">
      <c r="A943" t="inlineStr"/>
      <c r="B943" t="inlineStr"/>
      <c r="C943" t="inlineStr"/>
      <c r="D943" t="inlineStr"/>
      <c r="E943">
        <f>HYPERLINK("https://www.uniprot.org/uniprotkb/A0A803JBS4/entry", "A0A803JBS4")</f>
        <v/>
      </c>
      <c r="F943" t="n">
        <v>37.5</v>
      </c>
      <c r="G943" t="n">
        <v>144</v>
      </c>
      <c r="H943" t="n">
        <v>4.11e-24</v>
      </c>
      <c r="I943" t="inlineStr">
        <is>
          <t>TrEMBL</t>
        </is>
      </c>
      <c r="J943" t="inlineStr"/>
      <c r="K943" t="inlineStr">
        <is>
          <t>A0A803JBS4_XENTR</t>
        </is>
      </c>
      <c r="L943" t="inlineStr">
        <is>
          <t>tr|A0A803JBS4|A0A803JBS4_XENTR Transposase_22 domain-containing protein OS=Xenopus tropicalis OX=8364 PE=4 SV=1</t>
        </is>
      </c>
      <c r="M943" t="n">
        <v>233</v>
      </c>
      <c r="N943" t="inlineStr">
        <is>
          <t>Xenopus tropicalis</t>
        </is>
      </c>
      <c r="O943" t="inlineStr">
        <is>
          <t>Transposase_22 domain-containing protein</t>
        </is>
      </c>
    </row>
    <row r="944">
      <c r="A944" t="inlineStr"/>
      <c r="B944" t="inlineStr"/>
      <c r="C944" t="inlineStr"/>
      <c r="D944" t="inlineStr"/>
      <c r="E944">
        <f>HYPERLINK("https://www.uniprot.org/uniprotkb/A0A8C5LWX1/entry", "A0A8C5LWX1")</f>
        <v/>
      </c>
      <c r="F944" t="n">
        <v>42.5</v>
      </c>
      <c r="G944" t="n">
        <v>120</v>
      </c>
      <c r="H944" t="n">
        <v>2.37e-23</v>
      </c>
      <c r="I944" t="inlineStr">
        <is>
          <t>TrEMBL</t>
        </is>
      </c>
      <c r="J944" t="inlineStr"/>
      <c r="K944" t="inlineStr">
        <is>
          <t>A0A8C5LWX1_9ANUR</t>
        </is>
      </c>
      <c r="L944" t="inlineStr">
        <is>
          <t>tr|A0A8C5LWX1|A0A8C5LWX1_9ANUR Reverse transcriptase domain-containing protein OS=Leptobrachium leishanense OX=445787 PE=4 SV=1</t>
        </is>
      </c>
      <c r="M944" t="n">
        <v>349</v>
      </c>
      <c r="N944" t="inlineStr">
        <is>
          <t>Leptobrachium leishanense</t>
        </is>
      </c>
      <c r="O944" t="inlineStr">
        <is>
          <t>Reverse transcriptase domain-containing protein</t>
        </is>
      </c>
    </row>
    <row r="945">
      <c r="A945" t="inlineStr"/>
      <c r="B945" t="inlineStr"/>
      <c r="C945" t="inlineStr"/>
      <c r="D945" t="inlineStr"/>
      <c r="E945">
        <f>HYPERLINK("https://www.uniprot.org/uniprotkb/A0A8C5MG70/entry", "A0A8C5MG70")</f>
        <v/>
      </c>
      <c r="F945" t="n">
        <v>44.1</v>
      </c>
      <c r="G945" t="n">
        <v>127</v>
      </c>
      <c r="H945" t="n">
        <v>7.619999999999999e-23</v>
      </c>
      <c r="I945" t="inlineStr">
        <is>
          <t>TrEMBL</t>
        </is>
      </c>
      <c r="J945" t="inlineStr"/>
      <c r="K945" t="inlineStr">
        <is>
          <t>A0A8C5MG70_9ANUR</t>
        </is>
      </c>
      <c r="L945" t="inlineStr">
        <is>
          <t>tr|A0A8C5MG70|A0A8C5MG70_9ANUR Transposase element L1Md-A101/L1Md-A102/L1Md-A2 OS=Leptobrachium leishanense OX=445787 PE=4 SV=1</t>
        </is>
      </c>
      <c r="M945" t="n">
        <v>362</v>
      </c>
      <c r="N945" t="inlineStr">
        <is>
          <t>Leptobrachium leishanense</t>
        </is>
      </c>
      <c r="O945" t="inlineStr">
        <is>
          <t>Transposase element L1Md-A101/L1Md-A102/L1Md-A2</t>
        </is>
      </c>
    </row>
    <row r="946">
      <c r="A946" t="inlineStr"/>
      <c r="B946" t="inlineStr"/>
      <c r="C946" t="inlineStr"/>
      <c r="D946" t="inlineStr"/>
      <c r="E946">
        <f>HYPERLINK("https://www.uniprot.org/uniprotkb/A0A8C5PAL5/entry", "A0A8C5PAL5")</f>
        <v/>
      </c>
      <c r="F946" t="n">
        <v>42.3</v>
      </c>
      <c r="G946" t="n">
        <v>149</v>
      </c>
      <c r="H946" t="n">
        <v>2.2e-22</v>
      </c>
      <c r="I946" t="inlineStr">
        <is>
          <t>TrEMBL</t>
        </is>
      </c>
      <c r="J946" t="inlineStr"/>
      <c r="K946" t="inlineStr">
        <is>
          <t>A0A8C5PAL5_9ANUR</t>
        </is>
      </c>
      <c r="L946" t="inlineStr">
        <is>
          <t>tr|A0A8C5PAL5|A0A8C5PAL5_9ANUR LINE-1 type transposase domain-containing 1 OS=Leptobrachium leishanense OX=445787 PE=4 SV=1</t>
        </is>
      </c>
      <c r="M946" t="n">
        <v>319</v>
      </c>
      <c r="N946" t="inlineStr">
        <is>
          <t>Leptobrachium leishanense</t>
        </is>
      </c>
      <c r="O946" t="inlineStr">
        <is>
          <t>LINE-1 type transposase domain-containing 1</t>
        </is>
      </c>
    </row>
    <row r="947">
      <c r="A947" t="inlineStr"/>
      <c r="B947" t="inlineStr"/>
      <c r="C947" t="inlineStr"/>
      <c r="D947" t="inlineStr"/>
      <c r="E947">
        <f>HYPERLINK("https://www.ncbi.nlm.nih.gov/gene/?term=KAG8566310.1", "KAG8566310.1")</f>
        <v/>
      </c>
      <c r="F947" t="n">
        <v>40.3</v>
      </c>
      <c r="G947" t="n">
        <v>149</v>
      </c>
      <c r="H947" t="n">
        <v>2.65e-22</v>
      </c>
      <c r="I947" t="inlineStr">
        <is>
          <t>Nr</t>
        </is>
      </c>
      <c r="J947" t="inlineStr"/>
      <c r="K947" t="inlineStr"/>
      <c r="L947" t="inlineStr">
        <is>
          <t>KAG8566310.1 hypothetical protein GDO81_013181 [Engystomops pustulosus]</t>
        </is>
      </c>
      <c r="M947" t="n">
        <v>911</v>
      </c>
      <c r="N947" t="inlineStr">
        <is>
          <t>Engystomops pustulosus</t>
        </is>
      </c>
      <c r="O947" t="inlineStr">
        <is>
          <t>hypothetical protein GDO81_013181</t>
        </is>
      </c>
    </row>
    <row r="948">
      <c r="A948" t="inlineStr"/>
      <c r="B948" t="inlineStr"/>
      <c r="C948" t="inlineStr"/>
      <c r="D948" t="inlineStr"/>
      <c r="E948">
        <f>HYPERLINK("https://www.uniprot.org/uniprotkb/A0A8C5MIZ2/entry", "A0A8C5MIZ2")</f>
        <v/>
      </c>
      <c r="F948" t="n">
        <v>35</v>
      </c>
      <c r="G948" t="n">
        <v>157</v>
      </c>
      <c r="H948" t="n">
        <v>3.56e-22</v>
      </c>
      <c r="I948" t="inlineStr">
        <is>
          <t>TrEMBL</t>
        </is>
      </c>
      <c r="J948" t="inlineStr"/>
      <c r="K948" t="inlineStr">
        <is>
          <t>A0A8C5MIZ2_9ANUR</t>
        </is>
      </c>
      <c r="L948" t="inlineStr">
        <is>
          <t>tr|A0A8C5MIZ2|A0A8C5MIZ2_9ANUR Transposase OS=Leptobrachium leishanense OX=445787 PE=4 SV=1</t>
        </is>
      </c>
      <c r="M948" t="n">
        <v>329</v>
      </c>
      <c r="N948" t="inlineStr">
        <is>
          <t>Leptobrachium leishanense</t>
        </is>
      </c>
      <c r="O948" t="inlineStr">
        <is>
          <t>Transposase</t>
        </is>
      </c>
    </row>
    <row r="949">
      <c r="A949" t="inlineStr"/>
      <c r="B949" t="inlineStr"/>
      <c r="C949" t="inlineStr"/>
      <c r="D949" t="inlineStr"/>
      <c r="E949">
        <f>HYPERLINK("https://www.uniprot.org/uniprotkb/A0A8C5PYF3/entry", "A0A8C5PYF3")</f>
        <v/>
      </c>
      <c r="F949" t="n">
        <v>45.3</v>
      </c>
      <c r="G949" t="n">
        <v>117</v>
      </c>
      <c r="H949" t="n">
        <v>3.59e-22</v>
      </c>
      <c r="I949" t="inlineStr">
        <is>
          <t>TrEMBL</t>
        </is>
      </c>
      <c r="J949" t="inlineStr"/>
      <c r="K949" t="inlineStr">
        <is>
          <t>A0A8C5PYF3_9ANUR</t>
        </is>
      </c>
      <c r="L949" t="inlineStr">
        <is>
          <t>tr|A0A8C5PYF3|A0A8C5PYF3_9ANUR LINE-1 retrotransposable element ORF1 protein OS=Leptobrachium leishanense OX=445787 PE=4 SV=1</t>
        </is>
      </c>
      <c r="M949" t="n">
        <v>354</v>
      </c>
      <c r="N949" t="inlineStr">
        <is>
          <t>Leptobrachium leishanense</t>
        </is>
      </c>
      <c r="O949" t="inlineStr">
        <is>
          <t>LINE-1 retrotransposable element ORF1 protein</t>
        </is>
      </c>
    </row>
    <row r="950">
      <c r="A950" t="inlineStr"/>
      <c r="B950" t="inlineStr"/>
      <c r="C950" t="inlineStr"/>
      <c r="D950" t="inlineStr"/>
      <c r="E950">
        <f>HYPERLINK("https://www.uniprot.org/uniprotkb/A0A8C5MJD9/entry", "A0A8C5MJD9")</f>
        <v/>
      </c>
      <c r="F950" t="n">
        <v>35.7</v>
      </c>
      <c r="G950" t="n">
        <v>157</v>
      </c>
      <c r="H950" t="n">
        <v>6.21e-22</v>
      </c>
      <c r="I950" t="inlineStr">
        <is>
          <t>TrEMBL</t>
        </is>
      </c>
      <c r="J950" t="inlineStr"/>
      <c r="K950" t="inlineStr">
        <is>
          <t>A0A8C5MJD9_9ANUR</t>
        </is>
      </c>
      <c r="L950" t="inlineStr">
        <is>
          <t>tr|A0A8C5MJD9|A0A8C5MJD9_9ANUR Transposase element L1Md-A101/L1Md-A102/L1Md-A2 OS=Leptobrachium leishanense OX=445787 PE=4 SV=1</t>
        </is>
      </c>
      <c r="M950" t="n">
        <v>372</v>
      </c>
      <c r="N950" t="inlineStr">
        <is>
          <t>Leptobrachium leishanense</t>
        </is>
      </c>
      <c r="O950" t="inlineStr">
        <is>
          <t>Transposase element L1Md-A101/L1Md-A102/L1Md-A2</t>
        </is>
      </c>
    </row>
    <row r="951">
      <c r="A951" t="inlineStr"/>
      <c r="B951" t="inlineStr"/>
      <c r="C951" t="inlineStr"/>
      <c r="D951" t="inlineStr"/>
      <c r="E951">
        <f>HYPERLINK("https://www.uniprot.org/uniprotkb/A0A8C5PEK9/entry", "A0A8C5PEK9")</f>
        <v/>
      </c>
      <c r="F951" t="n">
        <v>34.4</v>
      </c>
      <c r="G951" t="n">
        <v>157</v>
      </c>
      <c r="H951" t="n">
        <v>6.37e-22</v>
      </c>
      <c r="I951" t="inlineStr">
        <is>
          <t>TrEMBL</t>
        </is>
      </c>
      <c r="J951" t="inlineStr"/>
      <c r="K951" t="inlineStr">
        <is>
          <t>A0A8C5PEK9_9ANUR</t>
        </is>
      </c>
      <c r="L951" t="inlineStr">
        <is>
          <t>tr|A0A8C5PEK9|A0A8C5PEK9_9ANUR Transposase element L1Md-A101/L1Md-A102/L1Md-A2 OS=Leptobrachium leishanense OX=445787 PE=4 SV=1</t>
        </is>
      </c>
      <c r="M951" t="n">
        <v>246</v>
      </c>
      <c r="N951" t="inlineStr">
        <is>
          <t>Leptobrachium leishanense</t>
        </is>
      </c>
      <c r="O951" t="inlineStr">
        <is>
          <t>Transposase element L1Md-A101/L1Md-A102/L1Md-A2</t>
        </is>
      </c>
    </row>
    <row r="952">
      <c r="A952" t="inlineStr"/>
      <c r="B952" t="inlineStr"/>
      <c r="C952" t="inlineStr"/>
      <c r="D952" t="inlineStr"/>
      <c r="E952">
        <f>HYPERLINK("https://www.uniprot.org/uniprotkb/A0A8C5LL35/entry", "A0A8C5LL35")</f>
        <v/>
      </c>
      <c r="F952" t="n">
        <v>35.7</v>
      </c>
      <c r="G952" t="n">
        <v>157</v>
      </c>
      <c r="H952" t="n">
        <v>6.64e-22</v>
      </c>
      <c r="I952" t="inlineStr">
        <is>
          <t>TrEMBL</t>
        </is>
      </c>
      <c r="J952" t="inlineStr"/>
      <c r="K952" t="inlineStr">
        <is>
          <t>A0A8C5LL35_9ANUR</t>
        </is>
      </c>
      <c r="L952" t="inlineStr">
        <is>
          <t>tr|A0A8C5LL35|A0A8C5LL35_9ANUR Transposase element L1Md-A101/L1Md-A102/L1Md-A2 OS=Leptobrachium leishanense OX=445787 PE=4 SV=1</t>
        </is>
      </c>
      <c r="M952" t="n">
        <v>378</v>
      </c>
      <c r="N952" t="inlineStr">
        <is>
          <t>Leptobrachium leishanense</t>
        </is>
      </c>
      <c r="O952" t="inlineStr">
        <is>
          <t>Transposase element L1Md-A101/L1Md-A102/L1Md-A2</t>
        </is>
      </c>
    </row>
    <row r="953">
      <c r="A953" t="inlineStr"/>
      <c r="B953" t="inlineStr"/>
      <c r="C953" t="inlineStr"/>
      <c r="D953" t="inlineStr"/>
      <c r="E953">
        <f>HYPERLINK("https://www.uniprot.org/uniprotkb/A0A8C5M6Z7/entry", "A0A8C5M6Z7")</f>
        <v/>
      </c>
      <c r="F953" t="n">
        <v>44.4</v>
      </c>
      <c r="G953" t="n">
        <v>117</v>
      </c>
      <c r="H953" t="n">
        <v>6.87e-22</v>
      </c>
      <c r="I953" t="inlineStr">
        <is>
          <t>TrEMBL</t>
        </is>
      </c>
      <c r="J953" t="inlineStr"/>
      <c r="K953" t="inlineStr">
        <is>
          <t>A0A8C5M6Z7_9ANUR</t>
        </is>
      </c>
      <c r="L953" t="inlineStr">
        <is>
          <t>tr|A0A8C5M6Z7|A0A8C5M6Z7_9ANUR LINE-1 type transposase domain-containing protein 1 OS=Leptobrachium leishanense OX=445787 PE=4 SV=1</t>
        </is>
      </c>
      <c r="M953" t="n">
        <v>353</v>
      </c>
      <c r="N953" t="inlineStr">
        <is>
          <t>Leptobrachium leishanense</t>
        </is>
      </c>
      <c r="O953" t="inlineStr">
        <is>
          <t>LINE-1 type transposase domain-containing protein 1</t>
        </is>
      </c>
    </row>
    <row r="954">
      <c r="A954" t="inlineStr"/>
      <c r="B954" t="inlineStr"/>
      <c r="C954" t="inlineStr"/>
      <c r="D954" t="inlineStr"/>
      <c r="E954">
        <f>HYPERLINK("https://www.uniprot.org/uniprotkb/A0A8C5PV76/entry", "A0A8C5PV76")</f>
        <v/>
      </c>
      <c r="F954" t="n">
        <v>35</v>
      </c>
      <c r="G954" t="n">
        <v>157</v>
      </c>
      <c r="H954" t="n">
        <v>6.93e-22</v>
      </c>
      <c r="I954" t="inlineStr">
        <is>
          <t>TrEMBL</t>
        </is>
      </c>
      <c r="J954" t="inlineStr"/>
      <c r="K954" t="inlineStr">
        <is>
          <t>A0A8C5PV76_9ANUR</t>
        </is>
      </c>
      <c r="L954" t="inlineStr">
        <is>
          <t>tr|A0A8C5PV76|A0A8C5PV76_9ANUR LINE-1 type transposase domain-containing 1 OS=Leptobrachium leishanense OX=445787 PE=4 SV=1</t>
        </is>
      </c>
      <c r="M954" t="n">
        <v>329</v>
      </c>
      <c r="N954" t="inlineStr">
        <is>
          <t>Leptobrachium leishanense</t>
        </is>
      </c>
      <c r="O954" t="inlineStr">
        <is>
          <t>LINE-1 type transposase domain-containing 1</t>
        </is>
      </c>
    </row>
    <row r="955">
      <c r="A955" t="inlineStr"/>
      <c r="B955" t="inlineStr"/>
      <c r="C955" t="inlineStr"/>
      <c r="D955" t="inlineStr"/>
      <c r="E955">
        <f>HYPERLINK("https://www.uniprot.org/uniprotkb/A0A8C5PNJ0/entry", "A0A8C5PNJ0")</f>
        <v/>
      </c>
      <c r="F955" t="n">
        <v>44.5</v>
      </c>
      <c r="G955" t="n">
        <v>119</v>
      </c>
      <c r="H955" t="n">
        <v>7.43e-22</v>
      </c>
      <c r="I955" t="inlineStr">
        <is>
          <t>TrEMBL</t>
        </is>
      </c>
      <c r="J955" t="inlineStr"/>
      <c r="K955" t="inlineStr">
        <is>
          <t>A0A8C5PNJ0_9ANUR</t>
        </is>
      </c>
      <c r="L955" t="inlineStr">
        <is>
          <t>tr|A0A8C5PNJ0|A0A8C5PNJ0_9ANUR LINE-1 type transposase domain-containing protein 1 OS=Leptobrachium leishanense OX=445787 PE=4 SV=1</t>
        </is>
      </c>
      <c r="M955" t="n">
        <v>334</v>
      </c>
      <c r="N955" t="inlineStr">
        <is>
          <t>Leptobrachium leishanense</t>
        </is>
      </c>
      <c r="O955" t="inlineStr">
        <is>
          <t>LINE-1 type transposase domain-containing protein 1</t>
        </is>
      </c>
    </row>
    <row r="956">
      <c r="A956" t="inlineStr"/>
      <c r="B956" t="inlineStr"/>
      <c r="C956" t="inlineStr"/>
      <c r="D956" t="inlineStr"/>
      <c r="E956">
        <f>HYPERLINK("https://www.uniprot.org/uniprotkb/A0A8C5PPF7/entry", "A0A8C5PPF7")</f>
        <v/>
      </c>
      <c r="F956" t="n">
        <v>44</v>
      </c>
      <c r="G956" t="n">
        <v>116</v>
      </c>
      <c r="H956" t="n">
        <v>8.07e-22</v>
      </c>
      <c r="I956" t="inlineStr">
        <is>
          <t>TrEMBL</t>
        </is>
      </c>
      <c r="J956" t="inlineStr"/>
      <c r="K956" t="inlineStr">
        <is>
          <t>A0A8C5PPF7_9ANUR</t>
        </is>
      </c>
      <c r="L956" t="inlineStr">
        <is>
          <t>tr|A0A8C5PPF7|A0A8C5PPF7_9ANUR LINE-1 type transposase domain-containing 1 OS=Leptobrachium leishanense OX=445787 PE=4 SV=1</t>
        </is>
      </c>
      <c r="M956" t="n">
        <v>340</v>
      </c>
      <c r="N956" t="inlineStr">
        <is>
          <t>Leptobrachium leishanense</t>
        </is>
      </c>
      <c r="O956" t="inlineStr">
        <is>
          <t>LINE-1 type transposase domain-containing 1</t>
        </is>
      </c>
    </row>
    <row r="957">
      <c r="A957" t="inlineStr"/>
      <c r="B957" t="inlineStr"/>
      <c r="C957" t="inlineStr"/>
      <c r="D957" t="inlineStr"/>
      <c r="E957">
        <f>HYPERLINK("https://www.uniprot.org/uniprotkb/A0A8C5PTB3/entry", "A0A8C5PTB3")</f>
        <v/>
      </c>
      <c r="F957" t="n">
        <v>44.4</v>
      </c>
      <c r="G957" t="n">
        <v>117</v>
      </c>
      <c r="H957" t="n">
        <v>1.8e-21</v>
      </c>
      <c r="I957" t="inlineStr">
        <is>
          <t>TrEMBL</t>
        </is>
      </c>
      <c r="J957" t="inlineStr"/>
      <c r="K957" t="inlineStr">
        <is>
          <t>A0A8C5PTB3_9ANUR</t>
        </is>
      </c>
      <c r="L957" t="inlineStr">
        <is>
          <t>tr|A0A8C5PTB3|A0A8C5PTB3_9ANUR LINE-1 type transposase domain-containing protein 1 OS=Leptobrachium leishanense OX=445787 PE=4 SV=1</t>
        </is>
      </c>
      <c r="M957" t="n">
        <v>351</v>
      </c>
      <c r="N957" t="inlineStr">
        <is>
          <t>Leptobrachium leishanense</t>
        </is>
      </c>
      <c r="O957" t="inlineStr">
        <is>
          <t>LINE-1 type transposase domain-containing protein 1</t>
        </is>
      </c>
    </row>
    <row r="958">
      <c r="A958" t="inlineStr"/>
      <c r="B958" t="inlineStr"/>
      <c r="C958" t="inlineStr"/>
      <c r="D958" t="inlineStr"/>
      <c r="E958">
        <f>HYPERLINK("https://www.uniprot.org/uniprotkb/A0A8C5QVX4/entry", "A0A8C5QVX4")</f>
        <v/>
      </c>
      <c r="F958" t="n">
        <v>42.2</v>
      </c>
      <c r="G958" t="n">
        <v>116</v>
      </c>
      <c r="H958" t="n">
        <v>3.04e-21</v>
      </c>
      <c r="I958" t="inlineStr">
        <is>
          <t>TrEMBL</t>
        </is>
      </c>
      <c r="J958" t="inlineStr"/>
      <c r="K958" t="inlineStr">
        <is>
          <t>A0A8C5QVX4_9ANUR</t>
        </is>
      </c>
      <c r="L958" t="inlineStr">
        <is>
          <t>tr|A0A8C5QVX4|A0A8C5QVX4_9ANUR LINE-1 type transposase domain-containing 1 OS=Leptobrachium leishanense OX=445787 PE=4 SV=1</t>
        </is>
      </c>
      <c r="M958" t="n">
        <v>340</v>
      </c>
      <c r="N958" t="inlineStr">
        <is>
          <t>Leptobrachium leishanense</t>
        </is>
      </c>
      <c r="O958" t="inlineStr">
        <is>
          <t>LINE-1 type transposase domain-containing 1</t>
        </is>
      </c>
    </row>
    <row r="959">
      <c r="A959" t="inlineStr"/>
      <c r="B959" t="inlineStr"/>
      <c r="C959" t="inlineStr"/>
      <c r="D959" t="inlineStr"/>
      <c r="E959">
        <f>HYPERLINK("https://www.uniprot.org/uniprotkb/A0A803K9Z1/entry", "A0A803K9Z1")</f>
        <v/>
      </c>
      <c r="F959" t="n">
        <v>40.4</v>
      </c>
      <c r="G959" t="n">
        <v>114</v>
      </c>
      <c r="H959" t="n">
        <v>3.87e-21</v>
      </c>
      <c r="I959" t="inlineStr">
        <is>
          <t>TrEMBL</t>
        </is>
      </c>
      <c r="J959" t="inlineStr"/>
      <c r="K959" t="inlineStr">
        <is>
          <t>A0A803K9Z1_XENTR</t>
        </is>
      </c>
      <c r="L959" t="inlineStr">
        <is>
          <t>tr|A0A803K9Z1|A0A803K9Z1_XENTR Transposase_22 domain-containing protein OS=Xenopus tropicalis OX=8364 PE=4 SV=1</t>
        </is>
      </c>
      <c r="M959" t="n">
        <v>289</v>
      </c>
      <c r="N959" t="inlineStr">
        <is>
          <t>Xenopus tropicalis</t>
        </is>
      </c>
      <c r="O959" t="inlineStr">
        <is>
          <t>Transposase_22 domain-containing protein</t>
        </is>
      </c>
    </row>
    <row r="960">
      <c r="A960" t="inlineStr"/>
      <c r="B960" t="inlineStr"/>
      <c r="C960" t="inlineStr"/>
      <c r="D960" t="inlineStr"/>
      <c r="E960">
        <f>HYPERLINK("https://www.uniprot.org/uniprotkb/A0A8C5PC04/entry", "A0A8C5PC04")</f>
        <v/>
      </c>
      <c r="F960" t="n">
        <v>33.8</v>
      </c>
      <c r="G960" t="n">
        <v>157</v>
      </c>
      <c r="H960" t="n">
        <v>5.600000000000001e-21</v>
      </c>
      <c r="I960" t="inlineStr">
        <is>
          <t>TrEMBL</t>
        </is>
      </c>
      <c r="J960" t="inlineStr"/>
      <c r="K960" t="inlineStr">
        <is>
          <t>A0A8C5PC04_9ANUR</t>
        </is>
      </c>
      <c r="L960" t="inlineStr">
        <is>
          <t>tr|A0A8C5PC04|A0A8C5PC04_9ANUR Transposase OS=Leptobrachium leishanense OX=445787 PE=4 SV=1</t>
        </is>
      </c>
      <c r="M960" t="n">
        <v>435</v>
      </c>
      <c r="N960" t="inlineStr">
        <is>
          <t>Leptobrachium leishanense</t>
        </is>
      </c>
      <c r="O960" t="inlineStr">
        <is>
          <t>Transposase</t>
        </is>
      </c>
    </row>
    <row r="961">
      <c r="A961" t="inlineStr"/>
      <c r="B961" t="inlineStr"/>
      <c r="C961" t="inlineStr"/>
      <c r="D961" t="inlineStr"/>
      <c r="E961">
        <f>HYPERLINK("https://www.uniprot.org/uniprotkb/A0A8C5MZL1/entry", "A0A8C5MZL1")</f>
        <v/>
      </c>
      <c r="F961" t="n">
        <v>41.2</v>
      </c>
      <c r="G961" t="n">
        <v>119</v>
      </c>
      <c r="H961" t="n">
        <v>5.91e-21</v>
      </c>
      <c r="I961" t="inlineStr">
        <is>
          <t>TrEMBL</t>
        </is>
      </c>
      <c r="J961" t="inlineStr"/>
      <c r="K961" t="inlineStr">
        <is>
          <t>A0A8C5MZL1_9ANUR</t>
        </is>
      </c>
      <c r="L961" t="inlineStr">
        <is>
          <t>tr|A0A8C5MZL1|A0A8C5MZL1_9ANUR LINE-1 type transposase domain-containing protein 1 OS=Leptobrachium leishanense OX=445787 PE=4 SV=1</t>
        </is>
      </c>
      <c r="M961" t="n">
        <v>368</v>
      </c>
      <c r="N961" t="inlineStr">
        <is>
          <t>Leptobrachium leishanense</t>
        </is>
      </c>
      <c r="O961" t="inlineStr">
        <is>
          <t>LINE-1 type transposase domain-containing protein 1</t>
        </is>
      </c>
    </row>
    <row r="962">
      <c r="A962" t="inlineStr"/>
      <c r="B962" t="inlineStr"/>
      <c r="C962" t="inlineStr"/>
      <c r="D962" t="inlineStr"/>
      <c r="E962">
        <f>HYPERLINK("https://www.uniprot.org/uniprotkb/A0A8C5MGC8/entry", "A0A8C5MGC8")</f>
        <v/>
      </c>
      <c r="F962" t="n">
        <v>41.2</v>
      </c>
      <c r="G962" t="n">
        <v>119</v>
      </c>
      <c r="H962" t="n">
        <v>6.290000000000001e-21</v>
      </c>
      <c r="I962" t="inlineStr">
        <is>
          <t>TrEMBL</t>
        </is>
      </c>
      <c r="J962" t="inlineStr"/>
      <c r="K962" t="inlineStr">
        <is>
          <t>A0A8C5MGC8_9ANUR</t>
        </is>
      </c>
      <c r="L962" t="inlineStr">
        <is>
          <t>tr|A0A8C5MGC8|A0A8C5MGC8_9ANUR Transposase OS=Leptobrachium leishanense OX=445787 PE=4 SV=1</t>
        </is>
      </c>
      <c r="M962" t="n">
        <v>278</v>
      </c>
      <c r="N962" t="inlineStr">
        <is>
          <t>Leptobrachium leishanense</t>
        </is>
      </c>
      <c r="O962" t="inlineStr">
        <is>
          <t>Transposase</t>
        </is>
      </c>
    </row>
    <row r="963">
      <c r="A963" t="inlineStr"/>
      <c r="B963" t="inlineStr"/>
      <c r="C963" t="inlineStr"/>
      <c r="D963" t="inlineStr"/>
      <c r="E963">
        <f>HYPERLINK("https://www.uniprot.org/uniprotkb/A0A8C5MRW7/entry", "A0A8C5MRW7")</f>
        <v/>
      </c>
      <c r="F963" t="n">
        <v>39.7</v>
      </c>
      <c r="G963" t="n">
        <v>126</v>
      </c>
      <c r="H963" t="n">
        <v>7.42e-21</v>
      </c>
      <c r="I963" t="inlineStr">
        <is>
          <t>TrEMBL</t>
        </is>
      </c>
      <c r="J963" t="inlineStr"/>
      <c r="K963" t="inlineStr">
        <is>
          <t>A0A8C5MRW7_9ANUR</t>
        </is>
      </c>
      <c r="L963" t="inlineStr">
        <is>
          <t>tr|A0A8C5MRW7|A0A8C5MRW7_9ANUR LINE-1 retrotransposable element ORF1 protein OS=Leptobrachium leishanense OX=445787 PE=4 SV=1</t>
        </is>
      </c>
      <c r="M963" t="n">
        <v>309</v>
      </c>
      <c r="N963" t="inlineStr">
        <is>
          <t>Leptobrachium leishanense</t>
        </is>
      </c>
      <c r="O963" t="inlineStr">
        <is>
          <t>LINE-1 retrotransposable element ORF1 protein</t>
        </is>
      </c>
    </row>
    <row r="964">
      <c r="A964" t="inlineStr"/>
      <c r="B964" t="inlineStr"/>
      <c r="C964" t="inlineStr"/>
      <c r="D964" t="inlineStr"/>
      <c r="E964">
        <f>HYPERLINK("https://www.ncbi.nlm.nih.gov/gene/?term=CAH2329469.1", "CAH2329469.1")</f>
        <v/>
      </c>
      <c r="F964" t="n">
        <v>38.8</v>
      </c>
      <c r="G964" t="n">
        <v>116</v>
      </c>
      <c r="H964" t="n">
        <v>2.28e-20</v>
      </c>
      <c r="I964" t="inlineStr">
        <is>
          <t>Nr</t>
        </is>
      </c>
      <c r="J964" t="inlineStr"/>
      <c r="K964" t="inlineStr"/>
      <c r="L964" t="inlineStr">
        <is>
          <t>CAH2329469.1 Hypothetical predicted protein [Pelobates cultripes]</t>
        </is>
      </c>
      <c r="M964" t="n">
        <v>299</v>
      </c>
      <c r="N964" t="inlineStr">
        <is>
          <t>Pelobates cultripes</t>
        </is>
      </c>
      <c r="O964" t="inlineStr">
        <is>
          <t>Hypothetical predicted protein</t>
        </is>
      </c>
    </row>
    <row r="965">
      <c r="A965" t="inlineStr"/>
      <c r="B965" t="inlineStr"/>
      <c r="C965" t="inlineStr"/>
      <c r="D965" t="inlineStr"/>
      <c r="E965">
        <f>HYPERLINK("https://www.ncbi.nlm.nih.gov/gene/?term=XP_044146854.1", "XP_044146854.1")</f>
        <v/>
      </c>
      <c r="F965" t="n">
        <v>42.5</v>
      </c>
      <c r="G965" t="n">
        <v>120</v>
      </c>
      <c r="H965" t="n">
        <v>5.32e-20</v>
      </c>
      <c r="I965" t="inlineStr">
        <is>
          <t>Nr</t>
        </is>
      </c>
      <c r="J965" t="inlineStr"/>
      <c r="K965" t="inlineStr"/>
      <c r="L965" t="inlineStr">
        <is>
          <t>XP_044146854.1 uncharacterized protein LOC122935155 [Bufo gargarizans]</t>
        </is>
      </c>
      <c r="M965" t="n">
        <v>1479</v>
      </c>
      <c r="N965" t="inlineStr">
        <is>
          <t>Bufo gargarizans</t>
        </is>
      </c>
      <c r="O965" t="inlineStr">
        <is>
          <t>uncharacterized protein LOC122935155</t>
        </is>
      </c>
    </row>
    <row r="966">
      <c r="A966" t="inlineStr"/>
      <c r="B966" t="inlineStr"/>
      <c r="C966" t="inlineStr"/>
      <c r="D966" t="inlineStr"/>
      <c r="E966">
        <f>HYPERLINK("https://www.ncbi.nlm.nih.gov/gene/?term=XP_031762377.1", "XP_031762377.1")</f>
        <v/>
      </c>
      <c r="F966" t="n">
        <v>38</v>
      </c>
      <c r="G966" t="n">
        <v>121</v>
      </c>
      <c r="H966" t="n">
        <v>7.02e-20</v>
      </c>
      <c r="I966" t="inlineStr">
        <is>
          <t>Nr</t>
        </is>
      </c>
      <c r="J966" t="inlineStr"/>
      <c r="K966" t="inlineStr"/>
      <c r="L966" t="inlineStr">
        <is>
          <t>XP_031762377.1 LOW QUALITY PROTEIN: nephrocystin-4 [Xenopus tropicalis]</t>
        </is>
      </c>
      <c r="M966" t="n">
        <v>1030</v>
      </c>
      <c r="N966" t="inlineStr">
        <is>
          <t>Xenopus tropicalis</t>
        </is>
      </c>
      <c r="O966" t="inlineStr">
        <is>
          <t>LOW QUALITY PROTEIN: nephrocystin-4</t>
        </is>
      </c>
    </row>
    <row r="967">
      <c r="A967" t="inlineStr"/>
      <c r="B967" t="inlineStr"/>
      <c r="C967" t="inlineStr"/>
      <c r="D967" t="inlineStr"/>
      <c r="E967">
        <f>HYPERLINK("https://www.ncbi.nlm.nih.gov/gene/?term=KAE8589170.1", "KAE8589170.1")</f>
        <v/>
      </c>
      <c r="F967" t="n">
        <v>40.7</v>
      </c>
      <c r="G967" t="n">
        <v>108</v>
      </c>
      <c r="H967" t="n">
        <v>7.959999999999999e-20</v>
      </c>
      <c r="I967" t="inlineStr">
        <is>
          <t>Nr</t>
        </is>
      </c>
      <c r="J967" t="inlineStr"/>
      <c r="K967" t="inlineStr"/>
      <c r="L967" t="inlineStr">
        <is>
          <t>KAE8589170.1 hypothetical protein XENTR_v10022906 [Xenopus tropicalis]</t>
        </is>
      </c>
      <c r="M967" t="n">
        <v>273</v>
      </c>
      <c r="N967" t="inlineStr">
        <is>
          <t>Xenopus tropicalis</t>
        </is>
      </c>
      <c r="O967" t="inlineStr">
        <is>
          <t>hypothetical protein XENTR_v10022906</t>
        </is>
      </c>
    </row>
    <row r="968">
      <c r="A968" t="inlineStr"/>
      <c r="B968" t="inlineStr"/>
      <c r="C968" t="inlineStr"/>
      <c r="D968" t="inlineStr"/>
      <c r="E968">
        <f>HYPERLINK("https://www.ncbi.nlm.nih.gov/gene/?term=XP_041441901.1", "XP_041441901.1")</f>
        <v/>
      </c>
      <c r="F968" t="n">
        <v>40.8</v>
      </c>
      <c r="G968" t="n">
        <v>120</v>
      </c>
      <c r="H968" t="n">
        <v>1.08e-19</v>
      </c>
      <c r="I968" t="inlineStr">
        <is>
          <t>Nr</t>
        </is>
      </c>
      <c r="J968" t="inlineStr"/>
      <c r="K968" t="inlineStr"/>
      <c r="L968" t="inlineStr">
        <is>
          <t>XP_041441901.1 golgin subfamily A member 6-like protein 22 isoform X1 [Xenopus laevis]</t>
        </is>
      </c>
      <c r="M968" t="n">
        <v>368</v>
      </c>
      <c r="N968" t="inlineStr">
        <is>
          <t>Xenopus laevis</t>
        </is>
      </c>
      <c r="O968" t="inlineStr">
        <is>
          <t>golgin subfamily A member 6-like protein 22 isoform X1</t>
        </is>
      </c>
    </row>
    <row r="969">
      <c r="A969" t="inlineStr"/>
      <c r="B969" t="inlineStr"/>
      <c r="C969" t="inlineStr"/>
      <c r="D969" t="inlineStr"/>
      <c r="E969">
        <f>HYPERLINK("https://www.ncbi.nlm.nih.gov/gene/?term=KAG8451976.1", "KAG8451976.1")</f>
        <v/>
      </c>
      <c r="F969" t="n">
        <v>40.3</v>
      </c>
      <c r="G969" t="n">
        <v>124</v>
      </c>
      <c r="H969" t="n">
        <v>9.05e-19</v>
      </c>
      <c r="I969" t="inlineStr">
        <is>
          <t>Nr</t>
        </is>
      </c>
      <c r="J969" t="inlineStr"/>
      <c r="K969" t="inlineStr"/>
      <c r="L969" t="inlineStr">
        <is>
          <t>KAG8451976.1 hypothetical protein GDO86_003963 [Hymenochirus boettgeri]</t>
        </is>
      </c>
      <c r="M969" t="n">
        <v>431</v>
      </c>
      <c r="N969" t="inlineStr">
        <is>
          <t>Hymenochirus boettgeri</t>
        </is>
      </c>
      <c r="O969" t="inlineStr">
        <is>
          <t>hypothetical protein GDO86_003963</t>
        </is>
      </c>
    </row>
    <row r="970">
      <c r="A970" t="inlineStr"/>
      <c r="B970" t="inlineStr"/>
      <c r="C970" t="inlineStr"/>
      <c r="D970" t="inlineStr"/>
      <c r="E970">
        <f>HYPERLINK("https://www.ncbi.nlm.nih.gov/gene/?term=PIO30791.1", "PIO30791.1")</f>
        <v/>
      </c>
      <c r="F970" t="n">
        <v>38.5</v>
      </c>
      <c r="G970" t="n">
        <v>135</v>
      </c>
      <c r="H970" t="n">
        <v>2.73e-18</v>
      </c>
      <c r="I970" t="inlineStr">
        <is>
          <t>Nr</t>
        </is>
      </c>
      <c r="J970" t="inlineStr"/>
      <c r="K970" t="inlineStr"/>
      <c r="L970" t="inlineStr">
        <is>
          <t>PIO30791.1 hypothetical protein AB205_0124000 [Lithobates catesbeianus]</t>
        </is>
      </c>
      <c r="M970" t="n">
        <v>227</v>
      </c>
      <c r="N970" t="inlineStr">
        <is>
          <t>Lithobates catesbeianus</t>
        </is>
      </c>
      <c r="O970" t="inlineStr">
        <is>
          <t>hypothetical protein AB205_0124000</t>
        </is>
      </c>
    </row>
    <row r="971">
      <c r="A971" t="inlineStr"/>
      <c r="B971" t="inlineStr"/>
      <c r="C971" t="inlineStr"/>
      <c r="D971" t="inlineStr"/>
      <c r="E971">
        <f>HYPERLINK("https://www.ncbi.nlm.nih.gov/gene/?term=VEL16763.1", "VEL16763.1")</f>
        <v/>
      </c>
      <c r="F971" t="n">
        <v>36.6</v>
      </c>
      <c r="G971" t="n">
        <v>123</v>
      </c>
      <c r="H971" t="n">
        <v>4.75e-18</v>
      </c>
      <c r="I971" t="inlineStr">
        <is>
          <t>Nr</t>
        </is>
      </c>
      <c r="J971" t="inlineStr"/>
      <c r="K971" t="inlineStr"/>
      <c r="L971" t="inlineStr">
        <is>
          <t>VEL16763.1 unnamed protein product [Protopolystoma xenopodis]</t>
        </is>
      </c>
      <c r="M971" t="n">
        <v>391</v>
      </c>
      <c r="N971" t="inlineStr">
        <is>
          <t>Protopolystoma xenopodis</t>
        </is>
      </c>
      <c r="O971" t="inlineStr">
        <is>
          <t>unnamed protein product</t>
        </is>
      </c>
    </row>
    <row r="972">
      <c r="A972" t="inlineStr"/>
      <c r="B972" t="inlineStr"/>
      <c r="C972" t="inlineStr"/>
      <c r="D972" t="inlineStr"/>
      <c r="E972">
        <f>HYPERLINK("https://www.ncbi.nlm.nih.gov/gene/?term=XP_040194428.1", "XP_040194428.1")</f>
        <v/>
      </c>
      <c r="F972" t="n">
        <v>37.9</v>
      </c>
      <c r="G972" t="n">
        <v>124</v>
      </c>
      <c r="H972" t="n">
        <v>3.09e-17</v>
      </c>
      <c r="I972" t="inlineStr">
        <is>
          <t>Nr</t>
        </is>
      </c>
      <c r="J972" t="inlineStr"/>
      <c r="K972" t="inlineStr"/>
      <c r="L972" t="inlineStr">
        <is>
          <t>XP_040194428.1 uncharacterized protein LOC120927670 [Rana temporaria]</t>
        </is>
      </c>
      <c r="M972" t="n">
        <v>346</v>
      </c>
      <c r="N972" t="inlineStr">
        <is>
          <t>Rana temporaria</t>
        </is>
      </c>
      <c r="O972" t="inlineStr">
        <is>
          <t>uncharacterized protein LOC120927670</t>
        </is>
      </c>
    </row>
    <row r="973">
      <c r="A973" t="inlineStr"/>
      <c r="B973" t="inlineStr"/>
      <c r="C973" t="inlineStr"/>
      <c r="D973" t="inlineStr"/>
      <c r="E973">
        <f>HYPERLINK("https://www.ncbi.nlm.nih.gov/gene/?term=XP_040275957.1", "XP_040275957.1")</f>
        <v/>
      </c>
      <c r="F973" t="n">
        <v>37.8</v>
      </c>
      <c r="G973" t="n">
        <v>119</v>
      </c>
      <c r="H973" t="n">
        <v>3.88e-17</v>
      </c>
      <c r="I973" t="inlineStr">
        <is>
          <t>Nr</t>
        </is>
      </c>
      <c r="J973" t="inlineStr"/>
      <c r="K973" t="inlineStr"/>
      <c r="L973" t="inlineStr">
        <is>
          <t>XP_040275957.1 uncharacterized protein LOC120991127 [Bufo bufo]</t>
        </is>
      </c>
      <c r="M973" t="n">
        <v>418</v>
      </c>
      <c r="N973" t="inlineStr">
        <is>
          <t>Bufo bufo</t>
        </is>
      </c>
      <c r="O973" t="inlineStr">
        <is>
          <t>uncharacterized protein LOC120991127</t>
        </is>
      </c>
    </row>
    <row r="974">
      <c r="A974" t="inlineStr"/>
      <c r="B974" t="inlineStr"/>
      <c r="C974" t="inlineStr"/>
      <c r="D974" t="inlineStr"/>
      <c r="E974">
        <f>HYPERLINK("https://www.ncbi.nlm.nih.gov/gene/?term=XP_044146862.1", "XP_044146862.1")</f>
        <v/>
      </c>
      <c r="F974" t="n">
        <v>39.6</v>
      </c>
      <c r="G974" t="n">
        <v>101</v>
      </c>
      <c r="H974" t="n">
        <v>6.18e-17</v>
      </c>
      <c r="I974" t="inlineStr">
        <is>
          <t>Nr</t>
        </is>
      </c>
      <c r="J974" t="inlineStr"/>
      <c r="K974" t="inlineStr"/>
      <c r="L974" t="inlineStr">
        <is>
          <t>XP_044146862.1 vomeronasal type-2 receptor 1-like [Bufo gargarizans]</t>
        </is>
      </c>
      <c r="M974" t="n">
        <v>886</v>
      </c>
      <c r="N974" t="inlineStr">
        <is>
          <t>Bufo gargarizans</t>
        </is>
      </c>
      <c r="O974" t="inlineStr">
        <is>
          <t>vomeronasal type-2 receptor 1-like</t>
        </is>
      </c>
    </row>
    <row r="975">
      <c r="A975" t="inlineStr"/>
      <c r="B975" t="inlineStr"/>
      <c r="C975" t="inlineStr"/>
      <c r="D975" t="inlineStr"/>
      <c r="E975">
        <f>HYPERLINK("https://www.ncbi.nlm.nih.gov/gene/?term=OCT92681.1", "OCT92681.1")</f>
        <v/>
      </c>
      <c r="F975" t="n">
        <v>39.7</v>
      </c>
      <c r="G975" t="n">
        <v>116</v>
      </c>
      <c r="H975" t="n">
        <v>1.07e-16</v>
      </c>
      <c r="I975" t="inlineStr">
        <is>
          <t>Nr</t>
        </is>
      </c>
      <c r="J975" t="inlineStr"/>
      <c r="K975" t="inlineStr"/>
      <c r="L975" t="inlineStr">
        <is>
          <t>OCT92681.1 hypothetical protein XELAEV_18015743mg [Xenopus laevis]</t>
        </is>
      </c>
      <c r="M975" t="n">
        <v>340</v>
      </c>
      <c r="N975" t="inlineStr">
        <is>
          <t>Xenopus laevis</t>
        </is>
      </c>
      <c r="O975" t="inlineStr">
        <is>
          <t>hypothetical protein XELAEV_18015743mg</t>
        </is>
      </c>
    </row>
    <row r="976">
      <c r="A976" t="inlineStr"/>
      <c r="B976" t="inlineStr"/>
      <c r="C976" t="inlineStr"/>
      <c r="D976" t="inlineStr"/>
      <c r="E976">
        <f>HYPERLINK("https://www.ncbi.nlm.nih.gov/gene/?term=XP_040272583.1", "XP_040272583.1")</f>
        <v/>
      </c>
      <c r="F976" t="n">
        <v>35.6</v>
      </c>
      <c r="G976" t="n">
        <v>132</v>
      </c>
      <c r="H976" t="n">
        <v>1.17e-16</v>
      </c>
      <c r="I976" t="inlineStr">
        <is>
          <t>Nr</t>
        </is>
      </c>
      <c r="J976" t="inlineStr"/>
      <c r="K976" t="inlineStr"/>
      <c r="L976" t="inlineStr">
        <is>
          <t>XP_040272583.1 uncharacterized protein LOC120988885 [Bufo bufo]</t>
        </is>
      </c>
      <c r="M976" t="n">
        <v>229</v>
      </c>
      <c r="N976" t="inlineStr">
        <is>
          <t>Bufo bufo</t>
        </is>
      </c>
      <c r="O976" t="inlineStr">
        <is>
          <t>uncharacterized protein LOC120988885</t>
        </is>
      </c>
    </row>
    <row r="977">
      <c r="A977" t="inlineStr"/>
      <c r="B977" t="inlineStr"/>
      <c r="C977" t="inlineStr"/>
      <c r="D977" t="inlineStr"/>
      <c r="E977">
        <f>HYPERLINK("https://www.ncbi.nlm.nih.gov/gene/?term=OCU01584.1", "OCU01584.1")</f>
        <v/>
      </c>
      <c r="F977" t="n">
        <v>35.2</v>
      </c>
      <c r="G977" t="n">
        <v>108</v>
      </c>
      <c r="H977" t="n">
        <v>2.16e-16</v>
      </c>
      <c r="I977" t="inlineStr">
        <is>
          <t>Nr</t>
        </is>
      </c>
      <c r="J977" t="inlineStr"/>
      <c r="K977" t="inlineStr"/>
      <c r="L977" t="inlineStr">
        <is>
          <t>OCU01584.1 hypothetical protein XELAEV_18007375mg [Xenopus laevis]</t>
        </is>
      </c>
      <c r="M977" t="n">
        <v>288</v>
      </c>
      <c r="N977" t="inlineStr">
        <is>
          <t>Xenopus laevis</t>
        </is>
      </c>
      <c r="O977" t="inlineStr">
        <is>
          <t>hypothetical protein XELAEV_18007375mg</t>
        </is>
      </c>
    </row>
    <row r="978">
      <c r="A978" t="inlineStr"/>
      <c r="B978" t="inlineStr"/>
      <c r="C978" t="inlineStr"/>
      <c r="D978" t="inlineStr"/>
      <c r="E978">
        <f>HYPERLINK("https://www.ncbi.nlm.nih.gov/gene/?term=OCT60672.1", "OCT60672.1")</f>
        <v/>
      </c>
      <c r="F978" t="n">
        <v>38.5</v>
      </c>
      <c r="G978" t="n">
        <v>109</v>
      </c>
      <c r="H978" t="n">
        <v>2.89e-16</v>
      </c>
      <c r="I978" t="inlineStr">
        <is>
          <t>Nr</t>
        </is>
      </c>
      <c r="J978" t="inlineStr"/>
      <c r="K978" t="inlineStr"/>
      <c r="L978" t="inlineStr">
        <is>
          <t>OCT60672.1 hypothetical protein XELAEV_18046693mg [Xenopus laevis]</t>
        </is>
      </c>
      <c r="M978" t="n">
        <v>285</v>
      </c>
      <c r="N978" t="inlineStr">
        <is>
          <t>Xenopus laevis</t>
        </is>
      </c>
      <c r="O978" t="inlineStr">
        <is>
          <t>hypothetical protein XELAEV_18046693mg</t>
        </is>
      </c>
    </row>
    <row r="979">
      <c r="A979" t="inlineStr"/>
      <c r="B979" t="inlineStr"/>
      <c r="C979" t="inlineStr"/>
      <c r="D979" t="inlineStr"/>
      <c r="E979">
        <f>HYPERLINK("https://www.ncbi.nlm.nih.gov/gene/?term=OCT86463.1", "OCT86463.1")</f>
        <v/>
      </c>
      <c r="F979" t="n">
        <v>37</v>
      </c>
      <c r="G979" t="n">
        <v>108</v>
      </c>
      <c r="H979" t="n">
        <v>7.24e-16</v>
      </c>
      <c r="I979" t="inlineStr">
        <is>
          <t>Nr</t>
        </is>
      </c>
      <c r="J979" t="inlineStr"/>
      <c r="K979" t="inlineStr"/>
      <c r="L979" t="inlineStr">
        <is>
          <t>OCT86463.1 hypothetical protein XELAEV_18020146mg [Xenopus laevis]</t>
        </is>
      </c>
      <c r="M979" t="n">
        <v>822</v>
      </c>
      <c r="N979" t="inlineStr">
        <is>
          <t>Xenopus laevis</t>
        </is>
      </c>
      <c r="O979" t="inlineStr">
        <is>
          <t>hypothetical protein XELAEV_18020146mg</t>
        </is>
      </c>
    </row>
    <row r="980">
      <c r="A980" t="inlineStr"/>
      <c r="B980" t="inlineStr"/>
      <c r="C980" t="inlineStr"/>
      <c r="D980" t="inlineStr"/>
      <c r="E980">
        <f>HYPERLINK("https://www.ncbi.nlm.nih.gov/gene/?term=XP_040181316.1", "XP_040181316.1")</f>
        <v/>
      </c>
      <c r="F980" t="n">
        <v>34.4</v>
      </c>
      <c r="G980" t="n">
        <v>160</v>
      </c>
      <c r="H980" t="n">
        <v>9.58e-16</v>
      </c>
      <c r="I980" t="inlineStr">
        <is>
          <t>Nr</t>
        </is>
      </c>
      <c r="J980" t="inlineStr"/>
      <c r="K980" t="inlineStr"/>
      <c r="L980" t="inlineStr">
        <is>
          <t>XP_040181316.1 uncharacterized protein LOC120915124 [Rana temporaria]</t>
        </is>
      </c>
      <c r="M980" t="n">
        <v>301</v>
      </c>
      <c r="N980" t="inlineStr">
        <is>
          <t>Rana temporaria</t>
        </is>
      </c>
      <c r="O980" t="inlineStr">
        <is>
          <t>uncharacterized protein LOC120915124</t>
        </is>
      </c>
    </row>
    <row r="981">
      <c r="A981" t="inlineStr"/>
      <c r="B981" t="inlineStr"/>
      <c r="C981" t="inlineStr"/>
      <c r="D981" t="inlineStr"/>
      <c r="E981">
        <f>HYPERLINK("https://www.ncbi.nlm.nih.gov/gene/?term=CAH2329919.1", "CAH2329919.1")</f>
        <v/>
      </c>
      <c r="F981" t="n">
        <v>37.9</v>
      </c>
      <c r="G981" t="n">
        <v>116</v>
      </c>
      <c r="H981" t="n">
        <v>1.34e-15</v>
      </c>
      <c r="I981" t="inlineStr">
        <is>
          <t>Nr</t>
        </is>
      </c>
      <c r="J981" t="inlineStr"/>
      <c r="K981" t="inlineStr"/>
      <c r="L981" t="inlineStr">
        <is>
          <t>CAH2329919.1 Hypothetical predicted protein [Pelobates cultripes]</t>
        </is>
      </c>
      <c r="M981" t="n">
        <v>332</v>
      </c>
      <c r="N981" t="inlineStr">
        <is>
          <t>Pelobates cultripes</t>
        </is>
      </c>
      <c r="O981" t="inlineStr">
        <is>
          <t>Hypothetical predicted protein</t>
        </is>
      </c>
    </row>
    <row r="982">
      <c r="A982" t="inlineStr"/>
      <c r="B982" t="inlineStr"/>
      <c r="C982" t="inlineStr"/>
      <c r="D982" t="inlineStr"/>
      <c r="E982">
        <f>HYPERLINK("https://www.ncbi.nlm.nih.gov/gene/?term=XP_018409373.1", "XP_018409373.1")</f>
        <v/>
      </c>
      <c r="F982" t="n">
        <v>34.7</v>
      </c>
      <c r="G982" t="n">
        <v>124</v>
      </c>
      <c r="H982" t="n">
        <v>2.77e-15</v>
      </c>
      <c r="I982" t="inlineStr">
        <is>
          <t>Nr</t>
        </is>
      </c>
      <c r="J982" t="inlineStr"/>
      <c r="K982" t="inlineStr"/>
      <c r="L982" t="inlineStr">
        <is>
          <t>XP_018409373.1 PREDICTED: dynein heavy chain 3, axonemal-like [Nanorana parkeri]</t>
        </is>
      </c>
      <c r="M982" t="n">
        <v>4416</v>
      </c>
      <c r="N982" t="inlineStr">
        <is>
          <t>Nanorana parkeri</t>
        </is>
      </c>
      <c r="O982" t="inlineStr">
        <is>
          <t>PREDICTED: dynein heavy chain 3, axonemal-like</t>
        </is>
      </c>
    </row>
    <row r="983">
      <c r="A983" t="inlineStr"/>
      <c r="B983" t="inlineStr"/>
      <c r="C983" t="inlineStr"/>
      <c r="D983" t="inlineStr"/>
      <c r="E983">
        <f>HYPERLINK("https://www.ncbi.nlm.nih.gov/gene/?term=XP_040297463.1", "XP_040297463.1")</f>
        <v/>
      </c>
      <c r="F983" t="n">
        <v>34</v>
      </c>
      <c r="G983" t="n">
        <v>150</v>
      </c>
      <c r="H983" t="n">
        <v>3.74e-15</v>
      </c>
      <c r="I983" t="inlineStr">
        <is>
          <t>Nr</t>
        </is>
      </c>
      <c r="J983" t="inlineStr"/>
      <c r="K983" t="inlineStr"/>
      <c r="L983" t="inlineStr">
        <is>
          <t>XP_040297463.1 lactase-phlorizin hydrolase-like [Bufo bufo]</t>
        </is>
      </c>
      <c r="M983" t="n">
        <v>3165</v>
      </c>
      <c r="N983" t="inlineStr">
        <is>
          <t>Bufo bufo</t>
        </is>
      </c>
      <c r="O983" t="inlineStr">
        <is>
          <t>lactase-phlorizin hydrolase-like</t>
        </is>
      </c>
    </row>
    <row r="984">
      <c r="A984" t="inlineStr"/>
      <c r="B984" t="inlineStr"/>
      <c r="C984" t="inlineStr"/>
      <c r="D984" t="inlineStr"/>
      <c r="E984">
        <f>HYPERLINK("https://www.ncbi.nlm.nih.gov/gene/?term=OCT56133.1", "OCT56133.1")</f>
        <v/>
      </c>
      <c r="F984" t="n">
        <v>32.8</v>
      </c>
      <c r="G984" t="n">
        <v>116</v>
      </c>
      <c r="H984" t="n">
        <v>4.78e-15</v>
      </c>
      <c r="I984" t="inlineStr">
        <is>
          <t>Nr</t>
        </is>
      </c>
      <c r="J984" t="inlineStr"/>
      <c r="K984" t="inlineStr"/>
      <c r="L984" t="inlineStr">
        <is>
          <t>OCT56133.1 hypothetical protein XELAEV_18001884mg [Xenopus laevis]</t>
        </is>
      </c>
      <c r="M984" t="n">
        <v>211</v>
      </c>
      <c r="N984" t="inlineStr">
        <is>
          <t>Xenopus laevis</t>
        </is>
      </c>
      <c r="O984" t="inlineStr">
        <is>
          <t>hypothetical protein XELAEV_18001884mg</t>
        </is>
      </c>
    </row>
    <row r="985">
      <c r="A985" t="inlineStr"/>
      <c r="B985" t="inlineStr"/>
      <c r="C985" t="inlineStr"/>
      <c r="D985" t="inlineStr"/>
      <c r="E985">
        <f>HYPERLINK("https://www.ncbi.nlm.nih.gov/gene/?term=XP_029443595.1", "XP_029443595.1")</f>
        <v/>
      </c>
      <c r="F985" t="n">
        <v>39.8</v>
      </c>
      <c r="G985" t="n">
        <v>103</v>
      </c>
      <c r="H985" t="n">
        <v>5.84e-15</v>
      </c>
      <c r="I985" t="inlineStr">
        <is>
          <t>Nr</t>
        </is>
      </c>
      <c r="J985" t="inlineStr"/>
      <c r="K985" t="inlineStr"/>
      <c r="L985" t="inlineStr">
        <is>
          <t>XP_029443595.1 uncharacterized protein LOC115083739 [Rhinatrema bivittatum]</t>
        </is>
      </c>
      <c r="M985" t="n">
        <v>352</v>
      </c>
      <c r="N985" t="inlineStr">
        <is>
          <t>Rhinatrema bivittatum</t>
        </is>
      </c>
      <c r="O985" t="inlineStr">
        <is>
          <t>uncharacterized protein LOC115083739</t>
        </is>
      </c>
    </row>
    <row r="986">
      <c r="A986" t="inlineStr"/>
      <c r="B986" t="inlineStr"/>
      <c r="C986" t="inlineStr"/>
      <c r="D986" t="inlineStr"/>
      <c r="E986">
        <f>HYPERLINK("https://www.ncbi.nlm.nih.gov/gene/?term=KAG8580053.1", "KAG8580053.1")</f>
        <v/>
      </c>
      <c r="F986" t="n">
        <v>37.1</v>
      </c>
      <c r="G986" t="n">
        <v>116</v>
      </c>
      <c r="H986" t="n">
        <v>7.49e-15</v>
      </c>
      <c r="I986" t="inlineStr">
        <is>
          <t>Nr</t>
        </is>
      </c>
      <c r="J986" t="inlineStr"/>
      <c r="K986" t="inlineStr"/>
      <c r="L986" t="inlineStr">
        <is>
          <t>KAG8580053.1 hypothetical protein GDO81_007107 [Engystomops pustulosus]</t>
        </is>
      </c>
      <c r="M986" t="n">
        <v>494</v>
      </c>
      <c r="N986" t="inlineStr">
        <is>
          <t>Engystomops pustulosus</t>
        </is>
      </c>
      <c r="O986" t="inlineStr">
        <is>
          <t>hypothetical protein GDO81_007107</t>
        </is>
      </c>
    </row>
    <row r="987">
      <c r="A987" t="inlineStr"/>
      <c r="B987" t="inlineStr"/>
      <c r="C987" t="inlineStr"/>
      <c r="D987" t="inlineStr"/>
      <c r="E987">
        <f>HYPERLINK("https://www.uniprot.org/uniprotkb/P11260/entry", "P11260")</f>
        <v/>
      </c>
      <c r="F987" t="n">
        <v>31.4</v>
      </c>
      <c r="G987" t="n">
        <v>105</v>
      </c>
      <c r="H987" t="n">
        <v>2.46e-07</v>
      </c>
      <c r="I987" t="inlineStr">
        <is>
          <t>Swiss-Prot</t>
        </is>
      </c>
      <c r="J987" t="inlineStr">
        <is>
          <t>Lire1</t>
        </is>
      </c>
      <c r="K987" t="inlineStr">
        <is>
          <t>LORF1_MOUSE</t>
        </is>
      </c>
      <c r="L987" t="inlineStr">
        <is>
          <t>sp|P11260|LORF1_MOUSE LINE-1 retrotransposable element ORF1 protein OS=Mus musculus OX=10090 GN=Lire1 PE=1 SV=2</t>
        </is>
      </c>
      <c r="M987" t="n">
        <v>357</v>
      </c>
      <c r="N987" t="inlineStr">
        <is>
          <t>Mus musculus</t>
        </is>
      </c>
      <c r="O987" t="inlineStr">
        <is>
          <t>LINE-1 retrotransposable element ORF1 protein</t>
        </is>
      </c>
    </row>
    <row r="988">
      <c r="A988" t="inlineStr"/>
      <c r="B988" t="inlineStr"/>
      <c r="C988" t="inlineStr"/>
      <c r="D988" t="inlineStr"/>
      <c r="E988">
        <f>HYPERLINK("https://www.uniprot.org/uniprotkb/Q587J6/entry", "Q587J6")</f>
        <v/>
      </c>
      <c r="F988" t="n">
        <v>31.6</v>
      </c>
      <c r="G988" t="n">
        <v>98</v>
      </c>
      <c r="H988" t="n">
        <v>1.36e-06</v>
      </c>
      <c r="I988" t="inlineStr">
        <is>
          <t>Swiss-Prot</t>
        </is>
      </c>
      <c r="J988" t="inlineStr">
        <is>
          <t>L1td1</t>
        </is>
      </c>
      <c r="K988" t="inlineStr">
        <is>
          <t>LITD1_MOUSE</t>
        </is>
      </c>
      <c r="L988" t="inlineStr">
        <is>
          <t>sp|Q587J6|LITD1_MOUSE LINE-1 type transposase domain-containing protein 1 OS=Mus musculus OX=10090 GN=L1td1 PE=2 SV=1</t>
        </is>
      </c>
      <c r="M988" t="n">
        <v>782</v>
      </c>
      <c r="N988" t="inlineStr">
        <is>
          <t>Mus musculus</t>
        </is>
      </c>
      <c r="O988" t="inlineStr">
        <is>
          <t>LINE-1 type transposase domain-containing protein 1</t>
        </is>
      </c>
    </row>
    <row r="989">
      <c r="A989" t="inlineStr">
        <is>
          <t>NODE_119485_length_1389_cov_531.887292_g955_i39</t>
        </is>
      </c>
      <c r="B989" t="inlineStr">
        <is>
          <t>bombina_pachypus_blastx</t>
        </is>
      </c>
      <c r="C989" t="n">
        <v>6.60198720129654</v>
      </c>
      <c r="D989" t="n">
        <v>0.0056786312656797</v>
      </c>
      <c r="E989">
        <f>HYPERLINK("https://www.ncbi.nlm.nih.gov/gene/?term=KAG8589408.1", "KAG8589408.1")</f>
        <v/>
      </c>
      <c r="F989" t="n">
        <v>78.40000000000001</v>
      </c>
      <c r="G989" t="n">
        <v>139</v>
      </c>
      <c r="H989" t="n">
        <v>1.56e-61</v>
      </c>
      <c r="I989" t="inlineStr">
        <is>
          <t>Nr</t>
        </is>
      </c>
      <c r="J989" t="inlineStr"/>
      <c r="K989" t="inlineStr"/>
      <c r="L989" t="inlineStr">
        <is>
          <t>KAG8589408.1 hypothetical protein GDO81_006381 [Engystomops pustulosus]</t>
        </is>
      </c>
      <c r="M989" t="n">
        <v>334</v>
      </c>
      <c r="N989" t="inlineStr">
        <is>
          <t>Engystomops pustulosus</t>
        </is>
      </c>
      <c r="O989" t="inlineStr">
        <is>
          <t>hypothetical protein GDO81_006381</t>
        </is>
      </c>
    </row>
    <row r="990">
      <c r="A990" t="inlineStr"/>
      <c r="B990" t="inlineStr"/>
      <c r="C990" t="inlineStr"/>
      <c r="D990" t="inlineStr"/>
      <c r="E990">
        <f>HYPERLINK("https://www.ncbi.nlm.nih.gov/gene/?term=KAG8589405.1", "KAG8589405.1")</f>
        <v/>
      </c>
      <c r="F990" t="n">
        <v>78.40000000000001</v>
      </c>
      <c r="G990" t="n">
        <v>139</v>
      </c>
      <c r="H990" t="n">
        <v>4.43e-60</v>
      </c>
      <c r="I990" t="inlineStr">
        <is>
          <t>Nr</t>
        </is>
      </c>
      <c r="J990" t="inlineStr"/>
      <c r="K990" t="inlineStr"/>
      <c r="L990" t="inlineStr">
        <is>
          <t>KAG8589405.1 hypothetical protein GDO81_006381 [Engystomops pustulosus]</t>
        </is>
      </c>
      <c r="M990" t="n">
        <v>464</v>
      </c>
      <c r="N990" t="inlineStr">
        <is>
          <t>Engystomops pustulosus</t>
        </is>
      </c>
      <c r="O990" t="inlineStr">
        <is>
          <t>hypothetical protein GDO81_006381</t>
        </is>
      </c>
    </row>
    <row r="991">
      <c r="A991" t="inlineStr"/>
      <c r="B991" t="inlineStr"/>
      <c r="C991" t="inlineStr"/>
      <c r="D991" t="inlineStr"/>
      <c r="E991">
        <f>HYPERLINK("https://www.ncbi.nlm.nih.gov/gene/?term=XP_044144346.1", "XP_044144346.1")</f>
        <v/>
      </c>
      <c r="F991" t="n">
        <v>79.09999999999999</v>
      </c>
      <c r="G991" t="n">
        <v>134</v>
      </c>
      <c r="H991" t="n">
        <v>2.08e-57</v>
      </c>
      <c r="I991" t="inlineStr">
        <is>
          <t>Nr</t>
        </is>
      </c>
      <c r="J991" t="inlineStr"/>
      <c r="K991" t="inlineStr"/>
      <c r="L991" t="inlineStr">
        <is>
          <t>XP_044144346.1 protein Mdm4 [Bufo gargarizans]</t>
        </is>
      </c>
      <c r="M991" t="n">
        <v>464</v>
      </c>
      <c r="N991" t="inlineStr">
        <is>
          <t>Bufo gargarizans</t>
        </is>
      </c>
      <c r="O991" t="inlineStr">
        <is>
          <t>protein Mdm4</t>
        </is>
      </c>
    </row>
    <row r="992">
      <c r="A992" t="inlineStr"/>
      <c r="B992" t="inlineStr"/>
      <c r="C992" t="inlineStr"/>
      <c r="D992" t="inlineStr"/>
      <c r="E992">
        <f>HYPERLINK("https://www.uniprot.org/uniprotkb/A0A8J6FF63/entry", "A0A8J6FF63")</f>
        <v/>
      </c>
      <c r="F992" t="n">
        <v>76.09999999999999</v>
      </c>
      <c r="G992" t="n">
        <v>134</v>
      </c>
      <c r="H992" t="n">
        <v>3.74e-57</v>
      </c>
      <c r="I992" t="inlineStr">
        <is>
          <t>TrEMBL</t>
        </is>
      </c>
      <c r="J992" t="inlineStr">
        <is>
          <t>GDO78_008526</t>
        </is>
      </c>
      <c r="K992" t="inlineStr">
        <is>
          <t>A0A8J6FF63_ELECQ</t>
        </is>
      </c>
      <c r="L992" t="inlineStr">
        <is>
          <t>tr|A0A8J6FF63|A0A8J6FF63_ELECQ Protein Mdm4 OS=Eleutherodactylus coqui OX=57060 GN=GDO78_008526 PE=3 SV=1</t>
        </is>
      </c>
      <c r="M992" t="n">
        <v>385</v>
      </c>
      <c r="N992" t="inlineStr">
        <is>
          <t>Eleutherodactylus coqui</t>
        </is>
      </c>
      <c r="O992" t="inlineStr">
        <is>
          <t>Protein Mdm4</t>
        </is>
      </c>
    </row>
    <row r="993">
      <c r="A993" t="inlineStr"/>
      <c r="B993" t="inlineStr"/>
      <c r="C993" t="inlineStr"/>
      <c r="D993" t="inlineStr"/>
      <c r="E993">
        <f>HYPERLINK("https://www.ncbi.nlm.nih.gov/gene/?term=KAG9485489.1", "KAG9485489.1")</f>
        <v/>
      </c>
      <c r="F993" t="n">
        <v>76.09999999999999</v>
      </c>
      <c r="G993" t="n">
        <v>134</v>
      </c>
      <c r="H993" t="n">
        <v>9.6e-57</v>
      </c>
      <c r="I993" t="inlineStr">
        <is>
          <t>Nr</t>
        </is>
      </c>
      <c r="J993" t="inlineStr"/>
      <c r="K993" t="inlineStr"/>
      <c r="L993" t="inlineStr">
        <is>
          <t>KAG9485489.1 hypothetical protein GDO78_008526 [Eleutherodactylus coqui]</t>
        </is>
      </c>
      <c r="M993" t="n">
        <v>385</v>
      </c>
      <c r="N993" t="inlineStr">
        <is>
          <t>Eleutherodactylus coqui</t>
        </is>
      </c>
      <c r="O993" t="inlineStr">
        <is>
          <t>hypothetical protein GDO78_008526</t>
        </is>
      </c>
    </row>
    <row r="994">
      <c r="A994" t="inlineStr"/>
      <c r="B994" t="inlineStr"/>
      <c r="C994" t="inlineStr"/>
      <c r="D994" t="inlineStr"/>
      <c r="E994">
        <f>HYPERLINK("https://www.ncbi.nlm.nih.gov/gene/?term=XP_040279924.1", "XP_040279924.1")</f>
        <v/>
      </c>
      <c r="F994" t="n">
        <v>77.59999999999999</v>
      </c>
      <c r="G994" t="n">
        <v>134</v>
      </c>
      <c r="H994" t="n">
        <v>4.48e-56</v>
      </c>
      <c r="I994" t="inlineStr">
        <is>
          <t>Nr</t>
        </is>
      </c>
      <c r="J994" t="inlineStr"/>
      <c r="K994" t="inlineStr"/>
      <c r="L994" t="inlineStr">
        <is>
          <t>XP_040279924.1 protein Mdm4 [Bufo bufo]</t>
        </is>
      </c>
      <c r="M994" t="n">
        <v>464</v>
      </c>
      <c r="N994" t="inlineStr">
        <is>
          <t>Bufo bufo</t>
        </is>
      </c>
      <c r="O994" t="inlineStr">
        <is>
          <t>protein Mdm4</t>
        </is>
      </c>
    </row>
    <row r="995">
      <c r="A995" t="inlineStr"/>
      <c r="B995" t="inlineStr"/>
      <c r="C995" t="inlineStr"/>
      <c r="D995" t="inlineStr"/>
      <c r="E995">
        <f>HYPERLINK("https://www.ncbi.nlm.nih.gov/gene/?term=KAG8589406.1", "KAG8589406.1")</f>
        <v/>
      </c>
      <c r="F995" t="n">
        <v>77.09999999999999</v>
      </c>
      <c r="G995" t="n">
        <v>131</v>
      </c>
      <c r="H995" t="n">
        <v>8.67e-56</v>
      </c>
      <c r="I995" t="inlineStr">
        <is>
          <t>Nr</t>
        </is>
      </c>
      <c r="J995" t="inlineStr"/>
      <c r="K995" t="inlineStr"/>
      <c r="L995" t="inlineStr">
        <is>
          <t>KAG8589406.1 hypothetical protein GDO81_006381 [Engystomops pustulosus]</t>
        </is>
      </c>
      <c r="M995" t="n">
        <v>463</v>
      </c>
      <c r="N995" t="inlineStr">
        <is>
          <t>Engystomops pustulosus</t>
        </is>
      </c>
      <c r="O995" t="inlineStr">
        <is>
          <t>hypothetical protein GDO81_006381</t>
        </is>
      </c>
    </row>
    <row r="996">
      <c r="A996" t="inlineStr"/>
      <c r="B996" t="inlineStr"/>
      <c r="C996" t="inlineStr"/>
      <c r="D996" t="inlineStr"/>
      <c r="E996">
        <f>HYPERLINK("https://www.ncbi.nlm.nih.gov/gene/?term=XP_040193525.1", "XP_040193525.1")</f>
        <v/>
      </c>
      <c r="F996" t="n">
        <v>77</v>
      </c>
      <c r="G996" t="n">
        <v>135</v>
      </c>
      <c r="H996" t="n">
        <v>1.59e-55</v>
      </c>
      <c r="I996" t="inlineStr">
        <is>
          <t>Nr</t>
        </is>
      </c>
      <c r="J996" t="inlineStr"/>
      <c r="K996" t="inlineStr"/>
      <c r="L996" t="inlineStr">
        <is>
          <t>XP_040193525.1 protein Mdm4 [Rana temporaria]</t>
        </is>
      </c>
      <c r="M996" t="n">
        <v>475</v>
      </c>
      <c r="N996" t="inlineStr">
        <is>
          <t>Rana temporaria</t>
        </is>
      </c>
      <c r="O996" t="inlineStr">
        <is>
          <t>protein Mdm4</t>
        </is>
      </c>
    </row>
    <row r="997">
      <c r="A997" t="inlineStr"/>
      <c r="B997" t="inlineStr"/>
      <c r="C997" t="inlineStr"/>
      <c r="D997" t="inlineStr"/>
      <c r="E997">
        <f>HYPERLINK("https://www.ncbi.nlm.nih.gov/gene/?term=XP_053310335.1", "XP_053310335.1")</f>
        <v/>
      </c>
      <c r="F997" t="n">
        <v>73.3</v>
      </c>
      <c r="G997" t="n">
        <v>135</v>
      </c>
      <c r="H997" t="n">
        <v>6.55e-54</v>
      </c>
      <c r="I997" t="inlineStr">
        <is>
          <t>Nr</t>
        </is>
      </c>
      <c r="J997" t="inlineStr"/>
      <c r="K997" t="inlineStr"/>
      <c r="L997" t="inlineStr">
        <is>
          <t>XP_053310335.1 protein Mdm4 [Spea bombifrons]</t>
        </is>
      </c>
      <c r="M997" t="n">
        <v>474</v>
      </c>
      <c r="N997" t="inlineStr">
        <is>
          <t>Spea bombifrons</t>
        </is>
      </c>
      <c r="O997" t="inlineStr">
        <is>
          <t>protein Mdm4</t>
        </is>
      </c>
    </row>
    <row r="998">
      <c r="A998" t="inlineStr"/>
      <c r="B998" t="inlineStr"/>
      <c r="C998" t="inlineStr"/>
      <c r="D998" t="inlineStr"/>
      <c r="E998">
        <f>HYPERLINK("https://www.ncbi.nlm.nih.gov/gene/?term=XP_018423319.1", "XP_018423319.1")</f>
        <v/>
      </c>
      <c r="F998" t="n">
        <v>75.40000000000001</v>
      </c>
      <c r="G998" t="n">
        <v>134</v>
      </c>
      <c r="H998" t="n">
        <v>6.179999999999999e-52</v>
      </c>
      <c r="I998" t="inlineStr">
        <is>
          <t>Nr</t>
        </is>
      </c>
      <c r="J998" t="inlineStr"/>
      <c r="K998" t="inlineStr"/>
      <c r="L998" t="inlineStr">
        <is>
          <t>XP_018423319.1 PREDICTED: protein Mdm4 [Nanorana parkeri]</t>
        </is>
      </c>
      <c r="M998" t="n">
        <v>464</v>
      </c>
      <c r="N998" t="inlineStr">
        <is>
          <t>Nanorana parkeri</t>
        </is>
      </c>
      <c r="O998" t="inlineStr">
        <is>
          <t>PREDICTED: protein Mdm4</t>
        </is>
      </c>
    </row>
    <row r="999">
      <c r="A999" t="inlineStr"/>
      <c r="B999" t="inlineStr"/>
      <c r="C999" t="inlineStr"/>
      <c r="D999" t="inlineStr"/>
      <c r="E999">
        <f>HYPERLINK("https://www.uniprot.org/uniprotkb/A0A8C5M5B2/entry", "A0A8C5M5B2")</f>
        <v/>
      </c>
      <c r="F999" t="n">
        <v>73.3</v>
      </c>
      <c r="G999" t="n">
        <v>135</v>
      </c>
      <c r="H999" t="n">
        <v>1.58e-51</v>
      </c>
      <c r="I999" t="inlineStr">
        <is>
          <t>TrEMBL</t>
        </is>
      </c>
      <c r="J999" t="inlineStr">
        <is>
          <t>MDM4</t>
        </is>
      </c>
      <c r="K999" t="inlineStr">
        <is>
          <t>A0A8C5M5B2_9ANUR</t>
        </is>
      </c>
      <c r="L999" t="inlineStr">
        <is>
          <t>tr|A0A8C5M5B2|A0A8C5M5B2_9ANUR Protein Mdm4 OS=Leptobrachium leishanense OX=445787 GN=MDM4 PE=3 SV=1</t>
        </is>
      </c>
      <c r="M999" t="n">
        <v>473</v>
      </c>
      <c r="N999" t="inlineStr">
        <is>
          <t>Leptobrachium leishanense</t>
        </is>
      </c>
      <c r="O999" t="inlineStr">
        <is>
          <t>Protein Mdm4</t>
        </is>
      </c>
    </row>
    <row r="1000">
      <c r="A1000" t="inlineStr"/>
      <c r="B1000" t="inlineStr"/>
      <c r="C1000" t="inlineStr"/>
      <c r="D1000" t="inlineStr"/>
      <c r="E1000">
        <f>HYPERLINK("https://www.uniprot.org/uniprotkb/A0A8T2K6L9/entry", "A0A8T2K6L9")</f>
        <v/>
      </c>
      <c r="F1000" t="n">
        <v>69.40000000000001</v>
      </c>
      <c r="G1000" t="n">
        <v>134</v>
      </c>
      <c r="H1000" t="n">
        <v>9.48e-49</v>
      </c>
      <c r="I1000" t="inlineStr">
        <is>
          <t>TrEMBL</t>
        </is>
      </c>
      <c r="J1000" t="inlineStr">
        <is>
          <t>GDO86_003340</t>
        </is>
      </c>
      <c r="K1000" t="inlineStr">
        <is>
          <t>A0A8T2K6L9_9PIPI</t>
        </is>
      </c>
      <c r="L1000" t="inlineStr">
        <is>
          <t>tr|A0A8T2K6L9|A0A8T2K6L9_9PIPI Protein Mdm4 OS=Hymenochirus boettgeri OX=247094 GN=GDO86_003340 PE=3 SV=1</t>
        </is>
      </c>
      <c r="M1000" t="n">
        <v>471</v>
      </c>
      <c r="N1000" t="inlineStr">
        <is>
          <t>Hymenochirus boettgeri</t>
        </is>
      </c>
      <c r="O1000" t="inlineStr">
        <is>
          <t>Protein Mdm4</t>
        </is>
      </c>
    </row>
    <row r="1001">
      <c r="A1001" t="inlineStr"/>
      <c r="B1001" t="inlineStr"/>
      <c r="C1001" t="inlineStr"/>
      <c r="D1001" t="inlineStr"/>
      <c r="E1001">
        <f>HYPERLINK("https://www.ncbi.nlm.nih.gov/gene/?term=KAG8451017.1", "KAG8451017.1")</f>
        <v/>
      </c>
      <c r="F1001" t="n">
        <v>69.40000000000001</v>
      </c>
      <c r="G1001" t="n">
        <v>134</v>
      </c>
      <c r="H1001" t="n">
        <v>2.43e-48</v>
      </c>
      <c r="I1001" t="inlineStr">
        <is>
          <t>Nr</t>
        </is>
      </c>
      <c r="J1001" t="inlineStr"/>
      <c r="K1001" t="inlineStr"/>
      <c r="L1001" t="inlineStr">
        <is>
          <t>KAG8451017.1 hypothetical protein GDO86_003340 [Hymenochirus boettgeri]</t>
        </is>
      </c>
      <c r="M1001" t="n">
        <v>471</v>
      </c>
      <c r="N1001" t="inlineStr">
        <is>
          <t>Hymenochirus boettgeri</t>
        </is>
      </c>
      <c r="O1001" t="inlineStr">
        <is>
          <t>hypothetical protein GDO86_003340</t>
        </is>
      </c>
    </row>
    <row r="1002">
      <c r="A1002" t="inlineStr"/>
      <c r="B1002" t="inlineStr"/>
      <c r="C1002" t="inlineStr"/>
      <c r="D1002" t="inlineStr"/>
      <c r="E1002">
        <f>HYPERLINK("https://www.uniprot.org/uniprotkb/Q7ZYI3/entry", "Q7ZYI3")</f>
        <v/>
      </c>
      <c r="F1002" t="n">
        <v>63.4</v>
      </c>
      <c r="G1002" t="n">
        <v>134</v>
      </c>
      <c r="H1002" t="n">
        <v>1.32e-45</v>
      </c>
      <c r="I1002" t="inlineStr">
        <is>
          <t>Swiss-Prot</t>
        </is>
      </c>
      <c r="J1002" t="inlineStr">
        <is>
          <t>mdm4</t>
        </is>
      </c>
      <c r="K1002" t="inlineStr">
        <is>
          <t>MDM4_XENLA</t>
        </is>
      </c>
      <c r="L1002" t="inlineStr">
        <is>
          <t>sp|Q7ZYI3|MDM4_XENLA Protein Mdm4 OS=Xenopus laevis OX=8355 GN=mdm4 PE=2 SV=1</t>
        </is>
      </c>
      <c r="M1002" t="n">
        <v>475</v>
      </c>
      <c r="N1002" t="inlineStr">
        <is>
          <t>Xenopus laevis</t>
        </is>
      </c>
      <c r="O1002" t="inlineStr">
        <is>
          <t>Protein Mdm4</t>
        </is>
      </c>
    </row>
    <row r="1003">
      <c r="A1003" t="inlineStr"/>
      <c r="B1003" t="inlineStr"/>
      <c r="C1003" t="inlineStr"/>
      <c r="D1003" t="inlineStr"/>
      <c r="E1003">
        <f>HYPERLINK("https://www.uniprot.org/uniprotkb/B5DFR1/entry", "B5DFR1")</f>
        <v/>
      </c>
      <c r="F1003" t="n">
        <v>73.40000000000001</v>
      </c>
      <c r="G1003" t="n">
        <v>109</v>
      </c>
      <c r="H1003" t="n">
        <v>6.78e-44</v>
      </c>
      <c r="I1003" t="inlineStr">
        <is>
          <t>TrEMBL</t>
        </is>
      </c>
      <c r="J1003" t="inlineStr">
        <is>
          <t>mdm4</t>
        </is>
      </c>
      <c r="K1003" t="inlineStr">
        <is>
          <t>B5DFR1_XENTR</t>
        </is>
      </c>
      <c r="L1003" t="inlineStr">
        <is>
          <t>tr|B5DFR1|B5DFR1_XENTR Protein Mdm4 OS=Xenopus tropicalis OX=8364 GN=mdm4 PE=2 SV=1</t>
        </is>
      </c>
      <c r="M1003" t="n">
        <v>474</v>
      </c>
      <c r="N1003" t="inlineStr">
        <is>
          <t>Xenopus tropicalis</t>
        </is>
      </c>
      <c r="O1003" t="inlineStr">
        <is>
          <t>Protein Mdm4</t>
        </is>
      </c>
    </row>
    <row r="1004">
      <c r="A1004" t="inlineStr"/>
      <c r="B1004" t="inlineStr"/>
      <c r="C1004" t="inlineStr"/>
      <c r="D1004" t="inlineStr"/>
      <c r="E1004">
        <f>HYPERLINK("https://www.uniprot.org/uniprotkb/A0A803KL12/entry", "A0A803KL12")</f>
        <v/>
      </c>
      <c r="F1004" t="n">
        <v>73.40000000000001</v>
      </c>
      <c r="G1004" t="n">
        <v>109</v>
      </c>
      <c r="H1004" t="n">
        <v>8.22e-44</v>
      </c>
      <c r="I1004" t="inlineStr">
        <is>
          <t>TrEMBL</t>
        </is>
      </c>
      <c r="J1004" t="inlineStr">
        <is>
          <t>mdm4</t>
        </is>
      </c>
      <c r="K1004" t="inlineStr">
        <is>
          <t>A0A803KL12_XENTR</t>
        </is>
      </c>
      <c r="L1004" t="inlineStr">
        <is>
          <t>tr|A0A803KL12|A0A803KL12_XENTR Protein Mdm4 OS=Xenopus tropicalis OX=8364 GN=mdm4 PE=3 SV=1</t>
        </is>
      </c>
      <c r="M1004" t="n">
        <v>485</v>
      </c>
      <c r="N1004" t="inlineStr">
        <is>
          <t>Xenopus tropicalis</t>
        </is>
      </c>
      <c r="O1004" t="inlineStr">
        <is>
          <t>Protein Mdm4</t>
        </is>
      </c>
    </row>
    <row r="1005">
      <c r="A1005" t="inlineStr"/>
      <c r="B1005" t="inlineStr"/>
      <c r="C1005" t="inlineStr"/>
      <c r="D1005" t="inlineStr"/>
      <c r="E1005">
        <f>HYPERLINK("https://www.ncbi.nlm.nih.gov/gene/?term=NP_001135717.1", "NP_001135717.1")</f>
        <v/>
      </c>
      <c r="F1005" t="n">
        <v>73.40000000000001</v>
      </c>
      <c r="G1005" t="n">
        <v>109</v>
      </c>
      <c r="H1005" t="n">
        <v>1.74e-43</v>
      </c>
      <c r="I1005" t="inlineStr">
        <is>
          <t>Nr</t>
        </is>
      </c>
      <c r="J1005" t="inlineStr"/>
      <c r="K1005" t="inlineStr"/>
      <c r="L1005" t="inlineStr">
        <is>
          <t>NP_001135717.1 protein Mdm4 [Xenopus tropicalis]</t>
        </is>
      </c>
      <c r="M1005" t="n">
        <v>474</v>
      </c>
      <c r="N1005" t="inlineStr">
        <is>
          <t>Xenopus tropicalis</t>
        </is>
      </c>
      <c r="O1005" t="inlineStr">
        <is>
          <t>protein Mdm4</t>
        </is>
      </c>
    </row>
    <row r="1006">
      <c r="A1006" t="inlineStr"/>
      <c r="B1006" t="inlineStr"/>
      <c r="C1006" t="inlineStr"/>
      <c r="D1006" t="inlineStr"/>
      <c r="E1006">
        <f>HYPERLINK("https://www.uniprot.org/uniprotkb/A0A8J0UI71/entry", "A0A8J0UI71")</f>
        <v/>
      </c>
      <c r="F1006" t="n">
        <v>63.4</v>
      </c>
      <c r="G1006" t="n">
        <v>134</v>
      </c>
      <c r="H1006" t="n">
        <v>5.17e-43</v>
      </c>
      <c r="I1006" t="inlineStr">
        <is>
          <t>TrEMBL</t>
        </is>
      </c>
      <c r="J1006" t="inlineStr">
        <is>
          <t>mdm4.S</t>
        </is>
      </c>
      <c r="K1006" t="inlineStr">
        <is>
          <t>A0A8J0UI71_XENLA</t>
        </is>
      </c>
      <c r="L1006" t="inlineStr">
        <is>
          <t>tr|A0A8J0UI71|A0A8J0UI71_XENLA Protein Mdm4 OS=Xenopus laevis OX=8355 GN=mdm4.S PE=3 SV=1</t>
        </is>
      </c>
      <c r="M1006" t="n">
        <v>475</v>
      </c>
      <c r="N1006" t="inlineStr">
        <is>
          <t>Xenopus laevis</t>
        </is>
      </c>
      <c r="O1006" t="inlineStr">
        <is>
          <t>Protein Mdm4</t>
        </is>
      </c>
    </row>
    <row r="1007">
      <c r="A1007" t="inlineStr"/>
      <c r="B1007" t="inlineStr"/>
      <c r="C1007" t="inlineStr"/>
      <c r="D1007" t="inlineStr"/>
      <c r="E1007">
        <f>HYPERLINK("https://www.ncbi.nlm.nih.gov/gene/?term=XP_018103628.1", "XP_018103628.1")</f>
        <v/>
      </c>
      <c r="F1007" t="n">
        <v>63.4</v>
      </c>
      <c r="G1007" t="n">
        <v>134</v>
      </c>
      <c r="H1007" t="n">
        <v>1.33e-42</v>
      </c>
      <c r="I1007" t="inlineStr">
        <is>
          <t>Nr</t>
        </is>
      </c>
      <c r="J1007" t="inlineStr"/>
      <c r="K1007" t="inlineStr"/>
      <c r="L1007" t="inlineStr">
        <is>
          <t>XP_018103628.1 protein Mdm4 isoform X1 [Xenopus laevis]</t>
        </is>
      </c>
      <c r="M1007" t="n">
        <v>475</v>
      </c>
      <c r="N1007" t="inlineStr">
        <is>
          <t>Xenopus laevis</t>
        </is>
      </c>
      <c r="O1007" t="inlineStr">
        <is>
          <t>protein Mdm4 isoform X1</t>
        </is>
      </c>
    </row>
    <row r="1008">
      <c r="A1008" t="inlineStr"/>
      <c r="B1008" t="inlineStr"/>
      <c r="C1008" t="inlineStr"/>
      <c r="D1008" t="inlineStr"/>
      <c r="E1008">
        <f>HYPERLINK("https://www.ncbi.nlm.nih.gov/gene/?term=NP_001082434.1", "NP_001082434.1")</f>
        <v/>
      </c>
      <c r="F1008" t="n">
        <v>63.4</v>
      </c>
      <c r="G1008" t="n">
        <v>134</v>
      </c>
      <c r="H1008" t="n">
        <v>1.33e-42</v>
      </c>
      <c r="I1008" t="inlineStr">
        <is>
          <t>Nr</t>
        </is>
      </c>
      <c r="J1008" t="inlineStr"/>
      <c r="K1008" t="inlineStr"/>
      <c r="L1008" t="inlineStr">
        <is>
          <t>NP_001082434.1 protein Mdm4 [Xenopus laevis]</t>
        </is>
      </c>
      <c r="M1008" t="n">
        <v>475</v>
      </c>
      <c r="N1008" t="inlineStr">
        <is>
          <t>Xenopus laevis</t>
        </is>
      </c>
      <c r="O1008" t="inlineStr">
        <is>
          <t>protein Mdm4</t>
        </is>
      </c>
    </row>
    <row r="1009">
      <c r="A1009" t="inlineStr"/>
      <c r="B1009" t="inlineStr"/>
      <c r="C1009" t="inlineStr"/>
      <c r="D1009" t="inlineStr"/>
      <c r="E1009">
        <f>HYPERLINK("https://www.uniprot.org/uniprotkb/A0A8C3SU77/entry", "A0A8C3SU77")</f>
        <v/>
      </c>
      <c r="F1009" t="n">
        <v>59.6</v>
      </c>
      <c r="G1009" t="n">
        <v>136</v>
      </c>
      <c r="H1009" t="n">
        <v>4.859999999999999e-42</v>
      </c>
      <c r="I1009" t="inlineStr">
        <is>
          <t>TrEMBL</t>
        </is>
      </c>
      <c r="J1009" t="inlineStr"/>
      <c r="K1009" t="inlineStr">
        <is>
          <t>A0A8C3SU77_CHESE</t>
        </is>
      </c>
      <c r="L1009" t="inlineStr">
        <is>
          <t>tr|A0A8C3SU77|A0A8C3SU77_CHESE SWIB/MDM2 domain-containing protein OS=Chelydra serpentina OX=8475 PE=4 SV=1</t>
        </is>
      </c>
      <c r="M1009" t="n">
        <v>322</v>
      </c>
      <c r="N1009" t="inlineStr">
        <is>
          <t>Chelydra serpentina</t>
        </is>
      </c>
      <c r="O1009" t="inlineStr">
        <is>
          <t>SWIB/MDM2 domain-containing protein</t>
        </is>
      </c>
    </row>
    <row r="1010">
      <c r="A1010" t="inlineStr"/>
      <c r="B1010" t="inlineStr"/>
      <c r="C1010" t="inlineStr"/>
      <c r="D1010" t="inlineStr"/>
      <c r="E1010">
        <f>HYPERLINK("https://www.ncbi.nlm.nih.gov/gene/?term=XP_044870181.1", "XP_044870181.1")</f>
        <v/>
      </c>
      <c r="F1010" t="n">
        <v>59.4</v>
      </c>
      <c r="G1010" t="n">
        <v>133</v>
      </c>
      <c r="H1010" t="n">
        <v>7.749999999999999e-42</v>
      </c>
      <c r="I1010" t="inlineStr">
        <is>
          <t>Nr</t>
        </is>
      </c>
      <c r="J1010" t="inlineStr"/>
      <c r="K1010" t="inlineStr"/>
      <c r="L1010" t="inlineStr">
        <is>
          <t>XP_044870181.1 protein Mdm4 isoform X2 [Mauremys mutica]</t>
        </is>
      </c>
      <c r="M1010" t="n">
        <v>167</v>
      </c>
      <c r="N1010" t="inlineStr">
        <is>
          <t>Mauremys mutica</t>
        </is>
      </c>
      <c r="O1010" t="inlineStr">
        <is>
          <t>protein Mdm4 isoform X2</t>
        </is>
      </c>
    </row>
    <row r="1011">
      <c r="A1011" t="inlineStr"/>
      <c r="B1011" t="inlineStr"/>
      <c r="C1011" t="inlineStr"/>
      <c r="D1011" t="inlineStr"/>
      <c r="E1011">
        <f>HYPERLINK("https://www.uniprot.org/uniprotkb/Q6PHL8/entry", "Q6PHL8")</f>
        <v/>
      </c>
      <c r="F1011" t="n">
        <v>67.3</v>
      </c>
      <c r="G1011" t="n">
        <v>113</v>
      </c>
      <c r="H1011" t="n">
        <v>2e-40</v>
      </c>
      <c r="I1011" t="inlineStr">
        <is>
          <t>TrEMBL</t>
        </is>
      </c>
      <c r="J1011" t="inlineStr"/>
      <c r="K1011" t="inlineStr">
        <is>
          <t>Q6PHL8_XENLA</t>
        </is>
      </c>
      <c r="L1011" t="inlineStr">
        <is>
          <t>tr|Q6PHL8|Q6PHL8_XENLA SWIB/MDM2 domain-containing protein OS=Xenopus laevis OX=8355 PE=2 SV=1</t>
        </is>
      </c>
      <c r="M1011" t="n">
        <v>134</v>
      </c>
      <c r="N1011" t="inlineStr">
        <is>
          <t>Xenopus laevis</t>
        </is>
      </c>
      <c r="O1011" t="inlineStr">
        <is>
          <t>SWIB/MDM2 domain-containing protein</t>
        </is>
      </c>
    </row>
    <row r="1012">
      <c r="A1012" t="inlineStr"/>
      <c r="B1012" t="inlineStr"/>
      <c r="C1012" t="inlineStr"/>
      <c r="D1012" t="inlineStr"/>
      <c r="E1012">
        <f>HYPERLINK("https://www.uniprot.org/uniprotkb/A0A8C6YU55/entry", "A0A8C6YU55")</f>
        <v/>
      </c>
      <c r="F1012" t="n">
        <v>51.8</v>
      </c>
      <c r="G1012" t="n">
        <v>164</v>
      </c>
      <c r="H1012" t="n">
        <v>3.67e-40</v>
      </c>
      <c r="I1012" t="inlineStr">
        <is>
          <t>TrEMBL</t>
        </is>
      </c>
      <c r="J1012" t="inlineStr"/>
      <c r="K1012" t="inlineStr">
        <is>
          <t>A0A8C6YU55_NOTPE</t>
        </is>
      </c>
      <c r="L1012" t="inlineStr">
        <is>
          <t>tr|A0A8C6YU55|A0A8C6YU55_NOTPE MDM4 regulator of p53 OS=Nothoprocta perdicaria OX=30464 PE=4 SV=1</t>
        </is>
      </c>
      <c r="M1012" t="n">
        <v>237</v>
      </c>
      <c r="N1012" t="inlineStr">
        <is>
          <t>Nothoprocta perdicaria</t>
        </is>
      </c>
      <c r="O1012" t="inlineStr">
        <is>
          <t>MDM4 regulator of p53</t>
        </is>
      </c>
    </row>
    <row r="1013">
      <c r="A1013" t="inlineStr"/>
      <c r="B1013" t="inlineStr"/>
      <c r="C1013" t="inlineStr"/>
      <c r="D1013" t="inlineStr"/>
      <c r="E1013">
        <f>HYPERLINK("https://www.ncbi.nlm.nih.gov/gene/?term=AAH56503.1", "AAH56503.1")</f>
        <v/>
      </c>
      <c r="F1013" t="n">
        <v>67.3</v>
      </c>
      <c r="G1013" t="n">
        <v>113</v>
      </c>
      <c r="H1013" t="n">
        <v>5.14e-40</v>
      </c>
      <c r="I1013" t="inlineStr">
        <is>
          <t>Nr</t>
        </is>
      </c>
      <c r="J1013" t="inlineStr"/>
      <c r="K1013" t="inlineStr"/>
      <c r="L1013" t="inlineStr">
        <is>
          <t>AAH56503.1 Unknown (protein for MGC:68495) [Xenopus laevis]</t>
        </is>
      </c>
      <c r="M1013" t="n">
        <v>134</v>
      </c>
      <c r="N1013" t="inlineStr">
        <is>
          <t>Xenopus laevis</t>
        </is>
      </c>
      <c r="O1013" t="inlineStr">
        <is>
          <t>Unknown (protein for MGC:68495)</t>
        </is>
      </c>
    </row>
    <row r="1014">
      <c r="A1014" t="inlineStr"/>
      <c r="B1014" t="inlineStr"/>
      <c r="C1014" t="inlineStr"/>
      <c r="D1014" t="inlineStr"/>
      <c r="E1014">
        <f>HYPERLINK("https://www.ncbi.nlm.nih.gov/gene/?term=XP_045251603.1", "XP_045251603.1")</f>
        <v/>
      </c>
      <c r="F1014" t="n">
        <v>56.3</v>
      </c>
      <c r="G1014" t="n">
        <v>142</v>
      </c>
      <c r="H1014" t="n">
        <v>2.18e-38</v>
      </c>
      <c r="I1014" t="inlineStr">
        <is>
          <t>Nr</t>
        </is>
      </c>
      <c r="J1014" t="inlineStr"/>
      <c r="K1014" t="inlineStr"/>
      <c r="L1014" t="inlineStr">
        <is>
          <t>XP_045251603.1 protein Mdm4 isoform X5 [Macaca fascicularis]</t>
        </is>
      </c>
      <c r="M1014" t="n">
        <v>166</v>
      </c>
      <c r="N1014" t="inlineStr">
        <is>
          <t>Macaca fascicularis</t>
        </is>
      </c>
      <c r="O1014" t="inlineStr">
        <is>
          <t>protein Mdm4 isoform X5</t>
        </is>
      </c>
    </row>
    <row r="1015">
      <c r="A1015" t="inlineStr"/>
      <c r="B1015" t="inlineStr"/>
      <c r="C1015" t="inlineStr"/>
      <c r="D1015" t="inlineStr"/>
      <c r="E1015">
        <f>HYPERLINK("https://www.uniprot.org/uniprotkb/A0A803K5P2/entry", "A0A803K5P2")</f>
        <v/>
      </c>
      <c r="F1015" t="n">
        <v>79.5</v>
      </c>
      <c r="G1015" t="n">
        <v>88</v>
      </c>
      <c r="H1015" t="n">
        <v>1.93e-37</v>
      </c>
      <c r="I1015" t="inlineStr">
        <is>
          <t>TrEMBL</t>
        </is>
      </c>
      <c r="J1015" t="inlineStr">
        <is>
          <t>mdm4</t>
        </is>
      </c>
      <c r="K1015" t="inlineStr">
        <is>
          <t>A0A803K5P2_XENTR</t>
        </is>
      </c>
      <c r="L1015" t="inlineStr">
        <is>
          <t>tr|A0A803K5P2|A0A803K5P2_XENTR Protein Mdm4 OS=Xenopus tropicalis OX=8364 GN=mdm4 PE=3 SV=1</t>
        </is>
      </c>
      <c r="M1015" t="n">
        <v>463</v>
      </c>
      <c r="N1015" t="inlineStr">
        <is>
          <t>Xenopus tropicalis</t>
        </is>
      </c>
      <c r="O1015" t="inlineStr">
        <is>
          <t>Protein Mdm4</t>
        </is>
      </c>
    </row>
    <row r="1016">
      <c r="A1016" t="inlineStr"/>
      <c r="B1016" t="inlineStr"/>
      <c r="C1016" t="inlineStr"/>
      <c r="D1016" t="inlineStr"/>
      <c r="E1016">
        <f>HYPERLINK("https://www.uniprot.org/uniprotkb/A0A803XSW4/entry", "A0A803XSW4")</f>
        <v/>
      </c>
      <c r="F1016" t="n">
        <v>51.3</v>
      </c>
      <c r="G1016" t="n">
        <v>152</v>
      </c>
      <c r="H1016" t="n">
        <v>2.45e-37</v>
      </c>
      <c r="I1016" t="inlineStr">
        <is>
          <t>TrEMBL</t>
        </is>
      </c>
      <c r="J1016" t="inlineStr">
        <is>
          <t>MDM4</t>
        </is>
      </c>
      <c r="K1016" t="inlineStr">
        <is>
          <t>A0A803XSW4_MELGA</t>
        </is>
      </c>
      <c r="L1016" t="inlineStr">
        <is>
          <t>tr|A0A803XSW4|A0A803XSW4_MELGA SWIB/MDM2 domain-containing protein OS=Meleagris gallopavo OX=9103 GN=MDM4 PE=4 SV=1</t>
        </is>
      </c>
      <c r="M1016" t="n">
        <v>223</v>
      </c>
      <c r="N1016" t="inlineStr">
        <is>
          <t>Meleagris gallopavo</t>
        </is>
      </c>
      <c r="O1016" t="inlineStr">
        <is>
          <t>SWIB/MDM2 domain-containing protein</t>
        </is>
      </c>
    </row>
    <row r="1017">
      <c r="A1017" t="inlineStr"/>
      <c r="B1017" t="inlineStr"/>
      <c r="C1017" t="inlineStr"/>
      <c r="D1017" t="inlineStr"/>
      <c r="E1017">
        <f>HYPERLINK("https://www.ncbi.nlm.nih.gov/gene/?term=KAE8623344.1", "KAE8623344.1")</f>
        <v/>
      </c>
      <c r="F1017" t="n">
        <v>79.5</v>
      </c>
      <c r="G1017" t="n">
        <v>88</v>
      </c>
      <c r="H1017" t="n">
        <v>2.46e-37</v>
      </c>
      <c r="I1017" t="inlineStr">
        <is>
          <t>Nr</t>
        </is>
      </c>
      <c r="J1017" t="inlineStr"/>
      <c r="K1017" t="inlineStr"/>
      <c r="L1017" t="inlineStr">
        <is>
          <t>KAE8623344.1 hypothetical protein XENTR_v10005573 [Xenopus tropicalis]</t>
        </is>
      </c>
      <c r="M1017" t="n">
        <v>421</v>
      </c>
      <c r="N1017" t="inlineStr">
        <is>
          <t>Xenopus tropicalis</t>
        </is>
      </c>
      <c r="O1017" t="inlineStr">
        <is>
          <t>hypothetical protein XENTR_v10005573</t>
        </is>
      </c>
    </row>
    <row r="1018">
      <c r="A1018" t="inlineStr"/>
      <c r="B1018" t="inlineStr"/>
      <c r="C1018" t="inlineStr"/>
      <c r="D1018" t="inlineStr"/>
      <c r="E1018">
        <f>HYPERLINK("https://www.uniprot.org/uniprotkb/A0A8J0U9Z9/entry", "A0A8J0U9Z9")</f>
        <v/>
      </c>
      <c r="F1018" t="n">
        <v>67.3</v>
      </c>
      <c r="G1018" t="n">
        <v>113</v>
      </c>
      <c r="H1018" t="n">
        <v>2.66e-37</v>
      </c>
      <c r="I1018" t="inlineStr">
        <is>
          <t>TrEMBL</t>
        </is>
      </c>
      <c r="J1018" t="inlineStr">
        <is>
          <t>mdm4.S</t>
        </is>
      </c>
      <c r="K1018" t="inlineStr">
        <is>
          <t>A0A8J0U9Z9_XENLA</t>
        </is>
      </c>
      <c r="L1018" t="inlineStr">
        <is>
          <t>tr|A0A8J0U9Z9|A0A8J0U9Z9_XENLA Protein Mdm4 OS=Xenopus laevis OX=8355 GN=mdm4.S PE=3 SV=1</t>
        </is>
      </c>
      <c r="M1018" t="n">
        <v>422</v>
      </c>
      <c r="N1018" t="inlineStr">
        <is>
          <t>Xenopus laevis</t>
        </is>
      </c>
      <c r="O1018" t="inlineStr">
        <is>
          <t>Protein Mdm4</t>
        </is>
      </c>
    </row>
    <row r="1019">
      <c r="A1019" t="inlineStr"/>
      <c r="B1019" t="inlineStr"/>
      <c r="C1019" t="inlineStr"/>
      <c r="D1019" t="inlineStr"/>
      <c r="E1019">
        <f>HYPERLINK("https://www.ncbi.nlm.nih.gov/gene/?term=XP_018103630.1", "XP_018103630.1")</f>
        <v/>
      </c>
      <c r="F1019" t="n">
        <v>67.3</v>
      </c>
      <c r="G1019" t="n">
        <v>113</v>
      </c>
      <c r="H1019" t="n">
        <v>6.84e-37</v>
      </c>
      <c r="I1019" t="inlineStr">
        <is>
          <t>Nr</t>
        </is>
      </c>
      <c r="J1019" t="inlineStr"/>
      <c r="K1019" t="inlineStr"/>
      <c r="L1019" t="inlineStr">
        <is>
          <t>XP_018103630.1 protein Mdm4 isoform X2 [Xenopus laevis]</t>
        </is>
      </c>
      <c r="M1019" t="n">
        <v>422</v>
      </c>
      <c r="N1019" t="inlineStr">
        <is>
          <t>Xenopus laevis</t>
        </is>
      </c>
      <c r="O1019" t="inlineStr">
        <is>
          <t>protein Mdm4 isoform X2</t>
        </is>
      </c>
    </row>
    <row r="1020">
      <c r="A1020" t="inlineStr"/>
      <c r="B1020" t="inlineStr"/>
      <c r="C1020" t="inlineStr"/>
      <c r="D1020" t="inlineStr"/>
      <c r="E1020">
        <f>HYPERLINK("https://www.ncbi.nlm.nih.gov/gene/?term=KAG8589407.1", "KAG8589407.1")</f>
        <v/>
      </c>
      <c r="F1020" t="n">
        <v>61.2</v>
      </c>
      <c r="G1020" t="n">
        <v>139</v>
      </c>
      <c r="H1020" t="n">
        <v>9.150000000000001e-37</v>
      </c>
      <c r="I1020" t="inlineStr">
        <is>
          <t>Nr</t>
        </is>
      </c>
      <c r="J1020" t="inlineStr"/>
      <c r="K1020" t="inlineStr"/>
      <c r="L1020" t="inlineStr">
        <is>
          <t>KAG8589407.1 hypothetical protein GDO81_006381 [Engystomops pustulosus]</t>
        </is>
      </c>
      <c r="M1020" t="n">
        <v>439</v>
      </c>
      <c r="N1020" t="inlineStr">
        <is>
          <t>Engystomops pustulosus</t>
        </is>
      </c>
      <c r="O1020" t="inlineStr">
        <is>
          <t>hypothetical protein GDO81_006381</t>
        </is>
      </c>
    </row>
    <row r="1021">
      <c r="A1021" t="inlineStr"/>
      <c r="B1021" t="inlineStr"/>
      <c r="C1021" t="inlineStr"/>
      <c r="D1021" t="inlineStr"/>
      <c r="E1021">
        <f>HYPERLINK("https://www.uniprot.org/uniprotkb/A0A8B8XD46/entry", "A0A8B8XD46")</f>
        <v/>
      </c>
      <c r="F1021" t="n">
        <v>56.8</v>
      </c>
      <c r="G1021" t="n">
        <v>139</v>
      </c>
      <c r="H1021" t="n">
        <v>1.18e-36</v>
      </c>
      <c r="I1021" t="inlineStr">
        <is>
          <t>TrEMBL</t>
        </is>
      </c>
      <c r="J1021" t="inlineStr">
        <is>
          <t>MDM4</t>
        </is>
      </c>
      <c r="K1021" t="inlineStr">
        <is>
          <t>A0A8B8XD46_BALMU</t>
        </is>
      </c>
      <c r="L1021" t="inlineStr">
        <is>
          <t>tr|A0A8B8XD46|A0A8B8XD46_BALMU protein Mdm4 isoform X2 OS=Balaenoptera musculus OX=9771 GN=MDM4 PE=4 SV=1</t>
        </is>
      </c>
      <c r="M1021" t="n">
        <v>205</v>
      </c>
      <c r="N1021" t="inlineStr">
        <is>
          <t>Balaenoptera musculus</t>
        </is>
      </c>
      <c r="O1021" t="inlineStr">
        <is>
          <t>protein Mdm4 isoform X2</t>
        </is>
      </c>
    </row>
    <row r="1022">
      <c r="A1022" t="inlineStr"/>
      <c r="B1022" t="inlineStr"/>
      <c r="C1022" t="inlineStr"/>
      <c r="D1022" t="inlineStr"/>
      <c r="E1022">
        <f>HYPERLINK("https://www.uniprot.org/uniprotkb/A0A383YTQ6/entry", "A0A383YTQ6")</f>
        <v/>
      </c>
      <c r="F1022" t="n">
        <v>56.8</v>
      </c>
      <c r="G1022" t="n">
        <v>139</v>
      </c>
      <c r="H1022" t="n">
        <v>1.18e-36</v>
      </c>
      <c r="I1022" t="inlineStr">
        <is>
          <t>TrEMBL</t>
        </is>
      </c>
      <c r="J1022" t="inlineStr">
        <is>
          <t>MDM4</t>
        </is>
      </c>
      <c r="K1022" t="inlineStr">
        <is>
          <t>A0A383YTQ6_BALAS</t>
        </is>
      </c>
      <c r="L1022" t="inlineStr">
        <is>
          <t>tr|A0A383YTQ6|A0A383YTQ6_BALAS protein Mdm4 isoform X2 OS=Balaenoptera acutorostrata scammoni OX=310752 GN=MDM4 PE=4 SV=1</t>
        </is>
      </c>
      <c r="M1022" t="n">
        <v>205</v>
      </c>
      <c r="N1022" t="inlineStr">
        <is>
          <t>Balaenoptera acutorostrata scammoni</t>
        </is>
      </c>
      <c r="O1022" t="inlineStr">
        <is>
          <t>protein Mdm4 isoform X2</t>
        </is>
      </c>
    </row>
    <row r="1023">
      <c r="A1023" t="inlineStr"/>
      <c r="B1023" t="inlineStr"/>
      <c r="C1023" t="inlineStr"/>
      <c r="D1023" t="inlineStr"/>
      <c r="E1023">
        <f>HYPERLINK("https://www.uniprot.org/uniprotkb/A0A8C3LAQ3/entry", "A0A8C3LAQ3")</f>
        <v/>
      </c>
      <c r="F1023" t="n">
        <v>52.3</v>
      </c>
      <c r="G1023" t="n">
        <v>155</v>
      </c>
      <c r="H1023" t="n">
        <v>1.19e-36</v>
      </c>
      <c r="I1023" t="inlineStr">
        <is>
          <t>TrEMBL</t>
        </is>
      </c>
      <c r="J1023" t="inlineStr"/>
      <c r="K1023" t="inlineStr">
        <is>
          <t>A0A8C3LAQ3_CHRPC</t>
        </is>
      </c>
      <c r="L1023" t="inlineStr">
        <is>
          <t>tr|A0A8C3LAQ3|A0A8C3LAQ3_CHRPC Protein Mdm4 OS=Chrysolophus pictus OX=9089 PE=3 SV=1</t>
        </is>
      </c>
      <c r="M1023" t="n">
        <v>522</v>
      </c>
      <c r="N1023" t="inlineStr">
        <is>
          <t>Chrysolophus pictus</t>
        </is>
      </c>
      <c r="O1023" t="inlineStr">
        <is>
          <t>Protein Mdm4</t>
        </is>
      </c>
    </row>
    <row r="1024">
      <c r="A1024" t="inlineStr"/>
      <c r="B1024" t="inlineStr"/>
      <c r="C1024" t="inlineStr"/>
      <c r="D1024" t="inlineStr"/>
      <c r="E1024">
        <f>HYPERLINK("https://www.ncbi.nlm.nih.gov/gene/?term=XP_007166233.1", "XP_007166233.1")</f>
        <v/>
      </c>
      <c r="F1024" t="n">
        <v>56.8</v>
      </c>
      <c r="G1024" t="n">
        <v>139</v>
      </c>
      <c r="H1024" t="n">
        <v>3.02e-36</v>
      </c>
      <c r="I1024" t="inlineStr">
        <is>
          <t>Nr</t>
        </is>
      </c>
      <c r="J1024" t="inlineStr"/>
      <c r="K1024" t="inlineStr"/>
      <c r="L1024" t="inlineStr">
        <is>
          <t>XP_007166233.1 protein Mdm4 isoform X2 [Balaenoptera acutorostrata scammoni]</t>
        </is>
      </c>
      <c r="M1024" t="n">
        <v>205</v>
      </c>
      <c r="N1024" t="inlineStr">
        <is>
          <t>Balaenoptera acutorostrata scammoni</t>
        </is>
      </c>
      <c r="O1024" t="inlineStr">
        <is>
          <t>protein Mdm4 isoform X2</t>
        </is>
      </c>
    </row>
    <row r="1025">
      <c r="A1025" t="inlineStr"/>
      <c r="B1025" t="inlineStr"/>
      <c r="C1025" t="inlineStr"/>
      <c r="D1025" t="inlineStr"/>
      <c r="E1025">
        <f>HYPERLINK("https://www.uniprot.org/uniprotkb/A0A8C3PWT1/entry", "A0A8C3PWT1")</f>
        <v/>
      </c>
      <c r="F1025" t="n">
        <v>60</v>
      </c>
      <c r="G1025" t="n">
        <v>115</v>
      </c>
      <c r="H1025" t="n">
        <v>4.52e-36</v>
      </c>
      <c r="I1025" t="inlineStr">
        <is>
          <t>TrEMBL</t>
        </is>
      </c>
      <c r="J1025" t="inlineStr"/>
      <c r="K1025" t="inlineStr">
        <is>
          <t>A0A8C3PWT1_CHRPC</t>
        </is>
      </c>
      <c r="L1025" t="inlineStr">
        <is>
          <t>tr|A0A8C3PWT1|A0A8C3PWT1_CHRPC Protein Mdm4 OS=Chrysolophus pictus OX=9089 PE=3 SV=1</t>
        </is>
      </c>
      <c r="M1025" t="n">
        <v>474</v>
      </c>
      <c r="N1025" t="inlineStr">
        <is>
          <t>Chrysolophus pictus</t>
        </is>
      </c>
      <c r="O1025" t="inlineStr">
        <is>
          <t>Protein Mdm4</t>
        </is>
      </c>
    </row>
    <row r="1026">
      <c r="A1026" t="inlineStr"/>
      <c r="B1026" t="inlineStr"/>
      <c r="C1026" t="inlineStr"/>
      <c r="D1026" t="inlineStr"/>
      <c r="E1026">
        <f>HYPERLINK("https://www.uniprot.org/uniprotkb/A0A669QHI9/entry", "A0A669QHI9")</f>
        <v/>
      </c>
      <c r="F1026" t="n">
        <v>51.6</v>
      </c>
      <c r="G1026" t="n">
        <v>155</v>
      </c>
      <c r="H1026" t="n">
        <v>6.120000000000001e-36</v>
      </c>
      <c r="I1026" t="inlineStr">
        <is>
          <t>TrEMBL</t>
        </is>
      </c>
      <c r="J1026" t="inlineStr"/>
      <c r="K1026" t="inlineStr">
        <is>
          <t>A0A669QHI9_PHACC</t>
        </is>
      </c>
      <c r="L1026" t="inlineStr">
        <is>
          <t>tr|A0A669QHI9|A0A669QHI9_PHACC Protein Mdm4 OS=Phasianus colchicus OX=9054 PE=3 SV=1</t>
        </is>
      </c>
      <c r="M1026" t="n">
        <v>522</v>
      </c>
      <c r="N1026" t="inlineStr">
        <is>
          <t>Phasianus colchicus</t>
        </is>
      </c>
      <c r="O1026" t="inlineStr">
        <is>
          <t>Protein Mdm4</t>
        </is>
      </c>
    </row>
    <row r="1027">
      <c r="A1027" t="inlineStr"/>
      <c r="B1027" t="inlineStr"/>
      <c r="C1027" t="inlineStr"/>
      <c r="D1027" t="inlineStr"/>
      <c r="E1027">
        <f>HYPERLINK("https://www.uniprot.org/uniprotkb/A0A8C3D1K7/entry", "A0A8C3D1K7")</f>
        <v/>
      </c>
      <c r="F1027" t="n">
        <v>61.6</v>
      </c>
      <c r="G1027" t="n">
        <v>112</v>
      </c>
      <c r="H1027" t="n">
        <v>6.29e-36</v>
      </c>
      <c r="I1027" t="inlineStr">
        <is>
          <t>TrEMBL</t>
        </is>
      </c>
      <c r="J1027" t="inlineStr"/>
      <c r="K1027" t="inlineStr">
        <is>
          <t>A0A8C3D1K7_CAIMO</t>
        </is>
      </c>
      <c r="L1027" t="inlineStr">
        <is>
          <t>tr|A0A8C3D1K7|A0A8C3D1K7_CAIMO Protein Mdm4 OS=Cairina moschata domestica OX=1240228 PE=3 SV=1</t>
        </is>
      </c>
      <c r="M1027" t="n">
        <v>474</v>
      </c>
      <c r="N1027" t="inlineStr">
        <is>
          <t>Cairina moschata domestica</t>
        </is>
      </c>
      <c r="O1027" t="inlineStr">
        <is>
          <t>Protein Mdm4</t>
        </is>
      </c>
    </row>
    <row r="1028">
      <c r="A1028" t="inlineStr"/>
      <c r="B1028" t="inlineStr"/>
      <c r="C1028" t="inlineStr"/>
      <c r="D1028" t="inlineStr"/>
      <c r="E1028">
        <f>HYPERLINK("https://www.uniprot.org/uniprotkb/A0A8B9C5R7/entry", "A0A8B9C5R7")</f>
        <v/>
      </c>
      <c r="F1028" t="n">
        <v>61.6</v>
      </c>
      <c r="G1028" t="n">
        <v>112</v>
      </c>
      <c r="H1028" t="n">
        <v>6.29e-36</v>
      </c>
      <c r="I1028" t="inlineStr">
        <is>
          <t>TrEMBL</t>
        </is>
      </c>
      <c r="J1028" t="inlineStr">
        <is>
          <t>MDM4</t>
        </is>
      </c>
      <c r="K1028" t="inlineStr">
        <is>
          <t>A0A8B9C5R7_9AVES</t>
        </is>
      </c>
      <c r="L1028" t="inlineStr">
        <is>
          <t>tr|A0A8B9C5R7|A0A8B9C5R7_9AVES Protein Mdm4 OS=Anser brachyrhynchus OX=132585 GN=MDM4 PE=3 SV=1</t>
        </is>
      </c>
      <c r="M1028" t="n">
        <v>474</v>
      </c>
      <c r="N1028" t="inlineStr">
        <is>
          <t>Anser brachyrhynchus</t>
        </is>
      </c>
      <c r="O1028" t="inlineStr">
        <is>
          <t>Protein Mdm4</t>
        </is>
      </c>
    </row>
    <row r="1029">
      <c r="A1029" t="inlineStr"/>
      <c r="B1029" t="inlineStr"/>
      <c r="C1029" t="inlineStr"/>
      <c r="D1029" t="inlineStr"/>
      <c r="E1029">
        <f>HYPERLINK("https://www.uniprot.org/uniprotkb/A0A8B9D7L9/entry", "A0A8B9D7L9")</f>
        <v/>
      </c>
      <c r="F1029" t="n">
        <v>61.6</v>
      </c>
      <c r="G1029" t="n">
        <v>112</v>
      </c>
      <c r="H1029" t="n">
        <v>6.29e-36</v>
      </c>
      <c r="I1029" t="inlineStr">
        <is>
          <t>TrEMBL</t>
        </is>
      </c>
      <c r="J1029" t="inlineStr"/>
      <c r="K1029" t="inlineStr">
        <is>
          <t>A0A8B9D7L9_ANSCY</t>
        </is>
      </c>
      <c r="L1029" t="inlineStr">
        <is>
          <t>tr|A0A8B9D7L9|A0A8B9D7L9_ANSCY Protein Mdm4 OS=Anser cygnoid OX=8845 PE=3 SV=1</t>
        </is>
      </c>
      <c r="M1029" t="n">
        <v>474</v>
      </c>
      <c r="N1029" t="inlineStr">
        <is>
          <t>Anser cygnoid</t>
        </is>
      </c>
      <c r="O1029" t="inlineStr">
        <is>
          <t>Protein Mdm4</t>
        </is>
      </c>
    </row>
    <row r="1030">
      <c r="A1030" t="inlineStr"/>
      <c r="B1030" t="inlineStr"/>
      <c r="C1030" t="inlineStr"/>
      <c r="D1030" t="inlineStr"/>
      <c r="E1030">
        <f>HYPERLINK("https://www.uniprot.org/uniprotkb/A0A8C0A0J2/entry", "A0A8C0A0J2")</f>
        <v/>
      </c>
      <c r="F1030" t="n">
        <v>61.6</v>
      </c>
      <c r="G1030" t="n">
        <v>112</v>
      </c>
      <c r="H1030" t="n">
        <v>6.38e-36</v>
      </c>
      <c r="I1030" t="inlineStr">
        <is>
          <t>TrEMBL</t>
        </is>
      </c>
      <c r="J1030" t="inlineStr"/>
      <c r="K1030" t="inlineStr">
        <is>
          <t>A0A8C0A0J2_9AVES</t>
        </is>
      </c>
      <c r="L1030" t="inlineStr">
        <is>
          <t>tr|A0A8C0A0J2|A0A8C0A0J2_9AVES Protein Mdm4 OS=Anas zonorhyncha OX=75864 PE=3 SV=1</t>
        </is>
      </c>
      <c r="M1030" t="n">
        <v>475</v>
      </c>
      <c r="N1030" t="inlineStr">
        <is>
          <t>Anas zonorhyncha</t>
        </is>
      </c>
      <c r="O1030" t="inlineStr">
        <is>
          <t>Protein Mdm4</t>
        </is>
      </c>
    </row>
    <row r="1031">
      <c r="A1031" t="inlineStr"/>
      <c r="B1031" t="inlineStr"/>
      <c r="C1031" t="inlineStr"/>
      <c r="D1031" t="inlineStr"/>
      <c r="E1031">
        <f>HYPERLINK("https://www.uniprot.org/uniprotkb/A0A6J3EAP6/entry", "A0A6J3EAP6")</f>
        <v/>
      </c>
      <c r="F1031" t="n">
        <v>61.6</v>
      </c>
      <c r="G1031" t="n">
        <v>112</v>
      </c>
      <c r="H1031" t="n">
        <v>6.38e-36</v>
      </c>
      <c r="I1031" t="inlineStr">
        <is>
          <t>TrEMBL</t>
        </is>
      </c>
      <c r="J1031" t="inlineStr">
        <is>
          <t>MDM4</t>
        </is>
      </c>
      <c r="K1031" t="inlineStr">
        <is>
          <t>A0A6J3EAP6_AYTFU</t>
        </is>
      </c>
      <c r="L1031" t="inlineStr">
        <is>
          <t>tr|A0A6J3EAP6|A0A6J3EAP6_AYTFU Protein Mdm4 OS=Aythya fuligula OX=219594 GN=MDM4 PE=3 SV=1</t>
        </is>
      </c>
      <c r="M1031" t="n">
        <v>475</v>
      </c>
      <c r="N1031" t="inlineStr">
        <is>
          <t>Aythya fuligula</t>
        </is>
      </c>
      <c r="O1031" t="inlineStr">
        <is>
          <t>Protein Mdm4</t>
        </is>
      </c>
    </row>
    <row r="1032">
      <c r="A1032" t="inlineStr"/>
      <c r="B1032" t="inlineStr"/>
      <c r="C1032" t="inlineStr"/>
      <c r="D1032" t="inlineStr"/>
      <c r="E1032">
        <f>HYPERLINK("https://www.uniprot.org/uniprotkb/A0A8B9VWX7/entry", "A0A8B9VWX7")</f>
        <v/>
      </c>
      <c r="F1032" t="n">
        <v>61.6</v>
      </c>
      <c r="G1032" t="n">
        <v>112</v>
      </c>
      <c r="H1032" t="n">
        <v>6.38e-36</v>
      </c>
      <c r="I1032" t="inlineStr">
        <is>
          <t>TrEMBL</t>
        </is>
      </c>
      <c r="J1032" t="inlineStr"/>
      <c r="K1032" t="inlineStr">
        <is>
          <t>A0A8B9VWX7_9AVES</t>
        </is>
      </c>
      <c r="L1032" t="inlineStr">
        <is>
          <t>tr|A0A8B9VWX7|A0A8B9VWX7_9AVES Protein Mdm4 OS=Anas zonorhyncha OX=75864 PE=3 SV=1</t>
        </is>
      </c>
      <c r="M1032" t="n">
        <v>475</v>
      </c>
      <c r="N1032" t="inlineStr">
        <is>
          <t>Anas zonorhyncha</t>
        </is>
      </c>
      <c r="O1032" t="inlineStr">
        <is>
          <t>Protein Mdm4</t>
        </is>
      </c>
    </row>
    <row r="1033">
      <c r="A1033" t="inlineStr"/>
      <c r="B1033" t="inlineStr"/>
      <c r="C1033" t="inlineStr"/>
      <c r="D1033" t="inlineStr"/>
      <c r="E1033">
        <f>HYPERLINK("https://www.uniprot.org/uniprotkb/A0A8B9TQU5/entry", "A0A8B9TQU5")</f>
        <v/>
      </c>
      <c r="F1033" t="n">
        <v>61.6</v>
      </c>
      <c r="G1033" t="n">
        <v>112</v>
      </c>
      <c r="H1033" t="n">
        <v>6.38e-36</v>
      </c>
      <c r="I1033" t="inlineStr">
        <is>
          <t>TrEMBL</t>
        </is>
      </c>
      <c r="J1033" t="inlineStr"/>
      <c r="K1033" t="inlineStr">
        <is>
          <t>A0A8B9TQU5_ANAPL</t>
        </is>
      </c>
      <c r="L1033" t="inlineStr">
        <is>
          <t>tr|A0A8B9TQU5|A0A8B9TQU5_ANAPL Protein Mdm4 OS=Anas platyrhynchos OX=8839 PE=3 SV=1</t>
        </is>
      </c>
      <c r="M1033" t="n">
        <v>475</v>
      </c>
      <c r="N1033" t="inlineStr">
        <is>
          <t>Anas platyrhynchos</t>
        </is>
      </c>
      <c r="O1033" t="inlineStr">
        <is>
          <t>Protein Mdm4</t>
        </is>
      </c>
    </row>
    <row r="1034">
      <c r="A1034" t="inlineStr"/>
      <c r="B1034" t="inlineStr"/>
      <c r="C1034" t="inlineStr"/>
      <c r="D1034" t="inlineStr"/>
      <c r="E1034">
        <f>HYPERLINK("https://www.uniprot.org/uniprotkb/U3IZ16/entry", "U3IZ16")</f>
        <v/>
      </c>
      <c r="F1034" t="n">
        <v>61.6</v>
      </c>
      <c r="G1034" t="n">
        <v>112</v>
      </c>
      <c r="H1034" t="n">
        <v>6.38e-36</v>
      </c>
      <c r="I1034" t="inlineStr">
        <is>
          <t>TrEMBL</t>
        </is>
      </c>
      <c r="J1034" t="inlineStr">
        <is>
          <t>MDM4</t>
        </is>
      </c>
      <c r="K1034" t="inlineStr">
        <is>
          <t>U3IZ16_ANAPP</t>
        </is>
      </c>
      <c r="L1034" t="inlineStr">
        <is>
          <t>tr|U3IZ16|U3IZ16_ANAPP Protein Mdm4 OS=Anas platyrhynchos platyrhynchos OX=8840 GN=MDM4 PE=3 SV=2</t>
        </is>
      </c>
      <c r="M1034" t="n">
        <v>475</v>
      </c>
      <c r="N1034" t="inlineStr">
        <is>
          <t>Anas platyrhynchos platyrhynchos</t>
        </is>
      </c>
      <c r="O1034" t="inlineStr">
        <is>
          <t>Protein Mdm4</t>
        </is>
      </c>
    </row>
    <row r="1035">
      <c r="A1035" t="inlineStr"/>
      <c r="B1035" t="inlineStr"/>
      <c r="C1035" t="inlineStr"/>
      <c r="D1035" t="inlineStr"/>
      <c r="E1035">
        <f>HYPERLINK("https://www.ncbi.nlm.nih.gov/gene/?term=XP_023404073.1", "XP_023404073.1")</f>
        <v/>
      </c>
      <c r="F1035" t="n">
        <v>52.4</v>
      </c>
      <c r="G1035" t="n">
        <v>147</v>
      </c>
      <c r="H1035" t="n">
        <v>7.79e-36</v>
      </c>
      <c r="I1035" t="inlineStr">
        <is>
          <t>Nr</t>
        </is>
      </c>
      <c r="J1035" t="inlineStr"/>
      <c r="K1035" t="inlineStr"/>
      <c r="L1035" t="inlineStr">
        <is>
          <t>XP_023404073.1 protein Mdm4 isoform X2 [Loxodonta africana]</t>
        </is>
      </c>
      <c r="M1035" t="n">
        <v>166</v>
      </c>
      <c r="N1035" t="inlineStr">
        <is>
          <t>Loxodonta africana</t>
        </is>
      </c>
      <c r="O1035" t="inlineStr">
        <is>
          <t>protein Mdm4 isoform X2</t>
        </is>
      </c>
    </row>
    <row r="1036">
      <c r="A1036" t="inlineStr"/>
      <c r="B1036" t="inlineStr"/>
      <c r="C1036" t="inlineStr"/>
      <c r="D1036" t="inlineStr"/>
      <c r="E1036">
        <f>HYPERLINK("https://www.ncbi.nlm.nih.gov/gene/?term=XP_048781871.1", "XP_048781871.1")</f>
        <v/>
      </c>
      <c r="F1036" t="n">
        <v>52.6</v>
      </c>
      <c r="G1036" t="n">
        <v>152</v>
      </c>
      <c r="H1036" t="n">
        <v>1.55e-35</v>
      </c>
      <c r="I1036" t="inlineStr">
        <is>
          <t>Nr</t>
        </is>
      </c>
      <c r="J1036" t="inlineStr"/>
      <c r="K1036" t="inlineStr"/>
      <c r="L1036" t="inlineStr">
        <is>
          <t>XP_048781871.1 protein Mdm4 isoform X1 [Lagopus muta]</t>
        </is>
      </c>
      <c r="M1036" t="n">
        <v>521</v>
      </c>
      <c r="N1036" t="inlineStr">
        <is>
          <t>Lagopus muta</t>
        </is>
      </c>
      <c r="O1036" t="inlineStr">
        <is>
          <t>protein Mdm4 isoform X1</t>
        </is>
      </c>
    </row>
    <row r="1037">
      <c r="A1037" t="inlineStr"/>
      <c r="B1037" t="inlineStr"/>
      <c r="C1037" t="inlineStr"/>
      <c r="D1037" t="inlineStr"/>
      <c r="E1037">
        <f>HYPERLINK("https://www.ncbi.nlm.nih.gov/gene/?term=XP_052553986.1", "XP_052553986.1")</f>
        <v/>
      </c>
      <c r="F1037" t="n">
        <v>52.6</v>
      </c>
      <c r="G1037" t="n">
        <v>152</v>
      </c>
      <c r="H1037" t="n">
        <v>1.57e-35</v>
      </c>
      <c r="I1037" t="inlineStr">
        <is>
          <t>Nr</t>
        </is>
      </c>
      <c r="J1037" t="inlineStr"/>
      <c r="K1037" t="inlineStr"/>
      <c r="L1037" t="inlineStr">
        <is>
          <t>XP_052553986.1 protein Mdm4 isoform X1 [Tympanuchus pallidicinctus]</t>
        </is>
      </c>
      <c r="M1037" t="n">
        <v>522</v>
      </c>
      <c r="N1037" t="inlineStr">
        <is>
          <t>Tympanuchus pallidicinctus</t>
        </is>
      </c>
      <c r="O1037" t="inlineStr">
        <is>
          <t>protein Mdm4 isoform X1</t>
        </is>
      </c>
    </row>
    <row r="1038">
      <c r="A1038" t="inlineStr"/>
      <c r="B1038" t="inlineStr"/>
      <c r="C1038" t="inlineStr"/>
      <c r="D1038" t="inlineStr"/>
      <c r="E1038">
        <f>HYPERLINK("https://www.ncbi.nlm.nih.gov/gene/?term=XP_031461846.1", "XP_031461846.1")</f>
        <v/>
      </c>
      <c r="F1038" t="n">
        <v>51.6</v>
      </c>
      <c r="G1038" t="n">
        <v>155</v>
      </c>
      <c r="H1038" t="n">
        <v>1.57e-35</v>
      </c>
      <c r="I1038" t="inlineStr">
        <is>
          <t>Nr</t>
        </is>
      </c>
      <c r="J1038" t="inlineStr"/>
      <c r="K1038" t="inlineStr"/>
      <c r="L1038" t="inlineStr">
        <is>
          <t>XP_031461846.1 protein Mdm4 isoform X1 [Phasianus colchicus]</t>
        </is>
      </c>
      <c r="M1038" t="n">
        <v>522</v>
      </c>
      <c r="N1038" t="inlineStr">
        <is>
          <t>Phasianus colchicus</t>
        </is>
      </c>
      <c r="O1038" t="inlineStr">
        <is>
          <t>protein Mdm4 isoform X1</t>
        </is>
      </c>
    </row>
    <row r="1039">
      <c r="A1039" t="inlineStr"/>
      <c r="B1039" t="inlineStr"/>
      <c r="C1039" t="inlineStr"/>
      <c r="D1039" t="inlineStr"/>
      <c r="E1039">
        <f>HYPERLINK("https://www.ncbi.nlm.nih.gov/gene/?term=XP_035417355.1", "XP_035417355.1")</f>
        <v/>
      </c>
      <c r="F1039" t="n">
        <v>61.6</v>
      </c>
      <c r="G1039" t="n">
        <v>112</v>
      </c>
      <c r="H1039" t="n">
        <v>1.62e-35</v>
      </c>
      <c r="I1039" t="inlineStr">
        <is>
          <t>Nr</t>
        </is>
      </c>
      <c r="J1039" t="inlineStr"/>
      <c r="K1039" t="inlineStr"/>
      <c r="L1039" t="inlineStr">
        <is>
          <t>XP_035417355.1 protein Mdm4 [Cygnus atratus]</t>
        </is>
      </c>
      <c r="M1039" t="n">
        <v>474</v>
      </c>
      <c r="N1039" t="inlineStr">
        <is>
          <t>Cygnus atratus</t>
        </is>
      </c>
      <c r="O1039" t="inlineStr">
        <is>
          <t>protein Mdm4</t>
        </is>
      </c>
    </row>
    <row r="1040">
      <c r="A1040" t="inlineStr"/>
      <c r="B1040" t="inlineStr"/>
      <c r="C1040" t="inlineStr"/>
      <c r="D1040" t="inlineStr"/>
      <c r="E1040">
        <f>HYPERLINK("https://www.uniprot.org/uniprotkb/Q2HJ21/entry", "Q2HJ21")</f>
        <v/>
      </c>
      <c r="F1040" t="n">
        <v>57</v>
      </c>
      <c r="G1040" t="n">
        <v>121</v>
      </c>
      <c r="H1040" t="n">
        <v>7.13e-33</v>
      </c>
      <c r="I1040" t="inlineStr">
        <is>
          <t>Swiss-Prot</t>
        </is>
      </c>
      <c r="J1040" t="inlineStr">
        <is>
          <t>MDM4</t>
        </is>
      </c>
      <c r="K1040" t="inlineStr">
        <is>
          <t>MDM4_BOVIN</t>
        </is>
      </c>
      <c r="L1040" t="inlineStr">
        <is>
          <t>sp|Q2HJ21|MDM4_BOVIN Protein Mdm4 OS=Bos taurus OX=9913 GN=MDM4 PE=2 SV=1</t>
        </is>
      </c>
      <c r="M1040" t="n">
        <v>491</v>
      </c>
      <c r="N1040" t="inlineStr">
        <is>
          <t>Bos taurus</t>
        </is>
      </c>
      <c r="O1040" t="inlineStr">
        <is>
          <t>Protein Mdm4</t>
        </is>
      </c>
    </row>
    <row r="1041">
      <c r="A1041" t="inlineStr"/>
      <c r="B1041" t="inlineStr"/>
      <c r="C1041" t="inlineStr"/>
      <c r="D1041" t="inlineStr"/>
      <c r="E1041">
        <f>HYPERLINK("https://www.uniprot.org/uniprotkb/O35618/entry", "O35618")</f>
        <v/>
      </c>
      <c r="F1041" t="n">
        <v>65</v>
      </c>
      <c r="G1041" t="n">
        <v>100</v>
      </c>
      <c r="H1041" t="n">
        <v>9.670000000000001e-33</v>
      </c>
      <c r="I1041" t="inlineStr">
        <is>
          <t>Swiss-Prot</t>
        </is>
      </c>
      <c r="J1041" t="inlineStr">
        <is>
          <t>Mdm4</t>
        </is>
      </c>
      <c r="K1041" t="inlineStr">
        <is>
          <t>MDM4_MOUSE</t>
        </is>
      </c>
      <c r="L1041" t="inlineStr">
        <is>
          <t>sp|O35618|MDM4_MOUSE Protein Mdm4 OS=Mus musculus OX=10090 GN=Mdm4 PE=1 SV=2</t>
        </is>
      </c>
      <c r="M1041" t="n">
        <v>489</v>
      </c>
      <c r="N1041" t="inlineStr">
        <is>
          <t>Mus musculus</t>
        </is>
      </c>
      <c r="O1041" t="inlineStr">
        <is>
          <t>Protein Mdm4</t>
        </is>
      </c>
    </row>
    <row r="1042">
      <c r="A1042" t="inlineStr"/>
      <c r="B1042" t="inlineStr"/>
      <c r="C1042" t="inlineStr"/>
      <c r="D1042" t="inlineStr"/>
      <c r="E1042">
        <f>HYPERLINK("https://www.uniprot.org/uniprotkb/O15151/entry", "O15151")</f>
        <v/>
      </c>
      <c r="F1042" t="n">
        <v>66.3</v>
      </c>
      <c r="G1042" t="n">
        <v>95</v>
      </c>
      <c r="H1042" t="n">
        <v>2.59e-32</v>
      </c>
      <c r="I1042" t="inlineStr">
        <is>
          <t>Swiss-Prot</t>
        </is>
      </c>
      <c r="J1042" t="inlineStr">
        <is>
          <t>MDM4</t>
        </is>
      </c>
      <c r="K1042" t="inlineStr">
        <is>
          <t>MDM4_HUMAN</t>
        </is>
      </c>
      <c r="L1042" t="inlineStr">
        <is>
          <t>sp|O15151|MDM4_HUMAN Protein Mdm4 OS=Homo sapiens OX=9606 GN=MDM4 PE=1 SV=2</t>
        </is>
      </c>
      <c r="M1042" t="n">
        <v>490</v>
      </c>
      <c r="N1042" t="inlineStr">
        <is>
          <t>Homo sapiens</t>
        </is>
      </c>
      <c r="O1042" t="inlineStr">
        <is>
          <t>Protein Mdm4</t>
        </is>
      </c>
    </row>
    <row r="1043">
      <c r="A1043" t="inlineStr"/>
      <c r="B1043" t="inlineStr"/>
      <c r="C1043" t="inlineStr"/>
      <c r="D1043" t="inlineStr"/>
      <c r="E1043">
        <f>HYPERLINK("https://www.uniprot.org/uniprotkb/Q7ZUW7/entry", "Q7ZUW7")</f>
        <v/>
      </c>
      <c r="F1043" t="n">
        <v>57.1</v>
      </c>
      <c r="G1043" t="n">
        <v>112</v>
      </c>
      <c r="H1043" t="n">
        <v>2.64e-31</v>
      </c>
      <c r="I1043" t="inlineStr">
        <is>
          <t>Swiss-Prot</t>
        </is>
      </c>
      <c r="J1043" t="inlineStr">
        <is>
          <t>mdm4</t>
        </is>
      </c>
      <c r="K1043" t="inlineStr">
        <is>
          <t>MDM4_DANRE</t>
        </is>
      </c>
      <c r="L1043" t="inlineStr">
        <is>
          <t>sp|Q7ZUW7|MDM4_DANRE Protein Mdm4 OS=Danio rerio OX=7955 GN=mdm4 PE=1 SV=2</t>
        </is>
      </c>
      <c r="M1043" t="n">
        <v>496</v>
      </c>
      <c r="N1043" t="inlineStr">
        <is>
          <t>Danio rerio</t>
        </is>
      </c>
      <c r="O1043" t="inlineStr">
        <is>
          <t>Protein Mdm4</t>
        </is>
      </c>
    </row>
    <row r="1044">
      <c r="A1044" t="inlineStr"/>
      <c r="B1044" t="inlineStr"/>
      <c r="C1044" t="inlineStr"/>
      <c r="D1044" t="inlineStr"/>
      <c r="E1044">
        <f>HYPERLINK("https://www.uniprot.org/uniprotkb/Q5XIN1/entry", "Q5XIN1")</f>
        <v/>
      </c>
      <c r="F1044" t="n">
        <v>64.40000000000001</v>
      </c>
      <c r="G1044" t="n">
        <v>101</v>
      </c>
      <c r="H1044" t="n">
        <v>9.1e-31</v>
      </c>
      <c r="I1044" t="inlineStr">
        <is>
          <t>Swiss-Prot</t>
        </is>
      </c>
      <c r="J1044" t="inlineStr">
        <is>
          <t>Mdm4</t>
        </is>
      </c>
      <c r="K1044" t="inlineStr">
        <is>
          <t>MDM4_RAT</t>
        </is>
      </c>
      <c r="L1044" t="inlineStr">
        <is>
          <t>sp|Q5XIN1|MDM4_RAT Protein Mdm4 OS=Rattus norvegicus OX=10116 GN=Mdm4 PE=1 SV=1</t>
        </is>
      </c>
      <c r="M1044" t="n">
        <v>490</v>
      </c>
      <c r="N1044" t="inlineStr">
        <is>
          <t>Rattus norvegicus</t>
        </is>
      </c>
      <c r="O1044" t="inlineStr">
        <is>
          <t>Protein Mdm4</t>
        </is>
      </c>
    </row>
    <row r="1045">
      <c r="A1045" t="inlineStr"/>
      <c r="B1045" t="inlineStr"/>
      <c r="C1045" t="inlineStr"/>
      <c r="D1045" t="inlineStr"/>
      <c r="E1045">
        <f>HYPERLINK("https://www.uniprot.org/uniprotkb/P56273/entry", "P56273")</f>
        <v/>
      </c>
      <c r="F1045" t="n">
        <v>53.5</v>
      </c>
      <c r="G1045" t="n">
        <v>99</v>
      </c>
      <c r="H1045" t="n">
        <v>5.93e-26</v>
      </c>
      <c r="I1045" t="inlineStr">
        <is>
          <t>Swiss-Prot</t>
        </is>
      </c>
      <c r="J1045" t="inlineStr">
        <is>
          <t>mdm2</t>
        </is>
      </c>
      <c r="K1045" t="inlineStr">
        <is>
          <t>MDM2_XENLA</t>
        </is>
      </c>
      <c r="L1045" t="inlineStr">
        <is>
          <t>sp|P56273|MDM2_XENLA E3 ubiquitin-protein ligase Mdm2 OS=Xenopus laevis OX=8355 GN=mdm2 PE=1 SV=2</t>
        </is>
      </c>
      <c r="M1045" t="n">
        <v>473</v>
      </c>
      <c r="N1045" t="inlineStr">
        <is>
          <t>Xenopus laevis</t>
        </is>
      </c>
      <c r="O1045" t="inlineStr">
        <is>
          <t>E3 ubiquitin-protein ligase Mdm2</t>
        </is>
      </c>
    </row>
    <row r="1046">
      <c r="A1046" t="inlineStr"/>
      <c r="B1046" t="inlineStr"/>
      <c r="C1046" t="inlineStr"/>
      <c r="D1046" t="inlineStr"/>
      <c r="E1046">
        <f>HYPERLINK("https://www.uniprot.org/uniprotkb/P23804/entry", "P23804")</f>
        <v/>
      </c>
      <c r="F1046" t="n">
        <v>48.2</v>
      </c>
      <c r="G1046" t="n">
        <v>110</v>
      </c>
      <c r="H1046" t="n">
        <v>1.71e-25</v>
      </c>
      <c r="I1046" t="inlineStr">
        <is>
          <t>Swiss-Prot</t>
        </is>
      </c>
      <c r="J1046" t="inlineStr">
        <is>
          <t>Mdm2</t>
        </is>
      </c>
      <c r="K1046" t="inlineStr">
        <is>
          <t>MDM2_MOUSE</t>
        </is>
      </c>
      <c r="L1046" t="inlineStr">
        <is>
          <t>sp|P23804|MDM2_MOUSE E3 ubiquitin-protein ligase Mdm2 OS=Mus musculus OX=10090 GN=Mdm2 PE=1 SV=3</t>
        </is>
      </c>
      <c r="M1046" t="n">
        <v>489</v>
      </c>
      <c r="N1046" t="inlineStr">
        <is>
          <t>Mus musculus</t>
        </is>
      </c>
      <c r="O1046" t="inlineStr">
        <is>
          <t>E3 ubiquitin-protein ligase Mdm2</t>
        </is>
      </c>
    </row>
    <row r="1047">
      <c r="A1047" t="inlineStr"/>
      <c r="B1047" t="inlineStr"/>
      <c r="C1047" t="inlineStr"/>
      <c r="D1047" t="inlineStr"/>
      <c r="E1047">
        <f>HYPERLINK("https://www.uniprot.org/uniprotkb/P56951/entry", "P56951")</f>
        <v/>
      </c>
      <c r="F1047" t="n">
        <v>52.6</v>
      </c>
      <c r="G1047" t="n">
        <v>97</v>
      </c>
      <c r="H1047" t="n">
        <v>7.609999999999999e-24</v>
      </c>
      <c r="I1047" t="inlineStr">
        <is>
          <t>Swiss-Prot</t>
        </is>
      </c>
      <c r="J1047" t="inlineStr">
        <is>
          <t>MDM2</t>
        </is>
      </c>
      <c r="K1047" t="inlineStr">
        <is>
          <t>MDM2_HORSE</t>
        </is>
      </c>
      <c r="L1047" t="inlineStr">
        <is>
          <t>sp|P56951|MDM2_HORSE E3 ubiquitin-protein ligase Mdm2 OS=Equus caballus OX=9796 GN=MDM2 PE=2 SV=1</t>
        </is>
      </c>
      <c r="M1047" t="n">
        <v>491</v>
      </c>
      <c r="N1047" t="inlineStr">
        <is>
          <t>Equus caballus</t>
        </is>
      </c>
      <c r="O1047" t="inlineStr">
        <is>
          <t>E3 ubiquitin-protein ligase Mdm2</t>
        </is>
      </c>
    </row>
    <row r="1048">
      <c r="A1048" t="inlineStr"/>
      <c r="B1048" t="inlineStr"/>
      <c r="C1048" t="inlineStr"/>
      <c r="D1048" t="inlineStr"/>
      <c r="E1048">
        <f>HYPERLINK("https://www.uniprot.org/uniprotkb/Q00987/entry", "Q00987")</f>
        <v/>
      </c>
      <c r="F1048" t="n">
        <v>51.5</v>
      </c>
      <c r="G1048" t="n">
        <v>97</v>
      </c>
      <c r="H1048" t="n">
        <v>7.609999999999999e-24</v>
      </c>
      <c r="I1048" t="inlineStr">
        <is>
          <t>Swiss-Prot</t>
        </is>
      </c>
      <c r="J1048" t="inlineStr">
        <is>
          <t>MDM2</t>
        </is>
      </c>
      <c r="K1048" t="inlineStr">
        <is>
          <t>MDM2_HUMAN</t>
        </is>
      </c>
      <c r="L1048" t="inlineStr">
        <is>
          <t>sp|Q00987|MDM2_HUMAN E3 ubiquitin-protein ligase Mdm2 OS=Homo sapiens OX=9606 GN=MDM2 PE=1 SV=1</t>
        </is>
      </c>
      <c r="M1048" t="n">
        <v>491</v>
      </c>
      <c r="N1048" t="inlineStr">
        <is>
          <t>Homo sapiens</t>
        </is>
      </c>
      <c r="O1048" t="inlineStr">
        <is>
          <t>E3 ubiquitin-protein ligase Mdm2</t>
        </is>
      </c>
    </row>
    <row r="1049">
      <c r="A1049" t="inlineStr"/>
      <c r="B1049" t="inlineStr"/>
      <c r="C1049" t="inlineStr"/>
      <c r="D1049" t="inlineStr"/>
      <c r="E1049">
        <f>HYPERLINK("https://www.uniprot.org/uniprotkb/P56950/entry", "P56950")</f>
        <v/>
      </c>
      <c r="F1049" t="n">
        <v>54.4</v>
      </c>
      <c r="G1049" t="n">
        <v>90</v>
      </c>
      <c r="H1049" t="n">
        <v>2.62e-23</v>
      </c>
      <c r="I1049" t="inlineStr">
        <is>
          <t>Swiss-Prot</t>
        </is>
      </c>
      <c r="J1049" t="inlineStr">
        <is>
          <t>MDM2</t>
        </is>
      </c>
      <c r="K1049" t="inlineStr">
        <is>
          <t>MDM2_CANLF</t>
        </is>
      </c>
      <c r="L1049" t="inlineStr">
        <is>
          <t>sp|P56950|MDM2_CANLF E3 ubiquitin-protein ligase Mdm2 OS=Canis lupus familiaris OX=9615 GN=MDM2 PE=2 SV=1</t>
        </is>
      </c>
      <c r="M1049" t="n">
        <v>487</v>
      </c>
      <c r="N1049" t="inlineStr">
        <is>
          <t>Canis lupus familiaris</t>
        </is>
      </c>
      <c r="O1049" t="inlineStr">
        <is>
          <t>E3 ubiquitin-protein ligase Mdm2</t>
        </is>
      </c>
    </row>
    <row r="1050">
      <c r="A1050" t="inlineStr"/>
      <c r="B1050" t="inlineStr"/>
      <c r="C1050" t="inlineStr"/>
      <c r="D1050" t="inlineStr"/>
      <c r="E1050">
        <f>HYPERLINK("https://www.uniprot.org/uniprotkb/Q7YRZ8/entry", "Q7YRZ8")</f>
        <v/>
      </c>
      <c r="F1050" t="n">
        <v>54.4</v>
      </c>
      <c r="G1050" t="n">
        <v>90</v>
      </c>
      <c r="H1050" t="n">
        <v>2.67e-23</v>
      </c>
      <c r="I1050" t="inlineStr">
        <is>
          <t>Swiss-Prot</t>
        </is>
      </c>
      <c r="J1050" t="inlineStr">
        <is>
          <t>MDM2</t>
        </is>
      </c>
      <c r="K1050" t="inlineStr">
        <is>
          <t>MDM2_FELCA</t>
        </is>
      </c>
      <c r="L1050" t="inlineStr">
        <is>
          <t>sp|Q7YRZ8|MDM2_FELCA E3 ubiquitin-protein ligase Mdm2 OS=Felis catus OX=9685 GN=MDM2 PE=1 SV=1</t>
        </is>
      </c>
      <c r="M1050" t="n">
        <v>491</v>
      </c>
      <c r="N1050" t="inlineStr">
        <is>
          <t>Felis catus</t>
        </is>
      </c>
      <c r="O1050" t="inlineStr">
        <is>
          <t>E3 ubiquitin-protein ligase Mdm2</t>
        </is>
      </c>
    </row>
    <row r="1051">
      <c r="A1051" t="inlineStr"/>
      <c r="B1051" t="inlineStr"/>
      <c r="C1051" t="inlineStr"/>
      <c r="D1051" t="inlineStr"/>
      <c r="E1051">
        <f>HYPERLINK("https://www.uniprot.org/uniprotkb/O42354/entry", "O42354")</f>
        <v/>
      </c>
      <c r="F1051" t="n">
        <v>51</v>
      </c>
      <c r="G1051" t="n">
        <v>100</v>
      </c>
      <c r="H1051" t="n">
        <v>1.37e-22</v>
      </c>
      <c r="I1051" t="inlineStr">
        <is>
          <t>Swiss-Prot</t>
        </is>
      </c>
      <c r="J1051" t="inlineStr">
        <is>
          <t>mdm2</t>
        </is>
      </c>
      <c r="K1051" t="inlineStr">
        <is>
          <t>MDM2_DANRE</t>
        </is>
      </c>
      <c r="L1051" t="inlineStr">
        <is>
          <t>sp|O42354|MDM2_DANRE E3 ubiquitin-protein ligase Mdm2 OS=Danio rerio OX=7955 GN=mdm2 PE=1 SV=1</t>
        </is>
      </c>
      <c r="M1051" t="n">
        <v>445</v>
      </c>
      <c r="N1051" t="inlineStr">
        <is>
          <t>Danio rerio</t>
        </is>
      </c>
      <c r="O1051" t="inlineStr">
        <is>
          <t>E3 ubiquitin-protein ligase Mdm2</t>
        </is>
      </c>
    </row>
    <row r="1052">
      <c r="A1052" t="inlineStr"/>
      <c r="B1052" t="inlineStr"/>
      <c r="C1052" t="inlineStr"/>
      <c r="D1052" t="inlineStr"/>
      <c r="E1052">
        <f>HYPERLINK("https://www.uniprot.org/uniprotkb/Q60524/entry", "Q60524")</f>
        <v/>
      </c>
      <c r="F1052" t="n">
        <v>49.5</v>
      </c>
      <c r="G1052" t="n">
        <v>97</v>
      </c>
      <c r="H1052" t="n">
        <v>2.76e-19</v>
      </c>
      <c r="I1052" t="inlineStr">
        <is>
          <t>Swiss-Prot</t>
        </is>
      </c>
      <c r="J1052" t="inlineStr">
        <is>
          <t>MDM2</t>
        </is>
      </c>
      <c r="K1052" t="inlineStr">
        <is>
          <t>MDM2_MESAU</t>
        </is>
      </c>
      <c r="L1052" t="inlineStr">
        <is>
          <t>sp|Q60524|MDM2_MESAU E3 ubiquitin-protein ligase Mdm2 (Fragment) OS=Mesocricetus auratus OX=10036 GN=MDM2 PE=2 SV=1</t>
        </is>
      </c>
      <c r="M1052" t="n">
        <v>466</v>
      </c>
      <c r="N1052" t="inlineStr">
        <is>
          <t>Mesocricetus auratus</t>
        </is>
      </c>
      <c r="O1052" t="inlineStr">
        <is>
          <t>E3 ubiquitin-protein ligase Mdm2 (Fragment)</t>
        </is>
      </c>
    </row>
    <row r="1053">
      <c r="A1053" t="inlineStr">
        <is>
          <t>NODE_125005_length_1323_cov_1.777070_g53028_i0</t>
        </is>
      </c>
      <c r="B1053" t="inlineStr">
        <is>
          <t>bombina_pachypus_blastx</t>
        </is>
      </c>
      <c r="C1053" t="n">
        <v>-7.41091350335519</v>
      </c>
      <c r="D1053" t="n">
        <v>0.0042471485759189</v>
      </c>
      <c r="E1053">
        <f>HYPERLINK("https://www.ncbi.nlm.nih.gov/gene/?term=OCT84615.1", "OCT84615.1")</f>
        <v/>
      </c>
      <c r="F1053" t="n">
        <v>34.9</v>
      </c>
      <c r="G1053" t="n">
        <v>304</v>
      </c>
      <c r="H1053" t="n">
        <v>1.23e-24</v>
      </c>
      <c r="I1053" t="inlineStr">
        <is>
          <t>Nr</t>
        </is>
      </c>
      <c r="J1053" t="inlineStr"/>
      <c r="K1053" t="inlineStr"/>
      <c r="L1053" t="inlineStr">
        <is>
          <t>OCT84615.1 hypothetical protein XELAEV_18022768mg [Xenopus laevis]</t>
        </is>
      </c>
      <c r="M1053" t="n">
        <v>389</v>
      </c>
      <c r="N1053" t="inlineStr">
        <is>
          <t>Xenopus laevis</t>
        </is>
      </c>
      <c r="O1053" t="inlineStr">
        <is>
          <t>hypothetical protein XELAEV_18022768mg</t>
        </is>
      </c>
    </row>
    <row r="1054">
      <c r="A1054" t="inlineStr"/>
      <c r="B1054" t="inlineStr"/>
      <c r="C1054" t="inlineStr"/>
      <c r="D1054" t="inlineStr"/>
      <c r="E1054">
        <f>HYPERLINK("https://www.uniprot.org/uniprotkb/A0A8J1L6H8/entry", "A0A8J1L6H8")</f>
        <v/>
      </c>
      <c r="F1054" t="n">
        <v>34.8</v>
      </c>
      <c r="G1054" t="n">
        <v>316</v>
      </c>
      <c r="H1054" t="n">
        <v>8.44e-24</v>
      </c>
      <c r="I1054" t="inlineStr">
        <is>
          <t>TrEMBL</t>
        </is>
      </c>
      <c r="J1054" t="inlineStr">
        <is>
          <t>LOC121395238</t>
        </is>
      </c>
      <c r="K1054" t="inlineStr">
        <is>
          <t>A0A8J1L6H8_XENLA</t>
        </is>
      </c>
      <c r="L1054" t="inlineStr">
        <is>
          <t>tr|A0A8J1L6H8|A0A8J1L6H8_XENLA uncharacterized protein LOC121395238 OS=Xenopus laevis OX=8355 GN=LOC121395238 PE=4 SV=1</t>
        </is>
      </c>
      <c r="M1054" t="n">
        <v>346</v>
      </c>
      <c r="N1054" t="inlineStr">
        <is>
          <t>Xenopus laevis</t>
        </is>
      </c>
      <c r="O1054" t="inlineStr">
        <is>
          <t>uncharacterized protein LOC121395238</t>
        </is>
      </c>
    </row>
    <row r="1055">
      <c r="A1055" t="inlineStr"/>
      <c r="B1055" t="inlineStr"/>
      <c r="C1055" t="inlineStr"/>
      <c r="D1055" t="inlineStr"/>
      <c r="E1055">
        <f>HYPERLINK("https://www.ncbi.nlm.nih.gov/gene/?term=XP_041424205.1", "XP_041424205.1")</f>
        <v/>
      </c>
      <c r="F1055" t="n">
        <v>34.8</v>
      </c>
      <c r="G1055" t="n">
        <v>316</v>
      </c>
      <c r="H1055" t="n">
        <v>2.17e-23</v>
      </c>
      <c r="I1055" t="inlineStr">
        <is>
          <t>Nr</t>
        </is>
      </c>
      <c r="J1055" t="inlineStr"/>
      <c r="K1055" t="inlineStr"/>
      <c r="L1055" t="inlineStr">
        <is>
          <t>XP_041424205.1 uncharacterized protein LOC121395238 [Xenopus laevis]</t>
        </is>
      </c>
      <c r="M1055" t="n">
        <v>346</v>
      </c>
      <c r="N1055" t="inlineStr">
        <is>
          <t>Xenopus laevis</t>
        </is>
      </c>
      <c r="O1055" t="inlineStr">
        <is>
          <t>uncharacterized protein LOC121395238</t>
        </is>
      </c>
    </row>
    <row r="1056">
      <c r="A1056" t="inlineStr"/>
      <c r="B1056" t="inlineStr"/>
      <c r="C1056" t="inlineStr"/>
      <c r="D1056" t="inlineStr"/>
      <c r="E1056">
        <f>HYPERLINK("https://www.uniprot.org/uniprotkb/A0A8J1LGI6/entry", "A0A8J1LGI6")</f>
        <v/>
      </c>
      <c r="F1056" t="n">
        <v>35.8</v>
      </c>
      <c r="G1056" t="n">
        <v>302</v>
      </c>
      <c r="H1056" t="n">
        <v>3.93e-22</v>
      </c>
      <c r="I1056" t="inlineStr">
        <is>
          <t>TrEMBL</t>
        </is>
      </c>
      <c r="J1056" t="inlineStr">
        <is>
          <t>LOC121396834</t>
        </is>
      </c>
      <c r="K1056" t="inlineStr">
        <is>
          <t>A0A8J1LGI6_XENLA</t>
        </is>
      </c>
      <c r="L1056" t="inlineStr">
        <is>
          <t>tr|A0A8J1LGI6|A0A8J1LGI6_XENLA uncharacterized protein LOC121396834 OS=Xenopus laevis OX=8355 GN=LOC121396834 PE=4 SV=1</t>
        </is>
      </c>
      <c r="M1056" t="n">
        <v>393</v>
      </c>
      <c r="N1056" t="inlineStr">
        <is>
          <t>Xenopus laevis</t>
        </is>
      </c>
      <c r="O1056" t="inlineStr">
        <is>
          <t>uncharacterized protein LOC121396834</t>
        </is>
      </c>
    </row>
    <row r="1057">
      <c r="A1057" t="inlineStr"/>
      <c r="B1057" t="inlineStr"/>
      <c r="C1057" t="inlineStr"/>
      <c r="D1057" t="inlineStr"/>
      <c r="E1057">
        <f>HYPERLINK("https://www.ncbi.nlm.nih.gov/gene/?term=XP_041428149.1", "XP_041428149.1")</f>
        <v/>
      </c>
      <c r="F1057" t="n">
        <v>35.8</v>
      </c>
      <c r="G1057" t="n">
        <v>302</v>
      </c>
      <c r="H1057" t="n">
        <v>1.01e-21</v>
      </c>
      <c r="I1057" t="inlineStr">
        <is>
          <t>Nr</t>
        </is>
      </c>
      <c r="J1057" t="inlineStr"/>
      <c r="K1057" t="inlineStr"/>
      <c r="L1057" t="inlineStr">
        <is>
          <t>XP_041428149.1 uncharacterized protein LOC121396834 [Xenopus laevis]</t>
        </is>
      </c>
      <c r="M1057" t="n">
        <v>393</v>
      </c>
      <c r="N1057" t="inlineStr">
        <is>
          <t>Xenopus laevis</t>
        </is>
      </c>
      <c r="O1057" t="inlineStr">
        <is>
          <t>uncharacterized protein LOC121396834</t>
        </is>
      </c>
    </row>
    <row r="1058">
      <c r="A1058" t="inlineStr"/>
      <c r="B1058" t="inlineStr"/>
      <c r="C1058" t="inlineStr"/>
      <c r="D1058" t="inlineStr"/>
      <c r="E1058">
        <f>HYPERLINK("https://www.uniprot.org/uniprotkb/A0A8J1KQT3/entry", "A0A8J1KQT3")</f>
        <v/>
      </c>
      <c r="F1058" t="n">
        <v>36.1</v>
      </c>
      <c r="G1058" t="n">
        <v>219</v>
      </c>
      <c r="H1058" t="n">
        <v>1.17e-21</v>
      </c>
      <c r="I1058" t="inlineStr">
        <is>
          <t>TrEMBL</t>
        </is>
      </c>
      <c r="J1058" t="inlineStr">
        <is>
          <t>LOC121393628</t>
        </is>
      </c>
      <c r="K1058" t="inlineStr">
        <is>
          <t>A0A8J1KQT3_XENLA</t>
        </is>
      </c>
      <c r="L1058" t="inlineStr">
        <is>
          <t>tr|A0A8J1KQT3|A0A8J1KQT3_XENLA uncharacterized protein LOC121393628 OS=Xenopus laevis OX=8355 GN=LOC121393628 PE=4 SV=1</t>
        </is>
      </c>
      <c r="M1058" t="n">
        <v>611</v>
      </c>
      <c r="N1058" t="inlineStr">
        <is>
          <t>Xenopus laevis</t>
        </is>
      </c>
      <c r="O1058" t="inlineStr">
        <is>
          <t>uncharacterized protein LOC121393628</t>
        </is>
      </c>
    </row>
    <row r="1059">
      <c r="A1059" t="inlineStr"/>
      <c r="B1059" t="inlineStr"/>
      <c r="C1059" t="inlineStr"/>
      <c r="D1059" t="inlineStr"/>
      <c r="E1059">
        <f>HYPERLINK("https://www.uniprot.org/uniprotkb/A0A8J1KPS1/entry", "A0A8J1KPS1")</f>
        <v/>
      </c>
      <c r="F1059" t="n">
        <v>32.9</v>
      </c>
      <c r="G1059" t="n">
        <v>304</v>
      </c>
      <c r="H1059" t="n">
        <v>2.59e-21</v>
      </c>
      <c r="I1059" t="inlineStr">
        <is>
          <t>TrEMBL</t>
        </is>
      </c>
      <c r="J1059" t="inlineStr">
        <is>
          <t>LOC121393680</t>
        </is>
      </c>
      <c r="K1059" t="inlineStr">
        <is>
          <t>A0A8J1KPS1_XENLA</t>
        </is>
      </c>
      <c r="L1059" t="inlineStr">
        <is>
          <t>tr|A0A8J1KPS1|A0A8J1KPS1_XENLA uncharacterized protein LOC121393680 isoform X1 OS=Xenopus laevis OX=8355 GN=LOC121393680 PE=4 SV=1</t>
        </is>
      </c>
      <c r="M1059" t="n">
        <v>753</v>
      </c>
      <c r="N1059" t="inlineStr">
        <is>
          <t>Xenopus laevis</t>
        </is>
      </c>
      <c r="O1059" t="inlineStr">
        <is>
          <t>uncharacterized protein LOC121393680 isoform X1</t>
        </is>
      </c>
    </row>
    <row r="1060">
      <c r="A1060" t="inlineStr"/>
      <c r="B1060" t="inlineStr"/>
      <c r="C1060" t="inlineStr"/>
      <c r="D1060" t="inlineStr"/>
      <c r="E1060">
        <f>HYPERLINK("https://www.uniprot.org/uniprotkb/A0A8J1KQR2/entry", "A0A8J1KQR2")</f>
        <v/>
      </c>
      <c r="F1060" t="n">
        <v>35.6</v>
      </c>
      <c r="G1060" t="n">
        <v>219</v>
      </c>
      <c r="H1060" t="n">
        <v>2.88e-21</v>
      </c>
      <c r="I1060" t="inlineStr">
        <is>
          <t>TrEMBL</t>
        </is>
      </c>
      <c r="J1060" t="inlineStr">
        <is>
          <t>LOC121393620</t>
        </is>
      </c>
      <c r="K1060" t="inlineStr">
        <is>
          <t>A0A8J1KQR2_XENLA</t>
        </is>
      </c>
      <c r="L1060" t="inlineStr">
        <is>
          <t>tr|A0A8J1KQR2|A0A8J1KQR2_XENLA uncharacterized protein LOC121393620 OS=Xenopus laevis OX=8355 GN=LOC121393620 PE=4 SV=1</t>
        </is>
      </c>
      <c r="M1060" t="n">
        <v>611</v>
      </c>
      <c r="N1060" t="inlineStr">
        <is>
          <t>Xenopus laevis</t>
        </is>
      </c>
      <c r="O1060" t="inlineStr">
        <is>
          <t>uncharacterized protein LOC121393620</t>
        </is>
      </c>
    </row>
    <row r="1061">
      <c r="A1061" t="inlineStr"/>
      <c r="B1061" t="inlineStr"/>
      <c r="C1061" t="inlineStr"/>
      <c r="D1061" t="inlineStr"/>
      <c r="E1061">
        <f>HYPERLINK("https://www.uniprot.org/uniprotkb/A0A8J1LQ87/entry", "A0A8J1LQ87")</f>
        <v/>
      </c>
      <c r="F1061" t="n">
        <v>35.6</v>
      </c>
      <c r="G1061" t="n">
        <v>219</v>
      </c>
      <c r="H1061" t="n">
        <v>2.88e-21</v>
      </c>
      <c r="I1061" t="inlineStr">
        <is>
          <t>TrEMBL</t>
        </is>
      </c>
      <c r="J1061" t="inlineStr">
        <is>
          <t>LOC121397711</t>
        </is>
      </c>
      <c r="K1061" t="inlineStr">
        <is>
          <t>A0A8J1LQ87_XENLA</t>
        </is>
      </c>
      <c r="L1061" t="inlineStr">
        <is>
          <t>tr|A0A8J1LQ87|A0A8J1LQ87_XENLA uncharacterized protein LOC121397711 OS=Xenopus laevis OX=8355 GN=LOC121397711 PE=4 SV=1</t>
        </is>
      </c>
      <c r="M1061" t="n">
        <v>611</v>
      </c>
      <c r="N1061" t="inlineStr">
        <is>
          <t>Xenopus laevis</t>
        </is>
      </c>
      <c r="O1061" t="inlineStr">
        <is>
          <t>uncharacterized protein LOC121397711</t>
        </is>
      </c>
    </row>
    <row r="1062">
      <c r="A1062" t="inlineStr"/>
      <c r="B1062" t="inlineStr"/>
      <c r="C1062" t="inlineStr"/>
      <c r="D1062" t="inlineStr"/>
      <c r="E1062">
        <f>HYPERLINK("https://www.ncbi.nlm.nih.gov/gene/?term=XP_041418589.1", "XP_041418589.1")</f>
        <v/>
      </c>
      <c r="F1062" t="n">
        <v>36.1</v>
      </c>
      <c r="G1062" t="n">
        <v>219</v>
      </c>
      <c r="H1062" t="n">
        <v>3.01e-21</v>
      </c>
      <c r="I1062" t="inlineStr">
        <is>
          <t>Nr</t>
        </is>
      </c>
      <c r="J1062" t="inlineStr"/>
      <c r="K1062" t="inlineStr"/>
      <c r="L1062" t="inlineStr">
        <is>
          <t>XP_041418589.1 uncharacterized protein LOC121393628 [Xenopus laevis]</t>
        </is>
      </c>
      <c r="M1062" t="n">
        <v>611</v>
      </c>
      <c r="N1062" t="inlineStr">
        <is>
          <t>Xenopus laevis</t>
        </is>
      </c>
      <c r="O1062" t="inlineStr">
        <is>
          <t>uncharacterized protein LOC121393628</t>
        </is>
      </c>
    </row>
    <row r="1063">
      <c r="A1063" t="inlineStr"/>
      <c r="B1063" t="inlineStr"/>
      <c r="C1063" t="inlineStr"/>
      <c r="D1063" t="inlineStr"/>
      <c r="E1063">
        <f>HYPERLINK("https://www.ncbi.nlm.nih.gov/gene/?term=XP_041418743.1", "XP_041418743.1")</f>
        <v/>
      </c>
      <c r="F1063" t="n">
        <v>32.9</v>
      </c>
      <c r="G1063" t="n">
        <v>304</v>
      </c>
      <c r="H1063" t="n">
        <v>6.65e-21</v>
      </c>
      <c r="I1063" t="inlineStr">
        <is>
          <t>Nr</t>
        </is>
      </c>
      <c r="J1063" t="inlineStr"/>
      <c r="K1063" t="inlineStr"/>
      <c r="L1063" t="inlineStr">
        <is>
          <t>XP_041418743.1 uncharacterized protein LOC121393680 isoform X1 [Xenopus laevis]</t>
        </is>
      </c>
      <c r="M1063" t="n">
        <v>753</v>
      </c>
      <c r="N1063" t="inlineStr">
        <is>
          <t>Xenopus laevis</t>
        </is>
      </c>
      <c r="O1063" t="inlineStr">
        <is>
          <t>uncharacterized protein LOC121393680 isoform X1</t>
        </is>
      </c>
    </row>
    <row r="1064">
      <c r="A1064" t="inlineStr"/>
      <c r="B1064" t="inlineStr"/>
      <c r="C1064" t="inlineStr"/>
      <c r="D1064" t="inlineStr"/>
      <c r="E1064">
        <f>HYPERLINK("https://www.ncbi.nlm.nih.gov/gene/?term=XP_041418569.1", "XP_041418569.1")</f>
        <v/>
      </c>
      <c r="F1064" t="n">
        <v>35.6</v>
      </c>
      <c r="G1064" t="n">
        <v>219</v>
      </c>
      <c r="H1064" t="n">
        <v>7.4e-21</v>
      </c>
      <c r="I1064" t="inlineStr">
        <is>
          <t>Nr</t>
        </is>
      </c>
      <c r="J1064" t="inlineStr"/>
      <c r="K1064" t="inlineStr"/>
      <c r="L1064" t="inlineStr">
        <is>
          <t>XP_041418569.1 uncharacterized protein LOC121393620 [Xenopus laevis]</t>
        </is>
      </c>
      <c r="M1064" t="n">
        <v>611</v>
      </c>
      <c r="N1064" t="inlineStr">
        <is>
          <t>Xenopus laevis</t>
        </is>
      </c>
      <c r="O1064" t="inlineStr">
        <is>
          <t>uncharacterized protein LOC121393620</t>
        </is>
      </c>
    </row>
    <row r="1065">
      <c r="A1065" t="inlineStr"/>
      <c r="B1065" t="inlineStr"/>
      <c r="C1065" t="inlineStr"/>
      <c r="D1065" t="inlineStr"/>
      <c r="E1065">
        <f>HYPERLINK("https://www.ncbi.nlm.nih.gov/gene/?term=XP_041430880.1", "XP_041430880.1")</f>
        <v/>
      </c>
      <c r="F1065" t="n">
        <v>35.6</v>
      </c>
      <c r="G1065" t="n">
        <v>219</v>
      </c>
      <c r="H1065" t="n">
        <v>7.4e-21</v>
      </c>
      <c r="I1065" t="inlineStr">
        <is>
          <t>Nr</t>
        </is>
      </c>
      <c r="J1065" t="inlineStr"/>
      <c r="K1065" t="inlineStr"/>
      <c r="L1065" t="inlineStr">
        <is>
          <t>XP_041430880.1 uncharacterized protein LOC121397711 [Xenopus laevis]</t>
        </is>
      </c>
      <c r="M1065" t="n">
        <v>611</v>
      </c>
      <c r="N1065" t="inlineStr">
        <is>
          <t>Xenopus laevis</t>
        </is>
      </c>
      <c r="O1065" t="inlineStr">
        <is>
          <t>uncharacterized protein LOC121397711</t>
        </is>
      </c>
    </row>
    <row r="1066">
      <c r="A1066" t="inlineStr"/>
      <c r="B1066" t="inlineStr"/>
      <c r="C1066" t="inlineStr"/>
      <c r="D1066" t="inlineStr"/>
      <c r="E1066">
        <f>HYPERLINK("https://www.uniprot.org/uniprotkb/A0A803JQT4/entry", "A0A803JQT4")</f>
        <v/>
      </c>
      <c r="F1066" t="n">
        <v>32.5</v>
      </c>
      <c r="G1066" t="n">
        <v>317</v>
      </c>
      <c r="H1066" t="n">
        <v>1.53e-20</v>
      </c>
      <c r="I1066" t="inlineStr">
        <is>
          <t>TrEMBL</t>
        </is>
      </c>
      <c r="J1066" t="inlineStr"/>
      <c r="K1066" t="inlineStr">
        <is>
          <t>A0A803JQT4_XENTR</t>
        </is>
      </c>
      <c r="L1066" t="inlineStr">
        <is>
          <t>tr|A0A803JQT4|A0A803JQT4_XENTR Reverse transcriptase domain-containing protein OS=Xenopus tropicalis OX=8364 PE=4 SV=1</t>
        </is>
      </c>
      <c r="M1066" t="n">
        <v>750</v>
      </c>
      <c r="N1066" t="inlineStr">
        <is>
          <t>Xenopus tropicalis</t>
        </is>
      </c>
      <c r="O1066" t="inlineStr">
        <is>
          <t>Reverse transcriptase domain-containing protein</t>
        </is>
      </c>
    </row>
    <row r="1067">
      <c r="A1067" t="inlineStr"/>
      <c r="B1067" t="inlineStr"/>
      <c r="C1067" t="inlineStr"/>
      <c r="D1067" t="inlineStr"/>
      <c r="E1067">
        <f>HYPERLINK("https://www.uniprot.org/uniprotkb/A0A8J1LM93/entry", "A0A8J1LM93")</f>
        <v/>
      </c>
      <c r="F1067" t="n">
        <v>33.1</v>
      </c>
      <c r="G1067" t="n">
        <v>299</v>
      </c>
      <c r="H1067" t="n">
        <v>3.28e-20</v>
      </c>
      <c r="I1067" t="inlineStr">
        <is>
          <t>TrEMBL</t>
        </is>
      </c>
      <c r="J1067" t="inlineStr">
        <is>
          <t>LOC121397297</t>
        </is>
      </c>
      <c r="K1067" t="inlineStr">
        <is>
          <t>A0A8J1LM93_XENLA</t>
        </is>
      </c>
      <c r="L1067" t="inlineStr">
        <is>
          <t>tr|A0A8J1LM93|A0A8J1LM93_XENLA uncharacterized protein LOC121397297 OS=Xenopus laevis OX=8355 GN=LOC121397297 PE=4 SV=1</t>
        </is>
      </c>
      <c r="M1067" t="n">
        <v>635</v>
      </c>
      <c r="N1067" t="inlineStr">
        <is>
          <t>Xenopus laevis</t>
        </is>
      </c>
      <c r="O1067" t="inlineStr">
        <is>
          <t>uncharacterized protein LOC121397297</t>
        </is>
      </c>
    </row>
    <row r="1068">
      <c r="A1068" t="inlineStr"/>
      <c r="B1068" t="inlineStr"/>
      <c r="C1068" t="inlineStr"/>
      <c r="D1068" t="inlineStr"/>
      <c r="E1068">
        <f>HYPERLINK("https://www.ncbi.nlm.nih.gov/gene/?term=XP_041429845.1", "XP_041429845.1")</f>
        <v/>
      </c>
      <c r="F1068" t="n">
        <v>33.1</v>
      </c>
      <c r="G1068" t="n">
        <v>299</v>
      </c>
      <c r="H1068" t="n">
        <v>8.41e-20</v>
      </c>
      <c r="I1068" t="inlineStr">
        <is>
          <t>Nr</t>
        </is>
      </c>
      <c r="J1068" t="inlineStr"/>
      <c r="K1068" t="inlineStr"/>
      <c r="L1068" t="inlineStr">
        <is>
          <t>XP_041429845.1 uncharacterized protein LOC121397297 [Xenopus laevis]</t>
        </is>
      </c>
      <c r="M1068" t="n">
        <v>635</v>
      </c>
      <c r="N1068" t="inlineStr">
        <is>
          <t>Xenopus laevis</t>
        </is>
      </c>
      <c r="O1068" t="inlineStr">
        <is>
          <t>uncharacterized protein LOC121397297</t>
        </is>
      </c>
    </row>
    <row r="1069">
      <c r="A1069" t="inlineStr"/>
      <c r="B1069" t="inlineStr"/>
      <c r="C1069" t="inlineStr"/>
      <c r="D1069" t="inlineStr"/>
      <c r="E1069">
        <f>HYPERLINK("https://www.uniprot.org/uniprotkb/A0A8C5MB09/entry", "A0A8C5MB09")</f>
        <v/>
      </c>
      <c r="F1069" t="n">
        <v>33</v>
      </c>
      <c r="G1069" t="n">
        <v>300</v>
      </c>
      <c r="H1069" t="n">
        <v>1.61e-18</v>
      </c>
      <c r="I1069" t="inlineStr">
        <is>
          <t>TrEMBL</t>
        </is>
      </c>
      <c r="J1069" t="inlineStr"/>
      <c r="K1069" t="inlineStr">
        <is>
          <t>A0A8C5MB09_9ANUR</t>
        </is>
      </c>
      <c r="L1069" t="inlineStr">
        <is>
          <t>tr|A0A8C5MB09|A0A8C5MB09_9ANUR Reverse transcriptase domain-containing protein OS=Leptobrachium leishanense OX=445787 PE=4 SV=1</t>
        </is>
      </c>
      <c r="M1069" t="n">
        <v>665</v>
      </c>
      <c r="N1069" t="inlineStr">
        <is>
          <t>Leptobrachium leishanense</t>
        </is>
      </c>
      <c r="O1069" t="inlineStr">
        <is>
          <t>Reverse transcriptase domain-containing protein</t>
        </is>
      </c>
    </row>
    <row r="1070">
      <c r="A1070" t="inlineStr"/>
      <c r="B1070" t="inlineStr"/>
      <c r="C1070" t="inlineStr"/>
      <c r="D1070" t="inlineStr"/>
      <c r="E1070">
        <f>HYPERLINK("https://www.uniprot.org/uniprotkb/A0A8C5LUF2/entry", "A0A8C5LUF2")</f>
        <v/>
      </c>
      <c r="F1070" t="n">
        <v>33</v>
      </c>
      <c r="G1070" t="n">
        <v>300</v>
      </c>
      <c r="H1070" t="n">
        <v>2.16e-18</v>
      </c>
      <c r="I1070" t="inlineStr">
        <is>
          <t>TrEMBL</t>
        </is>
      </c>
      <c r="J1070" t="inlineStr"/>
      <c r="K1070" t="inlineStr">
        <is>
          <t>A0A8C5LUF2_9ANUR</t>
        </is>
      </c>
      <c r="L1070" t="inlineStr">
        <is>
          <t>tr|A0A8C5LUF2|A0A8C5LUF2_9ANUR Reverse transcriptase domain-containing protein OS=Leptobrachium leishanense OX=445787 PE=4 SV=1</t>
        </is>
      </c>
      <c r="M1070" t="n">
        <v>665</v>
      </c>
      <c r="N1070" t="inlineStr">
        <is>
          <t>Leptobrachium leishanense</t>
        </is>
      </c>
      <c r="O1070" t="inlineStr">
        <is>
          <t>Reverse transcriptase domain-containing protein</t>
        </is>
      </c>
    </row>
    <row r="1071">
      <c r="A1071" t="inlineStr"/>
      <c r="B1071" t="inlineStr"/>
      <c r="C1071" t="inlineStr"/>
      <c r="D1071" t="inlineStr"/>
      <c r="E1071">
        <f>HYPERLINK("https://www.uniprot.org/uniprotkb/A0A8C5Q061/entry", "A0A8C5Q061")</f>
        <v/>
      </c>
      <c r="F1071" t="n">
        <v>33</v>
      </c>
      <c r="G1071" t="n">
        <v>300</v>
      </c>
      <c r="H1071" t="n">
        <v>2.16e-18</v>
      </c>
      <c r="I1071" t="inlineStr">
        <is>
          <t>TrEMBL</t>
        </is>
      </c>
      <c r="J1071" t="inlineStr"/>
      <c r="K1071" t="inlineStr">
        <is>
          <t>A0A8C5Q061_9ANUR</t>
        </is>
      </c>
      <c r="L1071" t="inlineStr">
        <is>
          <t>tr|A0A8C5Q061|A0A8C5Q061_9ANUR Reverse transcriptase domain-containing protein OS=Leptobrachium leishanense OX=445787 PE=4 SV=1</t>
        </is>
      </c>
      <c r="M1071" t="n">
        <v>665</v>
      </c>
      <c r="N1071" t="inlineStr">
        <is>
          <t>Leptobrachium leishanense</t>
        </is>
      </c>
      <c r="O1071" t="inlineStr">
        <is>
          <t>Reverse transcriptase domain-containing protein</t>
        </is>
      </c>
    </row>
    <row r="1072">
      <c r="A1072" t="inlineStr"/>
      <c r="B1072" t="inlineStr"/>
      <c r="C1072" t="inlineStr"/>
      <c r="D1072" t="inlineStr"/>
      <c r="E1072">
        <f>HYPERLINK("https://www.uniprot.org/uniprotkb/A0A8C5MG30/entry", "A0A8C5MG30")</f>
        <v/>
      </c>
      <c r="F1072" t="n">
        <v>33</v>
      </c>
      <c r="G1072" t="n">
        <v>300</v>
      </c>
      <c r="H1072" t="n">
        <v>2.37e-18</v>
      </c>
      <c r="I1072" t="inlineStr">
        <is>
          <t>TrEMBL</t>
        </is>
      </c>
      <c r="J1072" t="inlineStr"/>
      <c r="K1072" t="inlineStr">
        <is>
          <t>A0A8C5MG30_9ANUR</t>
        </is>
      </c>
      <c r="L1072" t="inlineStr">
        <is>
          <t>tr|A0A8C5MG30|A0A8C5MG30_9ANUR Reverse transcriptase domain-containing protein OS=Leptobrachium leishanense OX=445787 PE=4 SV=1</t>
        </is>
      </c>
      <c r="M1072" t="n">
        <v>769</v>
      </c>
      <c r="N1072" t="inlineStr">
        <is>
          <t>Leptobrachium leishanense</t>
        </is>
      </c>
      <c r="O1072" t="inlineStr">
        <is>
          <t>Reverse transcriptase domain-containing protein</t>
        </is>
      </c>
    </row>
    <row r="1073">
      <c r="A1073" t="inlineStr"/>
      <c r="B1073" t="inlineStr"/>
      <c r="C1073" t="inlineStr"/>
      <c r="D1073" t="inlineStr"/>
      <c r="E1073">
        <f>HYPERLINK("https://www.uniprot.org/uniprotkb/A0A8C5MLF7/entry", "A0A8C5MLF7")</f>
        <v/>
      </c>
      <c r="F1073" t="n">
        <v>32.7</v>
      </c>
      <c r="G1073" t="n">
        <v>300</v>
      </c>
      <c r="H1073" t="n">
        <v>3.9e-18</v>
      </c>
      <c r="I1073" t="inlineStr">
        <is>
          <t>TrEMBL</t>
        </is>
      </c>
      <c r="J1073" t="inlineStr"/>
      <c r="K1073" t="inlineStr">
        <is>
          <t>A0A8C5MLF7_9ANUR</t>
        </is>
      </c>
      <c r="L1073" t="inlineStr">
        <is>
          <t>tr|A0A8C5MLF7|A0A8C5MLF7_9ANUR Reverse transcriptase domain-containing protein OS=Leptobrachium leishanense OX=445787 PE=4 SV=1</t>
        </is>
      </c>
      <c r="M1073" t="n">
        <v>665</v>
      </c>
      <c r="N1073" t="inlineStr">
        <is>
          <t>Leptobrachium leishanense</t>
        </is>
      </c>
      <c r="O1073" t="inlineStr">
        <is>
          <t>Reverse transcriptase domain-containing protein</t>
        </is>
      </c>
    </row>
    <row r="1074">
      <c r="A1074" t="inlineStr"/>
      <c r="B1074" t="inlineStr"/>
      <c r="C1074" t="inlineStr"/>
      <c r="D1074" t="inlineStr"/>
      <c r="E1074">
        <f>HYPERLINK("https://www.ncbi.nlm.nih.gov/gene/?term=OCT80018.1", "OCT80018.1")</f>
        <v/>
      </c>
      <c r="F1074" t="n">
        <v>33.9</v>
      </c>
      <c r="G1074" t="n">
        <v>304</v>
      </c>
      <c r="H1074" t="n">
        <v>2.27e-17</v>
      </c>
      <c r="I1074" t="inlineStr">
        <is>
          <t>Nr</t>
        </is>
      </c>
      <c r="J1074" t="inlineStr"/>
      <c r="K1074" t="inlineStr"/>
      <c r="L1074" t="inlineStr">
        <is>
          <t>OCT80018.1 hypothetical protein XELAEV_18026834mg [Xenopus laevis]</t>
        </is>
      </c>
      <c r="M1074" t="n">
        <v>369</v>
      </c>
      <c r="N1074" t="inlineStr">
        <is>
          <t>Xenopus laevis</t>
        </is>
      </c>
      <c r="O1074" t="inlineStr">
        <is>
          <t>hypothetical protein XELAEV_18026834mg</t>
        </is>
      </c>
    </row>
    <row r="1075">
      <c r="A1075" t="inlineStr"/>
      <c r="B1075" t="inlineStr"/>
      <c r="C1075" t="inlineStr"/>
      <c r="D1075" t="inlineStr"/>
      <c r="E1075">
        <f>HYPERLINK("https://www.uniprot.org/uniprotkb/A0A8C5PXA8/entry", "A0A8C5PXA8")</f>
        <v/>
      </c>
      <c r="F1075" t="n">
        <v>32.3</v>
      </c>
      <c r="G1075" t="n">
        <v>300</v>
      </c>
      <c r="H1075" t="n">
        <v>3.07e-17</v>
      </c>
      <c r="I1075" t="inlineStr">
        <is>
          <t>TrEMBL</t>
        </is>
      </c>
      <c r="J1075" t="inlineStr"/>
      <c r="K1075" t="inlineStr">
        <is>
          <t>A0A8C5PXA8_9ANUR</t>
        </is>
      </c>
      <c r="L1075" t="inlineStr">
        <is>
          <t>tr|A0A8C5PXA8|A0A8C5PXA8_9ANUR Reverse transcriptase domain-containing protein OS=Leptobrachium leishanense OX=445787 PE=4 SV=1</t>
        </is>
      </c>
      <c r="M1075" t="n">
        <v>665</v>
      </c>
      <c r="N1075" t="inlineStr">
        <is>
          <t>Leptobrachium leishanense</t>
        </is>
      </c>
      <c r="O1075" t="inlineStr">
        <is>
          <t>Reverse transcriptase domain-containing protein</t>
        </is>
      </c>
    </row>
    <row r="1076">
      <c r="A1076" t="inlineStr"/>
      <c r="B1076" t="inlineStr"/>
      <c r="C1076" t="inlineStr"/>
      <c r="D1076" t="inlineStr"/>
      <c r="E1076">
        <f>HYPERLINK("https://www.uniprot.org/uniprotkb/A0A8C5MGY3/entry", "A0A8C5MGY3")</f>
        <v/>
      </c>
      <c r="F1076" t="n">
        <v>32.9</v>
      </c>
      <c r="G1076" t="n">
        <v>310</v>
      </c>
      <c r="H1076" t="n">
        <v>9.65e-17</v>
      </c>
      <c r="I1076" t="inlineStr">
        <is>
          <t>TrEMBL</t>
        </is>
      </c>
      <c r="J1076" t="inlineStr"/>
      <c r="K1076" t="inlineStr">
        <is>
          <t>A0A8C5MGY3_9ANUR</t>
        </is>
      </c>
      <c r="L1076" t="inlineStr">
        <is>
          <t>tr|A0A8C5MGY3|A0A8C5MGY3_9ANUR Reverse transcriptase domain-containing protein OS=Leptobrachium leishanense OX=445787 PE=4 SV=1</t>
        </is>
      </c>
      <c r="M1076" t="n">
        <v>639</v>
      </c>
      <c r="N1076" t="inlineStr">
        <is>
          <t>Leptobrachium leishanense</t>
        </is>
      </c>
      <c r="O1076" t="inlineStr">
        <is>
          <t>Reverse transcriptase domain-containing protein</t>
        </is>
      </c>
    </row>
    <row r="1077">
      <c r="A1077" t="inlineStr"/>
      <c r="B1077" t="inlineStr"/>
      <c r="C1077" t="inlineStr"/>
      <c r="D1077" t="inlineStr"/>
      <c r="E1077">
        <f>HYPERLINK("https://www.ncbi.nlm.nih.gov/gene/?term=OCT99458.1", "OCT99458.1")</f>
        <v/>
      </c>
      <c r="F1077" t="n">
        <v>37.5</v>
      </c>
      <c r="G1077" t="n">
        <v>176</v>
      </c>
      <c r="H1077" t="n">
        <v>1.51e-15</v>
      </c>
      <c r="I1077" t="inlineStr">
        <is>
          <t>Nr</t>
        </is>
      </c>
      <c r="J1077" t="inlineStr"/>
      <c r="K1077" t="inlineStr"/>
      <c r="L1077" t="inlineStr">
        <is>
          <t>OCT99458.1 hypothetical protein XELAEV_18005240mg [Xenopus laevis]</t>
        </is>
      </c>
      <c r="M1077" t="n">
        <v>214</v>
      </c>
      <c r="N1077" t="inlineStr">
        <is>
          <t>Xenopus laevis</t>
        </is>
      </c>
      <c r="O1077" t="inlineStr">
        <is>
          <t>hypothetical protein XELAEV_18005240mg</t>
        </is>
      </c>
    </row>
    <row r="1078">
      <c r="A1078" t="inlineStr"/>
      <c r="B1078" t="inlineStr"/>
      <c r="C1078" t="inlineStr"/>
      <c r="D1078" t="inlineStr"/>
      <c r="E1078">
        <f>HYPERLINK("https://www.ncbi.nlm.nih.gov/gene/?term=OCT92171.1", "OCT92171.1")</f>
        <v/>
      </c>
      <c r="F1078" t="n">
        <v>31.4</v>
      </c>
      <c r="G1078" t="n">
        <v>315</v>
      </c>
      <c r="H1078" t="n">
        <v>3.12e-15</v>
      </c>
      <c r="I1078" t="inlineStr">
        <is>
          <t>Nr</t>
        </is>
      </c>
      <c r="J1078" t="inlineStr"/>
      <c r="K1078" t="inlineStr"/>
      <c r="L1078" t="inlineStr">
        <is>
          <t>OCT92171.1 hypothetical protein XELAEV_18015225mg [Xenopus laevis]</t>
        </is>
      </c>
      <c r="M1078" t="n">
        <v>370</v>
      </c>
      <c r="N1078" t="inlineStr">
        <is>
          <t>Xenopus laevis</t>
        </is>
      </c>
      <c r="O1078" t="inlineStr">
        <is>
          <t>hypothetical protein XELAEV_18015225mg</t>
        </is>
      </c>
    </row>
    <row r="1079">
      <c r="A1079" t="inlineStr"/>
      <c r="B1079" t="inlineStr"/>
      <c r="C1079" t="inlineStr"/>
      <c r="D1079" t="inlineStr"/>
      <c r="E1079">
        <f>HYPERLINK("https://www.ncbi.nlm.nih.gov/gene/?term=OCT74145.1", "OCT74145.1")</f>
        <v/>
      </c>
      <c r="F1079" t="n">
        <v>37.9</v>
      </c>
      <c r="G1079" t="n">
        <v>161</v>
      </c>
      <c r="H1079" t="n">
        <v>9.99e-15</v>
      </c>
      <c r="I1079" t="inlineStr">
        <is>
          <t>Nr</t>
        </is>
      </c>
      <c r="J1079" t="inlineStr"/>
      <c r="K1079" t="inlineStr"/>
      <c r="L1079" t="inlineStr">
        <is>
          <t>OCT74145.1 hypothetical protein XELAEV_18033105mg [Xenopus laevis]</t>
        </is>
      </c>
      <c r="M1079" t="n">
        <v>198</v>
      </c>
      <c r="N1079" t="inlineStr">
        <is>
          <t>Xenopus laevis</t>
        </is>
      </c>
      <c r="O1079" t="inlineStr">
        <is>
          <t>hypothetical protein XELAEV_18033105mg</t>
        </is>
      </c>
    </row>
    <row r="1080">
      <c r="A1080" t="inlineStr"/>
      <c r="B1080" t="inlineStr"/>
      <c r="C1080" t="inlineStr"/>
      <c r="D1080" t="inlineStr"/>
      <c r="E1080">
        <f>HYPERLINK("https://www.ncbi.nlm.nih.gov/gene/?term=OCT57250.1", "OCT57250.1")</f>
        <v/>
      </c>
      <c r="F1080" t="n">
        <v>31.6</v>
      </c>
      <c r="G1080" t="n">
        <v>304</v>
      </c>
      <c r="H1080" t="n">
        <v>3.49e-14</v>
      </c>
      <c r="I1080" t="inlineStr">
        <is>
          <t>Nr</t>
        </is>
      </c>
      <c r="J1080" t="inlineStr"/>
      <c r="K1080" t="inlineStr"/>
      <c r="L1080" t="inlineStr">
        <is>
          <t>OCT57250.1 hypothetical protein XELAEV_18003760mg [Xenopus laevis]</t>
        </is>
      </c>
      <c r="M1080" t="n">
        <v>410</v>
      </c>
      <c r="N1080" t="inlineStr">
        <is>
          <t>Xenopus laevis</t>
        </is>
      </c>
      <c r="O1080" t="inlineStr">
        <is>
          <t>hypothetical protein XELAEV_18003760mg</t>
        </is>
      </c>
    </row>
    <row r="1081">
      <c r="A1081" t="inlineStr"/>
      <c r="B1081" t="inlineStr"/>
      <c r="C1081" t="inlineStr"/>
      <c r="D1081" t="inlineStr"/>
      <c r="E1081">
        <f>HYPERLINK("https://www.ncbi.nlm.nih.gov/gene/?term=OCT82299.1", "OCT82299.1")</f>
        <v/>
      </c>
      <c r="F1081" t="n">
        <v>34.8</v>
      </c>
      <c r="G1081" t="n">
        <v>161</v>
      </c>
      <c r="H1081" t="n">
        <v>8.750000000000001e-14</v>
      </c>
      <c r="I1081" t="inlineStr">
        <is>
          <t>Nr</t>
        </is>
      </c>
      <c r="J1081" t="inlineStr"/>
      <c r="K1081" t="inlineStr"/>
      <c r="L1081" t="inlineStr">
        <is>
          <t>OCT82299.1 hypothetical protein XELAEV_18024820mg [Xenopus laevis]</t>
        </is>
      </c>
      <c r="M1081" t="n">
        <v>181</v>
      </c>
      <c r="N1081" t="inlineStr">
        <is>
          <t>Xenopus laevis</t>
        </is>
      </c>
      <c r="O1081" t="inlineStr">
        <is>
          <t>hypothetical protein XELAEV_18024820mg</t>
        </is>
      </c>
    </row>
    <row r="1082">
      <c r="A1082" t="inlineStr"/>
      <c r="B1082" t="inlineStr"/>
      <c r="C1082" t="inlineStr"/>
      <c r="D1082" t="inlineStr"/>
      <c r="E1082">
        <f>HYPERLINK("https://www.ncbi.nlm.nih.gov/gene/?term=OCT79083.1", "OCT79083.1")</f>
        <v/>
      </c>
      <c r="F1082" t="n">
        <v>29.4</v>
      </c>
      <c r="G1082" t="n">
        <v>306</v>
      </c>
      <c r="H1082" t="n">
        <v>9.510000000000001e-14</v>
      </c>
      <c r="I1082" t="inlineStr">
        <is>
          <t>Nr</t>
        </is>
      </c>
      <c r="J1082" t="inlineStr"/>
      <c r="K1082" t="inlineStr"/>
      <c r="L1082" t="inlineStr">
        <is>
          <t>OCT79083.1 hypothetical protein XELAEV_18030179mg [Xenopus laevis]</t>
        </is>
      </c>
      <c r="M1082" t="n">
        <v>345</v>
      </c>
      <c r="N1082" t="inlineStr">
        <is>
          <t>Xenopus laevis</t>
        </is>
      </c>
      <c r="O1082" t="inlineStr">
        <is>
          <t>hypothetical protein XELAEV_18030179mg</t>
        </is>
      </c>
    </row>
    <row r="1083">
      <c r="A1083" t="inlineStr"/>
      <c r="B1083" t="inlineStr"/>
      <c r="C1083" t="inlineStr"/>
      <c r="D1083" t="inlineStr"/>
      <c r="E1083">
        <f>HYPERLINK("https://www.ncbi.nlm.nih.gov/gene/?term=XP_044139139.1", "XP_044139139.1")</f>
        <v/>
      </c>
      <c r="F1083" t="n">
        <v>30.7</v>
      </c>
      <c r="G1083" t="n">
        <v>300</v>
      </c>
      <c r="H1083" t="n">
        <v>1.98e-13</v>
      </c>
      <c r="I1083" t="inlineStr">
        <is>
          <t>Nr</t>
        </is>
      </c>
      <c r="J1083" t="inlineStr"/>
      <c r="K1083" t="inlineStr"/>
      <c r="L1083" t="inlineStr">
        <is>
          <t>XP_044139139.1 uncharacterized protein LOC122929581 [Bufo gargarizans]</t>
        </is>
      </c>
      <c r="M1083" t="n">
        <v>1065</v>
      </c>
      <c r="N1083" t="inlineStr">
        <is>
          <t>Bufo gargarizans</t>
        </is>
      </c>
      <c r="O1083" t="inlineStr">
        <is>
          <t>uncharacterized protein LOC122929581</t>
        </is>
      </c>
    </row>
    <row r="1084">
      <c r="A1084" t="inlineStr"/>
      <c r="B1084" t="inlineStr"/>
      <c r="C1084" t="inlineStr"/>
      <c r="D1084" t="inlineStr"/>
      <c r="E1084">
        <f>HYPERLINK("https://www.ncbi.nlm.nih.gov/gene/?term=OCT69187.1", "OCT69187.1")</f>
        <v/>
      </c>
      <c r="F1084" t="n">
        <v>29.1</v>
      </c>
      <c r="G1084" t="n">
        <v>306</v>
      </c>
      <c r="H1084" t="n">
        <v>2.43e-13</v>
      </c>
      <c r="I1084" t="inlineStr">
        <is>
          <t>Nr</t>
        </is>
      </c>
      <c r="J1084" t="inlineStr"/>
      <c r="K1084" t="inlineStr"/>
      <c r="L1084" t="inlineStr">
        <is>
          <t>OCT69187.1 hypothetical protein XELAEV_18040497mg [Xenopus laevis]</t>
        </is>
      </c>
      <c r="M1084" t="n">
        <v>318</v>
      </c>
      <c r="N1084" t="inlineStr">
        <is>
          <t>Xenopus laevis</t>
        </is>
      </c>
      <c r="O1084" t="inlineStr">
        <is>
          <t>hypothetical protein XELAEV_18040497mg</t>
        </is>
      </c>
    </row>
    <row r="1085">
      <c r="A1085" t="inlineStr"/>
      <c r="B1085" t="inlineStr"/>
      <c r="C1085" t="inlineStr"/>
      <c r="D1085" t="inlineStr"/>
      <c r="E1085">
        <f>HYPERLINK("https://www.uniprot.org/uniprotkb/A0A8T2J9L5/entry", "A0A8T2J9L5")</f>
        <v/>
      </c>
      <c r="F1085" t="n">
        <v>31.8</v>
      </c>
      <c r="G1085" t="n">
        <v>233</v>
      </c>
      <c r="H1085" t="n">
        <v>5.98e-12</v>
      </c>
      <c r="I1085" t="inlineStr">
        <is>
          <t>TrEMBL</t>
        </is>
      </c>
      <c r="J1085" t="inlineStr">
        <is>
          <t>GDO86_006243</t>
        </is>
      </c>
      <c r="K1085" t="inlineStr">
        <is>
          <t>A0A8T2J9L5_9PIPI</t>
        </is>
      </c>
      <c r="L1085" t="inlineStr">
        <is>
          <t>tr|A0A8T2J9L5|A0A8T2J9L5_9PIPI GIY-YIG domain-containing protein OS=Hymenochirus boettgeri OX=247094 GN=GDO86_006243 PE=4 SV=1</t>
        </is>
      </c>
      <c r="M1085" t="n">
        <v>447</v>
      </c>
      <c r="N1085" t="inlineStr">
        <is>
          <t>Hymenochirus boettgeri</t>
        </is>
      </c>
      <c r="O1085" t="inlineStr">
        <is>
          <t>GIY-YIG domain-containing protein</t>
        </is>
      </c>
    </row>
    <row r="1086">
      <c r="A1086" t="inlineStr"/>
      <c r="B1086" t="inlineStr"/>
      <c r="C1086" t="inlineStr"/>
      <c r="D1086" t="inlineStr"/>
      <c r="E1086">
        <f>HYPERLINK("https://www.ncbi.nlm.nih.gov/gene/?term=KAG8440413.1", "KAG8440413.1")</f>
        <v/>
      </c>
      <c r="F1086" t="n">
        <v>31.8</v>
      </c>
      <c r="G1086" t="n">
        <v>233</v>
      </c>
      <c r="H1086" t="n">
        <v>1.54e-11</v>
      </c>
      <c r="I1086" t="inlineStr">
        <is>
          <t>Nr</t>
        </is>
      </c>
      <c r="J1086" t="inlineStr"/>
      <c r="K1086" t="inlineStr"/>
      <c r="L1086" t="inlineStr">
        <is>
          <t>KAG8440413.1 hypothetical protein GDO86_006243 [Hymenochirus boettgeri]</t>
        </is>
      </c>
      <c r="M1086" t="n">
        <v>447</v>
      </c>
      <c r="N1086" t="inlineStr">
        <is>
          <t>Hymenochirus boettgeri</t>
        </is>
      </c>
      <c r="O1086" t="inlineStr">
        <is>
          <t>hypothetical protein GDO86_006243</t>
        </is>
      </c>
    </row>
    <row r="1087">
      <c r="A1087" t="inlineStr"/>
      <c r="B1087" t="inlineStr"/>
      <c r="C1087" t="inlineStr"/>
      <c r="D1087" t="inlineStr"/>
      <c r="E1087">
        <f>HYPERLINK("https://www.ncbi.nlm.nih.gov/gene/?term=OCT87357.1", "OCT87357.1")</f>
        <v/>
      </c>
      <c r="F1087" t="n">
        <v>31.4</v>
      </c>
      <c r="G1087" t="n">
        <v>245</v>
      </c>
      <c r="H1087" t="n">
        <v>2.67e-11</v>
      </c>
      <c r="I1087" t="inlineStr">
        <is>
          <t>Nr</t>
        </is>
      </c>
      <c r="J1087" t="inlineStr"/>
      <c r="K1087" t="inlineStr"/>
      <c r="L1087" t="inlineStr">
        <is>
          <t>OCT87357.1 hypothetical protein XELAEV_18021057mg, partial [Xenopus laevis]</t>
        </is>
      </c>
      <c r="M1087" t="n">
        <v>375</v>
      </c>
      <c r="N1087" t="inlineStr">
        <is>
          <t>Xenopus laevis</t>
        </is>
      </c>
      <c r="O1087" t="inlineStr">
        <is>
          <t>hypothetical protein XELAEV_18021057mg, partial</t>
        </is>
      </c>
    </row>
    <row r="1088">
      <c r="A1088" t="inlineStr"/>
      <c r="B1088" t="inlineStr"/>
      <c r="C1088" t="inlineStr"/>
      <c r="D1088" t="inlineStr"/>
      <c r="E1088">
        <f>HYPERLINK("https://www.ncbi.nlm.nih.gov/gene/?term=OCT56300.1", "OCT56300.1")</f>
        <v/>
      </c>
      <c r="F1088" t="n">
        <v>29.3</v>
      </c>
      <c r="G1088" t="n">
        <v>328</v>
      </c>
      <c r="H1088" t="n">
        <v>4.63e-11</v>
      </c>
      <c r="I1088" t="inlineStr">
        <is>
          <t>Nr</t>
        </is>
      </c>
      <c r="J1088" t="inlineStr"/>
      <c r="K1088" t="inlineStr"/>
      <c r="L1088" t="inlineStr">
        <is>
          <t>OCT56300.1 hypothetical protein XELAEV_18000302mg [Xenopus laevis]</t>
        </is>
      </c>
      <c r="M1088" t="n">
        <v>428</v>
      </c>
      <c r="N1088" t="inlineStr">
        <is>
          <t>Xenopus laevis</t>
        </is>
      </c>
      <c r="O1088" t="inlineStr">
        <is>
          <t>hypothetical protein XELAEV_18000302mg</t>
        </is>
      </c>
    </row>
    <row r="1089">
      <c r="A1089" t="inlineStr"/>
      <c r="B1089" t="inlineStr"/>
      <c r="C1089" t="inlineStr"/>
      <c r="D1089" t="inlineStr"/>
      <c r="E1089">
        <f>HYPERLINK("https://www.ncbi.nlm.nih.gov/gene/?term=OCT86682.1", "OCT86682.1")</f>
        <v/>
      </c>
      <c r="F1089" t="n">
        <v>35.7</v>
      </c>
      <c r="G1089" t="n">
        <v>140</v>
      </c>
      <c r="H1089" t="n">
        <v>1.08e-10</v>
      </c>
      <c r="I1089" t="inlineStr">
        <is>
          <t>Nr</t>
        </is>
      </c>
      <c r="J1089" t="inlineStr"/>
      <c r="K1089" t="inlineStr"/>
      <c r="L1089" t="inlineStr">
        <is>
          <t>OCT86682.1 hypothetical protein XELAEV_18020369mg [Xenopus laevis]</t>
        </is>
      </c>
      <c r="M1089" t="n">
        <v>175</v>
      </c>
      <c r="N1089" t="inlineStr">
        <is>
          <t>Xenopus laevis</t>
        </is>
      </c>
      <c r="O1089" t="inlineStr">
        <is>
          <t>hypothetical protein XELAEV_18020369mg</t>
        </is>
      </c>
    </row>
    <row r="1090">
      <c r="A1090" t="inlineStr"/>
      <c r="B1090" t="inlineStr"/>
      <c r="C1090" t="inlineStr"/>
      <c r="D1090" t="inlineStr"/>
      <c r="E1090">
        <f>HYPERLINK("https://www.ncbi.nlm.nih.gov/gene/?term=OCT60779.1", "OCT60779.1")</f>
        <v/>
      </c>
      <c r="F1090" t="n">
        <v>30.5</v>
      </c>
      <c r="G1090" t="n">
        <v>305</v>
      </c>
      <c r="H1090" t="n">
        <v>1.18e-10</v>
      </c>
      <c r="I1090" t="inlineStr">
        <is>
          <t>Nr</t>
        </is>
      </c>
      <c r="J1090" t="inlineStr"/>
      <c r="K1090" t="inlineStr"/>
      <c r="L1090" t="inlineStr">
        <is>
          <t>OCT60779.1 hypothetical protein XELAEV_18046801mg, partial [Xenopus laevis]</t>
        </is>
      </c>
      <c r="M1090" t="n">
        <v>376</v>
      </c>
      <c r="N1090" t="inlineStr">
        <is>
          <t>Xenopus laevis</t>
        </is>
      </c>
      <c r="O1090" t="inlineStr">
        <is>
          <t>hypothetical protein XELAEV_18046801mg, partial</t>
        </is>
      </c>
    </row>
    <row r="1091">
      <c r="A1091" t="inlineStr"/>
      <c r="B1091" t="inlineStr"/>
      <c r="C1091" t="inlineStr"/>
      <c r="D1091" t="inlineStr"/>
      <c r="E1091">
        <f>HYPERLINK("https://www.ncbi.nlm.nih.gov/gene/?term=OCT74377.1", "OCT74377.1")</f>
        <v/>
      </c>
      <c r="F1091" t="n">
        <v>28.5</v>
      </c>
      <c r="G1091" t="n">
        <v>228</v>
      </c>
      <c r="H1091" t="n">
        <v>1.9e-10</v>
      </c>
      <c r="I1091" t="inlineStr">
        <is>
          <t>Nr</t>
        </is>
      </c>
      <c r="J1091" t="inlineStr"/>
      <c r="K1091" t="inlineStr"/>
      <c r="L1091" t="inlineStr">
        <is>
          <t>OCT74377.1 hypothetical protein XELAEV_18033352mg [Xenopus laevis]</t>
        </is>
      </c>
      <c r="M1091" t="n">
        <v>319</v>
      </c>
      <c r="N1091" t="inlineStr">
        <is>
          <t>Xenopus laevis</t>
        </is>
      </c>
      <c r="O1091" t="inlineStr">
        <is>
          <t>hypothetical protein XELAEV_18033352mg</t>
        </is>
      </c>
    </row>
    <row r="1092">
      <c r="A1092" t="inlineStr"/>
      <c r="B1092" t="inlineStr"/>
      <c r="C1092" t="inlineStr"/>
      <c r="D1092" t="inlineStr"/>
      <c r="E1092">
        <f>HYPERLINK("https://www.ncbi.nlm.nih.gov/gene/?term=OCT56065.1", "OCT56065.1")</f>
        <v/>
      </c>
      <c r="F1092" t="n">
        <v>30</v>
      </c>
      <c r="G1092" t="n">
        <v>297</v>
      </c>
      <c r="H1092" t="n">
        <v>1.99e-10</v>
      </c>
      <c r="I1092" t="inlineStr">
        <is>
          <t>Nr</t>
        </is>
      </c>
      <c r="J1092" t="inlineStr"/>
      <c r="K1092" t="inlineStr"/>
      <c r="L1092" t="inlineStr">
        <is>
          <t>OCT56065.1 hypothetical protein XELAEV_18002717mg [Xenopus laevis]</t>
        </is>
      </c>
      <c r="M1092" t="n">
        <v>293</v>
      </c>
      <c r="N1092" t="inlineStr">
        <is>
          <t>Xenopus laevis</t>
        </is>
      </c>
      <c r="O1092" t="inlineStr">
        <is>
          <t>hypothetical protein XELAEV_18002717mg</t>
        </is>
      </c>
    </row>
    <row r="1093">
      <c r="A1093" t="inlineStr"/>
      <c r="B1093" t="inlineStr"/>
      <c r="C1093" t="inlineStr"/>
      <c r="D1093" t="inlineStr"/>
      <c r="E1093">
        <f>HYPERLINK("https://www.ncbi.nlm.nih.gov/gene/?term=OCT55870.1", "OCT55870.1")</f>
        <v/>
      </c>
      <c r="F1093" t="n">
        <v>30.1</v>
      </c>
      <c r="G1093" t="n">
        <v>306</v>
      </c>
      <c r="H1093" t="n">
        <v>2.31e-10</v>
      </c>
      <c r="I1093" t="inlineStr">
        <is>
          <t>Nr</t>
        </is>
      </c>
      <c r="J1093" t="inlineStr"/>
      <c r="K1093" t="inlineStr"/>
      <c r="L1093" t="inlineStr">
        <is>
          <t>OCT55870.1 hypothetical protein XELAEV_18002621mg, partial [Xenopus laevis]</t>
        </is>
      </c>
      <c r="M1093" t="n">
        <v>343</v>
      </c>
      <c r="N1093" t="inlineStr">
        <is>
          <t>Xenopus laevis</t>
        </is>
      </c>
      <c r="O1093" t="inlineStr">
        <is>
          <t>hypothetical protein XELAEV_18002621mg, partial</t>
        </is>
      </c>
    </row>
    <row r="1094">
      <c r="A1094" t="inlineStr"/>
      <c r="B1094" t="inlineStr"/>
      <c r="C1094" t="inlineStr"/>
      <c r="D1094" t="inlineStr"/>
      <c r="E1094">
        <f>HYPERLINK("https://www.uniprot.org/uniprotkb/A0A8J1L5V8/entry", "A0A8J1L5V8")</f>
        <v/>
      </c>
      <c r="F1094" t="n">
        <v>30.1</v>
      </c>
      <c r="G1094" t="n">
        <v>239</v>
      </c>
      <c r="H1094" t="n">
        <v>4.85e-09</v>
      </c>
      <c r="I1094" t="inlineStr">
        <is>
          <t>TrEMBL</t>
        </is>
      </c>
      <c r="J1094" t="inlineStr">
        <is>
          <t>LOC121395445</t>
        </is>
      </c>
      <c r="K1094" t="inlineStr">
        <is>
          <t>A0A8J1L5V8_XENLA</t>
        </is>
      </c>
      <c r="L1094" t="inlineStr">
        <is>
          <t>tr|A0A8J1L5V8|A0A8J1L5V8_XENLA uncharacterized protein LOC121395445 OS=Xenopus laevis OX=8355 GN=LOC121395445 PE=4 SV=1</t>
        </is>
      </c>
      <c r="M1094" t="n">
        <v>660</v>
      </c>
      <c r="N1094" t="inlineStr">
        <is>
          <t>Xenopus laevis</t>
        </is>
      </c>
      <c r="O1094" t="inlineStr">
        <is>
          <t>uncharacterized protein LOC121395445</t>
        </is>
      </c>
    </row>
    <row r="1095">
      <c r="A1095" t="inlineStr"/>
      <c r="B1095" t="inlineStr"/>
      <c r="C1095" t="inlineStr"/>
      <c r="D1095" t="inlineStr"/>
      <c r="E1095">
        <f>HYPERLINK("https://www.uniprot.org/uniprotkb/A0A8J1L5X1/entry", "A0A8J1L5X1")</f>
        <v/>
      </c>
      <c r="F1095" t="n">
        <v>29.5</v>
      </c>
      <c r="G1095" t="n">
        <v>308</v>
      </c>
      <c r="H1095" t="n">
        <v>2.81e-08</v>
      </c>
      <c r="I1095" t="inlineStr">
        <is>
          <t>TrEMBL</t>
        </is>
      </c>
      <c r="J1095" t="inlineStr">
        <is>
          <t>LOC121395443</t>
        </is>
      </c>
      <c r="K1095" t="inlineStr">
        <is>
          <t>A0A8J1L5X1_XENLA</t>
        </is>
      </c>
      <c r="L1095" t="inlineStr">
        <is>
          <t>tr|A0A8J1L5X1|A0A8J1L5X1_XENLA uncharacterized protein LOC121395443 isoform X1 OS=Xenopus laevis OX=8355 GN=LOC121395443 PE=4 SV=1</t>
        </is>
      </c>
      <c r="M1095" t="n">
        <v>371</v>
      </c>
      <c r="N1095" t="inlineStr">
        <is>
          <t>Xenopus laevis</t>
        </is>
      </c>
      <c r="O1095" t="inlineStr">
        <is>
          <t>uncharacterized protein LOC121395443 isoform X1</t>
        </is>
      </c>
    </row>
    <row r="1096">
      <c r="A1096" t="inlineStr"/>
      <c r="B1096" t="inlineStr"/>
      <c r="C1096" t="inlineStr"/>
      <c r="D1096" t="inlineStr"/>
      <c r="E1096">
        <f>HYPERLINK("https://www.uniprot.org/uniprotkb/A0A8J1KX62/entry", "A0A8J1KX62")</f>
        <v/>
      </c>
      <c r="F1096" t="n">
        <v>29.5</v>
      </c>
      <c r="G1096" t="n">
        <v>308</v>
      </c>
      <c r="H1096" t="n">
        <v>3.8e-08</v>
      </c>
      <c r="I1096" t="inlineStr">
        <is>
          <t>TrEMBL</t>
        </is>
      </c>
      <c r="J1096" t="inlineStr">
        <is>
          <t>LOC121394310</t>
        </is>
      </c>
      <c r="K1096" t="inlineStr">
        <is>
          <t>A0A8J1KX62_XENLA</t>
        </is>
      </c>
      <c r="L1096" t="inlineStr">
        <is>
          <t>tr|A0A8J1KX62|A0A8J1KX62_XENLA uncharacterized protein LOC121394310 isoform X1 OS=Xenopus laevis OX=8355 GN=LOC121394310 PE=4 SV=1</t>
        </is>
      </c>
      <c r="M1096" t="n">
        <v>473</v>
      </c>
      <c r="N1096" t="inlineStr">
        <is>
          <t>Xenopus laevis</t>
        </is>
      </c>
      <c r="O1096" t="inlineStr">
        <is>
          <t>uncharacterized protein LOC121394310 isoform X1</t>
        </is>
      </c>
    </row>
    <row r="1097">
      <c r="A1097" t="inlineStr"/>
      <c r="B1097" t="inlineStr"/>
      <c r="C1097" t="inlineStr"/>
      <c r="D1097" t="inlineStr"/>
      <c r="E1097">
        <f>HYPERLINK("https://www.uniprot.org/uniprotkb/A0A8J1N140/entry", "A0A8J1N140")</f>
        <v/>
      </c>
      <c r="F1097" t="n">
        <v>31.2</v>
      </c>
      <c r="G1097" t="n">
        <v>170</v>
      </c>
      <c r="H1097" t="n">
        <v>3.55e-06</v>
      </c>
      <c r="I1097" t="inlineStr">
        <is>
          <t>TrEMBL</t>
        </is>
      </c>
      <c r="J1097" t="inlineStr">
        <is>
          <t>LOC121403682</t>
        </is>
      </c>
      <c r="K1097" t="inlineStr">
        <is>
          <t>A0A8J1N140_XENLA</t>
        </is>
      </c>
      <c r="L1097" t="inlineStr">
        <is>
          <t>tr|A0A8J1N140|A0A8J1N140_XENLA uncharacterized protein LOC121403682 OS=Xenopus laevis OX=8355 GN=LOC121403682 PE=4 SV=1</t>
        </is>
      </c>
      <c r="M1097" t="n">
        <v>260</v>
      </c>
      <c r="N1097" t="inlineStr">
        <is>
          <t>Xenopus laevis</t>
        </is>
      </c>
      <c r="O1097" t="inlineStr">
        <is>
          <t>uncharacterized protein LOC121403682</t>
        </is>
      </c>
    </row>
    <row r="1098">
      <c r="A1098" t="inlineStr"/>
      <c r="B1098" t="inlineStr"/>
      <c r="C1098" t="inlineStr"/>
      <c r="D1098" t="inlineStr"/>
      <c r="E1098">
        <f>HYPERLINK("https://www.uniprot.org/uniprotkb/A0A8J6E6J9/entry", "A0A8J6E6J9")</f>
        <v/>
      </c>
      <c r="F1098" t="n">
        <v>27.2</v>
      </c>
      <c r="G1098" t="n">
        <v>217</v>
      </c>
      <c r="H1098" t="n">
        <v>2.48e-05</v>
      </c>
      <c r="I1098" t="inlineStr">
        <is>
          <t>TrEMBL</t>
        </is>
      </c>
      <c r="J1098" t="inlineStr">
        <is>
          <t>GDO78_019010</t>
        </is>
      </c>
      <c r="K1098" t="inlineStr">
        <is>
          <t>A0A8J6E6J9_ELECQ</t>
        </is>
      </c>
      <c r="L1098" t="inlineStr">
        <is>
          <t>tr|A0A8J6E6J9|A0A8J6E6J9_ELECQ GIY-YIG domain-containing protein OS=Eleutherodactylus coqui OX=57060 GN=GDO78_019010 PE=4 SV=1</t>
        </is>
      </c>
      <c r="M1098" t="n">
        <v>246</v>
      </c>
      <c r="N1098" t="inlineStr">
        <is>
          <t>Eleutherodactylus coqui</t>
        </is>
      </c>
      <c r="O1098" t="inlineStr">
        <is>
          <t>GIY-YIG domain-containing protein</t>
        </is>
      </c>
    </row>
    <row r="1099">
      <c r="A1099" t="inlineStr"/>
      <c r="B1099" t="inlineStr"/>
      <c r="C1099" t="inlineStr"/>
      <c r="D1099" t="inlineStr"/>
      <c r="E1099">
        <f>HYPERLINK("https://www.uniprot.org/uniprotkb/A0A803J2S1/entry", "A0A803J2S1")</f>
        <v/>
      </c>
      <c r="F1099" t="n">
        <v>33.3</v>
      </c>
      <c r="G1099" t="n">
        <v>180</v>
      </c>
      <c r="H1099" t="n">
        <v>3.42e-05</v>
      </c>
      <c r="I1099" t="inlineStr">
        <is>
          <t>TrEMBL</t>
        </is>
      </c>
      <c r="J1099" t="inlineStr"/>
      <c r="K1099" t="inlineStr">
        <is>
          <t>A0A803J2S1_XENTR</t>
        </is>
      </c>
      <c r="L1099" t="inlineStr">
        <is>
          <t>tr|A0A803J2S1|A0A803J2S1_XENTR Reverse transcriptase domain-containing protein OS=Xenopus tropicalis OX=8364 PE=4 SV=1</t>
        </is>
      </c>
      <c r="M1099" t="n">
        <v>734</v>
      </c>
      <c r="N1099" t="inlineStr">
        <is>
          <t>Xenopus tropicalis</t>
        </is>
      </c>
      <c r="O1099" t="inlineStr">
        <is>
          <t>Reverse transcriptase domain-containing protein</t>
        </is>
      </c>
    </row>
    <row r="1100">
      <c r="A1100" t="inlineStr"/>
      <c r="B1100" t="inlineStr"/>
      <c r="C1100" t="inlineStr"/>
      <c r="D1100" t="inlineStr"/>
      <c r="E1100">
        <f>HYPERLINK("https://www.uniprot.org/uniprotkb/A0A8C5LUC9/entry", "A0A8C5LUC9")</f>
        <v/>
      </c>
      <c r="F1100" t="n">
        <v>29.6</v>
      </c>
      <c r="G1100" t="n">
        <v>301</v>
      </c>
      <c r="H1100" t="n">
        <v>0.000188</v>
      </c>
      <c r="I1100" t="inlineStr">
        <is>
          <t>TrEMBL</t>
        </is>
      </c>
      <c r="J1100" t="inlineStr"/>
      <c r="K1100" t="inlineStr">
        <is>
          <t>A0A8C5LUC9_9ANUR</t>
        </is>
      </c>
      <c r="L1100" t="inlineStr">
        <is>
          <t>tr|A0A8C5LUC9|A0A8C5LUC9_9ANUR Reverse transcriptase domain-containing protein OS=Leptobrachium leishanense OX=445787 PE=4 SV=1</t>
        </is>
      </c>
      <c r="M1100" t="n">
        <v>754</v>
      </c>
      <c r="N1100" t="inlineStr">
        <is>
          <t>Leptobrachium leishanense</t>
        </is>
      </c>
      <c r="O1100" t="inlineStr">
        <is>
          <t>Reverse transcriptase domain-containing protein</t>
        </is>
      </c>
    </row>
    <row r="1101">
      <c r="A1101" t="inlineStr"/>
      <c r="B1101" t="inlineStr"/>
      <c r="C1101" t="inlineStr"/>
      <c r="D1101" t="inlineStr"/>
      <c r="E1101">
        <f>HYPERLINK("https://www.uniprot.org/uniprotkb/A0A1B8YA28/entry", "A0A1B8YA28")</f>
        <v/>
      </c>
      <c r="F1101" t="n">
        <v>31</v>
      </c>
      <c r="G1101" t="n">
        <v>116</v>
      </c>
      <c r="H1101" t="n">
        <v>0.000699</v>
      </c>
      <c r="I1101" t="inlineStr">
        <is>
          <t>TrEMBL</t>
        </is>
      </c>
      <c r="J1101" t="inlineStr">
        <is>
          <t>XENTR_v90027123mg</t>
        </is>
      </c>
      <c r="K1101" t="inlineStr">
        <is>
          <t>A0A1B8YA28_XENTR</t>
        </is>
      </c>
      <c r="L1101" t="inlineStr">
        <is>
          <t>tr|A0A1B8YA28|A0A1B8YA28_XENTR GIY-YIG domain-containing protein OS=Xenopus tropicalis OX=8364 GN=XENTR_v90027123mg PE=4 SV=1</t>
        </is>
      </c>
      <c r="M1101" t="n">
        <v>256</v>
      </c>
      <c r="N1101" t="inlineStr">
        <is>
          <t>Xenopus tropicalis</t>
        </is>
      </c>
      <c r="O1101" t="inlineStr">
        <is>
          <t>GIY-YIG domain-containing protein</t>
        </is>
      </c>
    </row>
    <row r="1102">
      <c r="A1102" t="inlineStr">
        <is>
          <t>NODE_1266_length_10825_cov_151.326362_g538_i0</t>
        </is>
      </c>
      <c r="B1102" t="inlineStr">
        <is>
          <t>bombina_pachypus_blastx</t>
        </is>
      </c>
      <c r="C1102" t="n">
        <v>6.21242557810319</v>
      </c>
      <c r="D1102" t="n">
        <v>7.69632513160367e-27</v>
      </c>
      <c r="E1102">
        <f>HYPERLINK("https://www.ncbi.nlm.nih.gov/gene/?term=KAG8546667.1", "KAG8546667.1")</f>
        <v/>
      </c>
      <c r="F1102" t="n">
        <v>58.9</v>
      </c>
      <c r="G1102" t="n">
        <v>542</v>
      </c>
      <c r="H1102" t="n">
        <v>7.47e-150</v>
      </c>
      <c r="I1102" t="inlineStr">
        <is>
          <t>Nr</t>
        </is>
      </c>
      <c r="J1102" t="inlineStr"/>
      <c r="K1102" t="inlineStr"/>
      <c r="L1102" t="inlineStr">
        <is>
          <t>KAG8546667.1 hypothetical protein GDO81_030078 [Engystomops pustulosus]</t>
        </is>
      </c>
      <c r="M1102" t="n">
        <v>1479</v>
      </c>
      <c r="N1102" t="inlineStr">
        <is>
          <t>Engystomops pustulosus</t>
        </is>
      </c>
      <c r="O1102" t="inlineStr">
        <is>
          <t>hypothetical protein GDO81_030078</t>
        </is>
      </c>
    </row>
    <row r="1103">
      <c r="A1103" t="inlineStr"/>
      <c r="B1103" t="inlineStr"/>
      <c r="C1103" t="inlineStr"/>
      <c r="D1103" t="inlineStr"/>
      <c r="E1103">
        <f>HYPERLINK("https://www.ncbi.nlm.nih.gov/gene/?term=XP_044128759.1", "XP_044128759.1")</f>
        <v/>
      </c>
      <c r="F1103" t="n">
        <v>59</v>
      </c>
      <c r="G1103" t="n">
        <v>515</v>
      </c>
      <c r="H1103" t="n">
        <v>1.26e-143</v>
      </c>
      <c r="I1103" t="inlineStr">
        <is>
          <t>Nr</t>
        </is>
      </c>
      <c r="J1103" t="inlineStr"/>
      <c r="K1103" t="inlineStr"/>
      <c r="L1103" t="inlineStr">
        <is>
          <t>XP_044128759.1 LOW QUALITY PROTEIN: nestin [Bufo gargarizans]</t>
        </is>
      </c>
      <c r="M1103" t="n">
        <v>2832</v>
      </c>
      <c r="N1103" t="inlineStr">
        <is>
          <t>Bufo gargarizans</t>
        </is>
      </c>
      <c r="O1103" t="inlineStr">
        <is>
          <t>LOW QUALITY PROTEIN: nestin</t>
        </is>
      </c>
    </row>
    <row r="1104">
      <c r="A1104" t="inlineStr"/>
      <c r="B1104" t="inlineStr"/>
      <c r="C1104" t="inlineStr"/>
      <c r="D1104" t="inlineStr"/>
      <c r="E1104">
        <f>HYPERLINK("https://www.uniprot.org/uniprotkb/A0A803JEA0/entry", "A0A803JEA0")</f>
        <v/>
      </c>
      <c r="F1104" t="n">
        <v>61.3</v>
      </c>
      <c r="G1104" t="n">
        <v>496</v>
      </c>
      <c r="H1104" t="n">
        <v>5.24e-143</v>
      </c>
      <c r="I1104" t="inlineStr">
        <is>
          <t>TrEMBL</t>
        </is>
      </c>
      <c r="J1104" t="inlineStr">
        <is>
          <t>nes</t>
        </is>
      </c>
      <c r="K1104" t="inlineStr">
        <is>
          <t>A0A803JEA0_XENTR</t>
        </is>
      </c>
      <c r="L1104" t="inlineStr">
        <is>
          <t>tr|A0A803JEA0|A0A803JEA0_XENTR Nestin OS=Xenopus tropicalis OX=8364 GN=nes PE=3 SV=1</t>
        </is>
      </c>
      <c r="M1104" t="n">
        <v>1958</v>
      </c>
      <c r="N1104" t="inlineStr">
        <is>
          <t>Xenopus tropicalis</t>
        </is>
      </c>
      <c r="O1104" t="inlineStr">
        <is>
          <t>Nestin</t>
        </is>
      </c>
    </row>
    <row r="1105">
      <c r="A1105" t="inlineStr"/>
      <c r="B1105" t="inlineStr"/>
      <c r="C1105" t="inlineStr"/>
      <c r="D1105" t="inlineStr"/>
      <c r="E1105">
        <f>HYPERLINK("https://www.ncbi.nlm.nih.gov/gene/?term=KAE8588334.1", "KAE8588334.1")</f>
        <v/>
      </c>
      <c r="F1105" t="n">
        <v>61.3</v>
      </c>
      <c r="G1105" t="n">
        <v>496</v>
      </c>
      <c r="H1105" t="n">
        <v>6.42e-143</v>
      </c>
      <c r="I1105" t="inlineStr">
        <is>
          <t>Nr</t>
        </is>
      </c>
      <c r="J1105" t="inlineStr"/>
      <c r="K1105" t="inlineStr"/>
      <c r="L1105" t="inlineStr">
        <is>
          <t>KAE8588334.1 hypothetical protein XENTR_v10022467 [Xenopus tropicalis]</t>
        </is>
      </c>
      <c r="M1105" t="n">
        <v>1883</v>
      </c>
      <c r="N1105" t="inlineStr">
        <is>
          <t>Xenopus tropicalis</t>
        </is>
      </c>
      <c r="O1105" t="inlineStr">
        <is>
          <t>hypothetical protein XENTR_v10022467</t>
        </is>
      </c>
    </row>
    <row r="1106">
      <c r="A1106" t="inlineStr"/>
      <c r="B1106" t="inlineStr"/>
      <c r="C1106" t="inlineStr"/>
      <c r="D1106" t="inlineStr"/>
      <c r="E1106">
        <f>HYPERLINK("https://www.ncbi.nlm.nih.gov/gene/?term=XP_002941549.4", "XP_002941549.4")</f>
        <v/>
      </c>
      <c r="F1106" t="n">
        <v>61.3</v>
      </c>
      <c r="G1106" t="n">
        <v>496</v>
      </c>
      <c r="H1106" t="n">
        <v>1.35e-142</v>
      </c>
      <c r="I1106" t="inlineStr">
        <is>
          <t>Nr</t>
        </is>
      </c>
      <c r="J1106" t="inlineStr"/>
      <c r="K1106" t="inlineStr"/>
      <c r="L1106" t="inlineStr">
        <is>
          <t>XP_002941549.4 nestin [Xenopus tropicalis]</t>
        </is>
      </c>
      <c r="M1106" t="n">
        <v>1958</v>
      </c>
      <c r="N1106" t="inlineStr">
        <is>
          <t>Xenopus tropicalis</t>
        </is>
      </c>
      <c r="O1106" t="inlineStr">
        <is>
          <t>nestin</t>
        </is>
      </c>
    </row>
    <row r="1107">
      <c r="A1107" t="inlineStr"/>
      <c r="B1107" t="inlineStr"/>
      <c r="C1107" t="inlineStr"/>
      <c r="D1107" t="inlineStr"/>
      <c r="E1107">
        <f>HYPERLINK("https://www.ncbi.nlm.nih.gov/gene/?term=XP_040268748.1", "XP_040268748.1")</f>
        <v/>
      </c>
      <c r="F1107" t="n">
        <v>58.5</v>
      </c>
      <c r="G1107" t="n">
        <v>518</v>
      </c>
      <c r="H1107" t="n">
        <v>4.51e-141</v>
      </c>
      <c r="I1107" t="inlineStr">
        <is>
          <t>Nr</t>
        </is>
      </c>
      <c r="J1107" t="inlineStr"/>
      <c r="K1107" t="inlineStr"/>
      <c r="L1107" t="inlineStr">
        <is>
          <t>XP_040268748.1 nestin [Bufo bufo]</t>
        </is>
      </c>
      <c r="M1107" t="n">
        <v>2717</v>
      </c>
      <c r="N1107" t="inlineStr">
        <is>
          <t>Bufo bufo</t>
        </is>
      </c>
      <c r="O1107" t="inlineStr">
        <is>
          <t>nestin</t>
        </is>
      </c>
    </row>
    <row r="1108">
      <c r="A1108" t="inlineStr"/>
      <c r="B1108" t="inlineStr"/>
      <c r="C1108" t="inlineStr"/>
      <c r="D1108" t="inlineStr"/>
      <c r="E1108">
        <f>HYPERLINK("https://www.uniprot.org/uniprotkb/A0A8C5R301/entry", "A0A8C5R301")</f>
        <v/>
      </c>
      <c r="F1108" t="n">
        <v>42.8</v>
      </c>
      <c r="G1108" t="n">
        <v>800</v>
      </c>
      <c r="H1108" t="n">
        <v>1.54e-137</v>
      </c>
      <c r="I1108" t="inlineStr">
        <is>
          <t>TrEMBL</t>
        </is>
      </c>
      <c r="J1108" t="inlineStr"/>
      <c r="K1108" t="inlineStr">
        <is>
          <t>A0A8C5R301_9ANUR</t>
        </is>
      </c>
      <c r="L1108" t="inlineStr">
        <is>
          <t>tr|A0A8C5R301|A0A8C5R301_9ANUR IF rod domain-containing protein OS=Leptobrachium leishanense OX=445787 PE=4 SV=1</t>
        </is>
      </c>
      <c r="M1108" t="n">
        <v>3206</v>
      </c>
      <c r="N1108" t="inlineStr">
        <is>
          <t>Leptobrachium leishanense</t>
        </is>
      </c>
      <c r="O1108" t="inlineStr">
        <is>
          <t>IF rod domain-containing protein</t>
        </is>
      </c>
    </row>
    <row r="1109">
      <c r="A1109" t="inlineStr"/>
      <c r="B1109" t="inlineStr"/>
      <c r="C1109" t="inlineStr"/>
      <c r="D1109" t="inlineStr"/>
      <c r="E1109">
        <f>HYPERLINK("https://www.ncbi.nlm.nih.gov/gene/?term=XP_018429926.1", "XP_018429926.1")</f>
        <v/>
      </c>
      <c r="F1109" t="n">
        <v>58.6</v>
      </c>
      <c r="G1109" t="n">
        <v>500</v>
      </c>
      <c r="H1109" t="n">
        <v>2e-136</v>
      </c>
      <c r="I1109" t="inlineStr">
        <is>
          <t>Nr</t>
        </is>
      </c>
      <c r="J1109" t="inlineStr"/>
      <c r="K1109" t="inlineStr"/>
      <c r="L1109" t="inlineStr">
        <is>
          <t>XP_018429926.1 PREDICTED: A-kinase anchor protein 9-like [Nanorana parkeri]</t>
        </is>
      </c>
      <c r="M1109" t="n">
        <v>4140</v>
      </c>
      <c r="N1109" t="inlineStr">
        <is>
          <t>Nanorana parkeri</t>
        </is>
      </c>
      <c r="O1109" t="inlineStr">
        <is>
          <t>PREDICTED: A-kinase anchor protein 9-like</t>
        </is>
      </c>
    </row>
    <row r="1110">
      <c r="A1110" t="inlineStr"/>
      <c r="B1110" t="inlineStr"/>
      <c r="C1110" t="inlineStr"/>
      <c r="D1110" t="inlineStr"/>
      <c r="E1110">
        <f>HYPERLINK("https://www.uniprot.org/uniprotkb/A0A1L8FCC8/entry", "A0A1L8FCC8")</f>
        <v/>
      </c>
      <c r="F1110" t="n">
        <v>58</v>
      </c>
      <c r="G1110" t="n">
        <v>498</v>
      </c>
      <c r="H1110" t="n">
        <v>5.48e-132</v>
      </c>
      <c r="I1110" t="inlineStr">
        <is>
          <t>TrEMBL</t>
        </is>
      </c>
      <c r="J1110" t="inlineStr">
        <is>
          <t>nes.L</t>
        </is>
      </c>
      <c r="K1110" t="inlineStr">
        <is>
          <t>A0A1L8FCC8_XENLA</t>
        </is>
      </c>
      <c r="L1110" t="inlineStr">
        <is>
          <t>tr|A0A1L8FCC8|A0A1L8FCC8_XENLA tanabin-like OS=Xenopus laevis OX=8355 GN=nes.L PE=3 SV=1</t>
        </is>
      </c>
      <c r="M1110" t="n">
        <v>1954</v>
      </c>
      <c r="N1110" t="inlineStr">
        <is>
          <t>Xenopus laevis</t>
        </is>
      </c>
      <c r="O1110" t="inlineStr">
        <is>
          <t>tanabin-like</t>
        </is>
      </c>
    </row>
    <row r="1111">
      <c r="A1111" t="inlineStr"/>
      <c r="B1111" t="inlineStr"/>
      <c r="C1111" t="inlineStr"/>
      <c r="D1111" t="inlineStr"/>
      <c r="E1111">
        <f>HYPERLINK("https://www.ncbi.nlm.nih.gov/gene/?term=XP_018086929.1", "XP_018086929.1")</f>
        <v/>
      </c>
      <c r="F1111" t="n">
        <v>58</v>
      </c>
      <c r="G1111" t="n">
        <v>498</v>
      </c>
      <c r="H1111" t="n">
        <v>1.41e-131</v>
      </c>
      <c r="I1111" t="inlineStr">
        <is>
          <t>Nr</t>
        </is>
      </c>
      <c r="J1111" t="inlineStr"/>
      <c r="K1111" t="inlineStr"/>
      <c r="L1111" t="inlineStr">
        <is>
          <t>XP_018086929.1 tanabin-like [Xenopus laevis]</t>
        </is>
      </c>
      <c r="M1111" t="n">
        <v>1954</v>
      </c>
      <c r="N1111" t="inlineStr">
        <is>
          <t>Xenopus laevis</t>
        </is>
      </c>
      <c r="O1111" t="inlineStr">
        <is>
          <t>tanabin-like</t>
        </is>
      </c>
    </row>
    <row r="1112">
      <c r="A1112" t="inlineStr"/>
      <c r="B1112" t="inlineStr"/>
      <c r="C1112" t="inlineStr"/>
      <c r="D1112" t="inlineStr"/>
      <c r="E1112">
        <f>HYPERLINK("https://www.uniprot.org/uniprotkb/Q01550/entry", "Q01550")</f>
        <v/>
      </c>
      <c r="F1112" t="n">
        <v>62.7</v>
      </c>
      <c r="G1112" t="n">
        <v>434</v>
      </c>
      <c r="H1112" t="n">
        <v>4.11e-128</v>
      </c>
      <c r="I1112" t="inlineStr">
        <is>
          <t>Swiss-Prot</t>
        </is>
      </c>
      <c r="J1112" t="inlineStr"/>
      <c r="K1112" t="inlineStr">
        <is>
          <t>TANA_XENLA</t>
        </is>
      </c>
      <c r="L1112" t="inlineStr">
        <is>
          <t>sp|Q01550|TANA_XENLA Tanabin OS=Xenopus laevis OX=8355 PE=2 SV=1</t>
        </is>
      </c>
      <c r="M1112" t="n">
        <v>1744</v>
      </c>
      <c r="N1112" t="inlineStr">
        <is>
          <t>Xenopus laevis</t>
        </is>
      </c>
      <c r="O1112" t="inlineStr">
        <is>
          <t>Tanabin</t>
        </is>
      </c>
    </row>
    <row r="1113">
      <c r="A1113" t="inlineStr"/>
      <c r="B1113" t="inlineStr"/>
      <c r="C1113" t="inlineStr"/>
      <c r="D1113" t="inlineStr"/>
      <c r="E1113">
        <f>HYPERLINK("https://www.uniprot.org/uniprotkb/A0A1L8F4L7/entry", "A0A1L8F4L7")</f>
        <v/>
      </c>
      <c r="F1113" t="n">
        <v>63.4</v>
      </c>
      <c r="G1113" t="n">
        <v>434</v>
      </c>
      <c r="H1113" t="n">
        <v>2.24e-126</v>
      </c>
      <c r="I1113" t="inlineStr">
        <is>
          <t>TrEMBL</t>
        </is>
      </c>
      <c r="J1113" t="inlineStr">
        <is>
          <t>nes.S</t>
        </is>
      </c>
      <c r="K1113" t="inlineStr">
        <is>
          <t>A0A1L8F4L7_XENLA</t>
        </is>
      </c>
      <c r="L1113" t="inlineStr">
        <is>
          <t>tr|A0A1L8F4L7|A0A1L8F4L7_XENLA tanabin isoform X1 OS=Xenopus laevis OX=8355 GN=nes.S PE=3 SV=1</t>
        </is>
      </c>
      <c r="M1113" t="n">
        <v>1875</v>
      </c>
      <c r="N1113" t="inlineStr">
        <is>
          <t>Xenopus laevis</t>
        </is>
      </c>
      <c r="O1113" t="inlineStr">
        <is>
          <t>tanabin isoform X1</t>
        </is>
      </c>
    </row>
    <row r="1114">
      <c r="A1114" t="inlineStr"/>
      <c r="B1114" t="inlineStr"/>
      <c r="C1114" t="inlineStr"/>
      <c r="D1114" t="inlineStr"/>
      <c r="E1114">
        <f>HYPERLINK("https://www.uniprot.org/uniprotkb/A0A8J6EJR7/entry", "A0A8J6EJR7")</f>
        <v/>
      </c>
      <c r="F1114" t="n">
        <v>55.6</v>
      </c>
      <c r="G1114" t="n">
        <v>516</v>
      </c>
      <c r="H1114" t="n">
        <v>5.39e-126</v>
      </c>
      <c r="I1114" t="inlineStr">
        <is>
          <t>TrEMBL</t>
        </is>
      </c>
      <c r="J1114" t="inlineStr">
        <is>
          <t>GDO78_018757</t>
        </is>
      </c>
      <c r="K1114" t="inlineStr">
        <is>
          <t>A0A8J6EJR7_ELECQ</t>
        </is>
      </c>
      <c r="L1114" t="inlineStr">
        <is>
          <t>tr|A0A8J6EJR7|A0A8J6EJR7_ELECQ IF rod domain-containing protein OS=Eleutherodactylus coqui OX=57060 GN=GDO78_018757 PE=4 SV=1</t>
        </is>
      </c>
      <c r="M1114" t="n">
        <v>2257</v>
      </c>
      <c r="N1114" t="inlineStr">
        <is>
          <t>Eleutherodactylus coqui</t>
        </is>
      </c>
      <c r="O1114" t="inlineStr">
        <is>
          <t>IF rod domain-containing protein</t>
        </is>
      </c>
    </row>
    <row r="1115">
      <c r="A1115" t="inlineStr"/>
      <c r="B1115" t="inlineStr"/>
      <c r="C1115" t="inlineStr"/>
      <c r="D1115" t="inlineStr"/>
      <c r="E1115">
        <f>HYPERLINK("https://www.ncbi.nlm.nih.gov/gene/?term=XP_041430057.1", "XP_041430057.1")</f>
        <v/>
      </c>
      <c r="F1115" t="n">
        <v>63.4</v>
      </c>
      <c r="G1115" t="n">
        <v>434</v>
      </c>
      <c r="H1115" t="n">
        <v>5.759999999999999e-126</v>
      </c>
      <c r="I1115" t="inlineStr">
        <is>
          <t>Nr</t>
        </is>
      </c>
      <c r="J1115" t="inlineStr"/>
      <c r="K1115" t="inlineStr"/>
      <c r="L1115" t="inlineStr">
        <is>
          <t>XP_041430057.1 tanabin isoform X1 [Xenopus laevis]</t>
        </is>
      </c>
      <c r="M1115" t="n">
        <v>1875</v>
      </c>
      <c r="N1115" t="inlineStr">
        <is>
          <t>Xenopus laevis</t>
        </is>
      </c>
      <c r="O1115" t="inlineStr">
        <is>
          <t>tanabin isoform X1</t>
        </is>
      </c>
    </row>
    <row r="1116">
      <c r="A1116" t="inlineStr"/>
      <c r="B1116" t="inlineStr"/>
      <c r="C1116" t="inlineStr"/>
      <c r="D1116" t="inlineStr"/>
      <c r="E1116">
        <f>HYPERLINK("https://www.ncbi.nlm.nih.gov/gene/?term=KAG9470144.1", "KAG9470144.1")</f>
        <v/>
      </c>
      <c r="F1116" t="n">
        <v>55.6</v>
      </c>
      <c r="G1116" t="n">
        <v>516</v>
      </c>
      <c r="H1116" t="n">
        <v>1.38e-125</v>
      </c>
      <c r="I1116" t="inlineStr">
        <is>
          <t>Nr</t>
        </is>
      </c>
      <c r="J1116" t="inlineStr"/>
      <c r="K1116" t="inlineStr"/>
      <c r="L1116" t="inlineStr">
        <is>
          <t>KAG9470144.1 hypothetical protein GDO78_018757 [Eleutherodactylus coqui]</t>
        </is>
      </c>
      <c r="M1116" t="n">
        <v>2257</v>
      </c>
      <c r="N1116" t="inlineStr">
        <is>
          <t>Eleutherodactylus coqui</t>
        </is>
      </c>
      <c r="O1116" t="inlineStr">
        <is>
          <t>hypothetical protein GDO78_018757</t>
        </is>
      </c>
    </row>
    <row r="1117">
      <c r="A1117" t="inlineStr"/>
      <c r="B1117" t="inlineStr"/>
      <c r="C1117" t="inlineStr"/>
      <c r="D1117" t="inlineStr"/>
      <c r="E1117">
        <f>HYPERLINK("https://www.ncbi.nlm.nih.gov/gene/?term=XP_040188521.1", "XP_040188521.1")</f>
        <v/>
      </c>
      <c r="F1117" t="n">
        <v>59.3</v>
      </c>
      <c r="G1117" t="n">
        <v>460</v>
      </c>
      <c r="H1117" t="n">
        <v>3.9e-125</v>
      </c>
      <c r="I1117" t="inlineStr">
        <is>
          <t>Nr</t>
        </is>
      </c>
      <c r="J1117" t="inlineStr"/>
      <c r="K1117" t="inlineStr"/>
      <c r="L1117" t="inlineStr">
        <is>
          <t>XP_040188521.1 nestin [Rana temporaria]</t>
        </is>
      </c>
      <c r="M1117" t="n">
        <v>4249</v>
      </c>
      <c r="N1117" t="inlineStr">
        <is>
          <t>Rana temporaria</t>
        </is>
      </c>
      <c r="O1117" t="inlineStr">
        <is>
          <t>nestin</t>
        </is>
      </c>
    </row>
    <row r="1118">
      <c r="A1118" t="inlineStr"/>
      <c r="B1118" t="inlineStr"/>
      <c r="C1118" t="inlineStr"/>
      <c r="D1118" t="inlineStr"/>
      <c r="E1118">
        <f>HYPERLINK("https://www.ncbi.nlm.nih.gov/gene/?term=NP_001081326.1", "NP_001081326.1")</f>
        <v/>
      </c>
      <c r="F1118" t="n">
        <v>62.7</v>
      </c>
      <c r="G1118" t="n">
        <v>434</v>
      </c>
      <c r="H1118" t="n">
        <v>4.15e-125</v>
      </c>
      <c r="I1118" t="inlineStr">
        <is>
          <t>Nr</t>
        </is>
      </c>
      <c r="J1118" t="inlineStr"/>
      <c r="K1118" t="inlineStr"/>
      <c r="L1118" t="inlineStr">
        <is>
          <t>NP_001081326.1 tanabin [Xenopus laevis]</t>
        </is>
      </c>
      <c r="M1118" t="n">
        <v>1744</v>
      </c>
      <c r="N1118" t="inlineStr">
        <is>
          <t>Xenopus laevis</t>
        </is>
      </c>
      <c r="O1118" t="inlineStr">
        <is>
          <t>tanabin</t>
        </is>
      </c>
    </row>
    <row r="1119">
      <c r="A1119" t="inlineStr"/>
      <c r="B1119" t="inlineStr"/>
      <c r="C1119" t="inlineStr"/>
      <c r="D1119" t="inlineStr"/>
      <c r="E1119">
        <f>HYPERLINK("https://www.uniprot.org/uniprotkb/Q6DEB2/entry", "Q6DEB2")</f>
        <v/>
      </c>
      <c r="F1119" t="n">
        <v>59.9</v>
      </c>
      <c r="G1119" t="n">
        <v>434</v>
      </c>
      <c r="H1119" t="n">
        <v>1.53e-120</v>
      </c>
      <c r="I1119" t="inlineStr">
        <is>
          <t>TrEMBL</t>
        </is>
      </c>
      <c r="J1119" t="inlineStr"/>
      <c r="K1119" t="inlineStr">
        <is>
          <t>Q6DEB2_XENLA</t>
        </is>
      </c>
      <c r="L1119" t="inlineStr">
        <is>
          <t>tr|Q6DEB2|Q6DEB2_XENLA IF rod domain-containing protein (Fragment) OS=Xenopus laevis OX=8355 PE=2 SV=1</t>
        </is>
      </c>
      <c r="M1119" t="n">
        <v>971</v>
      </c>
      <c r="N1119" t="inlineStr">
        <is>
          <t>Xenopus laevis</t>
        </is>
      </c>
      <c r="O1119" t="inlineStr">
        <is>
          <t>IF rod domain-containing protein (Fragment)</t>
        </is>
      </c>
    </row>
    <row r="1120">
      <c r="A1120" t="inlineStr"/>
      <c r="B1120" t="inlineStr"/>
      <c r="C1120" t="inlineStr"/>
      <c r="D1120" t="inlineStr"/>
      <c r="E1120">
        <f>HYPERLINK("https://www.ncbi.nlm.nih.gov/gene/?term=AAH77218.1", "AAH77218.1")</f>
        <v/>
      </c>
      <c r="F1120" t="n">
        <v>59.9</v>
      </c>
      <c r="G1120" t="n">
        <v>434</v>
      </c>
      <c r="H1120" t="n">
        <v>3.94e-120</v>
      </c>
      <c r="I1120" t="inlineStr">
        <is>
          <t>Nr</t>
        </is>
      </c>
      <c r="J1120" t="inlineStr"/>
      <c r="K1120" t="inlineStr"/>
      <c r="L1120" t="inlineStr">
        <is>
          <t>AAH77218.1 Unknown (protein for IMAGE:4408820), partial [Xenopus laevis]</t>
        </is>
      </c>
      <c r="M1120" t="n">
        <v>971</v>
      </c>
      <c r="N1120" t="inlineStr">
        <is>
          <t>Xenopus laevis</t>
        </is>
      </c>
      <c r="O1120" t="inlineStr">
        <is>
          <t>Unknown (protein for IMAGE:4408820), partial</t>
        </is>
      </c>
    </row>
    <row r="1121">
      <c r="A1121" t="inlineStr"/>
      <c r="B1121" t="inlineStr"/>
      <c r="C1121" t="inlineStr"/>
      <c r="D1121" t="inlineStr"/>
      <c r="E1121">
        <f>HYPERLINK("https://www.uniprot.org/uniprotkb/A0A6P7WRJ4/entry", "A0A6P7WRJ4")</f>
        <v/>
      </c>
      <c r="F1121" t="n">
        <v>54</v>
      </c>
      <c r="G1121" t="n">
        <v>452</v>
      </c>
      <c r="H1121" t="n">
        <v>2.55e-110</v>
      </c>
      <c r="I1121" t="inlineStr">
        <is>
          <t>TrEMBL</t>
        </is>
      </c>
      <c r="J1121" t="inlineStr">
        <is>
          <t>NES</t>
        </is>
      </c>
      <c r="K1121" t="inlineStr">
        <is>
          <t>A0A6P7WRJ4_9AMPH</t>
        </is>
      </c>
      <c r="L1121" t="inlineStr">
        <is>
          <t>tr|A0A6P7WRJ4|A0A6P7WRJ4_9AMPH LOW QUALITY PROTEIN: nestin OS=Microcaecilia unicolor OX=1415580 GN=NES PE=3 SV=1</t>
        </is>
      </c>
      <c r="M1121" t="n">
        <v>2136</v>
      </c>
      <c r="N1121" t="inlineStr">
        <is>
          <t>Microcaecilia unicolor</t>
        </is>
      </c>
      <c r="O1121" t="inlineStr">
        <is>
          <t>LOW QUALITY PROTEIN: nestin</t>
        </is>
      </c>
    </row>
    <row r="1122">
      <c r="A1122" t="inlineStr"/>
      <c r="B1122" t="inlineStr"/>
      <c r="C1122" t="inlineStr"/>
      <c r="D1122" t="inlineStr"/>
      <c r="E1122">
        <f>HYPERLINK("https://www.ncbi.nlm.nih.gov/gene/?term=XP_030042998.1", "XP_030042998.1")</f>
        <v/>
      </c>
      <c r="F1122" t="n">
        <v>54</v>
      </c>
      <c r="G1122" t="n">
        <v>452</v>
      </c>
      <c r="H1122" t="n">
        <v>6.560000000000001e-110</v>
      </c>
      <c r="I1122" t="inlineStr">
        <is>
          <t>Nr</t>
        </is>
      </c>
      <c r="J1122" t="inlineStr"/>
      <c r="K1122" t="inlineStr"/>
      <c r="L1122" t="inlineStr">
        <is>
          <t>XP_030042998.1 LOW QUALITY PROTEIN: nestin [Microcaecilia unicolor]</t>
        </is>
      </c>
      <c r="M1122" t="n">
        <v>2136</v>
      </c>
      <c r="N1122" t="inlineStr">
        <is>
          <t>Microcaecilia unicolor</t>
        </is>
      </c>
      <c r="O1122" t="inlineStr">
        <is>
          <t>LOW QUALITY PROTEIN: nestin</t>
        </is>
      </c>
    </row>
    <row r="1123">
      <c r="A1123" t="inlineStr"/>
      <c r="B1123" t="inlineStr"/>
      <c r="C1123" t="inlineStr"/>
      <c r="D1123" t="inlineStr"/>
      <c r="E1123">
        <f>HYPERLINK("https://www.uniprot.org/uniprotkb/A0A8T2K5J2/entry", "A0A8T2K5J2")</f>
        <v/>
      </c>
      <c r="F1123" t="n">
        <v>52</v>
      </c>
      <c r="G1123" t="n">
        <v>496</v>
      </c>
      <c r="H1123" t="n">
        <v>1.17e-108</v>
      </c>
      <c r="I1123" t="inlineStr">
        <is>
          <t>TrEMBL</t>
        </is>
      </c>
      <c r="J1123" t="inlineStr">
        <is>
          <t>GDO86_016540</t>
        </is>
      </c>
      <c r="K1123" t="inlineStr">
        <is>
          <t>A0A8T2K5J2_9PIPI</t>
        </is>
      </c>
      <c r="L1123" t="inlineStr">
        <is>
          <t>tr|A0A8T2K5J2|A0A8T2K5J2_9PIPI IF rod domain-containing protein OS=Hymenochirus boettgeri OX=247094 GN=GDO86_016540 PE=3 SV=1</t>
        </is>
      </c>
      <c r="M1123" t="n">
        <v>1768</v>
      </c>
      <c r="N1123" t="inlineStr">
        <is>
          <t>Hymenochirus boettgeri</t>
        </is>
      </c>
      <c r="O1123" t="inlineStr">
        <is>
          <t>IF rod domain-containing protein</t>
        </is>
      </c>
    </row>
    <row r="1124">
      <c r="A1124" t="inlineStr"/>
      <c r="B1124" t="inlineStr"/>
      <c r="C1124" t="inlineStr"/>
      <c r="D1124" t="inlineStr"/>
      <c r="E1124">
        <f>HYPERLINK("https://www.ncbi.nlm.nih.gov/gene/?term=KAG8449901.1", "KAG8449901.1")</f>
        <v/>
      </c>
      <c r="F1124" t="n">
        <v>52</v>
      </c>
      <c r="G1124" t="n">
        <v>496</v>
      </c>
      <c r="H1124" t="n">
        <v>3.01e-108</v>
      </c>
      <c r="I1124" t="inlineStr">
        <is>
          <t>Nr</t>
        </is>
      </c>
      <c r="J1124" t="inlineStr"/>
      <c r="K1124" t="inlineStr"/>
      <c r="L1124" t="inlineStr">
        <is>
          <t>KAG8449901.1 hypothetical protein GDO86_016540 [Hymenochirus boettgeri]</t>
        </is>
      </c>
      <c r="M1124" t="n">
        <v>1768</v>
      </c>
      <c r="N1124" t="inlineStr">
        <is>
          <t>Hymenochirus boettgeri</t>
        </is>
      </c>
      <c r="O1124" t="inlineStr">
        <is>
          <t>hypothetical protein GDO86_016540</t>
        </is>
      </c>
    </row>
    <row r="1125">
      <c r="A1125" t="inlineStr"/>
      <c r="B1125" t="inlineStr"/>
      <c r="C1125" t="inlineStr"/>
      <c r="D1125" t="inlineStr"/>
      <c r="E1125">
        <f>HYPERLINK("https://www.ncbi.nlm.nih.gov/gene/?term=XP_053331500.1", "XP_053331500.1")</f>
        <v/>
      </c>
      <c r="F1125" t="n">
        <v>40.4</v>
      </c>
      <c r="G1125" t="n">
        <v>805</v>
      </c>
      <c r="H1125" t="n">
        <v>3.11e-108</v>
      </c>
      <c r="I1125" t="inlineStr">
        <is>
          <t>Nr</t>
        </is>
      </c>
      <c r="J1125" t="inlineStr"/>
      <c r="K1125" t="inlineStr"/>
      <c r="L1125" t="inlineStr">
        <is>
          <t>XP_053331500.1 nestin [Spea bombifrons]</t>
        </is>
      </c>
      <c r="M1125" t="n">
        <v>2008</v>
      </c>
      <c r="N1125" t="inlineStr">
        <is>
          <t>Spea bombifrons</t>
        </is>
      </c>
      <c r="O1125" t="inlineStr">
        <is>
          <t>nestin</t>
        </is>
      </c>
    </row>
    <row r="1126">
      <c r="A1126" t="inlineStr"/>
      <c r="B1126" t="inlineStr"/>
      <c r="C1126" t="inlineStr"/>
      <c r="D1126" t="inlineStr"/>
      <c r="E1126">
        <f>HYPERLINK("https://www.uniprot.org/uniprotkb/A0A6P8PUN6/entry", "A0A6P8PUN6")</f>
        <v/>
      </c>
      <c r="F1126" t="n">
        <v>52.2</v>
      </c>
      <c r="G1126" t="n">
        <v>469</v>
      </c>
      <c r="H1126" t="n">
        <v>4.56e-108</v>
      </c>
      <c r="I1126" t="inlineStr">
        <is>
          <t>TrEMBL</t>
        </is>
      </c>
      <c r="J1126" t="inlineStr">
        <is>
          <t>NES</t>
        </is>
      </c>
      <c r="K1126" t="inlineStr">
        <is>
          <t>A0A6P8PUN6_GEOSA</t>
        </is>
      </c>
      <c r="L1126" t="inlineStr">
        <is>
          <t>tr|A0A6P8PUN6|A0A6P8PUN6_GEOSA nestin OS=Geotrypetes seraphini OX=260995 GN=NES PE=3 SV=1</t>
        </is>
      </c>
      <c r="M1126" t="n">
        <v>2411</v>
      </c>
      <c r="N1126" t="inlineStr">
        <is>
          <t>Geotrypetes seraphini</t>
        </is>
      </c>
      <c r="O1126" t="inlineStr">
        <is>
          <t>nestin</t>
        </is>
      </c>
    </row>
    <row r="1127">
      <c r="A1127" t="inlineStr"/>
      <c r="B1127" t="inlineStr"/>
      <c r="C1127" t="inlineStr"/>
      <c r="D1127" t="inlineStr"/>
      <c r="E1127">
        <f>HYPERLINK("https://www.ncbi.nlm.nih.gov/gene/?term=XP_033779056.1", "XP_033779056.1")</f>
        <v/>
      </c>
      <c r="F1127" t="n">
        <v>52.2</v>
      </c>
      <c r="G1127" t="n">
        <v>469</v>
      </c>
      <c r="H1127" t="n">
        <v>1.17e-107</v>
      </c>
      <c r="I1127" t="inlineStr">
        <is>
          <t>Nr</t>
        </is>
      </c>
      <c r="J1127" t="inlineStr"/>
      <c r="K1127" t="inlineStr"/>
      <c r="L1127" t="inlineStr">
        <is>
          <t>XP_033779056.1 nestin [Geotrypetes seraphini]</t>
        </is>
      </c>
      <c r="M1127" t="n">
        <v>2411</v>
      </c>
      <c r="N1127" t="inlineStr">
        <is>
          <t>Geotrypetes seraphini</t>
        </is>
      </c>
      <c r="O1127" t="inlineStr">
        <is>
          <t>nestin</t>
        </is>
      </c>
    </row>
    <row r="1128">
      <c r="A1128" t="inlineStr"/>
      <c r="B1128" t="inlineStr"/>
      <c r="C1128" t="inlineStr"/>
      <c r="D1128" t="inlineStr"/>
      <c r="E1128">
        <f>HYPERLINK("https://www.uniprot.org/uniprotkb/A0A7K9STY4/entry", "A0A7K9STY4")</f>
        <v/>
      </c>
      <c r="F1128" t="n">
        <v>62.8</v>
      </c>
      <c r="G1128" t="n">
        <v>312</v>
      </c>
      <c r="H1128" t="n">
        <v>1.59e-99</v>
      </c>
      <c r="I1128" t="inlineStr">
        <is>
          <t>TrEMBL</t>
        </is>
      </c>
      <c r="J1128" t="inlineStr">
        <is>
          <t>Tana</t>
        </is>
      </c>
      <c r="K1128" t="inlineStr">
        <is>
          <t>A0A7K9STY4_9AVES</t>
        </is>
      </c>
      <c r="L1128" t="inlineStr">
        <is>
          <t>tr|A0A7K9STY4|A0A7K9STY4_9AVES TANA protein (Fragment) OS=Galbula dea OX=1109041 GN=Tana PE=3 SV=1</t>
        </is>
      </c>
      <c r="M1128" t="n">
        <v>314</v>
      </c>
      <c r="N1128" t="inlineStr">
        <is>
          <t>Galbula dea</t>
        </is>
      </c>
      <c r="O1128" t="inlineStr">
        <is>
          <t>TANA protein (Fragment)</t>
        </is>
      </c>
    </row>
    <row r="1129">
      <c r="A1129" t="inlineStr"/>
      <c r="B1129" t="inlineStr"/>
      <c r="C1129" t="inlineStr"/>
      <c r="D1129" t="inlineStr"/>
      <c r="E1129">
        <f>HYPERLINK("https://www.ncbi.nlm.nih.gov/gene/?term=NXI39512.1", "NXI39512.1")</f>
        <v/>
      </c>
      <c r="F1129" t="n">
        <v>62.8</v>
      </c>
      <c r="G1129" t="n">
        <v>312</v>
      </c>
      <c r="H1129" t="n">
        <v>4.09e-99</v>
      </c>
      <c r="I1129" t="inlineStr">
        <is>
          <t>Nr</t>
        </is>
      </c>
      <c r="J1129" t="inlineStr"/>
      <c r="K1129" t="inlineStr"/>
      <c r="L1129" t="inlineStr">
        <is>
          <t>NXI39512.1 TANA protein [Galbula dea]</t>
        </is>
      </c>
      <c r="M1129" t="n">
        <v>314</v>
      </c>
      <c r="N1129" t="inlineStr">
        <is>
          <t>Galbula dea</t>
        </is>
      </c>
      <c r="O1129" t="inlineStr">
        <is>
          <t>TANA protein</t>
        </is>
      </c>
    </row>
    <row r="1130">
      <c r="A1130" t="inlineStr"/>
      <c r="B1130" t="inlineStr"/>
      <c r="C1130" t="inlineStr"/>
      <c r="D1130" t="inlineStr"/>
      <c r="E1130">
        <f>HYPERLINK("https://www.uniprot.org/uniprotkb/A0A7L0ERN2/entry", "A0A7L0ERN2")</f>
        <v/>
      </c>
      <c r="F1130" t="n">
        <v>62.5</v>
      </c>
      <c r="G1130" t="n">
        <v>312</v>
      </c>
      <c r="H1130" t="n">
        <v>5.77e-99</v>
      </c>
      <c r="I1130" t="inlineStr">
        <is>
          <t>TrEMBL</t>
        </is>
      </c>
      <c r="J1130" t="inlineStr">
        <is>
          <t>Tana</t>
        </is>
      </c>
      <c r="K1130" t="inlineStr">
        <is>
          <t>A0A7L0ERN2_TROML</t>
        </is>
      </c>
      <c r="L1130" t="inlineStr">
        <is>
          <t>tr|A0A7L0ERN2|A0A7L0ERN2_TROML TANA protein (Fragment) OS=Trogon melanurus OX=56311 GN=Tana PE=3 SV=1</t>
        </is>
      </c>
      <c r="M1130" t="n">
        <v>314</v>
      </c>
      <c r="N1130" t="inlineStr">
        <is>
          <t>Trogon melanurus</t>
        </is>
      </c>
      <c r="O1130" t="inlineStr">
        <is>
          <t>TANA protein (Fragment)</t>
        </is>
      </c>
    </row>
    <row r="1131">
      <c r="A1131" t="inlineStr"/>
      <c r="B1131" t="inlineStr"/>
      <c r="C1131" t="inlineStr"/>
      <c r="D1131" t="inlineStr"/>
      <c r="E1131">
        <f>HYPERLINK("https://www.ncbi.nlm.nih.gov/gene/?term=NXJ85866.1", "NXJ85866.1")</f>
        <v/>
      </c>
      <c r="F1131" t="n">
        <v>62.5</v>
      </c>
      <c r="G1131" t="n">
        <v>312</v>
      </c>
      <c r="H1131" t="n">
        <v>1.48e-98</v>
      </c>
      <c r="I1131" t="inlineStr">
        <is>
          <t>Nr</t>
        </is>
      </c>
      <c r="J1131" t="inlineStr"/>
      <c r="K1131" t="inlineStr"/>
      <c r="L1131" t="inlineStr">
        <is>
          <t>NXJ85866.1 TANA protein [Trogon melanurus]</t>
        </is>
      </c>
      <c r="M1131" t="n">
        <v>314</v>
      </c>
      <c r="N1131" t="inlineStr">
        <is>
          <t>Trogon melanurus</t>
        </is>
      </c>
      <c r="O1131" t="inlineStr">
        <is>
          <t>TANA protein</t>
        </is>
      </c>
    </row>
    <row r="1132">
      <c r="A1132" t="inlineStr"/>
      <c r="B1132" t="inlineStr"/>
      <c r="C1132" t="inlineStr"/>
      <c r="D1132" t="inlineStr"/>
      <c r="E1132">
        <f>HYPERLINK("https://www.uniprot.org/uniprotkb/A0A7K9DYN1/entry", "A0A7K9DYN1")</f>
        <v/>
      </c>
      <c r="F1132" t="n">
        <v>62.2</v>
      </c>
      <c r="G1132" t="n">
        <v>312</v>
      </c>
      <c r="H1132" t="n">
        <v>2.88e-98</v>
      </c>
      <c r="I1132" t="inlineStr">
        <is>
          <t>TrEMBL</t>
        </is>
      </c>
      <c r="J1132" t="inlineStr">
        <is>
          <t>Tana</t>
        </is>
      </c>
      <c r="K1132" t="inlineStr">
        <is>
          <t>A0A7K9DYN1_BARMA</t>
        </is>
      </c>
      <c r="L1132" t="inlineStr">
        <is>
          <t>tr|A0A7K9DYN1|A0A7K9DYN1_BARMA TANA protein (Fragment) OS=Baryphthengus martii OX=176943 GN=Tana PE=3 SV=1</t>
        </is>
      </c>
      <c r="M1132" t="n">
        <v>314</v>
      </c>
      <c r="N1132" t="inlineStr">
        <is>
          <t>Baryphthengus martii</t>
        </is>
      </c>
      <c r="O1132" t="inlineStr">
        <is>
          <t>TANA protein (Fragment)</t>
        </is>
      </c>
    </row>
    <row r="1133">
      <c r="A1133" t="inlineStr"/>
      <c r="B1133" t="inlineStr"/>
      <c r="C1133" t="inlineStr"/>
      <c r="D1133" t="inlineStr"/>
      <c r="E1133">
        <f>HYPERLINK("https://www.uniprot.org/uniprotkb/A0A851ZF96/entry", "A0A851ZF96")</f>
        <v/>
      </c>
      <c r="F1133" t="n">
        <v>62.2</v>
      </c>
      <c r="G1133" t="n">
        <v>312</v>
      </c>
      <c r="H1133" t="n">
        <v>3.97e-98</v>
      </c>
      <c r="I1133" t="inlineStr">
        <is>
          <t>TrEMBL</t>
        </is>
      </c>
      <c r="J1133" t="inlineStr">
        <is>
          <t>Tana</t>
        </is>
      </c>
      <c r="K1133" t="inlineStr">
        <is>
          <t>A0A851ZF96_9AVES</t>
        </is>
      </c>
      <c r="L1133" t="inlineStr">
        <is>
          <t>tr|A0A851ZF96|A0A851ZF96_9AVES TANA protein (Fragment) OS=Halcyon senegalensis OX=342381 GN=Tana PE=3 SV=1</t>
        </is>
      </c>
      <c r="M1133" t="n">
        <v>314</v>
      </c>
      <c r="N1133" t="inlineStr">
        <is>
          <t>Halcyon senegalensis</t>
        </is>
      </c>
      <c r="O1133" t="inlineStr">
        <is>
          <t>TANA protein (Fragment)</t>
        </is>
      </c>
    </row>
    <row r="1134">
      <c r="A1134" t="inlineStr"/>
      <c r="B1134" t="inlineStr"/>
      <c r="C1134" t="inlineStr"/>
      <c r="D1134" t="inlineStr"/>
      <c r="E1134">
        <f>HYPERLINK("https://www.ncbi.nlm.nih.gov/gene/?term=NXG69854.1", "NXG69854.1")</f>
        <v/>
      </c>
      <c r="F1134" t="n">
        <v>62.2</v>
      </c>
      <c r="G1134" t="n">
        <v>312</v>
      </c>
      <c r="H1134" t="n">
        <v>7.39e-98</v>
      </c>
      <c r="I1134" t="inlineStr">
        <is>
          <t>Nr</t>
        </is>
      </c>
      <c r="J1134" t="inlineStr"/>
      <c r="K1134" t="inlineStr"/>
      <c r="L1134" t="inlineStr">
        <is>
          <t>NXG69854.1 TANA protein [Baryphthengus martii]</t>
        </is>
      </c>
      <c r="M1134" t="n">
        <v>314</v>
      </c>
      <c r="N1134" t="inlineStr">
        <is>
          <t>Baryphthengus martii</t>
        </is>
      </c>
      <c r="O1134" t="inlineStr">
        <is>
          <t>TANA protein</t>
        </is>
      </c>
    </row>
    <row r="1135">
      <c r="A1135" t="inlineStr"/>
      <c r="B1135" t="inlineStr"/>
      <c r="C1135" t="inlineStr"/>
      <c r="D1135" t="inlineStr"/>
      <c r="E1135">
        <f>HYPERLINK("https://www.ncbi.nlm.nih.gov/gene/?term=NXD87272.1", "NXD87272.1")</f>
        <v/>
      </c>
      <c r="F1135" t="n">
        <v>62.2</v>
      </c>
      <c r="G1135" t="n">
        <v>312</v>
      </c>
      <c r="H1135" t="n">
        <v>1.02e-97</v>
      </c>
      <c r="I1135" t="inlineStr">
        <is>
          <t>Nr</t>
        </is>
      </c>
      <c r="J1135" t="inlineStr"/>
      <c r="K1135" t="inlineStr"/>
      <c r="L1135" t="inlineStr">
        <is>
          <t>NXD87272.1 TANA protein [Halcyon senegalensis]</t>
        </is>
      </c>
      <c r="M1135" t="n">
        <v>314</v>
      </c>
      <c r="N1135" t="inlineStr">
        <is>
          <t>Halcyon senegalensis</t>
        </is>
      </c>
      <c r="O1135" t="inlineStr">
        <is>
          <t>TANA protein</t>
        </is>
      </c>
    </row>
    <row r="1136">
      <c r="A1136" t="inlineStr"/>
      <c r="B1136" t="inlineStr"/>
      <c r="C1136" t="inlineStr"/>
      <c r="D1136" t="inlineStr"/>
      <c r="E1136">
        <f>HYPERLINK("https://www.uniprot.org/uniprotkb/A0A7L3SBK5/entry", "A0A7L3SBK5")</f>
        <v/>
      </c>
      <c r="F1136" t="n">
        <v>61.5</v>
      </c>
      <c r="G1136" t="n">
        <v>312</v>
      </c>
      <c r="H1136" t="n">
        <v>1.43e-97</v>
      </c>
      <c r="I1136" t="inlineStr">
        <is>
          <t>TrEMBL</t>
        </is>
      </c>
      <c r="J1136" t="inlineStr">
        <is>
          <t>Tana</t>
        </is>
      </c>
      <c r="K1136" t="inlineStr">
        <is>
          <t>A0A7L3SBK5_CEPGR</t>
        </is>
      </c>
      <c r="L1136" t="inlineStr">
        <is>
          <t>tr|A0A7L3SBK5|A0A7L3SBK5_CEPGR TANA protein (Fragment) OS=Cepphus grylle OX=28697 GN=Tana PE=3 SV=1</t>
        </is>
      </c>
      <c r="M1136" t="n">
        <v>314</v>
      </c>
      <c r="N1136" t="inlineStr">
        <is>
          <t>Cepphus grylle</t>
        </is>
      </c>
      <c r="O1136" t="inlineStr">
        <is>
          <t>TANA protein (Fragment)</t>
        </is>
      </c>
    </row>
    <row r="1137">
      <c r="A1137" t="inlineStr"/>
      <c r="B1137" t="inlineStr"/>
      <c r="C1137" t="inlineStr"/>
      <c r="D1137" t="inlineStr"/>
      <c r="E1137">
        <f>HYPERLINK("https://www.uniprot.org/uniprotkb/A0A7K8UHM4/entry", "A0A7K8UHM4")</f>
        <v/>
      </c>
      <c r="F1137" t="n">
        <v>61.5</v>
      </c>
      <c r="G1137" t="n">
        <v>312</v>
      </c>
      <c r="H1137" t="n">
        <v>1.43e-97</v>
      </c>
      <c r="I1137" t="inlineStr">
        <is>
          <t>TrEMBL</t>
        </is>
      </c>
      <c r="J1137" t="inlineStr">
        <is>
          <t>Tana</t>
        </is>
      </c>
      <c r="K1137" t="inlineStr">
        <is>
          <t>A0A7K8UHM4_OCEOC</t>
        </is>
      </c>
      <c r="L1137" t="inlineStr">
        <is>
          <t>tr|A0A7K8UHM4|A0A7K8UHM4_OCEOC TANA protein (Fragment) OS=Oceanites oceanicus OX=79653 GN=Tana PE=3 SV=1</t>
        </is>
      </c>
      <c r="M1137" t="n">
        <v>314</v>
      </c>
      <c r="N1137" t="inlineStr">
        <is>
          <t>Oceanites oceanicus</t>
        </is>
      </c>
      <c r="O1137" t="inlineStr">
        <is>
          <t>TANA protein (Fragment)</t>
        </is>
      </c>
    </row>
    <row r="1138">
      <c r="A1138" t="inlineStr"/>
      <c r="B1138" t="inlineStr"/>
      <c r="C1138" t="inlineStr"/>
      <c r="D1138" t="inlineStr"/>
      <c r="E1138">
        <f>HYPERLINK("https://www.uniprot.org/uniprotkb/A0A7L3XT39/entry", "A0A7L3XT39")</f>
        <v/>
      </c>
      <c r="F1138" t="n">
        <v>61.5</v>
      </c>
      <c r="G1138" t="n">
        <v>312</v>
      </c>
      <c r="H1138" t="n">
        <v>1.98e-97</v>
      </c>
      <c r="I1138" t="inlineStr">
        <is>
          <t>TrEMBL</t>
        </is>
      </c>
      <c r="J1138" t="inlineStr">
        <is>
          <t>Tana</t>
        </is>
      </c>
      <c r="K1138" t="inlineStr">
        <is>
          <t>A0A7L3XT39_9AVES</t>
        </is>
      </c>
      <c r="L1138" t="inlineStr">
        <is>
          <t>tr|A0A7L3XT39|A0A7L3XT39_9AVES TANA protein (Fragment) OS=Calonectris borealis OX=1323832 GN=Tana PE=3 SV=1</t>
        </is>
      </c>
      <c r="M1138" t="n">
        <v>314</v>
      </c>
      <c r="N1138" t="inlineStr">
        <is>
          <t>Calonectris borealis</t>
        </is>
      </c>
      <c r="O1138" t="inlineStr">
        <is>
          <t>TANA protein (Fragment)</t>
        </is>
      </c>
    </row>
    <row r="1139">
      <c r="A1139" t="inlineStr"/>
      <c r="B1139" t="inlineStr"/>
      <c r="C1139" t="inlineStr"/>
      <c r="D1139" t="inlineStr"/>
      <c r="E1139">
        <f>HYPERLINK("https://www.uniprot.org/uniprotkb/A0A7K4YNT7/entry", "A0A7K4YNT7")</f>
        <v/>
      </c>
      <c r="F1139" t="n">
        <v>61.2</v>
      </c>
      <c r="G1139" t="n">
        <v>312</v>
      </c>
      <c r="H1139" t="n">
        <v>1.98e-97</v>
      </c>
      <c r="I1139" t="inlineStr">
        <is>
          <t>TrEMBL</t>
        </is>
      </c>
      <c r="J1139" t="inlineStr">
        <is>
          <t>Tana</t>
        </is>
      </c>
      <c r="K1139" t="inlineStr">
        <is>
          <t>A0A7K4YNT7_BUCAB</t>
        </is>
      </c>
      <c r="L1139" t="inlineStr">
        <is>
          <t>tr|A0A7K4YNT7|A0A7K4YNT7_BUCAB TANA protein (Fragment) OS=Bucorvus abyssinicus OX=153643 GN=Tana PE=3 SV=1</t>
        </is>
      </c>
      <c r="M1139" t="n">
        <v>314</v>
      </c>
      <c r="N1139" t="inlineStr">
        <is>
          <t>Bucorvus abyssinicus</t>
        </is>
      </c>
      <c r="O1139" t="inlineStr">
        <is>
          <t>TANA protein (Fragment)</t>
        </is>
      </c>
    </row>
    <row r="1140">
      <c r="A1140" t="inlineStr"/>
      <c r="B1140" t="inlineStr"/>
      <c r="C1140" t="inlineStr"/>
      <c r="D1140" t="inlineStr"/>
      <c r="E1140">
        <f>HYPERLINK("https://www.uniprot.org/uniprotkb/A0A7L3UMX7/entry", "A0A7L3UMX7")</f>
        <v/>
      </c>
      <c r="F1140" t="n">
        <v>61.5</v>
      </c>
      <c r="G1140" t="n">
        <v>312</v>
      </c>
      <c r="H1140" t="n">
        <v>2.72e-97</v>
      </c>
      <c r="I1140" t="inlineStr">
        <is>
          <t>TrEMBL</t>
        </is>
      </c>
      <c r="J1140" t="inlineStr">
        <is>
          <t>Tana</t>
        </is>
      </c>
      <c r="K1140" t="inlineStr">
        <is>
          <t>A0A7L3UMX7_URIAL</t>
        </is>
      </c>
      <c r="L1140" t="inlineStr">
        <is>
          <t>tr|A0A7L3UMX7|A0A7L3UMX7_URIAL TANA protein (Fragment) OS=Uria aalge OX=13746 GN=Tana PE=3 SV=1</t>
        </is>
      </c>
      <c r="M1140" t="n">
        <v>314</v>
      </c>
      <c r="N1140" t="inlineStr">
        <is>
          <t>Uria aalge</t>
        </is>
      </c>
      <c r="O1140" t="inlineStr">
        <is>
          <t>TANA protein (Fragment)</t>
        </is>
      </c>
    </row>
    <row r="1141">
      <c r="A1141" t="inlineStr"/>
      <c r="B1141" t="inlineStr"/>
      <c r="C1141" t="inlineStr"/>
      <c r="D1141" t="inlineStr"/>
      <c r="E1141">
        <f>HYPERLINK("https://www.uniprot.org/uniprotkb/A0A7L0AUW0/entry", "A0A7L0AUW0")</f>
        <v/>
      </c>
      <c r="F1141" t="n">
        <v>61.5</v>
      </c>
      <c r="G1141" t="n">
        <v>312</v>
      </c>
      <c r="H1141" t="n">
        <v>2.72e-97</v>
      </c>
      <c r="I1141" t="inlineStr">
        <is>
          <t>TrEMBL</t>
        </is>
      </c>
      <c r="J1141" t="inlineStr">
        <is>
          <t>Tana</t>
        </is>
      </c>
      <c r="K1141" t="inlineStr">
        <is>
          <t>A0A7L0AUW0_9AVES</t>
        </is>
      </c>
      <c r="L1141" t="inlineStr">
        <is>
          <t>tr|A0A7L0AUW0|A0A7L0AUW0_9AVES TANA protein (Fragment) OS=Ciconia maguari OX=52777 GN=Tana PE=3 SV=1</t>
        </is>
      </c>
      <c r="M1141" t="n">
        <v>314</v>
      </c>
      <c r="N1141" t="inlineStr">
        <is>
          <t>Ciconia maguari</t>
        </is>
      </c>
      <c r="O1141" t="inlineStr">
        <is>
          <t>TANA protein (Fragment)</t>
        </is>
      </c>
    </row>
    <row r="1142">
      <c r="A1142" t="inlineStr"/>
      <c r="B1142" t="inlineStr"/>
      <c r="C1142" t="inlineStr"/>
      <c r="D1142" t="inlineStr"/>
      <c r="E1142">
        <f>HYPERLINK("https://www.uniprot.org/uniprotkb/A0A7L0H3M1/entry", "A0A7L0H3M1")</f>
        <v/>
      </c>
      <c r="F1142" t="n">
        <v>61.5</v>
      </c>
      <c r="G1142" t="n">
        <v>312</v>
      </c>
      <c r="H1142" t="n">
        <v>2.72e-97</v>
      </c>
      <c r="I1142" t="inlineStr">
        <is>
          <t>TrEMBL</t>
        </is>
      </c>
      <c r="J1142" t="inlineStr">
        <is>
          <t>Tana</t>
        </is>
      </c>
      <c r="K1142" t="inlineStr">
        <is>
          <t>A0A7L0H3M1_HERCA</t>
        </is>
      </c>
      <c r="L1142" t="inlineStr">
        <is>
          <t>tr|A0A7L0H3M1|A0A7L0H3M1_HERCA TANA protein (Fragment) OS=Herpetotheres cachinnans OX=56343 GN=Tana PE=3 SV=1</t>
        </is>
      </c>
      <c r="M1142" t="n">
        <v>314</v>
      </c>
      <c r="N1142" t="inlineStr">
        <is>
          <t>Herpetotheres cachinnans</t>
        </is>
      </c>
      <c r="O1142" t="inlineStr">
        <is>
          <t>TANA protein (Fragment)</t>
        </is>
      </c>
    </row>
    <row r="1143">
      <c r="A1143" t="inlineStr"/>
      <c r="B1143" t="inlineStr"/>
      <c r="C1143" t="inlineStr"/>
      <c r="D1143" t="inlineStr"/>
      <c r="E1143">
        <f>HYPERLINK("https://www.uniprot.org/uniprotkb/A0A7L2V5C8/entry", "A0A7L2V5C8")</f>
        <v/>
      </c>
      <c r="F1143" t="n">
        <v>61.9</v>
      </c>
      <c r="G1143" t="n">
        <v>312</v>
      </c>
      <c r="H1143" t="n">
        <v>2.72e-97</v>
      </c>
      <c r="I1143" t="inlineStr">
        <is>
          <t>TrEMBL</t>
        </is>
      </c>
      <c r="J1143" t="inlineStr">
        <is>
          <t>Tana</t>
        </is>
      </c>
      <c r="K1143" t="inlineStr">
        <is>
          <t>A0A7L2V5C8_9AVES</t>
        </is>
      </c>
      <c r="L1143" t="inlineStr">
        <is>
          <t>tr|A0A7L2V5C8|A0A7L2V5C8_9AVES TANA protein (Fragment) OS=Brachypteracias leptosomus OX=135165 GN=Tana PE=3 SV=1</t>
        </is>
      </c>
      <c r="M1143" t="n">
        <v>314</v>
      </c>
      <c r="N1143" t="inlineStr">
        <is>
          <t>Brachypteracias leptosomus</t>
        </is>
      </c>
      <c r="O1143" t="inlineStr">
        <is>
          <t>TANA protein (Fragment)</t>
        </is>
      </c>
    </row>
    <row r="1144">
      <c r="A1144" t="inlineStr"/>
      <c r="B1144" t="inlineStr"/>
      <c r="C1144" t="inlineStr"/>
      <c r="D1144" t="inlineStr"/>
      <c r="E1144">
        <f>HYPERLINK("https://www.uniprot.org/uniprotkb/A0A7L0NZA6/entry", "A0A7L0NZA6")</f>
        <v/>
      </c>
      <c r="F1144" t="n">
        <v>61.5</v>
      </c>
      <c r="G1144" t="n">
        <v>312</v>
      </c>
      <c r="H1144" t="n">
        <v>2.72e-97</v>
      </c>
      <c r="I1144" t="inlineStr">
        <is>
          <t>TrEMBL</t>
        </is>
      </c>
      <c r="J1144" t="inlineStr">
        <is>
          <t>Tana</t>
        </is>
      </c>
      <c r="K1144" t="inlineStr">
        <is>
          <t>A0A7L0NZA6_9AVES</t>
        </is>
      </c>
      <c r="L1144" t="inlineStr">
        <is>
          <t>tr|A0A7L0NZA6|A0A7L0NZA6_9AVES TANA protein (Fragment) OS=Mesembrinibis cayennensis OX=1118748 GN=Tana PE=3 SV=1</t>
        </is>
      </c>
      <c r="M1144" t="n">
        <v>314</v>
      </c>
      <c r="N1144" t="inlineStr">
        <is>
          <t>Mesembrinibis cayennensis</t>
        </is>
      </c>
      <c r="O1144" t="inlineStr">
        <is>
          <t>TANA protein (Fragment)</t>
        </is>
      </c>
    </row>
    <row r="1145">
      <c r="A1145" t="inlineStr"/>
      <c r="B1145" t="inlineStr"/>
      <c r="C1145" t="inlineStr"/>
      <c r="D1145" t="inlineStr"/>
      <c r="E1145">
        <f>HYPERLINK("https://www.uniprot.org/uniprotkb/A0A851Q143/entry", "A0A851Q143")</f>
        <v/>
      </c>
      <c r="F1145" t="n">
        <v>61.5</v>
      </c>
      <c r="G1145" t="n">
        <v>312</v>
      </c>
      <c r="H1145" t="n">
        <v>2.72e-97</v>
      </c>
      <c r="I1145" t="inlineStr">
        <is>
          <t>TrEMBL</t>
        </is>
      </c>
      <c r="J1145" t="inlineStr">
        <is>
          <t>Tana</t>
        </is>
      </c>
      <c r="K1145" t="inlineStr">
        <is>
          <t>A0A851Q143_ANHAN</t>
        </is>
      </c>
      <c r="L1145" t="inlineStr">
        <is>
          <t>tr|A0A851Q143|A0A851Q143_ANHAN TANA protein (Fragment) OS=Anhinga anhinga OX=56067 GN=Tana PE=3 SV=1</t>
        </is>
      </c>
      <c r="M1145" t="n">
        <v>314</v>
      </c>
      <c r="N1145" t="inlineStr">
        <is>
          <t>Anhinga anhinga</t>
        </is>
      </c>
      <c r="O1145" t="inlineStr">
        <is>
          <t>TANA protein (Fragment)</t>
        </is>
      </c>
    </row>
    <row r="1146">
      <c r="A1146" t="inlineStr"/>
      <c r="B1146" t="inlineStr"/>
      <c r="C1146" t="inlineStr"/>
      <c r="D1146" t="inlineStr"/>
      <c r="E1146">
        <f>HYPERLINK("https://www.ncbi.nlm.nih.gov/gene/?term=NXF53921.1", "NXF53921.1")</f>
        <v/>
      </c>
      <c r="F1146" t="n">
        <v>61.5</v>
      </c>
      <c r="G1146" t="n">
        <v>312</v>
      </c>
      <c r="H1146" t="n">
        <v>3.68e-97</v>
      </c>
      <c r="I1146" t="inlineStr">
        <is>
          <t>Nr</t>
        </is>
      </c>
      <c r="J1146" t="inlineStr"/>
      <c r="K1146" t="inlineStr"/>
      <c r="L1146" t="inlineStr">
        <is>
          <t>NXF53921.1 TANA protein [Oceanites oceanicus]</t>
        </is>
      </c>
      <c r="M1146" t="n">
        <v>314</v>
      </c>
      <c r="N1146" t="inlineStr">
        <is>
          <t>Oceanites oceanicus</t>
        </is>
      </c>
      <c r="O1146" t="inlineStr">
        <is>
          <t>TANA protein</t>
        </is>
      </c>
    </row>
    <row r="1147">
      <c r="A1147" t="inlineStr"/>
      <c r="B1147" t="inlineStr"/>
      <c r="C1147" t="inlineStr"/>
      <c r="D1147" t="inlineStr"/>
      <c r="E1147">
        <f>HYPERLINK("https://www.ncbi.nlm.nih.gov/gene/?term=NXV24408.1", "NXV24408.1")</f>
        <v/>
      </c>
      <c r="F1147" t="n">
        <v>61.5</v>
      </c>
      <c r="G1147" t="n">
        <v>312</v>
      </c>
      <c r="H1147" t="n">
        <v>3.68e-97</v>
      </c>
      <c r="I1147" t="inlineStr">
        <is>
          <t>Nr</t>
        </is>
      </c>
      <c r="J1147" t="inlineStr"/>
      <c r="K1147" t="inlineStr"/>
      <c r="L1147" t="inlineStr">
        <is>
          <t>NXV24408.1 TANA protein [Cepphus grylle]</t>
        </is>
      </c>
      <c r="M1147" t="n">
        <v>314</v>
      </c>
      <c r="N1147" t="inlineStr">
        <is>
          <t>Cepphus grylle</t>
        </is>
      </c>
      <c r="O1147" t="inlineStr">
        <is>
          <t>TANA protein</t>
        </is>
      </c>
    </row>
    <row r="1148">
      <c r="A1148" t="inlineStr"/>
      <c r="B1148" t="inlineStr"/>
      <c r="C1148" t="inlineStr"/>
      <c r="D1148" t="inlineStr"/>
      <c r="E1148">
        <f>HYPERLINK("https://www.uniprot.org/uniprotkb/A0A091UJK0/entry", "A0A091UJK0")</f>
        <v/>
      </c>
      <c r="F1148" t="n">
        <v>61.5</v>
      </c>
      <c r="G1148" t="n">
        <v>312</v>
      </c>
      <c r="H1148" t="n">
        <v>3.75e-97</v>
      </c>
      <c r="I1148" t="inlineStr">
        <is>
          <t>TrEMBL</t>
        </is>
      </c>
      <c r="J1148" t="inlineStr">
        <is>
          <t>Y956_00423</t>
        </is>
      </c>
      <c r="K1148" t="inlineStr">
        <is>
          <t>A0A091UJK0_NIPNI</t>
        </is>
      </c>
      <c r="L1148" t="inlineStr">
        <is>
          <t>tr|A0A091UJK0|A0A091UJK0_NIPNI Tanabin (Fragment) OS=Nipponia nippon OX=128390 GN=Y956_00423 PE=3 SV=1</t>
        </is>
      </c>
      <c r="M1148" t="n">
        <v>314</v>
      </c>
      <c r="N1148" t="inlineStr">
        <is>
          <t>Nipponia nippon</t>
        </is>
      </c>
      <c r="O1148" t="inlineStr">
        <is>
          <t>Tanabin (Fragment)</t>
        </is>
      </c>
    </row>
    <row r="1149">
      <c r="A1149" t="inlineStr"/>
      <c r="B1149" t="inlineStr"/>
      <c r="C1149" t="inlineStr"/>
      <c r="D1149" t="inlineStr"/>
      <c r="E1149">
        <f>HYPERLINK("https://www.uniprot.org/uniprotkb/A0A094K9Y8/entry", "A0A094K9Y8")</f>
        <v/>
      </c>
      <c r="F1149" t="n">
        <v>60.9</v>
      </c>
      <c r="G1149" t="n">
        <v>312</v>
      </c>
      <c r="H1149" t="n">
        <v>3.75e-97</v>
      </c>
      <c r="I1149" t="inlineStr">
        <is>
          <t>TrEMBL</t>
        </is>
      </c>
      <c r="J1149" t="inlineStr">
        <is>
          <t>N321_06986</t>
        </is>
      </c>
      <c r="K1149" t="inlineStr">
        <is>
          <t>A0A094K9Y8_ANTCR</t>
        </is>
      </c>
      <c r="L1149" t="inlineStr">
        <is>
          <t>tr|A0A094K9Y8|A0A094K9Y8_ANTCR Tanabin (Fragment) OS=Antrostomus carolinensis OX=279965 GN=N321_06986 PE=3 SV=1</t>
        </is>
      </c>
      <c r="M1149" t="n">
        <v>314</v>
      </c>
      <c r="N1149" t="inlineStr">
        <is>
          <t>Antrostomus carolinensis</t>
        </is>
      </c>
      <c r="O1149" t="inlineStr">
        <is>
          <t>Tanabin (Fragment)</t>
        </is>
      </c>
    </row>
    <row r="1150">
      <c r="A1150" t="inlineStr"/>
      <c r="B1150" t="inlineStr"/>
      <c r="C1150" t="inlineStr"/>
      <c r="D1150" t="inlineStr"/>
      <c r="E1150">
        <f>HYPERLINK("https://www.ncbi.nlm.nih.gov/gene/?term=NWR60775.1", "NWR60775.1")</f>
        <v/>
      </c>
      <c r="F1150" t="n">
        <v>61.2</v>
      </c>
      <c r="G1150" t="n">
        <v>312</v>
      </c>
      <c r="H1150" t="n">
        <v>5.080000000000001e-97</v>
      </c>
      <c r="I1150" t="inlineStr">
        <is>
          <t>Nr</t>
        </is>
      </c>
      <c r="J1150" t="inlineStr"/>
      <c r="K1150" t="inlineStr"/>
      <c r="L1150" t="inlineStr">
        <is>
          <t>NWR60775.1 TANA protein [Bucorvus abyssinicus]</t>
        </is>
      </c>
      <c r="M1150" t="n">
        <v>314</v>
      </c>
      <c r="N1150" t="inlineStr">
        <is>
          <t>Bucorvus abyssinicus</t>
        </is>
      </c>
      <c r="O1150" t="inlineStr">
        <is>
          <t>TANA protein</t>
        </is>
      </c>
    </row>
    <row r="1151">
      <c r="A1151" t="inlineStr"/>
      <c r="B1151" t="inlineStr"/>
      <c r="C1151" t="inlineStr"/>
      <c r="D1151" t="inlineStr"/>
      <c r="E1151">
        <f>HYPERLINK("https://www.ncbi.nlm.nih.gov/gene/?term=NXV91527.1", "NXV91527.1")</f>
        <v/>
      </c>
      <c r="F1151" t="n">
        <v>61.5</v>
      </c>
      <c r="G1151" t="n">
        <v>312</v>
      </c>
      <c r="H1151" t="n">
        <v>5.080000000000001e-97</v>
      </c>
      <c r="I1151" t="inlineStr">
        <is>
          <t>Nr</t>
        </is>
      </c>
      <c r="J1151" t="inlineStr"/>
      <c r="K1151" t="inlineStr"/>
      <c r="L1151" t="inlineStr">
        <is>
          <t>NXV91527.1 TANA protein [Calonectris borealis]</t>
        </is>
      </c>
      <c r="M1151" t="n">
        <v>314</v>
      </c>
      <c r="N1151" t="inlineStr">
        <is>
          <t>Calonectris borealis</t>
        </is>
      </c>
      <c r="O1151" t="inlineStr">
        <is>
          <t>TANA protein</t>
        </is>
      </c>
    </row>
    <row r="1152">
      <c r="A1152" t="inlineStr"/>
      <c r="B1152" t="inlineStr"/>
      <c r="C1152" t="inlineStr"/>
      <c r="D1152" t="inlineStr"/>
      <c r="E1152">
        <f>HYPERLINK("https://www.ncbi.nlm.nih.gov/gene/?term=NXK98974.1", "NXK98974.1")</f>
        <v/>
      </c>
      <c r="F1152" t="n">
        <v>61.5</v>
      </c>
      <c r="G1152" t="n">
        <v>312</v>
      </c>
      <c r="H1152" t="n">
        <v>7e-97</v>
      </c>
      <c r="I1152" t="inlineStr">
        <is>
          <t>Nr</t>
        </is>
      </c>
      <c r="J1152" t="inlineStr"/>
      <c r="K1152" t="inlineStr"/>
      <c r="L1152" t="inlineStr">
        <is>
          <t>NXK98974.1 TANA protein [Mesembrinibis cayennensis]</t>
        </is>
      </c>
      <c r="M1152" t="n">
        <v>314</v>
      </c>
      <c r="N1152" t="inlineStr">
        <is>
          <t>Mesembrinibis cayennensis</t>
        </is>
      </c>
      <c r="O1152" t="inlineStr">
        <is>
          <t>TANA protein</t>
        </is>
      </c>
    </row>
    <row r="1153">
      <c r="A1153" t="inlineStr"/>
      <c r="B1153" t="inlineStr"/>
      <c r="C1153" t="inlineStr"/>
      <c r="D1153" t="inlineStr"/>
      <c r="E1153">
        <f>HYPERLINK("https://www.uniprot.org/uniprotkb/P48681/entry", "P48681")</f>
        <v/>
      </c>
      <c r="F1153" t="n">
        <v>44.5</v>
      </c>
      <c r="G1153" t="n">
        <v>339</v>
      </c>
      <c r="H1153" t="n">
        <v>7.98e-54</v>
      </c>
      <c r="I1153" t="inlineStr">
        <is>
          <t>Swiss-Prot</t>
        </is>
      </c>
      <c r="J1153" t="inlineStr">
        <is>
          <t>NES</t>
        </is>
      </c>
      <c r="K1153" t="inlineStr">
        <is>
          <t>NEST_HUMAN</t>
        </is>
      </c>
      <c r="L1153" t="inlineStr">
        <is>
          <t>sp|P48681|NEST_HUMAN Nestin OS=Homo sapiens OX=9606 GN=NES PE=1 SV=2</t>
        </is>
      </c>
      <c r="M1153" t="n">
        <v>1621</v>
      </c>
      <c r="N1153" t="inlineStr">
        <is>
          <t>Homo sapiens</t>
        </is>
      </c>
      <c r="O1153" t="inlineStr">
        <is>
          <t>Nestin</t>
        </is>
      </c>
    </row>
    <row r="1154">
      <c r="A1154" t="inlineStr"/>
      <c r="B1154" t="inlineStr"/>
      <c r="C1154" t="inlineStr"/>
      <c r="D1154" t="inlineStr"/>
      <c r="E1154">
        <f>HYPERLINK("https://www.uniprot.org/uniprotkb/P21263/entry", "P21263")</f>
        <v/>
      </c>
      <c r="F1154" t="n">
        <v>42.8</v>
      </c>
      <c r="G1154" t="n">
        <v>341</v>
      </c>
      <c r="H1154" t="n">
        <v>4.369999999999999e-52</v>
      </c>
      <c r="I1154" t="inlineStr">
        <is>
          <t>Swiss-Prot</t>
        </is>
      </c>
      <c r="J1154" t="inlineStr">
        <is>
          <t>Nes</t>
        </is>
      </c>
      <c r="K1154" t="inlineStr">
        <is>
          <t>NEST_RAT</t>
        </is>
      </c>
      <c r="L1154" t="inlineStr">
        <is>
          <t>sp|P21263|NEST_RAT Nestin OS=Rattus norvegicus OX=10116 GN=Nes PE=1 SV=2</t>
        </is>
      </c>
      <c r="M1154" t="n">
        <v>1893</v>
      </c>
      <c r="N1154" t="inlineStr">
        <is>
          <t>Rattus norvegicus</t>
        </is>
      </c>
      <c r="O1154" t="inlineStr">
        <is>
          <t>Nestin</t>
        </is>
      </c>
    </row>
    <row r="1155">
      <c r="A1155" t="inlineStr"/>
      <c r="B1155" t="inlineStr"/>
      <c r="C1155" t="inlineStr"/>
      <c r="D1155" t="inlineStr"/>
      <c r="E1155">
        <f>HYPERLINK("https://www.uniprot.org/uniprotkb/Q6P5H2/entry", "Q6P5H2")</f>
        <v/>
      </c>
      <c r="F1155" t="n">
        <v>42.2</v>
      </c>
      <c r="G1155" t="n">
        <v>341</v>
      </c>
      <c r="H1155" t="n">
        <v>1.32e-49</v>
      </c>
      <c r="I1155" t="inlineStr">
        <is>
          <t>Swiss-Prot</t>
        </is>
      </c>
      <c r="J1155" t="inlineStr">
        <is>
          <t>Nes</t>
        </is>
      </c>
      <c r="K1155" t="inlineStr">
        <is>
          <t>NEST_MOUSE</t>
        </is>
      </c>
      <c r="L1155" t="inlineStr">
        <is>
          <t>sp|Q6P5H2|NEST_MOUSE Nestin OS=Mus musculus OX=10090 GN=Nes PE=1 SV=1</t>
        </is>
      </c>
      <c r="M1155" t="n">
        <v>1864</v>
      </c>
      <c r="N1155" t="inlineStr">
        <is>
          <t>Mus musculus</t>
        </is>
      </c>
      <c r="O1155" t="inlineStr">
        <is>
          <t>Nestin</t>
        </is>
      </c>
    </row>
    <row r="1156">
      <c r="A1156" t="inlineStr"/>
      <c r="B1156" t="inlineStr"/>
      <c r="C1156" t="inlineStr"/>
      <c r="D1156" t="inlineStr"/>
      <c r="E1156">
        <f>HYPERLINK("https://www.uniprot.org/uniprotkb/P86839/entry", "P86839")</f>
        <v/>
      </c>
      <c r="F1156" t="n">
        <v>37.4</v>
      </c>
      <c r="G1156" t="n">
        <v>329</v>
      </c>
      <c r="H1156" t="n">
        <v>2.1e-36</v>
      </c>
      <c r="I1156" t="inlineStr">
        <is>
          <t>Swiss-Prot</t>
        </is>
      </c>
      <c r="J1156" t="inlineStr">
        <is>
          <t>nes</t>
        </is>
      </c>
      <c r="K1156" t="inlineStr">
        <is>
          <t>NEST_DANRE</t>
        </is>
      </c>
      <c r="L1156" t="inlineStr">
        <is>
          <t>sp|P86839|NEST_DANRE Nestin OS=Danio rerio OX=7955 GN=nes PE=2 SV=1</t>
        </is>
      </c>
      <c r="M1156" t="n">
        <v>1265</v>
      </c>
      <c r="N1156" t="inlineStr">
        <is>
          <t>Danio rerio</t>
        </is>
      </c>
      <c r="O1156" t="inlineStr">
        <is>
          <t>Nestin</t>
        </is>
      </c>
    </row>
    <row r="1157">
      <c r="A1157" t="inlineStr"/>
      <c r="B1157" t="inlineStr"/>
      <c r="C1157" t="inlineStr"/>
      <c r="D1157" t="inlineStr"/>
      <c r="E1157">
        <f>HYPERLINK("https://www.uniprot.org/uniprotkb/Q9Z1Q1/entry", "Q9Z1Q1")</f>
        <v/>
      </c>
      <c r="F1157" t="n">
        <v>46</v>
      </c>
      <c r="G1157" t="n">
        <v>139</v>
      </c>
      <c r="H1157" t="n">
        <v>7.2e-19</v>
      </c>
      <c r="I1157" t="inlineStr">
        <is>
          <t>Swiss-Prot</t>
        </is>
      </c>
      <c r="J1157" t="inlineStr">
        <is>
          <t>NES</t>
        </is>
      </c>
      <c r="K1157" t="inlineStr">
        <is>
          <t>NEST_MESAU</t>
        </is>
      </c>
      <c r="L1157" t="inlineStr">
        <is>
          <t>sp|Q9Z1Q1|NEST_MESAU Nestin (Fragments) OS=Mesocricetus auratus OX=10036 GN=NES PE=1 SV=2</t>
        </is>
      </c>
      <c r="M1157" t="n">
        <v>1818</v>
      </c>
      <c r="N1157" t="inlineStr">
        <is>
          <t>Mesocricetus auratus</t>
        </is>
      </c>
      <c r="O1157" t="inlineStr">
        <is>
          <t>Nestin (Fragments)</t>
        </is>
      </c>
    </row>
    <row r="1158">
      <c r="A1158" t="inlineStr"/>
      <c r="B1158" t="inlineStr"/>
      <c r="C1158" t="inlineStr"/>
      <c r="D1158" t="inlineStr"/>
      <c r="E1158">
        <f>HYPERLINK("https://www.uniprot.org/uniprotkb/Q5RA72/entry", "Q5RA72")</f>
        <v/>
      </c>
      <c r="F1158" t="n">
        <v>27.4</v>
      </c>
      <c r="G1158" t="n">
        <v>318</v>
      </c>
      <c r="H1158" t="n">
        <v>7.15e-16</v>
      </c>
      <c r="I1158" t="inlineStr">
        <is>
          <t>Swiss-Prot</t>
        </is>
      </c>
      <c r="J1158" t="inlineStr">
        <is>
          <t>GFAP</t>
        </is>
      </c>
      <c r="K1158" t="inlineStr">
        <is>
          <t>GFAP_PONAB</t>
        </is>
      </c>
      <c r="L1158" t="inlineStr">
        <is>
          <t>sp|Q5RA72|GFAP_PONAB Glial fibrillary acidic protein OS=Pongo abelii OX=9601 GN=GFAP PE=2 SV=1</t>
        </is>
      </c>
      <c r="M1158" t="n">
        <v>432</v>
      </c>
      <c r="N1158" t="inlineStr">
        <is>
          <t>Pongo abelii</t>
        </is>
      </c>
      <c r="O1158" t="inlineStr">
        <is>
          <t>Glial fibrillary acidic protein</t>
        </is>
      </c>
    </row>
    <row r="1159">
      <c r="A1159" t="inlineStr"/>
      <c r="B1159" t="inlineStr"/>
      <c r="C1159" t="inlineStr"/>
      <c r="D1159" t="inlineStr"/>
      <c r="E1159">
        <f>HYPERLINK("https://www.uniprot.org/uniprotkb/P48677/entry", "P48677")</f>
        <v/>
      </c>
      <c r="F1159" t="n">
        <v>26.5</v>
      </c>
      <c r="G1159" t="n">
        <v>332</v>
      </c>
      <c r="H1159" t="n">
        <v>7.08e-15</v>
      </c>
      <c r="I1159" t="inlineStr">
        <is>
          <t>Swiss-Prot</t>
        </is>
      </c>
      <c r="J1159" t="inlineStr">
        <is>
          <t>gfap</t>
        </is>
      </c>
      <c r="K1159" t="inlineStr">
        <is>
          <t>GFAP_CARAU</t>
        </is>
      </c>
      <c r="L1159" t="inlineStr">
        <is>
          <t>sp|P48677|GFAP_CARAU Glial fibrillary acidic protein (Fragment) OS=Carassius auratus OX=7957 GN=gfap PE=2 SV=2</t>
        </is>
      </c>
      <c r="M1159" t="n">
        <v>365</v>
      </c>
      <c r="N1159" t="inlineStr">
        <is>
          <t>Carassius auratus</t>
        </is>
      </c>
      <c r="O1159" t="inlineStr">
        <is>
          <t>Glial fibrillary acidic protein (Fragment)</t>
        </is>
      </c>
    </row>
    <row r="1160">
      <c r="A1160" t="inlineStr"/>
      <c r="B1160" t="inlineStr"/>
      <c r="C1160" t="inlineStr"/>
      <c r="D1160" t="inlineStr"/>
      <c r="E1160">
        <f>HYPERLINK("https://www.uniprot.org/uniprotkb/Q01550/entry", "Q01550")</f>
        <v/>
      </c>
      <c r="F1160" t="n">
        <v>47.7</v>
      </c>
      <c r="G1160" t="n">
        <v>149</v>
      </c>
      <c r="H1160" t="n">
        <v>2.34e-14</v>
      </c>
      <c r="I1160" t="inlineStr">
        <is>
          <t>Swiss-Prot</t>
        </is>
      </c>
      <c r="J1160" t="inlineStr"/>
      <c r="K1160" t="inlineStr">
        <is>
          <t>TANA_XENLA</t>
        </is>
      </c>
      <c r="L1160" t="inlineStr">
        <is>
          <t>sp|Q01550|TANA_XENLA Tanabin OS=Xenopus laevis OX=8355 PE=2 SV=1</t>
        </is>
      </c>
      <c r="M1160" t="n">
        <v>1744</v>
      </c>
      <c r="N1160" t="inlineStr">
        <is>
          <t>Xenopus laevis</t>
        </is>
      </c>
      <c r="O1160" t="inlineStr">
        <is>
          <t>Tanabin</t>
        </is>
      </c>
    </row>
    <row r="1161">
      <c r="A1161" t="inlineStr"/>
      <c r="B1161" t="inlineStr"/>
      <c r="C1161" t="inlineStr"/>
      <c r="D1161" t="inlineStr"/>
      <c r="E1161">
        <f>HYPERLINK("https://www.uniprot.org/uniprotkb/P14136/entry", "P14136")</f>
        <v/>
      </c>
      <c r="F1161" t="n">
        <v>26.7</v>
      </c>
      <c r="G1161" t="n">
        <v>318</v>
      </c>
      <c r="H1161" t="n">
        <v>5.15e-14</v>
      </c>
      <c r="I1161" t="inlineStr">
        <is>
          <t>Swiss-Prot</t>
        </is>
      </c>
      <c r="J1161" t="inlineStr">
        <is>
          <t>GFAP</t>
        </is>
      </c>
      <c r="K1161" t="inlineStr">
        <is>
          <t>GFAP_HUMAN</t>
        </is>
      </c>
      <c r="L1161" t="inlineStr">
        <is>
          <t>sp|P14136|GFAP_HUMAN Glial fibrillary acidic protein OS=Homo sapiens OX=9606 GN=GFAP PE=1 SV=1</t>
        </is>
      </c>
      <c r="M1161" t="n">
        <v>432</v>
      </c>
      <c r="N1161" t="inlineStr">
        <is>
          <t>Homo sapiens</t>
        </is>
      </c>
      <c r="O1161" t="inlineStr">
        <is>
          <t>Glial fibrillary acidic protein</t>
        </is>
      </c>
    </row>
    <row r="1162">
      <c r="A1162" t="inlineStr"/>
      <c r="B1162" t="inlineStr"/>
      <c r="C1162" t="inlineStr"/>
      <c r="D1162" t="inlineStr"/>
      <c r="E1162">
        <f>HYPERLINK("https://www.uniprot.org/uniprotkb/P47819/entry", "P47819")</f>
        <v/>
      </c>
      <c r="F1162" t="n">
        <v>26.7</v>
      </c>
      <c r="G1162" t="n">
        <v>318</v>
      </c>
      <c r="H1162" t="n">
        <v>6.75e-14</v>
      </c>
      <c r="I1162" t="inlineStr">
        <is>
          <t>Swiss-Prot</t>
        </is>
      </c>
      <c r="J1162" t="inlineStr">
        <is>
          <t>Gfap</t>
        </is>
      </c>
      <c r="K1162" t="inlineStr">
        <is>
          <t>GFAP_RAT</t>
        </is>
      </c>
      <c r="L1162" t="inlineStr">
        <is>
          <t>sp|P47819|GFAP_RAT Glial fibrillary acidic protein OS=Rattus norvegicus OX=10116 GN=Gfap PE=1 SV=2</t>
        </is>
      </c>
      <c r="M1162" t="n">
        <v>430</v>
      </c>
      <c r="N1162" t="inlineStr">
        <is>
          <t>Rattus norvegicus</t>
        </is>
      </c>
      <c r="O1162" t="inlineStr">
        <is>
          <t>Glial fibrillary acidic protein</t>
        </is>
      </c>
    </row>
    <row r="1163">
      <c r="A1163" t="inlineStr"/>
      <c r="B1163" t="inlineStr"/>
      <c r="C1163" t="inlineStr"/>
      <c r="D1163" t="inlineStr"/>
      <c r="E1163">
        <f>HYPERLINK("https://www.uniprot.org/uniprotkb/Q58EE9/entry", "Q58EE9")</f>
        <v/>
      </c>
      <c r="F1163" t="n">
        <v>26.5</v>
      </c>
      <c r="G1163" t="n">
        <v>332</v>
      </c>
      <c r="H1163" t="n">
        <v>7.34e-14</v>
      </c>
      <c r="I1163" t="inlineStr">
        <is>
          <t>Swiss-Prot</t>
        </is>
      </c>
      <c r="J1163" t="inlineStr">
        <is>
          <t>gfap</t>
        </is>
      </c>
      <c r="K1163" t="inlineStr">
        <is>
          <t>GFAP_DANRE</t>
        </is>
      </c>
      <c r="L1163" t="inlineStr">
        <is>
          <t>sp|Q58EE9|GFAP_DANRE Glial fibrillary acidic protein OS=Danio rerio OX=7955 GN=gfap PE=1 SV=2</t>
        </is>
      </c>
      <c r="M1163" t="n">
        <v>444</v>
      </c>
      <c r="N1163" t="inlineStr">
        <is>
          <t>Danio rerio</t>
        </is>
      </c>
      <c r="O1163" t="inlineStr">
        <is>
          <t>Glial fibrillary acidic protein</t>
        </is>
      </c>
    </row>
    <row r="1164">
      <c r="A1164" t="inlineStr"/>
      <c r="B1164" t="inlineStr"/>
      <c r="C1164" t="inlineStr"/>
      <c r="D1164" t="inlineStr"/>
      <c r="E1164">
        <f>HYPERLINK("https://www.uniprot.org/uniprotkb/A0A803JEA0/entry", "A0A803JEA0")</f>
        <v/>
      </c>
      <c r="F1164" t="n">
        <v>27.6</v>
      </c>
      <c r="G1164" t="n">
        <v>497</v>
      </c>
      <c r="H1164" t="n">
        <v>7.36e-14</v>
      </c>
      <c r="I1164" t="inlineStr">
        <is>
          <t>TrEMBL</t>
        </is>
      </c>
      <c r="J1164" t="inlineStr">
        <is>
          <t>nes</t>
        </is>
      </c>
      <c r="K1164" t="inlineStr">
        <is>
          <t>A0A803JEA0_XENTR</t>
        </is>
      </c>
      <c r="L1164" t="inlineStr">
        <is>
          <t>tr|A0A803JEA0|A0A803JEA0_XENTR Nestin OS=Xenopus tropicalis OX=8364 GN=nes PE=3 SV=1</t>
        </is>
      </c>
      <c r="M1164" t="n">
        <v>1958</v>
      </c>
      <c r="N1164" t="inlineStr">
        <is>
          <t>Xenopus tropicalis</t>
        </is>
      </c>
      <c r="O1164" t="inlineStr">
        <is>
          <t>Nestin</t>
        </is>
      </c>
    </row>
    <row r="1165">
      <c r="A1165" t="inlineStr"/>
      <c r="B1165" t="inlineStr"/>
      <c r="C1165" t="inlineStr"/>
      <c r="D1165" t="inlineStr"/>
      <c r="E1165">
        <f>HYPERLINK("https://www.uniprot.org/uniprotkb/Q28115/entry", "Q28115")</f>
        <v/>
      </c>
      <c r="F1165" t="n">
        <v>26.4</v>
      </c>
      <c r="G1165" t="n">
        <v>318</v>
      </c>
      <c r="H1165" t="n">
        <v>8.86e-14</v>
      </c>
      <c r="I1165" t="inlineStr">
        <is>
          <t>Swiss-Prot</t>
        </is>
      </c>
      <c r="J1165" t="inlineStr">
        <is>
          <t>GFAP</t>
        </is>
      </c>
      <c r="K1165" t="inlineStr">
        <is>
          <t>GFAP_BOVIN</t>
        </is>
      </c>
      <c r="L1165" t="inlineStr">
        <is>
          <t>sp|Q28115|GFAP_BOVIN Glial fibrillary acidic protein OS=Bos taurus OX=9913 GN=GFAP PE=1 SV=2</t>
        </is>
      </c>
      <c r="M1165" t="n">
        <v>428</v>
      </c>
      <c r="N1165" t="inlineStr">
        <is>
          <t>Bos taurus</t>
        </is>
      </c>
      <c r="O1165" t="inlineStr">
        <is>
          <t>Glial fibrillary acidic protein</t>
        </is>
      </c>
    </row>
    <row r="1166">
      <c r="A1166" t="inlineStr"/>
      <c r="B1166" t="inlineStr"/>
      <c r="C1166" t="inlineStr"/>
      <c r="D1166" t="inlineStr"/>
      <c r="E1166">
        <f>HYPERLINK("https://www.uniprot.org/uniprotkb/P08670/entry", "P08670")</f>
        <v/>
      </c>
      <c r="F1166" t="n">
        <v>27.1</v>
      </c>
      <c r="G1166" t="n">
        <v>321</v>
      </c>
      <c r="H1166" t="n">
        <v>1.09e-13</v>
      </c>
      <c r="I1166" t="inlineStr">
        <is>
          <t>Swiss-Prot</t>
        </is>
      </c>
      <c r="J1166" t="inlineStr">
        <is>
          <t>VIM</t>
        </is>
      </c>
      <c r="K1166" t="inlineStr">
        <is>
          <t>VIME_HUMAN</t>
        </is>
      </c>
      <c r="L1166" t="inlineStr">
        <is>
          <t>sp|P08670|VIME_HUMAN Vimentin OS=Homo sapiens OX=9606 GN=VIM PE=1 SV=4</t>
        </is>
      </c>
      <c r="M1166" t="n">
        <v>466</v>
      </c>
      <c r="N1166" t="inlineStr">
        <is>
          <t>Homo sapiens</t>
        </is>
      </c>
      <c r="O1166" t="inlineStr">
        <is>
          <t>Vimentin</t>
        </is>
      </c>
    </row>
    <row r="1167">
      <c r="A1167" t="inlineStr"/>
      <c r="B1167" t="inlineStr"/>
      <c r="C1167" t="inlineStr"/>
      <c r="D1167" t="inlineStr"/>
      <c r="E1167">
        <f>HYPERLINK("https://www.ncbi.nlm.nih.gov/gene/?term=KAE8588334.1", "KAE8588334.1")</f>
        <v/>
      </c>
      <c r="F1167" t="n">
        <v>27.6</v>
      </c>
      <c r="G1167" t="n">
        <v>497</v>
      </c>
      <c r="H1167" t="n">
        <v>1.87e-13</v>
      </c>
      <c r="I1167" t="inlineStr">
        <is>
          <t>Nr</t>
        </is>
      </c>
      <c r="J1167" t="inlineStr"/>
      <c r="K1167" t="inlineStr"/>
      <c r="L1167" t="inlineStr">
        <is>
          <t>KAE8588334.1 hypothetical protein XENTR_v10022467 [Xenopus tropicalis]</t>
        </is>
      </c>
      <c r="M1167" t="n">
        <v>1883</v>
      </c>
      <c r="N1167" t="inlineStr">
        <is>
          <t>Xenopus tropicalis</t>
        </is>
      </c>
      <c r="O1167" t="inlineStr">
        <is>
          <t>hypothetical protein XENTR_v10022467</t>
        </is>
      </c>
    </row>
    <row r="1168">
      <c r="A1168" t="inlineStr"/>
      <c r="B1168" t="inlineStr"/>
      <c r="C1168" t="inlineStr"/>
      <c r="D1168" t="inlineStr"/>
      <c r="E1168">
        <f>HYPERLINK("https://www.ncbi.nlm.nih.gov/gene/?term=XP_002941549.4", "XP_002941549.4")</f>
        <v/>
      </c>
      <c r="F1168" t="n">
        <v>27.6</v>
      </c>
      <c r="G1168" t="n">
        <v>497</v>
      </c>
      <c r="H1168" t="n">
        <v>1.89e-13</v>
      </c>
      <c r="I1168" t="inlineStr">
        <is>
          <t>Nr</t>
        </is>
      </c>
      <c r="J1168" t="inlineStr"/>
      <c r="K1168" t="inlineStr"/>
      <c r="L1168" t="inlineStr">
        <is>
          <t>XP_002941549.4 nestin [Xenopus tropicalis]</t>
        </is>
      </c>
      <c r="M1168" t="n">
        <v>1958</v>
      </c>
      <c r="N1168" t="inlineStr">
        <is>
          <t>Xenopus tropicalis</t>
        </is>
      </c>
      <c r="O1168" t="inlineStr">
        <is>
          <t>nestin</t>
        </is>
      </c>
    </row>
    <row r="1169">
      <c r="A1169" t="inlineStr"/>
      <c r="B1169" t="inlineStr"/>
      <c r="C1169" t="inlineStr"/>
      <c r="D1169" t="inlineStr"/>
      <c r="E1169">
        <f>HYPERLINK("https://www.uniprot.org/uniprotkb/P48616/entry", "P48616")</f>
        <v/>
      </c>
      <c r="F1169" t="n">
        <v>26.9</v>
      </c>
      <c r="G1169" t="n">
        <v>323</v>
      </c>
      <c r="H1169" t="n">
        <v>1.92e-13</v>
      </c>
      <c r="I1169" t="inlineStr">
        <is>
          <t>Swiss-Prot</t>
        </is>
      </c>
      <c r="J1169" t="inlineStr">
        <is>
          <t>VIM</t>
        </is>
      </c>
      <c r="K1169" t="inlineStr">
        <is>
          <t>VIME_BOVIN</t>
        </is>
      </c>
      <c r="L1169" t="inlineStr">
        <is>
          <t>sp|P48616|VIME_BOVIN Vimentin OS=Bos taurus OX=9913 GN=VIM PE=1 SV=3</t>
        </is>
      </c>
      <c r="M1169" t="n">
        <v>466</v>
      </c>
      <c r="N1169" t="inlineStr">
        <is>
          <t>Bos taurus</t>
        </is>
      </c>
      <c r="O1169" t="inlineStr">
        <is>
          <t>Vimentin</t>
        </is>
      </c>
    </row>
    <row r="1170">
      <c r="A1170" t="inlineStr"/>
      <c r="B1170" t="inlineStr"/>
      <c r="C1170" t="inlineStr"/>
      <c r="D1170" t="inlineStr"/>
      <c r="E1170">
        <f>HYPERLINK("https://www.uniprot.org/uniprotkb/P24789/entry", "P24789")</f>
        <v/>
      </c>
      <c r="F1170" t="n">
        <v>26.2</v>
      </c>
      <c r="G1170" t="n">
        <v>321</v>
      </c>
      <c r="H1170" t="n">
        <v>2.45e-13</v>
      </c>
      <c r="I1170" t="inlineStr">
        <is>
          <t>Swiss-Prot</t>
        </is>
      </c>
      <c r="J1170" t="inlineStr">
        <is>
          <t>vim1</t>
        </is>
      </c>
      <c r="K1170" t="inlineStr">
        <is>
          <t>VIM1_XENLA</t>
        </is>
      </c>
      <c r="L1170" t="inlineStr">
        <is>
          <t>sp|P24789|VIM1_XENLA Vimentin-1/2 OS=Xenopus laevis OX=8355 GN=vim1 PE=2 SV=1</t>
        </is>
      </c>
      <c r="M1170" t="n">
        <v>458</v>
      </c>
      <c r="N1170" t="inlineStr">
        <is>
          <t>Xenopus laevis</t>
        </is>
      </c>
      <c r="O1170" t="inlineStr">
        <is>
          <t>Vimentin-1/2</t>
        </is>
      </c>
    </row>
    <row r="1171">
      <c r="A1171" t="inlineStr"/>
      <c r="B1171" t="inlineStr"/>
      <c r="C1171" t="inlineStr"/>
      <c r="D1171" t="inlineStr"/>
      <c r="E1171">
        <f>HYPERLINK("https://www.uniprot.org/uniprotkb/A0A8T2K5J2/entry", "A0A8T2K5J2")</f>
        <v/>
      </c>
      <c r="F1171" t="n">
        <v>29.4</v>
      </c>
      <c r="G1171" t="n">
        <v>497</v>
      </c>
      <c r="H1171" t="n">
        <v>2.76e-13</v>
      </c>
      <c r="I1171" t="inlineStr">
        <is>
          <t>TrEMBL</t>
        </is>
      </c>
      <c r="J1171" t="inlineStr">
        <is>
          <t>GDO86_016540</t>
        </is>
      </c>
      <c r="K1171" t="inlineStr">
        <is>
          <t>A0A8T2K5J2_9PIPI</t>
        </is>
      </c>
      <c r="L1171" t="inlineStr">
        <is>
          <t>tr|A0A8T2K5J2|A0A8T2K5J2_9PIPI IF rod domain-containing protein OS=Hymenochirus boettgeri OX=247094 GN=GDO86_016540 PE=3 SV=1</t>
        </is>
      </c>
      <c r="M1171" t="n">
        <v>1768</v>
      </c>
      <c r="N1171" t="inlineStr">
        <is>
          <t>Hymenochirus boettgeri</t>
        </is>
      </c>
      <c r="O1171" t="inlineStr">
        <is>
          <t>IF rod domain-containing protein</t>
        </is>
      </c>
    </row>
    <row r="1172">
      <c r="A1172" t="inlineStr"/>
      <c r="B1172" t="inlineStr"/>
      <c r="C1172" t="inlineStr"/>
      <c r="D1172" t="inlineStr"/>
      <c r="E1172">
        <f>HYPERLINK("https://www.uniprot.org/uniprotkb/P84198/entry", "P84198")</f>
        <v/>
      </c>
      <c r="F1172" t="n">
        <v>27.1</v>
      </c>
      <c r="G1172" t="n">
        <v>321</v>
      </c>
      <c r="H1172" t="n">
        <v>3.36e-13</v>
      </c>
      <c r="I1172" t="inlineStr">
        <is>
          <t>Swiss-Prot</t>
        </is>
      </c>
      <c r="J1172" t="inlineStr">
        <is>
          <t>VIM</t>
        </is>
      </c>
      <c r="K1172" t="inlineStr">
        <is>
          <t>VIME_CHLAE</t>
        </is>
      </c>
      <c r="L1172" t="inlineStr">
        <is>
          <t>sp|P84198|VIME_CHLAE Vimentin OS=Chlorocebus aethiops OX=9534 GN=VIM PE=1 SV=3</t>
        </is>
      </c>
      <c r="M1172" t="n">
        <v>466</v>
      </c>
      <c r="N1172" t="inlineStr">
        <is>
          <t>Chlorocebus aethiops</t>
        </is>
      </c>
      <c r="O1172" t="inlineStr">
        <is>
          <t>Vimentin</t>
        </is>
      </c>
    </row>
    <row r="1173">
      <c r="A1173" t="inlineStr"/>
      <c r="B1173" t="inlineStr"/>
      <c r="C1173" t="inlineStr"/>
      <c r="D1173" t="inlineStr"/>
      <c r="E1173">
        <f>HYPERLINK("https://www.uniprot.org/uniprotkb/Q4R4X4/entry", "Q4R4X4")</f>
        <v/>
      </c>
      <c r="F1173" t="n">
        <v>27.1</v>
      </c>
      <c r="G1173" t="n">
        <v>321</v>
      </c>
      <c r="H1173" t="n">
        <v>3.36e-13</v>
      </c>
      <c r="I1173" t="inlineStr">
        <is>
          <t>Swiss-Prot</t>
        </is>
      </c>
      <c r="J1173" t="inlineStr">
        <is>
          <t>VIM</t>
        </is>
      </c>
      <c r="K1173" t="inlineStr">
        <is>
          <t>VIME_MACFA</t>
        </is>
      </c>
      <c r="L1173" t="inlineStr">
        <is>
          <t>sp|Q4R4X4|VIME_MACFA Vimentin OS=Macaca fascicularis OX=9541 GN=VIM PE=2 SV=3</t>
        </is>
      </c>
      <c r="M1173" t="n">
        <v>466</v>
      </c>
      <c r="N1173" t="inlineStr">
        <is>
          <t>Macaca fascicularis</t>
        </is>
      </c>
      <c r="O1173" t="inlineStr">
        <is>
          <t>Vimentin</t>
        </is>
      </c>
    </row>
    <row r="1174">
      <c r="A1174" t="inlineStr"/>
      <c r="B1174" t="inlineStr"/>
      <c r="C1174" t="inlineStr"/>
      <c r="D1174" t="inlineStr"/>
      <c r="E1174">
        <f>HYPERLINK("https://www.uniprot.org/uniprotkb/A0A1L8FCC8/entry", "A0A1L8FCC8")</f>
        <v/>
      </c>
      <c r="F1174" t="n">
        <v>29.5</v>
      </c>
      <c r="G1174" t="n">
        <v>533</v>
      </c>
      <c r="H1174" t="n">
        <v>3.71e-13</v>
      </c>
      <c r="I1174" t="inlineStr">
        <is>
          <t>TrEMBL</t>
        </is>
      </c>
      <c r="J1174" t="inlineStr">
        <is>
          <t>nes.L</t>
        </is>
      </c>
      <c r="K1174" t="inlineStr">
        <is>
          <t>A0A1L8FCC8_XENLA</t>
        </is>
      </c>
      <c r="L1174" t="inlineStr">
        <is>
          <t>tr|A0A1L8FCC8|A0A1L8FCC8_XENLA tanabin-like OS=Xenopus laevis OX=8355 GN=nes.L PE=3 SV=1</t>
        </is>
      </c>
      <c r="M1174" t="n">
        <v>1954</v>
      </c>
      <c r="N1174" t="inlineStr">
        <is>
          <t>Xenopus laevis</t>
        </is>
      </c>
      <c r="O1174" t="inlineStr">
        <is>
          <t>tanabin-like</t>
        </is>
      </c>
    </row>
    <row r="1175">
      <c r="A1175" t="inlineStr"/>
      <c r="B1175" t="inlineStr"/>
      <c r="C1175" t="inlineStr"/>
      <c r="D1175" t="inlineStr"/>
      <c r="E1175">
        <f>HYPERLINK("https://www.uniprot.org/uniprotkb/P15331/entry", "P15331")</f>
        <v/>
      </c>
      <c r="F1175" t="n">
        <v>28.2</v>
      </c>
      <c r="G1175" t="n">
        <v>326</v>
      </c>
      <c r="H1175" t="n">
        <v>4.63e-13</v>
      </c>
      <c r="I1175" t="inlineStr">
        <is>
          <t>Swiss-Prot</t>
        </is>
      </c>
      <c r="J1175" t="inlineStr">
        <is>
          <t>Prph</t>
        </is>
      </c>
      <c r="K1175" t="inlineStr">
        <is>
          <t>PERI_MOUSE</t>
        </is>
      </c>
      <c r="L1175" t="inlineStr">
        <is>
          <t>sp|P15331|PERI_MOUSE Peripherin OS=Mus musculus OX=10090 GN=Prph PE=1 SV=2</t>
        </is>
      </c>
      <c r="M1175" t="n">
        <v>475</v>
      </c>
      <c r="N1175" t="inlineStr">
        <is>
          <t>Mus musculus</t>
        </is>
      </c>
      <c r="O1175" t="inlineStr">
        <is>
          <t>Peripherin</t>
        </is>
      </c>
    </row>
    <row r="1176">
      <c r="A1176" t="inlineStr"/>
      <c r="B1176" t="inlineStr"/>
      <c r="C1176" t="inlineStr"/>
      <c r="D1176" t="inlineStr"/>
      <c r="E1176">
        <f>HYPERLINK("https://www.uniprot.org/uniprotkb/P03995/entry", "P03995")</f>
        <v/>
      </c>
      <c r="F1176" t="n">
        <v>26.4</v>
      </c>
      <c r="G1176" t="n">
        <v>318</v>
      </c>
      <c r="H1176" t="n">
        <v>4.92e-13</v>
      </c>
      <c r="I1176" t="inlineStr">
        <is>
          <t>Swiss-Prot</t>
        </is>
      </c>
      <c r="J1176" t="inlineStr">
        <is>
          <t>Gfap</t>
        </is>
      </c>
      <c r="K1176" t="inlineStr">
        <is>
          <t>GFAP_MOUSE</t>
        </is>
      </c>
      <c r="L1176" t="inlineStr">
        <is>
          <t>sp|P03995|GFAP_MOUSE Glial fibrillary acidic protein OS=Mus musculus OX=10090 GN=Gfap PE=1 SV=4</t>
        </is>
      </c>
      <c r="M1176" t="n">
        <v>430</v>
      </c>
      <c r="N1176" t="inlineStr">
        <is>
          <t>Mus musculus</t>
        </is>
      </c>
      <c r="O1176" t="inlineStr">
        <is>
          <t>Glial fibrillary acidic protein</t>
        </is>
      </c>
    </row>
    <row r="1177">
      <c r="A1177" t="inlineStr"/>
      <c r="B1177" t="inlineStr"/>
      <c r="C1177" t="inlineStr"/>
      <c r="D1177" t="inlineStr"/>
      <c r="E1177">
        <f>HYPERLINK("https://www.uniprot.org/uniprotkb/P21807/entry", "P21807")</f>
        <v/>
      </c>
      <c r="F1177" t="n">
        <v>28.2</v>
      </c>
      <c r="G1177" t="n">
        <v>326</v>
      </c>
      <c r="H1177" t="n">
        <v>5.95e-13</v>
      </c>
      <c r="I1177" t="inlineStr">
        <is>
          <t>Swiss-Prot</t>
        </is>
      </c>
      <c r="J1177" t="inlineStr">
        <is>
          <t>Prph</t>
        </is>
      </c>
      <c r="K1177" t="inlineStr">
        <is>
          <t>PERI_RAT</t>
        </is>
      </c>
      <c r="L1177" t="inlineStr">
        <is>
          <t>sp|P21807|PERI_RAT Peripherin OS=Rattus norvegicus OX=10116 GN=Prph PE=1 SV=1</t>
        </is>
      </c>
      <c r="M1177" t="n">
        <v>468</v>
      </c>
      <c r="N1177" t="inlineStr">
        <is>
          <t>Rattus norvegicus</t>
        </is>
      </c>
      <c r="O1177" t="inlineStr">
        <is>
          <t>Peripherin</t>
        </is>
      </c>
    </row>
    <row r="1178">
      <c r="A1178" t="inlineStr"/>
      <c r="B1178" t="inlineStr"/>
      <c r="C1178" t="inlineStr"/>
      <c r="D1178" t="inlineStr"/>
      <c r="E1178">
        <f>HYPERLINK("https://www.ncbi.nlm.nih.gov/gene/?term=KAG8449901.1", "KAG8449901.1")</f>
        <v/>
      </c>
      <c r="F1178" t="n">
        <v>29.4</v>
      </c>
      <c r="G1178" t="n">
        <v>497</v>
      </c>
      <c r="H1178" t="n">
        <v>7.1e-13</v>
      </c>
      <c r="I1178" t="inlineStr">
        <is>
          <t>Nr</t>
        </is>
      </c>
      <c r="J1178" t="inlineStr"/>
      <c r="K1178" t="inlineStr"/>
      <c r="L1178" t="inlineStr">
        <is>
          <t>KAG8449901.1 hypothetical protein GDO86_016540 [Hymenochirus boettgeri]</t>
        </is>
      </c>
      <c r="M1178" t="n">
        <v>1768</v>
      </c>
      <c r="N1178" t="inlineStr">
        <is>
          <t>Hymenochirus boettgeri</t>
        </is>
      </c>
      <c r="O1178" t="inlineStr">
        <is>
          <t>hypothetical protein GDO86_016540</t>
        </is>
      </c>
    </row>
    <row r="1179">
      <c r="A1179" t="inlineStr"/>
      <c r="B1179" t="inlineStr"/>
      <c r="C1179" t="inlineStr"/>
      <c r="D1179" t="inlineStr"/>
      <c r="E1179">
        <f>HYPERLINK("https://www.ncbi.nlm.nih.gov/gene/?term=XP_018086929.1", "XP_018086929.1")</f>
        <v/>
      </c>
      <c r="F1179" t="n">
        <v>29.5</v>
      </c>
      <c r="G1179" t="n">
        <v>533</v>
      </c>
      <c r="H1179" t="n">
        <v>9.530000000000001e-13</v>
      </c>
      <c r="I1179" t="inlineStr">
        <is>
          <t>Nr</t>
        </is>
      </c>
      <c r="J1179" t="inlineStr"/>
      <c r="K1179" t="inlineStr"/>
      <c r="L1179" t="inlineStr">
        <is>
          <t>XP_018086929.1 tanabin-like [Xenopus laevis]</t>
        </is>
      </c>
      <c r="M1179" t="n">
        <v>1954</v>
      </c>
      <c r="N1179" t="inlineStr">
        <is>
          <t>Xenopus laevis</t>
        </is>
      </c>
      <c r="O1179" t="inlineStr">
        <is>
          <t>tanabin-like</t>
        </is>
      </c>
    </row>
    <row r="1180">
      <c r="A1180" t="inlineStr"/>
      <c r="B1180" t="inlineStr"/>
      <c r="C1180" t="inlineStr"/>
      <c r="D1180" t="inlineStr"/>
      <c r="E1180">
        <f>HYPERLINK("https://www.uniprot.org/uniprotkb/P02543/entry", "P02543")</f>
        <v/>
      </c>
      <c r="F1180" t="n">
        <v>26.6</v>
      </c>
      <c r="G1180" t="n">
        <v>323</v>
      </c>
      <c r="H1180" t="n">
        <v>1.03e-12</v>
      </c>
      <c r="I1180" t="inlineStr">
        <is>
          <t>Swiss-Prot</t>
        </is>
      </c>
      <c r="J1180" t="inlineStr">
        <is>
          <t>VIM</t>
        </is>
      </c>
      <c r="K1180" t="inlineStr">
        <is>
          <t>VIME_PIG</t>
        </is>
      </c>
      <c r="L1180" t="inlineStr">
        <is>
          <t>sp|P02543|VIME_PIG Vimentin OS=Sus scrofa OX=9823 GN=VIM PE=1 SV=2</t>
        </is>
      </c>
      <c r="M1180" t="n">
        <v>466</v>
      </c>
      <c r="N1180" t="inlineStr">
        <is>
          <t>Sus scrofa</t>
        </is>
      </c>
      <c r="O1180" t="inlineStr">
        <is>
          <t>Vimentin</t>
        </is>
      </c>
    </row>
    <row r="1181">
      <c r="A1181" t="inlineStr"/>
      <c r="B1181" t="inlineStr"/>
      <c r="C1181" t="inlineStr"/>
      <c r="D1181" t="inlineStr"/>
      <c r="E1181">
        <f>HYPERLINK("https://www.uniprot.org/uniprotkb/A6QQJ3/entry", "A6QQJ3")</f>
        <v/>
      </c>
      <c r="F1181" t="n">
        <v>27.9</v>
      </c>
      <c r="G1181" t="n">
        <v>326</v>
      </c>
      <c r="H1181" t="n">
        <v>1.05e-12</v>
      </c>
      <c r="I1181" t="inlineStr">
        <is>
          <t>Swiss-Prot</t>
        </is>
      </c>
      <c r="J1181" t="inlineStr">
        <is>
          <t>PRPH</t>
        </is>
      </c>
      <c r="K1181" t="inlineStr">
        <is>
          <t>PERI_BOVIN</t>
        </is>
      </c>
      <c r="L1181" t="inlineStr">
        <is>
          <t>sp|A6QQJ3|PERI_BOVIN Peripherin OS=Bos taurus OX=9913 GN=PRPH PE=2 SV=1</t>
        </is>
      </c>
      <c r="M1181" t="n">
        <v>469</v>
      </c>
      <c r="N1181" t="inlineStr">
        <is>
          <t>Bos taurus</t>
        </is>
      </c>
      <c r="O1181" t="inlineStr">
        <is>
          <t>Peripherin</t>
        </is>
      </c>
    </row>
    <row r="1182">
      <c r="A1182" t="inlineStr"/>
      <c r="B1182" t="inlineStr"/>
      <c r="C1182" t="inlineStr"/>
      <c r="D1182" t="inlineStr"/>
      <c r="E1182">
        <f>HYPERLINK("https://www.uniprot.org/uniprotkb/A0A1L8F4L7/entry", "A0A1L8F4L7")</f>
        <v/>
      </c>
      <c r="F1182" t="n">
        <v>28.8</v>
      </c>
      <c r="G1182" t="n">
        <v>520</v>
      </c>
      <c r="H1182" t="n">
        <v>1.42e-12</v>
      </c>
      <c r="I1182" t="inlineStr">
        <is>
          <t>TrEMBL</t>
        </is>
      </c>
      <c r="J1182" t="inlineStr">
        <is>
          <t>nes.S</t>
        </is>
      </c>
      <c r="K1182" t="inlineStr">
        <is>
          <t>A0A1L8F4L7_XENLA</t>
        </is>
      </c>
      <c r="L1182" t="inlineStr">
        <is>
          <t>tr|A0A1L8F4L7|A0A1L8F4L7_XENLA tanabin isoform X1 OS=Xenopus laevis OX=8355 GN=nes.S PE=3 SV=1</t>
        </is>
      </c>
      <c r="M1182" t="n">
        <v>1875</v>
      </c>
      <c r="N1182" t="inlineStr">
        <is>
          <t>Xenopus laevis</t>
        </is>
      </c>
      <c r="O1182" t="inlineStr">
        <is>
          <t>tanabin isoform X1</t>
        </is>
      </c>
    </row>
    <row r="1183">
      <c r="A1183" t="inlineStr"/>
      <c r="B1183" t="inlineStr"/>
      <c r="C1183" t="inlineStr"/>
      <c r="D1183" t="inlineStr"/>
      <c r="E1183">
        <f>HYPERLINK("https://www.uniprot.org/uniprotkb/P41219/entry", "P41219")</f>
        <v/>
      </c>
      <c r="F1183" t="n">
        <v>27.9</v>
      </c>
      <c r="G1183" t="n">
        <v>326</v>
      </c>
      <c r="H1183" t="n">
        <v>1.84e-12</v>
      </c>
      <c r="I1183" t="inlineStr">
        <is>
          <t>Swiss-Prot</t>
        </is>
      </c>
      <c r="J1183" t="inlineStr">
        <is>
          <t>PRPH</t>
        </is>
      </c>
      <c r="K1183" t="inlineStr">
        <is>
          <t>PERI_HUMAN</t>
        </is>
      </c>
      <c r="L1183" t="inlineStr">
        <is>
          <t>sp|P41219|PERI_HUMAN Peripherin OS=Homo sapiens OX=9606 GN=PRPH PE=1 SV=2</t>
        </is>
      </c>
      <c r="M1183" t="n">
        <v>470</v>
      </c>
      <c r="N1183" t="inlineStr">
        <is>
          <t>Homo sapiens</t>
        </is>
      </c>
      <c r="O1183" t="inlineStr">
        <is>
          <t>Peripherin</t>
        </is>
      </c>
    </row>
    <row r="1184">
      <c r="A1184" t="inlineStr"/>
      <c r="B1184" t="inlineStr"/>
      <c r="C1184" t="inlineStr"/>
      <c r="D1184" t="inlineStr"/>
      <c r="E1184">
        <f>HYPERLINK("https://www.uniprot.org/uniprotkb/Q5XFN2/entry", "Q5XFN2")</f>
        <v/>
      </c>
      <c r="F1184" t="n">
        <v>27.7</v>
      </c>
      <c r="G1184" t="n">
        <v>325</v>
      </c>
      <c r="H1184" t="n">
        <v>3.21e-12</v>
      </c>
      <c r="I1184" t="inlineStr">
        <is>
          <t>Swiss-Prot</t>
        </is>
      </c>
      <c r="J1184" t="inlineStr">
        <is>
          <t>DES</t>
        </is>
      </c>
      <c r="K1184" t="inlineStr">
        <is>
          <t>DESM_CANLF</t>
        </is>
      </c>
      <c r="L1184" t="inlineStr">
        <is>
          <t>sp|Q5XFN2|DESM_CANLF Desmin OS=Canis lupus familiaris OX=9615 GN=DES PE=1 SV=3</t>
        </is>
      </c>
      <c r="M1184" t="n">
        <v>469</v>
      </c>
      <c r="N1184" t="inlineStr">
        <is>
          <t>Canis lupus familiaris</t>
        </is>
      </c>
      <c r="O1184" t="inlineStr">
        <is>
          <t>Desmin</t>
        </is>
      </c>
    </row>
    <row r="1185">
      <c r="A1185" t="inlineStr"/>
      <c r="B1185" t="inlineStr"/>
      <c r="C1185" t="inlineStr"/>
      <c r="D1185" t="inlineStr"/>
      <c r="E1185">
        <f>HYPERLINK("https://www.ncbi.nlm.nih.gov/gene/?term=XP_041430057.1", "XP_041430057.1")</f>
        <v/>
      </c>
      <c r="F1185" t="n">
        <v>28.8</v>
      </c>
      <c r="G1185" t="n">
        <v>520</v>
      </c>
      <c r="H1185" t="n">
        <v>3.64e-12</v>
      </c>
      <c r="I1185" t="inlineStr">
        <is>
          <t>Nr</t>
        </is>
      </c>
      <c r="J1185" t="inlineStr"/>
      <c r="K1185" t="inlineStr"/>
      <c r="L1185" t="inlineStr">
        <is>
          <t>XP_041430057.1 tanabin isoform X1 [Xenopus laevis]</t>
        </is>
      </c>
      <c r="M1185" t="n">
        <v>1875</v>
      </c>
      <c r="N1185" t="inlineStr">
        <is>
          <t>Xenopus laevis</t>
        </is>
      </c>
      <c r="O1185" t="inlineStr">
        <is>
          <t>tanabin isoform X1</t>
        </is>
      </c>
    </row>
    <row r="1186">
      <c r="A1186" t="inlineStr"/>
      <c r="B1186" t="inlineStr"/>
      <c r="C1186" t="inlineStr"/>
      <c r="D1186" t="inlineStr"/>
      <c r="E1186">
        <f>HYPERLINK("https://www.uniprot.org/uniprotkb/P48676/entry", "P48676")</f>
        <v/>
      </c>
      <c r="F1186" t="n">
        <v>25.8</v>
      </c>
      <c r="G1186" t="n">
        <v>326</v>
      </c>
      <c r="H1186" t="n">
        <v>4.03e-12</v>
      </c>
      <c r="I1186" t="inlineStr">
        <is>
          <t>Swiss-Prot</t>
        </is>
      </c>
      <c r="J1186" t="inlineStr">
        <is>
          <t>prph</t>
        </is>
      </c>
      <c r="K1186" t="inlineStr">
        <is>
          <t>PERI_XENLA</t>
        </is>
      </c>
      <c r="L1186" t="inlineStr">
        <is>
          <t>sp|P48676|PERI_XENLA Peripherin OS=Xenopus laevis OX=8355 GN=prph PE=2 SV=1</t>
        </is>
      </c>
      <c r="M1186" t="n">
        <v>456</v>
      </c>
      <c r="N1186" t="inlineStr">
        <is>
          <t>Xenopus laevis</t>
        </is>
      </c>
      <c r="O1186" t="inlineStr">
        <is>
          <t>Peripherin</t>
        </is>
      </c>
    </row>
    <row r="1187">
      <c r="A1187" t="inlineStr"/>
      <c r="B1187" t="inlineStr"/>
      <c r="C1187" t="inlineStr"/>
      <c r="D1187" t="inlineStr"/>
      <c r="E1187">
        <f>HYPERLINK("https://www.ncbi.nlm.nih.gov/gene/?term=NP_001081326.1", "NP_001081326.1")</f>
        <v/>
      </c>
      <c r="F1187" t="n">
        <v>47.7</v>
      </c>
      <c r="G1187" t="n">
        <v>149</v>
      </c>
      <c r="H1187" t="n">
        <v>2.36e-11</v>
      </c>
      <c r="I1187" t="inlineStr">
        <is>
          <t>Nr</t>
        </is>
      </c>
      <c r="J1187" t="inlineStr"/>
      <c r="K1187" t="inlineStr"/>
      <c r="L1187" t="inlineStr">
        <is>
          <t>NP_001081326.1 tanabin [Xenopus laevis]</t>
        </is>
      </c>
      <c r="M1187" t="n">
        <v>1744</v>
      </c>
      <c r="N1187" t="inlineStr">
        <is>
          <t>Xenopus laevis</t>
        </is>
      </c>
      <c r="O1187" t="inlineStr">
        <is>
          <t>tanabin</t>
        </is>
      </c>
    </row>
    <row r="1188">
      <c r="A1188" t="inlineStr"/>
      <c r="B1188" t="inlineStr"/>
      <c r="C1188" t="inlineStr"/>
      <c r="D1188" t="inlineStr"/>
      <c r="E1188">
        <f>HYPERLINK("https://www.ncbi.nlm.nih.gov/gene/?term=XP_040188521.1", "XP_040188521.1")</f>
        <v/>
      </c>
      <c r="F1188" t="n">
        <v>28.7</v>
      </c>
      <c r="G1188" t="n">
        <v>456</v>
      </c>
      <c r="H1188" t="n">
        <v>4e-10</v>
      </c>
      <c r="I1188" t="inlineStr">
        <is>
          <t>Nr</t>
        </is>
      </c>
      <c r="J1188" t="inlineStr"/>
      <c r="K1188" t="inlineStr"/>
      <c r="L1188" t="inlineStr">
        <is>
          <t>XP_040188521.1 nestin [Rana temporaria]</t>
        </is>
      </c>
      <c r="M1188" t="n">
        <v>4249</v>
      </c>
      <c r="N1188" t="inlineStr">
        <is>
          <t>Rana temporaria</t>
        </is>
      </c>
      <c r="O1188" t="inlineStr">
        <is>
          <t>nestin</t>
        </is>
      </c>
    </row>
    <row r="1189">
      <c r="A1189" t="inlineStr"/>
      <c r="B1189" t="inlineStr"/>
      <c r="C1189" t="inlineStr"/>
      <c r="D1189" t="inlineStr"/>
      <c r="E1189">
        <f>HYPERLINK("https://www.uniprot.org/uniprotkb/A0A2G9RU97/entry", "A0A2G9RU97")</f>
        <v/>
      </c>
      <c r="F1189" t="n">
        <v>27.6</v>
      </c>
      <c r="G1189" t="n">
        <v>446</v>
      </c>
      <c r="H1189" t="n">
        <v>2.29e-09</v>
      </c>
      <c r="I1189" t="inlineStr">
        <is>
          <t>TrEMBL</t>
        </is>
      </c>
      <c r="J1189" t="inlineStr">
        <is>
          <t>AB205_0083620</t>
        </is>
      </c>
      <c r="K1189" t="inlineStr">
        <is>
          <t>A0A2G9RU97_LITCT</t>
        </is>
      </c>
      <c r="L1189" t="inlineStr">
        <is>
          <t>tr|A0A2G9RU97|A0A2G9RU97_LITCT Microtubule-associated protein (Fragment) OS=Lithobates catesbeianus OX=8400 GN=AB205_0083620 PE=4 SV=1</t>
        </is>
      </c>
      <c r="M1189" t="n">
        <v>4103</v>
      </c>
      <c r="N1189" t="inlineStr">
        <is>
          <t>Lithobates catesbeianus</t>
        </is>
      </c>
      <c r="O1189" t="inlineStr">
        <is>
          <t>Microtubule-associated protein (Fragment)</t>
        </is>
      </c>
    </row>
    <row r="1190">
      <c r="A1190" t="inlineStr"/>
      <c r="B1190" t="inlineStr"/>
      <c r="C1190" t="inlineStr"/>
      <c r="D1190" t="inlineStr"/>
      <c r="E1190">
        <f>HYPERLINK("https://www.ncbi.nlm.nih.gov/gene/?term=PIO31470.1", "PIO31470.1")</f>
        <v/>
      </c>
      <c r="F1190" t="n">
        <v>27.6</v>
      </c>
      <c r="G1190" t="n">
        <v>446</v>
      </c>
      <c r="H1190" t="n">
        <v>5.88e-09</v>
      </c>
      <c r="I1190" t="inlineStr">
        <is>
          <t>Nr</t>
        </is>
      </c>
      <c r="J1190" t="inlineStr"/>
      <c r="K1190" t="inlineStr"/>
      <c r="L1190" t="inlineStr">
        <is>
          <t>PIO31470.1 hypothetical protein AB205_0083620, partial [Lithobates catesbeianus]</t>
        </is>
      </c>
      <c r="M1190" t="n">
        <v>4103</v>
      </c>
      <c r="N1190" t="inlineStr">
        <is>
          <t>Lithobates catesbeianus</t>
        </is>
      </c>
      <c r="O1190" t="inlineStr">
        <is>
          <t>hypothetical protein AB205_0083620, partial</t>
        </is>
      </c>
    </row>
    <row r="1191">
      <c r="A1191" t="inlineStr"/>
      <c r="B1191" t="inlineStr"/>
      <c r="C1191" t="inlineStr"/>
      <c r="D1191" t="inlineStr"/>
      <c r="E1191">
        <f>HYPERLINK("https://www.ncbi.nlm.nih.gov/gene/?term=XP_018429926.1", "XP_018429926.1")</f>
        <v/>
      </c>
      <c r="F1191" t="n">
        <v>26.5</v>
      </c>
      <c r="G1191" t="n">
        <v>573</v>
      </c>
      <c r="H1191" t="n">
        <v>5.89e-09</v>
      </c>
      <c r="I1191" t="inlineStr">
        <is>
          <t>Nr</t>
        </is>
      </c>
      <c r="J1191" t="inlineStr"/>
      <c r="K1191" t="inlineStr"/>
      <c r="L1191" t="inlineStr">
        <is>
          <t>XP_018429926.1 PREDICTED: A-kinase anchor protein 9-like [Nanorana parkeri]</t>
        </is>
      </c>
      <c r="M1191" t="n">
        <v>4140</v>
      </c>
      <c r="N1191" t="inlineStr">
        <is>
          <t>Nanorana parkeri</t>
        </is>
      </c>
      <c r="O1191" t="inlineStr">
        <is>
          <t>PREDICTED: A-kinase anchor protein 9-like</t>
        </is>
      </c>
    </row>
    <row r="1192">
      <c r="A1192" t="inlineStr"/>
      <c r="B1192" t="inlineStr"/>
      <c r="C1192" t="inlineStr"/>
      <c r="D1192" t="inlineStr"/>
      <c r="E1192">
        <f>HYPERLINK("https://www.uniprot.org/uniprotkb/A0A8J6EJR7/entry", "A0A8J6EJR7")</f>
        <v/>
      </c>
      <c r="F1192" t="n">
        <v>63.6</v>
      </c>
      <c r="G1192" t="n">
        <v>66</v>
      </c>
      <c r="H1192" t="n">
        <v>5.41e-08</v>
      </c>
      <c r="I1192" t="inlineStr">
        <is>
          <t>TrEMBL</t>
        </is>
      </c>
      <c r="J1192" t="inlineStr">
        <is>
          <t>GDO78_018757</t>
        </is>
      </c>
      <c r="K1192" t="inlineStr">
        <is>
          <t>A0A8J6EJR7_ELECQ</t>
        </is>
      </c>
      <c r="L1192" t="inlineStr">
        <is>
          <t>tr|A0A8J6EJR7|A0A8J6EJR7_ELECQ IF rod domain-containing protein OS=Eleutherodactylus coqui OX=57060 GN=GDO78_018757 PE=4 SV=1</t>
        </is>
      </c>
      <c r="M1192" t="n">
        <v>2257</v>
      </c>
      <c r="N1192" t="inlineStr">
        <is>
          <t>Eleutherodactylus coqui</t>
        </is>
      </c>
      <c r="O1192" t="inlineStr">
        <is>
          <t>IF rod domain-containing protein</t>
        </is>
      </c>
    </row>
    <row r="1193">
      <c r="A1193" t="inlineStr"/>
      <c r="B1193" t="inlineStr"/>
      <c r="C1193" t="inlineStr"/>
      <c r="D1193" t="inlineStr"/>
      <c r="E1193">
        <f>HYPERLINK("https://www.ncbi.nlm.nih.gov/gene/?term=KAG9470144.1", "KAG9470144.1")</f>
        <v/>
      </c>
      <c r="F1193" t="n">
        <v>63.6</v>
      </c>
      <c r="G1193" t="n">
        <v>66</v>
      </c>
      <c r="H1193" t="n">
        <v>1.39e-07</v>
      </c>
      <c r="I1193" t="inlineStr">
        <is>
          <t>Nr</t>
        </is>
      </c>
      <c r="J1193" t="inlineStr"/>
      <c r="K1193" t="inlineStr"/>
      <c r="L1193" t="inlineStr">
        <is>
          <t>KAG9470144.1 hypothetical protein GDO78_018757 [Eleutherodactylus coqui]</t>
        </is>
      </c>
      <c r="M1193" t="n">
        <v>2257</v>
      </c>
      <c r="N1193" t="inlineStr">
        <is>
          <t>Eleutherodactylus coqui</t>
        </is>
      </c>
      <c r="O1193" t="inlineStr">
        <is>
          <t>hypothetical protein GDO78_018757</t>
        </is>
      </c>
    </row>
    <row r="1194">
      <c r="A1194" t="inlineStr">
        <is>
          <t>NODE_12689_length_5757_cov_363.106854_g0_i36</t>
        </is>
      </c>
      <c r="B1194" t="inlineStr">
        <is>
          <t>bombina_pachypus_blastx</t>
        </is>
      </c>
      <c r="C1194" t="n">
        <v>1.71358372426083</v>
      </c>
      <c r="D1194" t="n">
        <v>0.0409735060726626</v>
      </c>
      <c r="E1194">
        <f>HYPERLINK("https://www.ncbi.nlm.nih.gov/gene/?term=XP_040289105.1", "XP_040289105.1")</f>
        <v/>
      </c>
      <c r="F1194" t="n">
        <v>87.2</v>
      </c>
      <c r="G1194" t="n">
        <v>1378</v>
      </c>
      <c r="H1194" t="n">
        <v>0</v>
      </c>
      <c r="I1194" t="inlineStr">
        <is>
          <t>Nr</t>
        </is>
      </c>
      <c r="J1194" t="inlineStr"/>
      <c r="K1194" t="inlineStr"/>
      <c r="L1194" t="inlineStr">
        <is>
          <t>XP_040289105.1 plectin isoform X4 [Bufo bufo]</t>
        </is>
      </c>
      <c r="M1194" t="n">
        <v>4600</v>
      </c>
      <c r="N1194" t="inlineStr">
        <is>
          <t>Bufo bufo</t>
        </is>
      </c>
      <c r="O1194" t="inlineStr">
        <is>
          <t>plectin isoform X4</t>
        </is>
      </c>
    </row>
    <row r="1195">
      <c r="A1195" t="inlineStr"/>
      <c r="B1195" t="inlineStr"/>
      <c r="C1195" t="inlineStr"/>
      <c r="D1195" t="inlineStr"/>
      <c r="E1195">
        <f>HYPERLINK("https://www.ncbi.nlm.nih.gov/gene/?term=XP_044150533.1", "XP_044150533.1")</f>
        <v/>
      </c>
      <c r="F1195" t="n">
        <v>86.90000000000001</v>
      </c>
      <c r="G1195" t="n">
        <v>1378</v>
      </c>
      <c r="H1195" t="n">
        <v>0</v>
      </c>
      <c r="I1195" t="inlineStr">
        <is>
          <t>Nr</t>
        </is>
      </c>
      <c r="J1195" t="inlineStr"/>
      <c r="K1195" t="inlineStr"/>
      <c r="L1195" t="inlineStr">
        <is>
          <t>XP_044150533.1 plectin isoform X8 [Bufo gargarizans]</t>
        </is>
      </c>
      <c r="M1195" t="n">
        <v>4595</v>
      </c>
      <c r="N1195" t="inlineStr">
        <is>
          <t>Bufo gargarizans</t>
        </is>
      </c>
      <c r="O1195" t="inlineStr">
        <is>
          <t>plectin isoform X8</t>
        </is>
      </c>
    </row>
    <row r="1196">
      <c r="A1196" t="inlineStr"/>
      <c r="B1196" t="inlineStr"/>
      <c r="C1196" t="inlineStr"/>
      <c r="D1196" t="inlineStr"/>
      <c r="E1196">
        <f>HYPERLINK("https://www.ncbi.nlm.nih.gov/gene/?term=XP_041422650.1", "XP_041422650.1")</f>
        <v/>
      </c>
      <c r="F1196" t="n">
        <v>87.40000000000001</v>
      </c>
      <c r="G1196" t="n">
        <v>1378</v>
      </c>
      <c r="H1196" t="n">
        <v>0</v>
      </c>
      <c r="I1196" t="inlineStr">
        <is>
          <t>Nr</t>
        </is>
      </c>
      <c r="J1196" t="inlineStr"/>
      <c r="K1196" t="inlineStr"/>
      <c r="L1196" t="inlineStr">
        <is>
          <t>XP_041422650.1 plectin-like isoform X8 [Xenopus laevis]</t>
        </is>
      </c>
      <c r="M1196" t="n">
        <v>4599</v>
      </c>
      <c r="N1196" t="inlineStr">
        <is>
          <t>Xenopus laevis</t>
        </is>
      </c>
      <c r="O1196" t="inlineStr">
        <is>
          <t>plectin-like isoform X8</t>
        </is>
      </c>
    </row>
    <row r="1197">
      <c r="A1197" t="inlineStr"/>
      <c r="B1197" t="inlineStr"/>
      <c r="C1197" t="inlineStr"/>
      <c r="D1197" t="inlineStr"/>
      <c r="E1197">
        <f>HYPERLINK("https://www.ncbi.nlm.nih.gov/gene/?term=XP_031759737.1", "XP_031759737.1")</f>
        <v/>
      </c>
      <c r="F1197" t="n">
        <v>87.5</v>
      </c>
      <c r="G1197" t="n">
        <v>1378</v>
      </c>
      <c r="H1197" t="n">
        <v>0</v>
      </c>
      <c r="I1197" t="inlineStr">
        <is>
          <t>Nr</t>
        </is>
      </c>
      <c r="J1197" t="inlineStr"/>
      <c r="K1197" t="inlineStr"/>
      <c r="L1197" t="inlineStr">
        <is>
          <t>XP_031759737.1 plectin isoform X7 [Xenopus tropicalis]</t>
        </is>
      </c>
      <c r="M1197" t="n">
        <v>4599</v>
      </c>
      <c r="N1197" t="inlineStr">
        <is>
          <t>Xenopus tropicalis</t>
        </is>
      </c>
      <c r="O1197" t="inlineStr">
        <is>
          <t>plectin isoform X7</t>
        </is>
      </c>
    </row>
    <row r="1198">
      <c r="A1198" t="inlineStr"/>
      <c r="B1198" t="inlineStr"/>
      <c r="C1198" t="inlineStr"/>
      <c r="D1198" t="inlineStr"/>
      <c r="E1198">
        <f>HYPERLINK("https://www.ncbi.nlm.nih.gov/gene/?term=XP_040289106.1", "XP_040289106.1")</f>
        <v/>
      </c>
      <c r="F1198" t="n">
        <v>86.90000000000001</v>
      </c>
      <c r="G1198" t="n">
        <v>1378</v>
      </c>
      <c r="H1198" t="n">
        <v>0</v>
      </c>
      <c r="I1198" t="inlineStr">
        <is>
          <t>Nr</t>
        </is>
      </c>
      <c r="J1198" t="inlineStr"/>
      <c r="K1198" t="inlineStr"/>
      <c r="L1198" t="inlineStr">
        <is>
          <t>XP_040289106.1 plectin isoform X5 [Bufo bufo]</t>
        </is>
      </c>
      <c r="M1198" t="n">
        <v>4595</v>
      </c>
      <c r="N1198" t="inlineStr">
        <is>
          <t>Bufo bufo</t>
        </is>
      </c>
      <c r="O1198" t="inlineStr">
        <is>
          <t>plectin isoform X5</t>
        </is>
      </c>
    </row>
    <row r="1199">
      <c r="A1199" t="inlineStr"/>
      <c r="B1199" t="inlineStr"/>
      <c r="C1199" t="inlineStr"/>
      <c r="D1199" t="inlineStr"/>
      <c r="E1199">
        <f>HYPERLINK("https://www.ncbi.nlm.nih.gov/gene/?term=XP_053323477.1", "XP_053323477.1")</f>
        <v/>
      </c>
      <c r="F1199" t="n">
        <v>86.90000000000001</v>
      </c>
      <c r="G1199" t="n">
        <v>1378</v>
      </c>
      <c r="H1199" t="n">
        <v>0</v>
      </c>
      <c r="I1199" t="inlineStr">
        <is>
          <t>Nr</t>
        </is>
      </c>
      <c r="J1199" t="inlineStr"/>
      <c r="K1199" t="inlineStr"/>
      <c r="L1199" t="inlineStr">
        <is>
          <t>XP_053323477.1 plectin isoform X3 [Spea bombifrons]</t>
        </is>
      </c>
      <c r="M1199" t="n">
        <v>4605</v>
      </c>
      <c r="N1199" t="inlineStr">
        <is>
          <t>Spea bombifrons</t>
        </is>
      </c>
      <c r="O1199" t="inlineStr">
        <is>
          <t>plectin isoform X3</t>
        </is>
      </c>
    </row>
    <row r="1200">
      <c r="A1200" t="inlineStr"/>
      <c r="B1200" t="inlineStr"/>
      <c r="C1200" t="inlineStr"/>
      <c r="D1200" t="inlineStr"/>
      <c r="E1200">
        <f>HYPERLINK("https://www.ncbi.nlm.nih.gov/gene/?term=XP_053323474.1", "XP_053323474.1")</f>
        <v/>
      </c>
      <c r="F1200" t="n">
        <v>86.2</v>
      </c>
      <c r="G1200" t="n">
        <v>1390</v>
      </c>
      <c r="H1200" t="n">
        <v>0</v>
      </c>
      <c r="I1200" t="inlineStr">
        <is>
          <t>Nr</t>
        </is>
      </c>
      <c r="J1200" t="inlineStr"/>
      <c r="K1200" t="inlineStr"/>
      <c r="L1200" t="inlineStr">
        <is>
          <t>XP_053323474.1 plectin isoform X1 [Spea bombifrons]</t>
        </is>
      </c>
      <c r="M1200" t="n">
        <v>4617</v>
      </c>
      <c r="N1200" t="inlineStr">
        <is>
          <t>Spea bombifrons</t>
        </is>
      </c>
      <c r="O1200" t="inlineStr">
        <is>
          <t>plectin isoform X1</t>
        </is>
      </c>
    </row>
    <row r="1201">
      <c r="A1201" t="inlineStr"/>
      <c r="B1201" t="inlineStr"/>
      <c r="C1201" t="inlineStr"/>
      <c r="D1201" t="inlineStr"/>
      <c r="E1201">
        <f>HYPERLINK("https://www.ncbi.nlm.nih.gov/gene/?term=XP_041423988.1", "XP_041423988.1")</f>
        <v/>
      </c>
      <c r="F1201" t="n">
        <v>86.3</v>
      </c>
      <c r="G1201" t="n">
        <v>1378</v>
      </c>
      <c r="H1201" t="n">
        <v>0</v>
      </c>
      <c r="I1201" t="inlineStr">
        <is>
          <t>Nr</t>
        </is>
      </c>
      <c r="J1201" t="inlineStr"/>
      <c r="K1201" t="inlineStr"/>
      <c r="L1201" t="inlineStr">
        <is>
          <t>XP_041423988.1 plectin isoform X4 [Xenopus laevis]</t>
        </is>
      </c>
      <c r="M1201" t="n">
        <v>4599</v>
      </c>
      <c r="N1201" t="inlineStr">
        <is>
          <t>Xenopus laevis</t>
        </is>
      </c>
      <c r="O1201" t="inlineStr">
        <is>
          <t>plectin isoform X4</t>
        </is>
      </c>
    </row>
    <row r="1202">
      <c r="A1202" t="inlineStr"/>
      <c r="B1202" t="inlineStr"/>
      <c r="C1202" t="inlineStr"/>
      <c r="D1202" t="inlineStr"/>
      <c r="E1202">
        <f>HYPERLINK("https://www.ncbi.nlm.nih.gov/gene/?term=XP_053323479.1", "XP_053323479.1")</f>
        <v/>
      </c>
      <c r="F1202" t="n">
        <v>86.59999999999999</v>
      </c>
      <c r="G1202" t="n">
        <v>1378</v>
      </c>
      <c r="H1202" t="n">
        <v>0</v>
      </c>
      <c r="I1202" t="inlineStr">
        <is>
          <t>Nr</t>
        </is>
      </c>
      <c r="J1202" t="inlineStr"/>
      <c r="K1202" t="inlineStr"/>
      <c r="L1202" t="inlineStr">
        <is>
          <t>XP_053323479.1 plectin isoform X5 [Spea bombifrons]</t>
        </is>
      </c>
      <c r="M1202" t="n">
        <v>4600</v>
      </c>
      <c r="N1202" t="inlineStr">
        <is>
          <t>Spea bombifrons</t>
        </is>
      </c>
      <c r="O1202" t="inlineStr">
        <is>
          <t>plectin isoform X5</t>
        </is>
      </c>
    </row>
    <row r="1203">
      <c r="A1203" t="inlineStr"/>
      <c r="B1203" t="inlineStr"/>
      <c r="C1203" t="inlineStr"/>
      <c r="D1203" t="inlineStr"/>
      <c r="E1203">
        <f>HYPERLINK("https://www.ncbi.nlm.nih.gov/gene/?term=XP_018079502.1", "XP_018079502.1")</f>
        <v/>
      </c>
      <c r="F1203" t="n">
        <v>85.5</v>
      </c>
      <c r="G1203" t="n">
        <v>1390</v>
      </c>
      <c r="H1203" t="n">
        <v>0</v>
      </c>
      <c r="I1203" t="inlineStr">
        <is>
          <t>Nr</t>
        </is>
      </c>
      <c r="J1203" t="inlineStr"/>
      <c r="K1203" t="inlineStr"/>
      <c r="L1203" t="inlineStr">
        <is>
          <t>XP_018079502.1 plectin isoform X3 [Xenopus laevis]</t>
        </is>
      </c>
      <c r="M1203" t="n">
        <v>4611</v>
      </c>
      <c r="N1203" t="inlineStr">
        <is>
          <t>Xenopus laevis</t>
        </is>
      </c>
      <c r="O1203" t="inlineStr">
        <is>
          <t>plectin isoform X3</t>
        </is>
      </c>
    </row>
    <row r="1204">
      <c r="A1204" t="inlineStr"/>
      <c r="B1204" t="inlineStr"/>
      <c r="C1204" t="inlineStr"/>
      <c r="D1204" t="inlineStr"/>
      <c r="E1204">
        <f>HYPERLINK("https://www.ncbi.nlm.nih.gov/gene/?term=XP_053323476.1", "XP_053323476.1")</f>
        <v/>
      </c>
      <c r="F1204" t="n">
        <v>85.8</v>
      </c>
      <c r="G1204" t="n">
        <v>1390</v>
      </c>
      <c r="H1204" t="n">
        <v>0</v>
      </c>
      <c r="I1204" t="inlineStr">
        <is>
          <t>Nr</t>
        </is>
      </c>
      <c r="J1204" t="inlineStr"/>
      <c r="K1204" t="inlineStr"/>
      <c r="L1204" t="inlineStr">
        <is>
          <t>XP_053323476.1 plectin isoform X2 [Spea bombifrons]</t>
        </is>
      </c>
      <c r="M1204" t="n">
        <v>4612</v>
      </c>
      <c r="N1204" t="inlineStr">
        <is>
          <t>Spea bombifrons</t>
        </is>
      </c>
      <c r="O1204" t="inlineStr">
        <is>
          <t>plectin isoform X2</t>
        </is>
      </c>
    </row>
    <row r="1205">
      <c r="A1205" t="inlineStr"/>
      <c r="B1205" t="inlineStr"/>
      <c r="C1205" t="inlineStr"/>
      <c r="D1205" t="inlineStr"/>
      <c r="E1205">
        <f>HYPERLINK("https://www.ncbi.nlm.nih.gov/gene/?term=XP_044150530.1", "XP_044150530.1")</f>
        <v/>
      </c>
      <c r="F1205" t="n">
        <v>85.09999999999999</v>
      </c>
      <c r="G1205" t="n">
        <v>1390</v>
      </c>
      <c r="H1205" t="n">
        <v>0</v>
      </c>
      <c r="I1205" t="inlineStr">
        <is>
          <t>Nr</t>
        </is>
      </c>
      <c r="J1205" t="inlineStr"/>
      <c r="K1205" t="inlineStr"/>
      <c r="L1205" t="inlineStr">
        <is>
          <t>XP_044150530.1 plectin isoform X5 [Bufo gargarizans]</t>
        </is>
      </c>
      <c r="M1205" t="n">
        <v>4612</v>
      </c>
      <c r="N1205" t="inlineStr">
        <is>
          <t>Bufo gargarizans</t>
        </is>
      </c>
      <c r="O1205" t="inlineStr">
        <is>
          <t>plectin isoform X5</t>
        </is>
      </c>
    </row>
    <row r="1206">
      <c r="A1206" t="inlineStr"/>
      <c r="B1206" t="inlineStr"/>
      <c r="C1206" t="inlineStr"/>
      <c r="D1206" t="inlineStr"/>
      <c r="E1206">
        <f>HYPERLINK("https://www.ncbi.nlm.nih.gov/gene/?term=XP_031759735.1", "XP_031759735.1")</f>
        <v/>
      </c>
      <c r="F1206" t="n">
        <v>85.8</v>
      </c>
      <c r="G1206" t="n">
        <v>1390</v>
      </c>
      <c r="H1206" t="n">
        <v>0</v>
      </c>
      <c r="I1206" t="inlineStr">
        <is>
          <t>Nr</t>
        </is>
      </c>
      <c r="J1206" t="inlineStr"/>
      <c r="K1206" t="inlineStr"/>
      <c r="L1206" t="inlineStr">
        <is>
          <t>XP_031759735.1 plectin isoform X5 [Xenopus tropicalis]</t>
        </is>
      </c>
      <c r="M1206" t="n">
        <v>4616</v>
      </c>
      <c r="N1206" t="inlineStr">
        <is>
          <t>Xenopus tropicalis</t>
        </is>
      </c>
      <c r="O1206" t="inlineStr">
        <is>
          <t>plectin isoform X5</t>
        </is>
      </c>
    </row>
    <row r="1207">
      <c r="A1207" t="inlineStr"/>
      <c r="B1207" t="inlineStr"/>
      <c r="C1207" t="inlineStr"/>
      <c r="D1207" t="inlineStr"/>
      <c r="E1207">
        <f>HYPERLINK("https://www.ncbi.nlm.nih.gov/gene/?term=XP_041422647.1", "XP_041422647.1")</f>
        <v/>
      </c>
      <c r="F1207" t="n">
        <v>85.59999999999999</v>
      </c>
      <c r="G1207" t="n">
        <v>1390</v>
      </c>
      <c r="H1207" t="n">
        <v>0</v>
      </c>
      <c r="I1207" t="inlineStr">
        <is>
          <t>Nr</t>
        </is>
      </c>
      <c r="J1207" t="inlineStr"/>
      <c r="K1207" t="inlineStr"/>
      <c r="L1207" t="inlineStr">
        <is>
          <t>XP_041422647.1 plectin-like isoform X5 [Xenopus laevis]</t>
        </is>
      </c>
      <c r="M1207" t="n">
        <v>4616</v>
      </c>
      <c r="N1207" t="inlineStr">
        <is>
          <t>Xenopus laevis</t>
        </is>
      </c>
      <c r="O1207" t="inlineStr">
        <is>
          <t>plectin-like isoform X5</t>
        </is>
      </c>
    </row>
    <row r="1208">
      <c r="A1208" t="inlineStr"/>
      <c r="B1208" t="inlineStr"/>
      <c r="C1208" t="inlineStr"/>
      <c r="D1208" t="inlineStr"/>
      <c r="E1208">
        <f>HYPERLINK("https://www.ncbi.nlm.nih.gov/gene/?term=XP_040211038.1", "XP_040211038.1")</f>
        <v/>
      </c>
      <c r="F1208" t="n">
        <v>85.90000000000001</v>
      </c>
      <c r="G1208" t="n">
        <v>1378</v>
      </c>
      <c r="H1208" t="n">
        <v>0</v>
      </c>
      <c r="I1208" t="inlineStr">
        <is>
          <t>Nr</t>
        </is>
      </c>
      <c r="J1208" t="inlineStr"/>
      <c r="K1208" t="inlineStr"/>
      <c r="L1208" t="inlineStr">
        <is>
          <t>XP_040211038.1 plectin isoform X7 [Rana temporaria]</t>
        </is>
      </c>
      <c r="M1208" t="n">
        <v>4592</v>
      </c>
      <c r="N1208" t="inlineStr">
        <is>
          <t>Rana temporaria</t>
        </is>
      </c>
      <c r="O1208" t="inlineStr">
        <is>
          <t>plectin isoform X7</t>
        </is>
      </c>
    </row>
    <row r="1209">
      <c r="A1209" t="inlineStr"/>
      <c r="B1209" t="inlineStr"/>
      <c r="C1209" t="inlineStr"/>
      <c r="D1209" t="inlineStr"/>
      <c r="E1209">
        <f>HYPERLINK("https://www.ncbi.nlm.nih.gov/gene/?term=XP_044150531.1", "XP_044150531.1")</f>
        <v/>
      </c>
      <c r="F1209" t="n">
        <v>84.8</v>
      </c>
      <c r="G1209" t="n">
        <v>1390</v>
      </c>
      <c r="H1209" t="n">
        <v>0</v>
      </c>
      <c r="I1209" t="inlineStr">
        <is>
          <t>Nr</t>
        </is>
      </c>
      <c r="J1209" t="inlineStr"/>
      <c r="K1209" t="inlineStr"/>
      <c r="L1209" t="inlineStr">
        <is>
          <t>XP_044150531.1 plectin isoform X6 [Bufo gargarizans]</t>
        </is>
      </c>
      <c r="M1209" t="n">
        <v>4607</v>
      </c>
      <c r="N1209" t="inlineStr">
        <is>
          <t>Bufo gargarizans</t>
        </is>
      </c>
      <c r="O1209" t="inlineStr">
        <is>
          <t>plectin isoform X6</t>
        </is>
      </c>
    </row>
    <row r="1210">
      <c r="A1210" t="inlineStr"/>
      <c r="B1210" t="inlineStr"/>
      <c r="C1210" t="inlineStr"/>
      <c r="D1210" t="inlineStr"/>
      <c r="E1210">
        <f>HYPERLINK("https://www.ncbi.nlm.nih.gov/gene/?term=XP_041422648.1", "XP_041422648.1")</f>
        <v/>
      </c>
      <c r="F1210" t="n">
        <v>85.3</v>
      </c>
      <c r="G1210" t="n">
        <v>1390</v>
      </c>
      <c r="H1210" t="n">
        <v>0</v>
      </c>
      <c r="I1210" t="inlineStr">
        <is>
          <t>Nr</t>
        </is>
      </c>
      <c r="J1210" t="inlineStr"/>
      <c r="K1210" t="inlineStr"/>
      <c r="L1210" t="inlineStr">
        <is>
          <t>XP_041422648.1 plectin-like isoform X6 [Xenopus laevis]</t>
        </is>
      </c>
      <c r="M1210" t="n">
        <v>4611</v>
      </c>
      <c r="N1210" t="inlineStr">
        <is>
          <t>Xenopus laevis</t>
        </is>
      </c>
      <c r="O1210" t="inlineStr">
        <is>
          <t>plectin-like isoform X6</t>
        </is>
      </c>
    </row>
    <row r="1211">
      <c r="A1211" t="inlineStr"/>
      <c r="B1211" t="inlineStr"/>
      <c r="C1211" t="inlineStr"/>
      <c r="D1211" t="inlineStr"/>
      <c r="E1211">
        <f>HYPERLINK("https://www.ncbi.nlm.nih.gov/gene/?term=XP_031759736.1", "XP_031759736.1")</f>
        <v/>
      </c>
      <c r="F1211" t="n">
        <v>85.40000000000001</v>
      </c>
      <c r="G1211" t="n">
        <v>1390</v>
      </c>
      <c r="H1211" t="n">
        <v>0</v>
      </c>
      <c r="I1211" t="inlineStr">
        <is>
          <t>Nr</t>
        </is>
      </c>
      <c r="J1211" t="inlineStr"/>
      <c r="K1211" t="inlineStr"/>
      <c r="L1211" t="inlineStr">
        <is>
          <t>XP_031759736.1 plectin isoform X6 [Xenopus tropicalis]</t>
        </is>
      </c>
      <c r="M1211" t="n">
        <v>4611</v>
      </c>
      <c r="N1211" t="inlineStr">
        <is>
          <t>Xenopus tropicalis</t>
        </is>
      </c>
      <c r="O1211" t="inlineStr">
        <is>
          <t>plectin isoform X6</t>
        </is>
      </c>
    </row>
    <row r="1212">
      <c r="A1212" t="inlineStr"/>
      <c r="B1212" t="inlineStr"/>
      <c r="C1212" t="inlineStr"/>
      <c r="D1212" t="inlineStr"/>
      <c r="E1212">
        <f>HYPERLINK("https://www.ncbi.nlm.nih.gov/gene/?term=XP_018418127.1", "XP_018418127.1")</f>
        <v/>
      </c>
      <c r="F1212" t="n">
        <v>84.7</v>
      </c>
      <c r="G1212" t="n">
        <v>1390</v>
      </c>
      <c r="H1212" t="n">
        <v>0</v>
      </c>
      <c r="I1212" t="inlineStr">
        <is>
          <t>Nr</t>
        </is>
      </c>
      <c r="J1212" t="inlineStr"/>
      <c r="K1212" t="inlineStr"/>
      <c r="L1212" t="inlineStr">
        <is>
          <t>XP_018418127.1 PREDICTED: plectin isoform X1 [Nanorana parkeri]</t>
        </is>
      </c>
      <c r="M1212" t="n">
        <v>4611</v>
      </c>
      <c r="N1212" t="inlineStr">
        <is>
          <t>Nanorana parkeri</t>
        </is>
      </c>
      <c r="O1212" t="inlineStr">
        <is>
          <t>PREDICTED: plectin isoform X1</t>
        </is>
      </c>
    </row>
    <row r="1213">
      <c r="A1213" t="inlineStr"/>
      <c r="B1213" t="inlineStr"/>
      <c r="C1213" t="inlineStr"/>
      <c r="D1213" t="inlineStr"/>
      <c r="E1213">
        <f>HYPERLINK("https://www.ncbi.nlm.nih.gov/gene/?term=XP_041422644.1", "XP_041422644.1")</f>
        <v/>
      </c>
      <c r="F1213" t="n">
        <v>86.5</v>
      </c>
      <c r="G1213" t="n">
        <v>1341</v>
      </c>
      <c r="H1213" t="n">
        <v>0</v>
      </c>
      <c r="I1213" t="inlineStr">
        <is>
          <t>Nr</t>
        </is>
      </c>
      <c r="J1213" t="inlineStr"/>
      <c r="K1213" t="inlineStr"/>
      <c r="L1213" t="inlineStr">
        <is>
          <t>XP_041422644.1 plectin-like isoform X3 [Xenopus laevis]</t>
        </is>
      </c>
      <c r="M1213" t="n">
        <v>5375</v>
      </c>
      <c r="N1213" t="inlineStr">
        <is>
          <t>Xenopus laevis</t>
        </is>
      </c>
      <c r="O1213" t="inlineStr">
        <is>
          <t>plectin-like isoform X3</t>
        </is>
      </c>
    </row>
    <row r="1214">
      <c r="A1214" t="inlineStr"/>
      <c r="B1214" t="inlineStr"/>
      <c r="C1214" t="inlineStr"/>
      <c r="D1214" t="inlineStr"/>
      <c r="E1214">
        <f>HYPERLINK("https://www.ncbi.nlm.nih.gov/gene/?term=XP_041422658.1", "XP_041422658.1")</f>
        <v/>
      </c>
      <c r="F1214" t="n">
        <v>87.90000000000001</v>
      </c>
      <c r="G1214" t="n">
        <v>1315</v>
      </c>
      <c r="H1214" t="n">
        <v>0</v>
      </c>
      <c r="I1214" t="inlineStr">
        <is>
          <t>Nr</t>
        </is>
      </c>
      <c r="J1214" t="inlineStr"/>
      <c r="K1214" t="inlineStr"/>
      <c r="L1214" t="inlineStr">
        <is>
          <t>XP_041422658.1 plectin-like isoform X16 [Xenopus laevis]</t>
        </is>
      </c>
      <c r="M1214" t="n">
        <v>4579</v>
      </c>
      <c r="N1214" t="inlineStr">
        <is>
          <t>Xenopus laevis</t>
        </is>
      </c>
      <c r="O1214" t="inlineStr">
        <is>
          <t>plectin-like isoform X16</t>
        </is>
      </c>
    </row>
    <row r="1215">
      <c r="A1215" t="inlineStr"/>
      <c r="B1215" t="inlineStr"/>
      <c r="C1215" t="inlineStr"/>
      <c r="D1215" t="inlineStr"/>
      <c r="E1215">
        <f>HYPERLINK("https://www.ncbi.nlm.nih.gov/gene/?term=XP_031759745.1", "XP_031759745.1")</f>
        <v/>
      </c>
      <c r="F1215" t="n">
        <v>87.40000000000001</v>
      </c>
      <c r="G1215" t="n">
        <v>1322</v>
      </c>
      <c r="H1215" t="n">
        <v>0</v>
      </c>
      <c r="I1215" t="inlineStr">
        <is>
          <t>Nr</t>
        </is>
      </c>
      <c r="J1215" t="inlineStr"/>
      <c r="K1215" t="inlineStr"/>
      <c r="L1215" t="inlineStr">
        <is>
          <t>XP_031759745.1 plectin isoform X15 [Xenopus tropicalis]</t>
        </is>
      </c>
      <c r="M1215" t="n">
        <v>4576</v>
      </c>
      <c r="N1215" t="inlineStr">
        <is>
          <t>Xenopus tropicalis</t>
        </is>
      </c>
      <c r="O1215" t="inlineStr">
        <is>
          <t>plectin isoform X15</t>
        </is>
      </c>
    </row>
    <row r="1216">
      <c r="A1216" t="inlineStr"/>
      <c r="B1216" t="inlineStr"/>
      <c r="C1216" t="inlineStr"/>
      <c r="D1216" t="inlineStr"/>
      <c r="E1216">
        <f>HYPERLINK("https://www.ncbi.nlm.nih.gov/gene/?term=XP_044150528.1", "XP_044150528.1")</f>
        <v/>
      </c>
      <c r="F1216" t="n">
        <v>87.09999999999999</v>
      </c>
      <c r="G1216" t="n">
        <v>1315</v>
      </c>
      <c r="H1216" t="n">
        <v>0</v>
      </c>
      <c r="I1216" t="inlineStr">
        <is>
          <t>Nr</t>
        </is>
      </c>
      <c r="J1216" t="inlineStr"/>
      <c r="K1216" t="inlineStr"/>
      <c r="L1216" t="inlineStr">
        <is>
          <t>XP_044150528.1 plectin isoform X3 [Bufo gargarizans]</t>
        </is>
      </c>
      <c r="M1216" t="n">
        <v>5778</v>
      </c>
      <c r="N1216" t="inlineStr">
        <is>
          <t>Bufo gargarizans</t>
        </is>
      </c>
      <c r="O1216" t="inlineStr">
        <is>
          <t>plectin isoform X3</t>
        </is>
      </c>
    </row>
    <row r="1217">
      <c r="A1217" t="inlineStr"/>
      <c r="B1217" t="inlineStr"/>
      <c r="C1217" t="inlineStr"/>
      <c r="D1217" t="inlineStr"/>
      <c r="E1217">
        <f>HYPERLINK("https://www.ncbi.nlm.nih.gov/gene/?term=XP_031759733.1", "XP_031759733.1")</f>
        <v/>
      </c>
      <c r="F1217" t="n">
        <v>87.8</v>
      </c>
      <c r="G1217" t="n">
        <v>1315</v>
      </c>
      <c r="H1217" t="n">
        <v>0</v>
      </c>
      <c r="I1217" t="inlineStr">
        <is>
          <t>Nr</t>
        </is>
      </c>
      <c r="J1217" t="inlineStr"/>
      <c r="K1217" t="inlineStr"/>
      <c r="L1217" t="inlineStr">
        <is>
          <t>XP_031759733.1 plectin isoform X3 [Xenopus tropicalis]</t>
        </is>
      </c>
      <c r="M1217" t="n">
        <v>5433</v>
      </c>
      <c r="N1217" t="inlineStr">
        <is>
          <t>Xenopus tropicalis</t>
        </is>
      </c>
      <c r="O1217" t="inlineStr">
        <is>
          <t>plectin isoform X3</t>
        </is>
      </c>
    </row>
    <row r="1218">
      <c r="A1218" t="inlineStr"/>
      <c r="B1218" t="inlineStr"/>
      <c r="C1218" t="inlineStr"/>
      <c r="D1218" t="inlineStr"/>
      <c r="E1218">
        <f>HYPERLINK("https://www.ncbi.nlm.nih.gov/gene/?term=KAE8599977.1", "KAE8599977.1")</f>
        <v/>
      </c>
      <c r="F1218" t="n">
        <v>87.8</v>
      </c>
      <c r="G1218" t="n">
        <v>1315</v>
      </c>
      <c r="H1218" t="n">
        <v>0</v>
      </c>
      <c r="I1218" t="inlineStr">
        <is>
          <t>Nr</t>
        </is>
      </c>
      <c r="J1218" t="inlineStr"/>
      <c r="K1218" t="inlineStr"/>
      <c r="L1218" t="inlineStr">
        <is>
          <t>KAE8599977.1 hypothetical protein XENTR_v10017418 [Xenopus tropicalis]</t>
        </is>
      </c>
      <c r="M1218" t="n">
        <v>4711</v>
      </c>
      <c r="N1218" t="inlineStr">
        <is>
          <t>Xenopus tropicalis</t>
        </is>
      </c>
      <c r="O1218" t="inlineStr">
        <is>
          <t>hypothetical protein XENTR_v10017418</t>
        </is>
      </c>
    </row>
    <row r="1219">
      <c r="A1219" t="inlineStr"/>
      <c r="B1219" t="inlineStr"/>
      <c r="C1219" t="inlineStr"/>
      <c r="D1219" t="inlineStr"/>
      <c r="E1219">
        <f>HYPERLINK("https://www.uniprot.org/uniprotkb/A0A8J1KZB9/entry", "A0A8J1KZB9")</f>
        <v/>
      </c>
      <c r="F1219" t="n">
        <v>87.40000000000001</v>
      </c>
      <c r="G1219" t="n">
        <v>1378</v>
      </c>
      <c r="H1219" t="n">
        <v>0</v>
      </c>
      <c r="I1219" t="inlineStr">
        <is>
          <t>TrEMBL</t>
        </is>
      </c>
      <c r="J1219" t="inlineStr">
        <is>
          <t>LOC108695484</t>
        </is>
      </c>
      <c r="K1219" t="inlineStr">
        <is>
          <t>A0A8J1KZB9_XENLA</t>
        </is>
      </c>
      <c r="L1219" t="inlineStr">
        <is>
          <t>tr|A0A8J1KZB9|A0A8J1KZB9_XENLA plectin-like isoform X8 OS=Xenopus laevis OX=8355 GN=LOC108695484 PE=4 SV=1</t>
        </is>
      </c>
      <c r="M1219" t="n">
        <v>4599</v>
      </c>
      <c r="N1219" t="inlineStr">
        <is>
          <t>Xenopus laevis</t>
        </is>
      </c>
      <c r="O1219" t="inlineStr">
        <is>
          <t>plectin-like isoform X8</t>
        </is>
      </c>
    </row>
    <row r="1220">
      <c r="A1220" t="inlineStr"/>
      <c r="B1220" t="inlineStr"/>
      <c r="C1220" t="inlineStr"/>
      <c r="D1220" t="inlineStr"/>
      <c r="E1220">
        <f>HYPERLINK("https://www.uniprot.org/uniprotkb/A0A6I8RJQ3/entry", "A0A6I8RJQ3")</f>
        <v/>
      </c>
      <c r="F1220" t="n">
        <v>87.5</v>
      </c>
      <c r="G1220" t="n">
        <v>1378</v>
      </c>
      <c r="H1220" t="n">
        <v>0</v>
      </c>
      <c r="I1220" t="inlineStr">
        <is>
          <t>TrEMBL</t>
        </is>
      </c>
      <c r="J1220" t="inlineStr">
        <is>
          <t>plec</t>
        </is>
      </c>
      <c r="K1220" t="inlineStr">
        <is>
          <t>A0A6I8RJQ3_XENTR</t>
        </is>
      </c>
      <c r="L1220" t="inlineStr">
        <is>
          <t>tr|A0A6I8RJQ3|A0A6I8RJQ3_XENTR Plectin OS=Xenopus tropicalis OX=8364 GN=plec PE=4 SV=2</t>
        </is>
      </c>
      <c r="M1220" t="n">
        <v>4599</v>
      </c>
      <c r="N1220" t="inlineStr">
        <is>
          <t>Xenopus tropicalis</t>
        </is>
      </c>
      <c r="O1220" t="inlineStr">
        <is>
          <t>Plectin</t>
        </is>
      </c>
    </row>
    <row r="1221">
      <c r="A1221" t="inlineStr"/>
      <c r="B1221" t="inlineStr"/>
      <c r="C1221" t="inlineStr"/>
      <c r="D1221" t="inlineStr"/>
      <c r="E1221">
        <f>HYPERLINK("https://www.uniprot.org/uniprotkb/A0A8J1L379/entry", "A0A8J1L379")</f>
        <v/>
      </c>
      <c r="F1221" t="n">
        <v>86.3</v>
      </c>
      <c r="G1221" t="n">
        <v>1378</v>
      </c>
      <c r="H1221" t="n">
        <v>0</v>
      </c>
      <c r="I1221" t="inlineStr">
        <is>
          <t>TrEMBL</t>
        </is>
      </c>
      <c r="J1221" t="inlineStr">
        <is>
          <t>plec.S</t>
        </is>
      </c>
      <c r="K1221" t="inlineStr">
        <is>
          <t>A0A8J1L379_XENLA</t>
        </is>
      </c>
      <c r="L1221" t="inlineStr">
        <is>
          <t>tr|A0A8J1L379|A0A8J1L379_XENLA plectin isoform X4 OS=Xenopus laevis OX=8355 GN=plec.S PE=4 SV=1</t>
        </is>
      </c>
      <c r="M1221" t="n">
        <v>4599</v>
      </c>
      <c r="N1221" t="inlineStr">
        <is>
          <t>Xenopus laevis</t>
        </is>
      </c>
      <c r="O1221" t="inlineStr">
        <is>
          <t>plectin isoform X4</t>
        </is>
      </c>
    </row>
    <row r="1222">
      <c r="A1222" t="inlineStr"/>
      <c r="B1222" t="inlineStr"/>
      <c r="C1222" t="inlineStr"/>
      <c r="D1222" t="inlineStr"/>
      <c r="E1222">
        <f>HYPERLINK("https://www.uniprot.org/uniprotkb/A0A8J1L364/entry", "A0A8J1L364")</f>
        <v/>
      </c>
      <c r="F1222" t="n">
        <v>85.5</v>
      </c>
      <c r="G1222" t="n">
        <v>1390</v>
      </c>
      <c r="H1222" t="n">
        <v>0</v>
      </c>
      <c r="I1222" t="inlineStr">
        <is>
          <t>TrEMBL</t>
        </is>
      </c>
      <c r="J1222" t="inlineStr">
        <is>
          <t>plec.S</t>
        </is>
      </c>
      <c r="K1222" t="inlineStr">
        <is>
          <t>A0A8J1L364_XENLA</t>
        </is>
      </c>
      <c r="L1222" t="inlineStr">
        <is>
          <t>tr|A0A8J1L364|A0A8J1L364_XENLA plectin isoform X3 OS=Xenopus laevis OX=8355 GN=plec.S PE=4 SV=1</t>
        </is>
      </c>
      <c r="M1222" t="n">
        <v>4611</v>
      </c>
      <c r="N1222" t="inlineStr">
        <is>
          <t>Xenopus laevis</t>
        </is>
      </c>
      <c r="O1222" t="inlineStr">
        <is>
          <t>plectin isoform X3</t>
        </is>
      </c>
    </row>
    <row r="1223">
      <c r="A1223" t="inlineStr"/>
      <c r="B1223" t="inlineStr"/>
      <c r="C1223" t="inlineStr"/>
      <c r="D1223" t="inlineStr"/>
      <c r="E1223">
        <f>HYPERLINK("https://www.uniprot.org/uniprotkb/A0A8J1JRU3/entry", "A0A8J1JRU3")</f>
        <v/>
      </c>
      <c r="F1223" t="n">
        <v>85.8</v>
      </c>
      <c r="G1223" t="n">
        <v>1390</v>
      </c>
      <c r="H1223" t="n">
        <v>0</v>
      </c>
      <c r="I1223" t="inlineStr">
        <is>
          <t>TrEMBL</t>
        </is>
      </c>
      <c r="J1223" t="inlineStr">
        <is>
          <t>plec</t>
        </is>
      </c>
      <c r="K1223" t="inlineStr">
        <is>
          <t>A0A8J1JRU3_XENTR</t>
        </is>
      </c>
      <c r="L1223" t="inlineStr">
        <is>
          <t>tr|A0A8J1JRU3|A0A8J1JRU3_XENTR plectin isoform X5 OS=Xenopus tropicalis OX=8364 GN=plec PE=4 SV=1</t>
        </is>
      </c>
      <c r="M1223" t="n">
        <v>4616</v>
      </c>
      <c r="N1223" t="inlineStr">
        <is>
          <t>Xenopus tropicalis</t>
        </is>
      </c>
      <c r="O1223" t="inlineStr">
        <is>
          <t>plectin isoform X5</t>
        </is>
      </c>
    </row>
    <row r="1224">
      <c r="A1224" t="inlineStr"/>
      <c r="B1224" t="inlineStr"/>
      <c r="C1224" t="inlineStr"/>
      <c r="D1224" t="inlineStr"/>
      <c r="E1224">
        <f>HYPERLINK("https://www.uniprot.org/uniprotkb/A0A8J1KZB6/entry", "A0A8J1KZB6")</f>
        <v/>
      </c>
      <c r="F1224" t="n">
        <v>85.59999999999999</v>
      </c>
      <c r="G1224" t="n">
        <v>1390</v>
      </c>
      <c r="H1224" t="n">
        <v>0</v>
      </c>
      <c r="I1224" t="inlineStr">
        <is>
          <t>TrEMBL</t>
        </is>
      </c>
      <c r="J1224" t="inlineStr">
        <is>
          <t>LOC108695484</t>
        </is>
      </c>
      <c r="K1224" t="inlineStr">
        <is>
          <t>A0A8J1KZB6_XENLA</t>
        </is>
      </c>
      <c r="L1224" t="inlineStr">
        <is>
          <t>tr|A0A8J1KZB6|A0A8J1KZB6_XENLA plectin-like isoform X5 OS=Xenopus laevis OX=8355 GN=LOC108695484 PE=4 SV=1</t>
        </is>
      </c>
      <c r="M1224" t="n">
        <v>4616</v>
      </c>
      <c r="N1224" t="inlineStr">
        <is>
          <t>Xenopus laevis</t>
        </is>
      </c>
      <c r="O1224" t="inlineStr">
        <is>
          <t>plectin-like isoform X5</t>
        </is>
      </c>
    </row>
    <row r="1225">
      <c r="A1225" t="inlineStr"/>
      <c r="B1225" t="inlineStr"/>
      <c r="C1225" t="inlineStr"/>
      <c r="D1225" t="inlineStr"/>
      <c r="E1225">
        <f>HYPERLINK("https://www.uniprot.org/uniprotkb/A0A8J1L0X5/entry", "A0A8J1L0X5")</f>
        <v/>
      </c>
      <c r="F1225" t="n">
        <v>85.3</v>
      </c>
      <c r="G1225" t="n">
        <v>1390</v>
      </c>
      <c r="H1225" t="n">
        <v>0</v>
      </c>
      <c r="I1225" t="inlineStr">
        <is>
          <t>TrEMBL</t>
        </is>
      </c>
      <c r="J1225" t="inlineStr">
        <is>
          <t>LOC108695484</t>
        </is>
      </c>
      <c r="K1225" t="inlineStr">
        <is>
          <t>A0A8J1L0X5_XENLA</t>
        </is>
      </c>
      <c r="L1225" t="inlineStr">
        <is>
          <t>tr|A0A8J1L0X5|A0A8J1L0X5_XENLA plectin-like isoform X6 OS=Xenopus laevis OX=8355 GN=LOC108695484 PE=4 SV=1</t>
        </is>
      </c>
      <c r="M1225" t="n">
        <v>4611</v>
      </c>
      <c r="N1225" t="inlineStr">
        <is>
          <t>Xenopus laevis</t>
        </is>
      </c>
      <c r="O1225" t="inlineStr">
        <is>
          <t>plectin-like isoform X6</t>
        </is>
      </c>
    </row>
    <row r="1226">
      <c r="A1226" t="inlineStr"/>
      <c r="B1226" t="inlineStr"/>
      <c r="C1226" t="inlineStr"/>
      <c r="D1226" t="inlineStr"/>
      <c r="E1226">
        <f>HYPERLINK("https://www.uniprot.org/uniprotkb/A0A8J1JT40/entry", "A0A8J1JT40")</f>
        <v/>
      </c>
      <c r="F1226" t="n">
        <v>85.40000000000001</v>
      </c>
      <c r="G1226" t="n">
        <v>1390</v>
      </c>
      <c r="H1226" t="n">
        <v>0</v>
      </c>
      <c r="I1226" t="inlineStr">
        <is>
          <t>TrEMBL</t>
        </is>
      </c>
      <c r="J1226" t="inlineStr">
        <is>
          <t>plec</t>
        </is>
      </c>
      <c r="K1226" t="inlineStr">
        <is>
          <t>A0A8J1JT40_XENTR</t>
        </is>
      </c>
      <c r="L1226" t="inlineStr">
        <is>
          <t>tr|A0A8J1JT40|A0A8J1JT40_XENTR plectin isoform X6 OS=Xenopus tropicalis OX=8364 GN=plec PE=4 SV=1</t>
        </is>
      </c>
      <c r="M1226" t="n">
        <v>4611</v>
      </c>
      <c r="N1226" t="inlineStr">
        <is>
          <t>Xenopus tropicalis</t>
        </is>
      </c>
      <c r="O1226" t="inlineStr">
        <is>
          <t>plectin isoform X6</t>
        </is>
      </c>
    </row>
    <row r="1227">
      <c r="A1227" t="inlineStr"/>
      <c r="B1227" t="inlineStr"/>
      <c r="C1227" t="inlineStr"/>
      <c r="D1227" t="inlineStr"/>
      <c r="E1227">
        <f>HYPERLINK("https://www.uniprot.org/uniprotkb/A0A8J1L252/entry", "A0A8J1L252")</f>
        <v/>
      </c>
      <c r="F1227" t="n">
        <v>86.5</v>
      </c>
      <c r="G1227" t="n">
        <v>1341</v>
      </c>
      <c r="H1227" t="n">
        <v>0</v>
      </c>
      <c r="I1227" t="inlineStr">
        <is>
          <t>TrEMBL</t>
        </is>
      </c>
      <c r="J1227" t="inlineStr">
        <is>
          <t>LOC108695484</t>
        </is>
      </c>
      <c r="K1227" t="inlineStr">
        <is>
          <t>A0A8J1L252_XENLA</t>
        </is>
      </c>
      <c r="L1227" t="inlineStr">
        <is>
          <t>tr|A0A8J1L252|A0A8J1L252_XENLA plectin-like isoform X3 OS=Xenopus laevis OX=8355 GN=LOC108695484 PE=4 SV=1</t>
        </is>
      </c>
      <c r="M1227" t="n">
        <v>5375</v>
      </c>
      <c r="N1227" t="inlineStr">
        <is>
          <t>Xenopus laevis</t>
        </is>
      </c>
      <c r="O1227" t="inlineStr">
        <is>
          <t>plectin-like isoform X3</t>
        </is>
      </c>
    </row>
    <row r="1228">
      <c r="A1228" t="inlineStr"/>
      <c r="B1228" t="inlineStr"/>
      <c r="C1228" t="inlineStr"/>
      <c r="D1228" t="inlineStr"/>
      <c r="E1228">
        <f>HYPERLINK("https://www.uniprot.org/uniprotkb/A0A8J1L0Y6/entry", "A0A8J1L0Y6")</f>
        <v/>
      </c>
      <c r="F1228" t="n">
        <v>87.90000000000001</v>
      </c>
      <c r="G1228" t="n">
        <v>1315</v>
      </c>
      <c r="H1228" t="n">
        <v>0</v>
      </c>
      <c r="I1228" t="inlineStr">
        <is>
          <t>TrEMBL</t>
        </is>
      </c>
      <c r="J1228" t="inlineStr">
        <is>
          <t>LOC108695484</t>
        </is>
      </c>
      <c r="K1228" t="inlineStr">
        <is>
          <t>A0A8J1L0Y6_XENLA</t>
        </is>
      </c>
      <c r="L1228" t="inlineStr">
        <is>
          <t>tr|A0A8J1L0Y6|A0A8J1L0Y6_XENLA plectin-like isoform X16 OS=Xenopus laevis OX=8355 GN=LOC108695484 PE=4 SV=1</t>
        </is>
      </c>
      <c r="M1228" t="n">
        <v>4579</v>
      </c>
      <c r="N1228" t="inlineStr">
        <is>
          <t>Xenopus laevis</t>
        </is>
      </c>
      <c r="O1228" t="inlineStr">
        <is>
          <t>plectin-like isoform X16</t>
        </is>
      </c>
    </row>
    <row r="1229">
      <c r="A1229" t="inlineStr"/>
      <c r="B1229" t="inlineStr"/>
      <c r="C1229" t="inlineStr"/>
      <c r="D1229" t="inlineStr"/>
      <c r="E1229">
        <f>HYPERLINK("https://www.uniprot.org/uniprotkb/A0A6I8RJG0/entry", "A0A6I8RJG0")</f>
        <v/>
      </c>
      <c r="F1229" t="n">
        <v>87.2</v>
      </c>
      <c r="G1229" t="n">
        <v>1327</v>
      </c>
      <c r="H1229" t="n">
        <v>0</v>
      </c>
      <c r="I1229" t="inlineStr">
        <is>
          <t>TrEMBL</t>
        </is>
      </c>
      <c r="J1229" t="inlineStr">
        <is>
          <t>plec</t>
        </is>
      </c>
      <c r="K1229" t="inlineStr">
        <is>
          <t>A0A6I8RJG0_XENTR</t>
        </is>
      </c>
      <c r="L1229" t="inlineStr">
        <is>
          <t>tr|A0A6I8RJG0|A0A6I8RJG0_XENTR Plectin OS=Xenopus tropicalis OX=8364 GN=plec PE=4 SV=2</t>
        </is>
      </c>
      <c r="M1229" t="n">
        <v>4571</v>
      </c>
      <c r="N1229" t="inlineStr">
        <is>
          <t>Xenopus tropicalis</t>
        </is>
      </c>
      <c r="O1229" t="inlineStr">
        <is>
          <t>Plectin</t>
        </is>
      </c>
    </row>
    <row r="1230">
      <c r="A1230" t="inlineStr"/>
      <c r="B1230" t="inlineStr"/>
      <c r="C1230" t="inlineStr"/>
      <c r="D1230" t="inlineStr"/>
      <c r="E1230">
        <f>HYPERLINK("https://www.uniprot.org/uniprotkb/A0A6I8RVG5/entry", "A0A6I8RVG5")</f>
        <v/>
      </c>
      <c r="F1230" t="n">
        <v>87.59999999999999</v>
      </c>
      <c r="G1230" t="n">
        <v>1317</v>
      </c>
      <c r="H1230" t="n">
        <v>0</v>
      </c>
      <c r="I1230" t="inlineStr">
        <is>
          <t>TrEMBL</t>
        </is>
      </c>
      <c r="J1230" t="inlineStr">
        <is>
          <t>plec</t>
        </is>
      </c>
      <c r="K1230" t="inlineStr">
        <is>
          <t>A0A6I8RVG5_XENTR</t>
        </is>
      </c>
      <c r="L1230" t="inlineStr">
        <is>
          <t>tr|A0A6I8RVG5|A0A6I8RVG5_XENTR Plectin OS=Xenopus tropicalis OX=8364 GN=plec PE=4 SV=2</t>
        </is>
      </c>
      <c r="M1230" t="n">
        <v>4556</v>
      </c>
      <c r="N1230" t="inlineStr">
        <is>
          <t>Xenopus tropicalis</t>
        </is>
      </c>
      <c r="O1230" t="inlineStr">
        <is>
          <t>Plectin</t>
        </is>
      </c>
    </row>
    <row r="1231">
      <c r="A1231" t="inlineStr"/>
      <c r="B1231" t="inlineStr"/>
      <c r="C1231" t="inlineStr"/>
      <c r="D1231" t="inlineStr"/>
      <c r="E1231">
        <f>HYPERLINK("https://www.uniprot.org/uniprotkb/A0A8J1JRV4/entry", "A0A8J1JRV4")</f>
        <v/>
      </c>
      <c r="F1231" t="n">
        <v>87.40000000000001</v>
      </c>
      <c r="G1231" t="n">
        <v>1322</v>
      </c>
      <c r="H1231" t="n">
        <v>0</v>
      </c>
      <c r="I1231" t="inlineStr">
        <is>
          <t>TrEMBL</t>
        </is>
      </c>
      <c r="J1231" t="inlineStr">
        <is>
          <t>plec</t>
        </is>
      </c>
      <c r="K1231" t="inlineStr">
        <is>
          <t>A0A8J1JRV4_XENTR</t>
        </is>
      </c>
      <c r="L1231" t="inlineStr">
        <is>
          <t>tr|A0A8J1JRV4|A0A8J1JRV4_XENTR plectin isoform X15 OS=Xenopus tropicalis OX=8364 GN=plec PE=4 SV=1</t>
        </is>
      </c>
      <c r="M1231" t="n">
        <v>4576</v>
      </c>
      <c r="N1231" t="inlineStr">
        <is>
          <t>Xenopus tropicalis</t>
        </is>
      </c>
      <c r="O1231" t="inlineStr">
        <is>
          <t>plectin isoform X15</t>
        </is>
      </c>
    </row>
    <row r="1232">
      <c r="A1232" t="inlineStr"/>
      <c r="B1232" t="inlineStr"/>
      <c r="C1232" t="inlineStr"/>
      <c r="D1232" t="inlineStr"/>
      <c r="E1232">
        <f>HYPERLINK("https://www.uniprot.org/uniprotkb/A0A6I8REU0/entry", "A0A6I8REU0")</f>
        <v/>
      </c>
      <c r="F1232" t="n">
        <v>87.8</v>
      </c>
      <c r="G1232" t="n">
        <v>1315</v>
      </c>
      <c r="H1232" t="n">
        <v>0</v>
      </c>
      <c r="I1232" t="inlineStr">
        <is>
          <t>TrEMBL</t>
        </is>
      </c>
      <c r="J1232" t="inlineStr">
        <is>
          <t>plec</t>
        </is>
      </c>
      <c r="K1232" t="inlineStr">
        <is>
          <t>A0A6I8REU0_XENTR</t>
        </is>
      </c>
      <c r="L1232" t="inlineStr">
        <is>
          <t>tr|A0A6I8REU0|A0A6I8REU0_XENTR Plectin OS=Xenopus tropicalis OX=8364 GN=plec PE=4 SV=2</t>
        </is>
      </c>
      <c r="M1232" t="n">
        <v>4583</v>
      </c>
      <c r="N1232" t="inlineStr">
        <is>
          <t>Xenopus tropicalis</t>
        </is>
      </c>
      <c r="O1232" t="inlineStr">
        <is>
          <t>Plectin</t>
        </is>
      </c>
    </row>
    <row r="1233">
      <c r="A1233" t="inlineStr"/>
      <c r="B1233" t="inlineStr"/>
      <c r="C1233" t="inlineStr"/>
      <c r="D1233" t="inlineStr"/>
      <c r="E1233">
        <f>HYPERLINK("https://www.uniprot.org/uniprotkb/A0A8J1JPC7/entry", "A0A8J1JPC7")</f>
        <v/>
      </c>
      <c r="F1233" t="n">
        <v>87.8</v>
      </c>
      <c r="G1233" t="n">
        <v>1315</v>
      </c>
      <c r="H1233" t="n">
        <v>0</v>
      </c>
      <c r="I1233" t="inlineStr">
        <is>
          <t>TrEMBL</t>
        </is>
      </c>
      <c r="J1233" t="inlineStr">
        <is>
          <t>plec</t>
        </is>
      </c>
      <c r="K1233" t="inlineStr">
        <is>
          <t>A0A8J1JPC7_XENTR</t>
        </is>
      </c>
      <c r="L1233" t="inlineStr">
        <is>
          <t>tr|A0A8J1JPC7|A0A8J1JPC7_XENTR plectin isoform X3 OS=Xenopus tropicalis OX=8364 GN=plec PE=4 SV=1</t>
        </is>
      </c>
      <c r="M1233" t="n">
        <v>5433</v>
      </c>
      <c r="N1233" t="inlineStr">
        <is>
          <t>Xenopus tropicalis</t>
        </is>
      </c>
      <c r="O1233" t="inlineStr">
        <is>
          <t>plectin isoform X3</t>
        </is>
      </c>
    </row>
    <row r="1234">
      <c r="A1234" t="inlineStr"/>
      <c r="B1234" t="inlineStr"/>
      <c r="C1234" t="inlineStr"/>
      <c r="D1234" t="inlineStr"/>
      <c r="E1234">
        <f>HYPERLINK("https://www.uniprot.org/uniprotkb/A0A8J1KZA7/entry", "A0A8J1KZA7")</f>
        <v/>
      </c>
      <c r="F1234" t="n">
        <v>86.2</v>
      </c>
      <c r="G1234" t="n">
        <v>1341</v>
      </c>
      <c r="H1234" t="n">
        <v>0</v>
      </c>
      <c r="I1234" t="inlineStr">
        <is>
          <t>TrEMBL</t>
        </is>
      </c>
      <c r="J1234" t="inlineStr">
        <is>
          <t>LOC108695484</t>
        </is>
      </c>
      <c r="K1234" t="inlineStr">
        <is>
          <t>A0A8J1KZA7_XENLA</t>
        </is>
      </c>
      <c r="L1234" t="inlineStr">
        <is>
          <t>tr|A0A8J1KZA7|A0A8J1KZA7_XENLA plectin-like isoform X4 OS=Xenopus laevis OX=8355 GN=LOC108695484 PE=4 SV=1</t>
        </is>
      </c>
      <c r="M1234" t="n">
        <v>5370</v>
      </c>
      <c r="N1234" t="inlineStr">
        <is>
          <t>Xenopus laevis</t>
        </is>
      </c>
      <c r="O1234" t="inlineStr">
        <is>
          <t>plectin-like isoform X4</t>
        </is>
      </c>
    </row>
    <row r="1235">
      <c r="A1235" t="inlineStr"/>
      <c r="B1235" t="inlineStr"/>
      <c r="C1235" t="inlineStr"/>
      <c r="D1235" t="inlineStr"/>
      <c r="E1235">
        <f>HYPERLINK("https://www.uniprot.org/uniprotkb/A0A8J1L0Z6/entry", "A0A8J1L0Z6")</f>
        <v/>
      </c>
      <c r="F1235" t="n">
        <v>87.5</v>
      </c>
      <c r="G1235" t="n">
        <v>1317</v>
      </c>
      <c r="H1235" t="n">
        <v>0</v>
      </c>
      <c r="I1235" t="inlineStr">
        <is>
          <t>TrEMBL</t>
        </is>
      </c>
      <c r="J1235" t="inlineStr">
        <is>
          <t>LOC108695484</t>
        </is>
      </c>
      <c r="K1235" t="inlineStr">
        <is>
          <t>A0A8J1L0Z6_XENLA</t>
        </is>
      </c>
      <c r="L1235" t="inlineStr">
        <is>
          <t>tr|A0A8J1L0Z6|A0A8J1L0Z6_XENLA plectin-like isoform X26 OS=Xenopus laevis OX=8355 GN=LOC108695484 PE=4 SV=1</t>
        </is>
      </c>
      <c r="M1235" t="n">
        <v>4551</v>
      </c>
      <c r="N1235" t="inlineStr">
        <is>
          <t>Xenopus laevis</t>
        </is>
      </c>
      <c r="O1235" t="inlineStr">
        <is>
          <t>plectin-like isoform X26</t>
        </is>
      </c>
    </row>
    <row r="1236">
      <c r="A1236" t="inlineStr"/>
      <c r="B1236" t="inlineStr"/>
      <c r="C1236" t="inlineStr"/>
      <c r="D1236" t="inlineStr"/>
      <c r="E1236">
        <f>HYPERLINK("https://www.uniprot.org/uniprotkb/A0A8J1KZC5/entry", "A0A8J1KZC5")</f>
        <v/>
      </c>
      <c r="F1236" t="n">
        <v>87.59999999999999</v>
      </c>
      <c r="G1236" t="n">
        <v>1315</v>
      </c>
      <c r="H1236" t="n">
        <v>0</v>
      </c>
      <c r="I1236" t="inlineStr">
        <is>
          <t>TrEMBL</t>
        </is>
      </c>
      <c r="J1236" t="inlineStr">
        <is>
          <t>LOC108695484</t>
        </is>
      </c>
      <c r="K1236" t="inlineStr">
        <is>
          <t>A0A8J1KZC5_XENLA</t>
        </is>
      </c>
      <c r="L1236" t="inlineStr">
        <is>
          <t>tr|A0A8J1KZC5|A0A8J1KZC5_XENLA plectin-like isoform X19 OS=Xenopus laevis OX=8355 GN=LOC108695484 PE=4 SV=1</t>
        </is>
      </c>
      <c r="M1236" t="n">
        <v>4574</v>
      </c>
      <c r="N1236" t="inlineStr">
        <is>
          <t>Xenopus laevis</t>
        </is>
      </c>
      <c r="O1236" t="inlineStr">
        <is>
          <t>plectin-like isoform X19</t>
        </is>
      </c>
    </row>
    <row r="1237">
      <c r="A1237" t="inlineStr"/>
      <c r="B1237" t="inlineStr"/>
      <c r="C1237" t="inlineStr"/>
      <c r="D1237" t="inlineStr"/>
      <c r="E1237">
        <f>HYPERLINK("https://www.uniprot.org/uniprotkb/A0A8J1KZC0/entry", "A0A8J1KZC0")</f>
        <v/>
      </c>
      <c r="F1237" t="n">
        <v>87.59999999999999</v>
      </c>
      <c r="G1237" t="n">
        <v>1315</v>
      </c>
      <c r="H1237" t="n">
        <v>0</v>
      </c>
      <c r="I1237" t="inlineStr">
        <is>
          <t>TrEMBL</t>
        </is>
      </c>
      <c r="J1237" t="inlineStr">
        <is>
          <t>LOC108695484</t>
        </is>
      </c>
      <c r="K1237" t="inlineStr">
        <is>
          <t>A0A8J1KZC0_XENLA</t>
        </is>
      </c>
      <c r="L1237" t="inlineStr">
        <is>
          <t>tr|A0A8J1KZC0|A0A8J1KZC0_XENLA plectin-like isoform X14 OS=Xenopus laevis OX=8355 GN=LOC108695484 PE=4 SV=1</t>
        </is>
      </c>
      <c r="M1237" t="n">
        <v>4584</v>
      </c>
      <c r="N1237" t="inlineStr">
        <is>
          <t>Xenopus laevis</t>
        </is>
      </c>
      <c r="O1237" t="inlineStr">
        <is>
          <t>plectin-like isoform X14</t>
        </is>
      </c>
    </row>
    <row r="1238">
      <c r="A1238" t="inlineStr"/>
      <c r="B1238" t="inlineStr"/>
      <c r="C1238" t="inlineStr"/>
      <c r="D1238" t="inlineStr"/>
      <c r="E1238">
        <f>HYPERLINK("https://www.uniprot.org/uniprotkb/Q7ZWK4/entry", "Q7ZWK4")</f>
        <v/>
      </c>
      <c r="F1238" t="n">
        <v>87.59999999999999</v>
      </c>
      <c r="G1238" t="n">
        <v>1315</v>
      </c>
      <c r="H1238" t="n">
        <v>0</v>
      </c>
      <c r="I1238" t="inlineStr">
        <is>
          <t>TrEMBL</t>
        </is>
      </c>
      <c r="J1238" t="inlineStr">
        <is>
          <t>LOC398587</t>
        </is>
      </c>
      <c r="K1238" t="inlineStr">
        <is>
          <t>Q7ZWK4_XENLA</t>
        </is>
      </c>
      <c r="L1238" t="inlineStr">
        <is>
          <t>tr|Q7ZWK4|Q7ZWK4_XENLA LOC398587 protein (Fragment) OS=Xenopus laevis OX=8355 GN=LOC398587 PE=2 SV=1</t>
        </is>
      </c>
      <c r="M1238" t="n">
        <v>1454</v>
      </c>
      <c r="N1238" t="inlineStr">
        <is>
          <t>Xenopus laevis</t>
        </is>
      </c>
      <c r="O1238" t="inlineStr">
        <is>
          <t>LOC398587 protein (Fragment)</t>
        </is>
      </c>
    </row>
    <row r="1239">
      <c r="A1239" t="inlineStr"/>
      <c r="B1239" t="inlineStr"/>
      <c r="C1239" t="inlineStr"/>
      <c r="D1239" t="inlineStr"/>
      <c r="E1239">
        <f>HYPERLINK("https://www.uniprot.org/uniprotkb/A0A1L8G0G1/entry", "A0A1L8G0G1")</f>
        <v/>
      </c>
      <c r="F1239" t="n">
        <v>87.59999999999999</v>
      </c>
      <c r="G1239" t="n">
        <v>1315</v>
      </c>
      <c r="H1239" t="n">
        <v>0</v>
      </c>
      <c r="I1239" t="inlineStr">
        <is>
          <t>TrEMBL</t>
        </is>
      </c>
      <c r="J1239" t="inlineStr">
        <is>
          <t>LOC108695484</t>
        </is>
      </c>
      <c r="K1239" t="inlineStr">
        <is>
          <t>A0A1L8G0G1_XENLA</t>
        </is>
      </c>
      <c r="L1239" t="inlineStr">
        <is>
          <t>tr|A0A1L8G0G1|A0A1L8G0G1_XENLA plectin-like isoform X17 OS=Xenopus laevis OX=8355 GN=LOC108695484 PE=4 SV=1</t>
        </is>
      </c>
      <c r="M1239" t="n">
        <v>4578</v>
      </c>
      <c r="N1239" t="inlineStr">
        <is>
          <t>Xenopus laevis</t>
        </is>
      </c>
      <c r="O1239" t="inlineStr">
        <is>
          <t>plectin-like isoform X17</t>
        </is>
      </c>
    </row>
    <row r="1240">
      <c r="A1240" t="inlineStr"/>
      <c r="B1240" t="inlineStr"/>
      <c r="C1240" t="inlineStr"/>
      <c r="D1240" t="inlineStr"/>
      <c r="E1240">
        <f>HYPERLINK("https://www.uniprot.org/uniprotkb/A0A6I8QYZ6/entry", "A0A6I8QYZ6")</f>
        <v/>
      </c>
      <c r="F1240" t="n">
        <v>87.09999999999999</v>
      </c>
      <c r="G1240" t="n">
        <v>1322</v>
      </c>
      <c r="H1240" t="n">
        <v>0</v>
      </c>
      <c r="I1240" t="inlineStr">
        <is>
          <t>TrEMBL</t>
        </is>
      </c>
      <c r="J1240" t="inlineStr">
        <is>
          <t>plec</t>
        </is>
      </c>
      <c r="K1240" t="inlineStr">
        <is>
          <t>A0A6I8QYZ6_XENTR</t>
        </is>
      </c>
      <c r="L1240" t="inlineStr">
        <is>
          <t>tr|A0A6I8QYZ6|A0A6I8QYZ6_XENTR Plectin OS=Xenopus tropicalis OX=8364 GN=plec PE=4 SV=2</t>
        </is>
      </c>
      <c r="M1240" t="n">
        <v>4571</v>
      </c>
      <c r="N1240" t="inlineStr">
        <is>
          <t>Xenopus tropicalis</t>
        </is>
      </c>
      <c r="O1240" t="inlineStr">
        <is>
          <t>Plectin</t>
        </is>
      </c>
    </row>
    <row r="1241">
      <c r="A1241" t="inlineStr"/>
      <c r="B1241" t="inlineStr"/>
      <c r="C1241" t="inlineStr"/>
      <c r="D1241" t="inlineStr"/>
      <c r="E1241">
        <f>HYPERLINK("https://www.uniprot.org/uniprotkb/A0A8J1JT60/entry", "A0A8J1JT60")</f>
        <v/>
      </c>
      <c r="F1241" t="n">
        <v>87.2</v>
      </c>
      <c r="G1241" t="n">
        <v>1317</v>
      </c>
      <c r="H1241" t="n">
        <v>0</v>
      </c>
      <c r="I1241" t="inlineStr">
        <is>
          <t>TrEMBL</t>
        </is>
      </c>
      <c r="J1241" t="inlineStr">
        <is>
          <t>plec</t>
        </is>
      </c>
      <c r="K1241" t="inlineStr">
        <is>
          <t>A0A8J1JT60_XENTR</t>
        </is>
      </c>
      <c r="L1241" t="inlineStr">
        <is>
          <t>tr|A0A8J1JT60|A0A8J1JT60_XENTR plectin isoform X26 OS=Xenopus tropicalis OX=8364 GN=plec PE=4 SV=1</t>
        </is>
      </c>
      <c r="M1241" t="n">
        <v>4551</v>
      </c>
      <c r="N1241" t="inlineStr">
        <is>
          <t>Xenopus tropicalis</t>
        </is>
      </c>
      <c r="O1241" t="inlineStr">
        <is>
          <t>plectin isoform X26</t>
        </is>
      </c>
    </row>
    <row r="1242">
      <c r="A1242" t="inlineStr"/>
      <c r="B1242" t="inlineStr"/>
      <c r="C1242" t="inlineStr"/>
      <c r="D1242" t="inlineStr"/>
      <c r="E1242">
        <f>HYPERLINK("https://www.uniprot.org/uniprotkb/A0A6I8QI92/entry", "A0A6I8QI92")</f>
        <v/>
      </c>
      <c r="F1242" t="n">
        <v>87.40000000000001</v>
      </c>
      <c r="G1242" t="n">
        <v>1315</v>
      </c>
      <c r="H1242" t="n">
        <v>0</v>
      </c>
      <c r="I1242" t="inlineStr">
        <is>
          <t>TrEMBL</t>
        </is>
      </c>
      <c r="J1242" t="inlineStr">
        <is>
          <t>plec</t>
        </is>
      </c>
      <c r="K1242" t="inlineStr">
        <is>
          <t>A0A6I8QI92_XENTR</t>
        </is>
      </c>
      <c r="L1242" t="inlineStr">
        <is>
          <t>tr|A0A6I8QI92|A0A6I8QI92_XENTR Plectin OS=Xenopus tropicalis OX=8364 GN=plec PE=4 SV=2</t>
        </is>
      </c>
      <c r="M1242" t="n">
        <v>5428</v>
      </c>
      <c r="N1242" t="inlineStr">
        <is>
          <t>Xenopus tropicalis</t>
        </is>
      </c>
      <c r="O1242" t="inlineStr">
        <is>
          <t>Plectin</t>
        </is>
      </c>
    </row>
    <row r="1243">
      <c r="A1243" t="inlineStr"/>
      <c r="B1243" t="inlineStr"/>
      <c r="C1243" t="inlineStr"/>
      <c r="D1243" t="inlineStr"/>
      <c r="E1243">
        <f>HYPERLINK("https://www.uniprot.org/uniprotkb/A0A8J1JPD8/entry", "A0A8J1JPD8")</f>
        <v/>
      </c>
      <c r="F1243" t="n">
        <v>87.40000000000001</v>
      </c>
      <c r="G1243" t="n">
        <v>1315</v>
      </c>
      <c r="H1243" t="n">
        <v>0</v>
      </c>
      <c r="I1243" t="inlineStr">
        <is>
          <t>TrEMBL</t>
        </is>
      </c>
      <c r="J1243" t="inlineStr">
        <is>
          <t>plec</t>
        </is>
      </c>
      <c r="K1243" t="inlineStr">
        <is>
          <t>A0A8J1JPD8_XENTR</t>
        </is>
      </c>
      <c r="L1243" t="inlineStr">
        <is>
          <t>tr|A0A8J1JPD8|A0A8J1JPD8_XENTR plectin isoform X13 OS=Xenopus tropicalis OX=8364 GN=plec PE=4 SV=1</t>
        </is>
      </c>
      <c r="M1243" t="n">
        <v>4578</v>
      </c>
      <c r="N1243" t="inlineStr">
        <is>
          <t>Xenopus tropicalis</t>
        </is>
      </c>
      <c r="O1243" t="inlineStr">
        <is>
          <t>plectin isoform X13</t>
        </is>
      </c>
    </row>
    <row r="1244">
      <c r="A1244" t="inlineStr"/>
      <c r="B1244" t="inlineStr"/>
      <c r="C1244" t="inlineStr"/>
      <c r="D1244" t="inlineStr"/>
      <c r="E1244">
        <f>HYPERLINK("https://www.uniprot.org/uniprotkb/Q9QXS1/entry", "Q9QXS1")</f>
        <v/>
      </c>
      <c r="F1244" t="n">
        <v>73.2</v>
      </c>
      <c r="G1244" t="n">
        <v>1316</v>
      </c>
      <c r="H1244" t="n">
        <v>0</v>
      </c>
      <c r="I1244" t="inlineStr">
        <is>
          <t>Swiss-Prot</t>
        </is>
      </c>
      <c r="J1244" t="inlineStr">
        <is>
          <t>Plec</t>
        </is>
      </c>
      <c r="K1244" t="inlineStr">
        <is>
          <t>PLEC_MOUSE</t>
        </is>
      </c>
      <c r="L1244" t="inlineStr">
        <is>
          <t>sp|Q9QXS1|PLEC_MOUSE Plectin OS=Mus musculus OX=10090 GN=Plec PE=1 SV=3</t>
        </is>
      </c>
      <c r="M1244" t="n">
        <v>4691</v>
      </c>
      <c r="N1244" t="inlineStr">
        <is>
          <t>Mus musculus</t>
        </is>
      </c>
      <c r="O1244" t="inlineStr">
        <is>
          <t>Plectin</t>
        </is>
      </c>
    </row>
    <row r="1245">
      <c r="A1245" t="inlineStr"/>
      <c r="B1245" t="inlineStr"/>
      <c r="C1245" t="inlineStr"/>
      <c r="D1245" t="inlineStr"/>
      <c r="E1245">
        <f>HYPERLINK("https://www.uniprot.org/uniprotkb/Q15149/entry", "Q15149")</f>
        <v/>
      </c>
      <c r="F1245" t="n">
        <v>72.09999999999999</v>
      </c>
      <c r="G1245" t="n">
        <v>1316</v>
      </c>
      <c r="H1245" t="n">
        <v>0</v>
      </c>
      <c r="I1245" t="inlineStr">
        <is>
          <t>Swiss-Prot</t>
        </is>
      </c>
      <c r="J1245" t="inlineStr">
        <is>
          <t>PLEC</t>
        </is>
      </c>
      <c r="K1245" t="inlineStr">
        <is>
          <t>PLEC_HUMAN</t>
        </is>
      </c>
      <c r="L1245" t="inlineStr">
        <is>
          <t>sp|Q15149|PLEC_HUMAN Plectin OS=Homo sapiens OX=9606 GN=PLEC PE=1 SV=3</t>
        </is>
      </c>
      <c r="M1245" t="n">
        <v>4684</v>
      </c>
      <c r="N1245" t="inlineStr">
        <is>
          <t>Homo sapiens</t>
        </is>
      </c>
      <c r="O1245" t="inlineStr">
        <is>
          <t>Plectin</t>
        </is>
      </c>
    </row>
    <row r="1246">
      <c r="A1246" t="inlineStr"/>
      <c r="B1246" t="inlineStr"/>
      <c r="C1246" t="inlineStr"/>
      <c r="D1246" t="inlineStr"/>
      <c r="E1246">
        <f>HYPERLINK("https://www.uniprot.org/uniprotkb/P30427/entry", "P30427")</f>
        <v/>
      </c>
      <c r="F1246" t="n">
        <v>72.59999999999999</v>
      </c>
      <c r="G1246" t="n">
        <v>1316</v>
      </c>
      <c r="H1246" t="n">
        <v>0</v>
      </c>
      <c r="I1246" t="inlineStr">
        <is>
          <t>Swiss-Prot</t>
        </is>
      </c>
      <c r="J1246" t="inlineStr">
        <is>
          <t>Plec</t>
        </is>
      </c>
      <c r="K1246" t="inlineStr">
        <is>
          <t>PLEC_RAT</t>
        </is>
      </c>
      <c r="L1246" t="inlineStr">
        <is>
          <t>sp|P30427|PLEC_RAT Plectin OS=Rattus norvegicus OX=10116 GN=Plec PE=1 SV=2</t>
        </is>
      </c>
      <c r="M1246" t="n">
        <v>4687</v>
      </c>
      <c r="N1246" t="inlineStr">
        <is>
          <t>Rattus norvegicus</t>
        </is>
      </c>
      <c r="O1246" t="inlineStr">
        <is>
          <t>Plectin</t>
        </is>
      </c>
    </row>
    <row r="1247">
      <c r="A1247" t="inlineStr"/>
      <c r="B1247" t="inlineStr"/>
      <c r="C1247" t="inlineStr"/>
      <c r="D1247" t="inlineStr"/>
      <c r="E1247">
        <f>HYPERLINK("https://www.uniprot.org/uniprotkb/Q9JI55/entry", "Q9JI55")</f>
        <v/>
      </c>
      <c r="F1247" t="n">
        <v>72</v>
      </c>
      <c r="G1247" t="n">
        <v>1277</v>
      </c>
      <c r="H1247" t="n">
        <v>0</v>
      </c>
      <c r="I1247" t="inlineStr">
        <is>
          <t>Swiss-Prot</t>
        </is>
      </c>
      <c r="J1247" t="inlineStr">
        <is>
          <t>PLEC</t>
        </is>
      </c>
      <c r="K1247" t="inlineStr">
        <is>
          <t>PLEC_CRIGR</t>
        </is>
      </c>
      <c r="L1247" t="inlineStr">
        <is>
          <t>sp|Q9JI55|PLEC_CRIGR Plectin (Fragment) OS=Cricetulus griseus OX=10029 GN=PLEC PE=1 SV=1</t>
        </is>
      </c>
      <c r="M1247" t="n">
        <v>4473</v>
      </c>
      <c r="N1247" t="inlineStr">
        <is>
          <t>Cricetulus griseus</t>
        </is>
      </c>
      <c r="O1247" t="inlineStr">
        <is>
          <t>Plectin (Fragment)</t>
        </is>
      </c>
    </row>
    <row r="1248">
      <c r="A1248" t="inlineStr"/>
      <c r="B1248" t="inlineStr"/>
      <c r="C1248" t="inlineStr"/>
      <c r="D1248" t="inlineStr"/>
      <c r="E1248">
        <f>HYPERLINK("https://www.uniprot.org/uniprotkb/Q9QXZ0/entry", "Q9QXZ0")</f>
        <v/>
      </c>
      <c r="F1248" t="n">
        <v>49.4</v>
      </c>
      <c r="G1248" t="n">
        <v>1389</v>
      </c>
      <c r="H1248" t="n">
        <v>0</v>
      </c>
      <c r="I1248" t="inlineStr">
        <is>
          <t>Swiss-Prot</t>
        </is>
      </c>
      <c r="J1248" t="inlineStr">
        <is>
          <t>Macf1</t>
        </is>
      </c>
      <c r="K1248" t="inlineStr">
        <is>
          <t>MACF1_MOUSE</t>
        </is>
      </c>
      <c r="L1248" t="inlineStr">
        <is>
          <t>sp|Q9QXZ0|MACF1_MOUSE Microtubule-actin cross-linking factor 1, isoforms 1/2/3/4 OS=Mus musculus OX=10090 GN=Macf1 PE=1 SV=2</t>
        </is>
      </c>
      <c r="M1248" t="n">
        <v>7354</v>
      </c>
      <c r="N1248" t="inlineStr">
        <is>
          <t>Mus musculus</t>
        </is>
      </c>
      <c r="O1248" t="inlineStr">
        <is>
          <t>Microtubule-actin cross-linking factor 1, isoforms 1/2/3/4</t>
        </is>
      </c>
    </row>
    <row r="1249">
      <c r="A1249" t="inlineStr"/>
      <c r="B1249" t="inlineStr"/>
      <c r="C1249" t="inlineStr"/>
      <c r="D1249" t="inlineStr"/>
      <c r="E1249">
        <f>HYPERLINK("https://www.uniprot.org/uniprotkb/Q03001/entry", "Q03001")</f>
        <v/>
      </c>
      <c r="F1249" t="n">
        <v>48.1</v>
      </c>
      <c r="G1249" t="n">
        <v>1423</v>
      </c>
      <c r="H1249" t="n">
        <v>0</v>
      </c>
      <c r="I1249" t="inlineStr">
        <is>
          <t>Swiss-Prot</t>
        </is>
      </c>
      <c r="J1249" t="inlineStr">
        <is>
          <t>DST</t>
        </is>
      </c>
      <c r="K1249" t="inlineStr">
        <is>
          <t>DYST_HUMAN</t>
        </is>
      </c>
      <c r="L1249" t="inlineStr">
        <is>
          <t>sp|Q03001|DYST_HUMAN Dystonin OS=Homo sapiens OX=9606 GN=DST PE=1 SV=4</t>
        </is>
      </c>
      <c r="M1249" t="n">
        <v>7570</v>
      </c>
      <c r="N1249" t="inlineStr">
        <is>
          <t>Homo sapiens</t>
        </is>
      </c>
      <c r="O1249" t="inlineStr">
        <is>
          <t>Dystonin</t>
        </is>
      </c>
    </row>
    <row r="1250">
      <c r="A1250" t="inlineStr"/>
      <c r="B1250" t="inlineStr"/>
      <c r="C1250" t="inlineStr"/>
      <c r="D1250" t="inlineStr"/>
      <c r="E1250">
        <f>HYPERLINK("https://www.uniprot.org/uniprotkb/Q9UPN3/entry", "Q9UPN3")</f>
        <v/>
      </c>
      <c r="F1250" t="n">
        <v>49.2</v>
      </c>
      <c r="G1250" t="n">
        <v>1389</v>
      </c>
      <c r="H1250" t="n">
        <v>0</v>
      </c>
      <c r="I1250" t="inlineStr">
        <is>
          <t>Swiss-Prot</t>
        </is>
      </c>
      <c r="J1250" t="inlineStr">
        <is>
          <t>MACF1</t>
        </is>
      </c>
      <c r="K1250" t="inlineStr">
        <is>
          <t>MACF1_HUMAN</t>
        </is>
      </c>
      <c r="L1250" t="inlineStr">
        <is>
          <t>sp|Q9UPN3|MACF1_HUMAN Microtubule-actin cross-linking factor 1, isoforms 1/2/3/4/5 OS=Homo sapiens OX=9606 GN=MACF1 PE=1 SV=4</t>
        </is>
      </c>
      <c r="M1250" t="n">
        <v>7388</v>
      </c>
      <c r="N1250" t="inlineStr">
        <is>
          <t>Homo sapiens</t>
        </is>
      </c>
      <c r="O1250" t="inlineStr">
        <is>
          <t>Microtubule-actin cross-linking factor 1, isoforms 1/2/3/4/5</t>
        </is>
      </c>
    </row>
    <row r="1251">
      <c r="A1251" t="inlineStr"/>
      <c r="B1251" t="inlineStr"/>
      <c r="C1251" t="inlineStr"/>
      <c r="D1251" t="inlineStr"/>
      <c r="E1251">
        <f>HYPERLINK("https://www.uniprot.org/uniprotkb/D3ZHV2/entry", "D3ZHV2")</f>
        <v/>
      </c>
      <c r="F1251" t="n">
        <v>49</v>
      </c>
      <c r="G1251" t="n">
        <v>1389</v>
      </c>
      <c r="H1251" t="n">
        <v>0</v>
      </c>
      <c r="I1251" t="inlineStr">
        <is>
          <t>Swiss-Prot</t>
        </is>
      </c>
      <c r="J1251" t="inlineStr">
        <is>
          <t>Macf1</t>
        </is>
      </c>
      <c r="K1251" t="inlineStr">
        <is>
          <t>MACF1_RAT</t>
        </is>
      </c>
      <c r="L1251" t="inlineStr">
        <is>
          <t>sp|D3ZHV2|MACF1_RAT Microtubule-actin cross-linking factor 1 OS=Rattus norvegicus OX=10116 GN=Macf1 PE=1 SV=1</t>
        </is>
      </c>
      <c r="M1251" t="n">
        <v>5430</v>
      </c>
      <c r="N1251" t="inlineStr">
        <is>
          <t>Rattus norvegicus</t>
        </is>
      </c>
      <c r="O1251" t="inlineStr">
        <is>
          <t>Microtubule-actin cross-linking factor 1</t>
        </is>
      </c>
    </row>
    <row r="1252">
      <c r="A1252" t="inlineStr"/>
      <c r="B1252" t="inlineStr"/>
      <c r="C1252" t="inlineStr"/>
      <c r="D1252" t="inlineStr"/>
      <c r="E1252">
        <f>HYPERLINK("https://www.uniprot.org/uniprotkb/Q91ZU6/entry", "Q91ZU6")</f>
        <v/>
      </c>
      <c r="F1252" t="n">
        <v>47.2</v>
      </c>
      <c r="G1252" t="n">
        <v>1423</v>
      </c>
      <c r="H1252" t="n">
        <v>0</v>
      </c>
      <c r="I1252" t="inlineStr">
        <is>
          <t>Swiss-Prot</t>
        </is>
      </c>
      <c r="J1252" t="inlineStr">
        <is>
          <t>Dst</t>
        </is>
      </c>
      <c r="K1252" t="inlineStr">
        <is>
          <t>DYST_MOUSE</t>
        </is>
      </c>
      <c r="L1252" t="inlineStr">
        <is>
          <t>sp|Q91ZU6|DYST_MOUSE Dystonin OS=Mus musculus OX=10090 GN=Dst PE=1 SV=2</t>
        </is>
      </c>
      <c r="M1252" t="n">
        <v>7393</v>
      </c>
      <c r="N1252" t="inlineStr">
        <is>
          <t>Mus musculus</t>
        </is>
      </c>
      <c r="O1252" t="inlineStr">
        <is>
          <t>Dystonin</t>
        </is>
      </c>
    </row>
    <row r="1253">
      <c r="A1253" t="inlineStr"/>
      <c r="B1253" t="inlineStr"/>
      <c r="C1253" t="inlineStr"/>
      <c r="D1253" t="inlineStr"/>
      <c r="E1253">
        <f>HYPERLINK("https://www.uniprot.org/uniprotkb/P15924/entry", "P15924")</f>
        <v/>
      </c>
      <c r="F1253" t="n">
        <v>31.8</v>
      </c>
      <c r="G1253" t="n">
        <v>970</v>
      </c>
      <c r="H1253" t="n">
        <v>6.129999999999999e-140</v>
      </c>
      <c r="I1253" t="inlineStr">
        <is>
          <t>Swiss-Prot</t>
        </is>
      </c>
      <c r="J1253" t="inlineStr">
        <is>
          <t>DSP</t>
        </is>
      </c>
      <c r="K1253" t="inlineStr">
        <is>
          <t>DESP_HUMAN</t>
        </is>
      </c>
      <c r="L1253" t="inlineStr">
        <is>
          <t>sp|P15924|DESP_HUMAN Desmoplakin OS=Homo sapiens OX=9606 GN=DSP PE=1 SV=3</t>
        </is>
      </c>
      <c r="M1253" t="n">
        <v>2871</v>
      </c>
      <c r="N1253" t="inlineStr">
        <is>
          <t>Homo sapiens</t>
        </is>
      </c>
      <c r="O1253" t="inlineStr">
        <is>
          <t>Desmoplakin</t>
        </is>
      </c>
    </row>
    <row r="1254">
      <c r="A1254" t="inlineStr"/>
      <c r="B1254" t="inlineStr"/>
      <c r="C1254" t="inlineStr"/>
      <c r="D1254" t="inlineStr"/>
      <c r="E1254">
        <f>HYPERLINK("https://www.uniprot.org/uniprotkb/E9Q557/entry", "E9Q557")</f>
        <v/>
      </c>
      <c r="F1254" t="n">
        <v>33.3</v>
      </c>
      <c r="G1254" t="n">
        <v>860</v>
      </c>
      <c r="H1254" t="n">
        <v>1.29e-137</v>
      </c>
      <c r="I1254" t="inlineStr">
        <is>
          <t>Swiss-Prot</t>
        </is>
      </c>
      <c r="J1254" t="inlineStr">
        <is>
          <t>Dsp</t>
        </is>
      </c>
      <c r="K1254" t="inlineStr">
        <is>
          <t>DESP_MOUSE</t>
        </is>
      </c>
      <c r="L1254" t="inlineStr">
        <is>
          <t>sp|E9Q557|DESP_MOUSE Desmoplakin OS=Mus musculus OX=10090 GN=Dsp PE=1 SV=1</t>
        </is>
      </c>
      <c r="M1254" t="n">
        <v>2883</v>
      </c>
      <c r="N1254" t="inlineStr">
        <is>
          <t>Mus musculus</t>
        </is>
      </c>
      <c r="O1254" t="inlineStr">
        <is>
          <t>Desmoplakin</t>
        </is>
      </c>
    </row>
    <row r="1255">
      <c r="A1255" t="inlineStr"/>
      <c r="B1255" t="inlineStr"/>
      <c r="C1255" t="inlineStr"/>
      <c r="D1255" t="inlineStr"/>
      <c r="E1255">
        <f>HYPERLINK("https://www.uniprot.org/uniprotkb/F1LMV6/entry", "F1LMV6")</f>
        <v/>
      </c>
      <c r="F1255" t="n">
        <v>33.3</v>
      </c>
      <c r="G1255" t="n">
        <v>860</v>
      </c>
      <c r="H1255" t="n">
        <v>2.32e-137</v>
      </c>
      <c r="I1255" t="inlineStr">
        <is>
          <t>Swiss-Prot</t>
        </is>
      </c>
      <c r="J1255" t="inlineStr">
        <is>
          <t>Dsp</t>
        </is>
      </c>
      <c r="K1255" t="inlineStr">
        <is>
          <t>DESP_RAT</t>
        </is>
      </c>
      <c r="L1255" t="inlineStr">
        <is>
          <t>sp|F1LMV6|DESP_RAT Desmoplakin OS=Rattus norvegicus OX=10116 GN=Dsp PE=1 SV=1</t>
        </is>
      </c>
      <c r="M1255" t="n">
        <v>2877</v>
      </c>
      <c r="N1255" t="inlineStr">
        <is>
          <t>Rattus norvegicus</t>
        </is>
      </c>
      <c r="O1255" t="inlineStr">
        <is>
          <t>Desmoplakin</t>
        </is>
      </c>
    </row>
    <row r="1256">
      <c r="A1256" t="inlineStr"/>
      <c r="B1256" t="inlineStr"/>
      <c r="C1256" t="inlineStr"/>
      <c r="D1256" t="inlineStr"/>
      <c r="E1256">
        <f>HYPERLINK("https://www.uniprot.org/uniprotkb/A0A8M2BID5/entry", "A0A8M2BID5")</f>
        <v/>
      </c>
      <c r="F1256" t="n">
        <v>33.4</v>
      </c>
      <c r="G1256" t="n">
        <v>874</v>
      </c>
      <c r="H1256" t="n">
        <v>1.1e-134</v>
      </c>
      <c r="I1256" t="inlineStr">
        <is>
          <t>Swiss-Prot</t>
        </is>
      </c>
      <c r="J1256" t="inlineStr">
        <is>
          <t>dspa</t>
        </is>
      </c>
      <c r="K1256" t="inlineStr">
        <is>
          <t>DESPA_DANRE</t>
        </is>
      </c>
      <c r="L1256" t="inlineStr">
        <is>
          <t>sp|A0A8M2BID5|DESPA_DANRE Desmoplakin-A OS=Danio rerio OX=7955 GN=dspa PE=2 SV=1</t>
        </is>
      </c>
      <c r="M1256" t="n">
        <v>2059</v>
      </c>
      <c r="N1256" t="inlineStr">
        <is>
          <t>Danio rerio</t>
        </is>
      </c>
      <c r="O1256" t="inlineStr">
        <is>
          <t>Desmoplakin-A</t>
        </is>
      </c>
    </row>
    <row r="1257">
      <c r="A1257" t="inlineStr"/>
      <c r="B1257" t="inlineStr"/>
      <c r="C1257" t="inlineStr"/>
      <c r="D1257" t="inlineStr"/>
      <c r="E1257">
        <f>HYPERLINK("https://www.uniprot.org/uniprotkb/O15020/entry", "O15020")</f>
        <v/>
      </c>
      <c r="F1257" t="n">
        <v>32</v>
      </c>
      <c r="G1257" t="n">
        <v>735</v>
      </c>
      <c r="H1257" t="n">
        <v>3.59e-84</v>
      </c>
      <c r="I1257" t="inlineStr">
        <is>
          <t>Swiss-Prot</t>
        </is>
      </c>
      <c r="J1257" t="inlineStr">
        <is>
          <t>SPTBN2</t>
        </is>
      </c>
      <c r="K1257" t="inlineStr">
        <is>
          <t>SPTN2_HUMAN</t>
        </is>
      </c>
      <c r="L1257" t="inlineStr">
        <is>
          <t>sp|O15020|SPTN2_HUMAN Spectrin beta chain, non-erythrocytic 2 OS=Homo sapiens OX=9606 GN=SPTBN2 PE=1 SV=3</t>
        </is>
      </c>
      <c r="M1257" t="n">
        <v>2390</v>
      </c>
      <c r="N1257" t="inlineStr">
        <is>
          <t>Homo sapiens</t>
        </is>
      </c>
      <c r="O1257" t="inlineStr">
        <is>
          <t>Spectrin beta chain, non-erythrocytic 2</t>
        </is>
      </c>
    </row>
    <row r="1258">
      <c r="A1258" t="inlineStr"/>
      <c r="B1258" t="inlineStr"/>
      <c r="C1258" t="inlineStr"/>
      <c r="D1258" t="inlineStr"/>
      <c r="E1258">
        <f>HYPERLINK("https://www.uniprot.org/uniprotkb/P11277/entry", "P11277")</f>
        <v/>
      </c>
      <c r="F1258" t="n">
        <v>32.7</v>
      </c>
      <c r="G1258" t="n">
        <v>732</v>
      </c>
      <c r="H1258" t="n">
        <v>1.2e-81</v>
      </c>
      <c r="I1258" t="inlineStr">
        <is>
          <t>Swiss-Prot</t>
        </is>
      </c>
      <c r="J1258" t="inlineStr">
        <is>
          <t>SPTB</t>
        </is>
      </c>
      <c r="K1258" t="inlineStr">
        <is>
          <t>SPTB1_HUMAN</t>
        </is>
      </c>
      <c r="L1258" t="inlineStr">
        <is>
          <t>sp|P11277|SPTB1_HUMAN Spectrin beta chain, erythrocytic OS=Homo sapiens OX=9606 GN=SPTB PE=1 SV=5</t>
        </is>
      </c>
      <c r="M1258" t="n">
        <v>2137</v>
      </c>
      <c r="N1258" t="inlineStr">
        <is>
          <t>Homo sapiens</t>
        </is>
      </c>
      <c r="O1258" t="inlineStr">
        <is>
          <t>Spectrin beta chain, erythrocytic</t>
        </is>
      </c>
    </row>
    <row r="1259">
      <c r="A1259" t="inlineStr"/>
      <c r="B1259" t="inlineStr"/>
      <c r="C1259" t="inlineStr"/>
      <c r="D1259" t="inlineStr"/>
      <c r="E1259">
        <f>HYPERLINK("https://www.uniprot.org/uniprotkb/Q9QWN8/entry", "Q9QWN8")</f>
        <v/>
      </c>
      <c r="F1259" t="n">
        <v>32.1</v>
      </c>
      <c r="G1259" t="n">
        <v>736</v>
      </c>
      <c r="H1259" t="n">
        <v>1.35e-81</v>
      </c>
      <c r="I1259" t="inlineStr">
        <is>
          <t>Swiss-Prot</t>
        </is>
      </c>
      <c r="J1259" t="inlineStr">
        <is>
          <t>Sptbn2</t>
        </is>
      </c>
      <c r="K1259" t="inlineStr">
        <is>
          <t>SPTN2_RAT</t>
        </is>
      </c>
      <c r="L1259" t="inlineStr">
        <is>
          <t>sp|Q9QWN8|SPTN2_RAT Spectrin beta chain, non-erythrocytic 2 OS=Rattus norvegicus OX=10116 GN=Sptbn2 PE=1 SV=2</t>
        </is>
      </c>
      <c r="M1259" t="n">
        <v>2388</v>
      </c>
      <c r="N1259" t="inlineStr">
        <is>
          <t>Rattus norvegicus</t>
        </is>
      </c>
      <c r="O1259" t="inlineStr">
        <is>
          <t>Spectrin beta chain, non-erythrocytic 2</t>
        </is>
      </c>
    </row>
    <row r="1260">
      <c r="A1260" t="inlineStr"/>
      <c r="B1260" t="inlineStr"/>
      <c r="C1260" t="inlineStr"/>
      <c r="D1260" t="inlineStr"/>
      <c r="E1260">
        <f>HYPERLINK("https://www.uniprot.org/uniprotkb/P15508/entry", "P15508")</f>
        <v/>
      </c>
      <c r="F1260" t="n">
        <v>33.2</v>
      </c>
      <c r="G1260" t="n">
        <v>732</v>
      </c>
      <c r="H1260" t="n">
        <v>8.549999999999999e-81</v>
      </c>
      <c r="I1260" t="inlineStr">
        <is>
          <t>Swiss-Prot</t>
        </is>
      </c>
      <c r="J1260" t="inlineStr">
        <is>
          <t>Sptb</t>
        </is>
      </c>
      <c r="K1260" t="inlineStr">
        <is>
          <t>SPTB1_MOUSE</t>
        </is>
      </c>
      <c r="L1260" t="inlineStr">
        <is>
          <t>sp|P15508|SPTB1_MOUSE Spectrin beta chain, erythrocytic OS=Mus musculus OX=10090 GN=Sptb PE=1 SV=4</t>
        </is>
      </c>
      <c r="M1260" t="n">
        <v>2128</v>
      </c>
      <c r="N1260" t="inlineStr">
        <is>
          <t>Mus musculus</t>
        </is>
      </c>
      <c r="O1260" t="inlineStr">
        <is>
          <t>Spectrin beta chain, erythrocytic</t>
        </is>
      </c>
    </row>
    <row r="1261">
      <c r="A1261" t="inlineStr"/>
      <c r="B1261" t="inlineStr"/>
      <c r="C1261" t="inlineStr"/>
      <c r="D1261" t="inlineStr"/>
      <c r="E1261">
        <f>HYPERLINK("https://www.uniprot.org/uniprotkb/Q01082/entry", "Q01082")</f>
        <v/>
      </c>
      <c r="F1261" t="n">
        <v>30.9</v>
      </c>
      <c r="G1261" t="n">
        <v>741</v>
      </c>
      <c r="H1261" t="n">
        <v>1.68e-80</v>
      </c>
      <c r="I1261" t="inlineStr">
        <is>
          <t>Swiss-Prot</t>
        </is>
      </c>
      <c r="J1261" t="inlineStr">
        <is>
          <t>SPTBN1</t>
        </is>
      </c>
      <c r="K1261" t="inlineStr">
        <is>
          <t>SPTB2_HUMAN</t>
        </is>
      </c>
      <c r="L1261" t="inlineStr">
        <is>
          <t>sp|Q01082|SPTB2_HUMAN Spectrin beta chain, non-erythrocytic 1 OS=Homo sapiens OX=9606 GN=SPTBN1 PE=1 SV=2</t>
        </is>
      </c>
      <c r="M1261" t="n">
        <v>2364</v>
      </c>
      <c r="N1261" t="inlineStr">
        <is>
          <t>Homo sapiens</t>
        </is>
      </c>
      <c r="O1261" t="inlineStr">
        <is>
          <t>Spectrin beta chain, non-erythrocytic 1</t>
        </is>
      </c>
    </row>
    <row r="1262">
      <c r="A1262" t="inlineStr"/>
      <c r="B1262" t="inlineStr"/>
      <c r="C1262" t="inlineStr"/>
      <c r="D1262" t="inlineStr"/>
      <c r="E1262">
        <f>HYPERLINK("https://www.uniprot.org/uniprotkb/Q62261/entry", "Q62261")</f>
        <v/>
      </c>
      <c r="F1262" t="n">
        <v>30.9</v>
      </c>
      <c r="G1262" t="n">
        <v>741</v>
      </c>
      <c r="H1262" t="n">
        <v>2.23e-80</v>
      </c>
      <c r="I1262" t="inlineStr">
        <is>
          <t>Swiss-Prot</t>
        </is>
      </c>
      <c r="J1262" t="inlineStr">
        <is>
          <t>Sptbn1</t>
        </is>
      </c>
      <c r="K1262" t="inlineStr">
        <is>
          <t>SPTB2_MOUSE</t>
        </is>
      </c>
      <c r="L1262" t="inlineStr">
        <is>
          <t>sp|Q62261|SPTB2_MOUSE Spectrin beta chain, non-erythrocytic 1 OS=Mus musculus OX=10090 GN=Sptbn1 PE=1 SV=2</t>
        </is>
      </c>
      <c r="M1262" t="n">
        <v>2363</v>
      </c>
      <c r="N1262" t="inlineStr">
        <is>
          <t>Mus musculus</t>
        </is>
      </c>
      <c r="O1262" t="inlineStr">
        <is>
          <t>Spectrin beta chain, non-erythrocytic 1</t>
        </is>
      </c>
    </row>
    <row r="1263">
      <c r="A1263" t="inlineStr"/>
      <c r="B1263" t="inlineStr"/>
      <c r="C1263" t="inlineStr"/>
      <c r="D1263" t="inlineStr"/>
      <c r="E1263">
        <f>HYPERLINK("https://www.uniprot.org/uniprotkb/Q00963/entry", "Q00963")</f>
        <v/>
      </c>
      <c r="F1263" t="n">
        <v>30.7</v>
      </c>
      <c r="G1263" t="n">
        <v>797</v>
      </c>
      <c r="H1263" t="n">
        <v>5.96e-78</v>
      </c>
      <c r="I1263" t="inlineStr">
        <is>
          <t>Swiss-Prot</t>
        </is>
      </c>
      <c r="J1263" t="inlineStr">
        <is>
          <t>beta-Spec</t>
        </is>
      </c>
      <c r="K1263" t="inlineStr">
        <is>
          <t>SPTCB_DROME</t>
        </is>
      </c>
      <c r="L1263" t="inlineStr">
        <is>
          <t>sp|Q00963|SPTCB_DROME Spectrin beta chain OS=Drosophila melanogaster OX=7227 GN=beta-Spec PE=1 SV=2</t>
        </is>
      </c>
      <c r="M1263" t="n">
        <v>2291</v>
      </c>
      <c r="N1263" t="inlineStr">
        <is>
          <t>Drosophila melanogaster</t>
        </is>
      </c>
      <c r="O1263" t="inlineStr">
        <is>
          <t>Spectrin beta chain</t>
        </is>
      </c>
    </row>
    <row r="1264">
      <c r="A1264" t="inlineStr"/>
      <c r="B1264" t="inlineStr"/>
      <c r="C1264" t="inlineStr"/>
      <c r="D1264" t="inlineStr"/>
      <c r="E1264">
        <f>HYPERLINK("https://www.uniprot.org/uniprotkb/Q9H254/entry", "Q9H254")</f>
        <v/>
      </c>
      <c r="F1264" t="n">
        <v>42.4</v>
      </c>
      <c r="G1264" t="n">
        <v>403</v>
      </c>
      <c r="H1264" t="n">
        <v>8.859999999999999e-74</v>
      </c>
      <c r="I1264" t="inlineStr">
        <is>
          <t>Swiss-Prot</t>
        </is>
      </c>
      <c r="J1264" t="inlineStr">
        <is>
          <t>SPTBN4</t>
        </is>
      </c>
      <c r="K1264" t="inlineStr">
        <is>
          <t>SPTN4_HUMAN</t>
        </is>
      </c>
      <c r="L1264" t="inlineStr">
        <is>
          <t>sp|Q9H254|SPTN4_HUMAN Spectrin beta chain, non-erythrocytic 4 OS=Homo sapiens OX=9606 GN=SPTBN4 PE=1 SV=2</t>
        </is>
      </c>
      <c r="M1264" t="n">
        <v>2564</v>
      </c>
      <c r="N1264" t="inlineStr">
        <is>
          <t>Homo sapiens</t>
        </is>
      </c>
      <c r="O1264" t="inlineStr">
        <is>
          <t>Spectrin beta chain, non-erythrocytic 4</t>
        </is>
      </c>
    </row>
    <row r="1265">
      <c r="A1265" t="inlineStr"/>
      <c r="B1265" t="inlineStr"/>
      <c r="C1265" t="inlineStr"/>
      <c r="D1265" t="inlineStr"/>
      <c r="E1265">
        <f>HYPERLINK("https://www.uniprot.org/uniprotkb/A5D7D1/entry", "A5D7D1")</f>
        <v/>
      </c>
      <c r="F1265" t="n">
        <v>37.9</v>
      </c>
      <c r="G1265" t="n">
        <v>390</v>
      </c>
      <c r="H1265" t="n">
        <v>1.09e-61</v>
      </c>
      <c r="I1265" t="inlineStr">
        <is>
          <t>Swiss-Prot</t>
        </is>
      </c>
      <c r="J1265" t="inlineStr">
        <is>
          <t>ACTN4</t>
        </is>
      </c>
      <c r="K1265" t="inlineStr">
        <is>
          <t>ACTN4_BOVIN</t>
        </is>
      </c>
      <c r="L1265" t="inlineStr">
        <is>
          <t>sp|A5D7D1|ACTN4_BOVIN Alpha-actinin-4 OS=Bos taurus OX=9913 GN=ACTN4 PE=2 SV=1</t>
        </is>
      </c>
      <c r="M1265" t="n">
        <v>911</v>
      </c>
      <c r="N1265" t="inlineStr">
        <is>
          <t>Bos taurus</t>
        </is>
      </c>
      <c r="O1265" t="inlineStr">
        <is>
          <t>Alpha-actinin-4</t>
        </is>
      </c>
    </row>
    <row r="1266">
      <c r="A1266" t="inlineStr"/>
      <c r="B1266" t="inlineStr"/>
      <c r="C1266" t="inlineStr"/>
      <c r="D1266" t="inlineStr"/>
      <c r="E1266">
        <f>HYPERLINK("https://www.uniprot.org/uniprotkb/Q9QXQ0/entry", "Q9QXQ0")</f>
        <v/>
      </c>
      <c r="F1266" t="n">
        <v>37.9</v>
      </c>
      <c r="G1266" t="n">
        <v>390</v>
      </c>
      <c r="H1266" t="n">
        <v>1.09e-61</v>
      </c>
      <c r="I1266" t="inlineStr">
        <is>
          <t>Swiss-Prot</t>
        </is>
      </c>
      <c r="J1266" t="inlineStr">
        <is>
          <t>Actn4</t>
        </is>
      </c>
      <c r="K1266" t="inlineStr">
        <is>
          <t>ACTN4_RAT</t>
        </is>
      </c>
      <c r="L1266" t="inlineStr">
        <is>
          <t>sp|Q9QXQ0|ACTN4_RAT Alpha-actinin-4 OS=Rattus norvegicus OX=10116 GN=Actn4 PE=1 SV=2</t>
        </is>
      </c>
      <c r="M1266" t="n">
        <v>911</v>
      </c>
      <c r="N1266" t="inlineStr">
        <is>
          <t>Rattus norvegicus</t>
        </is>
      </c>
      <c r="O1266" t="inlineStr">
        <is>
          <t>Alpha-actinin-4</t>
        </is>
      </c>
    </row>
    <row r="1267">
      <c r="A1267" t="inlineStr"/>
      <c r="B1267" t="inlineStr"/>
      <c r="C1267" t="inlineStr"/>
      <c r="D1267" t="inlineStr"/>
      <c r="E1267">
        <f>HYPERLINK("https://www.uniprot.org/uniprotkb/P57780/entry", "P57780")</f>
        <v/>
      </c>
      <c r="F1267" t="n">
        <v>37.9</v>
      </c>
      <c r="G1267" t="n">
        <v>390</v>
      </c>
      <c r="H1267" t="n">
        <v>1.1e-61</v>
      </c>
      <c r="I1267" t="inlineStr">
        <is>
          <t>Swiss-Prot</t>
        </is>
      </c>
      <c r="J1267" t="inlineStr">
        <is>
          <t>Actn4</t>
        </is>
      </c>
      <c r="K1267" t="inlineStr">
        <is>
          <t>ACTN4_MOUSE</t>
        </is>
      </c>
      <c r="L1267" t="inlineStr">
        <is>
          <t>sp|P57780|ACTN4_MOUSE Alpha-actinin-4 OS=Mus musculus OX=10090 GN=Actn4 PE=1 SV=1</t>
        </is>
      </c>
      <c r="M1267" t="n">
        <v>912</v>
      </c>
      <c r="N1267" t="inlineStr">
        <is>
          <t>Mus musculus</t>
        </is>
      </c>
      <c r="O1267" t="inlineStr">
        <is>
          <t>Alpha-actinin-4</t>
        </is>
      </c>
    </row>
    <row r="1268">
      <c r="A1268" t="inlineStr"/>
      <c r="B1268" t="inlineStr"/>
      <c r="C1268" t="inlineStr"/>
      <c r="D1268" t="inlineStr"/>
      <c r="E1268">
        <f>HYPERLINK("https://www.uniprot.org/uniprotkb/O43707/entry", "O43707")</f>
        <v/>
      </c>
      <c r="F1268" t="n">
        <v>37.4</v>
      </c>
      <c r="G1268" t="n">
        <v>390</v>
      </c>
      <c r="H1268" t="n">
        <v>1.46e-61</v>
      </c>
      <c r="I1268" t="inlineStr">
        <is>
          <t>Swiss-Prot</t>
        </is>
      </c>
      <c r="J1268" t="inlineStr">
        <is>
          <t>ACTN4</t>
        </is>
      </c>
      <c r="K1268" t="inlineStr">
        <is>
          <t>ACTN4_HUMAN</t>
        </is>
      </c>
      <c r="L1268" t="inlineStr">
        <is>
          <t>sp|O43707|ACTN4_HUMAN Alpha-actinin-4 OS=Homo sapiens OX=9606 GN=ACTN4 PE=1 SV=2</t>
        </is>
      </c>
      <c r="M1268" t="n">
        <v>911</v>
      </c>
      <c r="N1268" t="inlineStr">
        <is>
          <t>Homo sapiens</t>
        </is>
      </c>
      <c r="O1268" t="inlineStr">
        <is>
          <t>Alpha-actinin-4</t>
        </is>
      </c>
    </row>
    <row r="1269">
      <c r="A1269" t="inlineStr">
        <is>
          <t>NODE_12762_length_5745_cov_24.382881_g4509_i0</t>
        </is>
      </c>
      <c r="B1269" t="inlineStr">
        <is>
          <t>bombina_pachypus_blastx</t>
        </is>
      </c>
      <c r="C1269" t="n">
        <v>2.90282764328851</v>
      </c>
      <c r="D1269" t="n">
        <v>2.17686790142166e-07</v>
      </c>
      <c r="E1269">
        <f>HYPERLINK("https://www.ncbi.nlm.nih.gov/gene/?term=XP_053310391.1", "XP_053310391.1")</f>
        <v/>
      </c>
      <c r="F1269" t="n">
        <v>47.1</v>
      </c>
      <c r="G1269" t="n">
        <v>1213</v>
      </c>
      <c r="H1269" t="n">
        <v>0</v>
      </c>
      <c r="I1269" t="inlineStr">
        <is>
          <t>Nr</t>
        </is>
      </c>
      <c r="J1269" t="inlineStr"/>
      <c r="K1269" t="inlineStr"/>
      <c r="L1269" t="inlineStr">
        <is>
          <t>XP_053310391.1 uromodulin-like 1 [Spea bombifrons]</t>
        </is>
      </c>
      <c r="M1269" t="n">
        <v>1205</v>
      </c>
      <c r="N1269" t="inlineStr">
        <is>
          <t>Spea bombifrons</t>
        </is>
      </c>
      <c r="O1269" t="inlineStr">
        <is>
          <t>uromodulin-like 1</t>
        </is>
      </c>
    </row>
    <row r="1270">
      <c r="A1270" t="inlineStr"/>
      <c r="B1270" t="inlineStr"/>
      <c r="C1270" t="inlineStr"/>
      <c r="D1270" t="inlineStr"/>
      <c r="E1270">
        <f>HYPERLINK("https://www.ncbi.nlm.nih.gov/gene/?term=XP_018101362.2", "XP_018101362.2")</f>
        <v/>
      </c>
      <c r="F1270" t="n">
        <v>46.7</v>
      </c>
      <c r="G1270" t="n">
        <v>1159</v>
      </c>
      <c r="H1270" t="n">
        <v>0</v>
      </c>
      <c r="I1270" t="inlineStr">
        <is>
          <t>Nr</t>
        </is>
      </c>
      <c r="J1270" t="inlineStr"/>
      <c r="K1270" t="inlineStr"/>
      <c r="L1270" t="inlineStr">
        <is>
          <t>XP_018101362.2 uromodulin-like 1 [Xenopus laevis]</t>
        </is>
      </c>
      <c r="M1270" t="n">
        <v>1113</v>
      </c>
      <c r="N1270" t="inlineStr">
        <is>
          <t>Xenopus laevis</t>
        </is>
      </c>
      <c r="O1270" t="inlineStr">
        <is>
          <t>uromodulin-like 1</t>
        </is>
      </c>
    </row>
    <row r="1271">
      <c r="A1271" t="inlineStr"/>
      <c r="B1271" t="inlineStr"/>
      <c r="C1271" t="inlineStr"/>
      <c r="D1271" t="inlineStr"/>
      <c r="E1271">
        <f>HYPERLINK("https://www.uniprot.org/uniprotkb/A0A8J0UDE3/entry", "A0A8J0UDE3")</f>
        <v/>
      </c>
      <c r="F1271" t="n">
        <v>46.7</v>
      </c>
      <c r="G1271" t="n">
        <v>1159</v>
      </c>
      <c r="H1271" t="n">
        <v>0</v>
      </c>
      <c r="I1271" t="inlineStr">
        <is>
          <t>TrEMBL</t>
        </is>
      </c>
      <c r="J1271" t="inlineStr">
        <is>
          <t>LOC108707848</t>
        </is>
      </c>
      <c r="K1271" t="inlineStr">
        <is>
          <t>A0A8J0UDE3_XENLA</t>
        </is>
      </c>
      <c r="L1271" t="inlineStr">
        <is>
          <t>tr|A0A8J0UDE3|A0A8J0UDE3_XENLA uromodulin-like 1 OS=Xenopus laevis OX=8355 GN=LOC108707848 PE=4 SV=1</t>
        </is>
      </c>
      <c r="M1271" t="n">
        <v>1113</v>
      </c>
      <c r="N1271" t="inlineStr">
        <is>
          <t>Xenopus laevis</t>
        </is>
      </c>
      <c r="O1271" t="inlineStr">
        <is>
          <t>uromodulin-like 1</t>
        </is>
      </c>
    </row>
    <row r="1272">
      <c r="A1272" t="inlineStr"/>
      <c r="B1272" t="inlineStr"/>
      <c r="C1272" t="inlineStr"/>
      <c r="D1272" t="inlineStr"/>
      <c r="E1272">
        <f>HYPERLINK("https://www.ncbi.nlm.nih.gov/gene/?term=XP_040278012.1", "XP_040278012.1")</f>
        <v/>
      </c>
      <c r="F1272" t="n">
        <v>45.7</v>
      </c>
      <c r="G1272" t="n">
        <v>1140</v>
      </c>
      <c r="H1272" t="n">
        <v>8.580000000000024e-310</v>
      </c>
      <c r="I1272" t="inlineStr">
        <is>
          <t>Nr</t>
        </is>
      </c>
      <c r="J1272" t="inlineStr"/>
      <c r="K1272" t="inlineStr"/>
      <c r="L1272" t="inlineStr">
        <is>
          <t>XP_040278012.1 uromodulin-like 1 [Bufo bufo]</t>
        </is>
      </c>
      <c r="M1272" t="n">
        <v>1080</v>
      </c>
      <c r="N1272" t="inlineStr">
        <is>
          <t>Bufo bufo</t>
        </is>
      </c>
      <c r="O1272" t="inlineStr">
        <is>
          <t>uromodulin-like 1</t>
        </is>
      </c>
    </row>
    <row r="1273">
      <c r="A1273" t="inlineStr"/>
      <c r="B1273" t="inlineStr"/>
      <c r="C1273" t="inlineStr"/>
      <c r="D1273" t="inlineStr"/>
      <c r="E1273">
        <f>HYPERLINK("https://www.uniprot.org/uniprotkb/A0A8J0S6A1/entry", "A0A8J0S6A1")</f>
        <v/>
      </c>
      <c r="F1273" t="n">
        <v>45.8</v>
      </c>
      <c r="G1273" t="n">
        <v>1165</v>
      </c>
      <c r="H1273" t="n">
        <v>1.44e-308</v>
      </c>
      <c r="I1273" t="inlineStr">
        <is>
          <t>TrEMBL</t>
        </is>
      </c>
      <c r="J1273" t="inlineStr">
        <is>
          <t>umodl1</t>
        </is>
      </c>
      <c r="K1273" t="inlineStr">
        <is>
          <t>A0A8J0S6A1_XENTR</t>
        </is>
      </c>
      <c r="L1273" t="inlineStr">
        <is>
          <t>tr|A0A8J0S6A1|A0A8J0S6A1_XENTR uromodulin-like 1 isoform X1 OS=Xenopus tropicalis OX=8364 GN=umodl1 PE=4 SV=1</t>
        </is>
      </c>
      <c r="M1273" t="n">
        <v>1110</v>
      </c>
      <c r="N1273" t="inlineStr">
        <is>
          <t>Xenopus tropicalis</t>
        </is>
      </c>
      <c r="O1273" t="inlineStr">
        <is>
          <t>uromodulin-like 1 isoform X1</t>
        </is>
      </c>
    </row>
    <row r="1274">
      <c r="A1274" t="inlineStr"/>
      <c r="B1274" t="inlineStr"/>
      <c r="C1274" t="inlineStr"/>
      <c r="D1274" t="inlineStr"/>
      <c r="E1274">
        <f>HYPERLINK("https://www.ncbi.nlm.nih.gov/gene/?term=XP_012810077.1", "XP_012810077.1")</f>
        <v/>
      </c>
      <c r="F1274" t="n">
        <v>45.8</v>
      </c>
      <c r="G1274" t="n">
        <v>1165</v>
      </c>
      <c r="H1274" t="n">
        <v>3.69e-308</v>
      </c>
      <c r="I1274" t="inlineStr">
        <is>
          <t>Nr</t>
        </is>
      </c>
      <c r="J1274" t="inlineStr"/>
      <c r="K1274" t="inlineStr"/>
      <c r="L1274" t="inlineStr">
        <is>
          <t>XP_012810077.1 uromodulin-like 1 isoform X1 [Xenopus tropicalis]</t>
        </is>
      </c>
      <c r="M1274" t="n">
        <v>1110</v>
      </c>
      <c r="N1274" t="inlineStr">
        <is>
          <t>Xenopus tropicalis</t>
        </is>
      </c>
      <c r="O1274" t="inlineStr">
        <is>
          <t>uromodulin-like 1 isoform X1</t>
        </is>
      </c>
    </row>
    <row r="1275">
      <c r="A1275" t="inlineStr"/>
      <c r="B1275" t="inlineStr"/>
      <c r="C1275" t="inlineStr"/>
      <c r="D1275" t="inlineStr"/>
      <c r="E1275">
        <f>HYPERLINK("https://www.ncbi.nlm.nih.gov/gene/?term=XP_040194960.1", "XP_040194960.1")</f>
        <v/>
      </c>
      <c r="F1275" t="n">
        <v>44</v>
      </c>
      <c r="G1275" t="n">
        <v>1197</v>
      </c>
      <c r="H1275" t="n">
        <v>4.18e-308</v>
      </c>
      <c r="I1275" t="inlineStr">
        <is>
          <t>Nr</t>
        </is>
      </c>
      <c r="J1275" t="inlineStr"/>
      <c r="K1275" t="inlineStr"/>
      <c r="L1275" t="inlineStr">
        <is>
          <t>XP_040194960.1 uromodulin-like 1 [Rana temporaria]</t>
        </is>
      </c>
      <c r="M1275" t="n">
        <v>1167</v>
      </c>
      <c r="N1275" t="inlineStr">
        <is>
          <t>Rana temporaria</t>
        </is>
      </c>
      <c r="O1275" t="inlineStr">
        <is>
          <t>uromodulin-like 1</t>
        </is>
      </c>
    </row>
    <row r="1276">
      <c r="A1276" t="inlineStr"/>
      <c r="B1276" t="inlineStr"/>
      <c r="C1276" t="inlineStr"/>
      <c r="D1276" t="inlineStr"/>
      <c r="E1276">
        <f>HYPERLINK("https://www.uniprot.org/uniprotkb/A0A8C5LZ37/entry", "A0A8C5LZ37")</f>
        <v/>
      </c>
      <c r="F1276" t="n">
        <v>43.4</v>
      </c>
      <c r="G1276" t="n">
        <v>1175</v>
      </c>
      <c r="H1276" t="n">
        <v>3.61e-302</v>
      </c>
      <c r="I1276" t="inlineStr">
        <is>
          <t>TrEMBL</t>
        </is>
      </c>
      <c r="J1276" t="inlineStr">
        <is>
          <t>UMODL1</t>
        </is>
      </c>
      <c r="K1276" t="inlineStr">
        <is>
          <t>A0A8C5LZ37_9ANUR</t>
        </is>
      </c>
      <c r="L1276" t="inlineStr">
        <is>
          <t>tr|A0A8C5LZ37|A0A8C5LZ37_9ANUR Uromodulin like 1 OS=Leptobrachium leishanense OX=445787 GN=UMODL1 PE=4 SV=1</t>
        </is>
      </c>
      <c r="M1276" t="n">
        <v>1137</v>
      </c>
      <c r="N1276" t="inlineStr">
        <is>
          <t>Leptobrachium leishanense</t>
        </is>
      </c>
      <c r="O1276" t="inlineStr">
        <is>
          <t>Uromodulin like 1</t>
        </is>
      </c>
    </row>
    <row r="1277">
      <c r="A1277" t="inlineStr"/>
      <c r="B1277" t="inlineStr"/>
      <c r="C1277" t="inlineStr"/>
      <c r="D1277" t="inlineStr"/>
      <c r="E1277">
        <f>HYPERLINK("https://www.ncbi.nlm.nih.gov/gene/?term=OCT93714.1", "OCT93714.1")</f>
        <v/>
      </c>
      <c r="F1277" t="n">
        <v>45.6</v>
      </c>
      <c r="G1277" t="n">
        <v>1143</v>
      </c>
      <c r="H1277" t="n">
        <v>9.279999999999999e-298</v>
      </c>
      <c r="I1277" t="inlineStr">
        <is>
          <t>Nr</t>
        </is>
      </c>
      <c r="J1277" t="inlineStr"/>
      <c r="K1277" t="inlineStr"/>
      <c r="L1277" t="inlineStr">
        <is>
          <t>OCT93714.1 hypothetical protein XELAEV_18011390mg [Xenopus laevis]</t>
        </is>
      </c>
      <c r="M1277" t="n">
        <v>1069</v>
      </c>
      <c r="N1277" t="inlineStr">
        <is>
          <t>Xenopus laevis</t>
        </is>
      </c>
      <c r="O1277" t="inlineStr">
        <is>
          <t>hypothetical protein XELAEV_18011390mg</t>
        </is>
      </c>
    </row>
    <row r="1278">
      <c r="A1278" t="inlineStr"/>
      <c r="B1278" t="inlineStr"/>
      <c r="C1278" t="inlineStr"/>
      <c r="D1278" t="inlineStr"/>
      <c r="E1278">
        <f>HYPERLINK("https://www.ncbi.nlm.nih.gov/gene/?term=XP_018423109.1", "XP_018423109.1")</f>
        <v/>
      </c>
      <c r="F1278" t="n">
        <v>40.5</v>
      </c>
      <c r="G1278" t="n">
        <v>1189</v>
      </c>
      <c r="H1278" t="n">
        <v>3.38e-266</v>
      </c>
      <c r="I1278" t="inlineStr">
        <is>
          <t>Nr</t>
        </is>
      </c>
      <c r="J1278" t="inlineStr"/>
      <c r="K1278" t="inlineStr"/>
      <c r="L1278" t="inlineStr">
        <is>
          <t>XP_018423109.1 PREDICTED: uromodulin-like 1 [Nanorana parkeri]</t>
        </is>
      </c>
      <c r="M1278" t="n">
        <v>1181</v>
      </c>
      <c r="N1278" t="inlineStr">
        <is>
          <t>Nanorana parkeri</t>
        </is>
      </c>
      <c r="O1278" t="inlineStr">
        <is>
          <t>PREDICTED: uromodulin-like 1</t>
        </is>
      </c>
    </row>
    <row r="1279">
      <c r="A1279" t="inlineStr"/>
      <c r="B1279" t="inlineStr"/>
      <c r="C1279" t="inlineStr"/>
      <c r="D1279" t="inlineStr"/>
      <c r="E1279">
        <f>HYPERLINK("https://www.ncbi.nlm.nih.gov/gene/?term=XP_044141683.1", "XP_044141683.1")</f>
        <v/>
      </c>
      <c r="F1279" t="n">
        <v>38.5</v>
      </c>
      <c r="G1279" t="n">
        <v>1142</v>
      </c>
      <c r="H1279" t="n">
        <v>3.29e-225</v>
      </c>
      <c r="I1279" t="inlineStr">
        <is>
          <t>Nr</t>
        </is>
      </c>
      <c r="J1279" t="inlineStr"/>
      <c r="K1279" t="inlineStr"/>
      <c r="L1279" t="inlineStr">
        <is>
          <t>XP_044141683.1 uromodulin-like 1 [Bufo gargarizans]</t>
        </is>
      </c>
      <c r="M1279" t="n">
        <v>916</v>
      </c>
      <c r="N1279" t="inlineStr">
        <is>
          <t>Bufo gargarizans</t>
        </is>
      </c>
      <c r="O1279" t="inlineStr">
        <is>
          <t>uromodulin-like 1</t>
        </is>
      </c>
    </row>
    <row r="1280">
      <c r="A1280" t="inlineStr"/>
      <c r="B1280" t="inlineStr"/>
      <c r="C1280" t="inlineStr"/>
      <c r="D1280" t="inlineStr"/>
      <c r="E1280">
        <f>HYPERLINK("https://www.ncbi.nlm.nih.gov/gene/?term=XP_014736098.1", "XP_014736098.1")</f>
        <v/>
      </c>
      <c r="F1280" t="n">
        <v>36.3</v>
      </c>
      <c r="G1280" t="n">
        <v>1205</v>
      </c>
      <c r="H1280" t="n">
        <v>6.39e-214</v>
      </c>
      <c r="I1280" t="inlineStr">
        <is>
          <t>Nr</t>
        </is>
      </c>
      <c r="J1280" t="inlineStr"/>
      <c r="K1280" t="inlineStr"/>
      <c r="L1280" t="inlineStr">
        <is>
          <t>XP_014736098.1 PREDICTED: uromodulin-like 1 [Sturnus vulgaris]</t>
        </is>
      </c>
      <c r="M1280" t="n">
        <v>1240</v>
      </c>
      <c r="N1280" t="inlineStr">
        <is>
          <t>Sturnus vulgaris</t>
        </is>
      </c>
      <c r="O1280" t="inlineStr">
        <is>
          <t>PREDICTED: uromodulin-like 1</t>
        </is>
      </c>
    </row>
    <row r="1281">
      <c r="A1281" t="inlineStr"/>
      <c r="B1281" t="inlineStr"/>
      <c r="C1281" t="inlineStr"/>
      <c r="D1281" t="inlineStr"/>
      <c r="E1281">
        <f>HYPERLINK("https://www.ncbi.nlm.nih.gov/gene/?term=XP_050838020.1", "XP_050838020.1")</f>
        <v/>
      </c>
      <c r="F1281" t="n">
        <v>35.5</v>
      </c>
      <c r="G1281" t="n">
        <v>1208</v>
      </c>
      <c r="H1281" t="n">
        <v>1.2e-210</v>
      </c>
      <c r="I1281" t="inlineStr">
        <is>
          <t>Nr</t>
        </is>
      </c>
      <c r="J1281" t="inlineStr"/>
      <c r="K1281" t="inlineStr"/>
      <c r="L1281" t="inlineStr">
        <is>
          <t>XP_050838020.1 uromodulin-like 1 isoform X1 [Serinus canaria]</t>
        </is>
      </c>
      <c r="M1281" t="n">
        <v>1204</v>
      </c>
      <c r="N1281" t="inlineStr">
        <is>
          <t>Serinus canaria</t>
        </is>
      </c>
      <c r="O1281" t="inlineStr">
        <is>
          <t>uromodulin-like 1 isoform X1</t>
        </is>
      </c>
    </row>
    <row r="1282">
      <c r="A1282" t="inlineStr"/>
      <c r="B1282" t="inlineStr"/>
      <c r="C1282" t="inlineStr"/>
      <c r="D1282" t="inlineStr"/>
      <c r="E1282">
        <f>HYPERLINK("https://www.uniprot.org/uniprotkb/B3DM56/entry", "B3DM56")</f>
        <v/>
      </c>
      <c r="F1282" t="n">
        <v>42.7</v>
      </c>
      <c r="G1282" t="n">
        <v>967</v>
      </c>
      <c r="H1282" t="n">
        <v>2.57e-210</v>
      </c>
      <c r="I1282" t="inlineStr">
        <is>
          <t>TrEMBL</t>
        </is>
      </c>
      <c r="J1282" t="inlineStr">
        <is>
          <t>LOC100170606</t>
        </is>
      </c>
      <c r="K1282" t="inlineStr">
        <is>
          <t>B3DM56_XENTR</t>
        </is>
      </c>
      <c r="L1282" t="inlineStr">
        <is>
          <t>tr|B3DM56|B3DM56_XENTR LOC100170606 protein OS=Xenopus tropicalis OX=8364 GN=LOC100170606 PE=2 SV=1</t>
        </is>
      </c>
      <c r="M1282" t="n">
        <v>911</v>
      </c>
      <c r="N1282" t="inlineStr">
        <is>
          <t>Xenopus tropicalis</t>
        </is>
      </c>
      <c r="O1282" t="inlineStr">
        <is>
          <t>LOC100170606 protein</t>
        </is>
      </c>
    </row>
    <row r="1283">
      <c r="A1283" t="inlineStr"/>
      <c r="B1283" t="inlineStr"/>
      <c r="C1283" t="inlineStr"/>
      <c r="D1283" t="inlineStr"/>
      <c r="E1283">
        <f>HYPERLINK("https://www.ncbi.nlm.nih.gov/gene/?term=AAI67710.1", "AAI67710.1")</f>
        <v/>
      </c>
      <c r="F1283" t="n">
        <v>42.7</v>
      </c>
      <c r="G1283" t="n">
        <v>967</v>
      </c>
      <c r="H1283" t="n">
        <v>6.61e-210</v>
      </c>
      <c r="I1283" t="inlineStr">
        <is>
          <t>Nr</t>
        </is>
      </c>
      <c r="J1283" t="inlineStr"/>
      <c r="K1283" t="inlineStr"/>
      <c r="L1283" t="inlineStr">
        <is>
          <t>AAI67710.1 LOC100170606 protein [Xenopus tropicalis]</t>
        </is>
      </c>
      <c r="M1283" t="n">
        <v>911</v>
      </c>
      <c r="N1283" t="inlineStr">
        <is>
          <t>Xenopus tropicalis</t>
        </is>
      </c>
      <c r="O1283" t="inlineStr">
        <is>
          <t>LOC100170606 protein</t>
        </is>
      </c>
    </row>
    <row r="1284">
      <c r="A1284" t="inlineStr"/>
      <c r="B1284" t="inlineStr"/>
      <c r="C1284" t="inlineStr"/>
      <c r="D1284" t="inlineStr"/>
      <c r="E1284">
        <f>HYPERLINK("https://www.uniprot.org/uniprotkb/A0A6I8PQ09/entry", "A0A6I8PQ09")</f>
        <v/>
      </c>
      <c r="F1284" t="n">
        <v>42.4</v>
      </c>
      <c r="G1284" t="n">
        <v>964</v>
      </c>
      <c r="H1284" t="n">
        <v>2.84e-209</v>
      </c>
      <c r="I1284" t="inlineStr">
        <is>
          <t>TrEMBL</t>
        </is>
      </c>
      <c r="J1284" t="inlineStr">
        <is>
          <t>umodl1</t>
        </is>
      </c>
      <c r="K1284" t="inlineStr">
        <is>
          <t>A0A6I8PQ09_XENTR</t>
        </is>
      </c>
      <c r="L1284" t="inlineStr">
        <is>
          <t>tr|A0A6I8PQ09|A0A6I8PQ09_XENTR Uromodulin-like 1 OS=Xenopus tropicalis OX=8364 GN=umodl1 PE=4 SV=1</t>
        </is>
      </c>
      <c r="M1284" t="n">
        <v>911</v>
      </c>
      <c r="N1284" t="inlineStr">
        <is>
          <t>Xenopus tropicalis</t>
        </is>
      </c>
      <c r="O1284" t="inlineStr">
        <is>
          <t>Uromodulin-like 1</t>
        </is>
      </c>
    </row>
    <row r="1285">
      <c r="A1285" t="inlineStr"/>
      <c r="B1285" t="inlineStr"/>
      <c r="C1285" t="inlineStr"/>
      <c r="D1285" t="inlineStr"/>
      <c r="E1285">
        <f>HYPERLINK("https://www.ncbi.nlm.nih.gov/gene/?term=XP_010215637.1", "XP_010215637.1")</f>
        <v/>
      </c>
      <c r="F1285" t="n">
        <v>35.8</v>
      </c>
      <c r="G1285" t="n">
        <v>1236</v>
      </c>
      <c r="H1285" t="n">
        <v>3.35e-209</v>
      </c>
      <c r="I1285" t="inlineStr">
        <is>
          <t>Nr</t>
        </is>
      </c>
      <c r="J1285" t="inlineStr"/>
      <c r="K1285" t="inlineStr"/>
      <c r="L1285" t="inlineStr">
        <is>
          <t>XP_010215637.1 PREDICTED: uromodulin-like 1 [Tinamus guttatus]</t>
        </is>
      </c>
      <c r="M1285" t="n">
        <v>1226</v>
      </c>
      <c r="N1285" t="inlineStr">
        <is>
          <t>Tinamus guttatus</t>
        </is>
      </c>
      <c r="O1285" t="inlineStr">
        <is>
          <t>PREDICTED: uromodulin-like 1</t>
        </is>
      </c>
    </row>
    <row r="1286">
      <c r="A1286" t="inlineStr"/>
      <c r="B1286" t="inlineStr"/>
      <c r="C1286" t="inlineStr"/>
      <c r="D1286" t="inlineStr"/>
      <c r="E1286">
        <f>HYPERLINK("https://www.ncbi.nlm.nih.gov/gene/?term=XP_031752389.1", "XP_031752389.1")</f>
        <v/>
      </c>
      <c r="F1286" t="n">
        <v>42.4</v>
      </c>
      <c r="G1286" t="n">
        <v>964</v>
      </c>
      <c r="H1286" t="n">
        <v>7.3e-209</v>
      </c>
      <c r="I1286" t="inlineStr">
        <is>
          <t>Nr</t>
        </is>
      </c>
      <c r="J1286" t="inlineStr"/>
      <c r="K1286" t="inlineStr"/>
      <c r="L1286" t="inlineStr">
        <is>
          <t>XP_031752389.1 uromodulin-like 1 isoform X2 [Xenopus tropicalis]</t>
        </is>
      </c>
      <c r="M1286" t="n">
        <v>911</v>
      </c>
      <c r="N1286" t="inlineStr">
        <is>
          <t>Xenopus tropicalis</t>
        </is>
      </c>
      <c r="O1286" t="inlineStr">
        <is>
          <t>uromodulin-like 1 isoform X2</t>
        </is>
      </c>
    </row>
    <row r="1287">
      <c r="A1287" t="inlineStr"/>
      <c r="B1287" t="inlineStr"/>
      <c r="C1287" t="inlineStr"/>
      <c r="D1287" t="inlineStr"/>
      <c r="E1287">
        <f>HYPERLINK("https://www.ncbi.nlm.nih.gov/gene/?term=XP_050838128.1", "XP_050838128.1")</f>
        <v/>
      </c>
      <c r="F1287" t="n">
        <v>35.6</v>
      </c>
      <c r="G1287" t="n">
        <v>1189</v>
      </c>
      <c r="H1287" t="n">
        <v>3.3e-208</v>
      </c>
      <c r="I1287" t="inlineStr">
        <is>
          <t>Nr</t>
        </is>
      </c>
      <c r="J1287" t="inlineStr"/>
      <c r="K1287" t="inlineStr"/>
      <c r="L1287" t="inlineStr">
        <is>
          <t>XP_050838128.1 uromodulin-like 1 isoform X2 [Serinus canaria]</t>
        </is>
      </c>
      <c r="M1287" t="n">
        <v>1185</v>
      </c>
      <c r="N1287" t="inlineStr">
        <is>
          <t>Serinus canaria</t>
        </is>
      </c>
      <c r="O1287" t="inlineStr">
        <is>
          <t>uromodulin-like 1 isoform X2</t>
        </is>
      </c>
    </row>
    <row r="1288">
      <c r="A1288" t="inlineStr"/>
      <c r="B1288" t="inlineStr"/>
      <c r="C1288" t="inlineStr"/>
      <c r="D1288" t="inlineStr"/>
      <c r="E1288">
        <f>HYPERLINK("https://www.uniprot.org/uniprotkb/A0A6I8PSU7/entry", "A0A6I8PSU7")</f>
        <v/>
      </c>
      <c r="F1288" t="n">
        <v>42.3</v>
      </c>
      <c r="G1288" t="n">
        <v>959</v>
      </c>
      <c r="H1288" t="n">
        <v>5.51e-207</v>
      </c>
      <c r="I1288" t="inlineStr">
        <is>
          <t>TrEMBL</t>
        </is>
      </c>
      <c r="J1288" t="inlineStr">
        <is>
          <t>umodl1</t>
        </is>
      </c>
      <c r="K1288" t="inlineStr">
        <is>
          <t>A0A6I8PSU7_XENTR</t>
        </is>
      </c>
      <c r="L1288" t="inlineStr">
        <is>
          <t>tr|A0A6I8PSU7|A0A6I8PSU7_XENTR Uromodulin-like 1 OS=Xenopus tropicalis OX=8364 GN=umodl1 PE=4 SV=1</t>
        </is>
      </c>
      <c r="M1288" t="n">
        <v>915</v>
      </c>
      <c r="N1288" t="inlineStr">
        <is>
          <t>Xenopus tropicalis</t>
        </is>
      </c>
      <c r="O1288" t="inlineStr">
        <is>
          <t>Uromodulin-like 1</t>
        </is>
      </c>
    </row>
    <row r="1289">
      <c r="A1289" t="inlineStr"/>
      <c r="B1289" t="inlineStr"/>
      <c r="C1289" t="inlineStr"/>
      <c r="D1289" t="inlineStr"/>
      <c r="E1289">
        <f>HYPERLINK("https://www.uniprot.org/uniprotkb/A0A8N5HVF0/entry", "A0A8N5HVF0")</f>
        <v/>
      </c>
      <c r="F1289" t="n">
        <v>36.4</v>
      </c>
      <c r="G1289" t="n">
        <v>1136</v>
      </c>
      <c r="H1289" t="n">
        <v>4.07e-204</v>
      </c>
      <c r="I1289" t="inlineStr">
        <is>
          <t>TrEMBL</t>
        </is>
      </c>
      <c r="J1289" t="inlineStr">
        <is>
          <t>UMODL1</t>
        </is>
      </c>
      <c r="K1289" t="inlineStr">
        <is>
          <t>A0A8N5HVF0_GEOFO</t>
        </is>
      </c>
      <c r="L1289" t="inlineStr">
        <is>
          <t>tr|A0A8N5HVF0|A0A8N5HVF0_GEOFO uromodulin-like 1 OS=Geospiza fortis OX=48883 GN=UMODL1 PE=4 SV=1</t>
        </is>
      </c>
      <c r="M1289" t="n">
        <v>1104</v>
      </c>
      <c r="N1289" t="inlineStr">
        <is>
          <t>Geospiza fortis</t>
        </is>
      </c>
      <c r="O1289" t="inlineStr">
        <is>
          <t>uromodulin-like 1</t>
        </is>
      </c>
    </row>
    <row r="1290">
      <c r="A1290" t="inlineStr"/>
      <c r="B1290" t="inlineStr"/>
      <c r="C1290" t="inlineStr"/>
      <c r="D1290" t="inlineStr"/>
      <c r="E1290">
        <f>HYPERLINK("https://www.ncbi.nlm.nih.gov/gene/?term=XP_030918007.1", "XP_030918007.1")</f>
        <v/>
      </c>
      <c r="F1290" t="n">
        <v>36.4</v>
      </c>
      <c r="G1290" t="n">
        <v>1136</v>
      </c>
      <c r="H1290" t="n">
        <v>1.05e-203</v>
      </c>
      <c r="I1290" t="inlineStr">
        <is>
          <t>Nr</t>
        </is>
      </c>
      <c r="J1290" t="inlineStr"/>
      <c r="K1290" t="inlineStr"/>
      <c r="L1290" t="inlineStr">
        <is>
          <t>XP_030918007.1 uromodulin-like 1 [Geospiza fortis]</t>
        </is>
      </c>
      <c r="M1290" t="n">
        <v>1104</v>
      </c>
      <c r="N1290" t="inlineStr">
        <is>
          <t>Geospiza fortis</t>
        </is>
      </c>
      <c r="O1290" t="inlineStr">
        <is>
          <t>uromodulin-like 1</t>
        </is>
      </c>
    </row>
    <row r="1291">
      <c r="A1291" t="inlineStr"/>
      <c r="B1291" t="inlineStr"/>
      <c r="C1291" t="inlineStr"/>
      <c r="D1291" t="inlineStr"/>
      <c r="E1291">
        <f>HYPERLINK("https://www.ncbi.nlm.nih.gov/gene/?term=XP_021261993.1", "XP_021261993.1")</f>
        <v/>
      </c>
      <c r="F1291" t="n">
        <v>33.3</v>
      </c>
      <c r="G1291" t="n">
        <v>1360</v>
      </c>
      <c r="H1291" t="n">
        <v>4.77e-202</v>
      </c>
      <c r="I1291" t="inlineStr">
        <is>
          <t>Nr</t>
        </is>
      </c>
      <c r="J1291" t="inlineStr"/>
      <c r="K1291" t="inlineStr"/>
      <c r="L1291" t="inlineStr">
        <is>
          <t>XP_021261993.1 uromodulin-like 1 isoform X2 [Numida meleagris]</t>
        </is>
      </c>
      <c r="M1291" t="n">
        <v>1350</v>
      </c>
      <c r="N1291" t="inlineStr">
        <is>
          <t>Numida meleagris</t>
        </is>
      </c>
      <c r="O1291" t="inlineStr">
        <is>
          <t>uromodulin-like 1 isoform X2</t>
        </is>
      </c>
    </row>
    <row r="1292">
      <c r="A1292" t="inlineStr"/>
      <c r="B1292" t="inlineStr"/>
      <c r="C1292" t="inlineStr"/>
      <c r="D1292" t="inlineStr"/>
      <c r="E1292">
        <f>HYPERLINK("https://www.uniprot.org/uniprotkb/A0A8C0IVR6/entry", "A0A8C0IVR6")</f>
        <v/>
      </c>
      <c r="F1292" t="n">
        <v>36</v>
      </c>
      <c r="G1292" t="n">
        <v>1254</v>
      </c>
      <c r="H1292" t="n">
        <v>2.86e-201</v>
      </c>
      <c r="I1292" t="inlineStr">
        <is>
          <t>TrEMBL</t>
        </is>
      </c>
      <c r="J1292" t="inlineStr">
        <is>
          <t>UMODL1</t>
        </is>
      </c>
      <c r="K1292" t="inlineStr">
        <is>
          <t>A0A8C0IVR6_CHEAB</t>
        </is>
      </c>
      <c r="L1292" t="inlineStr">
        <is>
          <t>tr|A0A8C0IVR6|A0A8C0IVR6_CHEAB Uromodulin like 1 OS=Chelonoidis abingdonii OX=106734 GN=UMODL1 PE=4 SV=1</t>
        </is>
      </c>
      <c r="M1292" t="n">
        <v>1219</v>
      </c>
      <c r="N1292" t="inlineStr">
        <is>
          <t>Chelonoidis abingdonii</t>
        </is>
      </c>
      <c r="O1292" t="inlineStr">
        <is>
          <t>Uromodulin like 1</t>
        </is>
      </c>
    </row>
    <row r="1293">
      <c r="A1293" t="inlineStr"/>
      <c r="B1293" t="inlineStr"/>
      <c r="C1293" t="inlineStr"/>
      <c r="D1293" t="inlineStr"/>
      <c r="E1293">
        <f>HYPERLINK("https://www.ncbi.nlm.nih.gov/gene/?term=XP_033369860.1", "XP_033369860.1")</f>
        <v/>
      </c>
      <c r="F1293" t="n">
        <v>35</v>
      </c>
      <c r="G1293" t="n">
        <v>1178</v>
      </c>
      <c r="H1293" t="n">
        <v>6.24e-200</v>
      </c>
      <c r="I1293" t="inlineStr">
        <is>
          <t>Nr</t>
        </is>
      </c>
      <c r="J1293" t="inlineStr"/>
      <c r="K1293" t="inlineStr"/>
      <c r="L1293" t="inlineStr">
        <is>
          <t>XP_033369860.1 uromodulin-like 1 [Parus major]</t>
        </is>
      </c>
      <c r="M1293" t="n">
        <v>1147</v>
      </c>
      <c r="N1293" t="inlineStr">
        <is>
          <t>Parus major</t>
        </is>
      </c>
      <c r="O1293" t="inlineStr">
        <is>
          <t>uromodulin-like 1</t>
        </is>
      </c>
    </row>
    <row r="1294">
      <c r="A1294" t="inlineStr"/>
      <c r="B1294" t="inlineStr"/>
      <c r="C1294" t="inlineStr"/>
      <c r="D1294" t="inlineStr"/>
      <c r="E1294">
        <f>HYPERLINK("https://www.uniprot.org/uniprotkb/A0A6J0GWI9/entry", "A0A6J0GWI9")</f>
        <v/>
      </c>
      <c r="F1294" t="n">
        <v>32.6</v>
      </c>
      <c r="G1294" t="n">
        <v>1357</v>
      </c>
      <c r="H1294" t="n">
        <v>8.800000000000001e-200</v>
      </c>
      <c r="I1294" t="inlineStr">
        <is>
          <t>TrEMBL</t>
        </is>
      </c>
      <c r="J1294" t="inlineStr">
        <is>
          <t>UMODL1</t>
        </is>
      </c>
      <c r="K1294" t="inlineStr">
        <is>
          <t>A0A6J0GWI9_9PASS</t>
        </is>
      </c>
      <c r="L1294" t="inlineStr">
        <is>
          <t>tr|A0A6J0GWI9|A0A6J0GWI9_9PASS uromodulin-like 1 OS=Lepidothrix coronata OX=321398 GN=UMODL1 PE=4 SV=1</t>
        </is>
      </c>
      <c r="M1294" t="n">
        <v>1339</v>
      </c>
      <c r="N1294" t="inlineStr">
        <is>
          <t>Lepidothrix coronata</t>
        </is>
      </c>
      <c r="O1294" t="inlineStr">
        <is>
          <t>uromodulin-like 1</t>
        </is>
      </c>
    </row>
    <row r="1295">
      <c r="A1295" t="inlineStr"/>
      <c r="B1295" t="inlineStr"/>
      <c r="C1295" t="inlineStr"/>
      <c r="D1295" t="inlineStr"/>
      <c r="E1295">
        <f>HYPERLINK("https://www.ncbi.nlm.nih.gov/gene/?term=XP_017666372.1", "XP_017666372.1")</f>
        <v/>
      </c>
      <c r="F1295" t="n">
        <v>32.6</v>
      </c>
      <c r="G1295" t="n">
        <v>1357</v>
      </c>
      <c r="H1295" t="n">
        <v>2.26e-199</v>
      </c>
      <c r="I1295" t="inlineStr">
        <is>
          <t>Nr</t>
        </is>
      </c>
      <c r="J1295" t="inlineStr"/>
      <c r="K1295" t="inlineStr"/>
      <c r="L1295" t="inlineStr">
        <is>
          <t>XP_017666372.1 PREDICTED: uromodulin-like 1 [Lepidothrix coronata]</t>
        </is>
      </c>
      <c r="M1295" t="n">
        <v>1339</v>
      </c>
      <c r="N1295" t="inlineStr">
        <is>
          <t>Lepidothrix coronata</t>
        </is>
      </c>
      <c r="O1295" t="inlineStr">
        <is>
          <t>PREDICTED: uromodulin-like 1</t>
        </is>
      </c>
    </row>
    <row r="1296">
      <c r="A1296" t="inlineStr"/>
      <c r="B1296" t="inlineStr"/>
      <c r="C1296" t="inlineStr"/>
      <c r="D1296" t="inlineStr"/>
      <c r="E1296">
        <f>HYPERLINK("https://www.ncbi.nlm.nih.gov/gene/?term=XP_051626826.1", "XP_051626826.1")</f>
        <v/>
      </c>
      <c r="F1296" t="n">
        <v>32.4</v>
      </c>
      <c r="G1296" t="n">
        <v>1355</v>
      </c>
      <c r="H1296" t="n">
        <v>3.33e-199</v>
      </c>
      <c r="I1296" t="inlineStr">
        <is>
          <t>Nr</t>
        </is>
      </c>
      <c r="J1296" t="inlineStr"/>
      <c r="K1296" t="inlineStr"/>
      <c r="L1296" t="inlineStr">
        <is>
          <t>XP_051626826.1 uromodulin-like 1 [Manacus candei]</t>
        </is>
      </c>
      <c r="M1296" t="n">
        <v>1341</v>
      </c>
      <c r="N1296" t="inlineStr">
        <is>
          <t>Manacus candei</t>
        </is>
      </c>
      <c r="O1296" t="inlineStr">
        <is>
          <t>uromodulin-like 1</t>
        </is>
      </c>
    </row>
    <row r="1297">
      <c r="A1297" t="inlineStr"/>
      <c r="B1297" t="inlineStr"/>
      <c r="C1297" t="inlineStr"/>
      <c r="D1297" t="inlineStr"/>
      <c r="E1297">
        <f>HYPERLINK("https://www.ncbi.nlm.nih.gov/gene/?term=XP_050838174.1", "XP_050838174.1")</f>
        <v/>
      </c>
      <c r="F1297" t="n">
        <v>35.3</v>
      </c>
      <c r="G1297" t="n">
        <v>1167</v>
      </c>
      <c r="H1297" t="n">
        <v>4.03e-199</v>
      </c>
      <c r="I1297" t="inlineStr">
        <is>
          <t>Nr</t>
        </is>
      </c>
      <c r="J1297" t="inlineStr"/>
      <c r="K1297" t="inlineStr"/>
      <c r="L1297" t="inlineStr">
        <is>
          <t>XP_050838174.1 uromodulin-like 1 isoform X3 [Serinus canaria]</t>
        </is>
      </c>
      <c r="M1297" t="n">
        <v>1153</v>
      </c>
      <c r="N1297" t="inlineStr">
        <is>
          <t>Serinus canaria</t>
        </is>
      </c>
      <c r="O1297" t="inlineStr">
        <is>
          <t>uromodulin-like 1 isoform X3</t>
        </is>
      </c>
    </row>
    <row r="1298">
      <c r="A1298" t="inlineStr"/>
      <c r="B1298" t="inlineStr"/>
      <c r="C1298" t="inlineStr"/>
      <c r="D1298" t="inlineStr"/>
      <c r="E1298">
        <f>HYPERLINK("https://www.uniprot.org/uniprotkb/A0A6I9K5X0/entry", "A0A6I9K5X0")</f>
        <v/>
      </c>
      <c r="F1298" t="n">
        <v>34.7</v>
      </c>
      <c r="G1298" t="n">
        <v>1201</v>
      </c>
      <c r="H1298" t="n">
        <v>1.1e-198</v>
      </c>
      <c r="I1298" t="inlineStr">
        <is>
          <t>TrEMBL</t>
        </is>
      </c>
      <c r="J1298" t="inlineStr">
        <is>
          <t>UMODL1</t>
        </is>
      </c>
      <c r="K1298" t="inlineStr">
        <is>
          <t>A0A6I9K5X0_CHRAS</t>
        </is>
      </c>
      <c r="L1298" t="inlineStr">
        <is>
          <t>tr|A0A6I9K5X0|A0A6I9K5X0_CHRAS uromodulin-like 1 OS=Chrysochloris asiatica OX=185453 GN=UMODL1 PE=4 SV=1</t>
        </is>
      </c>
      <c r="M1298" t="n">
        <v>1162</v>
      </c>
      <c r="N1298" t="inlineStr">
        <is>
          <t>Chrysochloris asiatica</t>
        </is>
      </c>
      <c r="O1298" t="inlineStr">
        <is>
          <t>uromodulin-like 1</t>
        </is>
      </c>
    </row>
    <row r="1299">
      <c r="A1299" t="inlineStr"/>
      <c r="B1299" t="inlineStr"/>
      <c r="C1299" t="inlineStr"/>
      <c r="D1299" t="inlineStr"/>
      <c r="E1299">
        <f>HYPERLINK("https://www.uniprot.org/uniprotkb/A0A7R5KYR0/entry", "A0A7R5KYR0")</f>
        <v/>
      </c>
      <c r="F1299" t="n">
        <v>34.3</v>
      </c>
      <c r="G1299" t="n">
        <v>1252</v>
      </c>
      <c r="H1299" t="n">
        <v>1.64e-198</v>
      </c>
      <c r="I1299" t="inlineStr">
        <is>
          <t>TrEMBL</t>
        </is>
      </c>
      <c r="J1299" t="inlineStr">
        <is>
          <t>LOC113998881</t>
        </is>
      </c>
      <c r="K1299" t="inlineStr">
        <is>
          <t>A0A7R5KYR0_9PASS</t>
        </is>
      </c>
      <c r="L1299" t="inlineStr">
        <is>
          <t>tr|A0A7R5KYR0|A0A7R5KYR0_9PASS uromodulin-like 1 OS=Pipra filicauda OX=649802 GN=LOC113998881 PE=4 SV=1</t>
        </is>
      </c>
      <c r="M1299" t="n">
        <v>1228</v>
      </c>
      <c r="N1299" t="inlineStr">
        <is>
          <t>Pipra filicauda</t>
        </is>
      </c>
      <c r="O1299" t="inlineStr">
        <is>
          <t>uromodulin-like 1</t>
        </is>
      </c>
    </row>
    <row r="1300">
      <c r="A1300" t="inlineStr"/>
      <c r="B1300" t="inlineStr"/>
      <c r="C1300" t="inlineStr"/>
      <c r="D1300" t="inlineStr"/>
      <c r="E1300">
        <f>HYPERLINK("https://www.ncbi.nlm.nih.gov/gene/?term=XP_006870914.1", "XP_006870914.1")</f>
        <v/>
      </c>
      <c r="F1300" t="n">
        <v>34.7</v>
      </c>
      <c r="G1300" t="n">
        <v>1201</v>
      </c>
      <c r="H1300" t="n">
        <v>2.82e-198</v>
      </c>
      <c r="I1300" t="inlineStr">
        <is>
          <t>Nr</t>
        </is>
      </c>
      <c r="J1300" t="inlineStr"/>
      <c r="K1300" t="inlineStr"/>
      <c r="L1300" t="inlineStr">
        <is>
          <t>XP_006870914.1 PREDICTED: uromodulin-like 1 [Chrysochloris asiatica]</t>
        </is>
      </c>
      <c r="M1300" t="n">
        <v>1162</v>
      </c>
      <c r="N1300" t="inlineStr">
        <is>
          <t>Chrysochloris asiatica</t>
        </is>
      </c>
      <c r="O1300" t="inlineStr">
        <is>
          <t>PREDICTED: uromodulin-like 1</t>
        </is>
      </c>
    </row>
    <row r="1301">
      <c r="A1301" t="inlineStr"/>
      <c r="B1301" t="inlineStr"/>
      <c r="C1301" t="inlineStr"/>
      <c r="D1301" t="inlineStr"/>
      <c r="E1301">
        <f>HYPERLINK("https://www.ncbi.nlm.nih.gov/gene/?term=XP_039241729.1", "XP_039241729.1")</f>
        <v/>
      </c>
      <c r="F1301" t="n">
        <v>34.3</v>
      </c>
      <c r="G1301" t="n">
        <v>1252</v>
      </c>
      <c r="H1301" t="n">
        <v>4.22e-198</v>
      </c>
      <c r="I1301" t="inlineStr">
        <is>
          <t>Nr</t>
        </is>
      </c>
      <c r="J1301" t="inlineStr"/>
      <c r="K1301" t="inlineStr"/>
      <c r="L1301" t="inlineStr">
        <is>
          <t>XP_039241729.1 uromodulin-like 1 [Pipra filicauda]</t>
        </is>
      </c>
      <c r="M1301" t="n">
        <v>1228</v>
      </c>
      <c r="N1301" t="inlineStr">
        <is>
          <t>Pipra filicauda</t>
        </is>
      </c>
      <c r="O1301" t="inlineStr">
        <is>
          <t>uromodulin-like 1</t>
        </is>
      </c>
    </row>
    <row r="1302">
      <c r="A1302" t="inlineStr"/>
      <c r="B1302" t="inlineStr"/>
      <c r="C1302" t="inlineStr"/>
      <c r="D1302" t="inlineStr"/>
      <c r="E1302">
        <f>HYPERLINK("https://www.uniprot.org/uniprotkb/A0A8C3GE69/entry", "A0A8C3GE69")</f>
        <v/>
      </c>
      <c r="F1302" t="n">
        <v>32.3</v>
      </c>
      <c r="G1302" t="n">
        <v>1383</v>
      </c>
      <c r="H1302" t="n">
        <v>6.900000000000001e-198</v>
      </c>
      <c r="I1302" t="inlineStr">
        <is>
          <t>TrEMBL</t>
        </is>
      </c>
      <c r="J1302" t="inlineStr"/>
      <c r="K1302" t="inlineStr">
        <is>
          <t>A0A8C3GE69_CAIMO</t>
        </is>
      </c>
      <c r="L1302" t="inlineStr">
        <is>
          <t>tr|A0A8C3GE69|A0A8C3GE69_CAIMO Uromodulin like 1 OS=Cairina moschata domestica OX=1240228 PE=4 SV=1</t>
        </is>
      </c>
      <c r="M1302" t="n">
        <v>1365</v>
      </c>
      <c r="N1302" t="inlineStr">
        <is>
          <t>Cairina moschata domestica</t>
        </is>
      </c>
      <c r="O1302" t="inlineStr">
        <is>
          <t>Uromodulin like 1</t>
        </is>
      </c>
    </row>
    <row r="1303">
      <c r="A1303" t="inlineStr"/>
      <c r="B1303" t="inlineStr"/>
      <c r="C1303" t="inlineStr"/>
      <c r="D1303" t="inlineStr"/>
      <c r="E1303">
        <f>HYPERLINK("https://www.ncbi.nlm.nih.gov/gene/?term=XP_016161367.1", "XP_016161367.1")</f>
        <v/>
      </c>
      <c r="F1303" t="n">
        <v>33.2</v>
      </c>
      <c r="G1303" t="n">
        <v>1341</v>
      </c>
      <c r="H1303" t="n">
        <v>3.12e-197</v>
      </c>
      <c r="I1303" t="inlineStr">
        <is>
          <t>Nr</t>
        </is>
      </c>
      <c r="J1303" t="inlineStr"/>
      <c r="K1303" t="inlineStr"/>
      <c r="L1303" t="inlineStr">
        <is>
          <t>XP_016161367.1 PREDICTED: uromodulin-like 1 [Ficedula albicollis]</t>
        </is>
      </c>
      <c r="M1303" t="n">
        <v>1333</v>
      </c>
      <c r="N1303" t="inlineStr">
        <is>
          <t>Ficedula albicollis</t>
        </is>
      </c>
      <c r="O1303" t="inlineStr">
        <is>
          <t>PREDICTED: uromodulin-like 1</t>
        </is>
      </c>
    </row>
    <row r="1304">
      <c r="A1304" t="inlineStr"/>
      <c r="B1304" t="inlineStr"/>
      <c r="C1304" t="inlineStr"/>
      <c r="D1304" t="inlineStr"/>
      <c r="E1304">
        <f>HYPERLINK("https://www.uniprot.org/uniprotkb/A0A8B7JI35/entry", "A0A8B7JI35")</f>
        <v/>
      </c>
      <c r="F1304" t="n">
        <v>32.1</v>
      </c>
      <c r="G1304" t="n">
        <v>1420</v>
      </c>
      <c r="H1304" t="n">
        <v>2.21e-196</v>
      </c>
      <c r="I1304" t="inlineStr">
        <is>
          <t>TrEMBL</t>
        </is>
      </c>
      <c r="J1304" t="inlineStr">
        <is>
          <t>UMODL1</t>
        </is>
      </c>
      <c r="K1304" t="inlineStr">
        <is>
          <t>A0A8B7JI35_9AVES</t>
        </is>
      </c>
      <c r="L1304" t="inlineStr">
        <is>
          <t>tr|A0A8B7JI35|A0A8B7JI35_9AVES uromodulin-like 1 OS=Apteryx mantelli mantelli OX=202946 GN=UMODL1 PE=4 SV=1</t>
        </is>
      </c>
      <c r="M1304" t="n">
        <v>1411</v>
      </c>
      <c r="N1304" t="inlineStr">
        <is>
          <t>Apteryx mantelli mantelli</t>
        </is>
      </c>
      <c r="O1304" t="inlineStr">
        <is>
          <t>uromodulin-like 1</t>
        </is>
      </c>
    </row>
    <row r="1305">
      <c r="A1305" t="inlineStr"/>
      <c r="B1305" t="inlineStr"/>
      <c r="C1305" t="inlineStr"/>
      <c r="D1305" t="inlineStr"/>
      <c r="E1305">
        <f>HYPERLINK("https://www.uniprot.org/uniprotkb/H0Z545/entry", "H0Z545")</f>
        <v/>
      </c>
      <c r="F1305" t="n">
        <v>33.3</v>
      </c>
      <c r="G1305" t="n">
        <v>1316</v>
      </c>
      <c r="H1305" t="n">
        <v>3.51e-196</v>
      </c>
      <c r="I1305" t="inlineStr">
        <is>
          <t>TrEMBL</t>
        </is>
      </c>
      <c r="J1305" t="inlineStr">
        <is>
          <t>UMODL1</t>
        </is>
      </c>
      <c r="K1305" t="inlineStr">
        <is>
          <t>H0Z545_TAEGU</t>
        </is>
      </c>
      <c r="L1305" t="inlineStr">
        <is>
          <t>tr|H0Z545|H0Z545_TAEGU Uromodulin like 1 OS=Taeniopygia guttata OX=59729 GN=UMODL1 PE=4 SV=2</t>
        </is>
      </c>
      <c r="M1305" t="n">
        <v>1305</v>
      </c>
      <c r="N1305" t="inlineStr">
        <is>
          <t>Taeniopygia guttata</t>
        </is>
      </c>
      <c r="O1305" t="inlineStr">
        <is>
          <t>Uromodulin like 1</t>
        </is>
      </c>
    </row>
    <row r="1306">
      <c r="A1306" t="inlineStr"/>
      <c r="B1306" t="inlineStr"/>
      <c r="C1306" t="inlineStr"/>
      <c r="D1306" t="inlineStr"/>
      <c r="E1306">
        <f>HYPERLINK("https://www.ncbi.nlm.nih.gov/gene/?term=XP_013810711.1", "XP_013810711.1")</f>
        <v/>
      </c>
      <c r="F1306" t="n">
        <v>32.1</v>
      </c>
      <c r="G1306" t="n">
        <v>1420</v>
      </c>
      <c r="H1306" t="n">
        <v>5.69e-196</v>
      </c>
      <c r="I1306" t="inlineStr">
        <is>
          <t>Nr</t>
        </is>
      </c>
      <c r="J1306" t="inlineStr"/>
      <c r="K1306" t="inlineStr"/>
      <c r="L1306" t="inlineStr">
        <is>
          <t>XP_013810711.1 PREDICTED: uromodulin-like 1 [Apteryx mantelli mantelli]</t>
        </is>
      </c>
      <c r="M1306" t="n">
        <v>1411</v>
      </c>
      <c r="N1306" t="inlineStr">
        <is>
          <t>Apteryx mantelli mantelli</t>
        </is>
      </c>
      <c r="O1306" t="inlineStr">
        <is>
          <t>PREDICTED: uromodulin-like 1</t>
        </is>
      </c>
    </row>
    <row r="1307">
      <c r="A1307" t="inlineStr"/>
      <c r="B1307" t="inlineStr"/>
      <c r="C1307" t="inlineStr"/>
      <c r="D1307" t="inlineStr"/>
      <c r="E1307">
        <f>HYPERLINK("https://www.ncbi.nlm.nih.gov/gene/?term=XP_027494638.1", "XP_027494638.1")</f>
        <v/>
      </c>
      <c r="F1307" t="n">
        <v>33.3</v>
      </c>
      <c r="G1307" t="n">
        <v>1336</v>
      </c>
      <c r="H1307" t="n">
        <v>7.65e-196</v>
      </c>
      <c r="I1307" t="inlineStr">
        <is>
          <t>Nr</t>
        </is>
      </c>
      <c r="J1307" t="inlineStr"/>
      <c r="K1307" t="inlineStr"/>
      <c r="L1307" t="inlineStr">
        <is>
          <t>XP_027494638.1 uromodulin-like 1 [Corapipo altera]</t>
        </is>
      </c>
      <c r="M1307" t="n">
        <v>1312</v>
      </c>
      <c r="N1307" t="inlineStr">
        <is>
          <t>Corapipo altera</t>
        </is>
      </c>
      <c r="O1307" t="inlineStr">
        <is>
          <t>uromodulin-like 1</t>
        </is>
      </c>
    </row>
    <row r="1308">
      <c r="A1308" t="inlineStr"/>
      <c r="B1308" t="inlineStr"/>
      <c r="C1308" t="inlineStr"/>
      <c r="D1308" t="inlineStr"/>
      <c r="E1308">
        <f>HYPERLINK("https://www.uniprot.org/uniprotkb/A0A7K4R260/entry", "A0A7K4R260")</f>
        <v/>
      </c>
      <c r="F1308" t="n">
        <v>33.4</v>
      </c>
      <c r="G1308" t="n">
        <v>1310</v>
      </c>
      <c r="H1308" t="n">
        <v>1.33e-195</v>
      </c>
      <c r="I1308" t="inlineStr">
        <is>
          <t>TrEMBL</t>
        </is>
      </c>
      <c r="J1308" t="inlineStr">
        <is>
          <t>Umodl1_0</t>
        </is>
      </c>
      <c r="K1308" t="inlineStr">
        <is>
          <t>A0A7K4R260_9TYRA</t>
        </is>
      </c>
      <c r="L1308" t="inlineStr">
        <is>
          <t>tr|A0A7K4R260|A0A7K4R260_9TYRA UROL1 protein (Fragment) OS=Neopipo cinnamomea OX=456388 GN=Umodl1_0 PE=4 SV=1</t>
        </is>
      </c>
      <c r="M1308" t="n">
        <v>1264</v>
      </c>
      <c r="N1308" t="inlineStr">
        <is>
          <t>Neopipo cinnamomea</t>
        </is>
      </c>
      <c r="O1308" t="inlineStr">
        <is>
          <t>UROL1 protein (Fragment)</t>
        </is>
      </c>
    </row>
    <row r="1309">
      <c r="A1309" t="inlineStr"/>
      <c r="B1309" t="inlineStr"/>
      <c r="C1309" t="inlineStr"/>
      <c r="D1309" t="inlineStr"/>
      <c r="E1309">
        <f>HYPERLINK("https://www.uniprot.org/uniprotkb/A0A452HZ00/entry", "A0A452HZ00")</f>
        <v/>
      </c>
      <c r="F1309" t="n">
        <v>34.5</v>
      </c>
      <c r="G1309" t="n">
        <v>1303</v>
      </c>
      <c r="H1309" t="n">
        <v>3.25e-193</v>
      </c>
      <c r="I1309" t="inlineStr">
        <is>
          <t>TrEMBL</t>
        </is>
      </c>
      <c r="J1309" t="inlineStr"/>
      <c r="K1309" t="inlineStr">
        <is>
          <t>A0A452HZ00_9SAUR</t>
        </is>
      </c>
      <c r="L1309" t="inlineStr">
        <is>
          <t>tr|A0A452HZ00|A0A452HZ00_9SAUR Uromodulin like 1 OS=Gopherus agassizii OX=38772 PE=4 SV=1</t>
        </is>
      </c>
      <c r="M1309" t="n">
        <v>1267</v>
      </c>
      <c r="N1309" t="inlineStr">
        <is>
          <t>Gopherus agassizii</t>
        </is>
      </c>
      <c r="O1309" t="inlineStr">
        <is>
          <t>Uromodulin like 1</t>
        </is>
      </c>
    </row>
    <row r="1310">
      <c r="A1310" t="inlineStr"/>
      <c r="B1310" t="inlineStr"/>
      <c r="C1310" t="inlineStr"/>
      <c r="D1310" t="inlineStr"/>
      <c r="E1310">
        <f>HYPERLINK("https://www.uniprot.org/uniprotkb/A0A7K5KD87/entry", "A0A7K5KD87")</f>
        <v/>
      </c>
      <c r="F1310" t="n">
        <v>32.5</v>
      </c>
      <c r="G1310" t="n">
        <v>1337</v>
      </c>
      <c r="H1310" t="n">
        <v>6.39e-193</v>
      </c>
      <c r="I1310" t="inlineStr">
        <is>
          <t>TrEMBL</t>
        </is>
      </c>
      <c r="J1310" t="inlineStr">
        <is>
          <t>Umodl1_0</t>
        </is>
      </c>
      <c r="K1310" t="inlineStr">
        <is>
          <t>A0A7K5KD87_9TYRA</t>
        </is>
      </c>
      <c r="L1310" t="inlineStr">
        <is>
          <t>tr|A0A7K5KD87|A0A7K5KD87_9TYRA UROL1 protein (Fragment) OS=Mionectes macconnelli OX=254557 GN=Umodl1_0 PE=4 SV=1</t>
        </is>
      </c>
      <c r="M1310" t="n">
        <v>1294</v>
      </c>
      <c r="N1310" t="inlineStr">
        <is>
          <t>Mionectes macconnelli</t>
        </is>
      </c>
      <c r="O1310" t="inlineStr">
        <is>
          <t>UROL1 protein (Fragment)</t>
        </is>
      </c>
    </row>
    <row r="1311">
      <c r="A1311" t="inlineStr"/>
      <c r="B1311" t="inlineStr"/>
      <c r="C1311" t="inlineStr"/>
      <c r="D1311" t="inlineStr"/>
      <c r="E1311">
        <f>HYPERLINK("https://www.uniprot.org/uniprotkb/A0A7K4WAS2/entry", "A0A7K4WAS2")</f>
        <v/>
      </c>
      <c r="F1311" t="n">
        <v>32.5</v>
      </c>
      <c r="G1311" t="n">
        <v>1347</v>
      </c>
      <c r="H1311" t="n">
        <v>8.2e-193</v>
      </c>
      <c r="I1311" t="inlineStr">
        <is>
          <t>TrEMBL</t>
        </is>
      </c>
      <c r="J1311" t="inlineStr">
        <is>
          <t>Umodl1_0</t>
        </is>
      </c>
      <c r="K1311" t="inlineStr">
        <is>
          <t>A0A7K4WAS2_9TYRA</t>
        </is>
      </c>
      <c r="L1311" t="inlineStr">
        <is>
          <t>tr|A0A7K4WAS2|A0A7K4WAS2_9TYRA UROL1 protein (Fragment) OS=Tachuris rubrigastra OX=495162 GN=Umodl1_0 PE=4 SV=1</t>
        </is>
      </c>
      <c r="M1311" t="n">
        <v>1304</v>
      </c>
      <c r="N1311" t="inlineStr">
        <is>
          <t>Tachuris rubrigastra</t>
        </is>
      </c>
      <c r="O1311" t="inlineStr">
        <is>
          <t>UROL1 protein (Fragment)</t>
        </is>
      </c>
    </row>
    <row r="1312">
      <c r="A1312" t="inlineStr"/>
      <c r="B1312" t="inlineStr"/>
      <c r="C1312" t="inlineStr"/>
      <c r="D1312" t="inlineStr"/>
      <c r="E1312">
        <f>HYPERLINK("https://www.uniprot.org/uniprotkb/A0A7L3DLK0/entry", "A0A7L3DLK0")</f>
        <v/>
      </c>
      <c r="F1312" t="n">
        <v>33.1</v>
      </c>
      <c r="G1312" t="n">
        <v>1306</v>
      </c>
      <c r="H1312" t="n">
        <v>2.02e-192</v>
      </c>
      <c r="I1312" t="inlineStr">
        <is>
          <t>TrEMBL</t>
        </is>
      </c>
      <c r="J1312" t="inlineStr">
        <is>
          <t>Umodl1_1</t>
        </is>
      </c>
      <c r="K1312" t="inlineStr">
        <is>
          <t>A0A7L3DLK0_PLUSO</t>
        </is>
      </c>
      <c r="L1312" t="inlineStr">
        <is>
          <t>tr|A0A7L3DLK0|A0A7L3DLK0_PLUSO UROL1 protein (Fragment) OS=Pluvianellus socialis OX=227228 GN=Umodl1_1 PE=4 SV=1</t>
        </is>
      </c>
      <c r="M1312" t="n">
        <v>1259</v>
      </c>
      <c r="N1312" t="inlineStr">
        <is>
          <t>Pluvianellus socialis</t>
        </is>
      </c>
      <c r="O1312" t="inlineStr">
        <is>
          <t>UROL1 protein (Fragment)</t>
        </is>
      </c>
    </row>
    <row r="1313">
      <c r="A1313" t="inlineStr"/>
      <c r="B1313" t="inlineStr"/>
      <c r="C1313" t="inlineStr"/>
      <c r="D1313" t="inlineStr"/>
      <c r="E1313">
        <f>HYPERLINK("https://www.uniprot.org/uniprotkb/A0A674JHL7/entry", "A0A674JHL7")</f>
        <v/>
      </c>
      <c r="F1313" t="n">
        <v>33.4</v>
      </c>
      <c r="G1313" t="n">
        <v>1349</v>
      </c>
      <c r="H1313" t="n">
        <v>4.94e-192</v>
      </c>
      <c r="I1313" t="inlineStr">
        <is>
          <t>TrEMBL</t>
        </is>
      </c>
      <c r="J1313" t="inlineStr"/>
      <c r="K1313" t="inlineStr">
        <is>
          <t>A0A674JHL7_TERCA</t>
        </is>
      </c>
      <c r="L1313" t="inlineStr">
        <is>
          <t>tr|A0A674JHL7|A0A674JHL7_TERCA UROL1 protein OS=Terrapene carolina triunguis OX=2587831 PE=4 SV=1</t>
        </is>
      </c>
      <c r="M1313" t="n">
        <v>1322</v>
      </c>
      <c r="N1313" t="inlineStr">
        <is>
          <t>Terrapene carolina triunguis</t>
        </is>
      </c>
      <c r="O1313" t="inlineStr">
        <is>
          <t>UROL1 protein</t>
        </is>
      </c>
    </row>
    <row r="1314">
      <c r="A1314" t="inlineStr"/>
      <c r="B1314" t="inlineStr"/>
      <c r="C1314" t="inlineStr"/>
      <c r="D1314" t="inlineStr"/>
      <c r="E1314">
        <f>HYPERLINK("https://www.uniprot.org/uniprotkb/A0A7K5AZR3/entry", "A0A7K5AZR3")</f>
        <v/>
      </c>
      <c r="F1314" t="n">
        <v>33.8</v>
      </c>
      <c r="G1314" t="n">
        <v>1342</v>
      </c>
      <c r="H1314" t="n">
        <v>8.110000000000001e-192</v>
      </c>
      <c r="I1314" t="inlineStr">
        <is>
          <t>TrEMBL</t>
        </is>
      </c>
      <c r="J1314" t="inlineStr">
        <is>
          <t>Umodl1_0</t>
        </is>
      </c>
      <c r="K1314" t="inlineStr">
        <is>
          <t>A0A7K5AZR3_9FURN</t>
        </is>
      </c>
      <c r="L1314" t="inlineStr">
        <is>
          <t>tr|A0A7K5AZR3|A0A7K5AZR3_9FURN UROL1 protein (Fragment) OS=Furnarius figulus OX=463165 GN=Umodl1_0 PE=4 SV=1</t>
        </is>
      </c>
      <c r="M1314" t="n">
        <v>1301</v>
      </c>
      <c r="N1314" t="inlineStr">
        <is>
          <t>Furnarius figulus</t>
        </is>
      </c>
      <c r="O1314" t="inlineStr">
        <is>
          <t>UROL1 protein (Fragment)</t>
        </is>
      </c>
    </row>
    <row r="1315">
      <c r="A1315" t="inlineStr"/>
      <c r="B1315" t="inlineStr"/>
      <c r="C1315" t="inlineStr"/>
      <c r="D1315" t="inlineStr"/>
      <c r="E1315">
        <f>HYPERLINK("https://www.uniprot.org/uniprotkb/A0A7K9NJA0/entry", "A0A7K9NJA0")</f>
        <v/>
      </c>
      <c r="F1315" t="n">
        <v>32.6</v>
      </c>
      <c r="G1315" t="n">
        <v>1296</v>
      </c>
      <c r="H1315" t="n">
        <v>1.02e-191</v>
      </c>
      <c r="I1315" t="inlineStr">
        <is>
          <t>TrEMBL</t>
        </is>
      </c>
      <c r="J1315" t="inlineStr">
        <is>
          <t>Umodl1_0</t>
        </is>
      </c>
      <c r="K1315" t="inlineStr">
        <is>
          <t>A0A7K9NJA0_9CORV</t>
        </is>
      </c>
      <c r="L1315" t="inlineStr">
        <is>
          <t>tr|A0A7K9NJA0|A0A7K9NJA0_9CORV UROL1 protein (Fragment) OS=Edolisoma coerulescens OX=2585810 GN=Umodl1_0 PE=4 SV=1</t>
        </is>
      </c>
      <c r="M1315" t="n">
        <v>1256</v>
      </c>
      <c r="N1315" t="inlineStr">
        <is>
          <t>Edolisoma coerulescens</t>
        </is>
      </c>
      <c r="O1315" t="inlineStr">
        <is>
          <t>UROL1 protein (Fragment)</t>
        </is>
      </c>
    </row>
    <row r="1316">
      <c r="A1316" t="inlineStr"/>
      <c r="B1316" t="inlineStr"/>
      <c r="C1316" t="inlineStr"/>
      <c r="D1316" t="inlineStr"/>
      <c r="E1316">
        <f>HYPERLINK("https://www.uniprot.org/uniprotkb/A0A7K6UMT1/entry", "A0A7K6UMT1")</f>
        <v/>
      </c>
      <c r="F1316" t="n">
        <v>33</v>
      </c>
      <c r="G1316" t="n">
        <v>1301</v>
      </c>
      <c r="H1316" t="n">
        <v>1.21e-191</v>
      </c>
      <c r="I1316" t="inlineStr">
        <is>
          <t>TrEMBL</t>
        </is>
      </c>
      <c r="J1316" t="inlineStr">
        <is>
          <t>Umodl1_1</t>
        </is>
      </c>
      <c r="K1316" t="inlineStr">
        <is>
          <t>A0A7K6UMT1_9AVES</t>
        </is>
      </c>
      <c r="L1316" t="inlineStr">
        <is>
          <t>tr|A0A7K6UMT1|A0A7K6UMT1_9AVES UROL1 protein (Fragment) OS=Aegotheles bennettii OX=48278 GN=Umodl1_1 PE=4 SV=1</t>
        </is>
      </c>
      <c r="M1316" t="n">
        <v>1263</v>
      </c>
      <c r="N1316" t="inlineStr">
        <is>
          <t>Aegotheles bennettii</t>
        </is>
      </c>
      <c r="O1316" t="inlineStr">
        <is>
          <t>UROL1 protein (Fragment)</t>
        </is>
      </c>
    </row>
    <row r="1317">
      <c r="A1317" t="inlineStr"/>
      <c r="B1317" t="inlineStr"/>
      <c r="C1317" t="inlineStr"/>
      <c r="D1317" t="inlineStr"/>
      <c r="E1317">
        <f>HYPERLINK("https://www.uniprot.org/uniprotkb/A0A7K8EAV1/entry", "A0A7K8EAV1")</f>
        <v/>
      </c>
      <c r="F1317" t="n">
        <v>33</v>
      </c>
      <c r="G1317" t="n">
        <v>1302</v>
      </c>
      <c r="H1317" t="n">
        <v>1.36e-191</v>
      </c>
      <c r="I1317" t="inlineStr">
        <is>
          <t>TrEMBL</t>
        </is>
      </c>
      <c r="J1317" t="inlineStr">
        <is>
          <t>Umodl1</t>
        </is>
      </c>
      <c r="K1317" t="inlineStr">
        <is>
          <t>A0A7K8EAV1_LEURO</t>
        </is>
      </c>
      <c r="L1317" t="inlineStr">
        <is>
          <t>tr|A0A7K8EAV1|A0A7K8EAV1_LEURO UROL1 protein (Fragment) OS=Leucopsar rothschildi OX=127929 GN=Umodl1 PE=4 SV=1</t>
        </is>
      </c>
      <c r="M1317" t="n">
        <v>1254</v>
      </c>
      <c r="N1317" t="inlineStr">
        <is>
          <t>Leucopsar rothschildi</t>
        </is>
      </c>
      <c r="O1317" t="inlineStr">
        <is>
          <t>UROL1 protein (Fragment)</t>
        </is>
      </c>
    </row>
    <row r="1318">
      <c r="A1318" t="inlineStr"/>
      <c r="B1318" t="inlineStr"/>
      <c r="C1318" t="inlineStr"/>
      <c r="D1318" t="inlineStr"/>
      <c r="E1318">
        <f>HYPERLINK("https://www.uniprot.org/uniprotkb/A0A7K4ZFU7/entry", "A0A7K4ZFU7")</f>
        <v/>
      </c>
      <c r="F1318" t="n">
        <v>32.4</v>
      </c>
      <c r="G1318" t="n">
        <v>1329</v>
      </c>
      <c r="H1318" t="n">
        <v>3.48e-191</v>
      </c>
      <c r="I1318" t="inlineStr">
        <is>
          <t>TrEMBL</t>
        </is>
      </c>
      <c r="J1318" t="inlineStr">
        <is>
          <t>Umodl1_0</t>
        </is>
      </c>
      <c r="K1318" t="inlineStr">
        <is>
          <t>A0A7K4ZFU7_9AVES</t>
        </is>
      </c>
      <c r="L1318" t="inlineStr">
        <is>
          <t>tr|A0A7K4ZFU7|A0A7K4ZFU7_9AVES UROL1 protein (Fragment) OS=Centropus unirufus OX=1118519 GN=Umodl1_0 PE=4 SV=1</t>
        </is>
      </c>
      <c r="M1318" t="n">
        <v>1278</v>
      </c>
      <c r="N1318" t="inlineStr">
        <is>
          <t>Centropus unirufus</t>
        </is>
      </c>
      <c r="O1318" t="inlineStr">
        <is>
          <t>UROL1 protein (Fragment)</t>
        </is>
      </c>
    </row>
    <row r="1319">
      <c r="A1319" t="inlineStr"/>
      <c r="B1319" t="inlineStr"/>
      <c r="C1319" t="inlineStr"/>
      <c r="D1319" t="inlineStr"/>
      <c r="E1319">
        <f>HYPERLINK("https://www.uniprot.org/uniprotkb/Q5DID0/entry", "Q5DID0")</f>
        <v/>
      </c>
      <c r="F1319" t="n">
        <v>30.7</v>
      </c>
      <c r="G1319" t="n">
        <v>1353</v>
      </c>
      <c r="H1319" t="n">
        <v>6.71e-173</v>
      </c>
      <c r="I1319" t="inlineStr">
        <is>
          <t>Swiss-Prot</t>
        </is>
      </c>
      <c r="J1319" t="inlineStr">
        <is>
          <t>UMODL1</t>
        </is>
      </c>
      <c r="K1319" t="inlineStr">
        <is>
          <t>UROL1_HUMAN</t>
        </is>
      </c>
      <c r="L1319" t="inlineStr">
        <is>
          <t>sp|Q5DID0|UROL1_HUMAN Uromodulin-like 1 OS=Homo sapiens OX=9606 GN=UMODL1 PE=2 SV=2</t>
        </is>
      </c>
      <c r="M1319" t="n">
        <v>1318</v>
      </c>
      <c r="N1319" t="inlineStr">
        <is>
          <t>Homo sapiens</t>
        </is>
      </c>
      <c r="O1319" t="inlineStr">
        <is>
          <t>Uromodulin-like 1</t>
        </is>
      </c>
    </row>
    <row r="1320">
      <c r="A1320" t="inlineStr"/>
      <c r="B1320" t="inlineStr"/>
      <c r="C1320" t="inlineStr"/>
      <c r="D1320" t="inlineStr"/>
      <c r="E1320">
        <f>HYPERLINK("https://www.uniprot.org/uniprotkb/Q5DID3/entry", "Q5DID3")</f>
        <v/>
      </c>
      <c r="F1320" t="n">
        <v>31.1</v>
      </c>
      <c r="G1320" t="n">
        <v>1367</v>
      </c>
      <c r="H1320" t="n">
        <v>1.68e-166</v>
      </c>
      <c r="I1320" t="inlineStr">
        <is>
          <t>Swiss-Prot</t>
        </is>
      </c>
      <c r="J1320" t="inlineStr">
        <is>
          <t>Umodl1</t>
        </is>
      </c>
      <c r="K1320" t="inlineStr">
        <is>
          <t>UROL1_MOUSE</t>
        </is>
      </c>
      <c r="L1320" t="inlineStr">
        <is>
          <t>sp|Q5DID3|UROL1_MOUSE Uromodulin-like 1 OS=Mus musculus OX=10090 GN=Umodl1 PE=1 SV=1</t>
        </is>
      </c>
      <c r="M1320" t="n">
        <v>1319</v>
      </c>
      <c r="N1320" t="inlineStr">
        <is>
          <t>Mus musculus</t>
        </is>
      </c>
      <c r="O1320" t="inlineStr">
        <is>
          <t>Uromodulin-like 1</t>
        </is>
      </c>
    </row>
    <row r="1321">
      <c r="A1321" t="inlineStr"/>
      <c r="B1321" t="inlineStr"/>
      <c r="C1321" t="inlineStr"/>
      <c r="D1321" t="inlineStr"/>
      <c r="E1321">
        <f>HYPERLINK("https://www.uniprot.org/uniprotkb/Q9D733/entry", "Q9D733")</f>
        <v/>
      </c>
      <c r="F1321" t="n">
        <v>23.4</v>
      </c>
      <c r="G1321" t="n">
        <v>299</v>
      </c>
      <c r="H1321" t="n">
        <v>4.27e-13</v>
      </c>
      <c r="I1321" t="inlineStr">
        <is>
          <t>Swiss-Prot</t>
        </is>
      </c>
      <c r="J1321" t="inlineStr">
        <is>
          <t>Gp2</t>
        </is>
      </c>
      <c r="K1321" t="inlineStr">
        <is>
          <t>GP2_MOUSE</t>
        </is>
      </c>
      <c r="L1321" t="inlineStr">
        <is>
          <t>sp|Q9D733|GP2_MOUSE Pancreatic secretory granule membrane major glycoprotein GP2 OS=Mus musculus OX=10090 GN=Gp2 PE=1 SV=3</t>
        </is>
      </c>
      <c r="M1321" t="n">
        <v>531</v>
      </c>
      <c r="N1321" t="inlineStr">
        <is>
          <t>Mus musculus</t>
        </is>
      </c>
      <c r="O1321" t="inlineStr">
        <is>
          <t>Pancreatic secretory granule membrane major glycoprotein GP2</t>
        </is>
      </c>
    </row>
    <row r="1322">
      <c r="A1322" t="inlineStr"/>
      <c r="B1322" t="inlineStr"/>
      <c r="C1322" t="inlineStr"/>
      <c r="D1322" t="inlineStr"/>
      <c r="E1322">
        <f>HYPERLINK("https://www.uniprot.org/uniprotkb/P19218/entry", "P19218")</f>
        <v/>
      </c>
      <c r="F1322" t="n">
        <v>23.2</v>
      </c>
      <c r="G1322" t="n">
        <v>298</v>
      </c>
      <c r="H1322" t="n">
        <v>2.74e-11</v>
      </c>
      <c r="I1322" t="inlineStr">
        <is>
          <t>Swiss-Prot</t>
        </is>
      </c>
      <c r="J1322" t="inlineStr">
        <is>
          <t>Gp2</t>
        </is>
      </c>
      <c r="K1322" t="inlineStr">
        <is>
          <t>GP2_RAT</t>
        </is>
      </c>
      <c r="L1322" t="inlineStr">
        <is>
          <t>sp|P19218|GP2_RAT Pancreatic secretory granule membrane major glycoprotein GP2 OS=Rattus norvegicus OX=10116 GN=Gp2 PE=1 SV=1</t>
        </is>
      </c>
      <c r="M1322" t="n">
        <v>530</v>
      </c>
      <c r="N1322" t="inlineStr">
        <is>
          <t>Rattus norvegicus</t>
        </is>
      </c>
      <c r="O1322" t="inlineStr">
        <is>
          <t>Pancreatic secretory granule membrane major glycoprotein GP2</t>
        </is>
      </c>
    </row>
    <row r="1323">
      <c r="A1323" t="inlineStr"/>
      <c r="B1323" t="inlineStr"/>
      <c r="C1323" t="inlineStr"/>
      <c r="D1323" t="inlineStr"/>
      <c r="E1323">
        <f>HYPERLINK("https://www.uniprot.org/uniprotkb/P27590/entry", "P27590")</f>
        <v/>
      </c>
      <c r="F1323" t="n">
        <v>22.9</v>
      </c>
      <c r="G1323" t="n">
        <v>306</v>
      </c>
      <c r="H1323" t="n">
        <v>1e-10</v>
      </c>
      <c r="I1323" t="inlineStr">
        <is>
          <t>Swiss-Prot</t>
        </is>
      </c>
      <c r="J1323" t="inlineStr">
        <is>
          <t>Umod</t>
        </is>
      </c>
      <c r="K1323" t="inlineStr">
        <is>
          <t>UROM_RAT</t>
        </is>
      </c>
      <c r="L1323" t="inlineStr">
        <is>
          <t>sp|P27590|UROM_RAT Uromodulin OS=Rattus norvegicus OX=10116 GN=Umod PE=2 SV=1</t>
        </is>
      </c>
      <c r="M1323" t="n">
        <v>644</v>
      </c>
      <c r="N1323" t="inlineStr">
        <is>
          <t>Rattus norvegicus</t>
        </is>
      </c>
      <c r="O1323" t="inlineStr">
        <is>
          <t>Uromodulin</t>
        </is>
      </c>
    </row>
    <row r="1324">
      <c r="A1324" t="inlineStr"/>
      <c r="B1324" t="inlineStr"/>
      <c r="C1324" t="inlineStr"/>
      <c r="D1324" t="inlineStr"/>
      <c r="E1324">
        <f>HYPERLINK("https://www.uniprot.org/uniprotkb/Q862Z3/entry", "Q862Z3")</f>
        <v/>
      </c>
      <c r="F1324" t="n">
        <v>24</v>
      </c>
      <c r="G1324" t="n">
        <v>287</v>
      </c>
      <c r="H1324" t="n">
        <v>8.96e-10</v>
      </c>
      <c r="I1324" t="inlineStr">
        <is>
          <t>Swiss-Prot</t>
        </is>
      </c>
      <c r="J1324" t="inlineStr">
        <is>
          <t>UMOD</t>
        </is>
      </c>
      <c r="K1324" t="inlineStr">
        <is>
          <t>UROM_CANLF</t>
        </is>
      </c>
      <c r="L1324" t="inlineStr">
        <is>
          <t>sp|Q862Z3|UROM_CANLF Uromodulin OS=Canis lupus familiaris OX=9615 GN=UMOD PE=2 SV=1</t>
        </is>
      </c>
      <c r="M1324" t="n">
        <v>642</v>
      </c>
      <c r="N1324" t="inlineStr">
        <is>
          <t>Canis lupus familiaris</t>
        </is>
      </c>
      <c r="O1324" t="inlineStr">
        <is>
          <t>Uromodulin</t>
        </is>
      </c>
    </row>
    <row r="1325">
      <c r="A1325" t="inlineStr"/>
      <c r="B1325" t="inlineStr"/>
      <c r="C1325" t="inlineStr"/>
      <c r="D1325" t="inlineStr"/>
      <c r="E1325">
        <f>HYPERLINK("https://www.uniprot.org/uniprotkb/Q91X17/entry", "Q91X17")</f>
        <v/>
      </c>
      <c r="F1325" t="n">
        <v>24.4</v>
      </c>
      <c r="G1325" t="n">
        <v>279</v>
      </c>
      <c r="H1325" t="n">
        <v>8.96e-10</v>
      </c>
      <c r="I1325" t="inlineStr">
        <is>
          <t>Swiss-Prot</t>
        </is>
      </c>
      <c r="J1325" t="inlineStr">
        <is>
          <t>Umod</t>
        </is>
      </c>
      <c r="K1325" t="inlineStr">
        <is>
          <t>UROM_MOUSE</t>
        </is>
      </c>
      <c r="L1325" t="inlineStr">
        <is>
          <t>sp|Q91X17|UROM_MOUSE Uromodulin OS=Mus musculus OX=10090 GN=Umod PE=1 SV=1</t>
        </is>
      </c>
      <c r="M1325" t="n">
        <v>642</v>
      </c>
      <c r="N1325" t="inlineStr">
        <is>
          <t>Mus musculus</t>
        </is>
      </c>
      <c r="O1325" t="inlineStr">
        <is>
          <t>Uromodulin</t>
        </is>
      </c>
    </row>
    <row r="1326">
      <c r="A1326" t="inlineStr"/>
      <c r="B1326" t="inlineStr"/>
      <c r="C1326" t="inlineStr"/>
      <c r="D1326" t="inlineStr"/>
      <c r="E1326">
        <f>HYPERLINK("https://www.uniprot.org/uniprotkb/Q07929/entry", "Q07929")</f>
        <v/>
      </c>
      <c r="F1326" t="n">
        <v>52.6</v>
      </c>
      <c r="G1326" t="n">
        <v>57</v>
      </c>
      <c r="H1326" t="n">
        <v>2.63e-09</v>
      </c>
      <c r="I1326" t="inlineStr">
        <is>
          <t>Swiss-Prot</t>
        </is>
      </c>
      <c r="J1326" t="inlineStr"/>
      <c r="K1326" t="inlineStr">
        <is>
          <t>SP63_STRPU</t>
        </is>
      </c>
      <c r="L1326" t="inlineStr">
        <is>
          <t>sp|Q07929|SP63_STRPU 63 kDa sperm flagellar membrane protein OS=Strongylocentrotus purpuratus OX=7668 PE=2 SV=1</t>
        </is>
      </c>
      <c r="M1326" t="n">
        <v>470</v>
      </c>
      <c r="N1326" t="inlineStr">
        <is>
          <t>Strongylocentrotus purpuratus</t>
        </is>
      </c>
      <c r="O1326" t="inlineStr">
        <is>
          <t>63 kDa sperm flagellar membrane protein</t>
        </is>
      </c>
    </row>
    <row r="1327">
      <c r="A1327" t="inlineStr"/>
      <c r="B1327" t="inlineStr"/>
      <c r="C1327" t="inlineStr"/>
      <c r="D1327" t="inlineStr"/>
      <c r="E1327">
        <f>HYPERLINK("https://www.uniprot.org/uniprotkb/Q9YH85/entry", "Q9YH85")</f>
        <v/>
      </c>
      <c r="F1327" t="n">
        <v>21.7</v>
      </c>
      <c r="G1327" t="n">
        <v>290</v>
      </c>
      <c r="H1327" t="n">
        <v>4e-09</v>
      </c>
      <c r="I1327" t="inlineStr">
        <is>
          <t>Swiss-Prot</t>
        </is>
      </c>
      <c r="J1327" t="inlineStr">
        <is>
          <t>TECTA</t>
        </is>
      </c>
      <c r="K1327" t="inlineStr">
        <is>
          <t>TECTA_CHICK</t>
        </is>
      </c>
      <c r="L1327" t="inlineStr">
        <is>
          <t>sp|Q9YH85|TECTA_CHICK Alpha-tectorin OS=Gallus gallus OX=9031 GN=TECTA PE=1 SV=1</t>
        </is>
      </c>
      <c r="M1327" t="n">
        <v>2120</v>
      </c>
      <c r="N1327" t="inlineStr">
        <is>
          <t>Gallus gallus</t>
        </is>
      </c>
      <c r="O1327" t="inlineStr">
        <is>
          <t>Alpha-tectorin</t>
        </is>
      </c>
    </row>
    <row r="1328">
      <c r="A1328" t="inlineStr"/>
      <c r="B1328" t="inlineStr"/>
      <c r="C1328" t="inlineStr"/>
      <c r="D1328" t="inlineStr"/>
      <c r="E1328">
        <f>HYPERLINK("https://www.uniprot.org/uniprotkb/Q5R5C1/entry", "Q5R5C1")</f>
        <v/>
      </c>
      <c r="F1328" t="n">
        <v>22.2</v>
      </c>
      <c r="G1328" t="n">
        <v>293</v>
      </c>
      <c r="H1328" t="n">
        <v>6.1e-09</v>
      </c>
      <c r="I1328" t="inlineStr">
        <is>
          <t>Swiss-Prot</t>
        </is>
      </c>
      <c r="J1328" t="inlineStr">
        <is>
          <t>UMOD</t>
        </is>
      </c>
      <c r="K1328" t="inlineStr">
        <is>
          <t>UROM_PONAB</t>
        </is>
      </c>
      <c r="L1328" t="inlineStr">
        <is>
          <t>sp|Q5R5C1|UROM_PONAB Uromodulin OS=Pongo abelii OX=9601 GN=UMOD PE=2 SV=1</t>
        </is>
      </c>
      <c r="M1328" t="n">
        <v>641</v>
      </c>
      <c r="N1328" t="inlineStr">
        <is>
          <t>Pongo abelii</t>
        </is>
      </c>
      <c r="O1328" t="inlineStr">
        <is>
          <t>Uromodulin</t>
        </is>
      </c>
    </row>
    <row r="1329">
      <c r="A1329" t="inlineStr"/>
      <c r="B1329" t="inlineStr"/>
      <c r="C1329" t="inlineStr"/>
      <c r="D1329" t="inlineStr"/>
      <c r="E1329">
        <f>HYPERLINK("https://www.uniprot.org/uniprotkb/P25291/entry", "P25291")</f>
        <v/>
      </c>
      <c r="F1329" t="n">
        <v>23.2</v>
      </c>
      <c r="G1329" t="n">
        <v>263</v>
      </c>
      <c r="H1329" t="n">
        <v>1.15e-08</v>
      </c>
      <c r="I1329" t="inlineStr">
        <is>
          <t>Swiss-Prot</t>
        </is>
      </c>
      <c r="J1329" t="inlineStr">
        <is>
          <t>GP2</t>
        </is>
      </c>
      <c r="K1329" t="inlineStr">
        <is>
          <t>GP2_CANLF</t>
        </is>
      </c>
      <c r="L1329" t="inlineStr">
        <is>
          <t>sp|P25291|GP2_CANLF Pancreatic secretory granule membrane major glycoprotein GP2 OS=Canis lupus familiaris OX=9615 GN=GP2 PE=1 SV=1</t>
        </is>
      </c>
      <c r="M1329" t="n">
        <v>509</v>
      </c>
      <c r="N1329" t="inlineStr">
        <is>
          <t>Canis lupus familiaris</t>
        </is>
      </c>
      <c r="O1329" t="inlineStr">
        <is>
          <t>Pancreatic secretory granule membrane major glycoprotein GP2</t>
        </is>
      </c>
    </row>
    <row r="1330">
      <c r="A1330" t="inlineStr"/>
      <c r="B1330" t="inlineStr"/>
      <c r="C1330" t="inlineStr"/>
      <c r="D1330" t="inlineStr"/>
      <c r="E1330">
        <f>HYPERLINK("https://www.uniprot.org/uniprotkb/G8HTB6/entry", "G8HTB6")</f>
        <v/>
      </c>
      <c r="F1330" t="n">
        <v>28.7</v>
      </c>
      <c r="G1330" t="n">
        <v>164</v>
      </c>
      <c r="H1330" t="n">
        <v>2.73e-08</v>
      </c>
      <c r="I1330" t="inlineStr">
        <is>
          <t>Swiss-Prot</t>
        </is>
      </c>
      <c r="J1330" t="inlineStr"/>
      <c r="K1330" t="inlineStr">
        <is>
          <t>ZPP_ACRMI</t>
        </is>
      </c>
      <c r="L1330" t="inlineStr">
        <is>
          <t>sp|G8HTB6|ZPP_ACRMI ZP domain-containing protein OS=Acropora millepora OX=45264 PE=1 SV=1</t>
        </is>
      </c>
      <c r="M1330" t="n">
        <v>414</v>
      </c>
      <c r="N1330" t="inlineStr">
        <is>
          <t>Acropora millepora</t>
        </is>
      </c>
      <c r="O1330" t="inlineStr">
        <is>
          <t>ZP domain-containing protein</t>
        </is>
      </c>
    </row>
    <row r="1331">
      <c r="A1331" t="inlineStr"/>
      <c r="B1331" t="inlineStr"/>
      <c r="C1331" t="inlineStr"/>
      <c r="D1331" t="inlineStr"/>
      <c r="E1331">
        <f>HYPERLINK("https://www.uniprot.org/uniprotkb/P48733/entry", "P48733")</f>
        <v/>
      </c>
      <c r="F1331" t="n">
        <v>22.9</v>
      </c>
      <c r="G1331" t="n">
        <v>279</v>
      </c>
      <c r="H1331" t="n">
        <v>3.16e-08</v>
      </c>
      <c r="I1331" t="inlineStr">
        <is>
          <t>Swiss-Prot</t>
        </is>
      </c>
      <c r="J1331" t="inlineStr">
        <is>
          <t>UMOD</t>
        </is>
      </c>
      <c r="K1331" t="inlineStr">
        <is>
          <t>UROM_BOVIN</t>
        </is>
      </c>
      <c r="L1331" t="inlineStr">
        <is>
          <t>sp|P48733|UROM_BOVIN Uromodulin OS=Bos taurus OX=9913 GN=UMOD PE=2 SV=1</t>
        </is>
      </c>
      <c r="M1331" t="n">
        <v>643</v>
      </c>
      <c r="N1331" t="inlineStr">
        <is>
          <t>Bos taurus</t>
        </is>
      </c>
      <c r="O1331" t="inlineStr">
        <is>
          <t>Uromodulin</t>
        </is>
      </c>
    </row>
    <row r="1332">
      <c r="A1332" t="inlineStr"/>
      <c r="B1332" t="inlineStr"/>
      <c r="C1332" t="inlineStr"/>
      <c r="D1332" t="inlineStr"/>
      <c r="E1332">
        <f>HYPERLINK("https://www.uniprot.org/uniprotkb/P55259/entry", "P55259")</f>
        <v/>
      </c>
      <c r="F1332" t="n">
        <v>22</v>
      </c>
      <c r="G1332" t="n">
        <v>323</v>
      </c>
      <c r="H1332" t="n">
        <v>3.65e-08</v>
      </c>
      <c r="I1332" t="inlineStr">
        <is>
          <t>Swiss-Prot</t>
        </is>
      </c>
      <c r="J1332" t="inlineStr">
        <is>
          <t>GP2</t>
        </is>
      </c>
      <c r="K1332" t="inlineStr">
        <is>
          <t>GP2_HUMAN</t>
        </is>
      </c>
      <c r="L1332" t="inlineStr">
        <is>
          <t>sp|P55259|GP2_HUMAN Pancreatic secretory granule membrane major glycoprotein GP2 OS=Homo sapiens OX=9606 GN=GP2 PE=1 SV=3</t>
        </is>
      </c>
      <c r="M1332" t="n">
        <v>537</v>
      </c>
      <c r="N1332" t="inlineStr">
        <is>
          <t>Homo sapiens</t>
        </is>
      </c>
      <c r="O1332" t="inlineStr">
        <is>
          <t>Pancreatic secretory granule membrane major glycoprotein GP2</t>
        </is>
      </c>
    </row>
    <row r="1333">
      <c r="A1333" t="inlineStr"/>
      <c r="B1333" t="inlineStr"/>
      <c r="C1333" t="inlineStr"/>
      <c r="D1333" t="inlineStr"/>
      <c r="E1333">
        <f>HYPERLINK("https://www.uniprot.org/uniprotkb/O08523/entry", "O08523")</f>
        <v/>
      </c>
      <c r="F1333" t="n">
        <v>22.1</v>
      </c>
      <c r="G1333" t="n">
        <v>281</v>
      </c>
      <c r="H1333" t="n">
        <v>4.56e-08</v>
      </c>
      <c r="I1333" t="inlineStr">
        <is>
          <t>Swiss-Prot</t>
        </is>
      </c>
      <c r="J1333" t="inlineStr">
        <is>
          <t>Tecta</t>
        </is>
      </c>
      <c r="K1333" t="inlineStr">
        <is>
          <t>TECTA_MOUSE</t>
        </is>
      </c>
      <c r="L1333" t="inlineStr">
        <is>
          <t>sp|O08523|TECTA_MOUSE Alpha-tectorin OS=Mus musculus OX=10090 GN=Tecta PE=1 SV=2</t>
        </is>
      </c>
      <c r="M1333" t="n">
        <v>2155</v>
      </c>
      <c r="N1333" t="inlineStr">
        <is>
          <t>Mus musculus</t>
        </is>
      </c>
      <c r="O1333" t="inlineStr">
        <is>
          <t>Alpha-tectorin</t>
        </is>
      </c>
    </row>
    <row r="1334">
      <c r="A1334" t="inlineStr"/>
      <c r="B1334" t="inlineStr"/>
      <c r="C1334" t="inlineStr"/>
      <c r="D1334" t="inlineStr"/>
      <c r="E1334">
        <f>HYPERLINK("https://www.uniprot.org/uniprotkb/P07911/entry", "P07911")</f>
        <v/>
      </c>
      <c r="F1334" t="n">
        <v>22.4</v>
      </c>
      <c r="G1334" t="n">
        <v>295</v>
      </c>
      <c r="H1334" t="n">
        <v>7.160000000000001e-08</v>
      </c>
      <c r="I1334" t="inlineStr">
        <is>
          <t>Swiss-Prot</t>
        </is>
      </c>
      <c r="J1334" t="inlineStr">
        <is>
          <t>UMOD</t>
        </is>
      </c>
      <c r="K1334" t="inlineStr">
        <is>
          <t>UROM_HUMAN</t>
        </is>
      </c>
      <c r="L1334" t="inlineStr">
        <is>
          <t>sp|P07911|UROM_HUMAN Uromodulin OS=Homo sapiens OX=9606 GN=UMOD PE=1 SV=1</t>
        </is>
      </c>
      <c r="M1334" t="n">
        <v>640</v>
      </c>
      <c r="N1334" t="inlineStr">
        <is>
          <t>Homo sapiens</t>
        </is>
      </c>
      <c r="O1334" t="inlineStr">
        <is>
          <t>Uromodulin</t>
        </is>
      </c>
    </row>
    <row r="1335">
      <c r="A1335" t="inlineStr"/>
      <c r="B1335" t="inlineStr"/>
      <c r="C1335" t="inlineStr"/>
      <c r="D1335" t="inlineStr"/>
      <c r="E1335">
        <f>HYPERLINK("https://www.uniprot.org/uniprotkb/Q96PL2/entry", "Q96PL2")</f>
        <v/>
      </c>
      <c r="F1335" t="n">
        <v>37.9</v>
      </c>
      <c r="G1335" t="n">
        <v>95</v>
      </c>
      <c r="H1335" t="n">
        <v>9.95e-08</v>
      </c>
      <c r="I1335" t="inlineStr">
        <is>
          <t>Swiss-Prot</t>
        </is>
      </c>
      <c r="J1335" t="inlineStr">
        <is>
          <t>TECTB</t>
        </is>
      </c>
      <c r="K1335" t="inlineStr">
        <is>
          <t>TECTB_HUMAN</t>
        </is>
      </c>
      <c r="L1335" t="inlineStr">
        <is>
          <t>sp|Q96PL2|TECTB_HUMAN Beta-tectorin OS=Homo sapiens OX=9606 GN=TECTB PE=2 SV=1</t>
        </is>
      </c>
      <c r="M1335" t="n">
        <v>329</v>
      </c>
      <c r="N1335" t="inlineStr">
        <is>
          <t>Homo sapiens</t>
        </is>
      </c>
      <c r="O1335" t="inlineStr">
        <is>
          <t>Beta-tectorin</t>
        </is>
      </c>
    </row>
    <row r="1336">
      <c r="A1336" t="inlineStr"/>
      <c r="B1336" t="inlineStr"/>
      <c r="C1336" t="inlineStr"/>
      <c r="D1336" t="inlineStr"/>
      <c r="E1336">
        <f>HYPERLINK("https://www.uniprot.org/uniprotkb/O08524/entry", "O08524")</f>
        <v/>
      </c>
      <c r="F1336" t="n">
        <v>36.8</v>
      </c>
      <c r="G1336" t="n">
        <v>95</v>
      </c>
      <c r="H1336" t="n">
        <v>9.95e-08</v>
      </c>
      <c r="I1336" t="inlineStr">
        <is>
          <t>Swiss-Prot</t>
        </is>
      </c>
      <c r="J1336" t="inlineStr">
        <is>
          <t>Tectb</t>
        </is>
      </c>
      <c r="K1336" t="inlineStr">
        <is>
          <t>TECTB_MOUSE</t>
        </is>
      </c>
      <c r="L1336" t="inlineStr">
        <is>
          <t>sp|O08524|TECTB_MOUSE Beta-tectorin OS=Mus musculus OX=10090 GN=Tectb PE=1 SV=2</t>
        </is>
      </c>
      <c r="M1336" t="n">
        <v>329</v>
      </c>
      <c r="N1336" t="inlineStr">
        <is>
          <t>Mus musculus</t>
        </is>
      </c>
      <c r="O1336" t="inlineStr">
        <is>
          <t>Beta-tectorin</t>
        </is>
      </c>
    </row>
    <row r="1337">
      <c r="A1337" t="inlineStr"/>
      <c r="B1337" t="inlineStr"/>
      <c r="C1337" t="inlineStr"/>
      <c r="D1337" t="inlineStr"/>
      <c r="E1337">
        <f>HYPERLINK("https://www.uniprot.org/uniprotkb/O75443/entry", "O75443")</f>
        <v/>
      </c>
      <c r="F1337" t="n">
        <v>22.1</v>
      </c>
      <c r="G1337" t="n">
        <v>281</v>
      </c>
      <c r="H1337" t="n">
        <v>1.76e-07</v>
      </c>
      <c r="I1337" t="inlineStr">
        <is>
          <t>Swiss-Prot</t>
        </is>
      </c>
      <c r="J1337" t="inlineStr">
        <is>
          <t>TECTA</t>
        </is>
      </c>
      <c r="K1337" t="inlineStr">
        <is>
          <t>TECTA_HUMAN</t>
        </is>
      </c>
      <c r="L1337" t="inlineStr">
        <is>
          <t>sp|O75443|TECTA_HUMAN Alpha-tectorin OS=Homo sapiens OX=9606 GN=TECTA PE=1 SV=3</t>
        </is>
      </c>
      <c r="M1337" t="n">
        <v>2155</v>
      </c>
      <c r="N1337" t="inlineStr">
        <is>
          <t>Homo sapiens</t>
        </is>
      </c>
      <c r="O1337" t="inlineStr">
        <is>
          <t>Alpha-tectorin</t>
        </is>
      </c>
    </row>
    <row r="1338">
      <c r="A1338" t="inlineStr"/>
      <c r="B1338" t="inlineStr"/>
      <c r="C1338" t="inlineStr"/>
      <c r="D1338" t="inlineStr"/>
      <c r="E1338">
        <f>HYPERLINK("https://www.uniprot.org/uniprotkb/P70412/entry", "P70412")</f>
        <v/>
      </c>
      <c r="F1338" t="n">
        <v>24.6</v>
      </c>
      <c r="G1338" t="n">
        <v>244</v>
      </c>
      <c r="H1338" t="n">
        <v>3.77e-05</v>
      </c>
      <c r="I1338" t="inlineStr">
        <is>
          <t>Swiss-Prot</t>
        </is>
      </c>
      <c r="J1338" t="inlineStr">
        <is>
          <t>Cuzd1</t>
        </is>
      </c>
      <c r="K1338" t="inlineStr">
        <is>
          <t>CUZD1_MOUSE</t>
        </is>
      </c>
      <c r="L1338" t="inlineStr">
        <is>
          <t>sp|P70412|CUZD1_MOUSE CUB and zona pellucida-like domain-containing protein 1 OS=Mus musculus OX=10090 GN=Cuzd1 PE=1 SV=3</t>
        </is>
      </c>
      <c r="M1338" t="n">
        <v>607</v>
      </c>
      <c r="N1338" t="inlineStr">
        <is>
          <t>Mus musculus</t>
        </is>
      </c>
      <c r="O1338" t="inlineStr">
        <is>
          <t>CUB and zona pellucida-like domain-containing protein 1</t>
        </is>
      </c>
    </row>
    <row r="1339">
      <c r="A1339" t="inlineStr"/>
      <c r="B1339" t="inlineStr"/>
      <c r="C1339" t="inlineStr"/>
      <c r="D1339" t="inlineStr"/>
      <c r="E1339">
        <f>HYPERLINK("https://www.uniprot.org/uniprotkb/P54097/entry", "P54097")</f>
        <v/>
      </c>
      <c r="F1339" t="n">
        <v>36</v>
      </c>
      <c r="G1339" t="n">
        <v>86</v>
      </c>
      <c r="H1339" t="n">
        <v>3.89e-05</v>
      </c>
      <c r="I1339" t="inlineStr">
        <is>
          <t>Swiss-Prot</t>
        </is>
      </c>
      <c r="J1339" t="inlineStr">
        <is>
          <t>TECTB</t>
        </is>
      </c>
      <c r="K1339" t="inlineStr">
        <is>
          <t>TECTB_CHICK</t>
        </is>
      </c>
      <c r="L1339" t="inlineStr">
        <is>
          <t>sp|P54097|TECTB_CHICK Beta-tectorin OS=Gallus gallus OX=9031 GN=TECTB PE=2 SV=1</t>
        </is>
      </c>
      <c r="M1339" t="n">
        <v>329</v>
      </c>
      <c r="N1339" t="inlineStr">
        <is>
          <t>Gallus gallus</t>
        </is>
      </c>
      <c r="O1339" t="inlineStr">
        <is>
          <t>Beta-tectorin</t>
        </is>
      </c>
    </row>
    <row r="1340">
      <c r="A1340" t="inlineStr"/>
      <c r="B1340" t="inlineStr"/>
      <c r="C1340" t="inlineStr"/>
      <c r="D1340" t="inlineStr"/>
      <c r="E1340">
        <f>HYPERLINK("https://www.uniprot.org/uniprotkb/Q05996/entry", "Q05996")</f>
        <v/>
      </c>
      <c r="F1340" t="n">
        <v>23.2</v>
      </c>
      <c r="G1340" t="n">
        <v>280</v>
      </c>
      <c r="H1340" t="n">
        <v>0.000161</v>
      </c>
      <c r="I1340" t="inlineStr">
        <is>
          <t>Swiss-Prot</t>
        </is>
      </c>
      <c r="J1340" t="inlineStr">
        <is>
          <t>ZP2</t>
        </is>
      </c>
      <c r="K1340" t="inlineStr">
        <is>
          <t>ZP2_HUMAN</t>
        </is>
      </c>
      <c r="L1340" t="inlineStr">
        <is>
          <t>sp|Q05996|ZP2_HUMAN Zona pellucida sperm-binding protein 2 OS=Homo sapiens OX=9606 GN=ZP2 PE=1 SV=1</t>
        </is>
      </c>
      <c r="M1340" t="n">
        <v>745</v>
      </c>
      <c r="N1340" t="inlineStr">
        <is>
          <t>Homo sapiens</t>
        </is>
      </c>
      <c r="O1340" t="inlineStr">
        <is>
          <t>Zona pellucida sperm-binding protein 2</t>
        </is>
      </c>
    </row>
    <row r="1341">
      <c r="A1341" t="inlineStr"/>
      <c r="B1341" t="inlineStr"/>
      <c r="C1341" t="inlineStr"/>
      <c r="D1341" t="inlineStr"/>
      <c r="E1341">
        <f>HYPERLINK("https://www.uniprot.org/uniprotkb/O77726/entry", "O77726")</f>
        <v/>
      </c>
      <c r="F1341" t="n">
        <v>23.4</v>
      </c>
      <c r="G1341" t="n">
        <v>278</v>
      </c>
      <c r="H1341" t="n">
        <v>0.000277</v>
      </c>
      <c r="I1341" t="inlineStr">
        <is>
          <t>Swiss-Prot</t>
        </is>
      </c>
      <c r="J1341" t="inlineStr">
        <is>
          <t>ZP2</t>
        </is>
      </c>
      <c r="K1341" t="inlineStr">
        <is>
          <t>ZP2_MACRA</t>
        </is>
      </c>
      <c r="L1341" t="inlineStr">
        <is>
          <t>sp|O77726|ZP2_MACRA Zona pellucida sperm-binding protein 2 OS=Macaca radiata OX=9548 GN=ZP2 PE=1 SV=1</t>
        </is>
      </c>
      <c r="M1341" t="n">
        <v>745</v>
      </c>
      <c r="N1341" t="inlineStr">
        <is>
          <t>Macaca radiata</t>
        </is>
      </c>
      <c r="O1341" t="inlineStr">
        <is>
          <t>Zona pellucida sperm-binding protein 2</t>
        </is>
      </c>
    </row>
    <row r="1342">
      <c r="A1342" t="inlineStr"/>
      <c r="B1342" t="inlineStr"/>
      <c r="C1342" t="inlineStr"/>
      <c r="D1342" t="inlineStr"/>
      <c r="E1342">
        <f>HYPERLINK("https://www.uniprot.org/uniprotkb/P42099/entry", "P42099")</f>
        <v/>
      </c>
      <c r="F1342" t="n">
        <v>26.4</v>
      </c>
      <c r="G1342" t="n">
        <v>193</v>
      </c>
      <c r="H1342" t="n">
        <v>0.000471</v>
      </c>
      <c r="I1342" t="inlineStr">
        <is>
          <t>Swiss-Prot</t>
        </is>
      </c>
      <c r="J1342" t="inlineStr">
        <is>
          <t>ZP2</t>
        </is>
      </c>
      <c r="K1342" t="inlineStr">
        <is>
          <t>ZP2_PIG</t>
        </is>
      </c>
      <c r="L1342" t="inlineStr">
        <is>
          <t>sp|P42099|ZP2_PIG Zona pellucida sperm-binding protein 2 OS=Sus scrofa OX=9823 GN=ZP2 PE=2 SV=2</t>
        </is>
      </c>
      <c r="M1342" t="n">
        <v>716</v>
      </c>
      <c r="N1342" t="inlineStr">
        <is>
          <t>Sus scrofa</t>
        </is>
      </c>
      <c r="O1342" t="inlineStr">
        <is>
          <t>Zona pellucida sperm-binding protein 2</t>
        </is>
      </c>
    </row>
    <row r="1343">
      <c r="A1343" t="inlineStr"/>
      <c r="B1343" t="inlineStr"/>
      <c r="C1343" t="inlineStr"/>
      <c r="D1343" t="inlineStr"/>
      <c r="E1343">
        <f>HYPERLINK("https://www.uniprot.org/uniprotkb/P20239/entry", "P20239")</f>
        <v/>
      </c>
      <c r="F1343" t="n">
        <v>26.9</v>
      </c>
      <c r="G1343" t="n">
        <v>186</v>
      </c>
      <c r="H1343" t="n">
        <v>0.000617</v>
      </c>
      <c r="I1343" t="inlineStr">
        <is>
          <t>Swiss-Prot</t>
        </is>
      </c>
      <c r="J1343" t="inlineStr">
        <is>
          <t>Zp2</t>
        </is>
      </c>
      <c r="K1343" t="inlineStr">
        <is>
          <t>ZP2_MOUSE</t>
        </is>
      </c>
      <c r="L1343" t="inlineStr">
        <is>
          <t>sp|P20239|ZP2_MOUSE Zona pellucida sperm-binding protein 2 OS=Mus musculus OX=10090 GN=Zp2 PE=1 SV=1</t>
        </is>
      </c>
      <c r="M1343" t="n">
        <v>713</v>
      </c>
      <c r="N1343" t="inlineStr">
        <is>
          <t>Mus musculus</t>
        </is>
      </c>
      <c r="O1343" t="inlineStr">
        <is>
          <t>Zona pellucida sperm-binding protein 2</t>
        </is>
      </c>
    </row>
    <row r="1344">
      <c r="A1344" t="inlineStr">
        <is>
          <t>NODE_129944_length_1267_cov_185.318333_g3824_i4</t>
        </is>
      </c>
      <c r="B1344" t="inlineStr">
        <is>
          <t>bombina_pachypus_blastx</t>
        </is>
      </c>
      <c r="C1344" t="n">
        <v>2.88678779581038</v>
      </c>
      <c r="D1344" t="n">
        <v>0.0034910703085858</v>
      </c>
      <c r="E1344">
        <f>HYPERLINK("https://www.uniprot.org/uniprotkb/A0A803JXE6/entry", "A0A803JXE6")</f>
        <v/>
      </c>
      <c r="F1344" t="n">
        <v>44.7</v>
      </c>
      <c r="G1344" t="n">
        <v>76</v>
      </c>
      <c r="H1344" t="n">
        <v>1.96e-11</v>
      </c>
      <c r="I1344" t="inlineStr">
        <is>
          <t>TrEMBL</t>
        </is>
      </c>
      <c r="J1344" t="inlineStr"/>
      <c r="K1344" t="inlineStr">
        <is>
          <t>A0A803JXE6_XENTR</t>
        </is>
      </c>
      <c r="L1344" t="inlineStr">
        <is>
          <t>tr|A0A803JXE6|A0A803JXE6_XENTR LAP2alpha domain-containing protein OS=Xenopus tropicalis OX=8364 PE=4 SV=1</t>
        </is>
      </c>
      <c r="M1344" t="n">
        <v>460</v>
      </c>
      <c r="N1344" t="inlineStr">
        <is>
          <t>Xenopus tropicalis</t>
        </is>
      </c>
      <c r="O1344" t="inlineStr">
        <is>
          <t>LAP2alpha domain-containing protein</t>
        </is>
      </c>
    </row>
    <row r="1345">
      <c r="A1345" t="inlineStr"/>
      <c r="B1345" t="inlineStr"/>
      <c r="C1345" t="inlineStr"/>
      <c r="D1345" t="inlineStr"/>
      <c r="E1345">
        <f>HYPERLINK("https://www.uniprot.org/uniprotkb/A0A8J1L2R9/entry", "A0A8J1L2R9")</f>
        <v/>
      </c>
      <c r="F1345" t="n">
        <v>45.1</v>
      </c>
      <c r="G1345" t="n">
        <v>71</v>
      </c>
      <c r="H1345" t="n">
        <v>2.68e-11</v>
      </c>
      <c r="I1345" t="inlineStr">
        <is>
          <t>TrEMBL</t>
        </is>
      </c>
      <c r="J1345" t="inlineStr">
        <is>
          <t>LOC121395161</t>
        </is>
      </c>
      <c r="K1345" t="inlineStr">
        <is>
          <t>A0A8J1L2R9_XENLA</t>
        </is>
      </c>
      <c r="L1345" t="inlineStr">
        <is>
          <t>tr|A0A8J1L2R9|A0A8J1L2R9_XENLA lamina-associated polypeptide 2, isoforms alpha/zeta-like isoform X2 OS=Xenopus laevis OX=8355 GN=LOC121395161 PE=4 SV=1</t>
        </is>
      </c>
      <c r="M1345" t="n">
        <v>462</v>
      </c>
      <c r="N1345" t="inlineStr">
        <is>
          <t>Xenopus laevis</t>
        </is>
      </c>
      <c r="O1345" t="inlineStr">
        <is>
          <t>lamina-associated polypeptide 2, isoforms alpha/zeta-like isoform X2</t>
        </is>
      </c>
    </row>
    <row r="1346">
      <c r="A1346" t="inlineStr"/>
      <c r="B1346" t="inlineStr"/>
      <c r="C1346" t="inlineStr"/>
      <c r="D1346" t="inlineStr"/>
      <c r="E1346">
        <f>HYPERLINK("https://www.uniprot.org/uniprotkb/A0A8J1KXE0/entry", "A0A8J1KXE0")</f>
        <v/>
      </c>
      <c r="F1346" t="n">
        <v>45.1</v>
      </c>
      <c r="G1346" t="n">
        <v>71</v>
      </c>
      <c r="H1346" t="n">
        <v>2.68e-11</v>
      </c>
      <c r="I1346" t="inlineStr">
        <is>
          <t>TrEMBL</t>
        </is>
      </c>
      <c r="J1346" t="inlineStr">
        <is>
          <t>LOC121394614</t>
        </is>
      </c>
      <c r="K1346" t="inlineStr">
        <is>
          <t>A0A8J1KXE0_XENLA</t>
        </is>
      </c>
      <c r="L1346" t="inlineStr">
        <is>
          <t>tr|A0A8J1KXE0|A0A8J1KXE0_XENLA lamina-associated polypeptide 2, isoforms alpha/zeta-like isoform X2 OS=Xenopus laevis OX=8355 GN=LOC121394614 PE=4 SV=1</t>
        </is>
      </c>
      <c r="M1346" t="n">
        <v>462</v>
      </c>
      <c r="N1346" t="inlineStr">
        <is>
          <t>Xenopus laevis</t>
        </is>
      </c>
      <c r="O1346" t="inlineStr">
        <is>
          <t>lamina-associated polypeptide 2, isoforms alpha/zeta-like isoform X2</t>
        </is>
      </c>
    </row>
    <row r="1347">
      <c r="A1347" t="inlineStr"/>
      <c r="B1347" t="inlineStr"/>
      <c r="C1347" t="inlineStr"/>
      <c r="D1347" t="inlineStr"/>
      <c r="E1347">
        <f>HYPERLINK("https://www.uniprot.org/uniprotkb/A0A8J1L5I1/entry", "A0A8J1L5I1")</f>
        <v/>
      </c>
      <c r="F1347" t="n">
        <v>45.1</v>
      </c>
      <c r="G1347" t="n">
        <v>71</v>
      </c>
      <c r="H1347" t="n">
        <v>2.74e-11</v>
      </c>
      <c r="I1347" t="inlineStr">
        <is>
          <t>TrEMBL</t>
        </is>
      </c>
      <c r="J1347" t="inlineStr">
        <is>
          <t>LOC121395161</t>
        </is>
      </c>
      <c r="K1347" t="inlineStr">
        <is>
          <t>A0A8J1L5I1_XENLA</t>
        </is>
      </c>
      <c r="L1347" t="inlineStr">
        <is>
          <t>tr|A0A8J1L5I1|A0A8J1L5I1_XENLA lamina-associated polypeptide 2, isoforms alpha/zeta-like isoform X1 OS=Xenopus laevis OX=8355 GN=LOC121395161 PE=4 SV=1</t>
        </is>
      </c>
      <c r="M1347" t="n">
        <v>545</v>
      </c>
      <c r="N1347" t="inlineStr">
        <is>
          <t>Xenopus laevis</t>
        </is>
      </c>
      <c r="O1347" t="inlineStr">
        <is>
          <t>lamina-associated polypeptide 2, isoforms alpha/zeta-like isoform X1</t>
        </is>
      </c>
    </row>
    <row r="1348">
      <c r="A1348" t="inlineStr"/>
      <c r="B1348" t="inlineStr"/>
      <c r="C1348" t="inlineStr"/>
      <c r="D1348" t="inlineStr"/>
      <c r="E1348">
        <f>HYPERLINK("https://www.uniprot.org/uniprotkb/A0A8J1KXD8/entry", "A0A8J1KXD8")</f>
        <v/>
      </c>
      <c r="F1348" t="n">
        <v>45.1</v>
      </c>
      <c r="G1348" t="n">
        <v>71</v>
      </c>
      <c r="H1348" t="n">
        <v>2.74e-11</v>
      </c>
      <c r="I1348" t="inlineStr">
        <is>
          <t>TrEMBL</t>
        </is>
      </c>
      <c r="J1348" t="inlineStr">
        <is>
          <t>LOC121394614</t>
        </is>
      </c>
      <c r="K1348" t="inlineStr">
        <is>
          <t>A0A8J1KXD8_XENLA</t>
        </is>
      </c>
      <c r="L1348" t="inlineStr">
        <is>
          <t>tr|A0A8J1KXD8|A0A8J1KXD8_XENLA lamina-associated polypeptide 2, isoforms alpha/zeta-like isoform X1 OS=Xenopus laevis OX=8355 GN=LOC121394614 PE=4 SV=1</t>
        </is>
      </c>
      <c r="M1348" t="n">
        <v>548</v>
      </c>
      <c r="N1348" t="inlineStr">
        <is>
          <t>Xenopus laevis</t>
        </is>
      </c>
      <c r="O1348" t="inlineStr">
        <is>
          <t>lamina-associated polypeptide 2, isoforms alpha/zeta-like isoform X1</t>
        </is>
      </c>
    </row>
    <row r="1349">
      <c r="A1349" t="inlineStr"/>
      <c r="B1349" t="inlineStr"/>
      <c r="C1349" t="inlineStr"/>
      <c r="D1349" t="inlineStr"/>
      <c r="E1349">
        <f>HYPERLINK("https://www.uniprot.org/uniprotkb/A0A8J1LQ31/entry", "A0A8J1LQ31")</f>
        <v/>
      </c>
      <c r="F1349" t="n">
        <v>43.2</v>
      </c>
      <c r="G1349" t="n">
        <v>74</v>
      </c>
      <c r="H1349" t="n">
        <v>2.9e-11</v>
      </c>
      <c r="I1349" t="inlineStr">
        <is>
          <t>TrEMBL</t>
        </is>
      </c>
      <c r="J1349" t="inlineStr">
        <is>
          <t>LOC121397804</t>
        </is>
      </c>
      <c r="K1349" t="inlineStr">
        <is>
          <t>A0A8J1LQ31_XENLA</t>
        </is>
      </c>
      <c r="L1349" t="inlineStr">
        <is>
          <t>tr|A0A8J1LQ31|A0A8J1LQ31_XENLA uncharacterized protein LOC121397804 OS=Xenopus laevis OX=8355 GN=LOC121397804 PE=4 SV=1</t>
        </is>
      </c>
      <c r="M1349" t="n">
        <v>1421</v>
      </c>
      <c r="N1349" t="inlineStr">
        <is>
          <t>Xenopus laevis</t>
        </is>
      </c>
      <c r="O1349" t="inlineStr">
        <is>
          <t>uncharacterized protein LOC121397804</t>
        </is>
      </c>
    </row>
    <row r="1350">
      <c r="A1350" t="inlineStr"/>
      <c r="B1350" t="inlineStr"/>
      <c r="C1350" t="inlineStr"/>
      <c r="D1350" t="inlineStr"/>
      <c r="E1350">
        <f>HYPERLINK("https://www.uniprot.org/uniprotkb/A0A8J1LBP2/entry", "A0A8J1LBP2")</f>
        <v/>
      </c>
      <c r="F1350" t="n">
        <v>43.7</v>
      </c>
      <c r="G1350" t="n">
        <v>71</v>
      </c>
      <c r="H1350" t="n">
        <v>6.81e-11</v>
      </c>
      <c r="I1350" t="inlineStr">
        <is>
          <t>TrEMBL</t>
        </is>
      </c>
      <c r="J1350" t="inlineStr">
        <is>
          <t>LOC121396240</t>
        </is>
      </c>
      <c r="K1350" t="inlineStr">
        <is>
          <t>A0A8J1LBP2_XENLA</t>
        </is>
      </c>
      <c r="L1350" t="inlineStr">
        <is>
          <t>tr|A0A8J1LBP2|A0A8J1LBP2_XENLA uncharacterized protein LOC121396240 OS=Xenopus laevis OX=8355 GN=LOC121396240 PE=4 SV=1</t>
        </is>
      </c>
      <c r="M1350" t="n">
        <v>458</v>
      </c>
      <c r="N1350" t="inlineStr">
        <is>
          <t>Xenopus laevis</t>
        </is>
      </c>
      <c r="O1350" t="inlineStr">
        <is>
          <t>uncharacterized protein LOC121396240</t>
        </is>
      </c>
    </row>
    <row r="1351">
      <c r="A1351" t="inlineStr"/>
      <c r="B1351" t="inlineStr"/>
      <c r="C1351" t="inlineStr"/>
      <c r="D1351" t="inlineStr"/>
      <c r="E1351">
        <f>HYPERLINK("https://www.uniprot.org/uniprotkb/A0A8J1KSP0/entry", "A0A8J1KSP0")</f>
        <v/>
      </c>
      <c r="F1351" t="n">
        <v>45.1</v>
      </c>
      <c r="G1351" t="n">
        <v>71</v>
      </c>
      <c r="H1351" t="n">
        <v>6.819999999999999e-11</v>
      </c>
      <c r="I1351" t="inlineStr">
        <is>
          <t>TrEMBL</t>
        </is>
      </c>
      <c r="J1351" t="inlineStr">
        <is>
          <t>LOC121393971</t>
        </is>
      </c>
      <c r="K1351" t="inlineStr">
        <is>
          <t>A0A8J1KSP0_XENLA</t>
        </is>
      </c>
      <c r="L1351" t="inlineStr">
        <is>
          <t>tr|A0A8J1KSP0|A0A8J1KSP0_XENLA lamina-associated polypeptide 2, isoforms alpha/zeta-like OS=Xenopus laevis OX=8355 GN=LOC121393971 PE=4 SV=1</t>
        </is>
      </c>
      <c r="M1351" t="n">
        <v>462</v>
      </c>
      <c r="N1351" t="inlineStr">
        <is>
          <t>Xenopus laevis</t>
        </is>
      </c>
      <c r="O1351" t="inlineStr">
        <is>
          <t>lamina-associated polypeptide 2, isoforms alpha/zeta-like</t>
        </is>
      </c>
    </row>
    <row r="1352">
      <c r="A1352" t="inlineStr"/>
      <c r="B1352" t="inlineStr"/>
      <c r="C1352" t="inlineStr"/>
      <c r="D1352" t="inlineStr"/>
      <c r="E1352">
        <f>HYPERLINK("https://www.ncbi.nlm.nih.gov/gene/?term=XP_041421971.1", "XP_041421971.1")</f>
        <v/>
      </c>
      <c r="F1352" t="n">
        <v>45.1</v>
      </c>
      <c r="G1352" t="n">
        <v>71</v>
      </c>
      <c r="H1352" t="n">
        <v>6.870000000000001e-11</v>
      </c>
      <c r="I1352" t="inlineStr">
        <is>
          <t>Nr</t>
        </is>
      </c>
      <c r="J1352" t="inlineStr"/>
      <c r="K1352" t="inlineStr"/>
      <c r="L1352" t="inlineStr">
        <is>
          <t>XP_041421971.1 lamina-associated polypeptide 2, isoforms alpha/zeta-like isoform X2 [Xenopus laevis]</t>
        </is>
      </c>
      <c r="M1352" t="n">
        <v>462</v>
      </c>
      <c r="N1352" t="inlineStr">
        <is>
          <t>Xenopus laevis</t>
        </is>
      </c>
      <c r="O1352" t="inlineStr">
        <is>
          <t>lamina-associated polypeptide 2, isoforms alpha/zeta-like isoform X2</t>
        </is>
      </c>
    </row>
    <row r="1353">
      <c r="A1353" t="inlineStr"/>
      <c r="B1353" t="inlineStr"/>
      <c r="C1353" t="inlineStr"/>
      <c r="D1353" t="inlineStr"/>
      <c r="E1353">
        <f>HYPERLINK("https://www.ncbi.nlm.nih.gov/gene/?term=XP_041423846.1", "XP_041423846.1")</f>
        <v/>
      </c>
      <c r="F1353" t="n">
        <v>45.1</v>
      </c>
      <c r="G1353" t="n">
        <v>71</v>
      </c>
      <c r="H1353" t="n">
        <v>6.870000000000001e-11</v>
      </c>
      <c r="I1353" t="inlineStr">
        <is>
          <t>Nr</t>
        </is>
      </c>
      <c r="J1353" t="inlineStr"/>
      <c r="K1353" t="inlineStr"/>
      <c r="L1353" t="inlineStr">
        <is>
          <t>XP_041423846.1 lamina-associated polypeptide 2, isoforms alpha/zeta-like isoform X2 [Xenopus laevis]</t>
        </is>
      </c>
      <c r="M1353" t="n">
        <v>462</v>
      </c>
      <c r="N1353" t="inlineStr">
        <is>
          <t>Xenopus laevis</t>
        </is>
      </c>
      <c r="O1353" t="inlineStr">
        <is>
          <t>lamina-associated polypeptide 2, isoforms alpha/zeta-like isoform X2</t>
        </is>
      </c>
    </row>
    <row r="1354">
      <c r="A1354" t="inlineStr"/>
      <c r="B1354" t="inlineStr"/>
      <c r="C1354" t="inlineStr"/>
      <c r="D1354" t="inlineStr"/>
      <c r="E1354">
        <f>HYPERLINK("https://www.ncbi.nlm.nih.gov/gene/?term=XP_041423845.1", "XP_041423845.1")</f>
        <v/>
      </c>
      <c r="F1354" t="n">
        <v>45.1</v>
      </c>
      <c r="G1354" t="n">
        <v>71</v>
      </c>
      <c r="H1354" t="n">
        <v>7.04e-11</v>
      </c>
      <c r="I1354" t="inlineStr">
        <is>
          <t>Nr</t>
        </is>
      </c>
      <c r="J1354" t="inlineStr"/>
      <c r="K1354" t="inlineStr"/>
      <c r="L1354" t="inlineStr">
        <is>
          <t>XP_041423845.1 lamina-associated polypeptide 2, isoforms alpha/zeta-like isoform X1 [Xenopus laevis]</t>
        </is>
      </c>
      <c r="M1354" t="n">
        <v>545</v>
      </c>
      <c r="N1354" t="inlineStr">
        <is>
          <t>Xenopus laevis</t>
        </is>
      </c>
      <c r="O1354" t="inlineStr">
        <is>
          <t>lamina-associated polypeptide 2, isoforms alpha/zeta-like isoform X1</t>
        </is>
      </c>
    </row>
    <row r="1355">
      <c r="A1355" t="inlineStr"/>
      <c r="B1355" t="inlineStr"/>
      <c r="C1355" t="inlineStr"/>
      <c r="D1355" t="inlineStr"/>
      <c r="E1355">
        <f>HYPERLINK("https://www.ncbi.nlm.nih.gov/gene/?term=XP_041421970.1", "XP_041421970.1")</f>
        <v/>
      </c>
      <c r="F1355" t="n">
        <v>45.1</v>
      </c>
      <c r="G1355" t="n">
        <v>71</v>
      </c>
      <c r="H1355" t="n">
        <v>7.05e-11</v>
      </c>
      <c r="I1355" t="inlineStr">
        <is>
          <t>Nr</t>
        </is>
      </c>
      <c r="J1355" t="inlineStr"/>
      <c r="K1355" t="inlineStr"/>
      <c r="L1355" t="inlineStr">
        <is>
          <t>XP_041421970.1 lamina-associated polypeptide 2, isoforms alpha/zeta-like isoform X1 [Xenopus laevis]</t>
        </is>
      </c>
      <c r="M1355" t="n">
        <v>548</v>
      </c>
      <c r="N1355" t="inlineStr">
        <is>
          <t>Xenopus laevis</t>
        </is>
      </c>
      <c r="O1355" t="inlineStr">
        <is>
          <t>lamina-associated polypeptide 2, isoforms alpha/zeta-like isoform X1</t>
        </is>
      </c>
    </row>
    <row r="1356">
      <c r="A1356" t="inlineStr"/>
      <c r="B1356" t="inlineStr"/>
      <c r="C1356" t="inlineStr"/>
      <c r="D1356" t="inlineStr"/>
      <c r="E1356">
        <f>HYPERLINK("https://www.uniprot.org/uniprotkb/A0A8J1KMD2/entry", "A0A8J1KMD2")</f>
        <v/>
      </c>
      <c r="F1356" t="n">
        <v>43.7</v>
      </c>
      <c r="G1356" t="n">
        <v>71</v>
      </c>
      <c r="H1356" t="n">
        <v>7.31e-11</v>
      </c>
      <c r="I1356" t="inlineStr">
        <is>
          <t>TrEMBL</t>
        </is>
      </c>
      <c r="J1356" t="inlineStr">
        <is>
          <t>LOC121393601</t>
        </is>
      </c>
      <c r="K1356" t="inlineStr">
        <is>
          <t>A0A8J1KMD2_XENLA</t>
        </is>
      </c>
      <c r="L1356" t="inlineStr">
        <is>
          <t>tr|A0A8J1KMD2|A0A8J1KMD2_XENLA ribonuclease H OS=Xenopus laevis OX=8355 GN=LOC121393601 PE=3 SV=1</t>
        </is>
      </c>
      <c r="M1356" t="n">
        <v>1091</v>
      </c>
      <c r="N1356" t="inlineStr">
        <is>
          <t>Xenopus laevis</t>
        </is>
      </c>
      <c r="O1356" t="inlineStr">
        <is>
          <t>ribonuclease H</t>
        </is>
      </c>
    </row>
    <row r="1357">
      <c r="A1357" t="inlineStr"/>
      <c r="B1357" t="inlineStr"/>
      <c r="C1357" t="inlineStr"/>
      <c r="D1357" t="inlineStr"/>
      <c r="E1357">
        <f>HYPERLINK("https://www.ncbi.nlm.nih.gov/gene/?term=XP_041431344.1", "XP_041431344.1")</f>
        <v/>
      </c>
      <c r="F1357" t="n">
        <v>43.2</v>
      </c>
      <c r="G1357" t="n">
        <v>74</v>
      </c>
      <c r="H1357" t="n">
        <v>7.460000000000001e-11</v>
      </c>
      <c r="I1357" t="inlineStr">
        <is>
          <t>Nr</t>
        </is>
      </c>
      <c r="J1357" t="inlineStr"/>
      <c r="K1357" t="inlineStr"/>
      <c r="L1357" t="inlineStr">
        <is>
          <t>XP_041431344.1 uncharacterized protein LOC121397804 [Xenopus laevis]</t>
        </is>
      </c>
      <c r="M1357" t="n">
        <v>1421</v>
      </c>
      <c r="N1357" t="inlineStr">
        <is>
          <t>Xenopus laevis</t>
        </is>
      </c>
      <c r="O1357" t="inlineStr">
        <is>
          <t>uncharacterized protein LOC121397804</t>
        </is>
      </c>
    </row>
    <row r="1358">
      <c r="A1358" t="inlineStr"/>
      <c r="B1358" t="inlineStr"/>
      <c r="C1358" t="inlineStr"/>
      <c r="D1358" t="inlineStr"/>
      <c r="E1358">
        <f>HYPERLINK("https://www.uniprot.org/uniprotkb/A0A8J1KP44/entry", "A0A8J1KP44")</f>
        <v/>
      </c>
      <c r="F1358" t="n">
        <v>42.3</v>
      </c>
      <c r="G1358" t="n">
        <v>71</v>
      </c>
      <c r="H1358" t="n">
        <v>1.46e-10</v>
      </c>
      <c r="I1358" t="inlineStr">
        <is>
          <t>TrEMBL</t>
        </is>
      </c>
      <c r="J1358" t="inlineStr">
        <is>
          <t>LOC121393604</t>
        </is>
      </c>
      <c r="K1358" t="inlineStr">
        <is>
          <t>A0A8J1KP44_XENLA</t>
        </is>
      </c>
      <c r="L1358" t="inlineStr">
        <is>
          <t>tr|A0A8J1KP44|A0A8J1KP44_XENLA uncharacterized protein LOC121393604 OS=Xenopus laevis OX=8355 GN=LOC121393604 PE=4 SV=1</t>
        </is>
      </c>
      <c r="M1358" t="n">
        <v>343</v>
      </c>
      <c r="N1358" t="inlineStr">
        <is>
          <t>Xenopus laevis</t>
        </is>
      </c>
      <c r="O1358" t="inlineStr">
        <is>
          <t>uncharacterized protein LOC121393604</t>
        </is>
      </c>
    </row>
    <row r="1359">
      <c r="A1359" t="inlineStr"/>
      <c r="B1359" t="inlineStr"/>
      <c r="C1359" t="inlineStr"/>
      <c r="D1359" t="inlineStr"/>
      <c r="E1359">
        <f>HYPERLINK("https://www.ncbi.nlm.nih.gov/gene/?term=XP_041426953.1", "XP_041426953.1")</f>
        <v/>
      </c>
      <c r="F1359" t="n">
        <v>43.7</v>
      </c>
      <c r="G1359" t="n">
        <v>71</v>
      </c>
      <c r="H1359" t="n">
        <v>1.75e-10</v>
      </c>
      <c r="I1359" t="inlineStr">
        <is>
          <t>Nr</t>
        </is>
      </c>
      <c r="J1359" t="inlineStr"/>
      <c r="K1359" t="inlineStr"/>
      <c r="L1359" t="inlineStr">
        <is>
          <t>XP_041426953.1 uncharacterized protein LOC121396240 [Xenopus laevis]</t>
        </is>
      </c>
      <c r="M1359" t="n">
        <v>458</v>
      </c>
      <c r="N1359" t="inlineStr">
        <is>
          <t>Xenopus laevis</t>
        </is>
      </c>
      <c r="O1359" t="inlineStr">
        <is>
          <t>uncharacterized protein LOC121396240</t>
        </is>
      </c>
    </row>
    <row r="1360">
      <c r="A1360" t="inlineStr"/>
      <c r="B1360" t="inlineStr"/>
      <c r="C1360" t="inlineStr"/>
      <c r="D1360" t="inlineStr"/>
      <c r="E1360">
        <f>HYPERLINK("https://www.ncbi.nlm.nih.gov/gene/?term=XP_041419778.1", "XP_041419778.1")</f>
        <v/>
      </c>
      <c r="F1360" t="n">
        <v>45.1</v>
      </c>
      <c r="G1360" t="n">
        <v>71</v>
      </c>
      <c r="H1360" t="n">
        <v>1.75e-10</v>
      </c>
      <c r="I1360" t="inlineStr">
        <is>
          <t>Nr</t>
        </is>
      </c>
      <c r="J1360" t="inlineStr"/>
      <c r="K1360" t="inlineStr"/>
      <c r="L1360" t="inlineStr">
        <is>
          <t>XP_041419778.1 lamina-associated polypeptide 2, isoforms alpha/zeta-like [Xenopus laevis]</t>
        </is>
      </c>
      <c r="M1360" t="n">
        <v>462</v>
      </c>
      <c r="N1360" t="inlineStr">
        <is>
          <t>Xenopus laevis</t>
        </is>
      </c>
      <c r="O1360" t="inlineStr">
        <is>
          <t>lamina-associated polypeptide 2, isoforms alpha/zeta-like</t>
        </is>
      </c>
    </row>
    <row r="1361">
      <c r="A1361" t="inlineStr"/>
      <c r="B1361" t="inlineStr"/>
      <c r="C1361" t="inlineStr"/>
      <c r="D1361" t="inlineStr"/>
      <c r="E1361">
        <f>HYPERLINK("https://www.ncbi.nlm.nih.gov/gene/?term=XP_041418470.1", "XP_041418470.1")</f>
        <v/>
      </c>
      <c r="F1361" t="n">
        <v>43.7</v>
      </c>
      <c r="G1361" t="n">
        <v>71</v>
      </c>
      <c r="H1361" t="n">
        <v>1.88e-10</v>
      </c>
      <c r="I1361" t="inlineStr">
        <is>
          <t>Nr</t>
        </is>
      </c>
      <c r="J1361" t="inlineStr"/>
      <c r="K1361" t="inlineStr"/>
      <c r="L1361" t="inlineStr">
        <is>
          <t>XP_041418470.1 uncharacterized protein LOC121393601 [Xenopus laevis]</t>
        </is>
      </c>
      <c r="M1361" t="n">
        <v>1091</v>
      </c>
      <c r="N1361" t="inlineStr">
        <is>
          <t>Xenopus laevis</t>
        </is>
      </c>
      <c r="O1361" t="inlineStr">
        <is>
          <t>uncharacterized protein LOC121393601</t>
        </is>
      </c>
    </row>
    <row r="1362">
      <c r="A1362" t="inlineStr"/>
      <c r="B1362" t="inlineStr"/>
      <c r="C1362" t="inlineStr"/>
      <c r="D1362" t="inlineStr"/>
      <c r="E1362">
        <f>HYPERLINK("https://www.uniprot.org/uniprotkb/A0A8J1LR15/entry", "A0A8J1LR15")</f>
        <v/>
      </c>
      <c r="F1362" t="n">
        <v>48</v>
      </c>
      <c r="G1362" t="n">
        <v>75</v>
      </c>
      <c r="H1362" t="n">
        <v>2.34e-10</v>
      </c>
      <c r="I1362" t="inlineStr">
        <is>
          <t>TrEMBL</t>
        </is>
      </c>
      <c r="J1362" t="inlineStr">
        <is>
          <t>LOC121397903</t>
        </is>
      </c>
      <c r="K1362" t="inlineStr">
        <is>
          <t>A0A8J1LR15_XENLA</t>
        </is>
      </c>
      <c r="L1362" t="inlineStr">
        <is>
          <t>tr|A0A8J1LR15|A0A8J1LR15_XENLA lamina-associated polypeptide 2-like isoform X3 OS=Xenopus laevis OX=8355 GN=LOC121397903 PE=4 SV=1</t>
        </is>
      </c>
      <c r="M1362" t="n">
        <v>432</v>
      </c>
      <c r="N1362" t="inlineStr">
        <is>
          <t>Xenopus laevis</t>
        </is>
      </c>
      <c r="O1362" t="inlineStr">
        <is>
          <t>lamina-associated polypeptide 2-like isoform X3</t>
        </is>
      </c>
    </row>
    <row r="1363">
      <c r="A1363" t="inlineStr"/>
      <c r="B1363" t="inlineStr"/>
      <c r="C1363" t="inlineStr"/>
      <c r="D1363" t="inlineStr"/>
      <c r="E1363">
        <f>HYPERLINK("https://www.uniprot.org/uniprotkb/A0A8J1LSF2/entry", "A0A8J1LSF2")</f>
        <v/>
      </c>
      <c r="F1363" t="n">
        <v>48</v>
      </c>
      <c r="G1363" t="n">
        <v>75</v>
      </c>
      <c r="H1363" t="n">
        <v>2.44e-10</v>
      </c>
      <c r="I1363" t="inlineStr">
        <is>
          <t>TrEMBL</t>
        </is>
      </c>
      <c r="J1363" t="inlineStr">
        <is>
          <t>LOC121397903</t>
        </is>
      </c>
      <c r="K1363" t="inlineStr">
        <is>
          <t>A0A8J1LSF2_XENLA</t>
        </is>
      </c>
      <c r="L1363" t="inlineStr">
        <is>
          <t>tr|A0A8J1LSF2|A0A8J1LSF2_XENLA lamina-associated polypeptide 2-like isoform X1 OS=Xenopus laevis OX=8355 GN=LOC121397903 PE=4 SV=1</t>
        </is>
      </c>
      <c r="M1363" t="n">
        <v>583</v>
      </c>
      <c r="N1363" t="inlineStr">
        <is>
          <t>Xenopus laevis</t>
        </is>
      </c>
      <c r="O1363" t="inlineStr">
        <is>
          <t>lamina-associated polypeptide 2-like isoform X1</t>
        </is>
      </c>
    </row>
    <row r="1364">
      <c r="A1364" t="inlineStr"/>
      <c r="B1364" t="inlineStr"/>
      <c r="C1364" t="inlineStr"/>
      <c r="D1364" t="inlineStr"/>
      <c r="E1364">
        <f>HYPERLINK("https://www.uniprot.org/uniprotkb/A0A8J1LKE3/entry", "A0A8J1LKE3")</f>
        <v/>
      </c>
      <c r="F1364" t="n">
        <v>36.4</v>
      </c>
      <c r="G1364" t="n">
        <v>88</v>
      </c>
      <c r="H1364" t="n">
        <v>2.97e-10</v>
      </c>
      <c r="I1364" t="inlineStr">
        <is>
          <t>TrEMBL</t>
        </is>
      </c>
      <c r="J1364" t="inlineStr">
        <is>
          <t>LOC121397096</t>
        </is>
      </c>
      <c r="K1364" t="inlineStr">
        <is>
          <t>A0A8J1LKE3_XENLA</t>
        </is>
      </c>
      <c r="L1364" t="inlineStr">
        <is>
          <t>tr|A0A8J1LKE3|A0A8J1LKE3_XENLA lamina-associated polypeptide 2-like OS=Xenopus laevis OX=8355 GN=LOC121397096 PE=4 SV=1</t>
        </is>
      </c>
      <c r="M1364" t="n">
        <v>372</v>
      </c>
      <c r="N1364" t="inlineStr">
        <is>
          <t>Xenopus laevis</t>
        </is>
      </c>
      <c r="O1364" t="inlineStr">
        <is>
          <t>lamina-associated polypeptide 2-like</t>
        </is>
      </c>
    </row>
    <row r="1365">
      <c r="A1365" t="inlineStr"/>
      <c r="B1365" t="inlineStr"/>
      <c r="C1365" t="inlineStr"/>
      <c r="D1365" t="inlineStr"/>
      <c r="E1365">
        <f>HYPERLINK("https://www.uniprot.org/uniprotkb/A0A803K0H8/entry", "A0A803K0H8")</f>
        <v/>
      </c>
      <c r="F1365" t="n">
        <v>43.8</v>
      </c>
      <c r="G1365" t="n">
        <v>73</v>
      </c>
      <c r="H1365" t="n">
        <v>3.05e-10</v>
      </c>
      <c r="I1365" t="inlineStr">
        <is>
          <t>TrEMBL</t>
        </is>
      </c>
      <c r="J1365" t="inlineStr"/>
      <c r="K1365" t="inlineStr">
        <is>
          <t>A0A803K0H8_XENTR</t>
        </is>
      </c>
      <c r="L1365" t="inlineStr">
        <is>
          <t>tr|A0A803K0H8|A0A803K0H8_XENTR LAP2alpha domain-containing protein OS=Xenopus tropicalis OX=8364 PE=4 SV=1</t>
        </is>
      </c>
      <c r="M1365" t="n">
        <v>387</v>
      </c>
      <c r="N1365" t="inlineStr">
        <is>
          <t>Xenopus tropicalis</t>
        </is>
      </c>
      <c r="O1365" t="inlineStr">
        <is>
          <t>LAP2alpha domain-containing protein</t>
        </is>
      </c>
    </row>
    <row r="1366">
      <c r="A1366" t="inlineStr"/>
      <c r="B1366" t="inlineStr"/>
      <c r="C1366" t="inlineStr"/>
      <c r="D1366" t="inlineStr"/>
      <c r="E1366">
        <f>HYPERLINK("https://www.uniprot.org/uniprotkb/A0A8J1M279/entry", "A0A8J1M279")</f>
        <v/>
      </c>
      <c r="F1366" t="n">
        <v>36.4</v>
      </c>
      <c r="G1366" t="n">
        <v>88</v>
      </c>
      <c r="H1366" t="n">
        <v>3.21e-10</v>
      </c>
      <c r="I1366" t="inlineStr">
        <is>
          <t>TrEMBL</t>
        </is>
      </c>
      <c r="J1366" t="inlineStr">
        <is>
          <t>LOC121399358</t>
        </is>
      </c>
      <c r="K1366" t="inlineStr">
        <is>
          <t>A0A8J1M279_XENLA</t>
        </is>
      </c>
      <c r="L1366" t="inlineStr">
        <is>
          <t>tr|A0A8J1M279|A0A8J1M279_XENLA lamina-associated polypeptide 2-like OS=Xenopus laevis OX=8355 GN=LOC121399358 PE=4 SV=1</t>
        </is>
      </c>
      <c r="M1366" t="n">
        <v>442</v>
      </c>
      <c r="N1366" t="inlineStr">
        <is>
          <t>Xenopus laevis</t>
        </is>
      </c>
      <c r="O1366" t="inlineStr">
        <is>
          <t>lamina-associated polypeptide 2-like</t>
        </is>
      </c>
    </row>
    <row r="1367">
      <c r="A1367" t="inlineStr"/>
      <c r="B1367" t="inlineStr"/>
      <c r="C1367" t="inlineStr"/>
      <c r="D1367" t="inlineStr"/>
      <c r="E1367">
        <f>HYPERLINK("https://www.uniprot.org/uniprotkb/A0A8J1LAY7/entry", "A0A8J1LAY7")</f>
        <v/>
      </c>
      <c r="F1367" t="n">
        <v>36.4</v>
      </c>
      <c r="G1367" t="n">
        <v>88</v>
      </c>
      <c r="H1367" t="n">
        <v>3.21e-10</v>
      </c>
      <c r="I1367" t="inlineStr">
        <is>
          <t>TrEMBL</t>
        </is>
      </c>
      <c r="J1367" t="inlineStr">
        <is>
          <t>LOC121396184</t>
        </is>
      </c>
      <c r="K1367" t="inlineStr">
        <is>
          <t>A0A8J1LAY7_XENLA</t>
        </is>
      </c>
      <c r="L1367" t="inlineStr">
        <is>
          <t>tr|A0A8J1LAY7|A0A8J1LAY7_XENLA lamina-associated polypeptide 2-like OS=Xenopus laevis OX=8355 GN=LOC121396184 PE=4 SV=1</t>
        </is>
      </c>
      <c r="M1367" t="n">
        <v>442</v>
      </c>
      <c r="N1367" t="inlineStr">
        <is>
          <t>Xenopus laevis</t>
        </is>
      </c>
      <c r="O1367" t="inlineStr">
        <is>
          <t>lamina-associated polypeptide 2-like</t>
        </is>
      </c>
    </row>
    <row r="1368">
      <c r="A1368" t="inlineStr"/>
      <c r="B1368" t="inlineStr"/>
      <c r="C1368" t="inlineStr"/>
      <c r="D1368" t="inlineStr"/>
      <c r="E1368">
        <f>HYPERLINK("https://www.uniprot.org/uniprotkb/A0A8J1KW34/entry", "A0A8J1KW34")</f>
        <v/>
      </c>
      <c r="F1368" t="n">
        <v>36.4</v>
      </c>
      <c r="G1368" t="n">
        <v>88</v>
      </c>
      <c r="H1368" t="n">
        <v>3.21e-10</v>
      </c>
      <c r="I1368" t="inlineStr">
        <is>
          <t>TrEMBL</t>
        </is>
      </c>
      <c r="J1368" t="inlineStr">
        <is>
          <t>LOC121394449</t>
        </is>
      </c>
      <c r="K1368" t="inlineStr">
        <is>
          <t>A0A8J1KW34_XENLA</t>
        </is>
      </c>
      <c r="L1368" t="inlineStr">
        <is>
          <t>tr|A0A8J1KW34|A0A8J1KW34_XENLA lamina-associated polypeptide 2-like OS=Xenopus laevis OX=8355 GN=LOC121394449 PE=4 SV=1</t>
        </is>
      </c>
      <c r="M1368" t="n">
        <v>442</v>
      </c>
      <c r="N1368" t="inlineStr">
        <is>
          <t>Xenopus laevis</t>
        </is>
      </c>
      <c r="O1368" t="inlineStr">
        <is>
          <t>lamina-associated polypeptide 2-like</t>
        </is>
      </c>
    </row>
    <row r="1369">
      <c r="A1369" t="inlineStr"/>
      <c r="B1369" t="inlineStr"/>
      <c r="C1369" t="inlineStr"/>
      <c r="D1369" t="inlineStr"/>
      <c r="E1369">
        <f>HYPERLINK("https://www.uniprot.org/uniprotkb/A0A8J1L7Q8/entry", "A0A8J1L7Q8")</f>
        <v/>
      </c>
      <c r="F1369" t="n">
        <v>36.4</v>
      </c>
      <c r="G1369" t="n">
        <v>88</v>
      </c>
      <c r="H1369" t="n">
        <v>3.21e-10</v>
      </c>
      <c r="I1369" t="inlineStr">
        <is>
          <t>TrEMBL</t>
        </is>
      </c>
      <c r="J1369" t="inlineStr">
        <is>
          <t>LOC121395478</t>
        </is>
      </c>
      <c r="K1369" t="inlineStr">
        <is>
          <t>A0A8J1L7Q8_XENLA</t>
        </is>
      </c>
      <c r="L1369" t="inlineStr">
        <is>
          <t>tr|A0A8J1L7Q8|A0A8J1L7Q8_XENLA lamina-associated polypeptide 2-like OS=Xenopus laevis OX=8355 GN=LOC121395478 PE=4 SV=1</t>
        </is>
      </c>
      <c r="M1369" t="n">
        <v>442</v>
      </c>
      <c r="N1369" t="inlineStr">
        <is>
          <t>Xenopus laevis</t>
        </is>
      </c>
      <c r="O1369" t="inlineStr">
        <is>
          <t>lamina-associated polypeptide 2-like</t>
        </is>
      </c>
    </row>
    <row r="1370">
      <c r="A1370" t="inlineStr"/>
      <c r="B1370" t="inlineStr"/>
      <c r="C1370" t="inlineStr"/>
      <c r="D1370" t="inlineStr"/>
      <c r="E1370">
        <f>HYPERLINK("https://www.ncbi.nlm.nih.gov/gene/?term=OCT76275.1", "OCT76275.1")</f>
        <v/>
      </c>
      <c r="F1370" t="n">
        <v>42.5</v>
      </c>
      <c r="G1370" t="n">
        <v>73</v>
      </c>
      <c r="H1370" t="n">
        <v>3.6e-10</v>
      </c>
      <c r="I1370" t="inlineStr">
        <is>
          <t>Nr</t>
        </is>
      </c>
      <c r="J1370" t="inlineStr"/>
      <c r="K1370" t="inlineStr"/>
      <c r="L1370" t="inlineStr">
        <is>
          <t>OCT76275.1 hypothetical protein XELAEV_18031470mg [Xenopus laevis]</t>
        </is>
      </c>
      <c r="M1370" t="n">
        <v>2740</v>
      </c>
      <c r="N1370" t="inlineStr">
        <is>
          <t>Xenopus laevis</t>
        </is>
      </c>
      <c r="O1370" t="inlineStr">
        <is>
          <t>hypothetical protein XELAEV_18031470mg</t>
        </is>
      </c>
    </row>
    <row r="1371">
      <c r="A1371" t="inlineStr"/>
      <c r="B1371" t="inlineStr"/>
      <c r="C1371" t="inlineStr"/>
      <c r="D1371" t="inlineStr"/>
      <c r="E1371">
        <f>HYPERLINK("https://www.ncbi.nlm.nih.gov/gene/?term=XP_041418498.1", "XP_041418498.1")</f>
        <v/>
      </c>
      <c r="F1371" t="n">
        <v>42.3</v>
      </c>
      <c r="G1371" t="n">
        <v>71</v>
      </c>
      <c r="H1371" t="n">
        <v>3.75e-10</v>
      </c>
      <c r="I1371" t="inlineStr">
        <is>
          <t>Nr</t>
        </is>
      </c>
      <c r="J1371" t="inlineStr"/>
      <c r="K1371" t="inlineStr"/>
      <c r="L1371" t="inlineStr">
        <is>
          <t>XP_041418498.1 uncharacterized protein LOC121393604 [Xenopus laevis]</t>
        </is>
      </c>
      <c r="M1371" t="n">
        <v>343</v>
      </c>
      <c r="N1371" t="inlineStr">
        <is>
          <t>Xenopus laevis</t>
        </is>
      </c>
      <c r="O1371" t="inlineStr">
        <is>
          <t>uncharacterized protein LOC121393604</t>
        </is>
      </c>
    </row>
    <row r="1372">
      <c r="A1372" t="inlineStr"/>
      <c r="B1372" t="inlineStr"/>
      <c r="C1372" t="inlineStr"/>
      <c r="D1372" t="inlineStr"/>
      <c r="E1372">
        <f>HYPERLINK("https://www.ncbi.nlm.nih.gov/gene/?term=XP_041432013.1", "XP_041432013.1")</f>
        <v/>
      </c>
      <c r="F1372" t="n">
        <v>48</v>
      </c>
      <c r="G1372" t="n">
        <v>75</v>
      </c>
      <c r="H1372" t="n">
        <v>6.01e-10</v>
      </c>
      <c r="I1372" t="inlineStr">
        <is>
          <t>Nr</t>
        </is>
      </c>
      <c r="J1372" t="inlineStr"/>
      <c r="K1372" t="inlineStr"/>
      <c r="L1372" t="inlineStr">
        <is>
          <t>XP_041432013.1 lamina-associated polypeptide 2-like isoform X3 [Xenopus laevis]</t>
        </is>
      </c>
      <c r="M1372" t="n">
        <v>432</v>
      </c>
      <c r="N1372" t="inlineStr">
        <is>
          <t>Xenopus laevis</t>
        </is>
      </c>
      <c r="O1372" t="inlineStr">
        <is>
          <t>lamina-associated polypeptide 2-like isoform X3</t>
        </is>
      </c>
    </row>
    <row r="1373">
      <c r="A1373" t="inlineStr"/>
      <c r="B1373" t="inlineStr"/>
      <c r="C1373" t="inlineStr"/>
      <c r="D1373" t="inlineStr"/>
      <c r="E1373">
        <f>HYPERLINK("https://www.uniprot.org/uniprotkb/A0A803JSN6/entry", "A0A803JSN6")</f>
        <v/>
      </c>
      <c r="F1373" t="n">
        <v>40.9</v>
      </c>
      <c r="G1373" t="n">
        <v>93</v>
      </c>
      <c r="H1373" t="n">
        <v>6.1e-10</v>
      </c>
      <c r="I1373" t="inlineStr">
        <is>
          <t>TrEMBL</t>
        </is>
      </c>
      <c r="J1373" t="inlineStr"/>
      <c r="K1373" t="inlineStr">
        <is>
          <t>A0A803JSN6_XENTR</t>
        </is>
      </c>
      <c r="L1373" t="inlineStr">
        <is>
          <t>tr|A0A803JSN6|A0A803JSN6_XENTR LAP2alpha domain-containing protein OS=Xenopus tropicalis OX=8364 PE=4 SV=1</t>
        </is>
      </c>
      <c r="M1373" t="n">
        <v>486</v>
      </c>
      <c r="N1373" t="inlineStr">
        <is>
          <t>Xenopus tropicalis</t>
        </is>
      </c>
      <c r="O1373" t="inlineStr">
        <is>
          <t>LAP2alpha domain-containing protein</t>
        </is>
      </c>
    </row>
    <row r="1374">
      <c r="A1374" t="inlineStr"/>
      <c r="B1374" t="inlineStr"/>
      <c r="C1374" t="inlineStr"/>
      <c r="D1374" t="inlineStr"/>
      <c r="E1374">
        <f>HYPERLINK("https://www.ncbi.nlm.nih.gov/gene/?term=XP_041432011.1", "XP_041432011.1")</f>
        <v/>
      </c>
      <c r="F1374" t="n">
        <v>48</v>
      </c>
      <c r="G1374" t="n">
        <v>75</v>
      </c>
      <c r="H1374" t="n">
        <v>6.27e-10</v>
      </c>
      <c r="I1374" t="inlineStr">
        <is>
          <t>Nr</t>
        </is>
      </c>
      <c r="J1374" t="inlineStr"/>
      <c r="K1374" t="inlineStr"/>
      <c r="L1374" t="inlineStr">
        <is>
          <t>XP_041432011.1 lamina-associated polypeptide 2-like isoform X1 [Xenopus laevis]</t>
        </is>
      </c>
      <c r="M1374" t="n">
        <v>583</v>
      </c>
      <c r="N1374" t="inlineStr">
        <is>
          <t>Xenopus laevis</t>
        </is>
      </c>
      <c r="O1374" t="inlineStr">
        <is>
          <t>lamina-associated polypeptide 2-like isoform X1</t>
        </is>
      </c>
    </row>
    <row r="1375">
      <c r="A1375" t="inlineStr"/>
      <c r="B1375" t="inlineStr"/>
      <c r="C1375" t="inlineStr"/>
      <c r="D1375" t="inlineStr"/>
      <c r="E1375">
        <f>HYPERLINK("https://www.uniprot.org/uniprotkb/A0A8J1KKK6/entry", "A0A8J1KKK6")</f>
        <v/>
      </c>
      <c r="F1375" t="n">
        <v>42.3</v>
      </c>
      <c r="G1375" t="n">
        <v>71</v>
      </c>
      <c r="H1375" t="n">
        <v>7.4e-10</v>
      </c>
      <c r="I1375" t="inlineStr">
        <is>
          <t>TrEMBL</t>
        </is>
      </c>
      <c r="J1375" t="inlineStr">
        <is>
          <t>LOC121393428</t>
        </is>
      </c>
      <c r="K1375" t="inlineStr">
        <is>
          <t>A0A8J1KKK6_XENLA</t>
        </is>
      </c>
      <c r="L1375" t="inlineStr">
        <is>
          <t>tr|A0A8J1KKK6|A0A8J1KKK6_XENLA uncharacterized protein LOC121393428 OS=Xenopus laevis OX=8355 GN=LOC121393428 PE=4 SV=1</t>
        </is>
      </c>
      <c r="M1375" t="n">
        <v>356</v>
      </c>
      <c r="N1375" t="inlineStr">
        <is>
          <t>Xenopus laevis</t>
        </is>
      </c>
      <c r="O1375" t="inlineStr">
        <is>
          <t>uncharacterized protein LOC121393428</t>
        </is>
      </c>
    </row>
    <row r="1376">
      <c r="A1376" t="inlineStr"/>
      <c r="B1376" t="inlineStr"/>
      <c r="C1376" t="inlineStr"/>
      <c r="D1376" t="inlineStr"/>
      <c r="E1376">
        <f>HYPERLINK("https://www.ncbi.nlm.nih.gov/gene/?term=XP_041429160.1", "XP_041429160.1")</f>
        <v/>
      </c>
      <c r="F1376" t="n">
        <v>36.4</v>
      </c>
      <c r="G1376" t="n">
        <v>88</v>
      </c>
      <c r="H1376" t="n">
        <v>7.63e-10</v>
      </c>
      <c r="I1376" t="inlineStr">
        <is>
          <t>Nr</t>
        </is>
      </c>
      <c r="J1376" t="inlineStr"/>
      <c r="K1376" t="inlineStr"/>
      <c r="L1376" t="inlineStr">
        <is>
          <t>XP_041429160.1 lamina-associated polypeptide 2-like [Xenopus laevis]</t>
        </is>
      </c>
      <c r="M1376" t="n">
        <v>372</v>
      </c>
      <c r="N1376" t="inlineStr">
        <is>
          <t>Xenopus laevis</t>
        </is>
      </c>
      <c r="O1376" t="inlineStr">
        <is>
          <t>lamina-associated polypeptide 2-like</t>
        </is>
      </c>
    </row>
    <row r="1377">
      <c r="A1377" t="inlineStr"/>
      <c r="B1377" t="inlineStr"/>
      <c r="C1377" t="inlineStr"/>
      <c r="D1377" t="inlineStr"/>
      <c r="E1377">
        <f>HYPERLINK("https://www.uniprot.org/uniprotkb/A0A8J1LCA1/entry", "A0A8J1LCA1")</f>
        <v/>
      </c>
      <c r="F1377" t="n">
        <v>42.3</v>
      </c>
      <c r="G1377" t="n">
        <v>71</v>
      </c>
      <c r="H1377" t="n">
        <v>7.86e-10</v>
      </c>
      <c r="I1377" t="inlineStr">
        <is>
          <t>TrEMBL</t>
        </is>
      </c>
      <c r="J1377" t="inlineStr">
        <is>
          <t>LOC121396066</t>
        </is>
      </c>
      <c r="K1377" t="inlineStr">
        <is>
          <t>A0A8J1LCA1_XENLA</t>
        </is>
      </c>
      <c r="L1377" t="inlineStr">
        <is>
          <t>tr|A0A8J1LCA1|A0A8J1LCA1_XENLA uncharacterized protein LOC121396066 OS=Xenopus laevis OX=8355 GN=LOC121396066 PE=4 SV=1</t>
        </is>
      </c>
      <c r="M1377" t="n">
        <v>390</v>
      </c>
      <c r="N1377" t="inlineStr">
        <is>
          <t>Xenopus laevis</t>
        </is>
      </c>
      <c r="O1377" t="inlineStr">
        <is>
          <t>uncharacterized protein LOC121396066</t>
        </is>
      </c>
    </row>
    <row r="1378">
      <c r="A1378" t="inlineStr"/>
      <c r="B1378" t="inlineStr"/>
      <c r="C1378" t="inlineStr"/>
      <c r="D1378" t="inlineStr"/>
      <c r="E1378">
        <f>HYPERLINK("https://www.uniprot.org/uniprotkb/A0A8J1LQD3/entry", "A0A8J1LQD3")</f>
        <v/>
      </c>
      <c r="F1378" t="n">
        <v>47.7</v>
      </c>
      <c r="G1378" t="n">
        <v>65</v>
      </c>
      <c r="H1378" t="n">
        <v>8.2e-10</v>
      </c>
      <c r="I1378" t="inlineStr">
        <is>
          <t>TrEMBL</t>
        </is>
      </c>
      <c r="J1378" t="inlineStr">
        <is>
          <t>LOC121393070</t>
        </is>
      </c>
      <c r="K1378" t="inlineStr">
        <is>
          <t>A0A8J1LQD3_XENLA</t>
        </is>
      </c>
      <c r="L1378" t="inlineStr">
        <is>
          <t>tr|A0A8J1LQD3|A0A8J1LQD3_XENLA lamina-associated polypeptide 2, isoforms alpha/zeta-like isoform X2 OS=Xenopus laevis OX=8355 GN=LOC121393070 PE=4 SV=1</t>
        </is>
      </c>
      <c r="M1378" t="n">
        <v>443</v>
      </c>
      <c r="N1378" t="inlineStr">
        <is>
          <t>Xenopus laevis</t>
        </is>
      </c>
      <c r="O1378" t="inlineStr">
        <is>
          <t>lamina-associated polypeptide 2, isoforms alpha/zeta-like isoform X2</t>
        </is>
      </c>
    </row>
    <row r="1379">
      <c r="A1379" t="inlineStr"/>
      <c r="B1379" t="inlineStr"/>
      <c r="C1379" t="inlineStr"/>
      <c r="D1379" t="inlineStr"/>
      <c r="E1379">
        <f>HYPERLINK("https://www.uniprot.org/uniprotkb/A0A8J1KWU3/entry", "A0A8J1KWU3")</f>
        <v/>
      </c>
      <c r="F1379" t="n">
        <v>47.7</v>
      </c>
      <c r="G1379" t="n">
        <v>65</v>
      </c>
      <c r="H1379" t="n">
        <v>8.2e-10</v>
      </c>
      <c r="I1379" t="inlineStr">
        <is>
          <t>TrEMBL</t>
        </is>
      </c>
      <c r="J1379" t="inlineStr">
        <is>
          <t>LOC121394267</t>
        </is>
      </c>
      <c r="K1379" t="inlineStr">
        <is>
          <t>A0A8J1KWU3_XENLA</t>
        </is>
      </c>
      <c r="L1379" t="inlineStr">
        <is>
          <t>tr|A0A8J1KWU3|A0A8J1KWU3_XENLA lamina-associated polypeptide 2, isoforms alpha/zeta-like OS=Xenopus laevis OX=8355 GN=LOC121394267 PE=4 SV=1</t>
        </is>
      </c>
      <c r="M1379" t="n">
        <v>443</v>
      </c>
      <c r="N1379" t="inlineStr">
        <is>
          <t>Xenopus laevis</t>
        </is>
      </c>
      <c r="O1379" t="inlineStr">
        <is>
          <t>lamina-associated polypeptide 2, isoforms alpha/zeta-like</t>
        </is>
      </c>
    </row>
    <row r="1380">
      <c r="A1380" t="inlineStr"/>
      <c r="B1380" t="inlineStr"/>
      <c r="C1380" t="inlineStr"/>
      <c r="D1380" t="inlineStr"/>
      <c r="E1380">
        <f>HYPERLINK("https://www.uniprot.org/uniprotkb/A0A8J0SWZ9/entry", "A0A8J0SWZ9")</f>
        <v/>
      </c>
      <c r="F1380" t="n">
        <v>35.6</v>
      </c>
      <c r="G1380" t="n">
        <v>90</v>
      </c>
      <c r="H1380" t="n">
        <v>8.22e-10</v>
      </c>
      <c r="I1380" t="inlineStr">
        <is>
          <t>TrEMBL</t>
        </is>
      </c>
      <c r="J1380" t="inlineStr">
        <is>
          <t>LOC105948176</t>
        </is>
      </c>
      <c r="K1380" t="inlineStr">
        <is>
          <t>A0A8J0SWZ9_XENTR</t>
        </is>
      </c>
      <c r="L1380" t="inlineStr">
        <is>
          <t>tr|A0A8J0SWZ9|A0A8J0SWZ9_XENTR lamina-associated polypeptide 2-like OS=Xenopus tropicalis OX=8364 GN=LOC105948176 PE=4 SV=1</t>
        </is>
      </c>
      <c r="M1380" t="n">
        <v>300</v>
      </c>
      <c r="N1380" t="inlineStr">
        <is>
          <t>Xenopus tropicalis</t>
        </is>
      </c>
      <c r="O1380" t="inlineStr">
        <is>
          <t>lamina-associated polypeptide 2-like</t>
        </is>
      </c>
    </row>
    <row r="1381">
      <c r="A1381" t="inlineStr"/>
      <c r="B1381" t="inlineStr"/>
      <c r="C1381" t="inlineStr"/>
      <c r="D1381" t="inlineStr"/>
      <c r="E1381">
        <f>HYPERLINK("https://www.uniprot.org/uniprotkb/A0A8J1MEF7/entry", "A0A8J1MEF7")</f>
        <v/>
      </c>
      <c r="F1381" t="n">
        <v>42.3</v>
      </c>
      <c r="G1381" t="n">
        <v>71</v>
      </c>
      <c r="H1381" t="n">
        <v>8.229999999999999e-10</v>
      </c>
      <c r="I1381" t="inlineStr">
        <is>
          <t>TrEMBL</t>
        </is>
      </c>
      <c r="J1381" t="inlineStr">
        <is>
          <t>LOC121400600</t>
        </is>
      </c>
      <c r="K1381" t="inlineStr">
        <is>
          <t>A0A8J1MEF7_XENLA</t>
        </is>
      </c>
      <c r="L1381" t="inlineStr">
        <is>
          <t>tr|A0A8J1MEF7|A0A8J1MEF7_XENLA uncharacterized protein LOC121399189 OS=Xenopus laevis OX=8355 GN=LOC121400600 PE=4 SV=1</t>
        </is>
      </c>
      <c r="M1381" t="n">
        <v>450</v>
      </c>
      <c r="N1381" t="inlineStr">
        <is>
          <t>Xenopus laevis</t>
        </is>
      </c>
      <c r="O1381" t="inlineStr">
        <is>
          <t>uncharacterized protein LOC121399189</t>
        </is>
      </c>
    </row>
    <row r="1382">
      <c r="A1382" t="inlineStr"/>
      <c r="B1382" t="inlineStr"/>
      <c r="C1382" t="inlineStr"/>
      <c r="D1382" t="inlineStr"/>
      <c r="E1382">
        <f>HYPERLINK("https://www.ncbi.nlm.nih.gov/gene/?term=XP_041426692.1", "XP_041426692.1")</f>
        <v/>
      </c>
      <c r="F1382" t="n">
        <v>36.4</v>
      </c>
      <c r="G1382" t="n">
        <v>88</v>
      </c>
      <c r="H1382" t="n">
        <v>8.26e-10</v>
      </c>
      <c r="I1382" t="inlineStr">
        <is>
          <t>Nr</t>
        </is>
      </c>
      <c r="J1382" t="inlineStr"/>
      <c r="K1382" t="inlineStr"/>
      <c r="L1382" t="inlineStr">
        <is>
          <t>XP_041426692.1 lamina-associated polypeptide 2-like [Xenopus laevis]</t>
        </is>
      </c>
      <c r="M1382" t="n">
        <v>442</v>
      </c>
      <c r="N1382" t="inlineStr">
        <is>
          <t>Xenopus laevis</t>
        </is>
      </c>
      <c r="O1382" t="inlineStr">
        <is>
          <t>lamina-associated polypeptide 2-like</t>
        </is>
      </c>
    </row>
    <row r="1383">
      <c r="A1383" t="inlineStr"/>
      <c r="B1383" t="inlineStr"/>
      <c r="C1383" t="inlineStr"/>
      <c r="D1383" t="inlineStr"/>
      <c r="E1383">
        <f>HYPERLINK("https://www.ncbi.nlm.nih.gov/gene/?term=XP_041424984.1", "XP_041424984.1")</f>
        <v/>
      </c>
      <c r="F1383" t="n">
        <v>36.4</v>
      </c>
      <c r="G1383" t="n">
        <v>88</v>
      </c>
      <c r="H1383" t="n">
        <v>8.26e-10</v>
      </c>
      <c r="I1383" t="inlineStr">
        <is>
          <t>Nr</t>
        </is>
      </c>
      <c r="J1383" t="inlineStr"/>
      <c r="K1383" t="inlineStr"/>
      <c r="L1383" t="inlineStr">
        <is>
          <t>XP_041424984.1 lamina-associated polypeptide 2-like [Xenopus laevis]</t>
        </is>
      </c>
      <c r="M1383" t="n">
        <v>442</v>
      </c>
      <c r="N1383" t="inlineStr">
        <is>
          <t>Xenopus laevis</t>
        </is>
      </c>
      <c r="O1383" t="inlineStr">
        <is>
          <t>lamina-associated polypeptide 2-like</t>
        </is>
      </c>
    </row>
    <row r="1384">
      <c r="A1384" t="inlineStr"/>
      <c r="B1384" t="inlineStr"/>
      <c r="C1384" t="inlineStr"/>
      <c r="D1384" t="inlineStr"/>
      <c r="E1384">
        <f>HYPERLINK("https://www.ncbi.nlm.nih.gov/gene/?term=XP_041435788.1", "XP_041435788.1")</f>
        <v/>
      </c>
      <c r="F1384" t="n">
        <v>36.4</v>
      </c>
      <c r="G1384" t="n">
        <v>88</v>
      </c>
      <c r="H1384" t="n">
        <v>8.26e-10</v>
      </c>
      <c r="I1384" t="inlineStr">
        <is>
          <t>Nr</t>
        </is>
      </c>
      <c r="J1384" t="inlineStr"/>
      <c r="K1384" t="inlineStr"/>
      <c r="L1384" t="inlineStr">
        <is>
          <t>XP_041435788.1 lamina-associated polypeptide 2-like [Xenopus laevis]</t>
        </is>
      </c>
      <c r="M1384" t="n">
        <v>442</v>
      </c>
      <c r="N1384" t="inlineStr">
        <is>
          <t>Xenopus laevis</t>
        </is>
      </c>
      <c r="O1384" t="inlineStr">
        <is>
          <t>lamina-associated polypeptide 2-like</t>
        </is>
      </c>
    </row>
    <row r="1385">
      <c r="A1385" t="inlineStr"/>
      <c r="B1385" t="inlineStr"/>
      <c r="C1385" t="inlineStr"/>
      <c r="D1385" t="inlineStr"/>
      <c r="E1385">
        <f>HYPERLINK("https://www.ncbi.nlm.nih.gov/gene/?term=XP_041421509.1", "XP_041421509.1")</f>
        <v/>
      </c>
      <c r="F1385" t="n">
        <v>36.4</v>
      </c>
      <c r="G1385" t="n">
        <v>88</v>
      </c>
      <c r="H1385" t="n">
        <v>8.26e-10</v>
      </c>
      <c r="I1385" t="inlineStr">
        <is>
          <t>Nr</t>
        </is>
      </c>
      <c r="J1385" t="inlineStr"/>
      <c r="K1385" t="inlineStr"/>
      <c r="L1385" t="inlineStr">
        <is>
          <t>XP_041421509.1 lamina-associated polypeptide 2-like [Xenopus laevis]</t>
        </is>
      </c>
      <c r="M1385" t="n">
        <v>442</v>
      </c>
      <c r="N1385" t="inlineStr">
        <is>
          <t>Xenopus laevis</t>
        </is>
      </c>
      <c r="O1385" t="inlineStr">
        <is>
          <t>lamina-associated polypeptide 2-like</t>
        </is>
      </c>
    </row>
    <row r="1386">
      <c r="A1386" t="inlineStr"/>
      <c r="B1386" t="inlineStr"/>
      <c r="C1386" t="inlineStr"/>
      <c r="D1386" t="inlineStr"/>
      <c r="E1386">
        <f>HYPERLINK("https://www.ncbi.nlm.nih.gov/gene/?term=XP_040203650.1", "XP_040203650.1")</f>
        <v/>
      </c>
      <c r="F1386" t="n">
        <v>38.6</v>
      </c>
      <c r="G1386" t="n">
        <v>88</v>
      </c>
      <c r="H1386" t="n">
        <v>1.57e-09</v>
      </c>
      <c r="I1386" t="inlineStr">
        <is>
          <t>Nr</t>
        </is>
      </c>
      <c r="J1386" t="inlineStr"/>
      <c r="K1386" t="inlineStr"/>
      <c r="L1386" t="inlineStr">
        <is>
          <t>XP_040203650.1 lamina-associated polypeptide 2-like [Rana temporaria]</t>
        </is>
      </c>
      <c r="M1386" t="n">
        <v>497</v>
      </c>
      <c r="N1386" t="inlineStr">
        <is>
          <t>Rana temporaria</t>
        </is>
      </c>
      <c r="O1386" t="inlineStr">
        <is>
          <t>lamina-associated polypeptide 2-like</t>
        </is>
      </c>
    </row>
    <row r="1387">
      <c r="A1387" t="inlineStr"/>
      <c r="B1387" t="inlineStr"/>
      <c r="C1387" t="inlineStr"/>
      <c r="D1387" t="inlineStr"/>
      <c r="E1387">
        <f>HYPERLINK("https://www.ncbi.nlm.nih.gov/gene/?term=XP_041417850.1", "XP_041417850.1")</f>
        <v/>
      </c>
      <c r="F1387" t="n">
        <v>42.3</v>
      </c>
      <c r="G1387" t="n">
        <v>71</v>
      </c>
      <c r="H1387" t="n">
        <v>1.9e-09</v>
      </c>
      <c r="I1387" t="inlineStr">
        <is>
          <t>Nr</t>
        </is>
      </c>
      <c r="J1387" t="inlineStr"/>
      <c r="K1387" t="inlineStr"/>
      <c r="L1387" t="inlineStr">
        <is>
          <t>XP_041417850.1 uncharacterized protein LOC121393428 [Xenopus laevis]</t>
        </is>
      </c>
      <c r="M1387" t="n">
        <v>356</v>
      </c>
      <c r="N1387" t="inlineStr">
        <is>
          <t>Xenopus laevis</t>
        </is>
      </c>
      <c r="O1387" t="inlineStr">
        <is>
          <t>uncharacterized protein LOC121393428</t>
        </is>
      </c>
    </row>
    <row r="1388">
      <c r="A1388" t="inlineStr"/>
      <c r="B1388" t="inlineStr"/>
      <c r="C1388" t="inlineStr"/>
      <c r="D1388" t="inlineStr"/>
      <c r="E1388">
        <f>HYPERLINK("https://www.ncbi.nlm.nih.gov/gene/?term=XP_041426594.1", "XP_041426594.1")</f>
        <v/>
      </c>
      <c r="F1388" t="n">
        <v>42.3</v>
      </c>
      <c r="G1388" t="n">
        <v>71</v>
      </c>
      <c r="H1388" t="n">
        <v>2.02e-09</v>
      </c>
      <c r="I1388" t="inlineStr">
        <is>
          <t>Nr</t>
        </is>
      </c>
      <c r="J1388" t="inlineStr"/>
      <c r="K1388" t="inlineStr"/>
      <c r="L1388" t="inlineStr">
        <is>
          <t>XP_041426594.1 uncharacterized protein LOC121396066 [Xenopus laevis]</t>
        </is>
      </c>
      <c r="M1388" t="n">
        <v>390</v>
      </c>
      <c r="N1388" t="inlineStr">
        <is>
          <t>Xenopus laevis</t>
        </is>
      </c>
      <c r="O1388" t="inlineStr">
        <is>
          <t>uncharacterized protein LOC121396066</t>
        </is>
      </c>
    </row>
    <row r="1389">
      <c r="A1389" t="inlineStr"/>
      <c r="B1389" t="inlineStr"/>
      <c r="C1389" t="inlineStr"/>
      <c r="D1389" t="inlineStr"/>
      <c r="E1389">
        <f>HYPERLINK("https://www.ncbi.nlm.nih.gov/gene/?term=XP_041420729.1", "XP_041420729.1")</f>
        <v/>
      </c>
      <c r="F1389" t="n">
        <v>47.7</v>
      </c>
      <c r="G1389" t="n">
        <v>65</v>
      </c>
      <c r="H1389" t="n">
        <v>2.11e-09</v>
      </c>
      <c r="I1389" t="inlineStr">
        <is>
          <t>Nr</t>
        </is>
      </c>
      <c r="J1389" t="inlineStr"/>
      <c r="K1389" t="inlineStr"/>
      <c r="L1389" t="inlineStr">
        <is>
          <t>XP_041420729.1 lamina-associated polypeptide 2, isoforms alpha/zeta-like [Xenopus laevis]</t>
        </is>
      </c>
      <c r="M1389" t="n">
        <v>443</v>
      </c>
      <c r="N1389" t="inlineStr">
        <is>
          <t>Xenopus laevis</t>
        </is>
      </c>
      <c r="O1389" t="inlineStr">
        <is>
          <t>lamina-associated polypeptide 2, isoforms alpha/zeta-like</t>
        </is>
      </c>
    </row>
    <row r="1390">
      <c r="A1390" t="inlineStr"/>
      <c r="B1390" t="inlineStr"/>
      <c r="C1390" t="inlineStr"/>
      <c r="D1390" t="inlineStr"/>
      <c r="E1390">
        <f>HYPERLINK("https://www.ncbi.nlm.nih.gov/gene/?term=XP_041419428.1", "XP_041419428.1")</f>
        <v/>
      </c>
      <c r="F1390" t="n">
        <v>47.7</v>
      </c>
      <c r="G1390" t="n">
        <v>65</v>
      </c>
      <c r="H1390" t="n">
        <v>2.11e-09</v>
      </c>
      <c r="I1390" t="inlineStr">
        <is>
          <t>Nr</t>
        </is>
      </c>
      <c r="J1390" t="inlineStr"/>
      <c r="K1390" t="inlineStr"/>
      <c r="L1390" t="inlineStr">
        <is>
          <t>XP_041419428.1 lamina-associated polypeptide 2, isoforms alpha/zeta-like isoform X2 [Xenopus laevis]</t>
        </is>
      </c>
      <c r="M1390" t="n">
        <v>443</v>
      </c>
      <c r="N1390" t="inlineStr">
        <is>
          <t>Xenopus laevis</t>
        </is>
      </c>
      <c r="O1390" t="inlineStr">
        <is>
          <t>lamina-associated polypeptide 2, isoforms alpha/zeta-like isoform X2</t>
        </is>
      </c>
    </row>
    <row r="1391">
      <c r="A1391" t="inlineStr"/>
      <c r="B1391" t="inlineStr"/>
      <c r="C1391" t="inlineStr"/>
      <c r="D1391" t="inlineStr"/>
      <c r="E1391">
        <f>HYPERLINK("https://www.ncbi.nlm.nih.gov/gene/?term=XP_012824552.1", "XP_012824552.1")</f>
        <v/>
      </c>
      <c r="F1391" t="n">
        <v>35.6</v>
      </c>
      <c r="G1391" t="n">
        <v>90</v>
      </c>
      <c r="H1391" t="n">
        <v>2.11e-09</v>
      </c>
      <c r="I1391" t="inlineStr">
        <is>
          <t>Nr</t>
        </is>
      </c>
      <c r="J1391" t="inlineStr"/>
      <c r="K1391" t="inlineStr"/>
      <c r="L1391" t="inlineStr">
        <is>
          <t>XP_012824552.1 lamina-associated polypeptide 2-like [Xenopus tropicalis]</t>
        </is>
      </c>
      <c r="M1391" t="n">
        <v>300</v>
      </c>
      <c r="N1391" t="inlineStr">
        <is>
          <t>Xenopus tropicalis</t>
        </is>
      </c>
      <c r="O1391" t="inlineStr">
        <is>
          <t>lamina-associated polypeptide 2-like</t>
        </is>
      </c>
    </row>
    <row r="1392">
      <c r="A1392" t="inlineStr"/>
      <c r="B1392" t="inlineStr"/>
      <c r="C1392" t="inlineStr"/>
      <c r="D1392" t="inlineStr"/>
      <c r="E1392">
        <f>HYPERLINK("https://www.ncbi.nlm.nih.gov/gene/?term=XP_041435114.1", "XP_041435114.1")</f>
        <v/>
      </c>
      <c r="F1392" t="n">
        <v>42.3</v>
      </c>
      <c r="G1392" t="n">
        <v>71</v>
      </c>
      <c r="H1392" t="n">
        <v>2.11e-09</v>
      </c>
      <c r="I1392" t="inlineStr">
        <is>
          <t>Nr</t>
        </is>
      </c>
      <c r="J1392" t="inlineStr"/>
      <c r="K1392" t="inlineStr"/>
      <c r="L1392" t="inlineStr">
        <is>
          <t>XP_041435114.1 uncharacterized protein LOC121399189 [Xenopus laevis]</t>
        </is>
      </c>
      <c r="M1392" t="n">
        <v>450</v>
      </c>
      <c r="N1392" t="inlineStr">
        <is>
          <t>Xenopus laevis</t>
        </is>
      </c>
      <c r="O1392" t="inlineStr">
        <is>
          <t>uncharacterized protein LOC121399189</t>
        </is>
      </c>
    </row>
    <row r="1393">
      <c r="A1393" t="inlineStr"/>
      <c r="B1393" t="inlineStr"/>
      <c r="C1393" t="inlineStr"/>
      <c r="D1393" t="inlineStr"/>
      <c r="E1393">
        <f>HYPERLINK("https://www.ncbi.nlm.nih.gov/gene/?term=XP_041434800.1", "XP_041434800.1")</f>
        <v/>
      </c>
      <c r="F1393" t="n">
        <v>42.3</v>
      </c>
      <c r="G1393" t="n">
        <v>71</v>
      </c>
      <c r="H1393" t="n">
        <v>2.12e-09</v>
      </c>
      <c r="I1393" t="inlineStr">
        <is>
          <t>Nr</t>
        </is>
      </c>
      <c r="J1393" t="inlineStr"/>
      <c r="K1393" t="inlineStr"/>
      <c r="L1393" t="inlineStr">
        <is>
          <t>XP_041434800.1 uncharacterized protein LOC121399056 [Xenopus laevis]</t>
        </is>
      </c>
      <c r="M1393" t="n">
        <v>460</v>
      </c>
      <c r="N1393" t="inlineStr">
        <is>
          <t>Xenopus laevis</t>
        </is>
      </c>
      <c r="O1393" t="inlineStr">
        <is>
          <t>uncharacterized protein LOC121399056</t>
        </is>
      </c>
    </row>
    <row r="1394">
      <c r="A1394" t="inlineStr">
        <is>
          <t>NODE_130237_length_1264_cov_13.992481_g4176_i2</t>
        </is>
      </c>
      <c r="B1394" t="inlineStr">
        <is>
          <t>bombina_pachypus_blastx</t>
        </is>
      </c>
      <c r="C1394" t="n">
        <v>6.72576549208158</v>
      </c>
      <c r="D1394" t="n">
        <v>0.003907665055942</v>
      </c>
      <c r="E1394">
        <f>HYPERLINK("https://www.uniprot.org/uniprotkb/A0A4Y3FU29/entry", "A0A4Y3FU29")</f>
        <v/>
      </c>
      <c r="F1394" t="n">
        <v>41.3</v>
      </c>
      <c r="G1394" t="n">
        <v>63</v>
      </c>
      <c r="H1394" t="n">
        <v>0.000446</v>
      </c>
      <c r="I1394" t="inlineStr">
        <is>
          <t>TrEMBL</t>
        </is>
      </c>
      <c r="J1394" t="inlineStr">
        <is>
          <t>OMCYN_00865</t>
        </is>
      </c>
      <c r="K1394" t="inlineStr">
        <is>
          <t>A0A4Y3FU29_9CYAN</t>
        </is>
      </c>
      <c r="L1394" t="inlineStr">
        <is>
          <t>tr|A0A4Y3FU29|A0A4Y3FU29_9CYAN O-succinylbenzoic acid--CoA ligase OS=cyanobiont of Ornithocercus magnificus OX=2496102 GN=OMCYN_00865 PE=4 SV=1</t>
        </is>
      </c>
      <c r="M1394" t="n">
        <v>418</v>
      </c>
      <c r="N1394" t="inlineStr">
        <is>
          <t>cyanobiont of Ornithocercus magnificus</t>
        </is>
      </c>
      <c r="O1394" t="inlineStr">
        <is>
          <t>O-succinylbenzoic acid--CoA ligase</t>
        </is>
      </c>
    </row>
    <row r="1395">
      <c r="A1395" t="inlineStr">
        <is>
          <t>NODE_13295_length_5661_cov_77.870218_g4681_i0</t>
        </is>
      </c>
      <c r="B1395" t="inlineStr">
        <is>
          <t>bombina_pachypus_blastx</t>
        </is>
      </c>
      <c r="C1395" t="n">
        <v>-5.40124477760484</v>
      </c>
      <c r="D1395" t="n">
        <v>0.0291789354639866</v>
      </c>
      <c r="E1395">
        <f>HYPERLINK("https://www.uniprot.org/uniprotkb/A0A8J1M3F4/entry", "A0A8J1M3F4")</f>
        <v/>
      </c>
      <c r="F1395" t="n">
        <v>50</v>
      </c>
      <c r="G1395" t="n">
        <v>152</v>
      </c>
      <c r="H1395" t="n">
        <v>1.56e-34</v>
      </c>
      <c r="I1395" t="inlineStr">
        <is>
          <t>TrEMBL</t>
        </is>
      </c>
      <c r="J1395" t="inlineStr">
        <is>
          <t>LOC121399363</t>
        </is>
      </c>
      <c r="K1395" t="inlineStr">
        <is>
          <t>A0A8J1M3F4_XENLA</t>
        </is>
      </c>
      <c r="L1395" t="inlineStr">
        <is>
          <t>tr|A0A8J1M3F4|A0A8J1M3F4_XENLA uncharacterized protein LOC121399363 OS=Xenopus laevis OX=8355 GN=LOC121399363 PE=4 SV=1</t>
        </is>
      </c>
      <c r="M1395" t="n">
        <v>682</v>
      </c>
      <c r="N1395" t="inlineStr">
        <is>
          <t>Xenopus laevis</t>
        </is>
      </c>
      <c r="O1395" t="inlineStr">
        <is>
          <t>uncharacterized protein LOC121399363</t>
        </is>
      </c>
    </row>
    <row r="1396">
      <c r="A1396" t="inlineStr"/>
      <c r="B1396" t="inlineStr"/>
      <c r="C1396" t="inlineStr"/>
      <c r="D1396" t="inlineStr"/>
      <c r="E1396">
        <f>HYPERLINK("https://www.ncbi.nlm.nih.gov/gene/?term=XP_041435826.1", "XP_041435826.1")</f>
        <v/>
      </c>
      <c r="F1396" t="n">
        <v>50</v>
      </c>
      <c r="G1396" t="n">
        <v>152</v>
      </c>
      <c r="H1396" t="n">
        <v>4.02e-34</v>
      </c>
      <c r="I1396" t="inlineStr">
        <is>
          <t>Nr</t>
        </is>
      </c>
      <c r="J1396" t="inlineStr"/>
      <c r="K1396" t="inlineStr"/>
      <c r="L1396" t="inlineStr">
        <is>
          <t>XP_041435826.1 uncharacterized protein LOC121399363 [Xenopus laevis]</t>
        </is>
      </c>
      <c r="M1396" t="n">
        <v>682</v>
      </c>
      <c r="N1396" t="inlineStr">
        <is>
          <t>Xenopus laevis</t>
        </is>
      </c>
      <c r="O1396" t="inlineStr">
        <is>
          <t>uncharacterized protein LOC121399363</t>
        </is>
      </c>
    </row>
    <row r="1397">
      <c r="A1397" t="inlineStr"/>
      <c r="B1397" t="inlineStr"/>
      <c r="C1397" t="inlineStr"/>
      <c r="D1397" t="inlineStr"/>
      <c r="E1397">
        <f>HYPERLINK("https://www.ncbi.nlm.nih.gov/gene/?term=XP_040270849.1", "XP_040270849.1")</f>
        <v/>
      </c>
      <c r="F1397" t="n">
        <v>44.2</v>
      </c>
      <c r="G1397" t="n">
        <v>156</v>
      </c>
      <c r="H1397" t="n">
        <v>8.830000000000001e-33</v>
      </c>
      <c r="I1397" t="inlineStr">
        <is>
          <t>Nr</t>
        </is>
      </c>
      <c r="J1397" t="inlineStr"/>
      <c r="K1397" t="inlineStr"/>
      <c r="L1397" t="inlineStr">
        <is>
          <t>XP_040270849.1 uncharacterized protein LOC120986377 [Bufo bufo]</t>
        </is>
      </c>
      <c r="M1397" t="n">
        <v>328</v>
      </c>
      <c r="N1397" t="inlineStr">
        <is>
          <t>Bufo bufo</t>
        </is>
      </c>
      <c r="O1397" t="inlineStr">
        <is>
          <t>uncharacterized protein LOC120986377</t>
        </is>
      </c>
    </row>
    <row r="1398">
      <c r="A1398" t="inlineStr"/>
      <c r="B1398" t="inlineStr"/>
      <c r="C1398" t="inlineStr"/>
      <c r="D1398" t="inlineStr"/>
      <c r="E1398">
        <f>HYPERLINK("https://www.uniprot.org/uniprotkb/A0A6I8SBU0/entry", "A0A6I8SBU0")</f>
        <v/>
      </c>
      <c r="F1398" t="n">
        <v>47.4</v>
      </c>
      <c r="G1398" t="n">
        <v>152</v>
      </c>
      <c r="H1398" t="n">
        <v>3.619999999999999e-30</v>
      </c>
      <c r="I1398" t="inlineStr">
        <is>
          <t>TrEMBL</t>
        </is>
      </c>
      <c r="J1398" t="inlineStr"/>
      <c r="K1398" t="inlineStr">
        <is>
          <t>A0A6I8SBU0_XENTR</t>
        </is>
      </c>
      <c r="L1398" t="inlineStr">
        <is>
          <t>tr|A0A6I8SBU0|A0A6I8SBU0_XENTR Core-binding (CB) domain-containing protein OS=Xenopus tropicalis OX=8364 PE=4 SV=2</t>
        </is>
      </c>
      <c r="M1398" t="n">
        <v>674</v>
      </c>
      <c r="N1398" t="inlineStr">
        <is>
          <t>Xenopus tropicalis</t>
        </is>
      </c>
      <c r="O1398" t="inlineStr">
        <is>
          <t>Core-binding (CB) domain-containing protein</t>
        </is>
      </c>
    </row>
    <row r="1399">
      <c r="A1399" t="inlineStr"/>
      <c r="B1399" t="inlineStr"/>
      <c r="C1399" t="inlineStr"/>
      <c r="D1399" t="inlineStr"/>
      <c r="E1399">
        <f>HYPERLINK("https://www.uniprot.org/uniprotkb/A0A8J1LAE2/entry", "A0A8J1LAE2")</f>
        <v/>
      </c>
      <c r="F1399" t="n">
        <v>41</v>
      </c>
      <c r="G1399" t="n">
        <v>156</v>
      </c>
      <c r="H1399" t="n">
        <v>1.29e-29</v>
      </c>
      <c r="I1399" t="inlineStr">
        <is>
          <t>TrEMBL</t>
        </is>
      </c>
      <c r="J1399" t="inlineStr">
        <is>
          <t>MGC115313</t>
        </is>
      </c>
      <c r="K1399" t="inlineStr">
        <is>
          <t>A0A8J1LAE2_XENLA</t>
        </is>
      </c>
      <c r="L1399" t="inlineStr">
        <is>
          <t>tr|A0A8J1LAE2|A0A8J1LAE2_XENLA uncharacterized protein LOC734383 isoform X1 OS=Xenopus laevis OX=8355 GN=MGC115313 PE=4 SV=1</t>
        </is>
      </c>
      <c r="M1399" t="n">
        <v>393</v>
      </c>
      <c r="N1399" t="inlineStr">
        <is>
          <t>Xenopus laevis</t>
        </is>
      </c>
      <c r="O1399" t="inlineStr">
        <is>
          <t>uncharacterized protein LOC734383 isoform X1</t>
        </is>
      </c>
    </row>
    <row r="1400">
      <c r="A1400" t="inlineStr"/>
      <c r="B1400" t="inlineStr"/>
      <c r="C1400" t="inlineStr"/>
      <c r="D1400" t="inlineStr"/>
      <c r="E1400">
        <f>HYPERLINK("https://www.uniprot.org/uniprotkb/A0A8J1M8F0/entry", "A0A8J1M8F0")</f>
        <v/>
      </c>
      <c r="F1400" t="n">
        <v>40.5</v>
      </c>
      <c r="G1400" t="n">
        <v>168</v>
      </c>
      <c r="H1400" t="n">
        <v>1.43e-29</v>
      </c>
      <c r="I1400" t="inlineStr">
        <is>
          <t>TrEMBL</t>
        </is>
      </c>
      <c r="J1400" t="inlineStr">
        <is>
          <t>pfkfb2.L</t>
        </is>
      </c>
      <c r="K1400" t="inlineStr">
        <is>
          <t>A0A8J1M8F0_XENLA</t>
        </is>
      </c>
      <c r="L1400" t="inlineStr">
        <is>
          <t>tr|A0A8J1M8F0|A0A8J1M8F0_XENLA ribonuclease H OS=Xenopus laevis OX=8355 GN=pfkfb2.L PE=3 SV=1</t>
        </is>
      </c>
      <c r="M1400" t="n">
        <v>615</v>
      </c>
      <c r="N1400" t="inlineStr">
        <is>
          <t>Xenopus laevis</t>
        </is>
      </c>
      <c r="O1400" t="inlineStr">
        <is>
          <t>ribonuclease H</t>
        </is>
      </c>
    </row>
    <row r="1401">
      <c r="A1401" t="inlineStr"/>
      <c r="B1401" t="inlineStr"/>
      <c r="C1401" t="inlineStr"/>
      <c r="D1401" t="inlineStr"/>
      <c r="E1401">
        <f>HYPERLINK("https://www.ncbi.nlm.nih.gov/gene/?term=XP_041426492.1", "XP_041426492.1")</f>
        <v/>
      </c>
      <c r="F1401" t="n">
        <v>41</v>
      </c>
      <c r="G1401" t="n">
        <v>156</v>
      </c>
      <c r="H1401" t="n">
        <v>3.31e-29</v>
      </c>
      <c r="I1401" t="inlineStr">
        <is>
          <t>Nr</t>
        </is>
      </c>
      <c r="J1401" t="inlineStr"/>
      <c r="K1401" t="inlineStr"/>
      <c r="L1401" t="inlineStr">
        <is>
          <t>XP_041426492.1 uncharacterized protein LOC734383 isoform X1 [Xenopus laevis]</t>
        </is>
      </c>
      <c r="M1401" t="n">
        <v>393</v>
      </c>
      <c r="N1401" t="inlineStr">
        <is>
          <t>Xenopus laevis</t>
        </is>
      </c>
      <c r="O1401" t="inlineStr">
        <is>
          <t>uncharacterized protein LOC734383 isoform X1</t>
        </is>
      </c>
    </row>
    <row r="1402">
      <c r="A1402" t="inlineStr"/>
      <c r="B1402" t="inlineStr"/>
      <c r="C1402" t="inlineStr"/>
      <c r="D1402" t="inlineStr"/>
      <c r="E1402">
        <f>HYPERLINK("https://www.ncbi.nlm.nih.gov/gene/?term=XP_041437982.1", "XP_041437982.1")</f>
        <v/>
      </c>
      <c r="F1402" t="n">
        <v>40.5</v>
      </c>
      <c r="G1402" t="n">
        <v>168</v>
      </c>
      <c r="H1402" t="n">
        <v>3.68e-29</v>
      </c>
      <c r="I1402" t="inlineStr">
        <is>
          <t>Nr</t>
        </is>
      </c>
      <c r="J1402" t="inlineStr"/>
      <c r="K1402" t="inlineStr"/>
      <c r="L1402" t="inlineStr">
        <is>
          <t>XP_041437982.1 uncharacterized protein pfkfb2.L isoform X1 [Xenopus laevis]</t>
        </is>
      </c>
      <c r="M1402" t="n">
        <v>615</v>
      </c>
      <c r="N1402" t="inlineStr">
        <is>
          <t>Xenopus laevis</t>
        </is>
      </c>
      <c r="O1402" t="inlineStr">
        <is>
          <t>uncharacterized protein pfkfb2.L isoform X1</t>
        </is>
      </c>
    </row>
    <row r="1403">
      <c r="A1403" t="inlineStr"/>
      <c r="B1403" t="inlineStr"/>
      <c r="C1403" t="inlineStr"/>
      <c r="D1403" t="inlineStr"/>
      <c r="E1403">
        <f>HYPERLINK("https://www.uniprot.org/uniprotkb/A0A8J1LVD3/entry", "A0A8J1LVD3")</f>
        <v/>
      </c>
      <c r="F1403" t="n">
        <v>45.3</v>
      </c>
      <c r="G1403" t="n">
        <v>150</v>
      </c>
      <c r="H1403" t="n">
        <v>5.61e-29</v>
      </c>
      <c r="I1403" t="inlineStr">
        <is>
          <t>TrEMBL</t>
        </is>
      </c>
      <c r="J1403" t="inlineStr">
        <is>
          <t>LOC121398305</t>
        </is>
      </c>
      <c r="K1403" t="inlineStr">
        <is>
          <t>A0A8J1LVD3_XENLA</t>
        </is>
      </c>
      <c r="L1403" t="inlineStr">
        <is>
          <t>tr|A0A8J1LVD3|A0A8J1LVD3_XENLA uncharacterized protein LOC121398305 OS=Xenopus laevis OX=8355 GN=LOC121398305 PE=4 SV=1</t>
        </is>
      </c>
      <c r="M1403" t="n">
        <v>485</v>
      </c>
      <c r="N1403" t="inlineStr">
        <is>
          <t>Xenopus laevis</t>
        </is>
      </c>
      <c r="O1403" t="inlineStr">
        <is>
          <t>uncharacterized protein LOC121398305</t>
        </is>
      </c>
    </row>
    <row r="1404">
      <c r="A1404" t="inlineStr"/>
      <c r="B1404" t="inlineStr"/>
      <c r="C1404" t="inlineStr"/>
      <c r="D1404" t="inlineStr"/>
      <c r="E1404">
        <f>HYPERLINK("https://www.ncbi.nlm.nih.gov/gene/?term=XP_018432223.1", "XP_018432223.1")</f>
        <v/>
      </c>
      <c r="F1404" t="n">
        <v>39.2</v>
      </c>
      <c r="G1404" t="n">
        <v>209</v>
      </c>
      <c r="H1404" t="n">
        <v>1.11e-28</v>
      </c>
      <c r="I1404" t="inlineStr">
        <is>
          <t>Nr</t>
        </is>
      </c>
      <c r="J1404" t="inlineStr"/>
      <c r="K1404" t="inlineStr"/>
      <c r="L1404" t="inlineStr">
        <is>
          <t>XP_018432223.1 PREDICTED: gamma-tubulin complex component 6 [Nanorana parkeri]</t>
        </is>
      </c>
      <c r="M1404" t="n">
        <v>2620</v>
      </c>
      <c r="N1404" t="inlineStr">
        <is>
          <t>Nanorana parkeri</t>
        </is>
      </c>
      <c r="O1404" t="inlineStr">
        <is>
          <t>PREDICTED: gamma-tubulin complex component 6</t>
        </is>
      </c>
    </row>
    <row r="1405">
      <c r="A1405" t="inlineStr"/>
      <c r="B1405" t="inlineStr"/>
      <c r="C1405" t="inlineStr"/>
      <c r="D1405" t="inlineStr"/>
      <c r="E1405">
        <f>HYPERLINK("https://www.ncbi.nlm.nih.gov/gene/?term=XP_041433304.1", "XP_041433304.1")</f>
        <v/>
      </c>
      <c r="F1405" t="n">
        <v>45.3</v>
      </c>
      <c r="G1405" t="n">
        <v>150</v>
      </c>
      <c r="H1405" t="n">
        <v>1.44e-28</v>
      </c>
      <c r="I1405" t="inlineStr">
        <is>
          <t>Nr</t>
        </is>
      </c>
      <c r="J1405" t="inlineStr"/>
      <c r="K1405" t="inlineStr"/>
      <c r="L1405" t="inlineStr">
        <is>
          <t>XP_041433304.1 uncharacterized protein LOC121398305 [Xenopus laevis]</t>
        </is>
      </c>
      <c r="M1405" t="n">
        <v>485</v>
      </c>
      <c r="N1405" t="inlineStr">
        <is>
          <t>Xenopus laevis</t>
        </is>
      </c>
      <c r="O1405" t="inlineStr">
        <is>
          <t>uncharacterized protein LOC121398305</t>
        </is>
      </c>
    </row>
    <row r="1406">
      <c r="A1406" t="inlineStr"/>
      <c r="B1406" t="inlineStr"/>
      <c r="C1406" t="inlineStr"/>
      <c r="D1406" t="inlineStr"/>
      <c r="E1406">
        <f>HYPERLINK("https://www.uniprot.org/uniprotkb/A0A8J1MZ44/entry", "A0A8J1MZ44")</f>
        <v/>
      </c>
      <c r="F1406" t="n">
        <v>40.8</v>
      </c>
      <c r="G1406" t="n">
        <v>157</v>
      </c>
      <c r="H1406" t="n">
        <v>8.349999999999999e-28</v>
      </c>
      <c r="I1406" t="inlineStr">
        <is>
          <t>TrEMBL</t>
        </is>
      </c>
      <c r="J1406" t="inlineStr">
        <is>
          <t>LOC121403038</t>
        </is>
      </c>
      <c r="K1406" t="inlineStr">
        <is>
          <t>A0A8J1MZ44_XENLA</t>
        </is>
      </c>
      <c r="L1406" t="inlineStr">
        <is>
          <t>tr|A0A8J1MZ44|A0A8J1MZ44_XENLA ribonuclease H OS=Xenopus laevis OX=8355 GN=LOC121403038 PE=3 SV=1</t>
        </is>
      </c>
      <c r="M1406" t="n">
        <v>852</v>
      </c>
      <c r="N1406" t="inlineStr">
        <is>
          <t>Xenopus laevis</t>
        </is>
      </c>
      <c r="O1406" t="inlineStr">
        <is>
          <t>ribonuclease H</t>
        </is>
      </c>
    </row>
    <row r="1407">
      <c r="A1407" t="inlineStr"/>
      <c r="B1407" t="inlineStr"/>
      <c r="C1407" t="inlineStr"/>
      <c r="D1407" t="inlineStr"/>
      <c r="E1407">
        <f>HYPERLINK("https://www.ncbi.nlm.nih.gov/gene/?term=KAE8591808.1", "KAE8591808.1")</f>
        <v/>
      </c>
      <c r="F1407" t="n">
        <v>45</v>
      </c>
      <c r="G1407" t="n">
        <v>151</v>
      </c>
      <c r="H1407" t="n">
        <v>1.79e-27</v>
      </c>
      <c r="I1407" t="inlineStr">
        <is>
          <t>Nr</t>
        </is>
      </c>
      <c r="J1407" t="inlineStr"/>
      <c r="K1407" t="inlineStr"/>
      <c r="L1407" t="inlineStr">
        <is>
          <t>KAE8591808.1 hypothetical protein XENTR_v10018578 [Xenopus tropicalis]</t>
        </is>
      </c>
      <c r="M1407" t="n">
        <v>331</v>
      </c>
      <c r="N1407" t="inlineStr">
        <is>
          <t>Xenopus tropicalis</t>
        </is>
      </c>
      <c r="O1407" t="inlineStr">
        <is>
          <t>hypothetical protein XENTR_v10018578</t>
        </is>
      </c>
    </row>
    <row r="1408">
      <c r="A1408" t="inlineStr"/>
      <c r="B1408" t="inlineStr"/>
      <c r="C1408" t="inlineStr"/>
      <c r="D1408" t="inlineStr"/>
      <c r="E1408">
        <f>HYPERLINK("https://www.ncbi.nlm.nih.gov/gene/?term=XP_041446270.1", "XP_041446270.1")</f>
        <v/>
      </c>
      <c r="F1408" t="n">
        <v>40.8</v>
      </c>
      <c r="G1408" t="n">
        <v>157</v>
      </c>
      <c r="H1408" t="n">
        <v>2.15e-27</v>
      </c>
      <c r="I1408" t="inlineStr">
        <is>
          <t>Nr</t>
        </is>
      </c>
      <c r="J1408" t="inlineStr"/>
      <c r="K1408" t="inlineStr"/>
      <c r="L1408" t="inlineStr">
        <is>
          <t>XP_041446270.1 uncharacterized protein LOC121403038 [Xenopus laevis]</t>
        </is>
      </c>
      <c r="M1408" t="n">
        <v>852</v>
      </c>
      <c r="N1408" t="inlineStr">
        <is>
          <t>Xenopus laevis</t>
        </is>
      </c>
      <c r="O1408" t="inlineStr">
        <is>
          <t>uncharacterized protein LOC121403038</t>
        </is>
      </c>
    </row>
    <row r="1409">
      <c r="A1409" t="inlineStr"/>
      <c r="B1409" t="inlineStr"/>
      <c r="C1409" t="inlineStr"/>
      <c r="D1409" t="inlineStr"/>
      <c r="E1409">
        <f>HYPERLINK("https://www.ncbi.nlm.nih.gov/gene/?term=KAE8576050.1", "KAE8576050.1")</f>
        <v/>
      </c>
      <c r="F1409" t="n">
        <v>46.6</v>
      </c>
      <c r="G1409" t="n">
        <v>146</v>
      </c>
      <c r="H1409" t="n">
        <v>3.47e-27</v>
      </c>
      <c r="I1409" t="inlineStr">
        <is>
          <t>Nr</t>
        </is>
      </c>
      <c r="J1409" t="inlineStr"/>
      <c r="K1409" t="inlineStr"/>
      <c r="L1409" t="inlineStr">
        <is>
          <t>KAE8576050.1 hypothetical protein XENTR_v10004031 [Xenopus tropicalis]</t>
        </is>
      </c>
      <c r="M1409" t="n">
        <v>668</v>
      </c>
      <c r="N1409" t="inlineStr">
        <is>
          <t>Xenopus tropicalis</t>
        </is>
      </c>
      <c r="O1409" t="inlineStr">
        <is>
          <t>hypothetical protein XENTR_v10004031</t>
        </is>
      </c>
    </row>
    <row r="1410">
      <c r="A1410" t="inlineStr"/>
      <c r="B1410" t="inlineStr"/>
      <c r="C1410" t="inlineStr"/>
      <c r="D1410" t="inlineStr"/>
      <c r="E1410">
        <f>HYPERLINK("https://www.ncbi.nlm.nih.gov/gene/?term=XP_044151545.1", "XP_044151545.1")</f>
        <v/>
      </c>
      <c r="F1410" t="n">
        <v>41</v>
      </c>
      <c r="G1410" t="n">
        <v>156</v>
      </c>
      <c r="H1410" t="n">
        <v>5.89e-27</v>
      </c>
      <c r="I1410" t="inlineStr">
        <is>
          <t>Nr</t>
        </is>
      </c>
      <c r="J1410" t="inlineStr"/>
      <c r="K1410" t="inlineStr"/>
      <c r="L1410" t="inlineStr">
        <is>
          <t>XP_044151545.1 nuclear pore complex protein Nup155 [Bufo gargarizans]</t>
        </is>
      </c>
      <c r="M1410" t="n">
        <v>1594</v>
      </c>
      <c r="N1410" t="inlineStr">
        <is>
          <t>Bufo gargarizans</t>
        </is>
      </c>
      <c r="O1410" t="inlineStr">
        <is>
          <t>nuclear pore complex protein Nup155</t>
        </is>
      </c>
    </row>
    <row r="1411">
      <c r="A1411" t="inlineStr"/>
      <c r="B1411" t="inlineStr"/>
      <c r="C1411" t="inlineStr"/>
      <c r="D1411" t="inlineStr"/>
      <c r="E1411">
        <f>HYPERLINK("https://www.ncbi.nlm.nih.gov/gene/?term=KAE8618780.1", "KAE8618780.1")</f>
        <v/>
      </c>
      <c r="F1411" t="n">
        <v>38.2</v>
      </c>
      <c r="G1411" t="n">
        <v>152</v>
      </c>
      <c r="H1411" t="n">
        <v>1.14e-23</v>
      </c>
      <c r="I1411" t="inlineStr">
        <is>
          <t>Nr</t>
        </is>
      </c>
      <c r="J1411" t="inlineStr"/>
      <c r="K1411" t="inlineStr"/>
      <c r="L1411" t="inlineStr">
        <is>
          <t>KAE8618780.1 hypothetical protein XENTR_v10009500 [Xenopus tropicalis]</t>
        </is>
      </c>
      <c r="M1411" t="n">
        <v>709</v>
      </c>
      <c r="N1411" t="inlineStr">
        <is>
          <t>Xenopus tropicalis</t>
        </is>
      </c>
      <c r="O1411" t="inlineStr">
        <is>
          <t>hypothetical protein XENTR_v10009500</t>
        </is>
      </c>
    </row>
    <row r="1412">
      <c r="A1412" t="inlineStr"/>
      <c r="B1412" t="inlineStr"/>
      <c r="C1412" t="inlineStr"/>
      <c r="D1412" t="inlineStr"/>
      <c r="E1412">
        <f>HYPERLINK("https://www.ncbi.nlm.nih.gov/gene/?term=XP_040294193.1", "XP_040294193.1")</f>
        <v/>
      </c>
      <c r="F1412" t="n">
        <v>38.8</v>
      </c>
      <c r="G1412" t="n">
        <v>165</v>
      </c>
      <c r="H1412" t="n">
        <v>3.98e-23</v>
      </c>
      <c r="I1412" t="inlineStr">
        <is>
          <t>Nr</t>
        </is>
      </c>
      <c r="J1412" t="inlineStr"/>
      <c r="K1412" t="inlineStr"/>
      <c r="L1412" t="inlineStr">
        <is>
          <t>XP_040294193.1 uncharacterized protein LOC121005490 [Bufo bufo]</t>
        </is>
      </c>
      <c r="M1412" t="n">
        <v>479</v>
      </c>
      <c r="N1412" t="inlineStr">
        <is>
          <t>Bufo bufo</t>
        </is>
      </c>
      <c r="O1412" t="inlineStr">
        <is>
          <t>uncharacterized protein LOC121005490</t>
        </is>
      </c>
    </row>
    <row r="1413">
      <c r="A1413" t="inlineStr"/>
      <c r="B1413" t="inlineStr"/>
      <c r="C1413" t="inlineStr"/>
      <c r="D1413" t="inlineStr"/>
      <c r="E1413">
        <f>HYPERLINK("https://www.ncbi.nlm.nih.gov/gene/?term=KAE8617332.1", "KAE8617332.1")</f>
        <v/>
      </c>
      <c r="F1413" t="n">
        <v>34.7</v>
      </c>
      <c r="G1413" t="n">
        <v>219</v>
      </c>
      <c r="H1413" t="n">
        <v>1.6e-22</v>
      </c>
      <c r="I1413" t="inlineStr">
        <is>
          <t>Nr</t>
        </is>
      </c>
      <c r="J1413" t="inlineStr"/>
      <c r="K1413" t="inlineStr"/>
      <c r="L1413" t="inlineStr">
        <is>
          <t>KAE8617332.1 hypothetical protein XENTR_v10009038 [Xenopus tropicalis]</t>
        </is>
      </c>
      <c r="M1413" t="n">
        <v>413</v>
      </c>
      <c r="N1413" t="inlineStr">
        <is>
          <t>Xenopus tropicalis</t>
        </is>
      </c>
      <c r="O1413" t="inlineStr">
        <is>
          <t>hypothetical protein XENTR_v10009038</t>
        </is>
      </c>
    </row>
    <row r="1414">
      <c r="A1414" t="inlineStr"/>
      <c r="B1414" t="inlineStr"/>
      <c r="C1414" t="inlineStr"/>
      <c r="D1414" t="inlineStr"/>
      <c r="E1414">
        <f>HYPERLINK("https://www.ncbi.nlm.nih.gov/gene/?term=OCT79967.1", "OCT79967.1")</f>
        <v/>
      </c>
      <c r="F1414" t="n">
        <v>42.9</v>
      </c>
      <c r="G1414" t="n">
        <v>119</v>
      </c>
      <c r="H1414" t="n">
        <v>1.15e-21</v>
      </c>
      <c r="I1414" t="inlineStr">
        <is>
          <t>Nr</t>
        </is>
      </c>
      <c r="J1414" t="inlineStr"/>
      <c r="K1414" t="inlineStr"/>
      <c r="L1414" t="inlineStr">
        <is>
          <t>OCT79967.1 hypothetical protein XELAEV_18026783mg [Xenopus laevis]</t>
        </is>
      </c>
      <c r="M1414" t="n">
        <v>153</v>
      </c>
      <c r="N1414" t="inlineStr">
        <is>
          <t>Xenopus laevis</t>
        </is>
      </c>
      <c r="O1414" t="inlineStr">
        <is>
          <t>hypothetical protein XELAEV_18026783mg</t>
        </is>
      </c>
    </row>
    <row r="1415">
      <c r="A1415" t="inlineStr"/>
      <c r="B1415" t="inlineStr"/>
      <c r="C1415" t="inlineStr"/>
      <c r="D1415" t="inlineStr"/>
      <c r="E1415">
        <f>HYPERLINK("https://www.uniprot.org/uniprotkb/A0A6P7Y5B8/entry", "A0A6P7Y5B8")</f>
        <v/>
      </c>
      <c r="F1415" t="n">
        <v>37.8</v>
      </c>
      <c r="G1415" t="n">
        <v>156</v>
      </c>
      <c r="H1415" t="n">
        <v>3.13e-21</v>
      </c>
      <c r="I1415" t="inlineStr">
        <is>
          <t>TrEMBL</t>
        </is>
      </c>
      <c r="J1415" t="inlineStr">
        <is>
          <t>MBTD1</t>
        </is>
      </c>
      <c r="K1415" t="inlineStr">
        <is>
          <t>A0A6P7Y5B8_9AMPH</t>
        </is>
      </c>
      <c r="L1415" t="inlineStr">
        <is>
          <t>tr|A0A6P7Y5B8|A0A6P7Y5B8_9AMPH MBT domain-containing protein 1 OS=Microcaecilia unicolor OX=1415580 GN=MBTD1 PE=4 SV=1</t>
        </is>
      </c>
      <c r="M1415" t="n">
        <v>1090</v>
      </c>
      <c r="N1415" t="inlineStr">
        <is>
          <t>Microcaecilia unicolor</t>
        </is>
      </c>
      <c r="O1415" t="inlineStr">
        <is>
          <t>MBT domain-containing protein 1</t>
        </is>
      </c>
    </row>
    <row r="1416">
      <c r="A1416" t="inlineStr"/>
      <c r="B1416" t="inlineStr"/>
      <c r="C1416" t="inlineStr"/>
      <c r="D1416" t="inlineStr"/>
      <c r="E1416">
        <f>HYPERLINK("https://www.ncbi.nlm.nih.gov/gene/?term=XP_030062722.1", "XP_030062722.1")</f>
        <v/>
      </c>
      <c r="F1416" t="n">
        <v>37.8</v>
      </c>
      <c r="G1416" t="n">
        <v>156</v>
      </c>
      <c r="H1416" t="n">
        <v>8.030000000000001e-21</v>
      </c>
      <c r="I1416" t="inlineStr">
        <is>
          <t>Nr</t>
        </is>
      </c>
      <c r="J1416" t="inlineStr"/>
      <c r="K1416" t="inlineStr"/>
      <c r="L1416" t="inlineStr">
        <is>
          <t>XP_030062722.1 MBT domain-containing protein 1 [Microcaecilia unicolor]</t>
        </is>
      </c>
      <c r="M1416" t="n">
        <v>1090</v>
      </c>
      <c r="N1416" t="inlineStr">
        <is>
          <t>Microcaecilia unicolor</t>
        </is>
      </c>
      <c r="O1416" t="inlineStr">
        <is>
          <t>MBT domain-containing protein 1</t>
        </is>
      </c>
    </row>
    <row r="1417">
      <c r="A1417" t="inlineStr"/>
      <c r="B1417" t="inlineStr"/>
      <c r="C1417" t="inlineStr"/>
      <c r="D1417" t="inlineStr"/>
      <c r="E1417">
        <f>HYPERLINK("https://www.uniprot.org/uniprotkb/A0A8J1KMD2/entry", "A0A8J1KMD2")</f>
        <v/>
      </c>
      <c r="F1417" t="n">
        <v>40.1</v>
      </c>
      <c r="G1417" t="n">
        <v>152</v>
      </c>
      <c r="H1417" t="n">
        <v>2.69e-20</v>
      </c>
      <c r="I1417" t="inlineStr">
        <is>
          <t>TrEMBL</t>
        </is>
      </c>
      <c r="J1417" t="inlineStr">
        <is>
          <t>LOC121393601</t>
        </is>
      </c>
      <c r="K1417" t="inlineStr">
        <is>
          <t>A0A8J1KMD2_XENLA</t>
        </is>
      </c>
      <c r="L1417" t="inlineStr">
        <is>
          <t>tr|A0A8J1KMD2|A0A8J1KMD2_XENLA ribonuclease H OS=Xenopus laevis OX=8355 GN=LOC121393601 PE=3 SV=1</t>
        </is>
      </c>
      <c r="M1417" t="n">
        <v>1091</v>
      </c>
      <c r="N1417" t="inlineStr">
        <is>
          <t>Xenopus laevis</t>
        </is>
      </c>
      <c r="O1417" t="inlineStr">
        <is>
          <t>ribonuclease H</t>
        </is>
      </c>
    </row>
    <row r="1418">
      <c r="A1418" t="inlineStr"/>
      <c r="B1418" t="inlineStr"/>
      <c r="C1418" t="inlineStr"/>
      <c r="D1418" t="inlineStr"/>
      <c r="E1418">
        <f>HYPERLINK("https://www.ncbi.nlm.nih.gov/gene/?term=XP_041418470.1", "XP_041418470.1")</f>
        <v/>
      </c>
      <c r="F1418" t="n">
        <v>40.1</v>
      </c>
      <c r="G1418" t="n">
        <v>152</v>
      </c>
      <c r="H1418" t="n">
        <v>6.909999999999999e-20</v>
      </c>
      <c r="I1418" t="inlineStr">
        <is>
          <t>Nr</t>
        </is>
      </c>
      <c r="J1418" t="inlineStr"/>
      <c r="K1418" t="inlineStr"/>
      <c r="L1418" t="inlineStr">
        <is>
          <t>XP_041418470.1 uncharacterized protein LOC121393601 [Xenopus laevis]</t>
        </is>
      </c>
      <c r="M1418" t="n">
        <v>1091</v>
      </c>
      <c r="N1418" t="inlineStr">
        <is>
          <t>Xenopus laevis</t>
        </is>
      </c>
      <c r="O1418" t="inlineStr">
        <is>
          <t>uncharacterized protein LOC121393601</t>
        </is>
      </c>
    </row>
    <row r="1419">
      <c r="A1419" t="inlineStr"/>
      <c r="B1419" t="inlineStr"/>
      <c r="C1419" t="inlineStr"/>
      <c r="D1419" t="inlineStr"/>
      <c r="E1419">
        <f>HYPERLINK("https://www.ncbi.nlm.nih.gov/gene/?term=XP_040286209.1", "XP_040286209.1")</f>
        <v/>
      </c>
      <c r="F1419" t="n">
        <v>39.6</v>
      </c>
      <c r="G1419" t="n">
        <v>134</v>
      </c>
      <c r="H1419" t="n">
        <v>3.58e-19</v>
      </c>
      <c r="I1419" t="inlineStr">
        <is>
          <t>Nr</t>
        </is>
      </c>
      <c r="J1419" t="inlineStr"/>
      <c r="K1419" t="inlineStr"/>
      <c r="L1419" t="inlineStr">
        <is>
          <t>XP_040286209.1 dynein heavy chain 8, axonemal [Bufo bufo]</t>
        </is>
      </c>
      <c r="M1419" t="n">
        <v>5444</v>
      </c>
      <c r="N1419" t="inlineStr">
        <is>
          <t>Bufo bufo</t>
        </is>
      </c>
      <c r="O1419" t="inlineStr">
        <is>
          <t>dynein heavy chain 8, axonemal</t>
        </is>
      </c>
    </row>
    <row r="1420">
      <c r="A1420" t="inlineStr"/>
      <c r="B1420" t="inlineStr"/>
      <c r="C1420" t="inlineStr"/>
      <c r="D1420" t="inlineStr"/>
      <c r="E1420">
        <f>HYPERLINK("https://www.ncbi.nlm.nih.gov/gene/?term=XP_029469294.1", "XP_029469294.1")</f>
        <v/>
      </c>
      <c r="F1420" t="n">
        <v>35.9</v>
      </c>
      <c r="G1420" t="n">
        <v>153</v>
      </c>
      <c r="H1420" t="n">
        <v>3.59e-19</v>
      </c>
      <c r="I1420" t="inlineStr">
        <is>
          <t>Nr</t>
        </is>
      </c>
      <c r="J1420" t="inlineStr"/>
      <c r="K1420" t="inlineStr"/>
      <c r="L1420" t="inlineStr">
        <is>
          <t>XP_029469294.1 uncharacterized protein LOC115097515 [Rhinatrema bivittatum]</t>
        </is>
      </c>
      <c r="M1420" t="n">
        <v>344</v>
      </c>
      <c r="N1420" t="inlineStr">
        <is>
          <t>Rhinatrema bivittatum</t>
        </is>
      </c>
      <c r="O1420" t="inlineStr">
        <is>
          <t>uncharacterized protein LOC115097515</t>
        </is>
      </c>
    </row>
    <row r="1421">
      <c r="A1421" t="inlineStr"/>
      <c r="B1421" t="inlineStr"/>
      <c r="C1421" t="inlineStr"/>
      <c r="D1421" t="inlineStr"/>
      <c r="E1421">
        <f>HYPERLINK("https://www.ncbi.nlm.nih.gov/gene/?term=KAE8602875.1", "KAE8602875.1")</f>
        <v/>
      </c>
      <c r="F1421" t="n">
        <v>36.1</v>
      </c>
      <c r="G1421" t="n">
        <v>158</v>
      </c>
      <c r="H1421" t="n">
        <v>6.14e-19</v>
      </c>
      <c r="I1421" t="inlineStr">
        <is>
          <t>Nr</t>
        </is>
      </c>
      <c r="J1421" t="inlineStr"/>
      <c r="K1421" t="inlineStr"/>
      <c r="L1421" t="inlineStr">
        <is>
          <t>KAE8602875.1 hypothetical protein XENTR_v10014161 [Xenopus tropicalis]</t>
        </is>
      </c>
      <c r="M1421" t="n">
        <v>518</v>
      </c>
      <c r="N1421" t="inlineStr">
        <is>
          <t>Xenopus tropicalis</t>
        </is>
      </c>
      <c r="O1421" t="inlineStr">
        <is>
          <t>hypothetical protein XENTR_v10014161</t>
        </is>
      </c>
    </row>
    <row r="1422">
      <c r="A1422" t="inlineStr"/>
      <c r="B1422" t="inlineStr"/>
      <c r="C1422" t="inlineStr"/>
      <c r="D1422" t="inlineStr"/>
      <c r="E1422">
        <f>HYPERLINK("https://www.uniprot.org/uniprotkb/A0A8J1J4M0/entry", "A0A8J1J4M0")</f>
        <v/>
      </c>
      <c r="F1422" t="n">
        <v>32.5</v>
      </c>
      <c r="G1422" t="n">
        <v>160</v>
      </c>
      <c r="H1422" t="n">
        <v>9.880000000000001e-19</v>
      </c>
      <c r="I1422" t="inlineStr">
        <is>
          <t>TrEMBL</t>
        </is>
      </c>
      <c r="J1422" t="inlineStr">
        <is>
          <t>LOC101731022</t>
        </is>
      </c>
      <c r="K1422" t="inlineStr">
        <is>
          <t>A0A8J1J4M0_XENTR</t>
        </is>
      </c>
      <c r="L1422" t="inlineStr">
        <is>
          <t>tr|A0A8J1J4M0|A0A8J1J4M0_XENTR uncharacterized protein LOC101731022 isoform X4 OS=Xenopus tropicalis OX=8364 GN=LOC101731022 PE=4 SV=1</t>
        </is>
      </c>
      <c r="M1422" t="n">
        <v>375</v>
      </c>
      <c r="N1422" t="inlineStr">
        <is>
          <t>Xenopus tropicalis</t>
        </is>
      </c>
      <c r="O1422" t="inlineStr">
        <is>
          <t>uncharacterized protein LOC101731022 isoform X4</t>
        </is>
      </c>
    </row>
    <row r="1423">
      <c r="A1423" t="inlineStr"/>
      <c r="B1423" t="inlineStr"/>
      <c r="C1423" t="inlineStr"/>
      <c r="D1423" t="inlineStr"/>
      <c r="E1423">
        <f>HYPERLINK("https://www.ncbi.nlm.nih.gov/gene/?term=XP_029441229.1", "XP_029441229.1")</f>
        <v/>
      </c>
      <c r="F1423" t="n">
        <v>35.9</v>
      </c>
      <c r="G1423" t="n">
        <v>153</v>
      </c>
      <c r="H1423" t="n">
        <v>1.35e-18</v>
      </c>
      <c r="I1423" t="inlineStr">
        <is>
          <t>Nr</t>
        </is>
      </c>
      <c r="J1423" t="inlineStr"/>
      <c r="K1423" t="inlineStr"/>
      <c r="L1423" t="inlineStr">
        <is>
          <t>XP_029441229.1 uncharacterized protein LOC115080906 [Rhinatrema bivittatum]</t>
        </is>
      </c>
      <c r="M1423" t="n">
        <v>654</v>
      </c>
      <c r="N1423" t="inlineStr">
        <is>
          <t>Rhinatrema bivittatum</t>
        </is>
      </c>
      <c r="O1423" t="inlineStr">
        <is>
          <t>uncharacterized protein LOC115080906</t>
        </is>
      </c>
    </row>
    <row r="1424">
      <c r="A1424" t="inlineStr"/>
      <c r="B1424" t="inlineStr"/>
      <c r="C1424" t="inlineStr"/>
      <c r="D1424" t="inlineStr"/>
      <c r="E1424">
        <f>HYPERLINK("https://www.ncbi.nlm.nih.gov/gene/?term=XP_029455053.1", "XP_029455053.1")</f>
        <v/>
      </c>
      <c r="F1424" t="n">
        <v>35.9</v>
      </c>
      <c r="G1424" t="n">
        <v>153</v>
      </c>
      <c r="H1424" t="n">
        <v>1.35e-18</v>
      </c>
      <c r="I1424" t="inlineStr">
        <is>
          <t>Nr</t>
        </is>
      </c>
      <c r="J1424" t="inlineStr"/>
      <c r="K1424" t="inlineStr"/>
      <c r="L1424" t="inlineStr">
        <is>
          <t>XP_029455053.1 uncharacterized protein LOC115090287 [Rhinatrema bivittatum]</t>
        </is>
      </c>
      <c r="M1424" t="n">
        <v>654</v>
      </c>
      <c r="N1424" t="inlineStr">
        <is>
          <t>Rhinatrema bivittatum</t>
        </is>
      </c>
      <c r="O1424" t="inlineStr">
        <is>
          <t>uncharacterized protein LOC115090287</t>
        </is>
      </c>
    </row>
    <row r="1425">
      <c r="A1425" t="inlineStr"/>
      <c r="B1425" t="inlineStr"/>
      <c r="C1425" t="inlineStr"/>
      <c r="D1425" t="inlineStr"/>
      <c r="E1425">
        <f>HYPERLINK("https://www.ncbi.nlm.nih.gov/gene/?term=KAE8631245.1", "KAE8631245.1")</f>
        <v/>
      </c>
      <c r="F1425" t="n">
        <v>36.5</v>
      </c>
      <c r="G1425" t="n">
        <v>156</v>
      </c>
      <c r="H1425" t="n">
        <v>1.35e-18</v>
      </c>
      <c r="I1425" t="inlineStr">
        <is>
          <t>Nr</t>
        </is>
      </c>
      <c r="J1425" t="inlineStr"/>
      <c r="K1425" t="inlineStr"/>
      <c r="L1425" t="inlineStr">
        <is>
          <t>KAE8631245.1 hypothetical protein XENTR_v10001123 [Xenopus tropicalis]</t>
        </is>
      </c>
      <c r="M1425" t="n">
        <v>656</v>
      </c>
      <c r="N1425" t="inlineStr">
        <is>
          <t>Xenopus tropicalis</t>
        </is>
      </c>
      <c r="O1425" t="inlineStr">
        <is>
          <t>hypothetical protein XENTR_v10001123</t>
        </is>
      </c>
    </row>
    <row r="1426">
      <c r="A1426" t="inlineStr"/>
      <c r="B1426" t="inlineStr"/>
      <c r="C1426" t="inlineStr"/>
      <c r="D1426" t="inlineStr"/>
      <c r="E1426">
        <f>HYPERLINK("https://www.uniprot.org/uniprotkb/A0A8J1N0T7/entry", "A0A8J1N0T7")</f>
        <v/>
      </c>
      <c r="F1426" t="n">
        <v>35.7</v>
      </c>
      <c r="G1426" t="n">
        <v>157</v>
      </c>
      <c r="H1426" t="n">
        <v>1.45e-18</v>
      </c>
      <c r="I1426" t="inlineStr">
        <is>
          <t>TrEMBL</t>
        </is>
      </c>
      <c r="J1426" t="inlineStr">
        <is>
          <t>LOC121403130</t>
        </is>
      </c>
      <c r="K1426" t="inlineStr">
        <is>
          <t>A0A8J1N0T7_XENLA</t>
        </is>
      </c>
      <c r="L1426" t="inlineStr">
        <is>
          <t>tr|A0A8J1N0T7|A0A8J1N0T7_XENLA ribonuclease H OS=Xenopus laevis OX=8355 GN=LOC121403130 PE=3 SV=1</t>
        </is>
      </c>
      <c r="M1426" t="n">
        <v>1010</v>
      </c>
      <c r="N1426" t="inlineStr">
        <is>
          <t>Xenopus laevis</t>
        </is>
      </c>
      <c r="O1426" t="inlineStr">
        <is>
          <t>ribonuclease H</t>
        </is>
      </c>
    </row>
    <row r="1427">
      <c r="A1427" t="inlineStr"/>
      <c r="B1427" t="inlineStr"/>
      <c r="C1427" t="inlineStr"/>
      <c r="D1427" t="inlineStr"/>
      <c r="E1427">
        <f>HYPERLINK("https://www.ncbi.nlm.nih.gov/gene/?term=XP_031752829.1", "XP_031752829.1")</f>
        <v/>
      </c>
      <c r="F1427" t="n">
        <v>32.5</v>
      </c>
      <c r="G1427" t="n">
        <v>160</v>
      </c>
      <c r="H1427" t="n">
        <v>2.54e-18</v>
      </c>
      <c r="I1427" t="inlineStr">
        <is>
          <t>Nr</t>
        </is>
      </c>
      <c r="J1427" t="inlineStr"/>
      <c r="K1427" t="inlineStr"/>
      <c r="L1427" t="inlineStr">
        <is>
          <t>XP_031752829.1 uncharacterized protein LOC101731022 isoform X4 [Xenopus tropicalis]</t>
        </is>
      </c>
      <c r="M1427" t="n">
        <v>375</v>
      </c>
      <c r="N1427" t="inlineStr">
        <is>
          <t>Xenopus tropicalis</t>
        </is>
      </c>
      <c r="O1427" t="inlineStr">
        <is>
          <t>uncharacterized protein LOC101731022 isoform X4</t>
        </is>
      </c>
    </row>
    <row r="1428">
      <c r="A1428" t="inlineStr"/>
      <c r="B1428" t="inlineStr"/>
      <c r="C1428" t="inlineStr"/>
      <c r="D1428" t="inlineStr"/>
      <c r="E1428">
        <f>HYPERLINK("https://www.ncbi.nlm.nih.gov/gene/?term=XP_041446855.1", "XP_041446855.1")</f>
        <v/>
      </c>
      <c r="F1428" t="n">
        <v>35.7</v>
      </c>
      <c r="G1428" t="n">
        <v>157</v>
      </c>
      <c r="H1428" t="n">
        <v>3.71e-18</v>
      </c>
      <c r="I1428" t="inlineStr">
        <is>
          <t>Nr</t>
        </is>
      </c>
      <c r="J1428" t="inlineStr"/>
      <c r="K1428" t="inlineStr"/>
      <c r="L1428" t="inlineStr">
        <is>
          <t>XP_041446855.1 uncharacterized protein LOC121403130 [Xenopus laevis]</t>
        </is>
      </c>
      <c r="M1428" t="n">
        <v>1010</v>
      </c>
      <c r="N1428" t="inlineStr">
        <is>
          <t>Xenopus laevis</t>
        </is>
      </c>
      <c r="O1428" t="inlineStr">
        <is>
          <t>uncharacterized protein LOC121403130</t>
        </is>
      </c>
    </row>
    <row r="1429">
      <c r="A1429" t="inlineStr"/>
      <c r="B1429" t="inlineStr"/>
      <c r="C1429" t="inlineStr"/>
      <c r="D1429" t="inlineStr"/>
      <c r="E1429">
        <f>HYPERLINK("https://www.uniprot.org/uniprotkb/A0A803JVJ8/entry", "A0A803JVJ8")</f>
        <v/>
      </c>
      <c r="F1429" t="n">
        <v>35.4</v>
      </c>
      <c r="G1429" t="n">
        <v>158</v>
      </c>
      <c r="H1429" t="n">
        <v>4.75e-18</v>
      </c>
      <c r="I1429" t="inlineStr">
        <is>
          <t>TrEMBL</t>
        </is>
      </c>
      <c r="J1429" t="inlineStr"/>
      <c r="K1429" t="inlineStr">
        <is>
          <t>A0A803JVJ8_XENTR</t>
        </is>
      </c>
      <c r="L1429" t="inlineStr">
        <is>
          <t>tr|A0A803JVJ8|A0A803JVJ8_XENTR ribonuclease H OS=Xenopus tropicalis OX=8364 PE=3 SV=1</t>
        </is>
      </c>
      <c r="M1429" t="n">
        <v>805</v>
      </c>
      <c r="N1429" t="inlineStr">
        <is>
          <t>Xenopus tropicalis</t>
        </is>
      </c>
      <c r="O1429" t="inlineStr">
        <is>
          <t>ribonuclease H</t>
        </is>
      </c>
    </row>
    <row r="1430">
      <c r="A1430" t="inlineStr"/>
      <c r="B1430" t="inlineStr"/>
      <c r="C1430" t="inlineStr"/>
      <c r="D1430" t="inlineStr"/>
      <c r="E1430">
        <f>HYPERLINK("https://www.ncbi.nlm.nih.gov/gene/?term=XP_044155370.1", "XP_044155370.1")</f>
        <v/>
      </c>
      <c r="F1430" t="n">
        <v>34.2</v>
      </c>
      <c r="G1430" t="n">
        <v>152</v>
      </c>
      <c r="H1430" t="n">
        <v>6.39e-18</v>
      </c>
      <c r="I1430" t="inlineStr">
        <is>
          <t>Nr</t>
        </is>
      </c>
      <c r="J1430" t="inlineStr"/>
      <c r="K1430" t="inlineStr"/>
      <c r="L1430" t="inlineStr">
        <is>
          <t>XP_044155370.1 uncharacterized protein LOC122941935 [Bufo gargarizans]</t>
        </is>
      </c>
      <c r="M1430" t="n">
        <v>697</v>
      </c>
      <c r="N1430" t="inlineStr">
        <is>
          <t>Bufo gargarizans</t>
        </is>
      </c>
      <c r="O1430" t="inlineStr">
        <is>
          <t>uncharacterized protein LOC122941935</t>
        </is>
      </c>
    </row>
    <row r="1431">
      <c r="A1431" t="inlineStr"/>
      <c r="B1431" t="inlineStr"/>
      <c r="C1431" t="inlineStr"/>
      <c r="D1431" t="inlineStr"/>
      <c r="E1431">
        <f>HYPERLINK("https://www.uniprot.org/uniprotkb/A0A8J1MMH3/entry", "A0A8J1MMH3")</f>
        <v/>
      </c>
      <c r="F1431" t="n">
        <v>30.8</v>
      </c>
      <c r="G1431" t="n">
        <v>208</v>
      </c>
      <c r="H1431" t="n">
        <v>8.300000000000001e-18</v>
      </c>
      <c r="I1431" t="inlineStr">
        <is>
          <t>TrEMBL</t>
        </is>
      </c>
      <c r="J1431" t="inlineStr">
        <is>
          <t>LOC121401493</t>
        </is>
      </c>
      <c r="K1431" t="inlineStr">
        <is>
          <t>A0A8J1MMH3_XENLA</t>
        </is>
      </c>
      <c r="L1431" t="inlineStr">
        <is>
          <t>tr|A0A8J1MMH3|A0A8J1MMH3_XENLA ribonuclease H OS=Xenopus laevis OX=8355 GN=LOC121401493 PE=3 SV=1</t>
        </is>
      </c>
      <c r="M1431" t="n">
        <v>641</v>
      </c>
      <c r="N1431" t="inlineStr">
        <is>
          <t>Xenopus laevis</t>
        </is>
      </c>
      <c r="O1431" t="inlineStr">
        <is>
          <t>ribonuclease H</t>
        </is>
      </c>
    </row>
    <row r="1432">
      <c r="A1432" t="inlineStr"/>
      <c r="B1432" t="inlineStr"/>
      <c r="C1432" t="inlineStr"/>
      <c r="D1432" t="inlineStr"/>
      <c r="E1432">
        <f>HYPERLINK("https://www.uniprot.org/uniprotkb/A0A8J1MS43/entry", "A0A8J1MS43")</f>
        <v/>
      </c>
      <c r="F1432" t="n">
        <v>30.8</v>
      </c>
      <c r="G1432" t="n">
        <v>214</v>
      </c>
      <c r="H1432" t="n">
        <v>1.25e-17</v>
      </c>
      <c r="I1432" t="inlineStr">
        <is>
          <t>TrEMBL</t>
        </is>
      </c>
      <c r="J1432" t="inlineStr">
        <is>
          <t>LOC121402168</t>
        </is>
      </c>
      <c r="K1432" t="inlineStr">
        <is>
          <t>A0A8J1MS43_XENLA</t>
        </is>
      </c>
      <c r="L1432" t="inlineStr">
        <is>
          <t>tr|A0A8J1MS43|A0A8J1MS43_XENLA ribonuclease H OS=Xenopus laevis OX=8355 GN=LOC121402168 PE=3 SV=1</t>
        </is>
      </c>
      <c r="M1432" t="n">
        <v>1068</v>
      </c>
      <c r="N1432" t="inlineStr">
        <is>
          <t>Xenopus laevis</t>
        </is>
      </c>
      <c r="O1432" t="inlineStr">
        <is>
          <t>ribonuclease H</t>
        </is>
      </c>
    </row>
    <row r="1433">
      <c r="A1433" t="inlineStr"/>
      <c r="B1433" t="inlineStr"/>
      <c r="C1433" t="inlineStr"/>
      <c r="D1433" t="inlineStr"/>
      <c r="E1433">
        <f>HYPERLINK("https://www.uniprot.org/uniprotkb/A0A2D4J0A8/entry", "A0A2D4J0A8")</f>
        <v/>
      </c>
      <c r="F1433" t="n">
        <v>33.2</v>
      </c>
      <c r="G1433" t="n">
        <v>220</v>
      </c>
      <c r="H1433" t="n">
        <v>4.53e-16</v>
      </c>
      <c r="I1433" t="inlineStr">
        <is>
          <t>TrEMBL</t>
        </is>
      </c>
      <c r="J1433" t="inlineStr"/>
      <c r="K1433" t="inlineStr">
        <is>
          <t>A0A2D4J0A8_MICLE</t>
        </is>
      </c>
      <c r="L1433" t="inlineStr">
        <is>
          <t>tr|A0A2D4J0A8|A0A2D4J0A8_MICLE ribonuclease H OS=Micrurus lemniscatus lemniscatus OX=129467 PE=3 SV=1</t>
        </is>
      </c>
      <c r="M1433" t="n">
        <v>664</v>
      </c>
      <c r="N1433" t="inlineStr">
        <is>
          <t>Micrurus lemniscatus lemniscatus</t>
        </is>
      </c>
      <c r="O1433" t="inlineStr">
        <is>
          <t>ribonuclease H</t>
        </is>
      </c>
    </row>
    <row r="1434">
      <c r="A1434" t="inlineStr"/>
      <c r="B1434" t="inlineStr"/>
      <c r="C1434" t="inlineStr"/>
      <c r="D1434" t="inlineStr"/>
      <c r="E1434">
        <f>HYPERLINK("https://www.uniprot.org/uniprotkb/A0A6I9X064/entry", "A0A6I9X064")</f>
        <v/>
      </c>
      <c r="F1434" t="n">
        <v>34.8</v>
      </c>
      <c r="G1434" t="n">
        <v>161</v>
      </c>
      <c r="H1434" t="n">
        <v>6.63e-16</v>
      </c>
      <c r="I1434" t="inlineStr">
        <is>
          <t>TrEMBL</t>
        </is>
      </c>
      <c r="J1434" t="inlineStr">
        <is>
          <t>LOC106537516</t>
        </is>
      </c>
      <c r="K1434" t="inlineStr">
        <is>
          <t>A0A6I9X064_9SAUR</t>
        </is>
      </c>
      <c r="L1434" t="inlineStr">
        <is>
          <t>tr|A0A6I9X064|A0A6I9X064_9SAUR uncharacterized protein LOC106537516 OS=Thamnophis sirtalis OX=35019 GN=LOC106537516 PE=4 SV=1</t>
        </is>
      </c>
      <c r="M1434" t="n">
        <v>315</v>
      </c>
      <c r="N1434" t="inlineStr">
        <is>
          <t>Thamnophis sirtalis</t>
        </is>
      </c>
      <c r="O1434" t="inlineStr">
        <is>
          <t>uncharacterized protein LOC106537516</t>
        </is>
      </c>
    </row>
    <row r="1435">
      <c r="A1435" t="inlineStr"/>
      <c r="B1435" t="inlineStr"/>
      <c r="C1435" t="inlineStr"/>
      <c r="D1435" t="inlineStr"/>
      <c r="E1435">
        <f>HYPERLINK("https://www.uniprot.org/uniprotkb/A0A1W7RDQ0/entry", "A0A1W7RDQ0")</f>
        <v/>
      </c>
      <c r="F1435" t="n">
        <v>35.3</v>
      </c>
      <c r="G1435" t="n">
        <v>156</v>
      </c>
      <c r="H1435" t="n">
        <v>1.47e-15</v>
      </c>
      <c r="I1435" t="inlineStr">
        <is>
          <t>TrEMBL</t>
        </is>
      </c>
      <c r="J1435" t="inlineStr"/>
      <c r="K1435" t="inlineStr">
        <is>
          <t>A0A1W7RDQ0_AGKCO</t>
        </is>
      </c>
      <c r="L1435" t="inlineStr">
        <is>
          <t>tr|A0A1W7RDQ0|A0A1W7RDQ0_AGKCO ribonuclease H OS=Agkistrodon contortrix contortrix OX=8713 PE=3 SV=1</t>
        </is>
      </c>
      <c r="M1435" t="n">
        <v>567</v>
      </c>
      <c r="N1435" t="inlineStr">
        <is>
          <t>Agkistrodon contortrix contortrix</t>
        </is>
      </c>
      <c r="O1435" t="inlineStr">
        <is>
          <t>ribonuclease H</t>
        </is>
      </c>
    </row>
    <row r="1436">
      <c r="A1436" t="inlineStr"/>
      <c r="B1436" t="inlineStr"/>
      <c r="C1436" t="inlineStr"/>
      <c r="D1436" t="inlineStr"/>
      <c r="E1436">
        <f>HYPERLINK("https://www.uniprot.org/uniprotkb/A0A2D4F2X3/entry", "A0A2D4F2X3")</f>
        <v/>
      </c>
      <c r="F1436" t="n">
        <v>45.7</v>
      </c>
      <c r="G1436" t="n">
        <v>105</v>
      </c>
      <c r="H1436" t="n">
        <v>2.3e-15</v>
      </c>
      <c r="I1436" t="inlineStr">
        <is>
          <t>TrEMBL</t>
        </is>
      </c>
      <c r="J1436" t="inlineStr"/>
      <c r="K1436" t="inlineStr">
        <is>
          <t>A0A2D4F2X3_MICCO</t>
        </is>
      </c>
      <c r="L1436" t="inlineStr">
        <is>
          <t>tr|A0A2D4F2X3|A0A2D4F2X3_MICCO RNase H domain-containing protein (Fragment) OS=Micrurus corallinus OX=54390 PE=4 SV=1</t>
        </is>
      </c>
      <c r="M1436" t="n">
        <v>103</v>
      </c>
      <c r="N1436" t="inlineStr">
        <is>
          <t>Micrurus corallinus</t>
        </is>
      </c>
      <c r="O1436" t="inlineStr">
        <is>
          <t>RNase H domain-containing protein (Fragment)</t>
        </is>
      </c>
    </row>
    <row r="1437">
      <c r="A1437" t="inlineStr"/>
      <c r="B1437" t="inlineStr"/>
      <c r="C1437" t="inlineStr"/>
      <c r="D1437" t="inlineStr"/>
      <c r="E1437">
        <f>HYPERLINK("https://www.uniprot.org/uniprotkb/A0A2G8K2F0/entry", "A0A2G8K2F0")</f>
        <v/>
      </c>
      <c r="F1437" t="n">
        <v>36.8</v>
      </c>
      <c r="G1437" t="n">
        <v>144</v>
      </c>
      <c r="H1437" t="n">
        <v>4.79e-15</v>
      </c>
      <c r="I1437" t="inlineStr">
        <is>
          <t>TrEMBL</t>
        </is>
      </c>
      <c r="J1437" t="inlineStr">
        <is>
          <t>BSL78_20965</t>
        </is>
      </c>
      <c r="K1437" t="inlineStr">
        <is>
          <t>A0A2G8K2F0_STIJA</t>
        </is>
      </c>
      <c r="L1437" t="inlineStr">
        <is>
          <t>tr|A0A2G8K2F0|A0A2G8K2F0_STIJA Putative TBC1 domain family member 2A OS=Stichopus japonicus OX=307972 GN=BSL78_20965 PE=4 SV=1</t>
        </is>
      </c>
      <c r="M1437" t="n">
        <v>318</v>
      </c>
      <c r="N1437" t="inlineStr">
        <is>
          <t>Stichopus japonicus</t>
        </is>
      </c>
      <c r="O1437" t="inlineStr">
        <is>
          <t>Putative TBC1 domain family member 2A</t>
        </is>
      </c>
    </row>
    <row r="1438">
      <c r="A1438" t="inlineStr"/>
      <c r="B1438" t="inlineStr"/>
      <c r="C1438" t="inlineStr"/>
      <c r="D1438" t="inlineStr"/>
      <c r="E1438">
        <f>HYPERLINK("https://www.uniprot.org/uniprotkb/A0A8J1KQ25/entry", "A0A8J1KQ25")</f>
        <v/>
      </c>
      <c r="F1438" t="n">
        <v>31.3</v>
      </c>
      <c r="G1438" t="n">
        <v>150</v>
      </c>
      <c r="H1438" t="n">
        <v>9.27e-15</v>
      </c>
      <c r="I1438" t="inlineStr">
        <is>
          <t>TrEMBL</t>
        </is>
      </c>
      <c r="J1438" t="inlineStr">
        <is>
          <t>LOC121393829</t>
        </is>
      </c>
      <c r="K1438" t="inlineStr">
        <is>
          <t>A0A8J1KQ25_XENLA</t>
        </is>
      </c>
      <c r="L1438" t="inlineStr">
        <is>
          <t>tr|A0A8J1KQ25|A0A8J1KQ25_XENLA ribonuclease H OS=Xenopus laevis OX=8355 GN=LOC121393829 PE=3 SV=1</t>
        </is>
      </c>
      <c r="M1438" t="n">
        <v>569</v>
      </c>
      <c r="N1438" t="inlineStr">
        <is>
          <t>Xenopus laevis</t>
        </is>
      </c>
      <c r="O1438" t="inlineStr">
        <is>
          <t>ribonuclease H</t>
        </is>
      </c>
    </row>
    <row r="1439">
      <c r="A1439" t="inlineStr"/>
      <c r="B1439" t="inlineStr"/>
      <c r="C1439" t="inlineStr"/>
      <c r="D1439" t="inlineStr"/>
      <c r="E1439">
        <f>HYPERLINK("https://www.uniprot.org/uniprotkb/A0A2D4EJC9/entry", "A0A2D4EJC9")</f>
        <v/>
      </c>
      <c r="F1439" t="n">
        <v>30.6</v>
      </c>
      <c r="G1439" t="n">
        <v>222</v>
      </c>
      <c r="H1439" t="n">
        <v>9.33e-15</v>
      </c>
      <c r="I1439" t="inlineStr">
        <is>
          <t>TrEMBL</t>
        </is>
      </c>
      <c r="J1439" t="inlineStr"/>
      <c r="K1439" t="inlineStr">
        <is>
          <t>A0A2D4EJC9_MICCO</t>
        </is>
      </c>
      <c r="L1439" t="inlineStr">
        <is>
          <t>tr|A0A2D4EJC9|A0A2D4EJC9_MICCO ribonuclease H (Fragment) OS=Micrurus corallinus OX=54390 PE=3 SV=1</t>
        </is>
      </c>
      <c r="M1439" t="n">
        <v>580</v>
      </c>
      <c r="N1439" t="inlineStr">
        <is>
          <t>Micrurus corallinus</t>
        </is>
      </c>
      <c r="O1439" t="inlineStr">
        <is>
          <t>ribonuclease H (Fragment)</t>
        </is>
      </c>
    </row>
    <row r="1440">
      <c r="A1440" t="inlineStr"/>
      <c r="B1440" t="inlineStr"/>
      <c r="C1440" t="inlineStr"/>
      <c r="D1440" t="inlineStr"/>
      <c r="E1440">
        <f>HYPERLINK("https://www.uniprot.org/uniprotkb/A0A6I9WZU6/entry", "A0A6I9WZU6")</f>
        <v/>
      </c>
      <c r="F1440" t="n">
        <v>33.3</v>
      </c>
      <c r="G1440" t="n">
        <v>213</v>
      </c>
      <c r="H1440" t="n">
        <v>1.59e-14</v>
      </c>
      <c r="I1440" t="inlineStr">
        <is>
          <t>TrEMBL</t>
        </is>
      </c>
      <c r="J1440" t="inlineStr">
        <is>
          <t>LOC106538525</t>
        </is>
      </c>
      <c r="K1440" t="inlineStr">
        <is>
          <t>A0A6I9WZU6_9SAUR</t>
        </is>
      </c>
      <c r="L1440" t="inlineStr">
        <is>
          <t>tr|A0A6I9WZU6|A0A6I9WZU6_9SAUR uncharacterized protein LOC106538525 OS=Thamnophis sirtalis OX=35019 GN=LOC106538525 PE=4 SV=1</t>
        </is>
      </c>
      <c r="M1440" t="n">
        <v>392</v>
      </c>
      <c r="N1440" t="inlineStr">
        <is>
          <t>Thamnophis sirtalis</t>
        </is>
      </c>
      <c r="O1440" t="inlineStr">
        <is>
          <t>uncharacterized protein LOC106538525</t>
        </is>
      </c>
    </row>
    <row r="1441">
      <c r="A1441" t="inlineStr"/>
      <c r="B1441" t="inlineStr"/>
      <c r="C1441" t="inlineStr"/>
      <c r="D1441" t="inlineStr"/>
      <c r="E1441">
        <f>HYPERLINK("https://www.uniprot.org/uniprotkb/A0A6I9X478/entry", "A0A6I9X478")</f>
        <v/>
      </c>
      <c r="F1441" t="n">
        <v>31.3</v>
      </c>
      <c r="G1441" t="n">
        <v>208</v>
      </c>
      <c r="H1441" t="n">
        <v>2.04e-14</v>
      </c>
      <c r="I1441" t="inlineStr">
        <is>
          <t>TrEMBL</t>
        </is>
      </c>
      <c r="J1441" t="inlineStr">
        <is>
          <t>LOC106538964</t>
        </is>
      </c>
      <c r="K1441" t="inlineStr">
        <is>
          <t>A0A6I9X478_9SAUR</t>
        </is>
      </c>
      <c r="L1441" t="inlineStr">
        <is>
          <t>tr|A0A6I9X478|A0A6I9X478_9SAUR ubiquitin carboxyl-terminal hydrolase 7-like OS=Thamnophis sirtalis OX=35019 GN=LOC106538964 PE=3 SV=1</t>
        </is>
      </c>
      <c r="M1441" t="n">
        <v>1509</v>
      </c>
      <c r="N1441" t="inlineStr">
        <is>
          <t>Thamnophis sirtalis</t>
        </is>
      </c>
      <c r="O1441" t="inlineStr">
        <is>
          <t>ubiquitin carboxyl-terminal hydrolase 7-like</t>
        </is>
      </c>
    </row>
    <row r="1442">
      <c r="A1442" t="inlineStr"/>
      <c r="B1442" t="inlineStr"/>
      <c r="C1442" t="inlineStr"/>
      <c r="D1442" t="inlineStr"/>
      <c r="E1442">
        <f>HYPERLINK("https://www.uniprot.org/uniprotkb/A0A6P9ANZ3/entry", "A0A6P9ANZ3")</f>
        <v/>
      </c>
      <c r="F1442" t="n">
        <v>41.2</v>
      </c>
      <c r="G1442" t="n">
        <v>114</v>
      </c>
      <c r="H1442" t="n">
        <v>8.37e-14</v>
      </c>
      <c r="I1442" t="inlineStr">
        <is>
          <t>TrEMBL</t>
        </is>
      </c>
      <c r="J1442" t="inlineStr">
        <is>
          <t>LOC117655422</t>
        </is>
      </c>
      <c r="K1442" t="inlineStr">
        <is>
          <t>A0A6P9ANZ3_PANGU</t>
        </is>
      </c>
      <c r="L1442" t="inlineStr">
        <is>
          <t>tr|A0A6P9ANZ3|A0A6P9ANZ3_PANGU uncharacterized protein LOC117655422 OS=Pantherophis guttatus OX=94885 GN=LOC117655422 PE=4 SV=1</t>
        </is>
      </c>
      <c r="M1442" t="n">
        <v>413</v>
      </c>
      <c r="N1442" t="inlineStr">
        <is>
          <t>Pantherophis guttatus</t>
        </is>
      </c>
      <c r="O1442" t="inlineStr">
        <is>
          <t>uncharacterized protein LOC117655422</t>
        </is>
      </c>
    </row>
    <row r="1443">
      <c r="A1443" t="inlineStr"/>
      <c r="B1443" t="inlineStr"/>
      <c r="C1443" t="inlineStr"/>
      <c r="D1443" t="inlineStr"/>
      <c r="E1443">
        <f>HYPERLINK("https://www.uniprot.org/uniprotkb/A0A6P9B2X4/entry", "A0A6P9B2X4")</f>
        <v/>
      </c>
      <c r="F1443" t="n">
        <v>41.2</v>
      </c>
      <c r="G1443" t="n">
        <v>114</v>
      </c>
      <c r="H1443" t="n">
        <v>1.6e-13</v>
      </c>
      <c r="I1443" t="inlineStr">
        <is>
          <t>TrEMBL</t>
        </is>
      </c>
      <c r="J1443" t="inlineStr">
        <is>
          <t>LOC117658467</t>
        </is>
      </c>
      <c r="K1443" t="inlineStr">
        <is>
          <t>A0A6P9B2X4_PANGU</t>
        </is>
      </c>
      <c r="L1443" t="inlineStr">
        <is>
          <t>tr|A0A6P9B2X4|A0A6P9B2X4_PANGU uncharacterized protein LOC117658467 OS=Pantherophis guttatus OX=94885 GN=LOC117658467 PE=4 SV=1</t>
        </is>
      </c>
      <c r="M1443" t="n">
        <v>420</v>
      </c>
      <c r="N1443" t="inlineStr">
        <is>
          <t>Pantherophis guttatus</t>
        </is>
      </c>
      <c r="O1443" t="inlineStr">
        <is>
          <t>uncharacterized protein LOC117658467</t>
        </is>
      </c>
    </row>
    <row r="1444">
      <c r="A1444" t="inlineStr"/>
      <c r="B1444" t="inlineStr"/>
      <c r="C1444" t="inlineStr"/>
      <c r="D1444" t="inlineStr"/>
      <c r="E1444">
        <f>HYPERLINK("https://www.uniprot.org/uniprotkb/A0A8J0TTX0/entry", "A0A8J0TTX0")</f>
        <v/>
      </c>
      <c r="F1444" t="n">
        <v>35.2</v>
      </c>
      <c r="G1444" t="n">
        <v>145</v>
      </c>
      <c r="H1444" t="n">
        <v>2.17e-13</v>
      </c>
      <c r="I1444" t="inlineStr">
        <is>
          <t>TrEMBL</t>
        </is>
      </c>
      <c r="J1444" t="inlineStr">
        <is>
          <t>LOC108701228</t>
        </is>
      </c>
      <c r="K1444" t="inlineStr">
        <is>
          <t>A0A8J0TTX0_XENLA</t>
        </is>
      </c>
      <c r="L1444" t="inlineStr">
        <is>
          <t>tr|A0A8J0TTX0|A0A8J0TTX0_XENLA uncharacterized protein LOC108701228 OS=Xenopus laevis OX=8355 GN=LOC108701228 PE=4 SV=1</t>
        </is>
      </c>
      <c r="M1444" t="n">
        <v>353</v>
      </c>
      <c r="N1444" t="inlineStr">
        <is>
          <t>Xenopus laevis</t>
        </is>
      </c>
      <c r="O1444" t="inlineStr">
        <is>
          <t>uncharacterized protein LOC108701228</t>
        </is>
      </c>
    </row>
    <row r="1445">
      <c r="A1445" t="inlineStr"/>
      <c r="B1445" t="inlineStr"/>
      <c r="C1445" t="inlineStr"/>
      <c r="D1445" t="inlineStr"/>
      <c r="E1445">
        <f>HYPERLINK("https://www.uniprot.org/uniprotkb/A0A803JGC4/entry", "A0A803JGC4")</f>
        <v/>
      </c>
      <c r="F1445" t="n">
        <v>74.40000000000001</v>
      </c>
      <c r="G1445" t="n">
        <v>43</v>
      </c>
      <c r="H1445" t="n">
        <v>1.41e-12</v>
      </c>
      <c r="I1445" t="inlineStr">
        <is>
          <t>TrEMBL</t>
        </is>
      </c>
      <c r="J1445" t="inlineStr"/>
      <c r="K1445" t="inlineStr">
        <is>
          <t>A0A803JGC4_XENTR</t>
        </is>
      </c>
      <c r="L1445" t="inlineStr">
        <is>
          <t>tr|A0A803JGC4|A0A803JGC4_XENTR Core-binding (CB) domain-containing protein OS=Xenopus tropicalis OX=8364 PE=4 SV=1</t>
        </is>
      </c>
      <c r="M1445" t="n">
        <v>743</v>
      </c>
      <c r="N1445" t="inlineStr">
        <is>
          <t>Xenopus tropicalis</t>
        </is>
      </c>
      <c r="O1445" t="inlineStr">
        <is>
          <t>Core-binding (CB) domain-containing protein</t>
        </is>
      </c>
    </row>
    <row r="1446">
      <c r="A1446" t="inlineStr"/>
      <c r="B1446" t="inlineStr"/>
      <c r="C1446" t="inlineStr"/>
      <c r="D1446" t="inlineStr"/>
      <c r="E1446">
        <f>HYPERLINK("https://www.uniprot.org/uniprotkb/A0A803JZG3/entry", "A0A803JZG3")</f>
        <v/>
      </c>
      <c r="F1446" t="n">
        <v>76.7</v>
      </c>
      <c r="G1446" t="n">
        <v>43</v>
      </c>
      <c r="H1446" t="n">
        <v>2.65e-12</v>
      </c>
      <c r="I1446" t="inlineStr">
        <is>
          <t>TrEMBL</t>
        </is>
      </c>
      <c r="J1446" t="inlineStr"/>
      <c r="K1446" t="inlineStr">
        <is>
          <t>A0A803JZG3_XENTR</t>
        </is>
      </c>
      <c r="L1446" t="inlineStr">
        <is>
          <t>tr|A0A803JZG3|A0A803JZG3_XENTR Tyr recombinase domain-containing protein OS=Xenopus tropicalis OX=8364 PE=4 SV=1</t>
        </is>
      </c>
      <c r="M1446" t="n">
        <v>854</v>
      </c>
      <c r="N1446" t="inlineStr">
        <is>
          <t>Xenopus tropicalis</t>
        </is>
      </c>
      <c r="O1446" t="inlineStr">
        <is>
          <t>Tyr recombinase domain-containing protein</t>
        </is>
      </c>
    </row>
    <row r="1447">
      <c r="A1447" t="inlineStr"/>
      <c r="B1447" t="inlineStr"/>
      <c r="C1447" t="inlineStr"/>
      <c r="D1447" t="inlineStr"/>
      <c r="E1447">
        <f>HYPERLINK("https://www.uniprot.org/uniprotkb/A0A803K8I3/entry", "A0A803K8I3")</f>
        <v/>
      </c>
      <c r="F1447" t="n">
        <v>72.09999999999999</v>
      </c>
      <c r="G1447" t="n">
        <v>43</v>
      </c>
      <c r="H1447" t="n">
        <v>6.79e-12</v>
      </c>
      <c r="I1447" t="inlineStr">
        <is>
          <t>TrEMBL</t>
        </is>
      </c>
      <c r="J1447" t="inlineStr"/>
      <c r="K1447" t="inlineStr">
        <is>
          <t>A0A803K8I3_XENTR</t>
        </is>
      </c>
      <c r="L1447" t="inlineStr">
        <is>
          <t>tr|A0A803K8I3|A0A803K8I3_XENTR Core-binding (CB) domain-containing protein OS=Xenopus tropicalis OX=8364 PE=4 SV=1</t>
        </is>
      </c>
      <c r="M1447" t="n">
        <v>940</v>
      </c>
      <c r="N1447" t="inlineStr">
        <is>
          <t>Xenopus tropicalis</t>
        </is>
      </c>
      <c r="O1447" t="inlineStr">
        <is>
          <t>Core-binding (CB) domain-containing protein</t>
        </is>
      </c>
    </row>
    <row r="1448">
      <c r="A1448" t="inlineStr"/>
      <c r="B1448" t="inlineStr"/>
      <c r="C1448" t="inlineStr"/>
      <c r="D1448" t="inlineStr"/>
      <c r="E1448">
        <f>HYPERLINK("https://www.uniprot.org/uniprotkb/A0A803J2D4/entry", "A0A803J2D4")</f>
        <v/>
      </c>
      <c r="F1448" t="n">
        <v>74.40000000000001</v>
      </c>
      <c r="G1448" t="n">
        <v>43</v>
      </c>
      <c r="H1448" t="n">
        <v>6.8e-12</v>
      </c>
      <c r="I1448" t="inlineStr">
        <is>
          <t>TrEMBL</t>
        </is>
      </c>
      <c r="J1448" t="inlineStr"/>
      <c r="K1448" t="inlineStr">
        <is>
          <t>A0A803J2D4_XENTR</t>
        </is>
      </c>
      <c r="L1448" t="inlineStr">
        <is>
          <t>tr|A0A803J2D4|A0A803J2D4_XENTR Core-binding (CB) domain-containing protein OS=Xenopus tropicalis OX=8364 PE=4 SV=1</t>
        </is>
      </c>
      <c r="M1448" t="n">
        <v>951</v>
      </c>
      <c r="N1448" t="inlineStr">
        <is>
          <t>Xenopus tropicalis</t>
        </is>
      </c>
      <c r="O1448" t="inlineStr">
        <is>
          <t>Core-binding (CB) domain-containing protein</t>
        </is>
      </c>
    </row>
    <row r="1449">
      <c r="A1449" t="inlineStr"/>
      <c r="B1449" t="inlineStr"/>
      <c r="C1449" t="inlineStr"/>
      <c r="D1449" t="inlineStr"/>
      <c r="E1449">
        <f>HYPERLINK("https://www.ncbi.nlm.nih.gov/gene/?term=KAE8579987.1", "KAE8579987.1")</f>
        <v/>
      </c>
      <c r="F1449" t="n">
        <v>74.40000000000001</v>
      </c>
      <c r="G1449" t="n">
        <v>43</v>
      </c>
      <c r="H1449" t="n">
        <v>1.73e-11</v>
      </c>
      <c r="I1449" t="inlineStr">
        <is>
          <t>Nr</t>
        </is>
      </c>
      <c r="J1449" t="inlineStr"/>
      <c r="K1449" t="inlineStr"/>
      <c r="L1449" t="inlineStr">
        <is>
          <t>KAE8579987.1 hypothetical protein XENTR_v10024262 [Xenopus tropicalis]</t>
        </is>
      </c>
      <c r="M1449" t="n">
        <v>797</v>
      </c>
      <c r="N1449" t="inlineStr">
        <is>
          <t>Xenopus tropicalis</t>
        </is>
      </c>
      <c r="O1449" t="inlineStr">
        <is>
          <t>hypothetical protein XENTR_v10024262</t>
        </is>
      </c>
    </row>
    <row r="1450">
      <c r="A1450" t="inlineStr"/>
      <c r="B1450" t="inlineStr"/>
      <c r="C1450" t="inlineStr"/>
      <c r="D1450" t="inlineStr"/>
      <c r="E1450">
        <f>HYPERLINK("https://www.uniprot.org/uniprotkb/A0A803JM14/entry", "A0A803JM14")</f>
        <v/>
      </c>
      <c r="F1450" t="n">
        <v>72.09999999999999</v>
      </c>
      <c r="G1450" t="n">
        <v>43</v>
      </c>
      <c r="H1450" t="n">
        <v>1.73e-11</v>
      </c>
      <c r="I1450" t="inlineStr">
        <is>
          <t>TrEMBL</t>
        </is>
      </c>
      <c r="J1450" t="inlineStr"/>
      <c r="K1450" t="inlineStr">
        <is>
          <t>A0A803JM14_XENTR</t>
        </is>
      </c>
      <c r="L1450" t="inlineStr">
        <is>
          <t>tr|A0A803JM14|A0A803JM14_XENTR Core-binding (CB) domain-containing protein OS=Xenopus tropicalis OX=8364 PE=4 SV=1</t>
        </is>
      </c>
      <c r="M1450" t="n">
        <v>925</v>
      </c>
      <c r="N1450" t="inlineStr">
        <is>
          <t>Xenopus tropicalis</t>
        </is>
      </c>
      <c r="O1450" t="inlineStr">
        <is>
          <t>Core-binding (CB) domain-containing protein</t>
        </is>
      </c>
    </row>
    <row r="1451">
      <c r="A1451" t="inlineStr"/>
      <c r="B1451" t="inlineStr"/>
      <c r="C1451" t="inlineStr"/>
      <c r="D1451" t="inlineStr"/>
      <c r="E1451">
        <f>HYPERLINK("https://www.uniprot.org/uniprotkb/A0A6I8RND0/entry", "A0A6I8RND0")</f>
        <v/>
      </c>
      <c r="F1451" t="n">
        <v>68.90000000000001</v>
      </c>
      <c r="G1451" t="n">
        <v>45</v>
      </c>
      <c r="H1451" t="n">
        <v>2.36e-11</v>
      </c>
      <c r="I1451" t="inlineStr">
        <is>
          <t>TrEMBL</t>
        </is>
      </c>
      <c r="J1451" t="inlineStr"/>
      <c r="K1451" t="inlineStr">
        <is>
          <t>A0A6I8RND0_XENTR</t>
        </is>
      </c>
      <c r="L1451" t="inlineStr">
        <is>
          <t>tr|A0A6I8RND0|A0A6I8RND0_XENTR Movement protein OS=Xenopus tropicalis OX=8364 PE=4 SV=2</t>
        </is>
      </c>
      <c r="M1451" t="n">
        <v>951</v>
      </c>
      <c r="N1451" t="inlineStr">
        <is>
          <t>Xenopus tropicalis</t>
        </is>
      </c>
      <c r="O1451" t="inlineStr">
        <is>
          <t>Movement protein</t>
        </is>
      </c>
    </row>
    <row r="1452">
      <c r="A1452" t="inlineStr"/>
      <c r="B1452" t="inlineStr"/>
      <c r="C1452" t="inlineStr"/>
      <c r="D1452" t="inlineStr"/>
      <c r="E1452">
        <f>HYPERLINK("https://www.uniprot.org/uniprotkb/A0A6I8RZ83/entry", "A0A6I8RZ83")</f>
        <v/>
      </c>
      <c r="F1452" t="n">
        <v>74.40000000000001</v>
      </c>
      <c r="G1452" t="n">
        <v>43</v>
      </c>
      <c r="H1452" t="n">
        <v>3.15e-11</v>
      </c>
      <c r="I1452" t="inlineStr">
        <is>
          <t>TrEMBL</t>
        </is>
      </c>
      <c r="J1452" t="inlineStr"/>
      <c r="K1452" t="inlineStr">
        <is>
          <t>A0A6I8RZ83_XENTR</t>
        </is>
      </c>
      <c r="L1452" t="inlineStr">
        <is>
          <t>tr|A0A6I8RZ83|A0A6I8RZ83_XENTR Tyr recombinase domain-containing protein OS=Xenopus tropicalis OX=8364 PE=4 SV=2</t>
        </is>
      </c>
      <c r="M1452" t="n">
        <v>642</v>
      </c>
      <c r="N1452" t="inlineStr">
        <is>
          <t>Xenopus tropicalis</t>
        </is>
      </c>
      <c r="O1452" t="inlineStr">
        <is>
          <t>Tyr recombinase domain-containing protein</t>
        </is>
      </c>
    </row>
    <row r="1453">
      <c r="A1453" t="inlineStr"/>
      <c r="B1453" t="inlineStr"/>
      <c r="C1453" t="inlineStr"/>
      <c r="D1453" t="inlineStr"/>
      <c r="E1453">
        <f>HYPERLINK("https://www.uniprot.org/uniprotkb/A0A803J3K6/entry", "A0A803J3K6")</f>
        <v/>
      </c>
      <c r="F1453" t="n">
        <v>68.90000000000001</v>
      </c>
      <c r="G1453" t="n">
        <v>45</v>
      </c>
      <c r="H1453" t="n">
        <v>3.22e-11</v>
      </c>
      <c r="I1453" t="inlineStr">
        <is>
          <t>TrEMBL</t>
        </is>
      </c>
      <c r="J1453" t="inlineStr"/>
      <c r="K1453" t="inlineStr">
        <is>
          <t>A0A803J3K6_XENTR</t>
        </is>
      </c>
      <c r="L1453" t="inlineStr">
        <is>
          <t>tr|A0A803J3K6|A0A803J3K6_XENTR Reverse transcriptase domain-containing protein OS=Xenopus tropicalis OX=8364 PE=4 SV=1</t>
        </is>
      </c>
      <c r="M1453" t="n">
        <v>895</v>
      </c>
      <c r="N1453" t="inlineStr">
        <is>
          <t>Xenopus tropicalis</t>
        </is>
      </c>
      <c r="O1453" t="inlineStr">
        <is>
          <t>Reverse transcriptase domain-containing protein</t>
        </is>
      </c>
    </row>
    <row r="1454">
      <c r="A1454" t="inlineStr"/>
      <c r="B1454" t="inlineStr"/>
      <c r="C1454" t="inlineStr"/>
      <c r="D1454" t="inlineStr"/>
      <c r="E1454">
        <f>HYPERLINK("https://www.uniprot.org/uniprotkb/A0A803JUY8/entry", "A0A803JUY8")</f>
        <v/>
      </c>
      <c r="F1454" t="n">
        <v>72.09999999999999</v>
      </c>
      <c r="G1454" t="n">
        <v>43</v>
      </c>
      <c r="H1454" t="n">
        <v>4.25e-11</v>
      </c>
      <c r="I1454" t="inlineStr">
        <is>
          <t>TrEMBL</t>
        </is>
      </c>
      <c r="J1454" t="inlineStr"/>
      <c r="K1454" t="inlineStr">
        <is>
          <t>A0A803JUY8_XENTR</t>
        </is>
      </c>
      <c r="L1454" t="inlineStr">
        <is>
          <t>tr|A0A803JUY8|A0A803JUY8_XENTR Tyr recombinase domain-containing protein OS=Xenopus tropicalis OX=8364 PE=4 SV=1</t>
        </is>
      </c>
      <c r="M1454" t="n">
        <v>540</v>
      </c>
      <c r="N1454" t="inlineStr">
        <is>
          <t>Xenopus tropicalis</t>
        </is>
      </c>
      <c r="O1454" t="inlineStr">
        <is>
          <t>Tyr recombinase domain-containing protein</t>
        </is>
      </c>
    </row>
    <row r="1455">
      <c r="A1455" t="inlineStr"/>
      <c r="B1455" t="inlineStr"/>
      <c r="C1455" t="inlineStr"/>
      <c r="D1455" t="inlineStr"/>
      <c r="E1455">
        <f>HYPERLINK("https://www.uniprot.org/uniprotkb/A0A8J1LJD0/entry", "A0A8J1LJD0")</f>
        <v/>
      </c>
      <c r="F1455" t="n">
        <v>72.09999999999999</v>
      </c>
      <c r="G1455" t="n">
        <v>43</v>
      </c>
      <c r="H1455" t="n">
        <v>4.31e-11</v>
      </c>
      <c r="I1455" t="inlineStr">
        <is>
          <t>TrEMBL</t>
        </is>
      </c>
      <c r="J1455" t="inlineStr">
        <is>
          <t>LOC121397238</t>
        </is>
      </c>
      <c r="K1455" t="inlineStr">
        <is>
          <t>A0A8J1LJD0_XENLA</t>
        </is>
      </c>
      <c r="L1455" t="inlineStr">
        <is>
          <t>tr|A0A8J1LJD0|A0A8J1LJD0_XENLA uncharacterized protein LOC121397238 OS=Xenopus laevis OX=8355 GN=LOC121397238 PE=4 SV=1</t>
        </is>
      </c>
      <c r="M1455" t="n">
        <v>642</v>
      </c>
      <c r="N1455" t="inlineStr">
        <is>
          <t>Xenopus laevis</t>
        </is>
      </c>
      <c r="O1455" t="inlineStr">
        <is>
          <t>uncharacterized protein LOC121397238</t>
        </is>
      </c>
    </row>
    <row r="1456">
      <c r="A1456" t="inlineStr"/>
      <c r="B1456" t="inlineStr"/>
      <c r="C1456" t="inlineStr"/>
      <c r="D1456" t="inlineStr"/>
      <c r="E1456">
        <f>HYPERLINK("https://www.uniprot.org/uniprotkb/A0A803JVB7/entry", "A0A803JVB7")</f>
        <v/>
      </c>
      <c r="F1456" t="n">
        <v>72.09999999999999</v>
      </c>
      <c r="G1456" t="n">
        <v>43</v>
      </c>
      <c r="H1456" t="n">
        <v>4.38e-11</v>
      </c>
      <c r="I1456" t="inlineStr">
        <is>
          <t>TrEMBL</t>
        </is>
      </c>
      <c r="J1456" t="inlineStr"/>
      <c r="K1456" t="inlineStr">
        <is>
          <t>A0A803JVB7_XENTR</t>
        </is>
      </c>
      <c r="L1456" t="inlineStr">
        <is>
          <t>tr|A0A803JVB7|A0A803JVB7_XENTR RING-type domain-containing protein OS=Xenopus tropicalis OX=8364 PE=4 SV=1</t>
        </is>
      </c>
      <c r="M1456" t="n">
        <v>854</v>
      </c>
      <c r="N1456" t="inlineStr">
        <is>
          <t>Xenopus tropicalis</t>
        </is>
      </c>
      <c r="O1456" t="inlineStr">
        <is>
          <t>RING-type domain-containing protein</t>
        </is>
      </c>
    </row>
    <row r="1457">
      <c r="A1457" t="inlineStr"/>
      <c r="B1457" t="inlineStr"/>
      <c r="C1457" t="inlineStr"/>
      <c r="D1457" t="inlineStr"/>
      <c r="E1457">
        <f>HYPERLINK("https://www.uniprot.org/uniprotkb/A0A8J1MXN8/entry", "A0A8J1MXN8")</f>
        <v/>
      </c>
      <c r="F1457" t="n">
        <v>72.09999999999999</v>
      </c>
      <c r="G1457" t="n">
        <v>43</v>
      </c>
      <c r="H1457" t="n">
        <v>5.98e-11</v>
      </c>
      <c r="I1457" t="inlineStr">
        <is>
          <t>TrEMBL</t>
        </is>
      </c>
      <c r="J1457" t="inlineStr">
        <is>
          <t>LOC121403002</t>
        </is>
      </c>
      <c r="K1457" t="inlineStr">
        <is>
          <t>A0A8J1MXN8_XENLA</t>
        </is>
      </c>
      <c r="L1457" t="inlineStr">
        <is>
          <t>tr|A0A8J1MXN8|A0A8J1MXN8_XENLA uncharacterized protein LOC121403002 OS=Xenopus laevis OX=8355 GN=LOC121403002 PE=4 SV=1</t>
        </is>
      </c>
      <c r="M1457" t="n">
        <v>325</v>
      </c>
      <c r="N1457" t="inlineStr">
        <is>
          <t>Xenopus laevis</t>
        </is>
      </c>
      <c r="O1457" t="inlineStr">
        <is>
          <t>uncharacterized protein LOC121403002</t>
        </is>
      </c>
    </row>
    <row r="1458">
      <c r="A1458" t="inlineStr"/>
      <c r="B1458" t="inlineStr"/>
      <c r="C1458" t="inlineStr"/>
      <c r="D1458" t="inlineStr"/>
      <c r="E1458">
        <f>HYPERLINK("https://www.uniprot.org/uniprotkb/A0A803K4V5/entry", "A0A803K4V5")</f>
        <v/>
      </c>
      <c r="F1458" t="n">
        <v>66.7</v>
      </c>
      <c r="G1458" t="n">
        <v>45</v>
      </c>
      <c r="H1458" t="n">
        <v>7.98e-11</v>
      </c>
      <c r="I1458" t="inlineStr">
        <is>
          <t>TrEMBL</t>
        </is>
      </c>
      <c r="J1458" t="inlineStr"/>
      <c r="K1458" t="inlineStr">
        <is>
          <t>A0A803K4V5_XENTR</t>
        </is>
      </c>
      <c r="L1458" t="inlineStr">
        <is>
          <t>tr|A0A803K4V5|A0A803K4V5_XENTR Tyr recombinase domain-containing protein OS=Xenopus tropicalis OX=8364 PE=4 SV=1</t>
        </is>
      </c>
      <c r="M1458" t="n">
        <v>585</v>
      </c>
      <c r="N1458" t="inlineStr">
        <is>
          <t>Xenopus tropicalis</t>
        </is>
      </c>
      <c r="O1458" t="inlineStr">
        <is>
          <t>Tyr recombinase domain-containing protein</t>
        </is>
      </c>
    </row>
    <row r="1459">
      <c r="A1459" t="inlineStr"/>
      <c r="B1459" t="inlineStr"/>
      <c r="C1459" t="inlineStr"/>
      <c r="D1459" t="inlineStr"/>
      <c r="E1459">
        <f>HYPERLINK("https://www.uniprot.org/uniprotkb/A0A803JHX3/entry", "A0A803JHX3")</f>
        <v/>
      </c>
      <c r="F1459" t="n">
        <v>69.8</v>
      </c>
      <c r="G1459" t="n">
        <v>43</v>
      </c>
      <c r="H1459" t="n">
        <v>8.03e-11</v>
      </c>
      <c r="I1459" t="inlineStr">
        <is>
          <t>TrEMBL</t>
        </is>
      </c>
      <c r="J1459" t="inlineStr"/>
      <c r="K1459" t="inlineStr">
        <is>
          <t>A0A803JHX3_XENTR</t>
        </is>
      </c>
      <c r="L1459" t="inlineStr">
        <is>
          <t>tr|A0A803JHX3|A0A803JHX3_XENTR Tyr recombinase domain-containing protein OS=Xenopus tropicalis OX=8364 PE=4 SV=1</t>
        </is>
      </c>
      <c r="M1459" t="n">
        <v>643</v>
      </c>
      <c r="N1459" t="inlineStr">
        <is>
          <t>Xenopus tropicalis</t>
        </is>
      </c>
      <c r="O1459" t="inlineStr">
        <is>
          <t>Tyr recombinase domain-containing protein</t>
        </is>
      </c>
    </row>
    <row r="1460">
      <c r="A1460" t="inlineStr"/>
      <c r="B1460" t="inlineStr"/>
      <c r="C1460" t="inlineStr"/>
      <c r="D1460" t="inlineStr"/>
      <c r="E1460">
        <f>HYPERLINK("https://www.uniprot.org/uniprotkb/A0A803JKH4/entry", "A0A803JKH4")</f>
        <v/>
      </c>
      <c r="F1460" t="n">
        <v>69.8</v>
      </c>
      <c r="G1460" t="n">
        <v>43</v>
      </c>
      <c r="H1460" t="n">
        <v>8.079999999999999e-11</v>
      </c>
      <c r="I1460" t="inlineStr">
        <is>
          <t>TrEMBL</t>
        </is>
      </c>
      <c r="J1460" t="inlineStr"/>
      <c r="K1460" t="inlineStr">
        <is>
          <t>A0A803JKH4_XENTR</t>
        </is>
      </c>
      <c r="L1460" t="inlineStr">
        <is>
          <t>tr|A0A803JKH4|A0A803JKH4_XENTR Core-binding (CB) domain-containing protein OS=Xenopus tropicalis OX=8364 PE=4 SV=1</t>
        </is>
      </c>
      <c r="M1460" t="n">
        <v>705</v>
      </c>
      <c r="N1460" t="inlineStr">
        <is>
          <t>Xenopus tropicalis</t>
        </is>
      </c>
      <c r="O1460" t="inlineStr">
        <is>
          <t>Core-binding (CB) domain-containing protein</t>
        </is>
      </c>
    </row>
    <row r="1461">
      <c r="A1461" t="inlineStr"/>
      <c r="B1461" t="inlineStr"/>
      <c r="C1461" t="inlineStr"/>
      <c r="D1461" t="inlineStr"/>
      <c r="E1461">
        <f>HYPERLINK("https://www.uniprot.org/uniprotkb/A0A803JH33/entry", "A0A803JH33")</f>
        <v/>
      </c>
      <c r="F1461" t="n">
        <v>66.7</v>
      </c>
      <c r="G1461" t="n">
        <v>45</v>
      </c>
      <c r="H1461" t="n">
        <v>8.210000000000001e-11</v>
      </c>
      <c r="I1461" t="inlineStr">
        <is>
          <t>TrEMBL</t>
        </is>
      </c>
      <c r="J1461" t="inlineStr"/>
      <c r="K1461" t="inlineStr">
        <is>
          <t>A0A803JH33_XENTR</t>
        </is>
      </c>
      <c r="L1461" t="inlineStr">
        <is>
          <t>tr|A0A803JH33|A0A803JH33_XENTR Tyr recombinase domain-containing protein OS=Xenopus tropicalis OX=8364 PE=4 SV=1</t>
        </is>
      </c>
      <c r="M1461" t="n">
        <v>938</v>
      </c>
      <c r="N1461" t="inlineStr">
        <is>
          <t>Xenopus tropicalis</t>
        </is>
      </c>
      <c r="O1461" t="inlineStr">
        <is>
          <t>Tyr recombinase domain-containing protein</t>
        </is>
      </c>
    </row>
    <row r="1462">
      <c r="A1462" t="inlineStr"/>
      <c r="B1462" t="inlineStr"/>
      <c r="C1462" t="inlineStr"/>
      <c r="D1462" t="inlineStr"/>
      <c r="E1462">
        <f>HYPERLINK("https://www.uniprot.org/uniprotkb/A0A8J1LT71/entry", "A0A8J1LT71")</f>
        <v/>
      </c>
      <c r="F1462" t="n">
        <v>72.09999999999999</v>
      </c>
      <c r="G1462" t="n">
        <v>43</v>
      </c>
      <c r="H1462" t="n">
        <v>8.22e-11</v>
      </c>
      <c r="I1462" t="inlineStr">
        <is>
          <t>TrEMBL</t>
        </is>
      </c>
      <c r="J1462" t="inlineStr">
        <is>
          <t>LOC121398141</t>
        </is>
      </c>
      <c r="K1462" t="inlineStr">
        <is>
          <t>A0A8J1LT71_XENLA</t>
        </is>
      </c>
      <c r="L1462" t="inlineStr">
        <is>
          <t>tr|A0A8J1LT71|A0A8J1LT71_XENLA uncharacterized protein LOC121398141 OS=Xenopus laevis OX=8355 GN=LOC121398141 PE=4 SV=1</t>
        </is>
      </c>
      <c r="M1462" t="n">
        <v>948</v>
      </c>
      <c r="N1462" t="inlineStr">
        <is>
          <t>Xenopus laevis</t>
        </is>
      </c>
      <c r="O1462" t="inlineStr">
        <is>
          <t>uncharacterized protein LOC121398141</t>
        </is>
      </c>
    </row>
    <row r="1463">
      <c r="A1463" t="inlineStr"/>
      <c r="B1463" t="inlineStr"/>
      <c r="C1463" t="inlineStr"/>
      <c r="D1463" t="inlineStr"/>
      <c r="E1463">
        <f>HYPERLINK("https://www.uniprot.org/uniprotkb/A0A6I8SVV8/entry", "A0A6I8SVV8")</f>
        <v/>
      </c>
      <c r="F1463" t="n">
        <v>67.40000000000001</v>
      </c>
      <c r="G1463" t="n">
        <v>43</v>
      </c>
      <c r="H1463" t="n">
        <v>1.1e-10</v>
      </c>
      <c r="I1463" t="inlineStr">
        <is>
          <t>TrEMBL</t>
        </is>
      </c>
      <c r="J1463" t="inlineStr"/>
      <c r="K1463" t="inlineStr">
        <is>
          <t>A0A6I8SVV8_XENTR</t>
        </is>
      </c>
      <c r="L1463" t="inlineStr">
        <is>
          <t>tr|A0A6I8SVV8|A0A6I8SVV8_XENTR Core-binding (CB) domain-containing protein OS=Xenopus tropicalis OX=8364 PE=4 SV=2</t>
        </is>
      </c>
      <c r="M1463" t="n">
        <v>667</v>
      </c>
      <c r="N1463" t="inlineStr">
        <is>
          <t>Xenopus tropicalis</t>
        </is>
      </c>
      <c r="O1463" t="inlineStr">
        <is>
          <t>Core-binding (CB) domain-containing protein</t>
        </is>
      </c>
    </row>
    <row r="1464">
      <c r="A1464" t="inlineStr"/>
      <c r="B1464" t="inlineStr"/>
      <c r="C1464" t="inlineStr"/>
      <c r="D1464" t="inlineStr"/>
      <c r="E1464">
        <f>HYPERLINK("https://www.uniprot.org/uniprotkb/A0A6I8SBU0/entry", "A0A6I8SBU0")</f>
        <v/>
      </c>
      <c r="F1464" t="n">
        <v>72.09999999999999</v>
      </c>
      <c r="G1464" t="n">
        <v>43</v>
      </c>
      <c r="H1464" t="n">
        <v>1.1e-10</v>
      </c>
      <c r="I1464" t="inlineStr">
        <is>
          <t>TrEMBL</t>
        </is>
      </c>
      <c r="J1464" t="inlineStr"/>
      <c r="K1464" t="inlineStr">
        <is>
          <t>A0A6I8SBU0_XENTR</t>
        </is>
      </c>
      <c r="L1464" t="inlineStr">
        <is>
          <t>tr|A0A6I8SBU0|A0A6I8SBU0_XENTR Core-binding (CB) domain-containing protein OS=Xenopus tropicalis OX=8364 PE=4 SV=2</t>
        </is>
      </c>
      <c r="M1464" t="n">
        <v>674</v>
      </c>
      <c r="N1464" t="inlineStr">
        <is>
          <t>Xenopus tropicalis</t>
        </is>
      </c>
      <c r="O1464" t="inlineStr">
        <is>
          <t>Core-binding (CB) domain-containing protein</t>
        </is>
      </c>
    </row>
    <row r="1465">
      <c r="A1465" t="inlineStr"/>
      <c r="B1465" t="inlineStr"/>
      <c r="C1465" t="inlineStr"/>
      <c r="D1465" t="inlineStr"/>
      <c r="E1465">
        <f>HYPERLINK("https://www.ncbi.nlm.nih.gov/gene/?term=XP_041429632.1", "XP_041429632.1")</f>
        <v/>
      </c>
      <c r="F1465" t="n">
        <v>72.09999999999999</v>
      </c>
      <c r="G1465" t="n">
        <v>43</v>
      </c>
      <c r="H1465" t="n">
        <v>1.11e-10</v>
      </c>
      <c r="I1465" t="inlineStr">
        <is>
          <t>Nr</t>
        </is>
      </c>
      <c r="J1465" t="inlineStr"/>
      <c r="K1465" t="inlineStr"/>
      <c r="L1465" t="inlineStr">
        <is>
          <t>XP_041429632.1 uncharacterized protein LOC121397238 [Xenopus laevis]</t>
        </is>
      </c>
      <c r="M1465" t="n">
        <v>642</v>
      </c>
      <c r="N1465" t="inlineStr">
        <is>
          <t>Xenopus laevis</t>
        </is>
      </c>
      <c r="O1465" t="inlineStr">
        <is>
          <t>uncharacterized protein LOC121397238</t>
        </is>
      </c>
    </row>
    <row r="1466">
      <c r="A1466" t="inlineStr"/>
      <c r="B1466" t="inlineStr"/>
      <c r="C1466" t="inlineStr"/>
      <c r="D1466" t="inlineStr"/>
      <c r="E1466">
        <f>HYPERLINK("https://www.uniprot.org/uniprotkb/A0A8J1L8U5/entry", "A0A8J1L8U5")</f>
        <v/>
      </c>
      <c r="F1466" t="n">
        <v>69.8</v>
      </c>
      <c r="G1466" t="n">
        <v>43</v>
      </c>
      <c r="H1466" t="n">
        <v>1.12e-10</v>
      </c>
      <c r="I1466" t="inlineStr">
        <is>
          <t>TrEMBL</t>
        </is>
      </c>
      <c r="J1466" t="inlineStr">
        <is>
          <t>LOC121395599</t>
        </is>
      </c>
      <c r="K1466" t="inlineStr">
        <is>
          <t>A0A8J1L8U5_XENLA</t>
        </is>
      </c>
      <c r="L1466" t="inlineStr">
        <is>
          <t>tr|A0A8J1L8U5|A0A8J1L8U5_XENLA ribonuclease H OS=Xenopus laevis OX=8355 GN=LOC121395599 PE=3 SV=1</t>
        </is>
      </c>
      <c r="M1466" t="n">
        <v>910</v>
      </c>
      <c r="N1466" t="inlineStr">
        <is>
          <t>Xenopus laevis</t>
        </is>
      </c>
      <c r="O1466" t="inlineStr">
        <is>
          <t>ribonuclease H</t>
        </is>
      </c>
    </row>
    <row r="1467">
      <c r="A1467" t="inlineStr"/>
      <c r="B1467" t="inlineStr"/>
      <c r="C1467" t="inlineStr"/>
      <c r="D1467" t="inlineStr"/>
      <c r="E1467">
        <f>HYPERLINK("https://www.uniprot.org/uniprotkb/A0A8J1LQ31/entry", "A0A8J1LQ31")</f>
        <v/>
      </c>
      <c r="F1467" t="n">
        <v>69.8</v>
      </c>
      <c r="G1467" t="n">
        <v>43</v>
      </c>
      <c r="H1467" t="n">
        <v>1.14e-10</v>
      </c>
      <c r="I1467" t="inlineStr">
        <is>
          <t>TrEMBL</t>
        </is>
      </c>
      <c r="J1467" t="inlineStr">
        <is>
          <t>LOC121397804</t>
        </is>
      </c>
      <c r="K1467" t="inlineStr">
        <is>
          <t>A0A8J1LQ31_XENLA</t>
        </is>
      </c>
      <c r="L1467" t="inlineStr">
        <is>
          <t>tr|A0A8J1LQ31|A0A8J1LQ31_XENLA uncharacterized protein LOC121397804 OS=Xenopus laevis OX=8355 GN=LOC121397804 PE=4 SV=1</t>
        </is>
      </c>
      <c r="M1467" t="n">
        <v>1421</v>
      </c>
      <c r="N1467" t="inlineStr">
        <is>
          <t>Xenopus laevis</t>
        </is>
      </c>
      <c r="O1467" t="inlineStr">
        <is>
          <t>uncharacterized protein LOC121397804</t>
        </is>
      </c>
    </row>
    <row r="1468">
      <c r="A1468" t="inlineStr"/>
      <c r="B1468" t="inlineStr"/>
      <c r="C1468" t="inlineStr"/>
      <c r="D1468" t="inlineStr"/>
      <c r="E1468">
        <f>HYPERLINK("https://www.ncbi.nlm.nih.gov/gene/?term=XP_041446068.1", "XP_041446068.1")</f>
        <v/>
      </c>
      <c r="F1468" t="n">
        <v>72.09999999999999</v>
      </c>
      <c r="G1468" t="n">
        <v>43</v>
      </c>
      <c r="H1468" t="n">
        <v>1.54e-10</v>
      </c>
      <c r="I1468" t="inlineStr">
        <is>
          <t>Nr</t>
        </is>
      </c>
      <c r="J1468" t="inlineStr"/>
      <c r="K1468" t="inlineStr"/>
      <c r="L1468" t="inlineStr">
        <is>
          <t>XP_041446068.1 uncharacterized protein LOC121403002 [Xenopus laevis]</t>
        </is>
      </c>
      <c r="M1468" t="n">
        <v>325</v>
      </c>
      <c r="N1468" t="inlineStr">
        <is>
          <t>Xenopus laevis</t>
        </is>
      </c>
      <c r="O1468" t="inlineStr">
        <is>
          <t>uncharacterized protein LOC121403002</t>
        </is>
      </c>
    </row>
    <row r="1469">
      <c r="A1469" t="inlineStr"/>
      <c r="B1469" t="inlineStr"/>
      <c r="C1469" t="inlineStr"/>
      <c r="D1469" t="inlineStr"/>
      <c r="E1469">
        <f>HYPERLINK("https://www.uniprot.org/uniprotkb/A0A6I8RMS6/entry", "A0A6I8RMS6")</f>
        <v/>
      </c>
      <c r="F1469" t="n">
        <v>67.40000000000001</v>
      </c>
      <c r="G1469" t="n">
        <v>43</v>
      </c>
      <c r="H1469" t="n">
        <v>1.98e-10</v>
      </c>
      <c r="I1469" t="inlineStr">
        <is>
          <t>TrEMBL</t>
        </is>
      </c>
      <c r="J1469" t="inlineStr"/>
      <c r="K1469" t="inlineStr">
        <is>
          <t>A0A6I8RMS6_XENTR</t>
        </is>
      </c>
      <c r="L1469" t="inlineStr">
        <is>
          <t>tr|A0A6I8RMS6|A0A6I8RMS6_XENTR Core-binding (CB) domain-containing protein OS=Xenopus tropicalis OX=8364 PE=4 SV=1</t>
        </is>
      </c>
      <c r="M1469" t="n">
        <v>463</v>
      </c>
      <c r="N1469" t="inlineStr">
        <is>
          <t>Xenopus tropicalis</t>
        </is>
      </c>
      <c r="O1469" t="inlineStr">
        <is>
          <t>Core-binding (CB) domain-containing protein</t>
        </is>
      </c>
    </row>
    <row r="1470">
      <c r="A1470" t="inlineStr"/>
      <c r="B1470" t="inlineStr"/>
      <c r="C1470" t="inlineStr"/>
      <c r="D1470" t="inlineStr"/>
      <c r="E1470">
        <f>HYPERLINK("https://www.uniprot.org/uniprotkb/A0A8J1KI61/entry", "A0A8J1KI61")</f>
        <v/>
      </c>
      <c r="F1470" t="n">
        <v>71.09999999999999</v>
      </c>
      <c r="G1470" t="n">
        <v>45</v>
      </c>
      <c r="H1470" t="n">
        <v>2.03e-10</v>
      </c>
      <c r="I1470" t="inlineStr">
        <is>
          <t>TrEMBL</t>
        </is>
      </c>
      <c r="J1470" t="inlineStr">
        <is>
          <t>LOC121393209</t>
        </is>
      </c>
      <c r="K1470" t="inlineStr">
        <is>
          <t>A0A8J1KI61_XENLA</t>
        </is>
      </c>
      <c r="L1470" t="inlineStr">
        <is>
          <t>tr|A0A8J1KI61|A0A8J1KI61_XENLA uncharacterized protein LOC121393209 OS=Xenopus laevis OX=8355 GN=LOC121393209 PE=4 SV=1</t>
        </is>
      </c>
      <c r="M1470" t="n">
        <v>580</v>
      </c>
      <c r="N1470" t="inlineStr">
        <is>
          <t>Xenopus laevis</t>
        </is>
      </c>
      <c r="O1470" t="inlineStr">
        <is>
          <t>uncharacterized protein LOC121393209</t>
        </is>
      </c>
    </row>
    <row r="1471">
      <c r="A1471" t="inlineStr"/>
      <c r="B1471" t="inlineStr"/>
      <c r="C1471" t="inlineStr"/>
      <c r="D1471" t="inlineStr"/>
      <c r="E1471">
        <f>HYPERLINK("https://www.uniprot.org/uniprotkb/A0A803JI75/entry", "A0A803JI75")</f>
        <v/>
      </c>
      <c r="F1471" t="n">
        <v>67.40000000000001</v>
      </c>
      <c r="G1471" t="n">
        <v>43</v>
      </c>
      <c r="H1471" t="n">
        <v>2.04e-10</v>
      </c>
      <c r="I1471" t="inlineStr">
        <is>
          <t>TrEMBL</t>
        </is>
      </c>
      <c r="J1471" t="inlineStr"/>
      <c r="K1471" t="inlineStr">
        <is>
          <t>A0A803JI75_XENTR</t>
        </is>
      </c>
      <c r="L1471" t="inlineStr">
        <is>
          <t>tr|A0A803JI75|A0A803JI75_XENTR Core-binding (CB) domain-containing protein OS=Xenopus tropicalis OX=8364 PE=4 SV=1</t>
        </is>
      </c>
      <c r="M1471" t="n">
        <v>621</v>
      </c>
      <c r="N1471" t="inlineStr">
        <is>
          <t>Xenopus tropicalis</t>
        </is>
      </c>
      <c r="O1471" t="inlineStr">
        <is>
          <t>Core-binding (CB) domain-containing protein</t>
        </is>
      </c>
    </row>
    <row r="1472">
      <c r="A1472" t="inlineStr"/>
      <c r="B1472" t="inlineStr"/>
      <c r="C1472" t="inlineStr"/>
      <c r="D1472" t="inlineStr"/>
      <c r="E1472">
        <f>HYPERLINK("https://www.uniprot.org/uniprotkb/A0A803JL00/entry", "A0A803JL00")</f>
        <v/>
      </c>
      <c r="F1472" t="n">
        <v>69.8</v>
      </c>
      <c r="G1472" t="n">
        <v>43</v>
      </c>
      <c r="H1472" t="n">
        <v>2.05e-10</v>
      </c>
      <c r="I1472" t="inlineStr">
        <is>
          <t>TrEMBL</t>
        </is>
      </c>
      <c r="J1472" t="inlineStr"/>
      <c r="K1472" t="inlineStr">
        <is>
          <t>A0A803JL00_XENTR</t>
        </is>
      </c>
      <c r="L1472" t="inlineStr">
        <is>
          <t>tr|A0A803JL00|A0A803JL00_XENTR Tyr recombinase domain-containing protein OS=Xenopus tropicalis OX=8364 PE=4 SV=1</t>
        </is>
      </c>
      <c r="M1472" t="n">
        <v>642</v>
      </c>
      <c r="N1472" t="inlineStr">
        <is>
          <t>Xenopus tropicalis</t>
        </is>
      </c>
      <c r="O1472" t="inlineStr">
        <is>
          <t>Tyr recombinase domain-containing protein</t>
        </is>
      </c>
    </row>
    <row r="1473">
      <c r="A1473" t="inlineStr"/>
      <c r="B1473" t="inlineStr"/>
      <c r="C1473" t="inlineStr"/>
      <c r="D1473" t="inlineStr"/>
      <c r="E1473">
        <f>HYPERLINK("https://www.ncbi.nlm.nih.gov/gene/?term=KAE8636279.1", "KAE8636279.1")</f>
        <v/>
      </c>
      <c r="F1473" t="n">
        <v>66.7</v>
      </c>
      <c r="G1473" t="n">
        <v>45</v>
      </c>
      <c r="H1473" t="n">
        <v>2.07e-10</v>
      </c>
      <c r="I1473" t="inlineStr">
        <is>
          <t>Nr</t>
        </is>
      </c>
      <c r="J1473" t="inlineStr"/>
      <c r="K1473" t="inlineStr"/>
      <c r="L1473" t="inlineStr">
        <is>
          <t>KAE8636279.1 hypothetical protein XENTR_v10002921 [Xenopus tropicalis]</t>
        </is>
      </c>
      <c r="M1473" t="n">
        <v>677</v>
      </c>
      <c r="N1473" t="inlineStr">
        <is>
          <t>Xenopus tropicalis</t>
        </is>
      </c>
      <c r="O1473" t="inlineStr">
        <is>
          <t>hypothetical protein XENTR_v10002921</t>
        </is>
      </c>
    </row>
    <row r="1474">
      <c r="A1474" t="inlineStr"/>
      <c r="B1474" t="inlineStr"/>
      <c r="C1474" t="inlineStr"/>
      <c r="D1474" t="inlineStr"/>
      <c r="E1474">
        <f>HYPERLINK("https://www.ncbi.nlm.nih.gov/gene/?term=XP_041432732.1", "XP_041432732.1")</f>
        <v/>
      </c>
      <c r="F1474" t="n">
        <v>72.09999999999999</v>
      </c>
      <c r="G1474" t="n">
        <v>43</v>
      </c>
      <c r="H1474" t="n">
        <v>2.11e-10</v>
      </c>
      <c r="I1474" t="inlineStr">
        <is>
          <t>Nr</t>
        </is>
      </c>
      <c r="J1474" t="inlineStr"/>
      <c r="K1474" t="inlineStr"/>
      <c r="L1474" t="inlineStr">
        <is>
          <t>XP_041432732.1 uncharacterized protein LOC121398141 [Xenopus laevis]</t>
        </is>
      </c>
      <c r="M1474" t="n">
        <v>948</v>
      </c>
      <c r="N1474" t="inlineStr">
        <is>
          <t>Xenopus laevis</t>
        </is>
      </c>
      <c r="O1474" t="inlineStr">
        <is>
          <t>uncharacterized protein LOC121398141</t>
        </is>
      </c>
    </row>
    <row r="1475">
      <c r="A1475" t="inlineStr"/>
      <c r="B1475" t="inlineStr"/>
      <c r="C1475" t="inlineStr"/>
      <c r="D1475" t="inlineStr"/>
      <c r="E1475">
        <f>HYPERLINK("https://www.ncbi.nlm.nih.gov/gene/?term=KAE8576050.1", "KAE8576050.1")</f>
        <v/>
      </c>
      <c r="F1475" t="n">
        <v>72.09999999999999</v>
      </c>
      <c r="G1475" t="n">
        <v>43</v>
      </c>
      <c r="H1475" t="n">
        <v>2.83e-10</v>
      </c>
      <c r="I1475" t="inlineStr">
        <is>
          <t>Nr</t>
        </is>
      </c>
      <c r="J1475" t="inlineStr"/>
      <c r="K1475" t="inlineStr"/>
      <c r="L1475" t="inlineStr">
        <is>
          <t>KAE8576050.1 hypothetical protein XENTR_v10004031 [Xenopus tropicalis]</t>
        </is>
      </c>
      <c r="M1475" t="n">
        <v>668</v>
      </c>
      <c r="N1475" t="inlineStr">
        <is>
          <t>Xenopus tropicalis</t>
        </is>
      </c>
      <c r="O1475" t="inlineStr">
        <is>
          <t>hypothetical protein XENTR_v10004031</t>
        </is>
      </c>
    </row>
    <row r="1476">
      <c r="A1476" t="inlineStr"/>
      <c r="B1476" t="inlineStr"/>
      <c r="C1476" t="inlineStr"/>
      <c r="D1476" t="inlineStr"/>
      <c r="E1476">
        <f>HYPERLINK("https://www.ncbi.nlm.nih.gov/gene/?term=XP_041425389.1", "XP_041425389.1")</f>
        <v/>
      </c>
      <c r="F1476" t="n">
        <v>69.8</v>
      </c>
      <c r="G1476" t="n">
        <v>43</v>
      </c>
      <c r="H1476" t="n">
        <v>2.88e-10</v>
      </c>
      <c r="I1476" t="inlineStr">
        <is>
          <t>Nr</t>
        </is>
      </c>
      <c r="J1476" t="inlineStr"/>
      <c r="K1476" t="inlineStr"/>
      <c r="L1476" t="inlineStr">
        <is>
          <t>XP_041425389.1 uncharacterized protein LOC121395599 [Xenopus laevis]</t>
        </is>
      </c>
      <c r="M1476" t="n">
        <v>910</v>
      </c>
      <c r="N1476" t="inlineStr">
        <is>
          <t>Xenopus laevis</t>
        </is>
      </c>
      <c r="O1476" t="inlineStr">
        <is>
          <t>uncharacterized protein LOC121395599</t>
        </is>
      </c>
    </row>
    <row r="1477">
      <c r="A1477" t="inlineStr"/>
      <c r="B1477" t="inlineStr"/>
      <c r="C1477" t="inlineStr"/>
      <c r="D1477" t="inlineStr"/>
      <c r="E1477">
        <f>HYPERLINK("https://www.ncbi.nlm.nih.gov/gene/?term=KAE8598289.1", "KAE8598289.1")</f>
        <v/>
      </c>
      <c r="F1477" t="n">
        <v>67.40000000000001</v>
      </c>
      <c r="G1477" t="n">
        <v>43</v>
      </c>
      <c r="H1477" t="n">
        <v>2.92e-10</v>
      </c>
      <c r="I1477" t="inlineStr">
        <is>
          <t>Nr</t>
        </is>
      </c>
      <c r="J1477" t="inlineStr"/>
      <c r="K1477" t="inlineStr"/>
      <c r="L1477" t="inlineStr">
        <is>
          <t>KAE8598289.1 hypothetical protein XENTR_v10016787 [Xenopus tropicalis]</t>
        </is>
      </c>
      <c r="M1477" t="n">
        <v>325</v>
      </c>
      <c r="N1477" t="inlineStr">
        <is>
          <t>Xenopus tropicalis</t>
        </is>
      </c>
      <c r="O1477" t="inlineStr">
        <is>
          <t>hypothetical protein XENTR_v10016787</t>
        </is>
      </c>
    </row>
    <row r="1478">
      <c r="A1478" t="inlineStr"/>
      <c r="B1478" t="inlineStr"/>
      <c r="C1478" t="inlineStr"/>
      <c r="D1478" t="inlineStr"/>
      <c r="E1478">
        <f>HYPERLINK("https://www.ncbi.nlm.nih.gov/gene/?term=XP_041431344.1", "XP_041431344.1")</f>
        <v/>
      </c>
      <c r="F1478" t="n">
        <v>69.8</v>
      </c>
      <c r="G1478" t="n">
        <v>43</v>
      </c>
      <c r="H1478" t="n">
        <v>2.93e-10</v>
      </c>
      <c r="I1478" t="inlineStr">
        <is>
          <t>Nr</t>
        </is>
      </c>
      <c r="J1478" t="inlineStr"/>
      <c r="K1478" t="inlineStr"/>
      <c r="L1478" t="inlineStr">
        <is>
          <t>XP_041431344.1 uncharacterized protein LOC121397804 [Xenopus laevis]</t>
        </is>
      </c>
      <c r="M1478" t="n">
        <v>1421</v>
      </c>
      <c r="N1478" t="inlineStr">
        <is>
          <t>Xenopus laevis</t>
        </is>
      </c>
      <c r="O1478" t="inlineStr">
        <is>
          <t>uncharacterized protein LOC121397804</t>
        </is>
      </c>
    </row>
    <row r="1479">
      <c r="A1479" t="inlineStr"/>
      <c r="B1479" t="inlineStr"/>
      <c r="C1479" t="inlineStr"/>
      <c r="D1479" t="inlineStr"/>
      <c r="E1479">
        <f>HYPERLINK("https://www.ncbi.nlm.nih.gov/gene/?term=KAE8610918.1", "KAE8610918.1")</f>
        <v/>
      </c>
      <c r="F1479" t="n">
        <v>67.40000000000001</v>
      </c>
      <c r="G1479" t="n">
        <v>43</v>
      </c>
      <c r="H1479" t="n">
        <v>5.09e-10</v>
      </c>
      <c r="I1479" t="inlineStr">
        <is>
          <t>Nr</t>
        </is>
      </c>
      <c r="J1479" t="inlineStr"/>
      <c r="K1479" t="inlineStr"/>
      <c r="L1479" t="inlineStr">
        <is>
          <t>KAE8610918.1 hypothetical protein XENTR_v10012279 [Xenopus tropicalis]</t>
        </is>
      </c>
      <c r="M1479" t="n">
        <v>463</v>
      </c>
      <c r="N1479" t="inlineStr">
        <is>
          <t>Xenopus tropicalis</t>
        </is>
      </c>
      <c r="O1479" t="inlineStr">
        <is>
          <t>hypothetical protein XENTR_v10012279</t>
        </is>
      </c>
    </row>
    <row r="1480">
      <c r="A1480" t="inlineStr"/>
      <c r="B1480" t="inlineStr"/>
      <c r="C1480" t="inlineStr"/>
      <c r="D1480" t="inlineStr"/>
      <c r="E1480">
        <f>HYPERLINK("https://www.ncbi.nlm.nih.gov/gene/?term=XP_041417032.1", "XP_041417032.1")</f>
        <v/>
      </c>
      <c r="F1480" t="n">
        <v>71.09999999999999</v>
      </c>
      <c r="G1480" t="n">
        <v>45</v>
      </c>
      <c r="H1480" t="n">
        <v>5.22e-10</v>
      </c>
      <c r="I1480" t="inlineStr">
        <is>
          <t>Nr</t>
        </is>
      </c>
      <c r="J1480" t="inlineStr"/>
      <c r="K1480" t="inlineStr"/>
      <c r="L1480" t="inlineStr">
        <is>
          <t>XP_041417032.1 uncharacterized protein LOC121393209 [Xenopus laevis]</t>
        </is>
      </c>
      <c r="M1480" t="n">
        <v>580</v>
      </c>
      <c r="N1480" t="inlineStr">
        <is>
          <t>Xenopus laevis</t>
        </is>
      </c>
      <c r="O1480" t="inlineStr">
        <is>
          <t>uncharacterized protein LOC121393209</t>
        </is>
      </c>
    </row>
    <row r="1481">
      <c r="A1481" t="inlineStr"/>
      <c r="B1481" t="inlineStr"/>
      <c r="C1481" t="inlineStr"/>
      <c r="D1481" t="inlineStr"/>
      <c r="E1481">
        <f>HYPERLINK("https://www.ncbi.nlm.nih.gov/gene/?term=KAE8590612.1", "KAE8590612.1")</f>
        <v/>
      </c>
      <c r="F1481" t="n">
        <v>67.40000000000001</v>
      </c>
      <c r="G1481" t="n">
        <v>43</v>
      </c>
      <c r="H1481" t="n">
        <v>7.2e-10</v>
      </c>
      <c r="I1481" t="inlineStr">
        <is>
          <t>Nr</t>
        </is>
      </c>
      <c r="J1481" t="inlineStr"/>
      <c r="K1481" t="inlineStr"/>
      <c r="L1481" t="inlineStr">
        <is>
          <t>KAE8590612.1 hypothetical protein XENTR_v10018130 [Xenopus tropicalis]</t>
        </is>
      </c>
      <c r="M1481" t="n">
        <v>674</v>
      </c>
      <c r="N1481" t="inlineStr">
        <is>
          <t>Xenopus tropicalis</t>
        </is>
      </c>
      <c r="O1481" t="inlineStr">
        <is>
          <t>hypothetical protein XENTR_v10018130</t>
        </is>
      </c>
    </row>
    <row r="1482">
      <c r="A1482" t="inlineStr"/>
      <c r="B1482" t="inlineStr"/>
      <c r="C1482" t="inlineStr"/>
      <c r="D1482" t="inlineStr"/>
      <c r="E1482">
        <f>HYPERLINK("https://www.ncbi.nlm.nih.gov/gene/?term=KAE8636869.1", "KAE8636869.1")</f>
        <v/>
      </c>
      <c r="F1482" t="n">
        <v>67.40000000000001</v>
      </c>
      <c r="G1482" t="n">
        <v>43</v>
      </c>
      <c r="H1482" t="n">
        <v>7.29e-10</v>
      </c>
      <c r="I1482" t="inlineStr">
        <is>
          <t>Nr</t>
        </is>
      </c>
      <c r="J1482" t="inlineStr"/>
      <c r="K1482" t="inlineStr"/>
      <c r="L1482" t="inlineStr">
        <is>
          <t>KAE8636869.1 hypothetical protein XENTR_v10003178 [Xenopus tropicalis]</t>
        </is>
      </c>
      <c r="M1482" t="n">
        <v>830</v>
      </c>
      <c r="N1482" t="inlineStr">
        <is>
          <t>Xenopus tropicalis</t>
        </is>
      </c>
      <c r="O1482" t="inlineStr">
        <is>
          <t>hypothetical protein XENTR_v10003178</t>
        </is>
      </c>
    </row>
    <row r="1483">
      <c r="A1483" t="inlineStr"/>
      <c r="B1483" t="inlineStr"/>
      <c r="C1483" t="inlineStr"/>
      <c r="D1483" t="inlineStr"/>
      <c r="E1483">
        <f>HYPERLINK("https://www.ncbi.nlm.nih.gov/gene/?term=XP_041427211.1", "XP_041427211.1")</f>
        <v/>
      </c>
      <c r="F1483" t="n">
        <v>63.6</v>
      </c>
      <c r="G1483" t="n">
        <v>44</v>
      </c>
      <c r="H1483" t="n">
        <v>7.340000000000001e-10</v>
      </c>
      <c r="I1483" t="inlineStr">
        <is>
          <t>Nr</t>
        </is>
      </c>
      <c r="J1483" t="inlineStr"/>
      <c r="K1483" t="inlineStr"/>
      <c r="L1483" t="inlineStr">
        <is>
          <t>XP_041427211.1 uncharacterized protein LOC121396402 [Xenopus laevis]</t>
        </is>
      </c>
      <c r="M1483" t="n">
        <v>949</v>
      </c>
      <c r="N1483" t="inlineStr">
        <is>
          <t>Xenopus laevis</t>
        </is>
      </c>
      <c r="O1483" t="inlineStr">
        <is>
          <t>uncharacterized protein LOC121396402</t>
        </is>
      </c>
    </row>
    <row r="1484">
      <c r="A1484" t="inlineStr"/>
      <c r="B1484" t="inlineStr"/>
      <c r="C1484" t="inlineStr"/>
      <c r="D1484" t="inlineStr"/>
      <c r="E1484">
        <f>HYPERLINK("https://www.ncbi.nlm.nih.gov/gene/?term=KAE8613519.1", "KAE8613519.1")</f>
        <v/>
      </c>
      <c r="F1484" t="n">
        <v>74.40000000000001</v>
      </c>
      <c r="G1484" t="n">
        <v>43</v>
      </c>
      <c r="H1484" t="n">
        <v>1.34e-09</v>
      </c>
      <c r="I1484" t="inlineStr">
        <is>
          <t>Nr</t>
        </is>
      </c>
      <c r="J1484" t="inlineStr"/>
      <c r="K1484" t="inlineStr"/>
      <c r="L1484" t="inlineStr">
        <is>
          <t>KAE8613519.1 hypothetical protein XENTR_v10007752 [Xenopus tropicalis]</t>
        </is>
      </c>
      <c r="M1484" t="n">
        <v>652</v>
      </c>
      <c r="N1484" t="inlineStr">
        <is>
          <t>Xenopus tropicalis</t>
        </is>
      </c>
      <c r="O1484" t="inlineStr">
        <is>
          <t>hypothetical protein XENTR_v10007752</t>
        </is>
      </c>
    </row>
    <row r="1485">
      <c r="A1485" t="inlineStr"/>
      <c r="B1485" t="inlineStr"/>
      <c r="C1485" t="inlineStr"/>
      <c r="D1485" t="inlineStr"/>
      <c r="E1485">
        <f>HYPERLINK("https://www.ncbi.nlm.nih.gov/gene/?term=KAE8585753.1", "KAE8585753.1")</f>
        <v/>
      </c>
      <c r="F1485" t="n">
        <v>65.09999999999999</v>
      </c>
      <c r="G1485" t="n">
        <v>43</v>
      </c>
      <c r="H1485" t="n">
        <v>1.35e-09</v>
      </c>
      <c r="I1485" t="inlineStr">
        <is>
          <t>Nr</t>
        </is>
      </c>
      <c r="J1485" t="inlineStr"/>
      <c r="K1485" t="inlineStr"/>
      <c r="L1485" t="inlineStr">
        <is>
          <t>KAE8585753.1 hypothetical protein XENTR_v10021442 [Xenopus tropicalis]</t>
        </is>
      </c>
      <c r="M1485" t="n">
        <v>731</v>
      </c>
      <c r="N1485" t="inlineStr">
        <is>
          <t>Xenopus tropicalis</t>
        </is>
      </c>
      <c r="O1485" t="inlineStr">
        <is>
          <t>hypothetical protein XENTR_v10021442</t>
        </is>
      </c>
    </row>
    <row r="1486">
      <c r="A1486" t="inlineStr"/>
      <c r="B1486" t="inlineStr"/>
      <c r="C1486" t="inlineStr"/>
      <c r="D1486" t="inlineStr"/>
      <c r="E1486">
        <f>HYPERLINK("https://www.ncbi.nlm.nih.gov/gene/?term=XP_041436799.1", "XP_041436799.1")</f>
        <v/>
      </c>
      <c r="F1486" t="n">
        <v>65.09999999999999</v>
      </c>
      <c r="G1486" t="n">
        <v>43</v>
      </c>
      <c r="H1486" t="n">
        <v>1.37e-09</v>
      </c>
      <c r="I1486" t="inlineStr">
        <is>
          <t>Nr</t>
        </is>
      </c>
      <c r="J1486" t="inlineStr"/>
      <c r="K1486" t="inlineStr"/>
      <c r="L1486" t="inlineStr">
        <is>
          <t>XP_041436799.1 CTP synthase 1-B isoform X1 [Xenopus laevis]</t>
        </is>
      </c>
      <c r="M1486" t="n">
        <v>982</v>
      </c>
      <c r="N1486" t="inlineStr">
        <is>
          <t>Xenopus laevis</t>
        </is>
      </c>
      <c r="O1486" t="inlineStr">
        <is>
          <t>CTP synthase 1-B isoform X1</t>
        </is>
      </c>
    </row>
    <row r="1487">
      <c r="A1487" t="inlineStr"/>
      <c r="B1487" t="inlineStr"/>
      <c r="C1487" t="inlineStr"/>
      <c r="D1487" t="inlineStr"/>
      <c r="E1487">
        <f>HYPERLINK("https://www.ncbi.nlm.nih.gov/gene/?term=XP_041420858.1", "XP_041420858.1")</f>
        <v/>
      </c>
      <c r="F1487" t="n">
        <v>67.40000000000001</v>
      </c>
      <c r="G1487" t="n">
        <v>43</v>
      </c>
      <c r="H1487" t="n">
        <v>1.88e-09</v>
      </c>
      <c r="I1487" t="inlineStr">
        <is>
          <t>Nr</t>
        </is>
      </c>
      <c r="J1487" t="inlineStr"/>
      <c r="K1487" t="inlineStr"/>
      <c r="L1487" t="inlineStr">
        <is>
          <t>XP_041420858.1 ATP-dependent DNA/RNA helicase DHX36 isoform X2 [Xenopus laevis]</t>
        </is>
      </c>
      <c r="M1487" t="n">
        <v>1056</v>
      </c>
      <c r="N1487" t="inlineStr">
        <is>
          <t>Xenopus laevis</t>
        </is>
      </c>
      <c r="O1487" t="inlineStr">
        <is>
          <t>ATP-dependent DNA/RNA helicase DHX36 isoform X2</t>
        </is>
      </c>
    </row>
    <row r="1488">
      <c r="A1488" t="inlineStr"/>
      <c r="B1488" t="inlineStr"/>
      <c r="C1488" t="inlineStr"/>
      <c r="D1488" t="inlineStr"/>
      <c r="E1488">
        <f>HYPERLINK("https://www.ncbi.nlm.nih.gov/gene/?term=XP_018121238.1", "XP_018121238.1")</f>
        <v/>
      </c>
      <c r="F1488" t="n">
        <v>67.40000000000001</v>
      </c>
      <c r="G1488" t="n">
        <v>43</v>
      </c>
      <c r="H1488" t="n">
        <v>1.88e-09</v>
      </c>
      <c r="I1488" t="inlineStr">
        <is>
          <t>Nr</t>
        </is>
      </c>
      <c r="J1488" t="inlineStr"/>
      <c r="K1488" t="inlineStr"/>
      <c r="L1488" t="inlineStr">
        <is>
          <t>XP_018121238.1 ATP-dependent DNA/RNA helicase DHX36 isoform X1 [Xenopus laevis]</t>
        </is>
      </c>
      <c r="M1488" t="n">
        <v>1125</v>
      </c>
      <c r="N1488" t="inlineStr">
        <is>
          <t>Xenopus laevis</t>
        </is>
      </c>
      <c r="O1488" t="inlineStr">
        <is>
          <t>ATP-dependent DNA/RNA helicase DHX36 isoform X1</t>
        </is>
      </c>
    </row>
    <row r="1489">
      <c r="A1489" t="inlineStr"/>
      <c r="B1489" t="inlineStr"/>
      <c r="C1489" t="inlineStr"/>
      <c r="D1489" t="inlineStr"/>
      <c r="E1489">
        <f>HYPERLINK("https://www.ncbi.nlm.nih.gov/gene/?term=KAE8584967.1", "KAE8584967.1")</f>
        <v/>
      </c>
      <c r="F1489" t="n">
        <v>69.8</v>
      </c>
      <c r="G1489" t="n">
        <v>43</v>
      </c>
      <c r="H1489" t="n">
        <v>2.12e-09</v>
      </c>
      <c r="I1489" t="inlineStr">
        <is>
          <t>Nr</t>
        </is>
      </c>
      <c r="J1489" t="inlineStr"/>
      <c r="K1489" t="inlineStr"/>
      <c r="L1489" t="inlineStr">
        <is>
          <t>KAE8584967.1 hypothetical protein XENTR_v10021175 [Xenopus tropicalis]</t>
        </is>
      </c>
      <c r="M1489" t="n">
        <v>345</v>
      </c>
      <c r="N1489" t="inlineStr">
        <is>
          <t>Xenopus tropicalis</t>
        </is>
      </c>
      <c r="O1489" t="inlineStr">
        <is>
          <t>hypothetical protein XENTR_v10021175</t>
        </is>
      </c>
    </row>
    <row r="1490">
      <c r="A1490" t="inlineStr"/>
      <c r="B1490" t="inlineStr"/>
      <c r="C1490" t="inlineStr"/>
      <c r="D1490" t="inlineStr"/>
      <c r="E1490">
        <f>HYPERLINK("https://www.ncbi.nlm.nih.gov/gene/?term=XP_031758406.1", "XP_031758406.1")</f>
        <v/>
      </c>
      <c r="F1490" t="n">
        <v>62.8</v>
      </c>
      <c r="G1490" t="n">
        <v>43</v>
      </c>
      <c r="H1490" t="n">
        <v>2.38e-09</v>
      </c>
      <c r="I1490" t="inlineStr">
        <is>
          <t>Nr</t>
        </is>
      </c>
      <c r="J1490" t="inlineStr"/>
      <c r="K1490" t="inlineStr"/>
      <c r="L1490" t="inlineStr">
        <is>
          <t>XP_031758406.1 uncharacterized protein LOC116410921 [Xenopus tropicalis]</t>
        </is>
      </c>
      <c r="M1490" t="n">
        <v>423</v>
      </c>
      <c r="N1490" t="inlineStr">
        <is>
          <t>Xenopus tropicalis</t>
        </is>
      </c>
      <c r="O1490" t="inlineStr">
        <is>
          <t>uncharacterized protein LOC116410921</t>
        </is>
      </c>
    </row>
    <row r="1491">
      <c r="A1491" t="inlineStr"/>
      <c r="B1491" t="inlineStr"/>
      <c r="C1491" t="inlineStr"/>
      <c r="D1491" t="inlineStr"/>
      <c r="E1491">
        <f>HYPERLINK("https://www.ncbi.nlm.nih.gov/gene/?term=XP_031747366.1", "XP_031747366.1")</f>
        <v/>
      </c>
      <c r="F1491" t="n">
        <v>62.8</v>
      </c>
      <c r="G1491" t="n">
        <v>43</v>
      </c>
      <c r="H1491" t="n">
        <v>2.42e-09</v>
      </c>
      <c r="I1491" t="inlineStr">
        <is>
          <t>Nr</t>
        </is>
      </c>
      <c r="J1491" t="inlineStr"/>
      <c r="K1491" t="inlineStr"/>
      <c r="L1491" t="inlineStr">
        <is>
          <t>XP_031747366.1 uncharacterized protein LOC116406738 [Xenopus tropicalis]</t>
        </is>
      </c>
      <c r="M1491" t="n">
        <v>460</v>
      </c>
      <c r="N1491" t="inlineStr">
        <is>
          <t>Xenopus tropicalis</t>
        </is>
      </c>
      <c r="O1491" t="inlineStr">
        <is>
          <t>uncharacterized protein LOC116406738</t>
        </is>
      </c>
    </row>
    <row r="1492">
      <c r="A1492" t="inlineStr"/>
      <c r="B1492" t="inlineStr"/>
      <c r="C1492" t="inlineStr"/>
      <c r="D1492" t="inlineStr"/>
      <c r="E1492">
        <f>HYPERLINK("https://www.ncbi.nlm.nih.gov/gene/?term=KAE8586429.1", "KAE8586429.1")</f>
        <v/>
      </c>
      <c r="F1492" t="n">
        <v>62.8</v>
      </c>
      <c r="G1492" t="n">
        <v>43</v>
      </c>
      <c r="H1492" t="n">
        <v>2.5e-09</v>
      </c>
      <c r="I1492" t="inlineStr">
        <is>
          <t>Nr</t>
        </is>
      </c>
      <c r="J1492" t="inlineStr"/>
      <c r="K1492" t="inlineStr"/>
      <c r="L1492" t="inlineStr">
        <is>
          <t>KAE8586429.1 hypothetical protein XENTR_v10021668 [Xenopus tropicalis]</t>
        </is>
      </c>
      <c r="M1492" t="n">
        <v>648</v>
      </c>
      <c r="N1492" t="inlineStr">
        <is>
          <t>Xenopus tropicalis</t>
        </is>
      </c>
      <c r="O1492" t="inlineStr">
        <is>
          <t>hypothetical protein XENTR_v10021668</t>
        </is>
      </c>
    </row>
    <row r="1493">
      <c r="A1493" t="inlineStr"/>
      <c r="B1493" t="inlineStr"/>
      <c r="C1493" t="inlineStr"/>
      <c r="D1493" t="inlineStr"/>
      <c r="E1493">
        <f>HYPERLINK("https://www.ncbi.nlm.nih.gov/gene/?term=XP_031752878.1", "XP_031752878.1")</f>
        <v/>
      </c>
      <c r="F1493" t="n">
        <v>62.8</v>
      </c>
      <c r="G1493" t="n">
        <v>43</v>
      </c>
      <c r="H1493" t="n">
        <v>2.51e-09</v>
      </c>
      <c r="I1493" t="inlineStr">
        <is>
          <t>Nr</t>
        </is>
      </c>
      <c r="J1493" t="inlineStr"/>
      <c r="K1493" t="inlineStr"/>
      <c r="L1493" t="inlineStr">
        <is>
          <t>XP_031752878.1 filaggrin-2-like [Xenopus tropicalis]</t>
        </is>
      </c>
      <c r="M1493" t="n">
        <v>714</v>
      </c>
      <c r="N1493" t="inlineStr">
        <is>
          <t>Xenopus tropicalis</t>
        </is>
      </c>
      <c r="O1493" t="inlineStr">
        <is>
          <t>filaggrin-2-like</t>
        </is>
      </c>
    </row>
    <row r="1494">
      <c r="A1494" t="inlineStr"/>
      <c r="B1494" t="inlineStr"/>
      <c r="C1494" t="inlineStr"/>
      <c r="D1494" t="inlineStr"/>
      <c r="E1494">
        <f>HYPERLINK("https://www.ncbi.nlm.nih.gov/gene/?term=KAE8606559.1", "KAE8606559.1")</f>
        <v/>
      </c>
      <c r="F1494" t="n">
        <v>65.09999999999999</v>
      </c>
      <c r="G1494" t="n">
        <v>43</v>
      </c>
      <c r="H1494" t="n">
        <v>3.44e-09</v>
      </c>
      <c r="I1494" t="inlineStr">
        <is>
          <t>Nr</t>
        </is>
      </c>
      <c r="J1494" t="inlineStr"/>
      <c r="K1494" t="inlineStr"/>
      <c r="L1494" t="inlineStr">
        <is>
          <t>KAE8606559.1 hypothetical protein XENTR_v10010779 [Xenopus tropicalis]</t>
        </is>
      </c>
      <c r="M1494" t="n">
        <v>736</v>
      </c>
      <c r="N1494" t="inlineStr">
        <is>
          <t>Xenopus tropicalis</t>
        </is>
      </c>
      <c r="O1494" t="inlineStr">
        <is>
          <t>hypothetical protein XENTR_v10010779</t>
        </is>
      </c>
    </row>
    <row r="1495">
      <c r="A1495" t="inlineStr">
        <is>
          <t>NODE_134491_length_1220_cov_5.439722_g59148_i0</t>
        </is>
      </c>
      <c r="B1495" t="inlineStr">
        <is>
          <t>bombina_pachypus_blastx</t>
        </is>
      </c>
      <c r="C1495" t="n">
        <v>6.54564054480563</v>
      </c>
      <c r="D1495" t="n">
        <v>0.0059083151279736</v>
      </c>
      <c r="E1495">
        <f>HYPERLINK("https://www.uniprot.org/uniprotkb/A0A8C5PCI5/entry", "A0A8C5PCI5")</f>
        <v/>
      </c>
      <c r="F1495" t="n">
        <v>41</v>
      </c>
      <c r="G1495" t="n">
        <v>200</v>
      </c>
      <c r="H1495" t="n">
        <v>1.92e-31</v>
      </c>
      <c r="I1495" t="inlineStr">
        <is>
          <t>TrEMBL</t>
        </is>
      </c>
      <c r="J1495" t="inlineStr"/>
      <c r="K1495" t="inlineStr">
        <is>
          <t>A0A8C5PCI5_9ANUR</t>
        </is>
      </c>
      <c r="L1495" t="inlineStr">
        <is>
          <t>tr|A0A8C5PCI5|A0A8C5PCI5_9ANUR LINE-1 type transposase domain-containing 1 OS=Leptobrachium leishanense OX=445787 PE=4 SV=1</t>
        </is>
      </c>
      <c r="M1495" t="n">
        <v>304</v>
      </c>
      <c r="N1495" t="inlineStr">
        <is>
          <t>Leptobrachium leishanense</t>
        </is>
      </c>
      <c r="O1495" t="inlineStr">
        <is>
          <t>LINE-1 type transposase domain-containing 1</t>
        </is>
      </c>
    </row>
    <row r="1496">
      <c r="A1496" t="inlineStr"/>
      <c r="B1496" t="inlineStr"/>
      <c r="C1496" t="inlineStr"/>
      <c r="D1496" t="inlineStr"/>
      <c r="E1496">
        <f>HYPERLINK("https://www.ncbi.nlm.nih.gov/gene/?term=OCT56386.1", "OCT56386.1")</f>
        <v/>
      </c>
      <c r="F1496" t="n">
        <v>34.6</v>
      </c>
      <c r="G1496" t="n">
        <v>217</v>
      </c>
      <c r="H1496" t="n">
        <v>7.29e-28</v>
      </c>
      <c r="I1496" t="inlineStr">
        <is>
          <t>Nr</t>
        </is>
      </c>
      <c r="J1496" t="inlineStr"/>
      <c r="K1496" t="inlineStr"/>
      <c r="L1496" t="inlineStr">
        <is>
          <t>OCT56386.1 hypothetical protein XELAEV_18000164mg [Xenopus laevis]</t>
        </is>
      </c>
      <c r="M1496" t="n">
        <v>701</v>
      </c>
      <c r="N1496" t="inlineStr">
        <is>
          <t>Xenopus laevis</t>
        </is>
      </c>
      <c r="O1496" t="inlineStr">
        <is>
          <t>hypothetical protein XELAEV_18000164mg</t>
        </is>
      </c>
    </row>
    <row r="1497">
      <c r="A1497" t="inlineStr"/>
      <c r="B1497" t="inlineStr"/>
      <c r="C1497" t="inlineStr"/>
      <c r="D1497" t="inlineStr"/>
      <c r="E1497">
        <f>HYPERLINK("https://www.ncbi.nlm.nih.gov/gene/?term=XP_040283419.1", "XP_040283419.1")</f>
        <v/>
      </c>
      <c r="F1497" t="n">
        <v>37.6</v>
      </c>
      <c r="G1497" t="n">
        <v>202</v>
      </c>
      <c r="H1497" t="n">
        <v>1.41e-26</v>
      </c>
      <c r="I1497" t="inlineStr">
        <is>
          <t>Nr</t>
        </is>
      </c>
      <c r="J1497" t="inlineStr"/>
      <c r="K1497" t="inlineStr"/>
      <c r="L1497" t="inlineStr">
        <is>
          <t>XP_040283419.1 zinc finger protein 665-like [Bufo bufo]</t>
        </is>
      </c>
      <c r="M1497" t="n">
        <v>1169</v>
      </c>
      <c r="N1497" t="inlineStr">
        <is>
          <t>Bufo bufo</t>
        </is>
      </c>
      <c r="O1497" t="inlineStr">
        <is>
          <t>zinc finger protein 665-like</t>
        </is>
      </c>
    </row>
    <row r="1498">
      <c r="A1498" t="inlineStr"/>
      <c r="B1498" t="inlineStr"/>
      <c r="C1498" t="inlineStr"/>
      <c r="D1498" t="inlineStr"/>
      <c r="E1498">
        <f>HYPERLINK("https://www.uniprot.org/uniprotkb/A0A8C5QRW1/entry", "A0A8C5QRW1")</f>
        <v/>
      </c>
      <c r="F1498" t="n">
        <v>33.5</v>
      </c>
      <c r="G1498" t="n">
        <v>212</v>
      </c>
      <c r="H1498" t="n">
        <v>4.94e-26</v>
      </c>
      <c r="I1498" t="inlineStr">
        <is>
          <t>TrEMBL</t>
        </is>
      </c>
      <c r="J1498" t="inlineStr"/>
      <c r="K1498" t="inlineStr">
        <is>
          <t>A0A8C5QRW1_9ANUR</t>
        </is>
      </c>
      <c r="L1498" t="inlineStr">
        <is>
          <t>tr|A0A8C5QRW1|A0A8C5QRW1_9ANUR Tick transposon OS=Leptobrachium leishanense OX=445787 PE=4 SV=1</t>
        </is>
      </c>
      <c r="M1498" t="n">
        <v>257</v>
      </c>
      <c r="N1498" t="inlineStr">
        <is>
          <t>Leptobrachium leishanense</t>
        </is>
      </c>
      <c r="O1498" t="inlineStr">
        <is>
          <t>Tick transposon</t>
        </is>
      </c>
    </row>
    <row r="1499">
      <c r="A1499" t="inlineStr"/>
      <c r="B1499" t="inlineStr"/>
      <c r="C1499" t="inlineStr"/>
      <c r="D1499" t="inlineStr"/>
      <c r="E1499">
        <f>HYPERLINK("https://www.uniprot.org/uniprotkb/A0A8C5QXN8/entry", "A0A8C5QXN8")</f>
        <v/>
      </c>
      <c r="F1499" t="n">
        <v>37.5</v>
      </c>
      <c r="G1499" t="n">
        <v>200</v>
      </c>
      <c r="H1499" t="n">
        <v>2.08e-25</v>
      </c>
      <c r="I1499" t="inlineStr">
        <is>
          <t>TrEMBL</t>
        </is>
      </c>
      <c r="J1499" t="inlineStr"/>
      <c r="K1499" t="inlineStr">
        <is>
          <t>A0A8C5QXN8_9ANUR</t>
        </is>
      </c>
      <c r="L1499" t="inlineStr">
        <is>
          <t>tr|A0A8C5QXN8|A0A8C5QXN8_9ANUR LINE-1 retrotransposable element ORF1 protein OS=Leptobrachium leishanense OX=445787 PE=4 SV=1</t>
        </is>
      </c>
      <c r="M1499" t="n">
        <v>246</v>
      </c>
      <c r="N1499" t="inlineStr">
        <is>
          <t>Leptobrachium leishanense</t>
        </is>
      </c>
      <c r="O1499" t="inlineStr">
        <is>
          <t>LINE-1 retrotransposable element ORF1 protein</t>
        </is>
      </c>
    </row>
    <row r="1500">
      <c r="A1500" t="inlineStr"/>
      <c r="B1500" t="inlineStr"/>
      <c r="C1500" t="inlineStr"/>
      <c r="D1500" t="inlineStr"/>
      <c r="E1500">
        <f>HYPERLINK("https://www.ncbi.nlm.nih.gov/gene/?term=XP_040275741.1", "XP_040275741.1")</f>
        <v/>
      </c>
      <c r="F1500" t="n">
        <v>31.8</v>
      </c>
      <c r="G1500" t="n">
        <v>258</v>
      </c>
      <c r="H1500" t="n">
        <v>4.03e-25</v>
      </c>
      <c r="I1500" t="inlineStr">
        <is>
          <t>Nr</t>
        </is>
      </c>
      <c r="J1500" t="inlineStr"/>
      <c r="K1500" t="inlineStr"/>
      <c r="L1500" t="inlineStr">
        <is>
          <t>XP_040275741.1 proprotein convertase subtilisin/kexin type 4 [Bufo bufo]</t>
        </is>
      </c>
      <c r="M1500" t="n">
        <v>1114</v>
      </c>
      <c r="N1500" t="inlineStr">
        <is>
          <t>Bufo bufo</t>
        </is>
      </c>
      <c r="O1500" t="inlineStr">
        <is>
          <t>proprotein convertase subtilisin/kexin type 4</t>
        </is>
      </c>
    </row>
    <row r="1501">
      <c r="A1501" t="inlineStr"/>
      <c r="B1501" t="inlineStr"/>
      <c r="C1501" t="inlineStr"/>
      <c r="D1501" t="inlineStr"/>
      <c r="E1501">
        <f>HYPERLINK("https://www.uniprot.org/uniprotkb/A0A8C5M437/entry", "A0A8C5M437")</f>
        <v/>
      </c>
      <c r="F1501" t="n">
        <v>33.5</v>
      </c>
      <c r="G1501" t="n">
        <v>200</v>
      </c>
      <c r="H1501" t="n">
        <v>5.23e-25</v>
      </c>
      <c r="I1501" t="inlineStr">
        <is>
          <t>TrEMBL</t>
        </is>
      </c>
      <c r="J1501" t="inlineStr"/>
      <c r="K1501" t="inlineStr">
        <is>
          <t>A0A8C5M437_9ANUR</t>
        </is>
      </c>
      <c r="L1501" t="inlineStr">
        <is>
          <t>tr|A0A8C5M437|A0A8C5M437_9ANUR LINE-1 type transposase domain-containing 1 OS=Leptobrachium leishanense OX=445787 PE=4 SV=1</t>
        </is>
      </c>
      <c r="M1501" t="n">
        <v>326</v>
      </c>
      <c r="N1501" t="inlineStr">
        <is>
          <t>Leptobrachium leishanense</t>
        </is>
      </c>
      <c r="O1501" t="inlineStr">
        <is>
          <t>LINE-1 type transposase domain-containing 1</t>
        </is>
      </c>
    </row>
    <row r="1502">
      <c r="A1502" t="inlineStr"/>
      <c r="B1502" t="inlineStr"/>
      <c r="C1502" t="inlineStr"/>
      <c r="D1502" t="inlineStr"/>
      <c r="E1502">
        <f>HYPERLINK("https://www.uniprot.org/uniprotkb/A0A6P8RKU0/entry", "A0A6P8RKU0")</f>
        <v/>
      </c>
      <c r="F1502" t="n">
        <v>36.3</v>
      </c>
      <c r="G1502" t="n">
        <v>190</v>
      </c>
      <c r="H1502" t="n">
        <v>2.69e-24</v>
      </c>
      <c r="I1502" t="inlineStr">
        <is>
          <t>TrEMBL</t>
        </is>
      </c>
      <c r="J1502" t="inlineStr">
        <is>
          <t>SETDB2</t>
        </is>
      </c>
      <c r="K1502" t="inlineStr">
        <is>
          <t>A0A6P8RKU0_GEOSA</t>
        </is>
      </c>
      <c r="L1502" t="inlineStr">
        <is>
          <t>tr|A0A6P8RKU0|A0A6P8RKU0_GEOSA histone-lysine N-methyltransferase SETDB2 OS=Geotrypetes seraphini OX=260995 GN=SETDB2 PE=4 SV=1</t>
        </is>
      </c>
      <c r="M1502" t="n">
        <v>2196</v>
      </c>
      <c r="N1502" t="inlineStr">
        <is>
          <t>Geotrypetes seraphini</t>
        </is>
      </c>
      <c r="O1502" t="inlineStr">
        <is>
          <t>histone-lysine N-methyltransferase SETDB2</t>
        </is>
      </c>
    </row>
    <row r="1503">
      <c r="A1503" t="inlineStr"/>
      <c r="B1503" t="inlineStr"/>
      <c r="C1503" t="inlineStr"/>
      <c r="D1503" t="inlineStr"/>
      <c r="E1503">
        <f>HYPERLINK("https://www.ncbi.nlm.nih.gov/gene/?term=XP_033805871.1", "XP_033805871.1")</f>
        <v/>
      </c>
      <c r="F1503" t="n">
        <v>36.3</v>
      </c>
      <c r="G1503" t="n">
        <v>190</v>
      </c>
      <c r="H1503" t="n">
        <v>6.92e-24</v>
      </c>
      <c r="I1503" t="inlineStr">
        <is>
          <t>Nr</t>
        </is>
      </c>
      <c r="J1503" t="inlineStr"/>
      <c r="K1503" t="inlineStr"/>
      <c r="L1503" t="inlineStr">
        <is>
          <t>XP_033805871.1 histone-lysine N-methyltransferase SETDB2 [Geotrypetes seraphini]</t>
        </is>
      </c>
      <c r="M1503" t="n">
        <v>2196</v>
      </c>
      <c r="N1503" t="inlineStr">
        <is>
          <t>Geotrypetes seraphini</t>
        </is>
      </c>
      <c r="O1503" t="inlineStr">
        <is>
          <t>histone-lysine N-methyltransferase SETDB2</t>
        </is>
      </c>
    </row>
    <row r="1504">
      <c r="A1504" t="inlineStr"/>
      <c r="B1504" t="inlineStr"/>
      <c r="C1504" t="inlineStr"/>
      <c r="D1504" t="inlineStr"/>
      <c r="E1504">
        <f>HYPERLINK("https://www.uniprot.org/uniprotkb/A0A8C5Q8A4/entry", "A0A8C5Q8A4")</f>
        <v/>
      </c>
      <c r="F1504" t="n">
        <v>31.8</v>
      </c>
      <c r="G1504" t="n">
        <v>211</v>
      </c>
      <c r="H1504" t="n">
        <v>7.769999999999999e-24</v>
      </c>
      <c r="I1504" t="inlineStr">
        <is>
          <t>TrEMBL</t>
        </is>
      </c>
      <c r="J1504" t="inlineStr"/>
      <c r="K1504" t="inlineStr">
        <is>
          <t>A0A8C5Q8A4_9ANUR</t>
        </is>
      </c>
      <c r="L1504" t="inlineStr">
        <is>
          <t>tr|A0A8C5Q8A4|A0A8C5Q8A4_9ANUR LINE-1 type transposase domain-containing 1 OS=Leptobrachium leishanense OX=445787 PE=4 SV=1</t>
        </is>
      </c>
      <c r="M1504" t="n">
        <v>258</v>
      </c>
      <c r="N1504" t="inlineStr">
        <is>
          <t>Leptobrachium leishanense</t>
        </is>
      </c>
      <c r="O1504" t="inlineStr">
        <is>
          <t>LINE-1 type transposase domain-containing 1</t>
        </is>
      </c>
    </row>
    <row r="1505">
      <c r="A1505" t="inlineStr"/>
      <c r="B1505" t="inlineStr"/>
      <c r="C1505" t="inlineStr"/>
      <c r="D1505" t="inlineStr"/>
      <c r="E1505">
        <f>HYPERLINK("https://www.ncbi.nlm.nih.gov/gene/?term=KAI4827679.1", "KAI4827679.1")</f>
        <v/>
      </c>
      <c r="F1505" t="n">
        <v>30.1</v>
      </c>
      <c r="G1505" t="n">
        <v>193</v>
      </c>
      <c r="H1505" t="n">
        <v>1.79e-23</v>
      </c>
      <c r="I1505" t="inlineStr">
        <is>
          <t>Nr</t>
        </is>
      </c>
      <c r="J1505" t="inlineStr"/>
      <c r="K1505" t="inlineStr"/>
      <c r="L1505" t="inlineStr">
        <is>
          <t>KAI4827679.1 hypothetical protein KUCAC02_031058 [Chaenocephalus aceratus]</t>
        </is>
      </c>
      <c r="M1505" t="n">
        <v>269</v>
      </c>
      <c r="N1505" t="inlineStr">
        <is>
          <t>Chaenocephalus aceratus</t>
        </is>
      </c>
      <c r="O1505" t="inlineStr">
        <is>
          <t>hypothetical protein KUCAC02_031058</t>
        </is>
      </c>
    </row>
    <row r="1506">
      <c r="A1506" t="inlineStr"/>
      <c r="B1506" t="inlineStr"/>
      <c r="C1506" t="inlineStr"/>
      <c r="D1506" t="inlineStr"/>
      <c r="E1506">
        <f>HYPERLINK("https://www.ncbi.nlm.nih.gov/gene/?term=KAI4792447.1", "KAI4792447.1")</f>
        <v/>
      </c>
      <c r="F1506" t="n">
        <v>30.5</v>
      </c>
      <c r="G1506" t="n">
        <v>187</v>
      </c>
      <c r="H1506" t="n">
        <v>1.8e-23</v>
      </c>
      <c r="I1506" t="inlineStr">
        <is>
          <t>Nr</t>
        </is>
      </c>
      <c r="J1506" t="inlineStr"/>
      <c r="K1506" t="inlineStr"/>
      <c r="L1506" t="inlineStr">
        <is>
          <t>KAI4792447.1 hypothetical protein KUCAC02_033380 [Chaenocephalus aceratus]</t>
        </is>
      </c>
      <c r="M1506" t="n">
        <v>253</v>
      </c>
      <c r="N1506" t="inlineStr">
        <is>
          <t>Chaenocephalus aceratus</t>
        </is>
      </c>
      <c r="O1506" t="inlineStr">
        <is>
          <t>hypothetical protein KUCAC02_033380</t>
        </is>
      </c>
    </row>
    <row r="1507">
      <c r="A1507" t="inlineStr"/>
      <c r="B1507" t="inlineStr"/>
      <c r="C1507" t="inlineStr"/>
      <c r="D1507" t="inlineStr"/>
      <c r="E1507">
        <f>HYPERLINK("https://www.uniprot.org/uniprotkb/A0A087YS91/entry", "A0A087YS91")</f>
        <v/>
      </c>
      <c r="F1507" t="n">
        <v>32.8</v>
      </c>
      <c r="G1507" t="n">
        <v>189</v>
      </c>
      <c r="H1507" t="n">
        <v>4.09e-23</v>
      </c>
      <c r="I1507" t="inlineStr">
        <is>
          <t>TrEMBL</t>
        </is>
      </c>
      <c r="J1507" t="inlineStr"/>
      <c r="K1507" t="inlineStr">
        <is>
          <t>A0A087YS91_POEFO</t>
        </is>
      </c>
      <c r="L1507" t="inlineStr">
        <is>
          <t>tr|A0A087YS91|A0A087YS91_POEFO LINE-1 type transposase domain-containing protein 1 OS=Poecilia formosa OX=48698 PE=4 SV=1</t>
        </is>
      </c>
      <c r="M1507" t="n">
        <v>310</v>
      </c>
      <c r="N1507" t="inlineStr">
        <is>
          <t>Poecilia formosa</t>
        </is>
      </c>
      <c r="O1507" t="inlineStr">
        <is>
          <t>LINE-1 type transposase domain-containing protein 1</t>
        </is>
      </c>
    </row>
    <row r="1508">
      <c r="A1508" t="inlineStr"/>
      <c r="B1508" t="inlineStr"/>
      <c r="C1508" t="inlineStr"/>
      <c r="D1508" t="inlineStr"/>
      <c r="E1508">
        <f>HYPERLINK("https://www.ncbi.nlm.nih.gov/gene/?term=KAI4806100.1", "KAI4806100.1")</f>
        <v/>
      </c>
      <c r="F1508" t="n">
        <v>30.1</v>
      </c>
      <c r="G1508" t="n">
        <v>193</v>
      </c>
      <c r="H1508" t="n">
        <v>6.819999999999999e-23</v>
      </c>
      <c r="I1508" t="inlineStr">
        <is>
          <t>Nr</t>
        </is>
      </c>
      <c r="J1508" t="inlineStr"/>
      <c r="K1508" t="inlineStr"/>
      <c r="L1508" t="inlineStr">
        <is>
          <t>KAI4806100.1 hypothetical protein KUCAC02_010684 [Chaenocephalus aceratus]</t>
        </is>
      </c>
      <c r="M1508" t="n">
        <v>269</v>
      </c>
      <c r="N1508" t="inlineStr">
        <is>
          <t>Chaenocephalus aceratus</t>
        </is>
      </c>
      <c r="O1508" t="inlineStr">
        <is>
          <t>hypothetical protein KUCAC02_010684</t>
        </is>
      </c>
    </row>
    <row r="1509">
      <c r="A1509" t="inlineStr"/>
      <c r="B1509" t="inlineStr"/>
      <c r="C1509" t="inlineStr"/>
      <c r="D1509" t="inlineStr"/>
      <c r="E1509">
        <f>HYPERLINK("https://www.uniprot.org/uniprotkb/A0A6G0IWV2/entry", "A0A6G0IWV2")</f>
        <v/>
      </c>
      <c r="F1509" t="n">
        <v>31.3</v>
      </c>
      <c r="G1509" t="n">
        <v>224</v>
      </c>
      <c r="H1509" t="n">
        <v>1.06e-22</v>
      </c>
      <c r="I1509" t="inlineStr">
        <is>
          <t>TrEMBL</t>
        </is>
      </c>
      <c r="J1509" t="inlineStr">
        <is>
          <t>D5F01_LYC04748</t>
        </is>
      </c>
      <c r="K1509" t="inlineStr">
        <is>
          <t>A0A6G0IWV2_LARCR</t>
        </is>
      </c>
      <c r="L1509" t="inlineStr">
        <is>
          <t>tr|A0A6G0IWV2|A0A6G0IWV2_LARCR Transposase_22 domain-containing protein OS=Larimichthys crocea OX=215358 GN=D5F01_LYC04748 PE=4 SV=1</t>
        </is>
      </c>
      <c r="M1509" t="n">
        <v>289</v>
      </c>
      <c r="N1509" t="inlineStr">
        <is>
          <t>Larimichthys crocea</t>
        </is>
      </c>
      <c r="O1509" t="inlineStr">
        <is>
          <t>Transposase_22 domain-containing protein</t>
        </is>
      </c>
    </row>
    <row r="1510">
      <c r="A1510" t="inlineStr"/>
      <c r="B1510" t="inlineStr"/>
      <c r="C1510" t="inlineStr"/>
      <c r="D1510" t="inlineStr"/>
      <c r="E1510">
        <f>HYPERLINK("https://www.uniprot.org/uniprotkb/A0A6G0IR90/entry", "A0A6G0IR90")</f>
        <v/>
      </c>
      <c r="F1510" t="n">
        <v>30.8</v>
      </c>
      <c r="G1510" t="n">
        <v>224</v>
      </c>
      <c r="H1510" t="n">
        <v>1.59e-22</v>
      </c>
      <c r="I1510" t="inlineStr">
        <is>
          <t>TrEMBL</t>
        </is>
      </c>
      <c r="J1510" t="inlineStr">
        <is>
          <t>D5F01_LYC06708</t>
        </is>
      </c>
      <c r="K1510" t="inlineStr">
        <is>
          <t>A0A6G0IR90_LARCR</t>
        </is>
      </c>
      <c r="L1510" t="inlineStr">
        <is>
          <t>tr|A0A6G0IR90|A0A6G0IR90_LARCR LINE-1 type transposase domain-containing protein 1 ES cell-associated protein 11 OS=Larimichthys crocea OX=215358 GN=D5F01_LYC06708 PE=4 SV=1</t>
        </is>
      </c>
      <c r="M1510" t="n">
        <v>293</v>
      </c>
      <c r="N1510" t="inlineStr">
        <is>
          <t>Larimichthys crocea</t>
        </is>
      </c>
      <c r="O1510" t="inlineStr">
        <is>
          <t>LINE-1 type transposase domain-containing protein 1 ES cell-associated protein 11</t>
        </is>
      </c>
    </row>
    <row r="1511">
      <c r="A1511" t="inlineStr"/>
      <c r="B1511" t="inlineStr"/>
      <c r="C1511" t="inlineStr"/>
      <c r="D1511" t="inlineStr"/>
      <c r="E1511">
        <f>HYPERLINK("https://www.ncbi.nlm.nih.gov/gene/?term=KAE8295999.1", "KAE8295999.1")</f>
        <v/>
      </c>
      <c r="F1511" t="n">
        <v>31.3</v>
      </c>
      <c r="G1511" t="n">
        <v>224</v>
      </c>
      <c r="H1511" t="n">
        <v>2.72e-22</v>
      </c>
      <c r="I1511" t="inlineStr">
        <is>
          <t>Nr</t>
        </is>
      </c>
      <c r="J1511" t="inlineStr"/>
      <c r="K1511" t="inlineStr"/>
      <c r="L1511" t="inlineStr">
        <is>
          <t>KAE8295999.1 hypothetical protein D5F01_LYC04748 [Larimichthys crocea]</t>
        </is>
      </c>
      <c r="M1511" t="n">
        <v>289</v>
      </c>
      <c r="N1511" t="inlineStr">
        <is>
          <t>Larimichthys crocea</t>
        </is>
      </c>
      <c r="O1511" t="inlineStr">
        <is>
          <t>hypothetical protein D5F01_LYC04748</t>
        </is>
      </c>
    </row>
    <row r="1512">
      <c r="A1512" t="inlineStr"/>
      <c r="B1512" t="inlineStr"/>
      <c r="C1512" t="inlineStr"/>
      <c r="D1512" t="inlineStr"/>
      <c r="E1512">
        <f>HYPERLINK("https://www.uniprot.org/uniprotkb/A0A498P354/entry", "A0A498P354")</f>
        <v/>
      </c>
      <c r="F1512" t="n">
        <v>26.7</v>
      </c>
      <c r="G1512" t="n">
        <v>258</v>
      </c>
      <c r="H1512" t="n">
        <v>3.78e-22</v>
      </c>
      <c r="I1512" t="inlineStr">
        <is>
          <t>TrEMBL</t>
        </is>
      </c>
      <c r="J1512" t="inlineStr">
        <is>
          <t>ROHU_001201</t>
        </is>
      </c>
      <c r="K1512" t="inlineStr">
        <is>
          <t>A0A498P354_LABRO</t>
        </is>
      </c>
      <c r="L1512" t="inlineStr">
        <is>
          <t>tr|A0A498P354|A0A498P354_LABRO LINE-1 type transposase domain-containing 1 OS=Labeo rohita OX=84645 GN=ROHU_001201 PE=4 SV=1</t>
        </is>
      </c>
      <c r="M1512" t="n">
        <v>286</v>
      </c>
      <c r="N1512" t="inlineStr">
        <is>
          <t>Labeo rohita</t>
        </is>
      </c>
      <c r="O1512" t="inlineStr">
        <is>
          <t>LINE-1 type transposase domain-containing 1</t>
        </is>
      </c>
    </row>
    <row r="1513">
      <c r="A1513" t="inlineStr"/>
      <c r="B1513" t="inlineStr"/>
      <c r="C1513" t="inlineStr"/>
      <c r="D1513" t="inlineStr"/>
      <c r="E1513">
        <f>HYPERLINK("https://www.ncbi.nlm.nih.gov/gene/?term=KAE8293772.1", "KAE8293772.1")</f>
        <v/>
      </c>
      <c r="F1513" t="n">
        <v>30.8</v>
      </c>
      <c r="G1513" t="n">
        <v>224</v>
      </c>
      <c r="H1513" t="n">
        <v>4.08e-22</v>
      </c>
      <c r="I1513" t="inlineStr">
        <is>
          <t>Nr</t>
        </is>
      </c>
      <c r="J1513" t="inlineStr"/>
      <c r="K1513" t="inlineStr"/>
      <c r="L1513" t="inlineStr">
        <is>
          <t>KAE8293772.1 LINE-1 type transposase domain-containing protein 1 ES cell-associated protein 11 [Larimichthys crocea]</t>
        </is>
      </c>
      <c r="M1513" t="n">
        <v>293</v>
      </c>
      <c r="N1513" t="inlineStr">
        <is>
          <t>Larimichthys crocea</t>
        </is>
      </c>
      <c r="O1513" t="inlineStr">
        <is>
          <t>LINE-1 type transposase domain-containing protein 1 ES cell-associated protein 11</t>
        </is>
      </c>
    </row>
    <row r="1514">
      <c r="A1514" t="inlineStr"/>
      <c r="B1514" t="inlineStr"/>
      <c r="C1514" t="inlineStr"/>
      <c r="D1514" t="inlineStr"/>
      <c r="E1514">
        <f>HYPERLINK("https://www.uniprot.org/uniprotkb/A0A667ZPJ3/entry", "A0A667ZPJ3")</f>
        <v/>
      </c>
      <c r="F1514" t="n">
        <v>33.2</v>
      </c>
      <c r="G1514" t="n">
        <v>202</v>
      </c>
      <c r="H1514" t="n">
        <v>6.88e-22</v>
      </c>
      <c r="I1514" t="inlineStr">
        <is>
          <t>TrEMBL</t>
        </is>
      </c>
      <c r="J1514" t="inlineStr"/>
      <c r="K1514" t="inlineStr">
        <is>
          <t>A0A667ZPJ3_9TELE</t>
        </is>
      </c>
      <c r="L1514" t="inlineStr">
        <is>
          <t>tr|A0A667ZPJ3|A0A667ZPJ3_9TELE Transposase_22 domain-containing protein OS=Myripristis murdjan OX=586833 PE=4 SV=1</t>
        </is>
      </c>
      <c r="M1514" t="n">
        <v>265</v>
      </c>
      <c r="N1514" t="inlineStr">
        <is>
          <t>Myripristis murdjan</t>
        </is>
      </c>
      <c r="O1514" t="inlineStr">
        <is>
          <t>Transposase_22 domain-containing protein</t>
        </is>
      </c>
    </row>
    <row r="1515">
      <c r="A1515" t="inlineStr"/>
      <c r="B1515" t="inlineStr"/>
      <c r="C1515" t="inlineStr"/>
      <c r="D1515" t="inlineStr"/>
      <c r="E1515">
        <f>HYPERLINK("https://www.ncbi.nlm.nih.gov/gene/?term=KAI4800774.1", "KAI4800774.1")</f>
        <v/>
      </c>
      <c r="F1515" t="n">
        <v>30.1</v>
      </c>
      <c r="G1515" t="n">
        <v>193</v>
      </c>
      <c r="H1515" t="n">
        <v>9.63e-22</v>
      </c>
      <c r="I1515" t="inlineStr">
        <is>
          <t>Nr</t>
        </is>
      </c>
      <c r="J1515" t="inlineStr"/>
      <c r="K1515" t="inlineStr"/>
      <c r="L1515" t="inlineStr">
        <is>
          <t>KAI4800774.1 hypothetical protein KUCAC02_007072 [Chaenocephalus aceratus]</t>
        </is>
      </c>
      <c r="M1515" t="n">
        <v>268</v>
      </c>
      <c r="N1515" t="inlineStr">
        <is>
          <t>Chaenocephalus aceratus</t>
        </is>
      </c>
      <c r="O1515" t="inlineStr">
        <is>
          <t>hypothetical protein KUCAC02_007072</t>
        </is>
      </c>
    </row>
    <row r="1516">
      <c r="A1516" t="inlineStr"/>
      <c r="B1516" t="inlineStr"/>
      <c r="C1516" t="inlineStr"/>
      <c r="D1516" t="inlineStr"/>
      <c r="E1516">
        <f>HYPERLINK("https://www.ncbi.nlm.nih.gov/gene/?term=RXN14917.1", "RXN14917.1")</f>
        <v/>
      </c>
      <c r="F1516" t="n">
        <v>26.7</v>
      </c>
      <c r="G1516" t="n">
        <v>258</v>
      </c>
      <c r="H1516" t="n">
        <v>9.700000000000001e-22</v>
      </c>
      <c r="I1516" t="inlineStr">
        <is>
          <t>Nr</t>
        </is>
      </c>
      <c r="J1516" t="inlineStr"/>
      <c r="K1516" t="inlineStr"/>
      <c r="L1516" t="inlineStr">
        <is>
          <t>RXN14917.1 LINE-1 type transposase domain-containing 1 [Labeo rohita]</t>
        </is>
      </c>
      <c r="M1516" t="n">
        <v>286</v>
      </c>
      <c r="N1516" t="inlineStr">
        <is>
          <t>Labeo rohita</t>
        </is>
      </c>
      <c r="O1516" t="inlineStr">
        <is>
          <t>LINE-1 type transposase domain-containing 1</t>
        </is>
      </c>
    </row>
    <row r="1517">
      <c r="A1517" t="inlineStr"/>
      <c r="B1517" t="inlineStr"/>
      <c r="C1517" t="inlineStr"/>
      <c r="D1517" t="inlineStr"/>
      <c r="E1517">
        <f>HYPERLINK("https://www.uniprot.org/uniprotkb/A0A3B1JM17/entry", "A0A3B1JM17")</f>
        <v/>
      </c>
      <c r="F1517" t="n">
        <v>32.7</v>
      </c>
      <c r="G1517" t="n">
        <v>205</v>
      </c>
      <c r="H1517" t="n">
        <v>1.89e-21</v>
      </c>
      <c r="I1517" t="inlineStr">
        <is>
          <t>TrEMBL</t>
        </is>
      </c>
      <c r="J1517" t="inlineStr"/>
      <c r="K1517" t="inlineStr">
        <is>
          <t>A0A3B1JM17_ASTMX</t>
        </is>
      </c>
      <c r="L1517" t="inlineStr">
        <is>
          <t>tr|A0A3B1JM17|A0A3B1JM17_ASTMX Transposase_22 domain-containing protein OS=Astyanax mexicanus OX=7994 PE=4 SV=1</t>
        </is>
      </c>
      <c r="M1517" t="n">
        <v>233</v>
      </c>
      <c r="N1517" t="inlineStr">
        <is>
          <t>Astyanax mexicanus</t>
        </is>
      </c>
      <c r="O1517" t="inlineStr">
        <is>
          <t>Transposase_22 domain-containing protein</t>
        </is>
      </c>
    </row>
    <row r="1518">
      <c r="A1518" t="inlineStr"/>
      <c r="B1518" t="inlineStr"/>
      <c r="C1518" t="inlineStr"/>
      <c r="D1518" t="inlineStr"/>
      <c r="E1518">
        <f>HYPERLINK("https://www.ncbi.nlm.nih.gov/gene/?term=KAI4829097.1", "KAI4829097.1")</f>
        <v/>
      </c>
      <c r="F1518" t="n">
        <v>29</v>
      </c>
      <c r="G1518" t="n">
        <v>193</v>
      </c>
      <c r="H1518" t="n">
        <v>2.37e-21</v>
      </c>
      <c r="I1518" t="inlineStr">
        <is>
          <t>Nr</t>
        </is>
      </c>
      <c r="J1518" t="inlineStr"/>
      <c r="K1518" t="inlineStr"/>
      <c r="L1518" t="inlineStr">
        <is>
          <t>KAI4829097.1 hypothetical protein KUCAC02_023159 [Chaenocephalus aceratus]</t>
        </is>
      </c>
      <c r="M1518" t="n">
        <v>299</v>
      </c>
      <c r="N1518" t="inlineStr">
        <is>
          <t>Chaenocephalus aceratus</t>
        </is>
      </c>
      <c r="O1518" t="inlineStr">
        <is>
          <t>hypothetical protein KUCAC02_023159</t>
        </is>
      </c>
    </row>
    <row r="1519">
      <c r="A1519" t="inlineStr"/>
      <c r="B1519" t="inlineStr"/>
      <c r="C1519" t="inlineStr"/>
      <c r="D1519" t="inlineStr"/>
      <c r="E1519">
        <f>HYPERLINK("https://www.uniprot.org/uniprotkb/A0A3B1IJ19/entry", "A0A3B1IJ19")</f>
        <v/>
      </c>
      <c r="F1519" t="n">
        <v>30.7</v>
      </c>
      <c r="G1519" t="n">
        <v>231</v>
      </c>
      <c r="H1519" t="n">
        <v>2.75e-21</v>
      </c>
      <c r="I1519" t="inlineStr">
        <is>
          <t>TrEMBL</t>
        </is>
      </c>
      <c r="J1519" t="inlineStr"/>
      <c r="K1519" t="inlineStr">
        <is>
          <t>A0A3B1IJ19_ASTMX</t>
        </is>
      </c>
      <c r="L1519" t="inlineStr">
        <is>
          <t>tr|A0A3B1IJ19|A0A3B1IJ19_ASTMX Transposase_22 domain-containing protein OS=Astyanax mexicanus OX=7994 PE=4 SV=1</t>
        </is>
      </c>
      <c r="M1519" t="n">
        <v>268</v>
      </c>
      <c r="N1519" t="inlineStr">
        <is>
          <t>Astyanax mexicanus</t>
        </is>
      </c>
      <c r="O1519" t="inlineStr">
        <is>
          <t>Transposase_22 domain-containing protein</t>
        </is>
      </c>
    </row>
    <row r="1520">
      <c r="A1520" t="inlineStr"/>
      <c r="B1520" t="inlineStr"/>
      <c r="C1520" t="inlineStr"/>
      <c r="D1520" t="inlineStr"/>
      <c r="E1520">
        <f>HYPERLINK("https://www.uniprot.org/uniprotkb/A0A3B1JBE8/entry", "A0A3B1JBE8")</f>
        <v/>
      </c>
      <c r="F1520" t="n">
        <v>39.2</v>
      </c>
      <c r="G1520" t="n">
        <v>148</v>
      </c>
      <c r="H1520" t="n">
        <v>4.47e-21</v>
      </c>
      <c r="I1520" t="inlineStr">
        <is>
          <t>TrEMBL</t>
        </is>
      </c>
      <c r="J1520" t="inlineStr"/>
      <c r="K1520" t="inlineStr">
        <is>
          <t>A0A3B1JBE8_ASTMX</t>
        </is>
      </c>
      <c r="L1520" t="inlineStr">
        <is>
          <t>tr|A0A3B1JBE8|A0A3B1JBE8_ASTMX LINE-1 type transposase domain-containing protein 1 OS=Astyanax mexicanus OX=7994 PE=4 SV=1</t>
        </is>
      </c>
      <c r="M1520" t="n">
        <v>315</v>
      </c>
      <c r="N1520" t="inlineStr">
        <is>
          <t>Astyanax mexicanus</t>
        </is>
      </c>
      <c r="O1520" t="inlineStr">
        <is>
          <t>LINE-1 type transposase domain-containing protein 1</t>
        </is>
      </c>
    </row>
    <row r="1521">
      <c r="A1521" t="inlineStr"/>
      <c r="B1521" t="inlineStr"/>
      <c r="C1521" t="inlineStr"/>
      <c r="D1521" t="inlineStr"/>
      <c r="E1521">
        <f>HYPERLINK("https://www.uniprot.org/uniprotkb/A0A3Q1G7Q7/entry", "A0A3Q1G7Q7")</f>
        <v/>
      </c>
      <c r="F1521" t="n">
        <v>30.9</v>
      </c>
      <c r="G1521" t="n">
        <v>181</v>
      </c>
      <c r="H1521" t="n">
        <v>7.25e-21</v>
      </c>
      <c r="I1521" t="inlineStr">
        <is>
          <t>TrEMBL</t>
        </is>
      </c>
      <c r="J1521" t="inlineStr"/>
      <c r="K1521" t="inlineStr">
        <is>
          <t>A0A3Q1G7Q7_9TELE</t>
        </is>
      </c>
      <c r="L1521" t="inlineStr">
        <is>
          <t>tr|A0A3Q1G7Q7|A0A3Q1G7Q7_9TELE Transposase_22 domain-containing protein OS=Acanthochromis polyacanthus OX=80966 PE=4 SV=1</t>
        </is>
      </c>
      <c r="M1521" t="n">
        <v>218</v>
      </c>
      <c r="N1521" t="inlineStr">
        <is>
          <t>Acanthochromis polyacanthus</t>
        </is>
      </c>
      <c r="O1521" t="inlineStr">
        <is>
          <t>Transposase_22 domain-containing protein</t>
        </is>
      </c>
    </row>
    <row r="1522">
      <c r="A1522" t="inlineStr"/>
      <c r="B1522" t="inlineStr"/>
      <c r="C1522" t="inlineStr"/>
      <c r="D1522" t="inlineStr"/>
      <c r="E1522">
        <f>HYPERLINK("https://www.ncbi.nlm.nih.gov/gene/?term=KAI4803776.1", "KAI4803776.1")</f>
        <v/>
      </c>
      <c r="F1522" t="n">
        <v>28.9</v>
      </c>
      <c r="G1522" t="n">
        <v>187</v>
      </c>
      <c r="H1522" t="n">
        <v>1.19e-20</v>
      </c>
      <c r="I1522" t="inlineStr">
        <is>
          <t>Nr</t>
        </is>
      </c>
      <c r="J1522" t="inlineStr"/>
      <c r="K1522" t="inlineStr"/>
      <c r="L1522" t="inlineStr">
        <is>
          <t>KAI4803776.1 hypothetical protein KUCAC02_025424 [Chaenocephalus aceratus]</t>
        </is>
      </c>
      <c r="M1522" t="n">
        <v>297</v>
      </c>
      <c r="N1522" t="inlineStr">
        <is>
          <t>Chaenocephalus aceratus</t>
        </is>
      </c>
      <c r="O1522" t="inlineStr">
        <is>
          <t>hypothetical protein KUCAC02_025424</t>
        </is>
      </c>
    </row>
    <row r="1523">
      <c r="A1523" t="inlineStr"/>
      <c r="B1523" t="inlineStr"/>
      <c r="C1523" t="inlineStr"/>
      <c r="D1523" t="inlineStr"/>
      <c r="E1523">
        <f>HYPERLINK("https://www.uniprot.org/uniprotkb/A0A3Q0RW42/entry", "A0A3Q0RW42")</f>
        <v/>
      </c>
      <c r="F1523" t="n">
        <v>31.6</v>
      </c>
      <c r="G1523" t="n">
        <v>171</v>
      </c>
      <c r="H1523" t="n">
        <v>1.21e-20</v>
      </c>
      <c r="I1523" t="inlineStr">
        <is>
          <t>TrEMBL</t>
        </is>
      </c>
      <c r="J1523" t="inlineStr"/>
      <c r="K1523" t="inlineStr">
        <is>
          <t>A0A3Q0RW42_AMPCI</t>
        </is>
      </c>
      <c r="L1523" t="inlineStr">
        <is>
          <t>tr|A0A3Q0RW42|A0A3Q0RW42_AMPCI Transposase_22 domain-containing protein OS=Amphilophus citrinellus OX=61819 PE=4 SV=1</t>
        </is>
      </c>
      <c r="M1523" t="n">
        <v>226</v>
      </c>
      <c r="N1523" t="inlineStr">
        <is>
          <t>Amphilophus citrinellus</t>
        </is>
      </c>
      <c r="O1523" t="inlineStr">
        <is>
          <t>Transposase_22 domain-containing protein</t>
        </is>
      </c>
    </row>
    <row r="1524">
      <c r="A1524" t="inlineStr"/>
      <c r="B1524" t="inlineStr"/>
      <c r="C1524" t="inlineStr"/>
      <c r="D1524" t="inlineStr"/>
      <c r="E1524">
        <f>HYPERLINK("https://www.uniprot.org/uniprotkb/A0A3Q3B2H1/entry", "A0A3Q3B2H1")</f>
        <v/>
      </c>
      <c r="F1524" t="n">
        <v>29.2</v>
      </c>
      <c r="G1524" t="n">
        <v>192</v>
      </c>
      <c r="H1524" t="n">
        <v>1.21e-20</v>
      </c>
      <c r="I1524" t="inlineStr">
        <is>
          <t>TrEMBL</t>
        </is>
      </c>
      <c r="J1524" t="inlineStr"/>
      <c r="K1524" t="inlineStr">
        <is>
          <t>A0A3Q3B2H1_KRYMA</t>
        </is>
      </c>
      <c r="L1524" t="inlineStr">
        <is>
          <t>tr|A0A3Q3B2H1|A0A3Q3B2H1_KRYMA LINE-1 type transposase domain-containing protein 1 OS=Kryptolebias marmoratus OX=37003 PE=4 SV=1</t>
        </is>
      </c>
      <c r="M1524" t="n">
        <v>211</v>
      </c>
      <c r="N1524" t="inlineStr">
        <is>
          <t>Kryptolebias marmoratus</t>
        </is>
      </c>
      <c r="O1524" t="inlineStr">
        <is>
          <t>LINE-1 type transposase domain-containing protein 1</t>
        </is>
      </c>
    </row>
    <row r="1525">
      <c r="A1525" t="inlineStr"/>
      <c r="B1525" t="inlineStr"/>
      <c r="C1525" t="inlineStr"/>
      <c r="D1525" t="inlineStr"/>
      <c r="E1525">
        <f>HYPERLINK("https://www.uniprot.org/uniprotkb/A0A3B4E2R8/entry", "A0A3B4E2R8")</f>
        <v/>
      </c>
      <c r="F1525" t="n">
        <v>32</v>
      </c>
      <c r="G1525" t="n">
        <v>169</v>
      </c>
      <c r="H1525" t="n">
        <v>1.29e-20</v>
      </c>
      <c r="I1525" t="inlineStr">
        <is>
          <t>TrEMBL</t>
        </is>
      </c>
      <c r="J1525" t="inlineStr"/>
      <c r="K1525" t="inlineStr">
        <is>
          <t>A0A3B4E2R8_PYGNA</t>
        </is>
      </c>
      <c r="L1525" t="inlineStr">
        <is>
          <t>tr|A0A3B4E2R8|A0A3B4E2R8_PYGNA Transposase_22 domain-containing protein OS=Pygocentrus nattereri OX=42514 PE=4 SV=1</t>
        </is>
      </c>
      <c r="M1525" t="n">
        <v>229</v>
      </c>
      <c r="N1525" t="inlineStr">
        <is>
          <t>Pygocentrus nattereri</t>
        </is>
      </c>
      <c r="O1525" t="inlineStr">
        <is>
          <t>Transposase_22 domain-containing protein</t>
        </is>
      </c>
    </row>
    <row r="1526">
      <c r="A1526" t="inlineStr"/>
      <c r="B1526" t="inlineStr"/>
      <c r="C1526" t="inlineStr"/>
      <c r="D1526" t="inlineStr"/>
      <c r="E1526">
        <f>HYPERLINK("https://www.uniprot.org/uniprotkb/A0A6P7WPH6/entry", "A0A6P7WPH6")</f>
        <v/>
      </c>
      <c r="F1526" t="n">
        <v>33.2</v>
      </c>
      <c r="G1526" t="n">
        <v>208</v>
      </c>
      <c r="H1526" t="n">
        <v>1.75e-20</v>
      </c>
      <c r="I1526" t="inlineStr">
        <is>
          <t>TrEMBL</t>
        </is>
      </c>
      <c r="J1526" t="inlineStr">
        <is>
          <t>LOC115459407</t>
        </is>
      </c>
      <c r="K1526" t="inlineStr">
        <is>
          <t>A0A6P7WPH6_9AMPH</t>
        </is>
      </c>
      <c r="L1526" t="inlineStr">
        <is>
          <t>tr|A0A6P7WPH6|A0A6P7WPH6_9AMPH obscurin-like protein 1 OS=Microcaecilia unicolor OX=1415580 GN=LOC115459407 PE=4 SV=1</t>
        </is>
      </c>
      <c r="M1526" t="n">
        <v>1342</v>
      </c>
      <c r="N1526" t="inlineStr">
        <is>
          <t>Microcaecilia unicolor</t>
        </is>
      </c>
      <c r="O1526" t="inlineStr">
        <is>
          <t>obscurin-like protein 1</t>
        </is>
      </c>
    </row>
    <row r="1527">
      <c r="A1527" t="inlineStr"/>
      <c r="B1527" t="inlineStr"/>
      <c r="C1527" t="inlineStr"/>
      <c r="D1527" t="inlineStr"/>
      <c r="E1527">
        <f>HYPERLINK("https://www.uniprot.org/uniprotkb/A0A668RRU2/entry", "A0A668RRU2")</f>
        <v/>
      </c>
      <c r="F1527" t="n">
        <v>30</v>
      </c>
      <c r="G1527" t="n">
        <v>200</v>
      </c>
      <c r="H1527" t="n">
        <v>2.7e-20</v>
      </c>
      <c r="I1527" t="inlineStr">
        <is>
          <t>TrEMBL</t>
        </is>
      </c>
      <c r="J1527" t="inlineStr"/>
      <c r="K1527" t="inlineStr">
        <is>
          <t>A0A668RRU2_OREAU</t>
        </is>
      </c>
      <c r="L1527" t="inlineStr">
        <is>
          <t>tr|A0A668RRU2|A0A668RRU2_OREAU LINE-1 type transposase domain-containing protein 1 OS=Oreochromis aureus OX=47969 PE=4 SV=1</t>
        </is>
      </c>
      <c r="M1527" t="n">
        <v>350</v>
      </c>
      <c r="N1527" t="inlineStr">
        <is>
          <t>Oreochromis aureus</t>
        </is>
      </c>
      <c r="O1527" t="inlineStr">
        <is>
          <t>LINE-1 type transposase domain-containing protein 1</t>
        </is>
      </c>
    </row>
    <row r="1528">
      <c r="A1528" t="inlineStr"/>
      <c r="B1528" t="inlineStr"/>
      <c r="C1528" t="inlineStr"/>
      <c r="D1528" t="inlineStr"/>
      <c r="E1528">
        <f>HYPERLINK("https://www.uniprot.org/uniprotkb/A0A3Q0SKN6/entry", "A0A3Q0SKN6")</f>
        <v/>
      </c>
      <c r="F1528" t="n">
        <v>31.6</v>
      </c>
      <c r="G1528" t="n">
        <v>171</v>
      </c>
      <c r="H1528" t="n">
        <v>3.72e-20</v>
      </c>
      <c r="I1528" t="inlineStr">
        <is>
          <t>TrEMBL</t>
        </is>
      </c>
      <c r="J1528" t="inlineStr"/>
      <c r="K1528" t="inlineStr">
        <is>
          <t>A0A3Q0SKN6_AMPCI</t>
        </is>
      </c>
      <c r="L1528" t="inlineStr">
        <is>
          <t>tr|A0A3Q0SKN6|A0A3Q0SKN6_AMPCI Transposase_22 domain-containing protein OS=Amphilophus citrinellus OX=61819 PE=4 SV=1</t>
        </is>
      </c>
      <c r="M1528" t="n">
        <v>284</v>
      </c>
      <c r="N1528" t="inlineStr">
        <is>
          <t>Amphilophus citrinellus</t>
        </is>
      </c>
      <c r="O1528" t="inlineStr">
        <is>
          <t>Transposase_22 domain-containing protein</t>
        </is>
      </c>
    </row>
    <row r="1529">
      <c r="A1529" t="inlineStr"/>
      <c r="B1529" t="inlineStr"/>
      <c r="C1529" t="inlineStr"/>
      <c r="D1529" t="inlineStr"/>
      <c r="E1529">
        <f>HYPERLINK("https://www.ncbi.nlm.nih.gov/gene/?term=XP_030045097.1", "XP_030045097.1")</f>
        <v/>
      </c>
      <c r="F1529" t="n">
        <v>33.2</v>
      </c>
      <c r="G1529" t="n">
        <v>208</v>
      </c>
      <c r="H1529" t="n">
        <v>4.49e-20</v>
      </c>
      <c r="I1529" t="inlineStr">
        <is>
          <t>Nr</t>
        </is>
      </c>
      <c r="J1529" t="inlineStr"/>
      <c r="K1529" t="inlineStr"/>
      <c r="L1529" t="inlineStr">
        <is>
          <t>XP_030045097.1 obscurin-like protein 1, partial [Microcaecilia unicolor]</t>
        </is>
      </c>
      <c r="M1529" t="n">
        <v>1342</v>
      </c>
      <c r="N1529" t="inlineStr">
        <is>
          <t>Microcaecilia unicolor</t>
        </is>
      </c>
      <c r="O1529" t="inlineStr">
        <is>
          <t>obscurin-like protein 1, partial</t>
        </is>
      </c>
    </row>
    <row r="1530">
      <c r="A1530" t="inlineStr"/>
      <c r="B1530" t="inlineStr"/>
      <c r="C1530" t="inlineStr"/>
      <c r="D1530" t="inlineStr"/>
      <c r="E1530">
        <f>HYPERLINK("https://www.uniprot.org/uniprotkb/A0A3P8S1B4/entry", "A0A3P8S1B4")</f>
        <v/>
      </c>
      <c r="F1530" t="n">
        <v>38.6</v>
      </c>
      <c r="G1530" t="n">
        <v>153</v>
      </c>
      <c r="H1530" t="n">
        <v>6.54e-20</v>
      </c>
      <c r="I1530" t="inlineStr">
        <is>
          <t>TrEMBL</t>
        </is>
      </c>
      <c r="J1530" t="inlineStr"/>
      <c r="K1530" t="inlineStr">
        <is>
          <t>A0A3P8S1B4_AMPPE</t>
        </is>
      </c>
      <c r="L1530" t="inlineStr">
        <is>
          <t>tr|A0A3P8S1B4|A0A3P8S1B4_AMPPE Transposase_22 domain-containing protein OS=Amphiprion percula OX=161767 PE=4 SV=1</t>
        </is>
      </c>
      <c r="M1530" t="n">
        <v>370</v>
      </c>
      <c r="N1530" t="inlineStr">
        <is>
          <t>Amphiprion percula</t>
        </is>
      </c>
      <c r="O1530" t="inlineStr">
        <is>
          <t>Transposase_22 domain-containing protein</t>
        </is>
      </c>
    </row>
    <row r="1531">
      <c r="A1531" t="inlineStr"/>
      <c r="B1531" t="inlineStr"/>
      <c r="C1531" t="inlineStr"/>
      <c r="D1531" t="inlineStr"/>
      <c r="E1531">
        <f>HYPERLINK("https://www.uniprot.org/uniprotkb/A0A3B1KKH3/entry", "A0A3B1KKH3")</f>
        <v/>
      </c>
      <c r="F1531" t="n">
        <v>32.8</v>
      </c>
      <c r="G1531" t="n">
        <v>192</v>
      </c>
      <c r="H1531" t="n">
        <v>7.269999999999999e-20</v>
      </c>
      <c r="I1531" t="inlineStr">
        <is>
          <t>TrEMBL</t>
        </is>
      </c>
      <c r="J1531" t="inlineStr"/>
      <c r="K1531" t="inlineStr">
        <is>
          <t>A0A3B1KKH3_ASTMX</t>
        </is>
      </c>
      <c r="L1531" t="inlineStr">
        <is>
          <t>tr|A0A3B1KKH3|A0A3B1KKH3_ASTMX Transposase_22 domain-containing protein OS=Astyanax mexicanus OX=7994 PE=4 SV=1</t>
        </is>
      </c>
      <c r="M1531" t="n">
        <v>232</v>
      </c>
      <c r="N1531" t="inlineStr">
        <is>
          <t>Astyanax mexicanus</t>
        </is>
      </c>
      <c r="O1531" t="inlineStr">
        <is>
          <t>Transposase_22 domain-containing protein</t>
        </is>
      </c>
    </row>
    <row r="1532">
      <c r="A1532" t="inlineStr"/>
      <c r="B1532" t="inlineStr"/>
      <c r="C1532" t="inlineStr"/>
      <c r="D1532" t="inlineStr"/>
      <c r="E1532">
        <f>HYPERLINK("https://www.uniprot.org/uniprotkb/A0A3Q3ASQ0/entry", "A0A3Q3ASQ0")</f>
        <v/>
      </c>
      <c r="F1532" t="n">
        <v>32.3</v>
      </c>
      <c r="G1532" t="n">
        <v>192</v>
      </c>
      <c r="H1532" t="n">
        <v>7.87e-20</v>
      </c>
      <c r="I1532" t="inlineStr">
        <is>
          <t>TrEMBL</t>
        </is>
      </c>
      <c r="J1532" t="inlineStr"/>
      <c r="K1532" t="inlineStr">
        <is>
          <t>A0A3Q3ASQ0_KRYMA</t>
        </is>
      </c>
      <c r="L1532" t="inlineStr">
        <is>
          <t>tr|A0A3Q3ASQ0|A0A3Q3ASQ0_KRYMA Transposase_22 domain-containing protein OS=Kryptolebias marmoratus OX=37003 PE=4 SV=1</t>
        </is>
      </c>
      <c r="M1532" t="n">
        <v>220</v>
      </c>
      <c r="N1532" t="inlineStr">
        <is>
          <t>Kryptolebias marmoratus</t>
        </is>
      </c>
      <c r="O1532" t="inlineStr">
        <is>
          <t>Transposase_22 domain-containing protein</t>
        </is>
      </c>
    </row>
    <row r="1533">
      <c r="A1533" t="inlineStr"/>
      <c r="B1533" t="inlineStr"/>
      <c r="C1533" t="inlineStr"/>
      <c r="D1533" t="inlineStr"/>
      <c r="E1533">
        <f>HYPERLINK("https://www.uniprot.org/uniprotkb/A0A8C5WKG5/entry", "A0A8C5WKG5")</f>
        <v/>
      </c>
      <c r="F1533" t="n">
        <v>34.4</v>
      </c>
      <c r="G1533" t="n">
        <v>151</v>
      </c>
      <c r="H1533" t="n">
        <v>8e-20</v>
      </c>
      <c r="I1533" t="inlineStr">
        <is>
          <t>TrEMBL</t>
        </is>
      </c>
      <c r="J1533" t="inlineStr"/>
      <c r="K1533" t="inlineStr">
        <is>
          <t>A0A8C5WKG5_9ANUR</t>
        </is>
      </c>
      <c r="L1533" t="inlineStr">
        <is>
          <t>tr|A0A8C5WKG5|A0A8C5WKG5_9ANUR Tick transposon OS=Leptobrachium leishanense OX=445787 PE=4 SV=1</t>
        </is>
      </c>
      <c r="M1533" t="n">
        <v>311</v>
      </c>
      <c r="N1533" t="inlineStr">
        <is>
          <t>Leptobrachium leishanense</t>
        </is>
      </c>
      <c r="O1533" t="inlineStr">
        <is>
          <t>Tick transposon</t>
        </is>
      </c>
    </row>
    <row r="1534">
      <c r="A1534" t="inlineStr"/>
      <c r="B1534" t="inlineStr"/>
      <c r="C1534" t="inlineStr"/>
      <c r="D1534" t="inlineStr"/>
      <c r="E1534">
        <f>HYPERLINK("https://www.ncbi.nlm.nih.gov/gene/?term=KAG8551097.1", "KAG8551097.1")</f>
        <v/>
      </c>
      <c r="F1534" t="n">
        <v>31.2</v>
      </c>
      <c r="G1534" t="n">
        <v>250</v>
      </c>
      <c r="H1534" t="n">
        <v>1.22e-19</v>
      </c>
      <c r="I1534" t="inlineStr">
        <is>
          <t>Nr</t>
        </is>
      </c>
      <c r="J1534" t="inlineStr"/>
      <c r="K1534" t="inlineStr"/>
      <c r="L1534" t="inlineStr">
        <is>
          <t>KAG8551097.1 hypothetical protein GDO81_018460 [Engystomops pustulosus]</t>
        </is>
      </c>
      <c r="M1534" t="n">
        <v>370</v>
      </c>
      <c r="N1534" t="inlineStr">
        <is>
          <t>Engystomops pustulosus</t>
        </is>
      </c>
      <c r="O1534" t="inlineStr">
        <is>
          <t>hypothetical protein GDO81_018460</t>
        </is>
      </c>
    </row>
    <row r="1535">
      <c r="A1535" t="inlineStr"/>
      <c r="B1535" t="inlineStr"/>
      <c r="C1535" t="inlineStr"/>
      <c r="D1535" t="inlineStr"/>
      <c r="E1535">
        <f>HYPERLINK("https://www.ncbi.nlm.nih.gov/gene/?term=KAI4879707.1", "KAI4879707.1")</f>
        <v/>
      </c>
      <c r="F1535" t="n">
        <v>32.2</v>
      </c>
      <c r="G1535" t="n">
        <v>180</v>
      </c>
      <c r="H1535" t="n">
        <v>3.06e-19</v>
      </c>
      <c r="I1535" t="inlineStr">
        <is>
          <t>Nr</t>
        </is>
      </c>
      <c r="J1535" t="inlineStr"/>
      <c r="K1535" t="inlineStr"/>
      <c r="L1535" t="inlineStr">
        <is>
          <t>KAI4879707.1 hypothetical protein NFI96_001810 [Prochilodus magdalenae]</t>
        </is>
      </c>
      <c r="M1535" t="n">
        <v>257</v>
      </c>
      <c r="N1535" t="inlineStr">
        <is>
          <t>Prochilodus magdalenae</t>
        </is>
      </c>
      <c r="O1535" t="inlineStr">
        <is>
          <t>hypothetical protein NFI96_001810</t>
        </is>
      </c>
    </row>
    <row r="1536">
      <c r="A1536" t="inlineStr"/>
      <c r="B1536" t="inlineStr"/>
      <c r="C1536" t="inlineStr"/>
      <c r="D1536" t="inlineStr"/>
      <c r="E1536">
        <f>HYPERLINK("https://www.ncbi.nlm.nih.gov/gene/?term=OCT80128.1", "OCT80128.1")</f>
        <v/>
      </c>
      <c r="F1536" t="n">
        <v>36.3</v>
      </c>
      <c r="G1536" t="n">
        <v>171</v>
      </c>
      <c r="H1536" t="n">
        <v>4.33e-19</v>
      </c>
      <c r="I1536" t="inlineStr">
        <is>
          <t>Nr</t>
        </is>
      </c>
      <c r="J1536" t="inlineStr"/>
      <c r="K1536" t="inlineStr"/>
      <c r="L1536" t="inlineStr">
        <is>
          <t>OCT80128.1 hypothetical protein XELAEV_18026937mg [Xenopus laevis]</t>
        </is>
      </c>
      <c r="M1536" t="n">
        <v>209</v>
      </c>
      <c r="N1536" t="inlineStr">
        <is>
          <t>Xenopus laevis</t>
        </is>
      </c>
      <c r="O1536" t="inlineStr">
        <is>
          <t>hypothetical protein XELAEV_18026937mg</t>
        </is>
      </c>
    </row>
    <row r="1537">
      <c r="A1537" t="inlineStr"/>
      <c r="B1537" t="inlineStr"/>
      <c r="C1537" t="inlineStr"/>
      <c r="D1537" t="inlineStr"/>
      <c r="E1537">
        <f>HYPERLINK("https://www.ncbi.nlm.nih.gov/gene/?term=KAI2645847.1", "KAI2645847.1")</f>
        <v/>
      </c>
      <c r="F1537" t="n">
        <v>32.8</v>
      </c>
      <c r="G1537" t="n">
        <v>186</v>
      </c>
      <c r="H1537" t="n">
        <v>7.79e-19</v>
      </c>
      <c r="I1537" t="inlineStr">
        <is>
          <t>Nr</t>
        </is>
      </c>
      <c r="J1537" t="inlineStr"/>
      <c r="K1537" t="inlineStr"/>
      <c r="L1537" t="inlineStr">
        <is>
          <t>KAI2645847.1 LINE-1 type transposase domain-containing protein 1 [Labeo rohita]</t>
        </is>
      </c>
      <c r="M1537" t="n">
        <v>272</v>
      </c>
      <c r="N1537" t="inlineStr">
        <is>
          <t>Labeo rohita</t>
        </is>
      </c>
      <c r="O1537" t="inlineStr">
        <is>
          <t>LINE-1 type transposase domain-containing protein 1</t>
        </is>
      </c>
    </row>
    <row r="1538">
      <c r="A1538" t="inlineStr"/>
      <c r="B1538" t="inlineStr"/>
      <c r="C1538" t="inlineStr"/>
      <c r="D1538" t="inlineStr"/>
      <c r="E1538">
        <f>HYPERLINK("https://www.ncbi.nlm.nih.gov/gene/?term=CAI5668473.1", "CAI5668473.1")</f>
        <v/>
      </c>
      <c r="F1538" t="n">
        <v>27.8</v>
      </c>
      <c r="G1538" t="n">
        <v>223</v>
      </c>
      <c r="H1538" t="n">
        <v>9.34e-19</v>
      </c>
      <c r="I1538" t="inlineStr">
        <is>
          <t>Nr</t>
        </is>
      </c>
      <c r="J1538" t="inlineStr"/>
      <c r="K1538" t="inlineStr"/>
      <c r="L1538" t="inlineStr">
        <is>
          <t>CAI5668473.1 unnamed protein product [Mustela putorius furo]</t>
        </is>
      </c>
      <c r="M1538" t="n">
        <v>246</v>
      </c>
      <c r="N1538" t="inlineStr">
        <is>
          <t>Mustela putorius furo</t>
        </is>
      </c>
      <c r="O1538" t="inlineStr">
        <is>
          <t>unnamed protein product</t>
        </is>
      </c>
    </row>
    <row r="1539">
      <c r="A1539" t="inlineStr"/>
      <c r="B1539" t="inlineStr"/>
      <c r="C1539" t="inlineStr"/>
      <c r="D1539" t="inlineStr"/>
      <c r="E1539">
        <f>HYPERLINK("https://www.ncbi.nlm.nih.gov/gene/?term=RXN23943.1", "RXN23943.1")</f>
        <v/>
      </c>
      <c r="F1539" t="n">
        <v>29.5</v>
      </c>
      <c r="G1539" t="n">
        <v>200</v>
      </c>
      <c r="H1539" t="n">
        <v>9.85e-19</v>
      </c>
      <c r="I1539" t="inlineStr">
        <is>
          <t>Nr</t>
        </is>
      </c>
      <c r="J1539" t="inlineStr"/>
      <c r="K1539" t="inlineStr"/>
      <c r="L1539" t="inlineStr">
        <is>
          <t>RXN23943.1 LINE-1 type transposase domain-containing 1 [Labeo rohita]</t>
        </is>
      </c>
      <c r="M1539" t="n">
        <v>232</v>
      </c>
      <c r="N1539" t="inlineStr">
        <is>
          <t>Labeo rohita</t>
        </is>
      </c>
      <c r="O1539" t="inlineStr">
        <is>
          <t>LINE-1 type transposase domain-containing 1</t>
        </is>
      </c>
    </row>
    <row r="1540">
      <c r="A1540" t="inlineStr"/>
      <c r="B1540" t="inlineStr"/>
      <c r="C1540" t="inlineStr"/>
      <c r="D1540" t="inlineStr"/>
      <c r="E1540">
        <f>HYPERLINK("https://www.ncbi.nlm.nih.gov/gene/?term=RXN11652.1", "RXN11652.1")</f>
        <v/>
      </c>
      <c r="F1540" t="n">
        <v>27.7</v>
      </c>
      <c r="G1540" t="n">
        <v>195</v>
      </c>
      <c r="H1540" t="n">
        <v>1.07e-18</v>
      </c>
      <c r="I1540" t="inlineStr">
        <is>
          <t>Nr</t>
        </is>
      </c>
      <c r="J1540" t="inlineStr"/>
      <c r="K1540" t="inlineStr"/>
      <c r="L1540" t="inlineStr">
        <is>
          <t>RXN11652.1 LINE-1 type transposase domain-containing 1 [Labeo rohita]</t>
        </is>
      </c>
      <c r="M1540" t="n">
        <v>291</v>
      </c>
      <c r="N1540" t="inlineStr">
        <is>
          <t>Labeo rohita</t>
        </is>
      </c>
      <c r="O1540" t="inlineStr">
        <is>
          <t>LINE-1 type transposase domain-containing 1</t>
        </is>
      </c>
    </row>
    <row r="1541">
      <c r="A1541" t="inlineStr"/>
      <c r="B1541" t="inlineStr"/>
      <c r="C1541" t="inlineStr"/>
      <c r="D1541" t="inlineStr"/>
      <c r="E1541">
        <f>HYPERLINK("https://www.ncbi.nlm.nih.gov/gene/?term=ROI15281.1", "ROI15281.1")</f>
        <v/>
      </c>
      <c r="F1541" t="n">
        <v>26.9</v>
      </c>
      <c r="G1541" t="n">
        <v>219</v>
      </c>
      <c r="H1541" t="n">
        <v>1.28e-18</v>
      </c>
      <c r="I1541" t="inlineStr">
        <is>
          <t>Nr</t>
        </is>
      </c>
      <c r="J1541" t="inlineStr"/>
      <c r="K1541" t="inlineStr"/>
      <c r="L1541" t="inlineStr">
        <is>
          <t>ROI15281.1 LINE-1 retrotransposable element ORF1 protein [Anabarilius grahami]</t>
        </is>
      </c>
      <c r="M1541" t="n">
        <v>282</v>
      </c>
      <c r="N1541" t="inlineStr">
        <is>
          <t>Anabarilius grahami</t>
        </is>
      </c>
      <c r="O1541" t="inlineStr">
        <is>
          <t>LINE-1 retrotransposable element ORF1 protein</t>
        </is>
      </c>
    </row>
    <row r="1542">
      <c r="A1542" t="inlineStr"/>
      <c r="B1542" t="inlineStr"/>
      <c r="C1542" t="inlineStr"/>
      <c r="D1542" t="inlineStr"/>
      <c r="E1542">
        <f>HYPERLINK("https://www.ncbi.nlm.nih.gov/gene/?term=KAJ1142641.1", "KAJ1142641.1")</f>
        <v/>
      </c>
      <c r="F1542" t="n">
        <v>30.3</v>
      </c>
      <c r="G1542" t="n">
        <v>238</v>
      </c>
      <c r="H1542" t="n">
        <v>1.61e-18</v>
      </c>
      <c r="I1542" t="inlineStr">
        <is>
          <t>Nr</t>
        </is>
      </c>
      <c r="J1542" t="inlineStr"/>
      <c r="K1542" t="inlineStr"/>
      <c r="L1542" t="inlineStr">
        <is>
          <t>KAJ1142641.1 hypothetical protein NDU88_008954 [Pleurodeles waltl]</t>
        </is>
      </c>
      <c r="M1542" t="n">
        <v>318</v>
      </c>
      <c r="N1542" t="inlineStr">
        <is>
          <t>Pleurodeles waltl</t>
        </is>
      </c>
      <c r="O1542" t="inlineStr">
        <is>
          <t>hypothetical protein NDU88_008954</t>
        </is>
      </c>
    </row>
    <row r="1543">
      <c r="A1543" t="inlineStr"/>
      <c r="B1543" t="inlineStr"/>
      <c r="C1543" t="inlineStr"/>
      <c r="D1543" t="inlineStr"/>
      <c r="E1543">
        <f>HYPERLINK("https://www.ncbi.nlm.nih.gov/gene/?term=KAI4800786.1", "KAI4800786.1")</f>
        <v/>
      </c>
      <c r="F1543" t="n">
        <v>28.9</v>
      </c>
      <c r="G1543" t="n">
        <v>190</v>
      </c>
      <c r="H1543" t="n">
        <v>1.69e-18</v>
      </c>
      <c r="I1543" t="inlineStr">
        <is>
          <t>Nr</t>
        </is>
      </c>
      <c r="J1543" t="inlineStr"/>
      <c r="K1543" t="inlineStr"/>
      <c r="L1543" t="inlineStr">
        <is>
          <t>KAI4800786.1 hypothetical protein KUCAC02_007084 [Chaenocephalus aceratus]</t>
        </is>
      </c>
      <c r="M1543" t="n">
        <v>226</v>
      </c>
      <c r="N1543" t="inlineStr">
        <is>
          <t>Chaenocephalus aceratus</t>
        </is>
      </c>
      <c r="O1543" t="inlineStr">
        <is>
          <t>hypothetical protein KUCAC02_007084</t>
        </is>
      </c>
    </row>
    <row r="1544">
      <c r="A1544" t="inlineStr"/>
      <c r="B1544" t="inlineStr"/>
      <c r="C1544" t="inlineStr"/>
      <c r="D1544" t="inlineStr"/>
      <c r="E1544">
        <f>HYPERLINK("https://www.ncbi.nlm.nih.gov/gene/?term=XP_033799899.1", "XP_033799899.1")</f>
        <v/>
      </c>
      <c r="F1544" t="n">
        <v>31.1</v>
      </c>
      <c r="G1544" t="n">
        <v>196</v>
      </c>
      <c r="H1544" t="n">
        <v>1.76e-18</v>
      </c>
      <c r="I1544" t="inlineStr">
        <is>
          <t>Nr</t>
        </is>
      </c>
      <c r="J1544" t="inlineStr"/>
      <c r="K1544" t="inlineStr"/>
      <c r="L1544" t="inlineStr">
        <is>
          <t>XP_033799899.1 uncharacterized protein LOC117360313 [Geotrypetes seraphini]</t>
        </is>
      </c>
      <c r="M1544" t="n">
        <v>1573</v>
      </c>
      <c r="N1544" t="inlineStr">
        <is>
          <t>Geotrypetes seraphini</t>
        </is>
      </c>
      <c r="O1544" t="inlineStr">
        <is>
          <t>uncharacterized protein LOC117360313</t>
        </is>
      </c>
    </row>
    <row r="1545">
      <c r="A1545" t="inlineStr"/>
      <c r="B1545" t="inlineStr"/>
      <c r="C1545" t="inlineStr"/>
      <c r="D1545" t="inlineStr"/>
      <c r="E1545">
        <f>HYPERLINK("https://www.uniprot.org/uniprotkb/P11260/entry", "P11260")</f>
        <v/>
      </c>
      <c r="F1545" t="n">
        <v>28.9</v>
      </c>
      <c r="G1545" t="n">
        <v>187</v>
      </c>
      <c r="H1545" t="n">
        <v>4.53e-14</v>
      </c>
      <c r="I1545" t="inlineStr">
        <is>
          <t>Swiss-Prot</t>
        </is>
      </c>
      <c r="J1545" t="inlineStr">
        <is>
          <t>Lire1</t>
        </is>
      </c>
      <c r="K1545" t="inlineStr">
        <is>
          <t>LORF1_MOUSE</t>
        </is>
      </c>
      <c r="L1545" t="inlineStr">
        <is>
          <t>sp|P11260|LORF1_MOUSE LINE-1 retrotransposable element ORF1 protein OS=Mus musculus OX=10090 GN=Lire1 PE=1 SV=2</t>
        </is>
      </c>
      <c r="M1545" t="n">
        <v>357</v>
      </c>
      <c r="N1545" t="inlineStr">
        <is>
          <t>Mus musculus</t>
        </is>
      </c>
      <c r="O1545" t="inlineStr">
        <is>
          <t>LINE-1 retrotransposable element ORF1 protein</t>
        </is>
      </c>
    </row>
    <row r="1546">
      <c r="A1546" t="inlineStr"/>
      <c r="B1546" t="inlineStr"/>
      <c r="C1546" t="inlineStr"/>
      <c r="D1546" t="inlineStr"/>
      <c r="E1546">
        <f>HYPERLINK("https://www.uniprot.org/uniprotkb/Q9UN81/entry", "Q9UN81")</f>
        <v/>
      </c>
      <c r="F1546" t="n">
        <v>26.1</v>
      </c>
      <c r="G1546" t="n">
        <v>153</v>
      </c>
      <c r="H1546" t="n">
        <v>2.95e-05</v>
      </c>
      <c r="I1546" t="inlineStr">
        <is>
          <t>Swiss-Prot</t>
        </is>
      </c>
      <c r="J1546" t="inlineStr">
        <is>
          <t>L1RE1</t>
        </is>
      </c>
      <c r="K1546" t="inlineStr">
        <is>
          <t>LORF1_HUMAN</t>
        </is>
      </c>
      <c r="L1546" t="inlineStr">
        <is>
          <t>sp|Q9UN81|LORF1_HUMAN LINE-1 retrotransposable element ORF1 protein OS=Homo sapiens OX=9606 GN=L1RE1 PE=1 SV=1</t>
        </is>
      </c>
      <c r="M1546" t="n">
        <v>338</v>
      </c>
      <c r="N1546" t="inlineStr">
        <is>
          <t>Homo sapiens</t>
        </is>
      </c>
      <c r="O1546" t="inlineStr">
        <is>
          <t>LINE-1 retrotransposable element ORF1 protein</t>
        </is>
      </c>
    </row>
    <row r="1547">
      <c r="A1547" t="inlineStr"/>
      <c r="B1547" t="inlineStr"/>
      <c r="C1547" t="inlineStr"/>
      <c r="D1547" t="inlineStr"/>
      <c r="E1547">
        <f>HYPERLINK("https://www.uniprot.org/uniprotkb/Q587J6/entry", "Q587J6")</f>
        <v/>
      </c>
      <c r="F1547" t="n">
        <v>21.9</v>
      </c>
      <c r="G1547" t="n">
        <v>270</v>
      </c>
      <c r="H1547" t="n">
        <v>3.12e-05</v>
      </c>
      <c r="I1547" t="inlineStr">
        <is>
          <t>Swiss-Prot</t>
        </is>
      </c>
      <c r="J1547" t="inlineStr">
        <is>
          <t>L1td1</t>
        </is>
      </c>
      <c r="K1547" t="inlineStr">
        <is>
          <t>LITD1_MOUSE</t>
        </is>
      </c>
      <c r="L1547" t="inlineStr">
        <is>
          <t>sp|Q587J6|LITD1_MOUSE LINE-1 type transposase domain-containing protein 1 OS=Mus musculus OX=10090 GN=L1td1 PE=2 SV=1</t>
        </is>
      </c>
      <c r="M1547" t="n">
        <v>782</v>
      </c>
      <c r="N1547" t="inlineStr">
        <is>
          <t>Mus musculus</t>
        </is>
      </c>
      <c r="O1547" t="inlineStr">
        <is>
          <t>LINE-1 type transposase domain-containing protein 1</t>
        </is>
      </c>
    </row>
    <row r="1548">
      <c r="A1548" t="inlineStr">
        <is>
          <t>NODE_140062_length_1167_cov_1070.802727_g444_i10</t>
        </is>
      </c>
      <c r="B1548" t="inlineStr">
        <is>
          <t>bombina_pachypus_blastx</t>
        </is>
      </c>
      <c r="C1548" t="n">
        <v>3.07378654406814</v>
      </c>
      <c r="D1548" t="n">
        <v>0.0427556777414201</v>
      </c>
      <c r="E1548">
        <f>HYPERLINK("https://www.uniprot.org/uniprotkb/A0A8C5MNP0/entry", "A0A8C5MNP0")</f>
        <v/>
      </c>
      <c r="F1548" t="n">
        <v>71.09999999999999</v>
      </c>
      <c r="G1548" t="n">
        <v>173</v>
      </c>
      <c r="H1548" t="n">
        <v>1.42e-83</v>
      </c>
      <c r="I1548" t="inlineStr">
        <is>
          <t>TrEMBL</t>
        </is>
      </c>
      <c r="J1548" t="inlineStr"/>
      <c r="K1548" t="inlineStr">
        <is>
          <t>A0A8C5MNP0_9ANUR</t>
        </is>
      </c>
      <c r="L1548" t="inlineStr">
        <is>
          <t>tr|A0A8C5MNP0|A0A8C5MNP0_9ANUR Reverse transcriptase domain-containing protein OS=Leptobrachium leishanense OX=445787 PE=4 SV=1</t>
        </is>
      </c>
      <c r="M1548" t="n">
        <v>413</v>
      </c>
      <c r="N1548" t="inlineStr">
        <is>
          <t>Leptobrachium leishanense</t>
        </is>
      </c>
      <c r="O1548" t="inlineStr">
        <is>
          <t>Reverse transcriptase domain-containing protein</t>
        </is>
      </c>
    </row>
    <row r="1549">
      <c r="A1549" t="inlineStr"/>
      <c r="B1549" t="inlineStr"/>
      <c r="C1549" t="inlineStr"/>
      <c r="D1549" t="inlineStr"/>
      <c r="E1549">
        <f>HYPERLINK("https://www.uniprot.org/uniprotkb/A0A8C5PVP6/entry", "A0A8C5PVP6")</f>
        <v/>
      </c>
      <c r="F1549" t="n">
        <v>71.09999999999999</v>
      </c>
      <c r="G1549" t="n">
        <v>173</v>
      </c>
      <c r="H1549" t="n">
        <v>2.02e-83</v>
      </c>
      <c r="I1549" t="inlineStr">
        <is>
          <t>TrEMBL</t>
        </is>
      </c>
      <c r="J1549" t="inlineStr"/>
      <c r="K1549" t="inlineStr">
        <is>
          <t>A0A8C5PVP6_9ANUR</t>
        </is>
      </c>
      <c r="L1549" t="inlineStr">
        <is>
          <t>tr|A0A8C5PVP6|A0A8C5PVP6_9ANUR Reverse transcriptase domain-containing protein OS=Leptobrachium leishanense OX=445787 PE=4 SV=1</t>
        </is>
      </c>
      <c r="M1549" t="n">
        <v>413</v>
      </c>
      <c r="N1549" t="inlineStr">
        <is>
          <t>Leptobrachium leishanense</t>
        </is>
      </c>
      <c r="O1549" t="inlineStr">
        <is>
          <t>Reverse transcriptase domain-containing protein</t>
        </is>
      </c>
    </row>
    <row r="1550">
      <c r="A1550" t="inlineStr"/>
      <c r="B1550" t="inlineStr"/>
      <c r="C1550" t="inlineStr"/>
      <c r="D1550" t="inlineStr"/>
      <c r="E1550">
        <f>HYPERLINK("https://www.uniprot.org/uniprotkb/A0A8C5QA12/entry", "A0A8C5QA12")</f>
        <v/>
      </c>
      <c r="F1550" t="n">
        <v>70.5</v>
      </c>
      <c r="G1550" t="n">
        <v>173</v>
      </c>
      <c r="H1550" t="n">
        <v>3.05e-83</v>
      </c>
      <c r="I1550" t="inlineStr">
        <is>
          <t>TrEMBL</t>
        </is>
      </c>
      <c r="J1550" t="inlineStr"/>
      <c r="K1550" t="inlineStr">
        <is>
          <t>A0A8C5QA12_9ANUR</t>
        </is>
      </c>
      <c r="L1550" t="inlineStr">
        <is>
          <t>tr|A0A8C5QA12|A0A8C5QA12_9ANUR Reverse transcriptase domain-containing protein OS=Leptobrachium leishanense OX=445787 PE=4 SV=1</t>
        </is>
      </c>
      <c r="M1550" t="n">
        <v>368</v>
      </c>
      <c r="N1550" t="inlineStr">
        <is>
          <t>Leptobrachium leishanense</t>
        </is>
      </c>
      <c r="O1550" t="inlineStr">
        <is>
          <t>Reverse transcriptase domain-containing protein</t>
        </is>
      </c>
    </row>
    <row r="1551">
      <c r="A1551" t="inlineStr"/>
      <c r="B1551" t="inlineStr"/>
      <c r="C1551" t="inlineStr"/>
      <c r="D1551" t="inlineStr"/>
      <c r="E1551">
        <f>HYPERLINK("https://www.uniprot.org/uniprotkb/A0A8C5LLD4/entry", "A0A8C5LLD4")</f>
        <v/>
      </c>
      <c r="F1551" t="n">
        <v>70.5</v>
      </c>
      <c r="G1551" t="n">
        <v>173</v>
      </c>
      <c r="H1551" t="n">
        <v>4.27e-83</v>
      </c>
      <c r="I1551" t="inlineStr">
        <is>
          <t>TrEMBL</t>
        </is>
      </c>
      <c r="J1551" t="inlineStr"/>
      <c r="K1551" t="inlineStr">
        <is>
          <t>A0A8C5LLD4_9ANUR</t>
        </is>
      </c>
      <c r="L1551" t="inlineStr">
        <is>
          <t>tr|A0A8C5LLD4|A0A8C5LLD4_9ANUR Reverse transcriptase domain-containing protein OS=Leptobrachium leishanense OX=445787 PE=4 SV=1</t>
        </is>
      </c>
      <c r="M1551" t="n">
        <v>356</v>
      </c>
      <c r="N1551" t="inlineStr">
        <is>
          <t>Leptobrachium leishanense</t>
        </is>
      </c>
      <c r="O1551" t="inlineStr">
        <is>
          <t>Reverse transcriptase domain-containing protein</t>
        </is>
      </c>
    </row>
    <row r="1552">
      <c r="A1552" t="inlineStr"/>
      <c r="B1552" t="inlineStr"/>
      <c r="C1552" t="inlineStr"/>
      <c r="D1552" t="inlineStr"/>
      <c r="E1552">
        <f>HYPERLINK("https://www.uniprot.org/uniprotkb/A0A8C5PF36/entry", "A0A8C5PF36")</f>
        <v/>
      </c>
      <c r="F1552" t="n">
        <v>69.90000000000001</v>
      </c>
      <c r="G1552" t="n">
        <v>173</v>
      </c>
      <c r="H1552" t="n">
        <v>5.02e-83</v>
      </c>
      <c r="I1552" t="inlineStr">
        <is>
          <t>TrEMBL</t>
        </is>
      </c>
      <c r="J1552" t="inlineStr"/>
      <c r="K1552" t="inlineStr">
        <is>
          <t>A0A8C5PF36_9ANUR</t>
        </is>
      </c>
      <c r="L1552" t="inlineStr">
        <is>
          <t>tr|A0A8C5PF36|A0A8C5PF36_9ANUR Reverse transcriptase domain-containing protein OS=Leptobrachium leishanense OX=445787 PE=4 SV=1</t>
        </is>
      </c>
      <c r="M1552" t="n">
        <v>316</v>
      </c>
      <c r="N1552" t="inlineStr">
        <is>
          <t>Leptobrachium leishanense</t>
        </is>
      </c>
      <c r="O1552" t="inlineStr">
        <is>
          <t>Reverse transcriptase domain-containing protein</t>
        </is>
      </c>
    </row>
    <row r="1553">
      <c r="A1553" t="inlineStr"/>
      <c r="B1553" t="inlineStr"/>
      <c r="C1553" t="inlineStr"/>
      <c r="D1553" t="inlineStr"/>
      <c r="E1553">
        <f>HYPERLINK("https://www.uniprot.org/uniprotkb/A0A8C5QS98/entry", "A0A8C5QS98")</f>
        <v/>
      </c>
      <c r="F1553" t="n">
        <v>70.5</v>
      </c>
      <c r="G1553" t="n">
        <v>173</v>
      </c>
      <c r="H1553" t="n">
        <v>6.22e-83</v>
      </c>
      <c r="I1553" t="inlineStr">
        <is>
          <t>TrEMBL</t>
        </is>
      </c>
      <c r="J1553" t="inlineStr"/>
      <c r="K1553" t="inlineStr">
        <is>
          <t>A0A8C5QS98_9ANUR</t>
        </is>
      </c>
      <c r="L1553" t="inlineStr">
        <is>
          <t>tr|A0A8C5QS98|A0A8C5QS98_9ANUR Reverse transcriptase domain-containing protein OS=Leptobrachium leishanense OX=445787 PE=4 SV=1</t>
        </is>
      </c>
      <c r="M1553" t="n">
        <v>392</v>
      </c>
      <c r="N1553" t="inlineStr">
        <is>
          <t>Leptobrachium leishanense</t>
        </is>
      </c>
      <c r="O1553" t="inlineStr">
        <is>
          <t>Reverse transcriptase domain-containing protein</t>
        </is>
      </c>
    </row>
    <row r="1554">
      <c r="A1554" t="inlineStr"/>
      <c r="B1554" t="inlineStr"/>
      <c r="C1554" t="inlineStr"/>
      <c r="D1554" t="inlineStr"/>
      <c r="E1554">
        <f>HYPERLINK("https://www.uniprot.org/uniprotkb/A0A8C5Q913/entry", "A0A8C5Q913")</f>
        <v/>
      </c>
      <c r="F1554" t="n">
        <v>69.90000000000001</v>
      </c>
      <c r="G1554" t="n">
        <v>173</v>
      </c>
      <c r="H1554" t="n">
        <v>7.570000000000001e-83</v>
      </c>
      <c r="I1554" t="inlineStr">
        <is>
          <t>TrEMBL</t>
        </is>
      </c>
      <c r="J1554" t="inlineStr"/>
      <c r="K1554" t="inlineStr">
        <is>
          <t>A0A8C5Q913_9ANUR</t>
        </is>
      </c>
      <c r="L1554" t="inlineStr">
        <is>
          <t>tr|A0A8C5Q913|A0A8C5Q913_9ANUR Reverse transcriptase domain-containing protein OS=Leptobrachium leishanense OX=445787 PE=4 SV=1</t>
        </is>
      </c>
      <c r="M1554" t="n">
        <v>318</v>
      </c>
      <c r="N1554" t="inlineStr">
        <is>
          <t>Leptobrachium leishanense</t>
        </is>
      </c>
      <c r="O1554" t="inlineStr">
        <is>
          <t>Reverse transcriptase domain-containing protein</t>
        </is>
      </c>
    </row>
    <row r="1555">
      <c r="A1555" t="inlineStr"/>
      <c r="B1555" t="inlineStr"/>
      <c r="C1555" t="inlineStr"/>
      <c r="D1555" t="inlineStr"/>
      <c r="E1555">
        <f>HYPERLINK("https://www.uniprot.org/uniprotkb/A0A8C5LTK0/entry", "A0A8C5LTK0")</f>
        <v/>
      </c>
      <c r="F1555" t="n">
        <v>70.5</v>
      </c>
      <c r="G1555" t="n">
        <v>173</v>
      </c>
      <c r="H1555" t="n">
        <v>8.31e-83</v>
      </c>
      <c r="I1555" t="inlineStr">
        <is>
          <t>TrEMBL</t>
        </is>
      </c>
      <c r="J1555" t="inlineStr"/>
      <c r="K1555" t="inlineStr">
        <is>
          <t>A0A8C5LTK0_9ANUR</t>
        </is>
      </c>
      <c r="L1555" t="inlineStr">
        <is>
          <t>tr|A0A8C5LTK0|A0A8C5LTK0_9ANUR Reverse transcriptase domain-containing protein OS=Leptobrachium leishanense OX=445787 PE=4 SV=1</t>
        </is>
      </c>
      <c r="M1555" t="n">
        <v>390</v>
      </c>
      <c r="N1555" t="inlineStr">
        <is>
          <t>Leptobrachium leishanense</t>
        </is>
      </c>
      <c r="O1555" t="inlineStr">
        <is>
          <t>Reverse transcriptase domain-containing protein</t>
        </is>
      </c>
    </row>
    <row r="1556">
      <c r="A1556" t="inlineStr"/>
      <c r="B1556" t="inlineStr"/>
      <c r="C1556" t="inlineStr"/>
      <c r="D1556" t="inlineStr"/>
      <c r="E1556">
        <f>HYPERLINK("https://www.uniprot.org/uniprotkb/A0A8C5QEG9/entry", "A0A8C5QEG9")</f>
        <v/>
      </c>
      <c r="F1556" t="n">
        <v>70.5</v>
      </c>
      <c r="G1556" t="n">
        <v>173</v>
      </c>
      <c r="H1556" t="n">
        <v>8.31e-83</v>
      </c>
      <c r="I1556" t="inlineStr">
        <is>
          <t>TrEMBL</t>
        </is>
      </c>
      <c r="J1556" t="inlineStr"/>
      <c r="K1556" t="inlineStr">
        <is>
          <t>A0A8C5QEG9_9ANUR</t>
        </is>
      </c>
      <c r="L1556" t="inlineStr">
        <is>
          <t>tr|A0A8C5QEG9|A0A8C5QEG9_9ANUR Reverse transcriptase domain-containing protein OS=Leptobrachium leishanense OX=445787 PE=4 SV=1</t>
        </is>
      </c>
      <c r="M1556" t="n">
        <v>390</v>
      </c>
      <c r="N1556" t="inlineStr">
        <is>
          <t>Leptobrachium leishanense</t>
        </is>
      </c>
      <c r="O1556" t="inlineStr">
        <is>
          <t>Reverse transcriptase domain-containing protein</t>
        </is>
      </c>
    </row>
    <row r="1557">
      <c r="A1557" t="inlineStr"/>
      <c r="B1557" t="inlineStr"/>
      <c r="C1557" t="inlineStr"/>
      <c r="D1557" t="inlineStr"/>
      <c r="E1557">
        <f>HYPERLINK("https://www.uniprot.org/uniprotkb/A0A8C5QKM6/entry", "A0A8C5QKM6")</f>
        <v/>
      </c>
      <c r="F1557" t="n">
        <v>70.5</v>
      </c>
      <c r="G1557" t="n">
        <v>173</v>
      </c>
      <c r="H1557" t="n">
        <v>1.15e-82</v>
      </c>
      <c r="I1557" t="inlineStr">
        <is>
          <t>TrEMBL</t>
        </is>
      </c>
      <c r="J1557" t="inlineStr"/>
      <c r="K1557" t="inlineStr">
        <is>
          <t>A0A8C5QKM6_9ANUR</t>
        </is>
      </c>
      <c r="L1557" t="inlineStr">
        <is>
          <t>tr|A0A8C5QKM6|A0A8C5QKM6_9ANUR Reverse transcriptase domain-containing protein OS=Leptobrachium leishanense OX=445787 PE=4 SV=1</t>
        </is>
      </c>
      <c r="M1557" t="n">
        <v>413</v>
      </c>
      <c r="N1557" t="inlineStr">
        <is>
          <t>Leptobrachium leishanense</t>
        </is>
      </c>
      <c r="O1557" t="inlineStr">
        <is>
          <t>Reverse transcriptase domain-containing protein</t>
        </is>
      </c>
    </row>
    <row r="1558">
      <c r="A1558" t="inlineStr"/>
      <c r="B1558" t="inlineStr"/>
      <c r="C1558" t="inlineStr"/>
      <c r="D1558" t="inlineStr"/>
      <c r="E1558">
        <f>HYPERLINK("https://www.uniprot.org/uniprotkb/A0A8C5MI43/entry", "A0A8C5MI43")</f>
        <v/>
      </c>
      <c r="F1558" t="n">
        <v>70.5</v>
      </c>
      <c r="G1558" t="n">
        <v>173</v>
      </c>
      <c r="H1558" t="n">
        <v>1.61e-82</v>
      </c>
      <c r="I1558" t="inlineStr">
        <is>
          <t>TrEMBL</t>
        </is>
      </c>
      <c r="J1558" t="inlineStr"/>
      <c r="K1558" t="inlineStr">
        <is>
          <t>A0A8C5MI43_9ANUR</t>
        </is>
      </c>
      <c r="L1558" t="inlineStr">
        <is>
          <t>tr|A0A8C5MI43|A0A8C5MI43_9ANUR Reverse transcriptase domain-containing protein OS=Leptobrachium leishanense OX=445787 PE=4 SV=1</t>
        </is>
      </c>
      <c r="M1558" t="n">
        <v>425</v>
      </c>
      <c r="N1558" t="inlineStr">
        <is>
          <t>Leptobrachium leishanense</t>
        </is>
      </c>
      <c r="O1558" t="inlineStr">
        <is>
          <t>Reverse transcriptase domain-containing protein</t>
        </is>
      </c>
    </row>
    <row r="1559">
      <c r="A1559" t="inlineStr"/>
      <c r="B1559" t="inlineStr"/>
      <c r="C1559" t="inlineStr"/>
      <c r="D1559" t="inlineStr"/>
      <c r="E1559">
        <f>HYPERLINK("https://www.uniprot.org/uniprotkb/A0A8C5QWI1/entry", "A0A8C5QWI1")</f>
        <v/>
      </c>
      <c r="F1559" t="n">
        <v>70.5</v>
      </c>
      <c r="G1559" t="n">
        <v>173</v>
      </c>
      <c r="H1559" t="n">
        <v>1.62e-82</v>
      </c>
      <c r="I1559" t="inlineStr">
        <is>
          <t>TrEMBL</t>
        </is>
      </c>
      <c r="J1559" t="inlineStr"/>
      <c r="K1559" t="inlineStr">
        <is>
          <t>A0A8C5QWI1_9ANUR</t>
        </is>
      </c>
      <c r="L1559" t="inlineStr">
        <is>
          <t>tr|A0A8C5QWI1|A0A8C5QWI1_9ANUR Reverse transcriptase domain-containing protein OS=Leptobrachium leishanense OX=445787 PE=4 SV=1</t>
        </is>
      </c>
      <c r="M1559" t="n">
        <v>413</v>
      </c>
      <c r="N1559" t="inlineStr">
        <is>
          <t>Leptobrachium leishanense</t>
        </is>
      </c>
      <c r="O1559" t="inlineStr">
        <is>
          <t>Reverse transcriptase domain-containing protein</t>
        </is>
      </c>
    </row>
    <row r="1560">
      <c r="A1560" t="inlineStr"/>
      <c r="B1560" t="inlineStr"/>
      <c r="C1560" t="inlineStr"/>
      <c r="D1560" t="inlineStr"/>
      <c r="E1560">
        <f>HYPERLINK("https://www.uniprot.org/uniprotkb/A0A8C5P7E7/entry", "A0A8C5P7E7")</f>
        <v/>
      </c>
      <c r="F1560" t="n">
        <v>70.5</v>
      </c>
      <c r="G1560" t="n">
        <v>173</v>
      </c>
      <c r="H1560" t="n">
        <v>1.62e-82</v>
      </c>
      <c r="I1560" t="inlineStr">
        <is>
          <t>TrEMBL</t>
        </is>
      </c>
      <c r="J1560" t="inlineStr"/>
      <c r="K1560" t="inlineStr">
        <is>
          <t>A0A8C5P7E7_9ANUR</t>
        </is>
      </c>
      <c r="L1560" t="inlineStr">
        <is>
          <t>tr|A0A8C5P7E7|A0A8C5P7E7_9ANUR Reverse transcriptase domain-containing protein OS=Leptobrachium leishanense OX=445787 PE=4 SV=1</t>
        </is>
      </c>
      <c r="M1560" t="n">
        <v>413</v>
      </c>
      <c r="N1560" t="inlineStr">
        <is>
          <t>Leptobrachium leishanense</t>
        </is>
      </c>
      <c r="O1560" t="inlineStr">
        <is>
          <t>Reverse transcriptase domain-containing protein</t>
        </is>
      </c>
    </row>
    <row r="1561">
      <c r="A1561" t="inlineStr"/>
      <c r="B1561" t="inlineStr"/>
      <c r="C1561" t="inlineStr"/>
      <c r="D1561" t="inlineStr"/>
      <c r="E1561">
        <f>HYPERLINK("https://www.uniprot.org/uniprotkb/A0A8C5R1C0/entry", "A0A8C5R1C0")</f>
        <v/>
      </c>
      <c r="F1561" t="n">
        <v>70.5</v>
      </c>
      <c r="G1561" t="n">
        <v>173</v>
      </c>
      <c r="H1561" t="n">
        <v>1.62e-82</v>
      </c>
      <c r="I1561" t="inlineStr">
        <is>
          <t>TrEMBL</t>
        </is>
      </c>
      <c r="J1561" t="inlineStr"/>
      <c r="K1561" t="inlineStr">
        <is>
          <t>A0A8C5R1C0_9ANUR</t>
        </is>
      </c>
      <c r="L1561" t="inlineStr">
        <is>
          <t>tr|A0A8C5R1C0|A0A8C5R1C0_9ANUR Reverse transcriptase domain-containing protein OS=Leptobrachium leishanense OX=445787 PE=4 SV=1</t>
        </is>
      </c>
      <c r="M1561" t="n">
        <v>413</v>
      </c>
      <c r="N1561" t="inlineStr">
        <is>
          <t>Leptobrachium leishanense</t>
        </is>
      </c>
      <c r="O1561" t="inlineStr">
        <is>
          <t>Reverse transcriptase domain-containing protein</t>
        </is>
      </c>
    </row>
    <row r="1562">
      <c r="A1562" t="inlineStr"/>
      <c r="B1562" t="inlineStr"/>
      <c r="C1562" t="inlineStr"/>
      <c r="D1562" t="inlineStr"/>
      <c r="E1562">
        <f>HYPERLINK("https://www.uniprot.org/uniprotkb/A0A8C5QQK6/entry", "A0A8C5QQK6")</f>
        <v/>
      </c>
      <c r="F1562" t="n">
        <v>70.5</v>
      </c>
      <c r="G1562" t="n">
        <v>173</v>
      </c>
      <c r="H1562" t="n">
        <v>1.62e-82</v>
      </c>
      <c r="I1562" t="inlineStr">
        <is>
          <t>TrEMBL</t>
        </is>
      </c>
      <c r="J1562" t="inlineStr"/>
      <c r="K1562" t="inlineStr">
        <is>
          <t>A0A8C5QQK6_9ANUR</t>
        </is>
      </c>
      <c r="L1562" t="inlineStr">
        <is>
          <t>tr|A0A8C5QQK6|A0A8C5QQK6_9ANUR Reverse transcriptase domain-containing protein OS=Leptobrachium leishanense OX=445787 PE=4 SV=1</t>
        </is>
      </c>
      <c r="M1562" t="n">
        <v>413</v>
      </c>
      <c r="N1562" t="inlineStr">
        <is>
          <t>Leptobrachium leishanense</t>
        </is>
      </c>
      <c r="O1562" t="inlineStr">
        <is>
          <t>Reverse transcriptase domain-containing protein</t>
        </is>
      </c>
    </row>
    <row r="1563">
      <c r="A1563" t="inlineStr"/>
      <c r="B1563" t="inlineStr"/>
      <c r="C1563" t="inlineStr"/>
      <c r="D1563" t="inlineStr"/>
      <c r="E1563">
        <f>HYPERLINK("https://www.uniprot.org/uniprotkb/A0A8C5QH70/entry", "A0A8C5QH70")</f>
        <v/>
      </c>
      <c r="F1563" t="n">
        <v>70.5</v>
      </c>
      <c r="G1563" t="n">
        <v>173</v>
      </c>
      <c r="H1563" t="n">
        <v>1.62e-82</v>
      </c>
      <c r="I1563" t="inlineStr">
        <is>
          <t>TrEMBL</t>
        </is>
      </c>
      <c r="J1563" t="inlineStr"/>
      <c r="K1563" t="inlineStr">
        <is>
          <t>A0A8C5QH70_9ANUR</t>
        </is>
      </c>
      <c r="L1563" t="inlineStr">
        <is>
          <t>tr|A0A8C5QH70|A0A8C5QH70_9ANUR Reverse transcriptase domain-containing protein OS=Leptobrachium leishanense OX=445787 PE=4 SV=1</t>
        </is>
      </c>
      <c r="M1563" t="n">
        <v>413</v>
      </c>
      <c r="N1563" t="inlineStr">
        <is>
          <t>Leptobrachium leishanense</t>
        </is>
      </c>
      <c r="O1563" t="inlineStr">
        <is>
          <t>Reverse transcriptase domain-containing protein</t>
        </is>
      </c>
    </row>
    <row r="1564">
      <c r="A1564" t="inlineStr"/>
      <c r="B1564" t="inlineStr"/>
      <c r="C1564" t="inlineStr"/>
      <c r="D1564" t="inlineStr"/>
      <c r="E1564">
        <f>HYPERLINK("https://www.uniprot.org/uniprotkb/A0A8C5PUF1/entry", "A0A8C5PUF1")</f>
        <v/>
      </c>
      <c r="F1564" t="n">
        <v>69.90000000000001</v>
      </c>
      <c r="G1564" t="n">
        <v>173</v>
      </c>
      <c r="H1564" t="n">
        <v>1.74e-82</v>
      </c>
      <c r="I1564" t="inlineStr">
        <is>
          <t>TrEMBL</t>
        </is>
      </c>
      <c r="J1564" t="inlineStr"/>
      <c r="K1564" t="inlineStr">
        <is>
          <t>A0A8C5PUF1_9ANUR</t>
        </is>
      </c>
      <c r="L1564" t="inlineStr">
        <is>
          <t>tr|A0A8C5PUF1|A0A8C5PUF1_9ANUR Reverse transcriptase domain-containing protein OS=Leptobrachium leishanense OX=445787 PE=4 SV=1</t>
        </is>
      </c>
      <c r="M1564" t="n">
        <v>345</v>
      </c>
      <c r="N1564" t="inlineStr">
        <is>
          <t>Leptobrachium leishanense</t>
        </is>
      </c>
      <c r="O1564" t="inlineStr">
        <is>
          <t>Reverse transcriptase domain-containing protein</t>
        </is>
      </c>
    </row>
    <row r="1565">
      <c r="A1565" t="inlineStr"/>
      <c r="B1565" t="inlineStr"/>
      <c r="C1565" t="inlineStr"/>
      <c r="D1565" t="inlineStr"/>
      <c r="E1565">
        <f>HYPERLINK("https://www.uniprot.org/uniprotkb/A0A8C5MD89/entry", "A0A8C5MD89")</f>
        <v/>
      </c>
      <c r="F1565" t="n">
        <v>69.40000000000001</v>
      </c>
      <c r="G1565" t="n">
        <v>173</v>
      </c>
      <c r="H1565" t="n">
        <v>1.8e-82</v>
      </c>
      <c r="I1565" t="inlineStr">
        <is>
          <t>TrEMBL</t>
        </is>
      </c>
      <c r="J1565" t="inlineStr"/>
      <c r="K1565" t="inlineStr">
        <is>
          <t>A0A8C5MD89_9ANUR</t>
        </is>
      </c>
      <c r="L1565" t="inlineStr">
        <is>
          <t>tr|A0A8C5MD89|A0A8C5MD89_9ANUR Reverse transcriptase domain-containing protein OS=Leptobrachium leishanense OX=445787 PE=4 SV=1</t>
        </is>
      </c>
      <c r="M1565" t="n">
        <v>346</v>
      </c>
      <c r="N1565" t="inlineStr">
        <is>
          <t>Leptobrachium leishanense</t>
        </is>
      </c>
      <c r="O1565" t="inlineStr">
        <is>
          <t>Reverse transcriptase domain-containing protein</t>
        </is>
      </c>
    </row>
    <row r="1566">
      <c r="A1566" t="inlineStr"/>
      <c r="B1566" t="inlineStr"/>
      <c r="C1566" t="inlineStr"/>
      <c r="D1566" t="inlineStr"/>
      <c r="E1566">
        <f>HYPERLINK("https://www.uniprot.org/uniprotkb/A0A8C5PYM6/entry", "A0A8C5PYM6")</f>
        <v/>
      </c>
      <c r="F1566" t="n">
        <v>69.40000000000001</v>
      </c>
      <c r="G1566" t="n">
        <v>173</v>
      </c>
      <c r="H1566" t="n">
        <v>2.22e-82</v>
      </c>
      <c r="I1566" t="inlineStr">
        <is>
          <t>TrEMBL</t>
        </is>
      </c>
      <c r="J1566" t="inlineStr"/>
      <c r="K1566" t="inlineStr">
        <is>
          <t>A0A8C5PYM6_9ANUR</t>
        </is>
      </c>
      <c r="L1566" t="inlineStr">
        <is>
          <t>tr|A0A8C5PYM6|A0A8C5PYM6_9ANUR Reverse transcriptase domain-containing protein OS=Leptobrachium leishanense OX=445787 PE=4 SV=1</t>
        </is>
      </c>
      <c r="M1566" t="n">
        <v>388</v>
      </c>
      <c r="N1566" t="inlineStr">
        <is>
          <t>Leptobrachium leishanense</t>
        </is>
      </c>
      <c r="O1566" t="inlineStr">
        <is>
          <t>Reverse transcriptase domain-containing protein</t>
        </is>
      </c>
    </row>
    <row r="1567">
      <c r="A1567" t="inlineStr"/>
      <c r="B1567" t="inlineStr"/>
      <c r="C1567" t="inlineStr"/>
      <c r="D1567" t="inlineStr"/>
      <c r="E1567">
        <f>HYPERLINK("https://www.uniprot.org/uniprotkb/A0A8C5QPW0/entry", "A0A8C5QPW0")</f>
        <v/>
      </c>
      <c r="F1567" t="n">
        <v>70.5</v>
      </c>
      <c r="G1567" t="n">
        <v>173</v>
      </c>
      <c r="H1567" t="n">
        <v>2.29e-82</v>
      </c>
      <c r="I1567" t="inlineStr">
        <is>
          <t>TrEMBL</t>
        </is>
      </c>
      <c r="J1567" t="inlineStr"/>
      <c r="K1567" t="inlineStr">
        <is>
          <t>A0A8C5QPW0_9ANUR</t>
        </is>
      </c>
      <c r="L1567" t="inlineStr">
        <is>
          <t>tr|A0A8C5QPW0|A0A8C5QPW0_9ANUR Reverse transcriptase domain-containing protein OS=Leptobrachium leishanense OX=445787 PE=4 SV=1</t>
        </is>
      </c>
      <c r="M1567" t="n">
        <v>413</v>
      </c>
      <c r="N1567" t="inlineStr">
        <is>
          <t>Leptobrachium leishanense</t>
        </is>
      </c>
      <c r="O1567" t="inlineStr">
        <is>
          <t>Reverse transcriptase domain-containing protein</t>
        </is>
      </c>
    </row>
    <row r="1568">
      <c r="A1568" t="inlineStr"/>
      <c r="B1568" t="inlineStr"/>
      <c r="C1568" t="inlineStr"/>
      <c r="D1568" t="inlineStr"/>
      <c r="E1568">
        <f>HYPERLINK("https://www.uniprot.org/uniprotkb/A0A8C5PYN7/entry", "A0A8C5PYN7")</f>
        <v/>
      </c>
      <c r="F1568" t="n">
        <v>70.5</v>
      </c>
      <c r="G1568" t="n">
        <v>173</v>
      </c>
      <c r="H1568" t="n">
        <v>3.2e-82</v>
      </c>
      <c r="I1568" t="inlineStr">
        <is>
          <t>TrEMBL</t>
        </is>
      </c>
      <c r="J1568" t="inlineStr"/>
      <c r="K1568" t="inlineStr">
        <is>
          <t>A0A8C5PYN7_9ANUR</t>
        </is>
      </c>
      <c r="L1568" t="inlineStr">
        <is>
          <t>tr|A0A8C5PYN7|A0A8C5PYN7_9ANUR Reverse transcriptase domain-containing protein OS=Leptobrachium leishanense OX=445787 PE=4 SV=1</t>
        </is>
      </c>
      <c r="M1568" t="n">
        <v>437</v>
      </c>
      <c r="N1568" t="inlineStr">
        <is>
          <t>Leptobrachium leishanense</t>
        </is>
      </c>
      <c r="O1568" t="inlineStr">
        <is>
          <t>Reverse transcriptase domain-containing protein</t>
        </is>
      </c>
    </row>
    <row r="1569">
      <c r="A1569" t="inlineStr"/>
      <c r="B1569" t="inlineStr"/>
      <c r="C1569" t="inlineStr"/>
      <c r="D1569" t="inlineStr"/>
      <c r="E1569">
        <f>HYPERLINK("https://www.uniprot.org/uniprotkb/A0A8C5PRI8/entry", "A0A8C5PRI8")</f>
        <v/>
      </c>
      <c r="F1569" t="n">
        <v>69.90000000000001</v>
      </c>
      <c r="G1569" t="n">
        <v>173</v>
      </c>
      <c r="H1569" t="n">
        <v>4.1e-82</v>
      </c>
      <c r="I1569" t="inlineStr">
        <is>
          <t>TrEMBL</t>
        </is>
      </c>
      <c r="J1569" t="inlineStr"/>
      <c r="K1569" t="inlineStr">
        <is>
          <t>A0A8C5PRI8_9ANUR</t>
        </is>
      </c>
      <c r="L1569" t="inlineStr">
        <is>
          <t>tr|A0A8C5PRI8|A0A8C5PRI8_9ANUR Reverse transcriptase domain-containing protein OS=Leptobrachium leishanense OX=445787 PE=4 SV=1</t>
        </is>
      </c>
      <c r="M1569" t="n">
        <v>409</v>
      </c>
      <c r="N1569" t="inlineStr">
        <is>
          <t>Leptobrachium leishanense</t>
        </is>
      </c>
      <c r="O1569" t="inlineStr">
        <is>
          <t>Reverse transcriptase domain-containing protein</t>
        </is>
      </c>
    </row>
    <row r="1570">
      <c r="A1570" t="inlineStr"/>
      <c r="B1570" t="inlineStr"/>
      <c r="C1570" t="inlineStr"/>
      <c r="D1570" t="inlineStr"/>
      <c r="E1570">
        <f>HYPERLINK("https://www.uniprot.org/uniprotkb/A0A8C5M327/entry", "A0A8C5M327")</f>
        <v/>
      </c>
      <c r="F1570" t="n">
        <v>69.90000000000001</v>
      </c>
      <c r="G1570" t="n">
        <v>173</v>
      </c>
      <c r="H1570" t="n">
        <v>4.73e-82</v>
      </c>
      <c r="I1570" t="inlineStr">
        <is>
          <t>TrEMBL</t>
        </is>
      </c>
      <c r="J1570" t="inlineStr"/>
      <c r="K1570" t="inlineStr">
        <is>
          <t>A0A8C5M327_9ANUR</t>
        </is>
      </c>
      <c r="L1570" t="inlineStr">
        <is>
          <t>tr|A0A8C5M327|A0A8C5M327_9ANUR Reverse transcriptase domain-containing protein OS=Leptobrachium leishanense OX=445787 PE=4 SV=1</t>
        </is>
      </c>
      <c r="M1570" t="n">
        <v>390</v>
      </c>
      <c r="N1570" t="inlineStr">
        <is>
          <t>Leptobrachium leishanense</t>
        </is>
      </c>
      <c r="O1570" t="inlineStr">
        <is>
          <t>Reverse transcriptase domain-containing protein</t>
        </is>
      </c>
    </row>
    <row r="1571">
      <c r="A1571" t="inlineStr"/>
      <c r="B1571" t="inlineStr"/>
      <c r="C1571" t="inlineStr"/>
      <c r="D1571" t="inlineStr"/>
      <c r="E1571">
        <f>HYPERLINK("https://www.uniprot.org/uniprotkb/A0A8C5N0E2/entry", "A0A8C5N0E2")</f>
        <v/>
      </c>
      <c r="F1571" t="n">
        <v>69.90000000000001</v>
      </c>
      <c r="G1571" t="n">
        <v>173</v>
      </c>
      <c r="H1571" t="n">
        <v>4.73e-82</v>
      </c>
      <c r="I1571" t="inlineStr">
        <is>
          <t>TrEMBL</t>
        </is>
      </c>
      <c r="J1571" t="inlineStr"/>
      <c r="K1571" t="inlineStr">
        <is>
          <t>A0A8C5N0E2_9ANUR</t>
        </is>
      </c>
      <c r="L1571" t="inlineStr">
        <is>
          <t>tr|A0A8C5N0E2|A0A8C5N0E2_9ANUR Reverse transcriptase domain-containing protein OS=Leptobrachium leishanense OX=445787 PE=4 SV=1</t>
        </is>
      </c>
      <c r="M1571" t="n">
        <v>390</v>
      </c>
      <c r="N1571" t="inlineStr">
        <is>
          <t>Leptobrachium leishanense</t>
        </is>
      </c>
      <c r="O1571" t="inlineStr">
        <is>
          <t>Reverse transcriptase domain-containing protein</t>
        </is>
      </c>
    </row>
    <row r="1572">
      <c r="A1572" t="inlineStr"/>
      <c r="B1572" t="inlineStr"/>
      <c r="C1572" t="inlineStr"/>
      <c r="D1572" t="inlineStr"/>
      <c r="E1572">
        <f>HYPERLINK("https://www.uniprot.org/uniprotkb/A0A8C5MTF0/entry", "A0A8C5MTF0")</f>
        <v/>
      </c>
      <c r="F1572" t="n">
        <v>69.90000000000001</v>
      </c>
      <c r="G1572" t="n">
        <v>173</v>
      </c>
      <c r="H1572" t="n">
        <v>5.319999999999999e-82</v>
      </c>
      <c r="I1572" t="inlineStr">
        <is>
          <t>TrEMBL</t>
        </is>
      </c>
      <c r="J1572" t="inlineStr"/>
      <c r="K1572" t="inlineStr">
        <is>
          <t>A0A8C5MTF0_9ANUR</t>
        </is>
      </c>
      <c r="L1572" t="inlineStr">
        <is>
          <t>tr|A0A8C5MTF0|A0A8C5MTF0_9ANUR Reverse transcriptase domain-containing protein OS=Leptobrachium leishanense OX=445787 PE=4 SV=1</t>
        </is>
      </c>
      <c r="M1572" t="n">
        <v>394</v>
      </c>
      <c r="N1572" t="inlineStr">
        <is>
          <t>Leptobrachium leishanense</t>
        </is>
      </c>
      <c r="O1572" t="inlineStr">
        <is>
          <t>Reverse transcriptase domain-containing protein</t>
        </is>
      </c>
    </row>
    <row r="1573">
      <c r="A1573" t="inlineStr"/>
      <c r="B1573" t="inlineStr"/>
      <c r="C1573" t="inlineStr"/>
      <c r="D1573" t="inlineStr"/>
      <c r="E1573">
        <f>HYPERLINK("https://www.ncbi.nlm.nih.gov/gene/?term=KAG6924642.1", "KAG6924642.1")</f>
        <v/>
      </c>
      <c r="F1573" t="n">
        <v>53.9</v>
      </c>
      <c r="G1573" t="n">
        <v>165</v>
      </c>
      <c r="H1573" t="n">
        <v>2.67e-55</v>
      </c>
      <c r="I1573" t="inlineStr">
        <is>
          <t>Nr</t>
        </is>
      </c>
      <c r="J1573" t="inlineStr"/>
      <c r="K1573" t="inlineStr"/>
      <c r="L1573" t="inlineStr">
        <is>
          <t>KAG6924642.1 hypothetical protein G0U57_016835 [Chelydra serpentina]</t>
        </is>
      </c>
      <c r="M1573" t="n">
        <v>184</v>
      </c>
      <c r="N1573" t="inlineStr">
        <is>
          <t>Chelydra serpentina</t>
        </is>
      </c>
      <c r="O1573" t="inlineStr">
        <is>
          <t>hypothetical protein G0U57_016835</t>
        </is>
      </c>
    </row>
    <row r="1574">
      <c r="A1574" t="inlineStr"/>
      <c r="B1574" t="inlineStr"/>
      <c r="C1574" t="inlineStr"/>
      <c r="D1574" t="inlineStr"/>
      <c r="E1574">
        <f>HYPERLINK("https://www.ncbi.nlm.nih.gov/gene/?term=PKU39438.1", "PKU39438.1")</f>
        <v/>
      </c>
      <c r="F1574" t="n">
        <v>54.9</v>
      </c>
      <c r="G1574" t="n">
        <v>164</v>
      </c>
      <c r="H1574" t="n">
        <v>3.899999999999999e-55</v>
      </c>
      <c r="I1574" t="inlineStr">
        <is>
          <t>Nr</t>
        </is>
      </c>
      <c r="J1574" t="inlineStr"/>
      <c r="K1574" t="inlineStr"/>
      <c r="L1574" t="inlineStr">
        <is>
          <t>PKU39438.1 hypothetical protein llap_10261 [Limosa lapponica baueri]</t>
        </is>
      </c>
      <c r="M1574" t="n">
        <v>185</v>
      </c>
      <c r="N1574" t="inlineStr">
        <is>
          <t>Limosa lapponica baueri</t>
        </is>
      </c>
      <c r="O1574" t="inlineStr">
        <is>
          <t>hypothetical protein llap_10261</t>
        </is>
      </c>
    </row>
    <row r="1575">
      <c r="A1575" t="inlineStr"/>
      <c r="B1575" t="inlineStr"/>
      <c r="C1575" t="inlineStr"/>
      <c r="D1575" t="inlineStr"/>
      <c r="E1575">
        <f>HYPERLINK("https://www.ncbi.nlm.nih.gov/gene/?term=PKU41646.1", "PKU41646.1")</f>
        <v/>
      </c>
      <c r="F1575" t="n">
        <v>52.4</v>
      </c>
      <c r="G1575" t="n">
        <v>164</v>
      </c>
      <c r="H1575" t="n">
        <v>3.17e-54</v>
      </c>
      <c r="I1575" t="inlineStr">
        <is>
          <t>Nr</t>
        </is>
      </c>
      <c r="J1575" t="inlineStr"/>
      <c r="K1575" t="inlineStr"/>
      <c r="L1575" t="inlineStr">
        <is>
          <t>PKU41646.1 hypothetical protein llap_8053 [Limosa lapponica baueri]</t>
        </is>
      </c>
      <c r="M1575" t="n">
        <v>185</v>
      </c>
      <c r="N1575" t="inlineStr">
        <is>
          <t>Limosa lapponica baueri</t>
        </is>
      </c>
      <c r="O1575" t="inlineStr">
        <is>
          <t>hypothetical protein llap_8053</t>
        </is>
      </c>
    </row>
    <row r="1576">
      <c r="A1576" t="inlineStr"/>
      <c r="B1576" t="inlineStr"/>
      <c r="C1576" t="inlineStr"/>
      <c r="D1576" t="inlineStr"/>
      <c r="E1576">
        <f>HYPERLINK("https://www.ncbi.nlm.nih.gov/gene/?term=KFV18600.1", "KFV18600.1")</f>
        <v/>
      </c>
      <c r="F1576" t="n">
        <v>52.7</v>
      </c>
      <c r="G1576" t="n">
        <v>165</v>
      </c>
      <c r="H1576" t="n">
        <v>1.45e-53</v>
      </c>
      <c r="I1576" t="inlineStr">
        <is>
          <t>Nr</t>
        </is>
      </c>
      <c r="J1576" t="inlineStr"/>
      <c r="K1576" t="inlineStr"/>
      <c r="L1576" t="inlineStr">
        <is>
          <t>KFV18600.1 hypothetical protein N340_11285, partial [Tauraco erythrolophus]</t>
        </is>
      </c>
      <c r="M1576" t="n">
        <v>246</v>
      </c>
      <c r="N1576" t="inlineStr">
        <is>
          <t>Tauraco erythrolophus</t>
        </is>
      </c>
      <c r="O1576" t="inlineStr">
        <is>
          <t>hypothetical protein N340_11285, partial</t>
        </is>
      </c>
    </row>
    <row r="1577">
      <c r="A1577" t="inlineStr"/>
      <c r="B1577" t="inlineStr"/>
      <c r="C1577" t="inlineStr"/>
      <c r="D1577" t="inlineStr"/>
      <c r="E1577">
        <f>HYPERLINK("https://www.ncbi.nlm.nih.gov/gene/?term=WP_255996827.1", "WP_255996827.1")</f>
        <v/>
      </c>
      <c r="F1577" t="n">
        <v>53.8</v>
      </c>
      <c r="G1577" t="n">
        <v>160</v>
      </c>
      <c r="H1577" t="n">
        <v>1.93e-53</v>
      </c>
      <c r="I1577" t="inlineStr">
        <is>
          <t>Nr</t>
        </is>
      </c>
      <c r="J1577" t="inlineStr"/>
      <c r="K1577" t="inlineStr"/>
      <c r="L1577" t="inlineStr">
        <is>
          <t>WP_255996827.1 hypothetical protein, partial [Klebsiella pneumoniae]</t>
        </is>
      </c>
      <c r="M1577" t="n">
        <v>198</v>
      </c>
      <c r="N1577" t="inlineStr">
        <is>
          <t>Klebsiella pneumoniae</t>
        </is>
      </c>
      <c r="O1577" t="inlineStr">
        <is>
          <t>hypothetical protein, partial</t>
        </is>
      </c>
    </row>
    <row r="1578">
      <c r="A1578" t="inlineStr"/>
      <c r="B1578" t="inlineStr"/>
      <c r="C1578" t="inlineStr"/>
      <c r="D1578" t="inlineStr"/>
      <c r="E1578">
        <f>HYPERLINK("https://www.ncbi.nlm.nih.gov/gene/?term=PKU47125.1", "PKU47125.1")</f>
        <v/>
      </c>
      <c r="F1578" t="n">
        <v>53.4</v>
      </c>
      <c r="G1578" t="n">
        <v>163</v>
      </c>
      <c r="H1578" t="n">
        <v>2.58e-53</v>
      </c>
      <c r="I1578" t="inlineStr">
        <is>
          <t>Nr</t>
        </is>
      </c>
      <c r="J1578" t="inlineStr"/>
      <c r="K1578" t="inlineStr"/>
      <c r="L1578" t="inlineStr">
        <is>
          <t>PKU47125.1 hypothetical protein llap_2565 [Limosa lapponica baueri]</t>
        </is>
      </c>
      <c r="M1578" t="n">
        <v>185</v>
      </c>
      <c r="N1578" t="inlineStr">
        <is>
          <t>Limosa lapponica baueri</t>
        </is>
      </c>
      <c r="O1578" t="inlineStr">
        <is>
          <t>hypothetical protein llap_2565</t>
        </is>
      </c>
    </row>
    <row r="1579">
      <c r="A1579" t="inlineStr"/>
      <c r="B1579" t="inlineStr"/>
      <c r="C1579" t="inlineStr"/>
      <c r="D1579" t="inlineStr"/>
      <c r="E1579">
        <f>HYPERLINK("https://www.ncbi.nlm.nih.gov/gene/?term=KFV18883.1", "KFV18883.1")</f>
        <v/>
      </c>
      <c r="F1579" t="n">
        <v>52.1</v>
      </c>
      <c r="G1579" t="n">
        <v>165</v>
      </c>
      <c r="H1579" t="n">
        <v>2.9e-53</v>
      </c>
      <c r="I1579" t="inlineStr">
        <is>
          <t>Nr</t>
        </is>
      </c>
      <c r="J1579" t="inlineStr"/>
      <c r="K1579" t="inlineStr"/>
      <c r="L1579" t="inlineStr">
        <is>
          <t>KFV18883.1 hypothetical protein N340_02573, partial [Tauraco erythrolophus]</t>
        </is>
      </c>
      <c r="M1579" t="n">
        <v>246</v>
      </c>
      <c r="N1579" t="inlineStr">
        <is>
          <t>Tauraco erythrolophus</t>
        </is>
      </c>
      <c r="O1579" t="inlineStr">
        <is>
          <t>hypothetical protein N340_02573, partial</t>
        </is>
      </c>
    </row>
    <row r="1580">
      <c r="A1580" t="inlineStr"/>
      <c r="B1580" t="inlineStr"/>
      <c r="C1580" t="inlineStr"/>
      <c r="D1580" t="inlineStr"/>
      <c r="E1580">
        <f>HYPERLINK("https://www.ncbi.nlm.nih.gov/gene/?term=KAG6925440.1", "KAG6925440.1")</f>
        <v/>
      </c>
      <c r="F1580" t="n">
        <v>54.5</v>
      </c>
      <c r="G1580" t="n">
        <v>165</v>
      </c>
      <c r="H1580" t="n">
        <v>3.65e-53</v>
      </c>
      <c r="I1580" t="inlineStr">
        <is>
          <t>Nr</t>
        </is>
      </c>
      <c r="J1580" t="inlineStr"/>
      <c r="K1580" t="inlineStr"/>
      <c r="L1580" t="inlineStr">
        <is>
          <t>KAG6925440.1 hypothetical protein G0U57_014490 [Chelydra serpentina]</t>
        </is>
      </c>
      <c r="M1580" t="n">
        <v>411</v>
      </c>
      <c r="N1580" t="inlineStr">
        <is>
          <t>Chelydra serpentina</t>
        </is>
      </c>
      <c r="O1580" t="inlineStr">
        <is>
          <t>hypothetical protein G0U57_014490</t>
        </is>
      </c>
    </row>
    <row r="1581">
      <c r="A1581" t="inlineStr"/>
      <c r="B1581" t="inlineStr"/>
      <c r="C1581" t="inlineStr"/>
      <c r="D1581" t="inlineStr"/>
      <c r="E1581">
        <f>HYPERLINK("https://www.ncbi.nlm.nih.gov/gene/?term=KFV06878.1", "KFV06878.1")</f>
        <v/>
      </c>
      <c r="F1581" t="n">
        <v>51.5</v>
      </c>
      <c r="G1581" t="n">
        <v>165</v>
      </c>
      <c r="H1581" t="n">
        <v>4.11e-53</v>
      </c>
      <c r="I1581" t="inlineStr">
        <is>
          <t>Nr</t>
        </is>
      </c>
      <c r="J1581" t="inlineStr"/>
      <c r="K1581" t="inlineStr"/>
      <c r="L1581" t="inlineStr">
        <is>
          <t>KFV06878.1 hypothetical protein N340_12701, partial [Tauraco erythrolophus]</t>
        </is>
      </c>
      <c r="M1581" t="n">
        <v>246</v>
      </c>
      <c r="N1581" t="inlineStr">
        <is>
          <t>Tauraco erythrolophus</t>
        </is>
      </c>
      <c r="O1581" t="inlineStr">
        <is>
          <t>hypothetical protein N340_12701, partial</t>
        </is>
      </c>
    </row>
    <row r="1582">
      <c r="A1582" t="inlineStr"/>
      <c r="B1582" t="inlineStr"/>
      <c r="C1582" t="inlineStr"/>
      <c r="D1582" t="inlineStr"/>
      <c r="E1582">
        <f>HYPERLINK("https://www.ncbi.nlm.nih.gov/gene/?term=KAG6930089.1", "KAG6930089.1")</f>
        <v/>
      </c>
      <c r="F1582" t="n">
        <v>52.7</v>
      </c>
      <c r="G1582" t="n">
        <v>165</v>
      </c>
      <c r="H1582" t="n">
        <v>6.36e-53</v>
      </c>
      <c r="I1582" t="inlineStr">
        <is>
          <t>Nr</t>
        </is>
      </c>
      <c r="J1582" t="inlineStr"/>
      <c r="K1582" t="inlineStr"/>
      <c r="L1582" t="inlineStr">
        <is>
          <t>KAG6930089.1 hypothetical protein G0U57_004388, partial [Chelydra serpentina]</t>
        </is>
      </c>
      <c r="M1582" t="n">
        <v>249</v>
      </c>
      <c r="N1582" t="inlineStr">
        <is>
          <t>Chelydra serpentina</t>
        </is>
      </c>
      <c r="O1582" t="inlineStr">
        <is>
          <t>hypothetical protein G0U57_004388, partial</t>
        </is>
      </c>
    </row>
    <row r="1583">
      <c r="A1583" t="inlineStr"/>
      <c r="B1583" t="inlineStr"/>
      <c r="C1583" t="inlineStr"/>
      <c r="D1583" t="inlineStr"/>
      <c r="E1583">
        <f>HYPERLINK("https://www.ncbi.nlm.nih.gov/gene/?term=KFV06981.1", "KFV06981.1")</f>
        <v/>
      </c>
      <c r="F1583" t="n">
        <v>51.5</v>
      </c>
      <c r="G1583" t="n">
        <v>165</v>
      </c>
      <c r="H1583" t="n">
        <v>1.17e-52</v>
      </c>
      <c r="I1583" t="inlineStr">
        <is>
          <t>Nr</t>
        </is>
      </c>
      <c r="J1583" t="inlineStr"/>
      <c r="K1583" t="inlineStr"/>
      <c r="L1583" t="inlineStr">
        <is>
          <t>KFV06981.1 hypothetical protein N340_00929, partial [Tauraco erythrolophus]</t>
        </is>
      </c>
      <c r="M1583" t="n">
        <v>246</v>
      </c>
      <c r="N1583" t="inlineStr">
        <is>
          <t>Tauraco erythrolophus</t>
        </is>
      </c>
      <c r="O1583" t="inlineStr">
        <is>
          <t>hypothetical protein N340_00929, partial</t>
        </is>
      </c>
    </row>
    <row r="1584">
      <c r="A1584" t="inlineStr"/>
      <c r="B1584" t="inlineStr"/>
      <c r="C1584" t="inlineStr"/>
      <c r="D1584" t="inlineStr"/>
      <c r="E1584">
        <f>HYPERLINK("https://www.ncbi.nlm.nih.gov/gene/?term=KFV11474.1", "KFV11474.1")</f>
        <v/>
      </c>
      <c r="F1584" t="n">
        <v>51.5</v>
      </c>
      <c r="G1584" t="n">
        <v>165</v>
      </c>
      <c r="H1584" t="n">
        <v>1.17e-52</v>
      </c>
      <c r="I1584" t="inlineStr">
        <is>
          <t>Nr</t>
        </is>
      </c>
      <c r="J1584" t="inlineStr"/>
      <c r="K1584" t="inlineStr"/>
      <c r="L1584" t="inlineStr">
        <is>
          <t>KFV11474.1 hypothetical protein N340_14150, partial [Tauraco erythrolophus]</t>
        </is>
      </c>
      <c r="M1584" t="n">
        <v>246</v>
      </c>
      <c r="N1584" t="inlineStr">
        <is>
          <t>Tauraco erythrolophus</t>
        </is>
      </c>
      <c r="O1584" t="inlineStr">
        <is>
          <t>hypothetical protein N340_14150, partial</t>
        </is>
      </c>
    </row>
    <row r="1585">
      <c r="A1585" t="inlineStr"/>
      <c r="B1585" t="inlineStr"/>
      <c r="C1585" t="inlineStr"/>
      <c r="D1585" t="inlineStr"/>
      <c r="E1585">
        <f>HYPERLINK("https://www.ncbi.nlm.nih.gov/gene/?term=KFV14267.1", "KFV14267.1")</f>
        <v/>
      </c>
      <c r="F1585" t="n">
        <v>51.5</v>
      </c>
      <c r="G1585" t="n">
        <v>165</v>
      </c>
      <c r="H1585" t="n">
        <v>1.17e-52</v>
      </c>
      <c r="I1585" t="inlineStr">
        <is>
          <t>Nr</t>
        </is>
      </c>
      <c r="J1585" t="inlineStr"/>
      <c r="K1585" t="inlineStr"/>
      <c r="L1585" t="inlineStr">
        <is>
          <t>KFV14267.1 hypothetical protein N340_03580, partial [Tauraco erythrolophus]</t>
        </is>
      </c>
      <c r="M1585" t="n">
        <v>246</v>
      </c>
      <c r="N1585" t="inlineStr">
        <is>
          <t>Tauraco erythrolophus</t>
        </is>
      </c>
      <c r="O1585" t="inlineStr">
        <is>
          <t>hypothetical protein N340_03580, partial</t>
        </is>
      </c>
    </row>
    <row r="1586">
      <c r="A1586" t="inlineStr"/>
      <c r="B1586" t="inlineStr"/>
      <c r="C1586" t="inlineStr"/>
      <c r="D1586" t="inlineStr"/>
      <c r="E1586">
        <f>HYPERLINK("https://www.ncbi.nlm.nih.gov/gene/?term=PKU48704.1", "PKU48704.1")</f>
        <v/>
      </c>
      <c r="F1586" t="n">
        <v>53</v>
      </c>
      <c r="G1586" t="n">
        <v>164</v>
      </c>
      <c r="H1586" t="n">
        <v>1.46e-52</v>
      </c>
      <c r="I1586" t="inlineStr">
        <is>
          <t>Nr</t>
        </is>
      </c>
      <c r="J1586" t="inlineStr"/>
      <c r="K1586" t="inlineStr"/>
      <c r="L1586" t="inlineStr">
        <is>
          <t>PKU48704.1 hypothetical protein llap_1028 [Limosa lapponica baueri]</t>
        </is>
      </c>
      <c r="M1586" t="n">
        <v>207</v>
      </c>
      <c r="N1586" t="inlineStr">
        <is>
          <t>Limosa lapponica baueri</t>
        </is>
      </c>
      <c r="O1586" t="inlineStr">
        <is>
          <t>hypothetical protein llap_1028</t>
        </is>
      </c>
    </row>
    <row r="1587">
      <c r="A1587" t="inlineStr"/>
      <c r="B1587" t="inlineStr"/>
      <c r="C1587" t="inlineStr"/>
      <c r="D1587" t="inlineStr"/>
      <c r="E1587">
        <f>HYPERLINK("https://www.ncbi.nlm.nih.gov/gene/?term=PKU46215.1", "PKU46215.1")</f>
        <v/>
      </c>
      <c r="F1587" t="n">
        <v>51.8</v>
      </c>
      <c r="G1587" t="n">
        <v>164</v>
      </c>
      <c r="H1587" t="n">
        <v>1.48e-52</v>
      </c>
      <c r="I1587" t="inlineStr">
        <is>
          <t>Nr</t>
        </is>
      </c>
      <c r="J1587" t="inlineStr"/>
      <c r="K1587" t="inlineStr"/>
      <c r="L1587" t="inlineStr">
        <is>
          <t>PKU46215.1 hypothetical protein llap_3489 [Limosa lapponica baueri]</t>
        </is>
      </c>
      <c r="M1587" t="n">
        <v>185</v>
      </c>
      <c r="N1587" t="inlineStr">
        <is>
          <t>Limosa lapponica baueri</t>
        </is>
      </c>
      <c r="O1587" t="inlineStr">
        <is>
          <t>hypothetical protein llap_3489</t>
        </is>
      </c>
    </row>
    <row r="1588">
      <c r="A1588" t="inlineStr"/>
      <c r="B1588" t="inlineStr"/>
      <c r="C1588" t="inlineStr"/>
      <c r="D1588" t="inlineStr"/>
      <c r="E1588">
        <f>HYPERLINK("https://www.ncbi.nlm.nih.gov/gene/?term=KFV09804.1", "KFV09804.1")</f>
        <v/>
      </c>
      <c r="F1588" t="n">
        <v>51.5</v>
      </c>
      <c r="G1588" t="n">
        <v>165</v>
      </c>
      <c r="H1588" t="n">
        <v>1.65e-52</v>
      </c>
      <c r="I1588" t="inlineStr">
        <is>
          <t>Nr</t>
        </is>
      </c>
      <c r="J1588" t="inlineStr"/>
      <c r="K1588" t="inlineStr"/>
      <c r="L1588" t="inlineStr">
        <is>
          <t>KFV09804.1 hypothetical protein N340_10473, partial [Tauraco erythrolophus]</t>
        </is>
      </c>
      <c r="M1588" t="n">
        <v>246</v>
      </c>
      <c r="N1588" t="inlineStr">
        <is>
          <t>Tauraco erythrolophus</t>
        </is>
      </c>
      <c r="O1588" t="inlineStr">
        <is>
          <t>hypothetical protein N340_10473, partial</t>
        </is>
      </c>
    </row>
    <row r="1589">
      <c r="A1589" t="inlineStr"/>
      <c r="B1589" t="inlineStr"/>
      <c r="C1589" t="inlineStr"/>
      <c r="D1589" t="inlineStr"/>
      <c r="E1589">
        <f>HYPERLINK("https://www.ncbi.nlm.nih.gov/gene/?term=KFV18663.1", "KFV18663.1")</f>
        <v/>
      </c>
      <c r="F1589" t="n">
        <v>51.5</v>
      </c>
      <c r="G1589" t="n">
        <v>165</v>
      </c>
      <c r="H1589" t="n">
        <v>1.65e-52</v>
      </c>
      <c r="I1589" t="inlineStr">
        <is>
          <t>Nr</t>
        </is>
      </c>
      <c r="J1589" t="inlineStr"/>
      <c r="K1589" t="inlineStr"/>
      <c r="L1589" t="inlineStr">
        <is>
          <t>KFV18663.1 hypothetical protein N340_05214, partial [Tauraco erythrolophus]</t>
        </is>
      </c>
      <c r="M1589" t="n">
        <v>246</v>
      </c>
      <c r="N1589" t="inlineStr">
        <is>
          <t>Tauraco erythrolophus</t>
        </is>
      </c>
      <c r="O1589" t="inlineStr">
        <is>
          <t>hypothetical protein N340_05214, partial</t>
        </is>
      </c>
    </row>
    <row r="1590">
      <c r="A1590" t="inlineStr"/>
      <c r="B1590" t="inlineStr"/>
      <c r="C1590" t="inlineStr"/>
      <c r="D1590" t="inlineStr"/>
      <c r="E1590">
        <f>HYPERLINK("https://www.ncbi.nlm.nih.gov/gene/?term=KFV19877.1", "KFV19877.1")</f>
        <v/>
      </c>
      <c r="F1590" t="n">
        <v>51.5</v>
      </c>
      <c r="G1590" t="n">
        <v>165</v>
      </c>
      <c r="H1590" t="n">
        <v>1.65e-52</v>
      </c>
      <c r="I1590" t="inlineStr">
        <is>
          <t>Nr</t>
        </is>
      </c>
      <c r="J1590" t="inlineStr"/>
      <c r="K1590" t="inlineStr"/>
      <c r="L1590" t="inlineStr">
        <is>
          <t>KFV19877.1 hypothetical protein N340_11776, partial [Tauraco erythrolophus]</t>
        </is>
      </c>
      <c r="M1590" t="n">
        <v>246</v>
      </c>
      <c r="N1590" t="inlineStr">
        <is>
          <t>Tauraco erythrolophus</t>
        </is>
      </c>
      <c r="O1590" t="inlineStr">
        <is>
          <t>hypothetical protein N340_11776, partial</t>
        </is>
      </c>
    </row>
    <row r="1591">
      <c r="A1591" t="inlineStr"/>
      <c r="B1591" t="inlineStr"/>
      <c r="C1591" t="inlineStr"/>
      <c r="D1591" t="inlineStr"/>
      <c r="E1591">
        <f>HYPERLINK("https://www.ncbi.nlm.nih.gov/gene/?term=KFV13735.1", "KFV13735.1")</f>
        <v/>
      </c>
      <c r="F1591" t="n">
        <v>51.5</v>
      </c>
      <c r="G1591" t="n">
        <v>165</v>
      </c>
      <c r="H1591" t="n">
        <v>1.65e-52</v>
      </c>
      <c r="I1591" t="inlineStr">
        <is>
          <t>Nr</t>
        </is>
      </c>
      <c r="J1591" t="inlineStr"/>
      <c r="K1591" t="inlineStr"/>
      <c r="L1591" t="inlineStr">
        <is>
          <t>KFV13735.1 hypothetical protein N340_02975, partial [Tauraco erythrolophus]</t>
        </is>
      </c>
      <c r="M1591" t="n">
        <v>246</v>
      </c>
      <c r="N1591" t="inlineStr">
        <is>
          <t>Tauraco erythrolophus</t>
        </is>
      </c>
      <c r="O1591" t="inlineStr">
        <is>
          <t>hypothetical protein N340_02975, partial</t>
        </is>
      </c>
    </row>
    <row r="1592">
      <c r="A1592" t="inlineStr"/>
      <c r="B1592" t="inlineStr"/>
      <c r="C1592" t="inlineStr"/>
      <c r="D1592" t="inlineStr"/>
      <c r="E1592">
        <f>HYPERLINK("https://www.ncbi.nlm.nih.gov/gene/?term=KFV16150.1", "KFV16150.1")</f>
        <v/>
      </c>
      <c r="F1592" t="n">
        <v>51.5</v>
      </c>
      <c r="G1592" t="n">
        <v>165</v>
      </c>
      <c r="H1592" t="n">
        <v>1.65e-52</v>
      </c>
      <c r="I1592" t="inlineStr">
        <is>
          <t>Nr</t>
        </is>
      </c>
      <c r="J1592" t="inlineStr"/>
      <c r="K1592" t="inlineStr"/>
      <c r="L1592" t="inlineStr">
        <is>
          <t>KFV16150.1 hypothetical protein N340_12030, partial [Tauraco erythrolophus]</t>
        </is>
      </c>
      <c r="M1592" t="n">
        <v>246</v>
      </c>
      <c r="N1592" t="inlineStr">
        <is>
          <t>Tauraco erythrolophus</t>
        </is>
      </c>
      <c r="O1592" t="inlineStr">
        <is>
          <t>hypothetical protein N340_12030, partial</t>
        </is>
      </c>
    </row>
    <row r="1593">
      <c r="A1593" t="inlineStr"/>
      <c r="B1593" t="inlineStr"/>
      <c r="C1593" t="inlineStr"/>
      <c r="D1593" t="inlineStr"/>
      <c r="E1593">
        <f>HYPERLINK("https://www.ncbi.nlm.nih.gov/gene/?term=KFV20270.1", "KFV20270.1")</f>
        <v/>
      </c>
      <c r="F1593" t="n">
        <v>51.5</v>
      </c>
      <c r="G1593" t="n">
        <v>165</v>
      </c>
      <c r="H1593" t="n">
        <v>1.65e-52</v>
      </c>
      <c r="I1593" t="inlineStr">
        <is>
          <t>Nr</t>
        </is>
      </c>
      <c r="J1593" t="inlineStr"/>
      <c r="K1593" t="inlineStr"/>
      <c r="L1593" t="inlineStr">
        <is>
          <t>KFV20270.1 hypothetical protein N340_05359, partial [Tauraco erythrolophus]</t>
        </is>
      </c>
      <c r="M1593" t="n">
        <v>246</v>
      </c>
      <c r="N1593" t="inlineStr">
        <is>
          <t>Tauraco erythrolophus</t>
        </is>
      </c>
      <c r="O1593" t="inlineStr">
        <is>
          <t>hypothetical protein N340_05359, partial</t>
        </is>
      </c>
    </row>
    <row r="1594">
      <c r="A1594" t="inlineStr"/>
      <c r="B1594" t="inlineStr"/>
      <c r="C1594" t="inlineStr"/>
      <c r="D1594" t="inlineStr"/>
      <c r="E1594">
        <f>HYPERLINK("https://www.ncbi.nlm.nih.gov/gene/?term=KFV19103.1", "KFV19103.1")</f>
        <v/>
      </c>
      <c r="F1594" t="n">
        <v>51.5</v>
      </c>
      <c r="G1594" t="n">
        <v>165</v>
      </c>
      <c r="H1594" t="n">
        <v>1.65e-52</v>
      </c>
      <c r="I1594" t="inlineStr">
        <is>
          <t>Nr</t>
        </is>
      </c>
      <c r="J1594" t="inlineStr"/>
      <c r="K1594" t="inlineStr"/>
      <c r="L1594" t="inlineStr">
        <is>
          <t>KFV19103.1 hypothetical protein N340_12203, partial [Tauraco erythrolophus]</t>
        </is>
      </c>
      <c r="M1594" t="n">
        <v>246</v>
      </c>
      <c r="N1594" t="inlineStr">
        <is>
          <t>Tauraco erythrolophus</t>
        </is>
      </c>
      <c r="O1594" t="inlineStr">
        <is>
          <t>hypothetical protein N340_12203, partial</t>
        </is>
      </c>
    </row>
    <row r="1595">
      <c r="A1595" t="inlineStr"/>
      <c r="B1595" t="inlineStr"/>
      <c r="C1595" t="inlineStr"/>
      <c r="D1595" t="inlineStr"/>
      <c r="E1595">
        <f>HYPERLINK("https://www.ncbi.nlm.nih.gov/gene/?term=PKU37604.1", "PKU37604.1")</f>
        <v/>
      </c>
      <c r="F1595" t="n">
        <v>52.4</v>
      </c>
      <c r="G1595" t="n">
        <v>164</v>
      </c>
      <c r="H1595" t="n">
        <v>2.1e-52</v>
      </c>
      <c r="I1595" t="inlineStr">
        <is>
          <t>Nr</t>
        </is>
      </c>
      <c r="J1595" t="inlineStr"/>
      <c r="K1595" t="inlineStr"/>
      <c r="L1595" t="inlineStr">
        <is>
          <t>PKU37604.1 hypothetical protein llap_12091 [Limosa lapponica baueri]</t>
        </is>
      </c>
      <c r="M1595" t="n">
        <v>185</v>
      </c>
      <c r="N1595" t="inlineStr">
        <is>
          <t>Limosa lapponica baueri</t>
        </is>
      </c>
      <c r="O1595" t="inlineStr">
        <is>
          <t>hypothetical protein llap_12091</t>
        </is>
      </c>
    </row>
    <row r="1596">
      <c r="A1596" t="inlineStr"/>
      <c r="B1596" t="inlineStr"/>
      <c r="C1596" t="inlineStr"/>
      <c r="D1596" t="inlineStr"/>
      <c r="E1596">
        <f>HYPERLINK("https://www.ncbi.nlm.nih.gov/gene/?term=KFV17347.1", "KFV17347.1")</f>
        <v/>
      </c>
      <c r="F1596" t="n">
        <v>51.5</v>
      </c>
      <c r="G1596" t="n">
        <v>165</v>
      </c>
      <c r="H1596" t="n">
        <v>2.34e-52</v>
      </c>
      <c r="I1596" t="inlineStr">
        <is>
          <t>Nr</t>
        </is>
      </c>
      <c r="J1596" t="inlineStr"/>
      <c r="K1596" t="inlineStr"/>
      <c r="L1596" t="inlineStr">
        <is>
          <t>KFV17347.1 hypothetical protein N340_02693, partial [Tauraco erythrolophus]</t>
        </is>
      </c>
      <c r="M1596" t="n">
        <v>246</v>
      </c>
      <c r="N1596" t="inlineStr">
        <is>
          <t>Tauraco erythrolophus</t>
        </is>
      </c>
      <c r="O1596" t="inlineStr">
        <is>
          <t>hypothetical protein N340_02693, partial</t>
        </is>
      </c>
    </row>
    <row r="1597">
      <c r="A1597" t="inlineStr"/>
      <c r="B1597" t="inlineStr"/>
      <c r="C1597" t="inlineStr"/>
      <c r="D1597" t="inlineStr"/>
      <c r="E1597">
        <f>HYPERLINK("https://www.ncbi.nlm.nih.gov/gene/?term=KFV04335.1", "KFV04335.1")</f>
        <v/>
      </c>
      <c r="F1597" t="n">
        <v>50.9</v>
      </c>
      <c r="G1597" t="n">
        <v>165</v>
      </c>
      <c r="H1597" t="n">
        <v>2.34e-52</v>
      </c>
      <c r="I1597" t="inlineStr">
        <is>
          <t>Nr</t>
        </is>
      </c>
      <c r="J1597" t="inlineStr"/>
      <c r="K1597" t="inlineStr"/>
      <c r="L1597" t="inlineStr">
        <is>
          <t>KFV04335.1 hypothetical protein N340_14331, partial [Tauraco erythrolophus]</t>
        </is>
      </c>
      <c r="M1597" t="n">
        <v>246</v>
      </c>
      <c r="N1597" t="inlineStr">
        <is>
          <t>Tauraco erythrolophus</t>
        </is>
      </c>
      <c r="O1597" t="inlineStr">
        <is>
          <t>hypothetical protein N340_14331, partial</t>
        </is>
      </c>
    </row>
    <row r="1598">
      <c r="A1598" t="inlineStr">
        <is>
          <t>NODE_14182_length_5531_cov_305.492130_g4958_i0</t>
        </is>
      </c>
      <c r="B1598" t="inlineStr">
        <is>
          <t>bombina_pachypus_blastx</t>
        </is>
      </c>
      <c r="C1598" t="n">
        <v>1.66697762759509</v>
      </c>
      <c r="D1598" t="n">
        <v>0.0419912686620625</v>
      </c>
      <c r="E1598">
        <f>HYPERLINK("https://www.ncbi.nlm.nih.gov/gene/?term=XP_018091270.1", "XP_018091270.1")</f>
        <v/>
      </c>
      <c r="F1598" t="n">
        <v>93.2</v>
      </c>
      <c r="G1598" t="n">
        <v>571</v>
      </c>
      <c r="H1598" t="n">
        <v>0</v>
      </c>
      <c r="I1598" t="inlineStr">
        <is>
          <t>Nr</t>
        </is>
      </c>
      <c r="J1598" t="inlineStr"/>
      <c r="K1598" t="inlineStr"/>
      <c r="L1598" t="inlineStr">
        <is>
          <t>XP_018091270.1 polypeptide N-acetylgalactosaminyltransferase 13 isoform X2 [Xenopus laevis]</t>
        </is>
      </c>
      <c r="M1598" t="n">
        <v>571</v>
      </c>
      <c r="N1598" t="inlineStr">
        <is>
          <t>Xenopus laevis</t>
        </is>
      </c>
      <c r="O1598" t="inlineStr">
        <is>
          <t>polypeptide N-acetylgalactosaminyltransferase 13 isoform X2</t>
        </is>
      </c>
    </row>
    <row r="1599">
      <c r="A1599" t="inlineStr"/>
      <c r="B1599" t="inlineStr"/>
      <c r="C1599" t="inlineStr"/>
      <c r="D1599" t="inlineStr"/>
      <c r="E1599">
        <f>HYPERLINK("https://www.ncbi.nlm.nih.gov/gene/?term=XP_041433695.1", "XP_041433695.1")</f>
        <v/>
      </c>
      <c r="F1599" t="n">
        <v>93.3</v>
      </c>
      <c r="G1599" t="n">
        <v>571</v>
      </c>
      <c r="H1599" t="n">
        <v>0</v>
      </c>
      <c r="I1599" t="inlineStr">
        <is>
          <t>Nr</t>
        </is>
      </c>
      <c r="J1599" t="inlineStr"/>
      <c r="K1599" t="inlineStr"/>
      <c r="L1599" t="inlineStr">
        <is>
          <t>XP_041433695.1 polypeptide N-acetylgalactosaminyltransferase 13 S homeolog isoform X2 [Xenopus laevis]</t>
        </is>
      </c>
      <c r="M1599" t="n">
        <v>571</v>
      </c>
      <c r="N1599" t="inlineStr">
        <is>
          <t>Xenopus laevis</t>
        </is>
      </c>
      <c r="O1599" t="inlineStr">
        <is>
          <t>polypeptide N-acetylgalactosaminyltransferase 13 S homeolog isoform X2</t>
        </is>
      </c>
    </row>
    <row r="1600">
      <c r="A1600" t="inlineStr"/>
      <c r="B1600" t="inlineStr"/>
      <c r="C1600" t="inlineStr"/>
      <c r="D1600" t="inlineStr"/>
      <c r="E1600">
        <f>HYPERLINK("https://www.ncbi.nlm.nih.gov/gene/?term=XP_031748551.1", "XP_031748551.1")</f>
        <v/>
      </c>
      <c r="F1600" t="n">
        <v>93.2</v>
      </c>
      <c r="G1600" t="n">
        <v>571</v>
      </c>
      <c r="H1600" t="n">
        <v>0</v>
      </c>
      <c r="I1600" t="inlineStr">
        <is>
          <t>Nr</t>
        </is>
      </c>
      <c r="J1600" t="inlineStr"/>
      <c r="K1600" t="inlineStr"/>
      <c r="L1600" t="inlineStr">
        <is>
          <t>XP_031748551.1 polypeptide N-acetylgalactosaminyltransferase 13 isoform X1 [Xenopus tropicalis]</t>
        </is>
      </c>
      <c r="M1600" t="n">
        <v>571</v>
      </c>
      <c r="N1600" t="inlineStr">
        <is>
          <t>Xenopus tropicalis</t>
        </is>
      </c>
      <c r="O1600" t="inlineStr">
        <is>
          <t>polypeptide N-acetylgalactosaminyltransferase 13 isoform X1</t>
        </is>
      </c>
    </row>
    <row r="1601">
      <c r="A1601" t="inlineStr"/>
      <c r="B1601" t="inlineStr"/>
      <c r="C1601" t="inlineStr"/>
      <c r="D1601" t="inlineStr"/>
      <c r="E1601">
        <f>HYPERLINK("https://www.ncbi.nlm.nih.gov/gene/?term=XP_040213878.1", "XP_040213878.1")</f>
        <v/>
      </c>
      <c r="F1601" t="n">
        <v>92.8</v>
      </c>
      <c r="G1601" t="n">
        <v>571</v>
      </c>
      <c r="H1601" t="n">
        <v>0</v>
      </c>
      <c r="I1601" t="inlineStr">
        <is>
          <t>Nr</t>
        </is>
      </c>
      <c r="J1601" t="inlineStr"/>
      <c r="K1601" t="inlineStr"/>
      <c r="L1601" t="inlineStr">
        <is>
          <t>XP_040213878.1 polypeptide N-acetylgalactosaminyltransferase 13 isoform X1 [Rana temporaria]</t>
        </is>
      </c>
      <c r="M1601" t="n">
        <v>571</v>
      </c>
      <c r="N1601" t="inlineStr">
        <is>
          <t>Rana temporaria</t>
        </is>
      </c>
      <c r="O1601" t="inlineStr">
        <is>
          <t>polypeptide N-acetylgalactosaminyltransferase 13 isoform X1</t>
        </is>
      </c>
    </row>
    <row r="1602">
      <c r="A1602" t="inlineStr"/>
      <c r="B1602" t="inlineStr"/>
      <c r="C1602" t="inlineStr"/>
      <c r="D1602" t="inlineStr"/>
      <c r="E1602">
        <f>HYPERLINK("https://www.ncbi.nlm.nih.gov/gene/?term=XP_041433694.1", "XP_041433694.1")</f>
        <v/>
      </c>
      <c r="F1602" t="n">
        <v>91.59999999999999</v>
      </c>
      <c r="G1602" t="n">
        <v>581</v>
      </c>
      <c r="H1602" t="n">
        <v>0</v>
      </c>
      <c r="I1602" t="inlineStr">
        <is>
          <t>Nr</t>
        </is>
      </c>
      <c r="J1602" t="inlineStr"/>
      <c r="K1602" t="inlineStr"/>
      <c r="L1602" t="inlineStr">
        <is>
          <t>XP_041433694.1 polypeptide N-acetylgalactosaminyltransferase 13 S homeolog isoform X1 [Xenopus laevis]</t>
        </is>
      </c>
      <c r="M1602" t="n">
        <v>581</v>
      </c>
      <c r="N1602" t="inlineStr">
        <is>
          <t>Xenopus laevis</t>
        </is>
      </c>
      <c r="O1602" t="inlineStr">
        <is>
          <t>polypeptide N-acetylgalactosaminyltransferase 13 S homeolog isoform X1</t>
        </is>
      </c>
    </row>
    <row r="1603">
      <c r="A1603" t="inlineStr"/>
      <c r="B1603" t="inlineStr"/>
      <c r="C1603" t="inlineStr"/>
      <c r="D1603" t="inlineStr"/>
      <c r="E1603">
        <f>HYPERLINK("https://www.ncbi.nlm.nih.gov/gene/?term=KAE8581170.1", "KAE8581170.1")</f>
        <v/>
      </c>
      <c r="F1603" t="n">
        <v>91.40000000000001</v>
      </c>
      <c r="G1603" t="n">
        <v>581</v>
      </c>
      <c r="H1603" t="n">
        <v>0</v>
      </c>
      <c r="I1603" t="inlineStr">
        <is>
          <t>Nr</t>
        </is>
      </c>
      <c r="J1603" t="inlineStr"/>
      <c r="K1603" t="inlineStr"/>
      <c r="L1603" t="inlineStr">
        <is>
          <t>KAE8581170.1 hypothetical protein XENTR_v10024689 [Xenopus tropicalis]</t>
        </is>
      </c>
      <c r="M1603" t="n">
        <v>581</v>
      </c>
      <c r="N1603" t="inlineStr">
        <is>
          <t>Xenopus tropicalis</t>
        </is>
      </c>
      <c r="O1603" t="inlineStr">
        <is>
          <t>hypothetical protein XENTR_v10024689</t>
        </is>
      </c>
    </row>
    <row r="1604">
      <c r="A1604" t="inlineStr"/>
      <c r="B1604" t="inlineStr"/>
      <c r="C1604" t="inlineStr"/>
      <c r="D1604" t="inlineStr"/>
      <c r="E1604">
        <f>HYPERLINK("https://www.ncbi.nlm.nih.gov/gene/?term=XP_006125715.1", "XP_006125715.1")</f>
        <v/>
      </c>
      <c r="F1604" t="n">
        <v>91.90000000000001</v>
      </c>
      <c r="G1604" t="n">
        <v>571</v>
      </c>
      <c r="H1604" t="n">
        <v>0</v>
      </c>
      <c r="I1604" t="inlineStr">
        <is>
          <t>Nr</t>
        </is>
      </c>
      <c r="J1604" t="inlineStr"/>
      <c r="K1604" t="inlineStr"/>
      <c r="L1604" t="inlineStr">
        <is>
          <t>XP_006125715.1 polypeptide N-acetylgalactosaminyltransferase 13 isoform X1 [Pelodiscus sinensis]</t>
        </is>
      </c>
      <c r="M1604" t="n">
        <v>571</v>
      </c>
      <c r="N1604" t="inlineStr">
        <is>
          <t>Pelodiscus sinensis</t>
        </is>
      </c>
      <c r="O1604" t="inlineStr">
        <is>
          <t>polypeptide N-acetylgalactosaminyltransferase 13 isoform X1</t>
        </is>
      </c>
    </row>
    <row r="1605">
      <c r="A1605" t="inlineStr"/>
      <c r="B1605" t="inlineStr"/>
      <c r="C1605" t="inlineStr"/>
      <c r="D1605" t="inlineStr"/>
      <c r="E1605">
        <f>HYPERLINK("https://www.ncbi.nlm.nih.gov/gene/?term=XP_048725397.1", "XP_048725397.1")</f>
        <v/>
      </c>
      <c r="F1605" t="n">
        <v>91.90000000000001</v>
      </c>
      <c r="G1605" t="n">
        <v>571</v>
      </c>
      <c r="H1605" t="n">
        <v>0</v>
      </c>
      <c r="I1605" t="inlineStr">
        <is>
          <t>Nr</t>
        </is>
      </c>
      <c r="J1605" t="inlineStr"/>
      <c r="K1605" t="inlineStr"/>
      <c r="L1605" t="inlineStr">
        <is>
          <t>XP_048725397.1 polypeptide N-acetylgalactosaminyltransferase 13 isoform X1 [Caretta caretta]</t>
        </is>
      </c>
      <c r="M1605" t="n">
        <v>571</v>
      </c>
      <c r="N1605" t="inlineStr">
        <is>
          <t>Caretta caretta</t>
        </is>
      </c>
      <c r="O1605" t="inlineStr">
        <is>
          <t>polypeptide N-acetylgalactosaminyltransferase 13 isoform X1</t>
        </is>
      </c>
    </row>
    <row r="1606">
      <c r="A1606" t="inlineStr"/>
      <c r="B1606" t="inlineStr"/>
      <c r="C1606" t="inlineStr"/>
      <c r="D1606" t="inlineStr"/>
      <c r="E1606">
        <f>HYPERLINK("https://www.ncbi.nlm.nih.gov/gene/?term=XP_025061885.1", "XP_025061885.1")</f>
        <v/>
      </c>
      <c r="F1606" t="n">
        <v>91.8</v>
      </c>
      <c r="G1606" t="n">
        <v>571</v>
      </c>
      <c r="H1606" t="n">
        <v>0</v>
      </c>
      <c r="I1606" t="inlineStr">
        <is>
          <t>Nr</t>
        </is>
      </c>
      <c r="J1606" t="inlineStr"/>
      <c r="K1606" t="inlineStr"/>
      <c r="L1606" t="inlineStr">
        <is>
          <t>XP_025061885.1 polypeptide N-acetylgalactosaminyltransferase 13 isoform X1 [Alligator sinensis]</t>
        </is>
      </c>
      <c r="M1606" t="n">
        <v>571</v>
      </c>
      <c r="N1606" t="inlineStr">
        <is>
          <t>Alligator sinensis</t>
        </is>
      </c>
      <c r="O1606" t="inlineStr">
        <is>
          <t>polypeptide N-acetylgalactosaminyltransferase 13 isoform X1</t>
        </is>
      </c>
    </row>
    <row r="1607">
      <c r="A1607" t="inlineStr"/>
      <c r="B1607" t="inlineStr"/>
      <c r="C1607" t="inlineStr"/>
      <c r="D1607" t="inlineStr"/>
      <c r="E1607">
        <f>HYPERLINK("https://www.ncbi.nlm.nih.gov/gene/?term=XP_019336125.1", "XP_019336125.1")</f>
        <v/>
      </c>
      <c r="F1607" t="n">
        <v>91.8</v>
      </c>
      <c r="G1607" t="n">
        <v>571</v>
      </c>
      <c r="H1607" t="n">
        <v>0</v>
      </c>
      <c r="I1607" t="inlineStr">
        <is>
          <t>Nr</t>
        </is>
      </c>
      <c r="J1607" t="inlineStr"/>
      <c r="K1607" t="inlineStr"/>
      <c r="L1607" t="inlineStr">
        <is>
          <t>XP_019336125.1 PREDICTED: polypeptide N-acetylgalactosaminyltransferase 13 isoform X1 [Alligator mississippiensis]</t>
        </is>
      </c>
      <c r="M1607" t="n">
        <v>571</v>
      </c>
      <c r="N1607" t="inlineStr">
        <is>
          <t>Alligator mississippiensis</t>
        </is>
      </c>
      <c r="O1607" t="inlineStr">
        <is>
          <t>PREDICTED: polypeptide N-acetylgalactosaminyltransferase 13 isoform X1</t>
        </is>
      </c>
    </row>
    <row r="1608">
      <c r="A1608" t="inlineStr"/>
      <c r="B1608" t="inlineStr"/>
      <c r="C1608" t="inlineStr"/>
      <c r="D1608" t="inlineStr"/>
      <c r="E1608">
        <f>HYPERLINK("https://www.ncbi.nlm.nih.gov/gene/?term=XP_033918002.1", "XP_033918002.1")</f>
        <v/>
      </c>
      <c r="F1608" t="n">
        <v>91.40000000000001</v>
      </c>
      <c r="G1608" t="n">
        <v>571</v>
      </c>
      <c r="H1608" t="n">
        <v>0</v>
      </c>
      <c r="I1608" t="inlineStr">
        <is>
          <t>Nr</t>
        </is>
      </c>
      <c r="J1608" t="inlineStr"/>
      <c r="K1608" t="inlineStr"/>
      <c r="L1608" t="inlineStr">
        <is>
          <t>XP_033918002.1 polypeptide N-acetylgalactosaminyltransferase 13 isoform X1 [Melopsittacus undulatus]</t>
        </is>
      </c>
      <c r="M1608" t="n">
        <v>571</v>
      </c>
      <c r="N1608" t="inlineStr">
        <is>
          <t>Melopsittacus undulatus</t>
        </is>
      </c>
      <c r="O1608" t="inlineStr">
        <is>
          <t>polypeptide N-acetylgalactosaminyltransferase 13 isoform X1</t>
        </is>
      </c>
    </row>
    <row r="1609">
      <c r="A1609" t="inlineStr"/>
      <c r="B1609" t="inlineStr"/>
      <c r="C1609" t="inlineStr"/>
      <c r="D1609" t="inlineStr"/>
      <c r="E1609">
        <f>HYPERLINK("https://www.ncbi.nlm.nih.gov/gene/?term=XP_020652747.1", "XP_020652747.1")</f>
        <v/>
      </c>
      <c r="F1609" t="n">
        <v>91.09999999999999</v>
      </c>
      <c r="G1609" t="n">
        <v>571</v>
      </c>
      <c r="H1609" t="n">
        <v>0</v>
      </c>
      <c r="I1609" t="inlineStr">
        <is>
          <t>Nr</t>
        </is>
      </c>
      <c r="J1609" t="inlineStr"/>
      <c r="K1609" t="inlineStr"/>
      <c r="L1609" t="inlineStr">
        <is>
          <t>XP_020652747.1 polypeptide N-acetylgalactosaminyltransferase 13 isoform X2 [Pogona vitticeps]</t>
        </is>
      </c>
      <c r="M1609" t="n">
        <v>571</v>
      </c>
      <c r="N1609" t="inlineStr">
        <is>
          <t>Pogona vitticeps</t>
        </is>
      </c>
      <c r="O1609" t="inlineStr">
        <is>
          <t>polypeptide N-acetylgalactosaminyltransferase 13 isoform X2</t>
        </is>
      </c>
    </row>
    <row r="1610">
      <c r="A1610" t="inlineStr"/>
      <c r="B1610" t="inlineStr"/>
      <c r="C1610" t="inlineStr"/>
      <c r="D1610" t="inlineStr"/>
      <c r="E1610">
        <f>HYPERLINK("https://www.ncbi.nlm.nih.gov/gene/?term=XP_009664812.1", "XP_009664812.1")</f>
        <v/>
      </c>
      <c r="F1610" t="n">
        <v>91.59999999999999</v>
      </c>
      <c r="G1610" t="n">
        <v>571</v>
      </c>
      <c r="H1610" t="n">
        <v>0</v>
      </c>
      <c r="I1610" t="inlineStr">
        <is>
          <t>Nr</t>
        </is>
      </c>
      <c r="J1610" t="inlineStr"/>
      <c r="K1610" t="inlineStr"/>
      <c r="L1610" t="inlineStr">
        <is>
          <t>XP_009664812.1 PREDICTED: polypeptide N-acetylgalactosaminyltransferase 13 [Struthio camelus australis]</t>
        </is>
      </c>
      <c r="M1610" t="n">
        <v>571</v>
      </c>
      <c r="N1610" t="inlineStr">
        <is>
          <t>Struthio camelus australis</t>
        </is>
      </c>
      <c r="O1610" t="inlineStr">
        <is>
          <t>PREDICTED: polypeptide N-acetylgalactosaminyltransferase 13</t>
        </is>
      </c>
    </row>
    <row r="1611">
      <c r="A1611" t="inlineStr"/>
      <c r="B1611" t="inlineStr"/>
      <c r="C1611" t="inlineStr"/>
      <c r="D1611" t="inlineStr"/>
      <c r="E1611">
        <f>HYPERLINK("https://www.ncbi.nlm.nih.gov/gene/?term=XP_053263129.1", "XP_053263129.1")</f>
        <v/>
      </c>
      <c r="F1611" t="n">
        <v>90.90000000000001</v>
      </c>
      <c r="G1611" t="n">
        <v>571</v>
      </c>
      <c r="H1611" t="n">
        <v>0</v>
      </c>
      <c r="I1611" t="inlineStr">
        <is>
          <t>Nr</t>
        </is>
      </c>
      <c r="J1611" t="inlineStr"/>
      <c r="K1611" t="inlineStr"/>
      <c r="L1611" t="inlineStr">
        <is>
          <t>XP_053263129.1 polypeptide N-acetylgalactosaminyltransferase 13 isoform X1 [Podarcis raffonei]</t>
        </is>
      </c>
      <c r="M1611" t="n">
        <v>571</v>
      </c>
      <c r="N1611" t="inlineStr">
        <is>
          <t>Podarcis raffonei</t>
        </is>
      </c>
      <c r="O1611" t="inlineStr">
        <is>
          <t>polypeptide N-acetylgalactosaminyltransferase 13 isoform X1</t>
        </is>
      </c>
    </row>
    <row r="1612">
      <c r="A1612" t="inlineStr"/>
      <c r="B1612" t="inlineStr"/>
      <c r="C1612" t="inlineStr"/>
      <c r="D1612" t="inlineStr"/>
      <c r="E1612">
        <f>HYPERLINK("https://www.ncbi.nlm.nih.gov/gene/?term=XP_009271424.1", "XP_009271424.1")</f>
        <v/>
      </c>
      <c r="F1612" t="n">
        <v>90.7</v>
      </c>
      <c r="G1612" t="n">
        <v>571</v>
      </c>
      <c r="H1612" t="n">
        <v>0</v>
      </c>
      <c r="I1612" t="inlineStr">
        <is>
          <t>Nr</t>
        </is>
      </c>
      <c r="J1612" t="inlineStr"/>
      <c r="K1612" t="inlineStr"/>
      <c r="L1612" t="inlineStr">
        <is>
          <t>XP_009271424.1 PREDICTED: polypeptide N-acetylgalactosaminyltransferase 13 [Aptenodytes forsteri]</t>
        </is>
      </c>
      <c r="M1612" t="n">
        <v>571</v>
      </c>
      <c r="N1612" t="inlineStr">
        <is>
          <t>Aptenodytes forsteri</t>
        </is>
      </c>
      <c r="O1612" t="inlineStr">
        <is>
          <t>PREDICTED: polypeptide N-acetylgalactosaminyltransferase 13</t>
        </is>
      </c>
    </row>
    <row r="1613">
      <c r="A1613" t="inlineStr"/>
      <c r="B1613" t="inlineStr"/>
      <c r="C1613" t="inlineStr"/>
      <c r="D1613" t="inlineStr"/>
      <c r="E1613">
        <f>HYPERLINK("https://www.ncbi.nlm.nih.gov/gene/?term=XP_037254240.1", "XP_037254240.1")</f>
        <v/>
      </c>
      <c r="F1613" t="n">
        <v>89.7</v>
      </c>
      <c r="G1613" t="n">
        <v>581</v>
      </c>
      <c r="H1613" t="n">
        <v>0</v>
      </c>
      <c r="I1613" t="inlineStr">
        <is>
          <t>Nr</t>
        </is>
      </c>
      <c r="J1613" t="inlineStr"/>
      <c r="K1613" t="inlineStr"/>
      <c r="L1613" t="inlineStr">
        <is>
          <t>XP_037254240.1 polypeptide N-acetylgalactosaminyltransferase 13 isoform X1 [Falco rusticolus]</t>
        </is>
      </c>
      <c r="M1613" t="n">
        <v>581</v>
      </c>
      <c r="N1613" t="inlineStr">
        <is>
          <t>Falco rusticolus</t>
        </is>
      </c>
      <c r="O1613" t="inlineStr">
        <is>
          <t>polypeptide N-acetylgalactosaminyltransferase 13 isoform X1</t>
        </is>
      </c>
    </row>
    <row r="1614">
      <c r="A1614" t="inlineStr"/>
      <c r="B1614" t="inlineStr"/>
      <c r="C1614" t="inlineStr"/>
      <c r="D1614" t="inlineStr"/>
      <c r="E1614">
        <f>HYPERLINK("https://www.ncbi.nlm.nih.gov/gene/?term=XP_042336670.1", "XP_042336670.1")</f>
        <v/>
      </c>
      <c r="F1614" t="n">
        <v>90.5</v>
      </c>
      <c r="G1614" t="n">
        <v>571</v>
      </c>
      <c r="H1614" t="n">
        <v>0</v>
      </c>
      <c r="I1614" t="inlineStr">
        <is>
          <t>Nr</t>
        </is>
      </c>
      <c r="J1614" t="inlineStr"/>
      <c r="K1614" t="inlineStr"/>
      <c r="L1614" t="inlineStr">
        <is>
          <t>XP_042336670.1 polypeptide N-acetylgalactosaminyltransferase 13 isoform X2 [Sceloporus undulatus]</t>
        </is>
      </c>
      <c r="M1614" t="n">
        <v>571</v>
      </c>
      <c r="N1614" t="inlineStr">
        <is>
          <t>Sceloporus undulatus</t>
        </is>
      </c>
      <c r="O1614" t="inlineStr">
        <is>
          <t>polypeptide N-acetylgalactosaminyltransferase 13 isoform X2</t>
        </is>
      </c>
    </row>
    <row r="1615">
      <c r="A1615" t="inlineStr"/>
      <c r="B1615" t="inlineStr"/>
      <c r="C1615" t="inlineStr"/>
      <c r="D1615" t="inlineStr"/>
      <c r="E1615">
        <f>HYPERLINK("https://www.ncbi.nlm.nih.gov/gene/?term=XP_029873417.1", "XP_029873417.1")</f>
        <v/>
      </c>
      <c r="F1615" t="n">
        <v>89.8</v>
      </c>
      <c r="G1615" t="n">
        <v>581</v>
      </c>
      <c r="H1615" t="n">
        <v>0</v>
      </c>
      <c r="I1615" t="inlineStr">
        <is>
          <t>Nr</t>
        </is>
      </c>
      <c r="J1615" t="inlineStr"/>
      <c r="K1615" t="inlineStr"/>
      <c r="L1615" t="inlineStr">
        <is>
          <t>XP_029873417.1 polypeptide N-acetylgalactosaminyltransferase 13 isoform X1 [Aquila chrysaetos chrysaetos]</t>
        </is>
      </c>
      <c r="M1615" t="n">
        <v>581</v>
      </c>
      <c r="N1615" t="inlineStr">
        <is>
          <t>Aquila chrysaetos chrysaetos</t>
        </is>
      </c>
      <c r="O1615" t="inlineStr">
        <is>
          <t>polypeptide N-acetylgalactosaminyltransferase 13 isoform X1</t>
        </is>
      </c>
    </row>
    <row r="1616">
      <c r="A1616" t="inlineStr"/>
      <c r="B1616" t="inlineStr"/>
      <c r="C1616" t="inlineStr"/>
      <c r="D1616" t="inlineStr"/>
      <c r="E1616">
        <f>HYPERLINK("https://www.ncbi.nlm.nih.gov/gene/?term=XP_049665304.1", "XP_049665304.1")</f>
        <v/>
      </c>
      <c r="F1616" t="n">
        <v>89.8</v>
      </c>
      <c r="G1616" t="n">
        <v>581</v>
      </c>
      <c r="H1616" t="n">
        <v>0</v>
      </c>
      <c r="I1616" t="inlineStr">
        <is>
          <t>Nr</t>
        </is>
      </c>
      <c r="J1616" t="inlineStr"/>
      <c r="K1616" t="inlineStr"/>
      <c r="L1616" t="inlineStr">
        <is>
          <t>XP_049665304.1 polypeptide N-acetylgalactosaminyltransferase 13 isoform X1 [Accipiter gentilis]</t>
        </is>
      </c>
      <c r="M1616" t="n">
        <v>581</v>
      </c>
      <c r="N1616" t="inlineStr">
        <is>
          <t>Accipiter gentilis</t>
        </is>
      </c>
      <c r="O1616" t="inlineStr">
        <is>
          <t>polypeptide N-acetylgalactosaminyltransferase 13 isoform X1</t>
        </is>
      </c>
    </row>
    <row r="1617">
      <c r="A1617" t="inlineStr"/>
      <c r="B1617" t="inlineStr"/>
      <c r="C1617" t="inlineStr"/>
      <c r="D1617" t="inlineStr"/>
      <c r="E1617">
        <f>HYPERLINK("https://www.ncbi.nlm.nih.gov/gene/?term=XP_027634848.1", "XP_027634848.1")</f>
        <v/>
      </c>
      <c r="F1617" t="n">
        <v>89.2</v>
      </c>
      <c r="G1617" t="n">
        <v>584</v>
      </c>
      <c r="H1617" t="n">
        <v>0</v>
      </c>
      <c r="I1617" t="inlineStr">
        <is>
          <t>Nr</t>
        </is>
      </c>
      <c r="J1617" t="inlineStr"/>
      <c r="K1617" t="inlineStr"/>
      <c r="L1617" t="inlineStr">
        <is>
          <t>XP_027634848.1 polypeptide N-acetylgalactosaminyltransferase 13 isoform X1 [Falco peregrinus]</t>
        </is>
      </c>
      <c r="M1617" t="n">
        <v>584</v>
      </c>
      <c r="N1617" t="inlineStr">
        <is>
          <t>Falco peregrinus</t>
        </is>
      </c>
      <c r="O1617" t="inlineStr">
        <is>
          <t>polypeptide N-acetylgalactosaminyltransferase 13 isoform X1</t>
        </is>
      </c>
    </row>
    <row r="1618">
      <c r="A1618" t="inlineStr"/>
      <c r="B1618" t="inlineStr"/>
      <c r="C1618" t="inlineStr"/>
      <c r="D1618" t="inlineStr"/>
      <c r="E1618">
        <f>HYPERLINK("https://www.ncbi.nlm.nih.gov/gene/?term=XP_034987621.1", "XP_034987621.1")</f>
        <v/>
      </c>
      <c r="F1618" t="n">
        <v>90.40000000000001</v>
      </c>
      <c r="G1618" t="n">
        <v>571</v>
      </c>
      <c r="H1618" t="n">
        <v>0</v>
      </c>
      <c r="I1618" t="inlineStr">
        <is>
          <t>Nr</t>
        </is>
      </c>
      <c r="J1618" t="inlineStr"/>
      <c r="K1618" t="inlineStr"/>
      <c r="L1618" t="inlineStr">
        <is>
          <t>XP_034987621.1 polypeptide N-acetylgalactosaminyltransferase 13 isoform X1 [Zootoca vivipara]</t>
        </is>
      </c>
      <c r="M1618" t="n">
        <v>571</v>
      </c>
      <c r="N1618" t="inlineStr">
        <is>
          <t>Zootoca vivipara</t>
        </is>
      </c>
      <c r="O1618" t="inlineStr">
        <is>
          <t>polypeptide N-acetylgalactosaminyltransferase 13 isoform X1</t>
        </is>
      </c>
    </row>
    <row r="1619">
      <c r="A1619" t="inlineStr"/>
      <c r="B1619" t="inlineStr"/>
      <c r="C1619" t="inlineStr"/>
      <c r="D1619" t="inlineStr"/>
      <c r="E1619">
        <f>HYPERLINK("https://www.ncbi.nlm.nih.gov/gene/?term=XP_020652746.1", "XP_020652746.1")</f>
        <v/>
      </c>
      <c r="F1619" t="n">
        <v>89.3</v>
      </c>
      <c r="G1619" t="n">
        <v>581</v>
      </c>
      <c r="H1619" t="n">
        <v>0</v>
      </c>
      <c r="I1619" t="inlineStr">
        <is>
          <t>Nr</t>
        </is>
      </c>
      <c r="J1619" t="inlineStr"/>
      <c r="K1619" t="inlineStr"/>
      <c r="L1619" t="inlineStr">
        <is>
          <t>XP_020652746.1 polypeptide N-acetylgalactosaminyltransferase 13 isoform X1 [Pogona vitticeps]</t>
        </is>
      </c>
      <c r="M1619" t="n">
        <v>581</v>
      </c>
      <c r="N1619" t="inlineStr">
        <is>
          <t>Pogona vitticeps</t>
        </is>
      </c>
      <c r="O1619" t="inlineStr">
        <is>
          <t>polypeptide N-acetylgalactosaminyltransferase 13 isoform X1</t>
        </is>
      </c>
    </row>
    <row r="1620">
      <c r="A1620" t="inlineStr"/>
      <c r="B1620" t="inlineStr"/>
      <c r="C1620" t="inlineStr"/>
      <c r="D1620" t="inlineStr"/>
      <c r="E1620">
        <f>HYPERLINK("https://www.ncbi.nlm.nih.gov/gene/?term=XP_031307273.1", "XP_031307273.1")</f>
        <v/>
      </c>
      <c r="F1620" t="n">
        <v>90.5</v>
      </c>
      <c r="G1620" t="n">
        <v>571</v>
      </c>
      <c r="H1620" t="n">
        <v>0</v>
      </c>
      <c r="I1620" t="inlineStr">
        <is>
          <t>Nr</t>
        </is>
      </c>
      <c r="J1620" t="inlineStr"/>
      <c r="K1620" t="inlineStr"/>
      <c r="L1620" t="inlineStr">
        <is>
          <t>XP_031307273.1 polypeptide N-acetylgalactosaminyltransferase 13 isoform X1 [Camelus dromedarius]</t>
        </is>
      </c>
      <c r="M1620" t="n">
        <v>571</v>
      </c>
      <c r="N1620" t="inlineStr">
        <is>
          <t>Camelus dromedarius</t>
        </is>
      </c>
      <c r="O1620" t="inlineStr">
        <is>
          <t>polypeptide N-acetylgalactosaminyltransferase 13 isoform X1</t>
        </is>
      </c>
    </row>
    <row r="1621">
      <c r="A1621" t="inlineStr"/>
      <c r="B1621" t="inlineStr"/>
      <c r="C1621" t="inlineStr"/>
      <c r="D1621" t="inlineStr"/>
      <c r="E1621">
        <f>HYPERLINK("https://www.ncbi.nlm.nih.gov/gene/?term=XP_021254795.1", "XP_021254795.1")</f>
        <v/>
      </c>
      <c r="F1621" t="n">
        <v>90.5</v>
      </c>
      <c r="G1621" t="n">
        <v>571</v>
      </c>
      <c r="H1621" t="n">
        <v>0</v>
      </c>
      <c r="I1621" t="inlineStr">
        <is>
          <t>Nr</t>
        </is>
      </c>
      <c r="J1621" t="inlineStr"/>
      <c r="K1621" t="inlineStr"/>
      <c r="L1621" t="inlineStr">
        <is>
          <t>XP_021254795.1 polypeptide N-acetylgalactosaminyltransferase 13 isoform X1 [Numida meleagris]</t>
        </is>
      </c>
      <c r="M1621" t="n">
        <v>571</v>
      </c>
      <c r="N1621" t="inlineStr">
        <is>
          <t>Numida meleagris</t>
        </is>
      </c>
      <c r="O1621" t="inlineStr">
        <is>
          <t>polypeptide N-acetylgalactosaminyltransferase 13 isoform X1</t>
        </is>
      </c>
    </row>
    <row r="1622">
      <c r="A1622" t="inlineStr"/>
      <c r="B1622" t="inlineStr"/>
      <c r="C1622" t="inlineStr"/>
      <c r="D1622" t="inlineStr"/>
      <c r="E1622">
        <f>HYPERLINK("https://www.ncbi.nlm.nih.gov/gene/?term=XP_042683171.1", "XP_042683171.1")</f>
        <v/>
      </c>
      <c r="F1622" t="n">
        <v>90.40000000000001</v>
      </c>
      <c r="G1622" t="n">
        <v>571</v>
      </c>
      <c r="H1622" t="n">
        <v>0</v>
      </c>
      <c r="I1622" t="inlineStr">
        <is>
          <t>Nr</t>
        </is>
      </c>
      <c r="J1622" t="inlineStr"/>
      <c r="K1622" t="inlineStr"/>
      <c r="L1622" t="inlineStr">
        <is>
          <t>XP_042683171.1 polypeptide N-acetylgalactosaminyltransferase 13 [Centrocercus urophasianus]</t>
        </is>
      </c>
      <c r="M1622" t="n">
        <v>571</v>
      </c>
      <c r="N1622" t="inlineStr">
        <is>
          <t>Centrocercus urophasianus</t>
        </is>
      </c>
      <c r="O1622" t="inlineStr">
        <is>
          <t>polypeptide N-acetylgalactosaminyltransferase 13</t>
        </is>
      </c>
    </row>
    <row r="1623">
      <c r="A1623" t="inlineStr"/>
      <c r="B1623" t="inlineStr"/>
      <c r="C1623" t="inlineStr"/>
      <c r="D1623" t="inlineStr"/>
      <c r="E1623">
        <f>HYPERLINK("https://www.uniprot.org/uniprotkb/A0A8J0TME5/entry", "A0A8J0TME5")</f>
        <v/>
      </c>
      <c r="F1623" t="n">
        <v>93.2</v>
      </c>
      <c r="G1623" t="n">
        <v>571</v>
      </c>
      <c r="H1623" t="n">
        <v>0</v>
      </c>
      <c r="I1623" t="inlineStr">
        <is>
          <t>TrEMBL</t>
        </is>
      </c>
      <c r="J1623" t="inlineStr">
        <is>
          <t>LOC108701330</t>
        </is>
      </c>
      <c r="K1623" t="inlineStr">
        <is>
          <t>A0A8J0TME5_XENLA</t>
        </is>
      </c>
      <c r="L1623" t="inlineStr">
        <is>
          <t>tr|A0A8J0TME5|A0A8J0TME5_XENLA Polypeptide N-acetylgalactosaminyltransferase OS=Xenopus laevis OX=8355 GN=LOC108701330 PE=3 SV=1</t>
        </is>
      </c>
      <c r="M1623" t="n">
        <v>571</v>
      </c>
      <c r="N1623" t="inlineStr">
        <is>
          <t>Xenopus laevis</t>
        </is>
      </c>
      <c r="O1623" t="inlineStr">
        <is>
          <t>Polypeptide N-acetylgalactosaminyltransferase</t>
        </is>
      </c>
    </row>
    <row r="1624">
      <c r="A1624" t="inlineStr"/>
      <c r="B1624" t="inlineStr"/>
      <c r="C1624" t="inlineStr"/>
      <c r="D1624" t="inlineStr"/>
      <c r="E1624">
        <f>HYPERLINK("https://www.uniprot.org/uniprotkb/A0A8J1LY80/entry", "A0A8J1LY80")</f>
        <v/>
      </c>
      <c r="F1624" t="n">
        <v>93.3</v>
      </c>
      <c r="G1624" t="n">
        <v>571</v>
      </c>
      <c r="H1624" t="n">
        <v>0</v>
      </c>
      <c r="I1624" t="inlineStr">
        <is>
          <t>TrEMBL</t>
        </is>
      </c>
      <c r="J1624" t="inlineStr">
        <is>
          <t>galnt13.S</t>
        </is>
      </c>
      <c r="K1624" t="inlineStr">
        <is>
          <t>A0A8J1LY80_XENLA</t>
        </is>
      </c>
      <c r="L1624" t="inlineStr">
        <is>
          <t>tr|A0A8J1LY80|A0A8J1LY80_XENLA Polypeptide N-acetylgalactosaminyltransferase OS=Xenopus laevis OX=8355 GN=galnt13.S PE=3 SV=1</t>
        </is>
      </c>
      <c r="M1624" t="n">
        <v>571</v>
      </c>
      <c r="N1624" t="inlineStr">
        <is>
          <t>Xenopus laevis</t>
        </is>
      </c>
      <c r="O1624" t="inlineStr">
        <is>
          <t>Polypeptide N-acetylgalactosaminyltransferase</t>
        </is>
      </c>
    </row>
    <row r="1625">
      <c r="A1625" t="inlineStr"/>
      <c r="B1625" t="inlineStr"/>
      <c r="C1625" t="inlineStr"/>
      <c r="D1625" t="inlineStr"/>
      <c r="E1625">
        <f>HYPERLINK("https://www.uniprot.org/uniprotkb/A0A7D9NLT9/entry", "A0A7D9NLT9")</f>
        <v/>
      </c>
      <c r="F1625" t="n">
        <v>93.2</v>
      </c>
      <c r="G1625" t="n">
        <v>571</v>
      </c>
      <c r="H1625" t="n">
        <v>0</v>
      </c>
      <c r="I1625" t="inlineStr">
        <is>
          <t>TrEMBL</t>
        </is>
      </c>
      <c r="J1625" t="inlineStr">
        <is>
          <t>galnt13</t>
        </is>
      </c>
      <c r="K1625" t="inlineStr">
        <is>
          <t>A0A7D9NLT9_XENTR</t>
        </is>
      </c>
      <c r="L1625" t="inlineStr">
        <is>
          <t>tr|A0A7D9NLT9|A0A7D9NLT9_XENTR Polypeptide N-acetylgalactosaminyltransferase OS=Xenopus tropicalis OX=8364 GN=galnt13 PE=3 SV=2</t>
        </is>
      </c>
      <c r="M1625" t="n">
        <v>571</v>
      </c>
      <c r="N1625" t="inlineStr">
        <is>
          <t>Xenopus tropicalis</t>
        </is>
      </c>
      <c r="O1625" t="inlineStr">
        <is>
          <t>Polypeptide N-acetylgalactosaminyltransferase</t>
        </is>
      </c>
    </row>
    <row r="1626">
      <c r="A1626" t="inlineStr"/>
      <c r="B1626" t="inlineStr"/>
      <c r="C1626" t="inlineStr"/>
      <c r="D1626" t="inlineStr"/>
      <c r="E1626">
        <f>HYPERLINK("https://www.uniprot.org/uniprotkb/A0A8J1LWE4/entry", "A0A8J1LWE4")</f>
        <v/>
      </c>
      <c r="F1626" t="n">
        <v>91.59999999999999</v>
      </c>
      <c r="G1626" t="n">
        <v>581</v>
      </c>
      <c r="H1626" t="n">
        <v>0</v>
      </c>
      <c r="I1626" t="inlineStr">
        <is>
          <t>TrEMBL</t>
        </is>
      </c>
      <c r="J1626" t="inlineStr">
        <is>
          <t>galnt13.S</t>
        </is>
      </c>
      <c r="K1626" t="inlineStr">
        <is>
          <t>A0A8J1LWE4_XENLA</t>
        </is>
      </c>
      <c r="L1626" t="inlineStr">
        <is>
          <t>tr|A0A8J1LWE4|A0A8J1LWE4_XENLA Polypeptide N-acetylgalactosaminyltransferase OS=Xenopus laevis OX=8355 GN=galnt13.S PE=3 SV=1</t>
        </is>
      </c>
      <c r="M1626" t="n">
        <v>581</v>
      </c>
      <c r="N1626" t="inlineStr">
        <is>
          <t>Xenopus laevis</t>
        </is>
      </c>
      <c r="O1626" t="inlineStr">
        <is>
          <t>Polypeptide N-acetylgalactosaminyltransferase</t>
        </is>
      </c>
    </row>
    <row r="1627">
      <c r="A1627" t="inlineStr"/>
      <c r="B1627" t="inlineStr"/>
      <c r="C1627" t="inlineStr"/>
      <c r="D1627" t="inlineStr"/>
      <c r="E1627">
        <f>HYPERLINK("https://www.uniprot.org/uniprotkb/K7FK64/entry", "K7FK64")</f>
        <v/>
      </c>
      <c r="F1627" t="n">
        <v>91.90000000000001</v>
      </c>
      <c r="G1627" t="n">
        <v>571</v>
      </c>
      <c r="H1627" t="n">
        <v>0</v>
      </c>
      <c r="I1627" t="inlineStr">
        <is>
          <t>TrEMBL</t>
        </is>
      </c>
      <c r="J1627" t="inlineStr">
        <is>
          <t>GALNT13</t>
        </is>
      </c>
      <c r="K1627" t="inlineStr">
        <is>
          <t>K7FK64_PELSI</t>
        </is>
      </c>
      <c r="L1627" t="inlineStr">
        <is>
          <t>tr|K7FK64|K7FK64_PELSI Polypeptide N-acetylgalactosaminyltransferase OS=Pelodiscus sinensis OX=13735 GN=GALNT13 PE=3 SV=1</t>
        </is>
      </c>
      <c r="M1627" t="n">
        <v>571</v>
      </c>
      <c r="N1627" t="inlineStr">
        <is>
          <t>Pelodiscus sinensis</t>
        </is>
      </c>
      <c r="O1627" t="inlineStr">
        <is>
          <t>Polypeptide N-acetylgalactosaminyltransferase</t>
        </is>
      </c>
    </row>
    <row r="1628">
      <c r="A1628" t="inlineStr"/>
      <c r="B1628" t="inlineStr"/>
      <c r="C1628" t="inlineStr"/>
      <c r="D1628" t="inlineStr"/>
      <c r="E1628">
        <f>HYPERLINK("https://www.uniprot.org/uniprotkb/A0A3Q0GUK7/entry", "A0A3Q0GUK7")</f>
        <v/>
      </c>
      <c r="F1628" t="n">
        <v>91.8</v>
      </c>
      <c r="G1628" t="n">
        <v>571</v>
      </c>
      <c r="H1628" t="n">
        <v>0</v>
      </c>
      <c r="I1628" t="inlineStr">
        <is>
          <t>TrEMBL</t>
        </is>
      </c>
      <c r="J1628" t="inlineStr">
        <is>
          <t>GALNT13</t>
        </is>
      </c>
      <c r="K1628" t="inlineStr">
        <is>
          <t>A0A3Q0GUK7_ALLSI</t>
        </is>
      </c>
      <c r="L1628" t="inlineStr">
        <is>
          <t>tr|A0A3Q0GUK7|A0A3Q0GUK7_ALLSI Polypeptide N-acetylgalactosaminyltransferase OS=Alligator sinensis OX=38654 GN=GALNT13 PE=3 SV=1</t>
        </is>
      </c>
      <c r="M1628" t="n">
        <v>571</v>
      </c>
      <c r="N1628" t="inlineStr">
        <is>
          <t>Alligator sinensis</t>
        </is>
      </c>
      <c r="O1628" t="inlineStr">
        <is>
          <t>Polypeptide N-acetylgalactosaminyltransferase</t>
        </is>
      </c>
    </row>
    <row r="1629">
      <c r="A1629" t="inlineStr"/>
      <c r="B1629" t="inlineStr"/>
      <c r="C1629" t="inlineStr"/>
      <c r="D1629" t="inlineStr"/>
      <c r="E1629">
        <f>HYPERLINK("https://www.uniprot.org/uniprotkb/A0A8C8R6B6/entry", "A0A8C8R6B6")</f>
        <v/>
      </c>
      <c r="F1629" t="n">
        <v>91.59999999999999</v>
      </c>
      <c r="G1629" t="n">
        <v>571</v>
      </c>
      <c r="H1629" t="n">
        <v>0</v>
      </c>
      <c r="I1629" t="inlineStr">
        <is>
          <t>TrEMBL</t>
        </is>
      </c>
      <c r="J1629" t="inlineStr"/>
      <c r="K1629" t="inlineStr">
        <is>
          <t>A0A8C8R6B6_9SAUR</t>
        </is>
      </c>
      <c r="L1629" t="inlineStr">
        <is>
          <t>tr|A0A8C8R6B6|A0A8C8R6B6_9SAUR Polypeptide N-acetylgalactosaminyltransferase OS=Pelusios castaneus OX=367368 PE=3 SV=1</t>
        </is>
      </c>
      <c r="M1629" t="n">
        <v>571</v>
      </c>
      <c r="N1629" t="inlineStr">
        <is>
          <t>Pelusios castaneus</t>
        </is>
      </c>
      <c r="O1629" t="inlineStr">
        <is>
          <t>Polypeptide N-acetylgalactosaminyltransferase</t>
        </is>
      </c>
    </row>
    <row r="1630">
      <c r="A1630" t="inlineStr"/>
      <c r="B1630" t="inlineStr"/>
      <c r="C1630" t="inlineStr"/>
      <c r="D1630" t="inlineStr"/>
      <c r="E1630">
        <f>HYPERLINK("https://www.uniprot.org/uniprotkb/A0A8C0HMR3/entry", "A0A8C0HMR3")</f>
        <v/>
      </c>
      <c r="F1630" t="n">
        <v>91.59999999999999</v>
      </c>
      <c r="G1630" t="n">
        <v>571</v>
      </c>
      <c r="H1630" t="n">
        <v>0</v>
      </c>
      <c r="I1630" t="inlineStr">
        <is>
          <t>TrEMBL</t>
        </is>
      </c>
      <c r="J1630" t="inlineStr"/>
      <c r="K1630" t="inlineStr">
        <is>
          <t>A0A8C0HMR3_9AVES</t>
        </is>
      </c>
      <c r="L1630" t="inlineStr">
        <is>
          <t>tr|A0A8C0HMR3|A0A8C0HMR3_9AVES Polypeptide N-acetylgalactosaminyltransferase OS=Buteo japonicus OX=224669 PE=3 SV=1</t>
        </is>
      </c>
      <c r="M1630" t="n">
        <v>571</v>
      </c>
      <c r="N1630" t="inlineStr">
        <is>
          <t>Buteo japonicus</t>
        </is>
      </c>
      <c r="O1630" t="inlineStr">
        <is>
          <t>Polypeptide N-acetylgalactosaminyltransferase</t>
        </is>
      </c>
    </row>
    <row r="1631">
      <c r="A1631" t="inlineStr"/>
      <c r="B1631" t="inlineStr"/>
      <c r="C1631" t="inlineStr"/>
      <c r="D1631" t="inlineStr"/>
      <c r="E1631">
        <f>HYPERLINK("https://www.uniprot.org/uniprotkb/A0A6J0TWM1/entry", "A0A6J0TWM1")</f>
        <v/>
      </c>
      <c r="F1631" t="n">
        <v>91.09999999999999</v>
      </c>
      <c r="G1631" t="n">
        <v>571</v>
      </c>
      <c r="H1631" t="n">
        <v>0</v>
      </c>
      <c r="I1631" t="inlineStr">
        <is>
          <t>TrEMBL</t>
        </is>
      </c>
      <c r="J1631" t="inlineStr">
        <is>
          <t>GALNT13</t>
        </is>
      </c>
      <c r="K1631" t="inlineStr">
        <is>
          <t>A0A6J0TWM1_9SAUR</t>
        </is>
      </c>
      <c r="L1631" t="inlineStr">
        <is>
          <t>tr|A0A6J0TWM1|A0A6J0TWM1_9SAUR Polypeptide N-acetylgalactosaminyltransferase OS=Pogona vitticeps OX=103695 GN=GALNT13 PE=3 SV=1</t>
        </is>
      </c>
      <c r="M1631" t="n">
        <v>571</v>
      </c>
      <c r="N1631" t="inlineStr">
        <is>
          <t>Pogona vitticeps</t>
        </is>
      </c>
      <c r="O1631" t="inlineStr">
        <is>
          <t>Polypeptide N-acetylgalactosaminyltransferase</t>
        </is>
      </c>
    </row>
    <row r="1632">
      <c r="A1632" t="inlineStr"/>
      <c r="B1632" t="inlineStr"/>
      <c r="C1632" t="inlineStr"/>
      <c r="D1632" t="inlineStr"/>
      <c r="E1632">
        <f>HYPERLINK("https://www.uniprot.org/uniprotkb/A0A8B9CKZ2/entry", "A0A8B9CKZ2")</f>
        <v/>
      </c>
      <c r="F1632" t="n">
        <v>91.09999999999999</v>
      </c>
      <c r="G1632" t="n">
        <v>571</v>
      </c>
      <c r="H1632" t="n">
        <v>0</v>
      </c>
      <c r="I1632" t="inlineStr">
        <is>
          <t>TrEMBL</t>
        </is>
      </c>
      <c r="J1632" t="inlineStr">
        <is>
          <t>GALNT13</t>
        </is>
      </c>
      <c r="K1632" t="inlineStr">
        <is>
          <t>A0A8B9CKZ2_9AVES</t>
        </is>
      </c>
      <c r="L1632" t="inlineStr">
        <is>
          <t>tr|A0A8B9CKZ2|A0A8B9CKZ2_9AVES Polypeptide N-acetylgalactosaminyltransferase OS=Anser brachyrhynchus OX=132585 GN=GALNT13 PE=3 SV=1</t>
        </is>
      </c>
      <c r="M1632" t="n">
        <v>571</v>
      </c>
      <c r="N1632" t="inlineStr">
        <is>
          <t>Anser brachyrhynchus</t>
        </is>
      </c>
      <c r="O1632" t="inlineStr">
        <is>
          <t>Polypeptide N-acetylgalactosaminyltransferase</t>
        </is>
      </c>
    </row>
    <row r="1633">
      <c r="A1633" t="inlineStr"/>
      <c r="B1633" t="inlineStr"/>
      <c r="C1633" t="inlineStr"/>
      <c r="D1633" t="inlineStr"/>
      <c r="E1633">
        <f>HYPERLINK("https://www.uniprot.org/uniprotkb/A0A8D0FRF6/entry", "A0A8D0FRF6")</f>
        <v/>
      </c>
      <c r="F1633" t="n">
        <v>91.2</v>
      </c>
      <c r="G1633" t="n">
        <v>571</v>
      </c>
      <c r="H1633" t="n">
        <v>0</v>
      </c>
      <c r="I1633" t="inlineStr">
        <is>
          <t>TrEMBL</t>
        </is>
      </c>
      <c r="J1633" t="inlineStr"/>
      <c r="K1633" t="inlineStr">
        <is>
          <t>A0A8D0FRF6_STROC</t>
        </is>
      </c>
      <c r="L1633" t="inlineStr">
        <is>
          <t>tr|A0A8D0FRF6|A0A8D0FRF6_STROC Polypeptide N-acetylgalactosaminyltransferase OS=Strix occidentalis caurina OX=311401 PE=3 SV=1</t>
        </is>
      </c>
      <c r="M1633" t="n">
        <v>571</v>
      </c>
      <c r="N1633" t="inlineStr">
        <is>
          <t>Strix occidentalis caurina</t>
        </is>
      </c>
      <c r="O1633" t="inlineStr">
        <is>
          <t>Polypeptide N-acetylgalactosaminyltransferase</t>
        </is>
      </c>
    </row>
    <row r="1634">
      <c r="A1634" t="inlineStr"/>
      <c r="B1634" t="inlineStr"/>
      <c r="C1634" t="inlineStr"/>
      <c r="D1634" t="inlineStr"/>
      <c r="E1634">
        <f>HYPERLINK("https://www.uniprot.org/uniprotkb/A0A8C4V4N7/entry", "A0A8C4V4N7")</f>
        <v/>
      </c>
      <c r="F1634" t="n">
        <v>89.7</v>
      </c>
      <c r="G1634" t="n">
        <v>581</v>
      </c>
      <c r="H1634" t="n">
        <v>0</v>
      </c>
      <c r="I1634" t="inlineStr">
        <is>
          <t>TrEMBL</t>
        </is>
      </c>
      <c r="J1634" t="inlineStr"/>
      <c r="K1634" t="inlineStr">
        <is>
          <t>A0A8C4V4N7_FALTI</t>
        </is>
      </c>
      <c r="L1634" t="inlineStr">
        <is>
          <t>tr|A0A8C4V4N7|A0A8C4V4N7_FALTI Polypeptide N-acetylgalactosaminyltransferase OS=Falco tinnunculus OX=100819 PE=3 SV=1</t>
        </is>
      </c>
      <c r="M1634" t="n">
        <v>581</v>
      </c>
      <c r="N1634" t="inlineStr">
        <is>
          <t>Falco tinnunculus</t>
        </is>
      </c>
      <c r="O1634" t="inlineStr">
        <is>
          <t>Polypeptide N-acetylgalactosaminyltransferase</t>
        </is>
      </c>
    </row>
    <row r="1635">
      <c r="A1635" t="inlineStr"/>
      <c r="B1635" t="inlineStr"/>
      <c r="C1635" t="inlineStr"/>
      <c r="D1635" t="inlineStr"/>
      <c r="E1635">
        <f>HYPERLINK("https://www.uniprot.org/uniprotkb/A0A8B9NAC1/entry", "A0A8B9NAC1")</f>
        <v/>
      </c>
      <c r="F1635" t="n">
        <v>89.8</v>
      </c>
      <c r="G1635" t="n">
        <v>581</v>
      </c>
      <c r="H1635" t="n">
        <v>0</v>
      </c>
      <c r="I1635" t="inlineStr">
        <is>
          <t>TrEMBL</t>
        </is>
      </c>
      <c r="J1635" t="inlineStr"/>
      <c r="K1635" t="inlineStr">
        <is>
          <t>A0A8B9NAC1_9AVES</t>
        </is>
      </c>
      <c r="L1635" t="inlineStr">
        <is>
          <t>tr|A0A8B9NAC1|A0A8B9NAC1_9AVES Polypeptide N-acetylgalactosaminyltransferase OS=Accipiter nisus OX=211598 PE=3 SV=1</t>
        </is>
      </c>
      <c r="M1635" t="n">
        <v>581</v>
      </c>
      <c r="N1635" t="inlineStr">
        <is>
          <t>Accipiter nisus</t>
        </is>
      </c>
      <c r="O1635" t="inlineStr">
        <is>
          <t>Polypeptide N-acetylgalactosaminyltransferase</t>
        </is>
      </c>
    </row>
    <row r="1636">
      <c r="A1636" t="inlineStr"/>
      <c r="B1636" t="inlineStr"/>
      <c r="C1636" t="inlineStr"/>
      <c r="D1636" t="inlineStr"/>
      <c r="E1636">
        <f>HYPERLINK("https://www.uniprot.org/uniprotkb/A0A8C3XS86/entry", "A0A8C3XS86")</f>
        <v/>
      </c>
      <c r="F1636" t="n">
        <v>90.5</v>
      </c>
      <c r="G1636" t="n">
        <v>571</v>
      </c>
      <c r="H1636" t="n">
        <v>0</v>
      </c>
      <c r="I1636" t="inlineStr">
        <is>
          <t>TrEMBL</t>
        </is>
      </c>
      <c r="J1636" t="inlineStr"/>
      <c r="K1636" t="inlineStr">
        <is>
          <t>A0A8C3XS86_CHESE</t>
        </is>
      </c>
      <c r="L1636" t="inlineStr">
        <is>
          <t>tr|A0A8C3XS86|A0A8C3XS86_CHESE Polypeptide N-acetylgalactosaminyltransferase OS=Chelydra serpentina OX=8475 PE=3 SV=1</t>
        </is>
      </c>
      <c r="M1636" t="n">
        <v>570</v>
      </c>
      <c r="N1636" t="inlineStr">
        <is>
          <t>Chelydra serpentina</t>
        </is>
      </c>
      <c r="O1636" t="inlineStr">
        <is>
          <t>Polypeptide N-acetylgalactosaminyltransferase</t>
        </is>
      </c>
    </row>
    <row r="1637">
      <c r="A1637" t="inlineStr"/>
      <c r="B1637" t="inlineStr"/>
      <c r="C1637" t="inlineStr"/>
      <c r="D1637" t="inlineStr"/>
      <c r="E1637">
        <f>HYPERLINK("https://www.uniprot.org/uniprotkb/A0A8C6JNE7/entry", "A0A8C6JNE7")</f>
        <v/>
      </c>
      <c r="F1637" t="n">
        <v>90.90000000000001</v>
      </c>
      <c r="G1637" t="n">
        <v>572</v>
      </c>
      <c r="H1637" t="n">
        <v>0</v>
      </c>
      <c r="I1637" t="inlineStr">
        <is>
          <t>TrEMBL</t>
        </is>
      </c>
      <c r="J1637" t="inlineStr">
        <is>
          <t>LOC101872042</t>
        </is>
      </c>
      <c r="K1637" t="inlineStr">
        <is>
          <t>A0A8C6JNE7_MELUD</t>
        </is>
      </c>
      <c r="L1637" t="inlineStr">
        <is>
          <t>tr|A0A8C6JNE7|A0A8C6JNE7_MELUD Polypeptide N-acetylgalactosaminyltransferase OS=Melopsittacus undulatus OX=13146 GN=LOC101872042 PE=3 SV=1</t>
        </is>
      </c>
      <c r="M1637" t="n">
        <v>572</v>
      </c>
      <c r="N1637" t="inlineStr">
        <is>
          <t>Melopsittacus undulatus</t>
        </is>
      </c>
      <c r="O1637" t="inlineStr">
        <is>
          <t>Polypeptide N-acetylgalactosaminyltransferase</t>
        </is>
      </c>
    </row>
    <row r="1638">
      <c r="A1638" t="inlineStr"/>
      <c r="B1638" t="inlineStr"/>
      <c r="C1638" t="inlineStr"/>
      <c r="D1638" t="inlineStr"/>
      <c r="E1638">
        <f>HYPERLINK("https://www.uniprot.org/uniprotkb/A0A6J0TW21/entry", "A0A6J0TW21")</f>
        <v/>
      </c>
      <c r="F1638" t="n">
        <v>89.3</v>
      </c>
      <c r="G1638" t="n">
        <v>581</v>
      </c>
      <c r="H1638" t="n">
        <v>0</v>
      </c>
      <c r="I1638" t="inlineStr">
        <is>
          <t>TrEMBL</t>
        </is>
      </c>
      <c r="J1638" t="inlineStr">
        <is>
          <t>GALNT13</t>
        </is>
      </c>
      <c r="K1638" t="inlineStr">
        <is>
          <t>A0A6J0TW21_9SAUR</t>
        </is>
      </c>
      <c r="L1638" t="inlineStr">
        <is>
          <t>tr|A0A6J0TW21|A0A6J0TW21_9SAUR Polypeptide N-acetylgalactosaminyltransferase OS=Pogona vitticeps OX=103695 GN=GALNT13 PE=3 SV=1</t>
        </is>
      </c>
      <c r="M1638" t="n">
        <v>581</v>
      </c>
      <c r="N1638" t="inlineStr">
        <is>
          <t>Pogona vitticeps</t>
        </is>
      </c>
      <c r="O1638" t="inlineStr">
        <is>
          <t>Polypeptide N-acetylgalactosaminyltransferase</t>
        </is>
      </c>
    </row>
    <row r="1639">
      <c r="A1639" t="inlineStr"/>
      <c r="B1639" t="inlineStr"/>
      <c r="C1639" t="inlineStr"/>
      <c r="D1639" t="inlineStr"/>
      <c r="E1639">
        <f>HYPERLINK("https://www.uniprot.org/uniprotkb/A0A8C4YQS6/entry", "A0A8C4YQS6")</f>
        <v/>
      </c>
      <c r="F1639" t="n">
        <v>90.5</v>
      </c>
      <c r="G1639" t="n">
        <v>571</v>
      </c>
      <c r="H1639" t="n">
        <v>0</v>
      </c>
      <c r="I1639" t="inlineStr">
        <is>
          <t>TrEMBL</t>
        </is>
      </c>
      <c r="J1639" t="inlineStr">
        <is>
          <t>GALNT13</t>
        </is>
      </c>
      <c r="K1639" t="inlineStr">
        <is>
          <t>A0A8C4YQS6_9SAUR</t>
        </is>
      </c>
      <c r="L1639" t="inlineStr">
        <is>
          <t>tr|A0A8C4YQS6|A0A8C4YQS6_9SAUR Polypeptide N-acetylgalactosaminyltransferase OS=Gopherus evgoodei OX=1825980 GN=GALNT13 PE=3 SV=1</t>
        </is>
      </c>
      <c r="M1639" t="n">
        <v>570</v>
      </c>
      <c r="N1639" t="inlineStr">
        <is>
          <t>Gopherus evgoodei</t>
        </is>
      </c>
      <c r="O1639" t="inlineStr">
        <is>
          <t>Polypeptide N-acetylgalactosaminyltransferase</t>
        </is>
      </c>
    </row>
    <row r="1640">
      <c r="A1640" t="inlineStr"/>
      <c r="B1640" t="inlineStr"/>
      <c r="C1640" t="inlineStr"/>
      <c r="D1640" t="inlineStr"/>
      <c r="E1640">
        <f>HYPERLINK("https://www.uniprot.org/uniprotkb/A0A8C3CVD7/entry", "A0A8C3CVD7")</f>
        <v/>
      </c>
      <c r="F1640" t="n">
        <v>89.5</v>
      </c>
      <c r="G1640" t="n">
        <v>581</v>
      </c>
      <c r="H1640" t="n">
        <v>0</v>
      </c>
      <c r="I1640" t="inlineStr">
        <is>
          <t>TrEMBL</t>
        </is>
      </c>
      <c r="J1640" t="inlineStr"/>
      <c r="K1640" t="inlineStr">
        <is>
          <t>A0A8C3CVD7_CAIMO</t>
        </is>
      </c>
      <c r="L1640" t="inlineStr">
        <is>
          <t>tr|A0A8C3CVD7|A0A8C3CVD7_CAIMO Polypeptide N-acetylgalactosaminyltransferase OS=Cairina moschata domestica OX=1240228 PE=3 SV=1</t>
        </is>
      </c>
      <c r="M1640" t="n">
        <v>581</v>
      </c>
      <c r="N1640" t="inlineStr">
        <is>
          <t>Cairina moschata domestica</t>
        </is>
      </c>
      <c r="O1640" t="inlineStr">
        <is>
          <t>Polypeptide N-acetylgalactosaminyltransferase</t>
        </is>
      </c>
    </row>
    <row r="1641">
      <c r="A1641" t="inlineStr"/>
      <c r="B1641" t="inlineStr"/>
      <c r="C1641" t="inlineStr"/>
      <c r="D1641" t="inlineStr"/>
      <c r="E1641">
        <f>HYPERLINK("https://www.uniprot.org/uniprotkb/A0A6J3AME9/entry", "A0A6J3AME9")</f>
        <v/>
      </c>
      <c r="F1641" t="n">
        <v>90.40000000000001</v>
      </c>
      <c r="G1641" t="n">
        <v>571</v>
      </c>
      <c r="H1641" t="n">
        <v>0</v>
      </c>
      <c r="I1641" t="inlineStr">
        <is>
          <t>TrEMBL</t>
        </is>
      </c>
      <c r="J1641" t="inlineStr">
        <is>
          <t>GALNT13</t>
        </is>
      </c>
      <c r="K1641" t="inlineStr">
        <is>
          <t>A0A6J3AME9_VICPA</t>
        </is>
      </c>
      <c r="L1641" t="inlineStr">
        <is>
          <t>tr|A0A6J3AME9|A0A6J3AME9_VICPA Polypeptide N-acetylgalactosaminyltransferase OS=Vicugna pacos OX=30538 GN=GALNT13 PE=3 SV=1</t>
        </is>
      </c>
      <c r="M1641" t="n">
        <v>571</v>
      </c>
      <c r="N1641" t="inlineStr">
        <is>
          <t>Vicugna pacos</t>
        </is>
      </c>
      <c r="O1641" t="inlineStr">
        <is>
          <t>Polypeptide N-acetylgalactosaminyltransferase</t>
        </is>
      </c>
    </row>
    <row r="1642">
      <c r="A1642" t="inlineStr"/>
      <c r="B1642" t="inlineStr"/>
      <c r="C1642" t="inlineStr"/>
      <c r="D1642" t="inlineStr"/>
      <c r="E1642">
        <f>HYPERLINK("https://www.uniprot.org/uniprotkb/A0A6J0I0E7/entry", "A0A6J0I0E7")</f>
        <v/>
      </c>
      <c r="F1642" t="n">
        <v>90.40000000000001</v>
      </c>
      <c r="G1642" t="n">
        <v>571</v>
      </c>
      <c r="H1642" t="n">
        <v>0</v>
      </c>
      <c r="I1642" t="inlineStr">
        <is>
          <t>TrEMBL</t>
        </is>
      </c>
      <c r="J1642" t="inlineStr">
        <is>
          <t>GALNT13</t>
        </is>
      </c>
      <c r="K1642" t="inlineStr">
        <is>
          <t>A0A6J0I0E7_9PASS</t>
        </is>
      </c>
      <c r="L1642" t="inlineStr">
        <is>
          <t>tr|A0A6J0I0E7|A0A6J0I0E7_9PASS Polypeptide N-acetylgalactosaminyltransferase OS=Lepidothrix coronata OX=321398 GN=GALNT13 PE=3 SV=1</t>
        </is>
      </c>
      <c r="M1642" t="n">
        <v>571</v>
      </c>
      <c r="N1642" t="inlineStr">
        <is>
          <t>Lepidothrix coronata</t>
        </is>
      </c>
      <c r="O1642" t="inlineStr">
        <is>
          <t>Polypeptide N-acetylgalactosaminyltransferase</t>
        </is>
      </c>
    </row>
    <row r="1643">
      <c r="A1643" t="inlineStr"/>
      <c r="B1643" t="inlineStr"/>
      <c r="C1643" t="inlineStr"/>
      <c r="D1643" t="inlineStr"/>
      <c r="E1643">
        <f>HYPERLINK("https://www.uniprot.org/uniprotkb/A0A6J2G236/entry", "A0A6J2G236")</f>
        <v/>
      </c>
      <c r="F1643" t="n">
        <v>90.40000000000001</v>
      </c>
      <c r="G1643" t="n">
        <v>571</v>
      </c>
      <c r="H1643" t="n">
        <v>0</v>
      </c>
      <c r="I1643" t="inlineStr">
        <is>
          <t>TrEMBL</t>
        </is>
      </c>
      <c r="J1643" t="inlineStr">
        <is>
          <t>GALNT13</t>
        </is>
      </c>
      <c r="K1643" t="inlineStr">
        <is>
          <t>A0A6J2G236_9PASS</t>
        </is>
      </c>
      <c r="L1643" t="inlineStr">
        <is>
          <t>tr|A0A6J2G236|A0A6J2G236_9PASS Polypeptide N-acetylgalactosaminyltransferase OS=Pipra filicauda OX=649802 GN=GALNT13 PE=3 SV=1</t>
        </is>
      </c>
      <c r="M1643" t="n">
        <v>571</v>
      </c>
      <c r="N1643" t="inlineStr">
        <is>
          <t>Pipra filicauda</t>
        </is>
      </c>
      <c r="O1643" t="inlineStr">
        <is>
          <t>Polypeptide N-acetylgalactosaminyltransferase</t>
        </is>
      </c>
    </row>
    <row r="1644">
      <c r="A1644" t="inlineStr"/>
      <c r="B1644" t="inlineStr"/>
      <c r="C1644" t="inlineStr"/>
      <c r="D1644" t="inlineStr"/>
      <c r="E1644">
        <f>HYPERLINK("https://www.uniprot.org/uniprotkb/A0A8V0Y752/entry", "A0A8V0Y752")</f>
        <v/>
      </c>
      <c r="F1644" t="n">
        <v>90.40000000000001</v>
      </c>
      <c r="G1644" t="n">
        <v>571</v>
      </c>
      <c r="H1644" t="n">
        <v>0</v>
      </c>
      <c r="I1644" t="inlineStr">
        <is>
          <t>TrEMBL</t>
        </is>
      </c>
      <c r="J1644" t="inlineStr">
        <is>
          <t>GALNT13</t>
        </is>
      </c>
      <c r="K1644" t="inlineStr">
        <is>
          <t>A0A8V0Y752_CHICK</t>
        </is>
      </c>
      <c r="L1644" t="inlineStr">
        <is>
          <t>tr|A0A8V0Y752|A0A8V0Y752_CHICK Polypeptide N-acetylgalactosaminyltransferase 13 OS=Gallus gallus OX=9031 GN=GALNT13 PE=4 SV=1</t>
        </is>
      </c>
      <c r="M1644" t="n">
        <v>571</v>
      </c>
      <c r="N1644" t="inlineStr">
        <is>
          <t>Gallus gallus</t>
        </is>
      </c>
      <c r="O1644" t="inlineStr">
        <is>
          <t>Polypeptide N-acetylgalactosaminyltransferase 13</t>
        </is>
      </c>
    </row>
    <row r="1645">
      <c r="A1645" t="inlineStr"/>
      <c r="B1645" t="inlineStr"/>
      <c r="C1645" t="inlineStr"/>
      <c r="D1645" t="inlineStr"/>
      <c r="E1645">
        <f>HYPERLINK("https://www.uniprot.org/uniprotkb/A0A4X1VKQ3/entry", "A0A4X1VKQ3")</f>
        <v/>
      </c>
      <c r="F1645" t="n">
        <v>90.2</v>
      </c>
      <c r="G1645" t="n">
        <v>571</v>
      </c>
      <c r="H1645" t="n">
        <v>0</v>
      </c>
      <c r="I1645" t="inlineStr">
        <is>
          <t>TrEMBL</t>
        </is>
      </c>
      <c r="J1645" t="inlineStr">
        <is>
          <t>GALNT13</t>
        </is>
      </c>
      <c r="K1645" t="inlineStr">
        <is>
          <t>A0A4X1VKQ3_PIG</t>
        </is>
      </c>
      <c r="L1645" t="inlineStr">
        <is>
          <t>tr|A0A4X1VKQ3|A0A4X1VKQ3_PIG Polypeptide N-acetylgalactosaminyltransferase OS=Sus scrofa OX=9823 GN=GALNT13 PE=3 SV=1</t>
        </is>
      </c>
      <c r="M1645" t="n">
        <v>572</v>
      </c>
      <c r="N1645" t="inlineStr">
        <is>
          <t>Sus scrofa</t>
        </is>
      </c>
      <c r="O1645" t="inlineStr">
        <is>
          <t>Polypeptide N-acetylgalactosaminyltransferase</t>
        </is>
      </c>
    </row>
    <row r="1646">
      <c r="A1646" t="inlineStr"/>
      <c r="B1646" t="inlineStr"/>
      <c r="C1646" t="inlineStr"/>
      <c r="D1646" t="inlineStr"/>
      <c r="E1646">
        <f>HYPERLINK("https://www.uniprot.org/uniprotkb/A0A287B9E6/entry", "A0A287B9E6")</f>
        <v/>
      </c>
      <c r="F1646" t="n">
        <v>90.2</v>
      </c>
      <c r="G1646" t="n">
        <v>571</v>
      </c>
      <c r="H1646" t="n">
        <v>0</v>
      </c>
      <c r="I1646" t="inlineStr">
        <is>
          <t>TrEMBL</t>
        </is>
      </c>
      <c r="J1646" t="inlineStr">
        <is>
          <t>GALNT13</t>
        </is>
      </c>
      <c r="K1646" t="inlineStr">
        <is>
          <t>A0A287B9E6_PIG</t>
        </is>
      </c>
      <c r="L1646" t="inlineStr">
        <is>
          <t>tr|A0A287B9E6|A0A287B9E6_PIG Polypeptide N-acetylgalactosaminyltransferase OS=Sus scrofa OX=9823 GN=GALNT13 PE=3 SV=1</t>
        </is>
      </c>
      <c r="M1646" t="n">
        <v>572</v>
      </c>
      <c r="N1646" t="inlineStr">
        <is>
          <t>Sus scrofa</t>
        </is>
      </c>
      <c r="O1646" t="inlineStr">
        <is>
          <t>Polypeptide N-acetylgalactosaminyltransferase</t>
        </is>
      </c>
    </row>
    <row r="1647">
      <c r="A1647" t="inlineStr"/>
      <c r="B1647" t="inlineStr"/>
      <c r="C1647" t="inlineStr"/>
      <c r="D1647" t="inlineStr"/>
      <c r="E1647">
        <f>HYPERLINK("https://www.uniprot.org/uniprotkb/A0A8C0IEV8/entry", "A0A8C0IEV8")</f>
        <v/>
      </c>
      <c r="F1647" t="n">
        <v>89.5</v>
      </c>
      <c r="G1647" t="n">
        <v>581</v>
      </c>
      <c r="H1647" t="n">
        <v>0</v>
      </c>
      <c r="I1647" t="inlineStr">
        <is>
          <t>TrEMBL</t>
        </is>
      </c>
      <c r="J1647" t="inlineStr"/>
      <c r="K1647" t="inlineStr">
        <is>
          <t>A0A8C0IEV8_BUBBB</t>
        </is>
      </c>
      <c r="L1647" t="inlineStr">
        <is>
          <t>tr|A0A8C0IEV8|A0A8C0IEV8_BUBBB Polypeptide N-acetylgalactosaminyltransferase OS=Bubo bubo OX=30461 PE=3 SV=1</t>
        </is>
      </c>
      <c r="M1647" t="n">
        <v>581</v>
      </c>
      <c r="N1647" t="inlineStr">
        <is>
          <t>Bubo bubo</t>
        </is>
      </c>
      <c r="O1647" t="inlineStr">
        <is>
          <t>Polypeptide N-acetylgalactosaminyltransferase</t>
        </is>
      </c>
    </row>
    <row r="1648">
      <c r="A1648" t="inlineStr"/>
      <c r="B1648" t="inlineStr"/>
      <c r="C1648" t="inlineStr"/>
      <c r="D1648" t="inlineStr"/>
      <c r="E1648">
        <f>HYPERLINK("https://www.uniprot.org/uniprotkb/Q8IUC8/entry", "Q8IUC8")</f>
        <v/>
      </c>
      <c r="F1648" t="n">
        <v>88.09999999999999</v>
      </c>
      <c r="G1648" t="n">
        <v>554</v>
      </c>
      <c r="H1648" t="n">
        <v>0</v>
      </c>
      <c r="I1648" t="inlineStr">
        <is>
          <t>Swiss-Prot</t>
        </is>
      </c>
      <c r="J1648" t="inlineStr">
        <is>
          <t>GALNT13</t>
        </is>
      </c>
      <c r="K1648" t="inlineStr">
        <is>
          <t>GLT13_HUMAN</t>
        </is>
      </c>
      <c r="L1648" t="inlineStr">
        <is>
          <t>sp|Q8IUC8|GLT13_HUMAN Polypeptide N-acetylgalactosaminyltransferase 13 OS=Homo sapiens OX=9606 GN=GALNT13 PE=1 SV=2</t>
        </is>
      </c>
      <c r="M1648" t="n">
        <v>556</v>
      </c>
      <c r="N1648" t="inlineStr">
        <is>
          <t>Homo sapiens</t>
        </is>
      </c>
      <c r="O1648" t="inlineStr">
        <is>
          <t>Polypeptide N-acetylgalactosaminyltransferase 13</t>
        </is>
      </c>
    </row>
    <row r="1649">
      <c r="A1649" t="inlineStr"/>
      <c r="B1649" t="inlineStr"/>
      <c r="C1649" t="inlineStr"/>
      <c r="D1649" t="inlineStr"/>
      <c r="E1649">
        <f>HYPERLINK("https://www.uniprot.org/uniprotkb/Q6UE39/entry", "Q6UE39")</f>
        <v/>
      </c>
      <c r="F1649" t="n">
        <v>87.7</v>
      </c>
      <c r="G1649" t="n">
        <v>554</v>
      </c>
      <c r="H1649" t="n">
        <v>0</v>
      </c>
      <c r="I1649" t="inlineStr">
        <is>
          <t>Swiss-Prot</t>
        </is>
      </c>
      <c r="J1649" t="inlineStr">
        <is>
          <t>Galnt13</t>
        </is>
      </c>
      <c r="K1649" t="inlineStr">
        <is>
          <t>GLT13_RAT</t>
        </is>
      </c>
      <c r="L1649" t="inlineStr">
        <is>
          <t>sp|Q6UE39|GLT13_RAT Polypeptide N-acetylgalactosaminyltransferase 13 OS=Rattus norvegicus OX=10116 GN=Galnt13 PE=2 SV=1</t>
        </is>
      </c>
      <c r="M1649" t="n">
        <v>556</v>
      </c>
      <c r="N1649" t="inlineStr">
        <is>
          <t>Rattus norvegicus</t>
        </is>
      </c>
      <c r="O1649" t="inlineStr">
        <is>
          <t>Polypeptide N-acetylgalactosaminyltransferase 13</t>
        </is>
      </c>
    </row>
    <row r="1650">
      <c r="A1650" t="inlineStr"/>
      <c r="B1650" t="inlineStr"/>
      <c r="C1650" t="inlineStr"/>
      <c r="D1650" t="inlineStr"/>
      <c r="E1650">
        <f>HYPERLINK("https://www.uniprot.org/uniprotkb/Q8CF93/entry", "Q8CF93")</f>
        <v/>
      </c>
      <c r="F1650" t="n">
        <v>87.7</v>
      </c>
      <c r="G1650" t="n">
        <v>554</v>
      </c>
      <c r="H1650" t="n">
        <v>0</v>
      </c>
      <c r="I1650" t="inlineStr">
        <is>
          <t>Swiss-Prot</t>
        </is>
      </c>
      <c r="J1650" t="inlineStr">
        <is>
          <t>Galnt13</t>
        </is>
      </c>
      <c r="K1650" t="inlineStr">
        <is>
          <t>GLT13_MOUSE</t>
        </is>
      </c>
      <c r="L1650" t="inlineStr">
        <is>
          <t>sp|Q8CF93|GLT13_MOUSE Polypeptide N-acetylgalactosaminyltransferase 13 OS=Mus musculus OX=10090 GN=Galnt13 PE=1 SV=1</t>
        </is>
      </c>
      <c r="M1650" t="n">
        <v>556</v>
      </c>
      <c r="N1650" t="inlineStr">
        <is>
          <t>Mus musculus</t>
        </is>
      </c>
      <c r="O1650" t="inlineStr">
        <is>
          <t>Polypeptide N-acetylgalactosaminyltransferase 13</t>
        </is>
      </c>
    </row>
    <row r="1651">
      <c r="A1651" t="inlineStr"/>
      <c r="B1651" t="inlineStr"/>
      <c r="C1651" t="inlineStr"/>
      <c r="D1651" t="inlineStr"/>
      <c r="E1651">
        <f>HYPERLINK("https://www.uniprot.org/uniprotkb/Q10472/entry", "Q10472")</f>
        <v/>
      </c>
      <c r="F1651" t="n">
        <v>78.8</v>
      </c>
      <c r="G1651" t="n">
        <v>561</v>
      </c>
      <c r="H1651" t="n">
        <v>0</v>
      </c>
      <c r="I1651" t="inlineStr">
        <is>
          <t>Swiss-Prot</t>
        </is>
      </c>
      <c r="J1651" t="inlineStr">
        <is>
          <t>GALNT1</t>
        </is>
      </c>
      <c r="K1651" t="inlineStr">
        <is>
          <t>GALT1_HUMAN</t>
        </is>
      </c>
      <c r="L1651" t="inlineStr">
        <is>
          <t>sp|Q10472|GALT1_HUMAN Polypeptide N-acetylgalactosaminyltransferase 1 OS=Homo sapiens OX=9606 GN=GALNT1 PE=1 SV=1</t>
        </is>
      </c>
      <c r="M1651" t="n">
        <v>559</v>
      </c>
      <c r="N1651" t="inlineStr">
        <is>
          <t>Homo sapiens</t>
        </is>
      </c>
      <c r="O1651" t="inlineStr">
        <is>
          <t>Polypeptide N-acetylgalactosaminyltransferase 1</t>
        </is>
      </c>
    </row>
    <row r="1652">
      <c r="A1652" t="inlineStr"/>
      <c r="B1652" t="inlineStr"/>
      <c r="C1652" t="inlineStr"/>
      <c r="D1652" t="inlineStr"/>
      <c r="E1652">
        <f>HYPERLINK("https://www.uniprot.org/uniprotkb/Q07537/entry", "Q07537")</f>
        <v/>
      </c>
      <c r="F1652" t="n">
        <v>78.8</v>
      </c>
      <c r="G1652" t="n">
        <v>561</v>
      </c>
      <c r="H1652" t="n">
        <v>0</v>
      </c>
      <c r="I1652" t="inlineStr">
        <is>
          <t>Swiss-Prot</t>
        </is>
      </c>
      <c r="J1652" t="inlineStr">
        <is>
          <t>GALNT1</t>
        </is>
      </c>
      <c r="K1652" t="inlineStr">
        <is>
          <t>GALT1_BOVIN</t>
        </is>
      </c>
      <c r="L1652" t="inlineStr">
        <is>
          <t>sp|Q07537|GALT1_BOVIN Polypeptide N-acetylgalactosaminyltransferase 1 OS=Bos taurus OX=9913 GN=GALNT1 PE=1 SV=1</t>
        </is>
      </c>
      <c r="M1652" t="n">
        <v>559</v>
      </c>
      <c r="N1652" t="inlineStr">
        <is>
          <t>Bos taurus</t>
        </is>
      </c>
      <c r="O1652" t="inlineStr">
        <is>
          <t>Polypeptide N-acetylgalactosaminyltransferase 1</t>
        </is>
      </c>
    </row>
    <row r="1653">
      <c r="A1653" t="inlineStr"/>
      <c r="B1653" t="inlineStr"/>
      <c r="C1653" t="inlineStr"/>
      <c r="D1653" t="inlineStr"/>
      <c r="E1653">
        <f>HYPERLINK("https://www.uniprot.org/uniprotkb/Q29121/entry", "Q29121")</f>
        <v/>
      </c>
      <c r="F1653" t="n">
        <v>79</v>
      </c>
      <c r="G1653" t="n">
        <v>561</v>
      </c>
      <c r="H1653" t="n">
        <v>0</v>
      </c>
      <c r="I1653" t="inlineStr">
        <is>
          <t>Swiss-Prot</t>
        </is>
      </c>
      <c r="J1653" t="inlineStr">
        <is>
          <t>GALNT1</t>
        </is>
      </c>
      <c r="K1653" t="inlineStr">
        <is>
          <t>GALT1_PIG</t>
        </is>
      </c>
      <c r="L1653" t="inlineStr">
        <is>
          <t>sp|Q29121|GALT1_PIG Polypeptide N-acetylgalactosaminyltransferase 1 OS=Sus scrofa OX=9823 GN=GALNT1 PE=1 SV=1</t>
        </is>
      </c>
      <c r="M1653" t="n">
        <v>559</v>
      </c>
      <c r="N1653" t="inlineStr">
        <is>
          <t>Sus scrofa</t>
        </is>
      </c>
      <c r="O1653" t="inlineStr">
        <is>
          <t>Polypeptide N-acetylgalactosaminyltransferase 1</t>
        </is>
      </c>
    </row>
    <row r="1654">
      <c r="A1654" t="inlineStr"/>
      <c r="B1654" t="inlineStr"/>
      <c r="C1654" t="inlineStr"/>
      <c r="D1654" t="inlineStr"/>
      <c r="E1654">
        <f>HYPERLINK("https://www.uniprot.org/uniprotkb/Q10473/entry", "Q10473")</f>
        <v/>
      </c>
      <c r="F1654" t="n">
        <v>78.40000000000001</v>
      </c>
      <c r="G1654" t="n">
        <v>561</v>
      </c>
      <c r="H1654" t="n">
        <v>0</v>
      </c>
      <c r="I1654" t="inlineStr">
        <is>
          <t>Swiss-Prot</t>
        </is>
      </c>
      <c r="J1654" t="inlineStr">
        <is>
          <t>Galnt1</t>
        </is>
      </c>
      <c r="K1654" t="inlineStr">
        <is>
          <t>GALT1_RAT</t>
        </is>
      </c>
      <c r="L1654" t="inlineStr">
        <is>
          <t>sp|Q10473|GALT1_RAT Polypeptide N-acetylgalactosaminyltransferase 1 OS=Rattus norvegicus OX=10116 GN=Galnt1 PE=1 SV=1</t>
        </is>
      </c>
      <c r="M1654" t="n">
        <v>559</v>
      </c>
      <c r="N1654" t="inlineStr">
        <is>
          <t>Rattus norvegicus</t>
        </is>
      </c>
      <c r="O1654" t="inlineStr">
        <is>
          <t>Polypeptide N-acetylgalactosaminyltransferase 1</t>
        </is>
      </c>
    </row>
    <row r="1655">
      <c r="A1655" t="inlineStr"/>
      <c r="B1655" t="inlineStr"/>
      <c r="C1655" t="inlineStr"/>
      <c r="D1655" t="inlineStr"/>
      <c r="E1655">
        <f>HYPERLINK("https://www.uniprot.org/uniprotkb/O08912/entry", "O08912")</f>
        <v/>
      </c>
      <c r="F1655" t="n">
        <v>78.3</v>
      </c>
      <c r="G1655" t="n">
        <v>561</v>
      </c>
      <c r="H1655" t="n">
        <v>0</v>
      </c>
      <c r="I1655" t="inlineStr">
        <is>
          <t>Swiss-Prot</t>
        </is>
      </c>
      <c r="J1655" t="inlineStr">
        <is>
          <t>Galnt1</t>
        </is>
      </c>
      <c r="K1655" t="inlineStr">
        <is>
          <t>GALT1_MOUSE</t>
        </is>
      </c>
      <c r="L1655" t="inlineStr">
        <is>
          <t>sp|O08912|GALT1_MOUSE Polypeptide N-acetylgalactosaminyltransferase 1 OS=Mus musculus OX=10090 GN=Galnt1 PE=1 SV=1</t>
        </is>
      </c>
      <c r="M1655" t="n">
        <v>559</v>
      </c>
      <c r="N1655" t="inlineStr">
        <is>
          <t>Mus musculus</t>
        </is>
      </c>
      <c r="O1655" t="inlineStr">
        <is>
          <t>Polypeptide N-acetylgalactosaminyltransferase 1</t>
        </is>
      </c>
    </row>
    <row r="1656">
      <c r="A1656" t="inlineStr"/>
      <c r="B1656" t="inlineStr"/>
      <c r="C1656" t="inlineStr"/>
      <c r="D1656" t="inlineStr"/>
      <c r="E1656">
        <f>HYPERLINK("https://www.uniprot.org/uniprotkb/Q6WV17/entry", "Q6WV17")</f>
        <v/>
      </c>
      <c r="F1656" t="n">
        <v>65.09999999999999</v>
      </c>
      <c r="G1656" t="n">
        <v>507</v>
      </c>
      <c r="H1656" t="n">
        <v>2.78e-229</v>
      </c>
      <c r="I1656" t="inlineStr">
        <is>
          <t>Swiss-Prot</t>
        </is>
      </c>
      <c r="J1656" t="inlineStr">
        <is>
          <t>Pgant5</t>
        </is>
      </c>
      <c r="K1656" t="inlineStr">
        <is>
          <t>GALT5_DROME</t>
        </is>
      </c>
      <c r="L1656" t="inlineStr">
        <is>
          <t>sp|Q6WV17|GALT5_DROME Polypeptide N-acetylgalactosaminyltransferase 5 OS=Drosophila melanogaster OX=7227 GN=Pgant5 PE=1 SV=2</t>
        </is>
      </c>
      <c r="M1656" t="n">
        <v>630</v>
      </c>
      <c r="N1656" t="inlineStr">
        <is>
          <t>Drosophila melanogaster</t>
        </is>
      </c>
      <c r="O1656" t="inlineStr">
        <is>
          <t>Polypeptide N-acetylgalactosaminyltransferase 5</t>
        </is>
      </c>
    </row>
    <row r="1657">
      <c r="A1657" t="inlineStr"/>
      <c r="B1657" t="inlineStr"/>
      <c r="C1657" t="inlineStr"/>
      <c r="D1657" t="inlineStr"/>
      <c r="E1657">
        <f>HYPERLINK("https://www.uniprot.org/uniprotkb/P34678/entry", "P34678")</f>
        <v/>
      </c>
      <c r="F1657" t="n">
        <v>47</v>
      </c>
      <c r="G1657" t="n">
        <v>607</v>
      </c>
      <c r="H1657" t="n">
        <v>6.59e-193</v>
      </c>
      <c r="I1657" t="inlineStr">
        <is>
          <t>Swiss-Prot</t>
        </is>
      </c>
      <c r="J1657" t="inlineStr">
        <is>
          <t>gly-3</t>
        </is>
      </c>
      <c r="K1657" t="inlineStr">
        <is>
          <t>GALT3_CAEEL</t>
        </is>
      </c>
      <c r="L1657" t="inlineStr">
        <is>
          <t>sp|P34678|GALT3_CAEEL Polypeptide N-acetylgalactosaminyltransferase 3 OS=Caenorhabditis elegans OX=6239 GN=gly-3 PE=2 SV=2</t>
        </is>
      </c>
      <c r="M1657" t="n">
        <v>612</v>
      </c>
      <c r="N1657" t="inlineStr">
        <is>
          <t>Caenorhabditis elegans</t>
        </is>
      </c>
      <c r="O1657" t="inlineStr">
        <is>
          <t>Polypeptide N-acetylgalactosaminyltransferase 3</t>
        </is>
      </c>
    </row>
    <row r="1658">
      <c r="A1658" t="inlineStr"/>
      <c r="B1658" t="inlineStr"/>
      <c r="C1658" t="inlineStr"/>
      <c r="D1658" t="inlineStr"/>
      <c r="E1658">
        <f>HYPERLINK("https://www.uniprot.org/uniprotkb/Q95ZJ1/entry", "Q95ZJ1")</f>
        <v/>
      </c>
      <c r="F1658" t="n">
        <v>51.5</v>
      </c>
      <c r="G1658" t="n">
        <v>513</v>
      </c>
      <c r="H1658" t="n">
        <v>1.6e-162</v>
      </c>
      <c r="I1658" t="inlineStr">
        <is>
          <t>Swiss-Prot</t>
        </is>
      </c>
      <c r="J1658" t="inlineStr">
        <is>
          <t>gly-5</t>
        </is>
      </c>
      <c r="K1658" t="inlineStr">
        <is>
          <t>GALT5_CAEEL</t>
        </is>
      </c>
      <c r="L1658" t="inlineStr">
        <is>
          <t>sp|Q95ZJ1|GALT5_CAEEL Polypeptide N-acetylgalactosaminyltransferase 5 OS=Caenorhabditis elegans OX=6239 GN=gly-5 PE=2 SV=2</t>
        </is>
      </c>
      <c r="M1658" t="n">
        <v>626</v>
      </c>
      <c r="N1658" t="inlineStr">
        <is>
          <t>Caenorhabditis elegans</t>
        </is>
      </c>
      <c r="O1658" t="inlineStr">
        <is>
          <t>Polypeptide N-acetylgalactosaminyltransferase 5</t>
        </is>
      </c>
    </row>
    <row r="1659">
      <c r="A1659" t="inlineStr"/>
      <c r="B1659" t="inlineStr"/>
      <c r="C1659" t="inlineStr"/>
      <c r="D1659" t="inlineStr"/>
      <c r="E1659">
        <f>HYPERLINK("https://www.uniprot.org/uniprotkb/Q8MRC9/entry", "Q8MRC9")</f>
        <v/>
      </c>
      <c r="F1659" t="n">
        <v>51</v>
      </c>
      <c r="G1659" t="n">
        <v>512</v>
      </c>
      <c r="H1659" t="n">
        <v>4.46e-157</v>
      </c>
      <c r="I1659" t="inlineStr">
        <is>
          <t>Swiss-Prot</t>
        </is>
      </c>
      <c r="J1659" t="inlineStr">
        <is>
          <t>Pgant9</t>
        </is>
      </c>
      <c r="K1659" t="inlineStr">
        <is>
          <t>GALT9_DROME</t>
        </is>
      </c>
      <c r="L1659" t="inlineStr">
        <is>
          <t>sp|Q8MRC9|GALT9_DROME Putative polypeptide N-acetylgalactosaminyltransferase 9 OS=Drosophila melanogaster OX=7227 GN=Pgant9 PE=1 SV=2</t>
        </is>
      </c>
      <c r="M1659" t="n">
        <v>650</v>
      </c>
      <c r="N1659" t="inlineStr">
        <is>
          <t>Drosophila melanogaster</t>
        </is>
      </c>
      <c r="O1659" t="inlineStr">
        <is>
          <t>Putative polypeptide N-acetylgalactosaminyltransferase 9</t>
        </is>
      </c>
    </row>
    <row r="1660">
      <c r="A1660" t="inlineStr"/>
      <c r="B1660" t="inlineStr"/>
      <c r="C1660" t="inlineStr"/>
      <c r="D1660" t="inlineStr"/>
      <c r="E1660">
        <f>HYPERLINK("https://www.uniprot.org/uniprotkb/O61394/entry", "O61394")</f>
        <v/>
      </c>
      <c r="F1660" t="n">
        <v>47.3</v>
      </c>
      <c r="G1660" t="n">
        <v>541</v>
      </c>
      <c r="H1660" t="n">
        <v>1.48e-155</v>
      </c>
      <c r="I1660" t="inlineStr">
        <is>
          <t>Swiss-Prot</t>
        </is>
      </c>
      <c r="J1660" t="inlineStr">
        <is>
          <t>gly-6</t>
        </is>
      </c>
      <c r="K1660" t="inlineStr">
        <is>
          <t>GALT6_CAEEL</t>
        </is>
      </c>
      <c r="L1660" t="inlineStr">
        <is>
          <t>sp|O61394|GALT6_CAEEL Probable N-acetylgalactosaminyltransferase 6 OS=Caenorhabditis elegans OX=6239 GN=gly-6 PE=2 SV=1</t>
        </is>
      </c>
      <c r="M1660" t="n">
        <v>618</v>
      </c>
      <c r="N1660" t="inlineStr">
        <is>
          <t>Caenorhabditis elegans</t>
        </is>
      </c>
      <c r="O1660" t="inlineStr">
        <is>
          <t>Probable N-acetylgalactosaminyltransferase 6</t>
        </is>
      </c>
    </row>
    <row r="1661">
      <c r="A1661" t="inlineStr"/>
      <c r="B1661" t="inlineStr"/>
      <c r="C1661" t="inlineStr"/>
      <c r="D1661" t="inlineStr"/>
      <c r="E1661">
        <f>HYPERLINK("https://www.uniprot.org/uniprotkb/Q9Y117/entry", "Q9Y117")</f>
        <v/>
      </c>
      <c r="F1661" t="n">
        <v>56.8</v>
      </c>
      <c r="G1661" t="n">
        <v>382</v>
      </c>
      <c r="H1661" t="n">
        <v>1.52e-153</v>
      </c>
      <c r="I1661" t="inlineStr">
        <is>
          <t>Swiss-Prot</t>
        </is>
      </c>
      <c r="J1661" t="inlineStr">
        <is>
          <t>Pgant3</t>
        </is>
      </c>
      <c r="K1661" t="inlineStr">
        <is>
          <t>GALT3_DROME</t>
        </is>
      </c>
      <c r="L1661" t="inlineStr">
        <is>
          <t>sp|Q9Y117|GALT3_DROME Polypeptide N-acetylgalactosaminyltransferase 3 OS=Drosophila melanogaster OX=7227 GN=Pgant3 PE=1 SV=1</t>
        </is>
      </c>
      <c r="M1661" t="n">
        <v>667</v>
      </c>
      <c r="N1661" t="inlineStr">
        <is>
          <t>Drosophila melanogaster</t>
        </is>
      </c>
      <c r="O1661" t="inlineStr">
        <is>
          <t>Polypeptide N-acetylgalactosaminyltransferase 3</t>
        </is>
      </c>
    </row>
    <row r="1662">
      <c r="A1662" t="inlineStr"/>
      <c r="B1662" t="inlineStr"/>
      <c r="C1662" t="inlineStr"/>
      <c r="D1662" t="inlineStr"/>
      <c r="E1662">
        <f>HYPERLINK("https://www.uniprot.org/uniprotkb/Q6WV19/entry", "Q6WV19")</f>
        <v/>
      </c>
      <c r="F1662" t="n">
        <v>53.5</v>
      </c>
      <c r="G1662" t="n">
        <v>402</v>
      </c>
      <c r="H1662" t="n">
        <v>3.45e-149</v>
      </c>
      <c r="I1662" t="inlineStr">
        <is>
          <t>Swiss-Prot</t>
        </is>
      </c>
      <c r="J1662" t="inlineStr">
        <is>
          <t>Pgant2</t>
        </is>
      </c>
      <c r="K1662" t="inlineStr">
        <is>
          <t>GALT2_DROME</t>
        </is>
      </c>
      <c r="L1662" t="inlineStr">
        <is>
          <t>sp|Q6WV19|GALT2_DROME Polypeptide N-acetylgalactosaminyltransferase 2 OS=Drosophila melanogaster OX=7227 GN=Pgant2 PE=1 SV=2</t>
        </is>
      </c>
      <c r="M1662" t="n">
        <v>633</v>
      </c>
      <c r="N1662" t="inlineStr">
        <is>
          <t>Drosophila melanogaster</t>
        </is>
      </c>
      <c r="O1662" t="inlineStr">
        <is>
          <t>Polypeptide N-acetylgalactosaminyltransferase 2</t>
        </is>
      </c>
    </row>
    <row r="1663">
      <c r="A1663" t="inlineStr"/>
      <c r="B1663" t="inlineStr"/>
      <c r="C1663" t="inlineStr"/>
      <c r="D1663" t="inlineStr"/>
      <c r="E1663">
        <f>HYPERLINK("https://www.uniprot.org/uniprotkb/Q10471/entry", "Q10471")</f>
        <v/>
      </c>
      <c r="F1663" t="n">
        <v>46.9</v>
      </c>
      <c r="G1663" t="n">
        <v>471</v>
      </c>
      <c r="H1663" t="n">
        <v>1.43e-146</v>
      </c>
      <c r="I1663" t="inlineStr">
        <is>
          <t>Swiss-Prot</t>
        </is>
      </c>
      <c r="J1663" t="inlineStr">
        <is>
          <t>GALNT2</t>
        </is>
      </c>
      <c r="K1663" t="inlineStr">
        <is>
          <t>GALT2_HUMAN</t>
        </is>
      </c>
      <c r="L1663" t="inlineStr">
        <is>
          <t>sp|Q10471|GALT2_HUMAN Polypeptide N-acetylgalactosaminyltransferase 2 OS=Homo sapiens OX=9606 GN=GALNT2 PE=1 SV=1</t>
        </is>
      </c>
      <c r="M1663" t="n">
        <v>571</v>
      </c>
      <c r="N1663" t="inlineStr">
        <is>
          <t>Homo sapiens</t>
        </is>
      </c>
      <c r="O1663" t="inlineStr">
        <is>
          <t>Polypeptide N-acetylgalactosaminyltransferase 2</t>
        </is>
      </c>
    </row>
    <row r="1664">
      <c r="A1664" t="inlineStr"/>
      <c r="B1664" t="inlineStr"/>
      <c r="C1664" t="inlineStr"/>
      <c r="D1664" t="inlineStr"/>
      <c r="E1664">
        <f>HYPERLINK("https://www.uniprot.org/uniprotkb/Q8N4A0/entry", "Q8N4A0")</f>
        <v/>
      </c>
      <c r="F1664" t="n">
        <v>51.3</v>
      </c>
      <c r="G1664" t="n">
        <v>439</v>
      </c>
      <c r="H1664" t="n">
        <v>3.57e-146</v>
      </c>
      <c r="I1664" t="inlineStr">
        <is>
          <t>Swiss-Prot</t>
        </is>
      </c>
      <c r="J1664" t="inlineStr">
        <is>
          <t>GALNT4</t>
        </is>
      </c>
      <c r="K1664" t="inlineStr">
        <is>
          <t>GALT4_HUMAN</t>
        </is>
      </c>
      <c r="L1664" t="inlineStr">
        <is>
          <t>sp|Q8N4A0|GALT4_HUMAN Polypeptide N-acetylgalactosaminyltransferase 4 OS=Homo sapiens OX=9606 GN=GALNT4 PE=1 SV=2</t>
        </is>
      </c>
      <c r="M1664" t="n">
        <v>578</v>
      </c>
      <c r="N1664" t="inlineStr">
        <is>
          <t>Homo sapiens</t>
        </is>
      </c>
      <c r="O1664" t="inlineStr">
        <is>
          <t>Polypeptide N-acetylgalactosaminyltransferase 4</t>
        </is>
      </c>
    </row>
    <row r="1665">
      <c r="A1665" t="inlineStr"/>
      <c r="B1665" t="inlineStr"/>
      <c r="C1665" t="inlineStr"/>
      <c r="D1665" t="inlineStr"/>
      <c r="E1665">
        <f>HYPERLINK("https://www.uniprot.org/uniprotkb/Q6PB93/entry", "Q6PB93")</f>
        <v/>
      </c>
      <c r="F1665" t="n">
        <v>47.1</v>
      </c>
      <c r="G1665" t="n">
        <v>471</v>
      </c>
      <c r="H1665" t="n">
        <v>1.11e-145</v>
      </c>
      <c r="I1665" t="inlineStr">
        <is>
          <t>Swiss-Prot</t>
        </is>
      </c>
      <c r="J1665" t="inlineStr">
        <is>
          <t>Galnt2</t>
        </is>
      </c>
      <c r="K1665" t="inlineStr">
        <is>
          <t>GALT2_MOUSE</t>
        </is>
      </c>
      <c r="L1665" t="inlineStr">
        <is>
          <t>sp|Q6PB93|GALT2_MOUSE Polypeptide N-acetylgalactosaminyltransferase 2 OS=Mus musculus OX=10090 GN=Galnt2 PE=1 SV=1</t>
        </is>
      </c>
      <c r="M1665" t="n">
        <v>570</v>
      </c>
      <c r="N1665" t="inlineStr">
        <is>
          <t>Mus musculus</t>
        </is>
      </c>
      <c r="O1665" t="inlineStr">
        <is>
          <t>Polypeptide N-acetylgalactosaminyltransferase 2</t>
        </is>
      </c>
    </row>
    <row r="1666">
      <c r="A1666" t="inlineStr"/>
      <c r="B1666" t="inlineStr"/>
      <c r="C1666" t="inlineStr"/>
      <c r="D1666" t="inlineStr"/>
      <c r="E1666">
        <f>HYPERLINK("https://www.uniprot.org/uniprotkb/O08832/entry", "O08832")</f>
        <v/>
      </c>
      <c r="F1666" t="n">
        <v>50.6</v>
      </c>
      <c r="G1666" t="n">
        <v>439</v>
      </c>
      <c r="H1666" t="n">
        <v>2.85e-145</v>
      </c>
      <c r="I1666" t="inlineStr">
        <is>
          <t>Swiss-Prot</t>
        </is>
      </c>
      <c r="J1666" t="inlineStr">
        <is>
          <t>Galnt4</t>
        </is>
      </c>
      <c r="K1666" t="inlineStr">
        <is>
          <t>GALT4_MOUSE</t>
        </is>
      </c>
      <c r="L1666" t="inlineStr">
        <is>
          <t>sp|O08832|GALT4_MOUSE Polypeptide N-acetylgalactosaminyltransferase 4 OS=Mus musculus OX=10090 GN=Galnt4 PE=1 SV=1</t>
        </is>
      </c>
      <c r="M1666" t="n">
        <v>578</v>
      </c>
      <c r="N1666" t="inlineStr">
        <is>
          <t>Mus musculus</t>
        </is>
      </c>
      <c r="O1666" t="inlineStr">
        <is>
          <t>Polypeptide N-acetylgalactosaminyltransferase 4</t>
        </is>
      </c>
    </row>
    <row r="1667">
      <c r="A1667" t="inlineStr"/>
      <c r="B1667" t="inlineStr"/>
      <c r="C1667" t="inlineStr"/>
      <c r="D1667" t="inlineStr"/>
      <c r="E1667">
        <f>HYPERLINK("https://www.uniprot.org/uniprotkb/Q8NCL4/entry", "Q8NCL4")</f>
        <v/>
      </c>
      <c r="F1667" t="n">
        <v>51.7</v>
      </c>
      <c r="G1667" t="n">
        <v>453</v>
      </c>
      <c r="H1667" t="n">
        <v>1.12e-141</v>
      </c>
      <c r="I1667" t="inlineStr">
        <is>
          <t>Swiss-Prot</t>
        </is>
      </c>
      <c r="J1667" t="inlineStr">
        <is>
          <t>GALNT6</t>
        </is>
      </c>
      <c r="K1667" t="inlineStr">
        <is>
          <t>GALT6_HUMAN</t>
        </is>
      </c>
      <c r="L1667" t="inlineStr">
        <is>
          <t>sp|Q8NCL4|GALT6_HUMAN Polypeptide N-acetylgalactosaminyltransferase 6 OS=Homo sapiens OX=9606 GN=GALNT6 PE=1 SV=2</t>
        </is>
      </c>
      <c r="M1667" t="n">
        <v>622</v>
      </c>
      <c r="N1667" t="inlineStr">
        <is>
          <t>Homo sapiens</t>
        </is>
      </c>
      <c r="O1667" t="inlineStr">
        <is>
          <t>Polypeptide N-acetylgalactosaminyltransferase 6</t>
        </is>
      </c>
    </row>
    <row r="1668">
      <c r="A1668" t="inlineStr"/>
      <c r="B1668" t="inlineStr"/>
      <c r="C1668" t="inlineStr"/>
      <c r="D1668" t="inlineStr"/>
      <c r="E1668">
        <f>HYPERLINK("https://www.uniprot.org/uniprotkb/Q8C7U7/entry", "Q8C7U7")</f>
        <v/>
      </c>
      <c r="F1668" t="n">
        <v>51.7</v>
      </c>
      <c r="G1668" t="n">
        <v>435</v>
      </c>
      <c r="H1668" t="n">
        <v>8.909999999999999e-141</v>
      </c>
      <c r="I1668" t="inlineStr">
        <is>
          <t>Swiss-Prot</t>
        </is>
      </c>
      <c r="J1668" t="inlineStr">
        <is>
          <t>Galnt6</t>
        </is>
      </c>
      <c r="K1668" t="inlineStr">
        <is>
          <t>GALT6_MOUSE</t>
        </is>
      </c>
      <c r="L1668" t="inlineStr">
        <is>
          <t>sp|Q8C7U7|GALT6_MOUSE Polypeptide N-acetylgalactosaminyltransferase 6 OS=Mus musculus OX=10090 GN=Galnt6 PE=2 SV=1</t>
        </is>
      </c>
      <c r="M1668" t="n">
        <v>622</v>
      </c>
      <c r="N1668" t="inlineStr">
        <is>
          <t>Mus musculus</t>
        </is>
      </c>
      <c r="O1668" t="inlineStr">
        <is>
          <t>Polypeptide N-acetylgalactosaminyltransferase 6</t>
        </is>
      </c>
    </row>
    <row r="1669">
      <c r="A1669" t="inlineStr"/>
      <c r="B1669" t="inlineStr"/>
      <c r="C1669" t="inlineStr"/>
      <c r="D1669" t="inlineStr"/>
      <c r="E1669">
        <f>HYPERLINK("https://www.uniprot.org/uniprotkb/Q5EA41/entry", "Q5EA41")</f>
        <v/>
      </c>
      <c r="F1669" t="n">
        <v>50.1</v>
      </c>
      <c r="G1669" t="n">
        <v>451</v>
      </c>
      <c r="H1669" t="n">
        <v>3.55e-140</v>
      </c>
      <c r="I1669" t="inlineStr">
        <is>
          <t>Swiss-Prot</t>
        </is>
      </c>
      <c r="J1669" t="inlineStr">
        <is>
          <t>GALNT6</t>
        </is>
      </c>
      <c r="K1669" t="inlineStr">
        <is>
          <t>GALT6_BOVIN</t>
        </is>
      </c>
      <c r="L1669" t="inlineStr">
        <is>
          <t>sp|Q5EA41|GALT6_BOVIN Polypeptide N-acetylgalactosaminyltransferase 6 OS=Bos taurus OX=9913 GN=GALNT6 PE=2 SV=1</t>
        </is>
      </c>
      <c r="M1669" t="n">
        <v>622</v>
      </c>
      <c r="N1669" t="inlineStr">
        <is>
          <t>Bos taurus</t>
        </is>
      </c>
      <c r="O1669" t="inlineStr">
        <is>
          <t>Polypeptide N-acetylgalactosaminyltransferase 6</t>
        </is>
      </c>
    </row>
    <row r="1670">
      <c r="A1670" t="inlineStr"/>
      <c r="B1670" t="inlineStr"/>
      <c r="C1670" t="inlineStr"/>
      <c r="D1670" t="inlineStr"/>
      <c r="E1670">
        <f>HYPERLINK("https://www.uniprot.org/uniprotkb/Q8I136/entry", "Q8I136")</f>
        <v/>
      </c>
      <c r="F1670" t="n">
        <v>50.2</v>
      </c>
      <c r="G1670" t="n">
        <v>416</v>
      </c>
      <c r="H1670" t="n">
        <v>3.67e-137</v>
      </c>
      <c r="I1670" t="inlineStr">
        <is>
          <t>Swiss-Prot</t>
        </is>
      </c>
      <c r="J1670" t="inlineStr">
        <is>
          <t>gly-4</t>
        </is>
      </c>
      <c r="K1670" t="inlineStr">
        <is>
          <t>GALT4_CAEEL</t>
        </is>
      </c>
      <c r="L1670" t="inlineStr">
        <is>
          <t>sp|Q8I136|GALT4_CAEEL Polypeptide N-acetylgalactosaminyltransferase 4 OS=Caenorhabditis elegans OX=6239 GN=gly-4 PE=2 SV=2</t>
        </is>
      </c>
      <c r="M1670" t="n">
        <v>589</v>
      </c>
      <c r="N1670" t="inlineStr">
        <is>
          <t>Caenorhabditis elegans</t>
        </is>
      </c>
      <c r="O1670" t="inlineStr">
        <is>
          <t>Polypeptide N-acetylgalactosaminyltransferase 4</t>
        </is>
      </c>
    </row>
    <row r="1671">
      <c r="A1671" t="inlineStr"/>
      <c r="B1671" t="inlineStr"/>
      <c r="C1671" t="inlineStr"/>
      <c r="D1671" t="inlineStr"/>
      <c r="E1671">
        <f>HYPERLINK("https://www.uniprot.org/uniprotkb/P70419/entry", "P70419")</f>
        <v/>
      </c>
      <c r="F1671" t="n">
        <v>50.4</v>
      </c>
      <c r="G1671" t="n">
        <v>454</v>
      </c>
      <c r="H1671" t="n">
        <v>1.96e-136</v>
      </c>
      <c r="I1671" t="inlineStr">
        <is>
          <t>Swiss-Prot</t>
        </is>
      </c>
      <c r="J1671" t="inlineStr">
        <is>
          <t>Galnt3</t>
        </is>
      </c>
      <c r="K1671" t="inlineStr">
        <is>
          <t>GALT3_MOUSE</t>
        </is>
      </c>
      <c r="L1671" t="inlineStr">
        <is>
          <t>sp|P70419|GALT3_MOUSE Polypeptide N-acetylgalactosaminyltransferase 3 OS=Mus musculus OX=10090 GN=Galnt3 PE=1 SV=3</t>
        </is>
      </c>
      <c r="M1671" t="n">
        <v>633</v>
      </c>
      <c r="N1671" t="inlineStr">
        <is>
          <t>Mus musculus</t>
        </is>
      </c>
      <c r="O1671" t="inlineStr">
        <is>
          <t>Polypeptide N-acetylgalactosaminyltransferase 3</t>
        </is>
      </c>
    </row>
    <row r="1672">
      <c r="A1672" t="inlineStr"/>
      <c r="B1672" t="inlineStr"/>
      <c r="C1672" t="inlineStr"/>
      <c r="D1672" t="inlineStr"/>
      <c r="E1672">
        <f>HYPERLINK("https://www.uniprot.org/uniprotkb/Q8BGT9/entry", "Q8BGT9")</f>
        <v/>
      </c>
      <c r="F1672" t="n">
        <v>44.7</v>
      </c>
      <c r="G1672" t="n">
        <v>488</v>
      </c>
      <c r="H1672" t="n">
        <v>2.76e-136</v>
      </c>
      <c r="I1672" t="inlineStr">
        <is>
          <t>Swiss-Prot</t>
        </is>
      </c>
      <c r="J1672" t="inlineStr">
        <is>
          <t>Galnt12</t>
        </is>
      </c>
      <c r="K1672" t="inlineStr">
        <is>
          <t>GLT12_MOUSE</t>
        </is>
      </c>
      <c r="L1672" t="inlineStr">
        <is>
          <t>sp|Q8BGT9|GLT12_MOUSE Polypeptide N-acetylgalactosaminyltransferase 12 OS=Mus musculus OX=10090 GN=Galnt12 PE=2 SV=1</t>
        </is>
      </c>
      <c r="M1672" t="n">
        <v>576</v>
      </c>
      <c r="N1672" t="inlineStr">
        <is>
          <t>Mus musculus</t>
        </is>
      </c>
      <c r="O1672" t="inlineStr">
        <is>
          <t>Polypeptide N-acetylgalactosaminyltransferase 12</t>
        </is>
      </c>
    </row>
    <row r="1673">
      <c r="A1673" t="inlineStr">
        <is>
          <t>NODE_145750_length_1117_cov_11.951429_g66936_i0</t>
        </is>
      </c>
      <c r="B1673" t="inlineStr">
        <is>
          <t>bombina_pachypus_blastx</t>
        </is>
      </c>
      <c r="C1673" t="n">
        <v>4.27656316344519</v>
      </c>
      <c r="D1673" t="n">
        <v>0.0277669518320444</v>
      </c>
      <c r="E1673">
        <f>HYPERLINK("https://www.uniprot.org/uniprotkb/A0A1L8H2C3/entry", "A0A1L8H2C3")</f>
        <v/>
      </c>
      <c r="F1673" t="n">
        <v>56.4</v>
      </c>
      <c r="G1673" t="n">
        <v>314</v>
      </c>
      <c r="H1673" t="n">
        <v>2.5e-120</v>
      </c>
      <c r="I1673" t="inlineStr">
        <is>
          <t>TrEMBL</t>
        </is>
      </c>
      <c r="J1673" t="inlineStr">
        <is>
          <t>LOC108711646</t>
        </is>
      </c>
      <c r="K1673" t="inlineStr">
        <is>
          <t>A0A1L8H2C3_XENLA</t>
        </is>
      </c>
      <c r="L1673" t="inlineStr">
        <is>
          <t>tr|A0A1L8H2C3|A0A1L8H2C3_XENLA endonuclease domain-containing 1 protein OS=Xenopus laevis OX=8355 GN=LOC108711646 PE=4 SV=1</t>
        </is>
      </c>
      <c r="M1673" t="n">
        <v>316</v>
      </c>
      <c r="N1673" t="inlineStr">
        <is>
          <t>Xenopus laevis</t>
        </is>
      </c>
      <c r="O1673" t="inlineStr">
        <is>
          <t>endonuclease domain-containing 1 protein</t>
        </is>
      </c>
    </row>
    <row r="1674">
      <c r="A1674" t="inlineStr"/>
      <c r="B1674" t="inlineStr"/>
      <c r="C1674" t="inlineStr"/>
      <c r="D1674" t="inlineStr"/>
      <c r="E1674">
        <f>HYPERLINK("https://www.ncbi.nlm.nih.gov/gene/?term=XP_018109073.1", "XP_018109073.1")</f>
        <v/>
      </c>
      <c r="F1674" t="n">
        <v>56.4</v>
      </c>
      <c r="G1674" t="n">
        <v>314</v>
      </c>
      <c r="H1674" t="n">
        <v>6.41e-120</v>
      </c>
      <c r="I1674" t="inlineStr">
        <is>
          <t>Nr</t>
        </is>
      </c>
      <c r="J1674" t="inlineStr"/>
      <c r="K1674" t="inlineStr"/>
      <c r="L1674" t="inlineStr">
        <is>
          <t>XP_018109073.1 endonuclease domain-containing 1 protein [Xenopus laevis]</t>
        </is>
      </c>
      <c r="M1674" t="n">
        <v>316</v>
      </c>
      <c r="N1674" t="inlineStr">
        <is>
          <t>Xenopus laevis</t>
        </is>
      </c>
      <c r="O1674" t="inlineStr">
        <is>
          <t>endonuclease domain-containing 1 protein</t>
        </is>
      </c>
    </row>
    <row r="1675">
      <c r="A1675" t="inlineStr"/>
      <c r="B1675" t="inlineStr"/>
      <c r="C1675" t="inlineStr"/>
      <c r="D1675" t="inlineStr"/>
      <c r="E1675">
        <f>HYPERLINK("https://www.uniprot.org/uniprotkb/A0A803JC72/entry", "A0A803JC72")</f>
        <v/>
      </c>
      <c r="F1675" t="n">
        <v>53.8</v>
      </c>
      <c r="G1675" t="n">
        <v>312</v>
      </c>
      <c r="H1675" t="n">
        <v>1.36e-114</v>
      </c>
      <c r="I1675" t="inlineStr">
        <is>
          <t>TrEMBL</t>
        </is>
      </c>
      <c r="J1675" t="inlineStr">
        <is>
          <t>LOC116409561</t>
        </is>
      </c>
      <c r="K1675" t="inlineStr">
        <is>
          <t>A0A803JC72_XENTR</t>
        </is>
      </c>
      <c r="L1675" t="inlineStr">
        <is>
          <t>tr|A0A803JC72|A0A803JC72_XENTR endonuclease domain-containing 1 protein-like OS=Xenopus tropicalis OX=8364 GN=LOC116409561 PE=4 SV=1</t>
        </is>
      </c>
      <c r="M1675" t="n">
        <v>314</v>
      </c>
      <c r="N1675" t="inlineStr">
        <is>
          <t>Xenopus tropicalis</t>
        </is>
      </c>
      <c r="O1675" t="inlineStr">
        <is>
          <t>endonuclease domain-containing 1 protein-like</t>
        </is>
      </c>
    </row>
    <row r="1676">
      <c r="A1676" t="inlineStr"/>
      <c r="B1676" t="inlineStr"/>
      <c r="C1676" t="inlineStr"/>
      <c r="D1676" t="inlineStr"/>
      <c r="E1676">
        <f>HYPERLINK("https://www.ncbi.nlm.nih.gov/gene/?term=XP_031754097.1", "XP_031754097.1")</f>
        <v/>
      </c>
      <c r="F1676" t="n">
        <v>53.8</v>
      </c>
      <c r="G1676" t="n">
        <v>312</v>
      </c>
      <c r="H1676" t="n">
        <v>3.5e-114</v>
      </c>
      <c r="I1676" t="inlineStr">
        <is>
          <t>Nr</t>
        </is>
      </c>
      <c r="J1676" t="inlineStr"/>
      <c r="K1676" t="inlineStr"/>
      <c r="L1676" t="inlineStr">
        <is>
          <t>XP_031754097.1 endonuclease domain-containing 1 protein-like [Xenopus tropicalis]</t>
        </is>
      </c>
      <c r="M1676" t="n">
        <v>314</v>
      </c>
      <c r="N1676" t="inlineStr">
        <is>
          <t>Xenopus tropicalis</t>
        </is>
      </c>
      <c r="O1676" t="inlineStr">
        <is>
          <t>endonuclease domain-containing 1 protein-like</t>
        </is>
      </c>
    </row>
    <row r="1677">
      <c r="A1677" t="inlineStr"/>
      <c r="B1677" t="inlineStr"/>
      <c r="C1677" t="inlineStr"/>
      <c r="D1677" t="inlineStr"/>
      <c r="E1677">
        <f>HYPERLINK("https://www.uniprot.org/uniprotkb/A0A6I8PZF3/entry", "A0A6I8PZF3")</f>
        <v/>
      </c>
      <c r="F1677" t="n">
        <v>53.5</v>
      </c>
      <c r="G1677" t="n">
        <v>312</v>
      </c>
      <c r="H1677" t="n">
        <v>1.57e-113</v>
      </c>
      <c r="I1677" t="inlineStr">
        <is>
          <t>TrEMBL</t>
        </is>
      </c>
      <c r="J1677" t="inlineStr">
        <is>
          <t>LOC116409561</t>
        </is>
      </c>
      <c r="K1677" t="inlineStr">
        <is>
          <t>A0A6I8PZF3_XENTR</t>
        </is>
      </c>
      <c r="L1677" t="inlineStr">
        <is>
          <t>tr|A0A6I8PZF3|A0A6I8PZF3_XENTR Endonuclease domain-containing 1 protein-like OS=Xenopus tropicalis OX=8364 GN=LOC116409561 PE=4 SV=2</t>
        </is>
      </c>
      <c r="M1677" t="n">
        <v>314</v>
      </c>
      <c r="N1677" t="inlineStr">
        <is>
          <t>Xenopus tropicalis</t>
        </is>
      </c>
      <c r="O1677" t="inlineStr">
        <is>
          <t>Endonuclease domain-containing 1 protein-like</t>
        </is>
      </c>
    </row>
    <row r="1678">
      <c r="A1678" t="inlineStr"/>
      <c r="B1678" t="inlineStr"/>
      <c r="C1678" t="inlineStr"/>
      <c r="D1678" t="inlineStr"/>
      <c r="E1678">
        <f>HYPERLINK("https://www.uniprot.org/uniprotkb/A0A1L8GRM8/entry", "A0A1L8GRM8")</f>
        <v/>
      </c>
      <c r="F1678" t="n">
        <v>54.5</v>
      </c>
      <c r="G1678" t="n">
        <v>308</v>
      </c>
      <c r="H1678" t="n">
        <v>1.81e-112</v>
      </c>
      <c r="I1678" t="inlineStr">
        <is>
          <t>TrEMBL</t>
        </is>
      </c>
      <c r="J1678" t="inlineStr">
        <is>
          <t>LOC108712680</t>
        </is>
      </c>
      <c r="K1678" t="inlineStr">
        <is>
          <t>A0A1L8GRM8_XENLA</t>
        </is>
      </c>
      <c r="L1678" t="inlineStr">
        <is>
          <t>tr|A0A1L8GRM8|A0A1L8GRM8_XENLA endonuclease domain-containing 1 protein OS=Xenopus laevis OX=8355 GN=LOC108712680 PE=4 SV=1</t>
        </is>
      </c>
      <c r="M1678" t="n">
        <v>314</v>
      </c>
      <c r="N1678" t="inlineStr">
        <is>
          <t>Xenopus laevis</t>
        </is>
      </c>
      <c r="O1678" t="inlineStr">
        <is>
          <t>endonuclease domain-containing 1 protein</t>
        </is>
      </c>
    </row>
    <row r="1679">
      <c r="A1679" t="inlineStr"/>
      <c r="B1679" t="inlineStr"/>
      <c r="C1679" t="inlineStr"/>
      <c r="D1679" t="inlineStr"/>
      <c r="E1679">
        <f>HYPERLINK("https://www.ncbi.nlm.nih.gov/gene/?term=XP_018110496.1", "XP_018110496.1")</f>
        <v/>
      </c>
      <c r="F1679" t="n">
        <v>54.5</v>
      </c>
      <c r="G1679" t="n">
        <v>308</v>
      </c>
      <c r="H1679" t="n">
        <v>4.65e-112</v>
      </c>
      <c r="I1679" t="inlineStr">
        <is>
          <t>Nr</t>
        </is>
      </c>
      <c r="J1679" t="inlineStr"/>
      <c r="K1679" t="inlineStr"/>
      <c r="L1679" t="inlineStr">
        <is>
          <t>XP_018110496.1 endonuclease domain-containing 1 protein [Xenopus laevis]</t>
        </is>
      </c>
      <c r="M1679" t="n">
        <v>314</v>
      </c>
      <c r="N1679" t="inlineStr">
        <is>
          <t>Xenopus laevis</t>
        </is>
      </c>
      <c r="O1679" t="inlineStr">
        <is>
          <t>endonuclease domain-containing 1 protein</t>
        </is>
      </c>
    </row>
    <row r="1680">
      <c r="A1680" t="inlineStr"/>
      <c r="B1680" t="inlineStr"/>
      <c r="C1680" t="inlineStr"/>
      <c r="D1680" t="inlineStr"/>
      <c r="E1680">
        <f>HYPERLINK("https://www.uniprot.org/uniprotkb/A0A803JCP3/entry", "A0A803JCP3")</f>
        <v/>
      </c>
      <c r="F1680" t="n">
        <v>52.9</v>
      </c>
      <c r="G1680" t="n">
        <v>312</v>
      </c>
      <c r="H1680" t="n">
        <v>1.47e-111</v>
      </c>
      <c r="I1680" t="inlineStr">
        <is>
          <t>TrEMBL</t>
        </is>
      </c>
      <c r="J1680" t="inlineStr">
        <is>
          <t>LOC116409561</t>
        </is>
      </c>
      <c r="K1680" t="inlineStr">
        <is>
          <t>A0A803JCP3_XENTR</t>
        </is>
      </c>
      <c r="L1680" t="inlineStr">
        <is>
          <t>tr|A0A803JCP3|A0A803JCP3_XENTR Endonuclease domain-containing 1 protein-like OS=Xenopus tropicalis OX=8364 GN=LOC116409561 PE=4 SV=1</t>
        </is>
      </c>
      <c r="M1680" t="n">
        <v>314</v>
      </c>
      <c r="N1680" t="inlineStr">
        <is>
          <t>Xenopus tropicalis</t>
        </is>
      </c>
      <c r="O1680" t="inlineStr">
        <is>
          <t>Endonuclease domain-containing 1 protein-like</t>
        </is>
      </c>
    </row>
    <row r="1681">
      <c r="A1681" t="inlineStr"/>
      <c r="B1681" t="inlineStr"/>
      <c r="C1681" t="inlineStr"/>
      <c r="D1681" t="inlineStr"/>
      <c r="E1681">
        <f>HYPERLINK("https://www.uniprot.org/uniprotkb/A0A803JXG5/entry", "A0A803JXG5")</f>
        <v/>
      </c>
      <c r="F1681" t="n">
        <v>51.3</v>
      </c>
      <c r="G1681" t="n">
        <v>318</v>
      </c>
      <c r="H1681" t="n">
        <v>1.54e-110</v>
      </c>
      <c r="I1681" t="inlineStr">
        <is>
          <t>TrEMBL</t>
        </is>
      </c>
      <c r="J1681" t="inlineStr">
        <is>
          <t>LOC105945145</t>
        </is>
      </c>
      <c r="K1681" t="inlineStr">
        <is>
          <t>A0A803JXG5_XENTR</t>
        </is>
      </c>
      <c r="L1681" t="inlineStr">
        <is>
          <t>tr|A0A803JXG5|A0A803JXG5_XENTR endonuclease domain-containing 1 protein OS=Xenopus tropicalis OX=8364 GN=LOC105945145 PE=4 SV=1</t>
        </is>
      </c>
      <c r="M1681" t="n">
        <v>332</v>
      </c>
      <c r="N1681" t="inlineStr">
        <is>
          <t>Xenopus tropicalis</t>
        </is>
      </c>
      <c r="O1681" t="inlineStr">
        <is>
          <t>endonuclease domain-containing 1 protein</t>
        </is>
      </c>
    </row>
    <row r="1682">
      <c r="A1682" t="inlineStr"/>
      <c r="B1682" t="inlineStr"/>
      <c r="C1682" t="inlineStr"/>
      <c r="D1682" t="inlineStr"/>
      <c r="E1682">
        <f>HYPERLINK("https://www.ncbi.nlm.nih.gov/gene/?term=XP_017948005.1", "XP_017948005.1")</f>
        <v/>
      </c>
      <c r="F1682" t="n">
        <v>51.3</v>
      </c>
      <c r="G1682" t="n">
        <v>318</v>
      </c>
      <c r="H1682" t="n">
        <v>3.96e-110</v>
      </c>
      <c r="I1682" t="inlineStr">
        <is>
          <t>Nr</t>
        </is>
      </c>
      <c r="J1682" t="inlineStr"/>
      <c r="K1682" t="inlineStr"/>
      <c r="L1682" t="inlineStr">
        <is>
          <t>XP_017948005.1 endonuclease domain-containing 1 protein [Xenopus tropicalis]</t>
        </is>
      </c>
      <c r="M1682" t="n">
        <v>332</v>
      </c>
      <c r="N1682" t="inlineStr">
        <is>
          <t>Xenopus tropicalis</t>
        </is>
      </c>
      <c r="O1682" t="inlineStr">
        <is>
          <t>endonuclease domain-containing 1 protein</t>
        </is>
      </c>
    </row>
    <row r="1683">
      <c r="A1683" t="inlineStr"/>
      <c r="B1683" t="inlineStr"/>
      <c r="C1683" t="inlineStr"/>
      <c r="D1683" t="inlineStr"/>
      <c r="E1683">
        <f>HYPERLINK("https://www.uniprot.org/uniprotkb/A0A8J1MNN4/entry", "A0A8J1MNN4")</f>
        <v/>
      </c>
      <c r="F1683" t="n">
        <v>52.5</v>
      </c>
      <c r="G1683" t="n">
        <v>314</v>
      </c>
      <c r="H1683" t="n">
        <v>8.100000000000001e-110</v>
      </c>
      <c r="I1683" t="inlineStr">
        <is>
          <t>TrEMBL</t>
        </is>
      </c>
      <c r="J1683" t="inlineStr">
        <is>
          <t>LOC108710632</t>
        </is>
      </c>
      <c r="K1683" t="inlineStr">
        <is>
          <t>A0A8J1MNN4_XENLA</t>
        </is>
      </c>
      <c r="L1683" t="inlineStr">
        <is>
          <t>tr|A0A8J1MNN4|A0A8J1MNN4_XENLA endonuclease domain-containing 1 protein OS=Xenopus laevis OX=8355 GN=LOC108710632 PE=4 SV=1</t>
        </is>
      </c>
      <c r="M1683" t="n">
        <v>319</v>
      </c>
      <c r="N1683" t="inlineStr">
        <is>
          <t>Xenopus laevis</t>
        </is>
      </c>
      <c r="O1683" t="inlineStr">
        <is>
          <t>endonuclease domain-containing 1 protein</t>
        </is>
      </c>
    </row>
    <row r="1684">
      <c r="A1684" t="inlineStr"/>
      <c r="B1684" t="inlineStr"/>
      <c r="C1684" t="inlineStr"/>
      <c r="D1684" t="inlineStr"/>
      <c r="E1684">
        <f>HYPERLINK("https://www.ncbi.nlm.nih.gov/gene/?term=XP_041443046.1", "XP_041443046.1")</f>
        <v/>
      </c>
      <c r="F1684" t="n">
        <v>52.5</v>
      </c>
      <c r="G1684" t="n">
        <v>314</v>
      </c>
      <c r="H1684" t="n">
        <v>2.08e-109</v>
      </c>
      <c r="I1684" t="inlineStr">
        <is>
          <t>Nr</t>
        </is>
      </c>
      <c r="J1684" t="inlineStr"/>
      <c r="K1684" t="inlineStr"/>
      <c r="L1684" t="inlineStr">
        <is>
          <t>XP_041443046.1 endonuclease domain-containing 1 protein [Xenopus laevis]</t>
        </is>
      </c>
      <c r="M1684" t="n">
        <v>319</v>
      </c>
      <c r="N1684" t="inlineStr">
        <is>
          <t>Xenopus laevis</t>
        </is>
      </c>
      <c r="O1684" t="inlineStr">
        <is>
          <t>endonuclease domain-containing 1 protein</t>
        </is>
      </c>
    </row>
    <row r="1685">
      <c r="A1685" t="inlineStr"/>
      <c r="B1685" t="inlineStr"/>
      <c r="C1685" t="inlineStr"/>
      <c r="D1685" t="inlineStr"/>
      <c r="E1685">
        <f>HYPERLINK("https://www.uniprot.org/uniprotkb/A0A6I8PY40/entry", "A0A6I8PY40")</f>
        <v/>
      </c>
      <c r="F1685" t="n">
        <v>53.5</v>
      </c>
      <c r="G1685" t="n">
        <v>312</v>
      </c>
      <c r="H1685" t="n">
        <v>3.92e-109</v>
      </c>
      <c r="I1685" t="inlineStr">
        <is>
          <t>TrEMBL</t>
        </is>
      </c>
      <c r="J1685" t="inlineStr">
        <is>
          <t>XB5738616</t>
        </is>
      </c>
      <c r="K1685" t="inlineStr">
        <is>
          <t>A0A6I8PY40_XENTR</t>
        </is>
      </c>
      <c r="L1685" t="inlineStr">
        <is>
          <t>tr|A0A6I8PY40|A0A6I8PY40_XENTR Provisional ortholog of endonuclease domain-containing 1 OS=Xenopus tropicalis OX=8364 GN=XB5738616 PE=4 SV=1</t>
        </is>
      </c>
      <c r="M1685" t="n">
        <v>314</v>
      </c>
      <c r="N1685" t="inlineStr">
        <is>
          <t>Xenopus tropicalis</t>
        </is>
      </c>
      <c r="O1685" t="inlineStr">
        <is>
          <t>Provisional ortholog of endonuclease domain-containing 1</t>
        </is>
      </c>
    </row>
    <row r="1686">
      <c r="A1686" t="inlineStr"/>
      <c r="B1686" t="inlineStr"/>
      <c r="C1686" t="inlineStr"/>
      <c r="D1686" t="inlineStr"/>
      <c r="E1686">
        <f>HYPERLINK("https://www.uniprot.org/uniprotkb/A0A8J1MNP6/entry", "A0A8J1MNP6")</f>
        <v/>
      </c>
      <c r="F1686" t="n">
        <v>52.7</v>
      </c>
      <c r="G1686" t="n">
        <v>311</v>
      </c>
      <c r="H1686" t="n">
        <v>4.19e-109</v>
      </c>
      <c r="I1686" t="inlineStr">
        <is>
          <t>TrEMBL</t>
        </is>
      </c>
      <c r="J1686" t="inlineStr">
        <is>
          <t>LOC108710630</t>
        </is>
      </c>
      <c r="K1686" t="inlineStr">
        <is>
          <t>A0A8J1MNP6_XENLA</t>
        </is>
      </c>
      <c r="L1686" t="inlineStr">
        <is>
          <t>tr|A0A8J1MNP6|A0A8J1MNP6_XENLA endonuclease domain-containing 1 protein-like OS=Xenopus laevis OX=8355 GN=LOC108710630 PE=4 SV=1</t>
        </is>
      </c>
      <c r="M1686" t="n">
        <v>316</v>
      </c>
      <c r="N1686" t="inlineStr">
        <is>
          <t>Xenopus laevis</t>
        </is>
      </c>
      <c r="O1686" t="inlineStr">
        <is>
          <t>endonuclease domain-containing 1 protein-like</t>
        </is>
      </c>
    </row>
    <row r="1687">
      <c r="A1687" t="inlineStr"/>
      <c r="B1687" t="inlineStr"/>
      <c r="C1687" t="inlineStr"/>
      <c r="D1687" t="inlineStr"/>
      <c r="E1687">
        <f>HYPERLINK("https://www.ncbi.nlm.nih.gov/gene/?term=XP_012814850.1", "XP_012814850.1")</f>
        <v/>
      </c>
      <c r="F1687" t="n">
        <v>53.5</v>
      </c>
      <c r="G1687" t="n">
        <v>312</v>
      </c>
      <c r="H1687" t="n">
        <v>1.01e-108</v>
      </c>
      <c r="I1687" t="inlineStr">
        <is>
          <t>Nr</t>
        </is>
      </c>
      <c r="J1687" t="inlineStr"/>
      <c r="K1687" t="inlineStr"/>
      <c r="L1687" t="inlineStr">
        <is>
          <t>XP_012814850.1 endonuclease domain-containing 1 protein [Xenopus tropicalis]</t>
        </is>
      </c>
      <c r="M1687" t="n">
        <v>314</v>
      </c>
      <c r="N1687" t="inlineStr">
        <is>
          <t>Xenopus tropicalis</t>
        </is>
      </c>
      <c r="O1687" t="inlineStr">
        <is>
          <t>endonuclease domain-containing 1 protein</t>
        </is>
      </c>
    </row>
    <row r="1688">
      <c r="A1688" t="inlineStr"/>
      <c r="B1688" t="inlineStr"/>
      <c r="C1688" t="inlineStr"/>
      <c r="D1688" t="inlineStr"/>
      <c r="E1688">
        <f>HYPERLINK("https://www.ncbi.nlm.nih.gov/gene/?term=XP_041443043.1", "XP_041443043.1")</f>
        <v/>
      </c>
      <c r="F1688" t="n">
        <v>52.7</v>
      </c>
      <c r="G1688" t="n">
        <v>311</v>
      </c>
      <c r="H1688" t="n">
        <v>1.08e-108</v>
      </c>
      <c r="I1688" t="inlineStr">
        <is>
          <t>Nr</t>
        </is>
      </c>
      <c r="J1688" t="inlineStr"/>
      <c r="K1688" t="inlineStr"/>
      <c r="L1688" t="inlineStr">
        <is>
          <t>XP_041443043.1 endonuclease domain-containing 1 protein-like [Xenopus laevis]</t>
        </is>
      </c>
      <c r="M1688" t="n">
        <v>316</v>
      </c>
      <c r="N1688" t="inlineStr">
        <is>
          <t>Xenopus laevis</t>
        </is>
      </c>
      <c r="O1688" t="inlineStr">
        <is>
          <t>endonuclease domain-containing 1 protein-like</t>
        </is>
      </c>
    </row>
    <row r="1689">
      <c r="A1689" t="inlineStr"/>
      <c r="B1689" t="inlineStr"/>
      <c r="C1689" t="inlineStr"/>
      <c r="D1689" t="inlineStr"/>
      <c r="E1689">
        <f>HYPERLINK("https://www.uniprot.org/uniprotkb/A0A2G9S5H9/entry", "A0A2G9S5H9")</f>
        <v/>
      </c>
      <c r="F1689" t="n">
        <v>51</v>
      </c>
      <c r="G1689" t="n">
        <v>337</v>
      </c>
      <c r="H1689" t="n">
        <v>2.29e-108</v>
      </c>
      <c r="I1689" t="inlineStr">
        <is>
          <t>TrEMBL</t>
        </is>
      </c>
      <c r="J1689" t="inlineStr">
        <is>
          <t>AB205_0053320</t>
        </is>
      </c>
      <c r="K1689" t="inlineStr">
        <is>
          <t>A0A2G9S5H9_LITCT</t>
        </is>
      </c>
      <c r="L1689" t="inlineStr">
        <is>
          <t>tr|A0A2G9S5H9|A0A2G9S5H9_LITCT Endonuclease domain-containing 1 protein-like OS=Lithobates catesbeianus OX=8400 GN=AB205_0053320 PE=4 SV=1</t>
        </is>
      </c>
      <c r="M1689" t="n">
        <v>346</v>
      </c>
      <c r="N1689" t="inlineStr">
        <is>
          <t>Lithobates catesbeianus</t>
        </is>
      </c>
      <c r="O1689" t="inlineStr">
        <is>
          <t>Endonuclease domain-containing 1 protein-like</t>
        </is>
      </c>
    </row>
    <row r="1690">
      <c r="A1690" t="inlineStr"/>
      <c r="B1690" t="inlineStr"/>
      <c r="C1690" t="inlineStr"/>
      <c r="D1690" t="inlineStr"/>
      <c r="E1690">
        <f>HYPERLINK("https://www.ncbi.nlm.nih.gov/gene/?term=PIO35387.1", "PIO35387.1")</f>
        <v/>
      </c>
      <c r="F1690" t="n">
        <v>51</v>
      </c>
      <c r="G1690" t="n">
        <v>337</v>
      </c>
      <c r="H1690" t="n">
        <v>5.88e-108</v>
      </c>
      <c r="I1690" t="inlineStr">
        <is>
          <t>Nr</t>
        </is>
      </c>
      <c r="J1690" t="inlineStr"/>
      <c r="K1690" t="inlineStr"/>
      <c r="L1690" t="inlineStr">
        <is>
          <t>PIO35387.1 hypothetical protein AB205_0053320 [Lithobates catesbeianus]</t>
        </is>
      </c>
      <c r="M1690" t="n">
        <v>346</v>
      </c>
      <c r="N1690" t="inlineStr">
        <is>
          <t>Lithobates catesbeianus</t>
        </is>
      </c>
      <c r="O1690" t="inlineStr">
        <is>
          <t>hypothetical protein AB205_0053320</t>
        </is>
      </c>
    </row>
    <row r="1691">
      <c r="A1691" t="inlineStr"/>
      <c r="B1691" t="inlineStr"/>
      <c r="C1691" t="inlineStr"/>
      <c r="D1691" t="inlineStr"/>
      <c r="E1691">
        <f>HYPERLINK("https://www.ncbi.nlm.nih.gov/gene/?term=UKB38742.1", "UKB38742.1")</f>
        <v/>
      </c>
      <c r="F1691" t="n">
        <v>53.2</v>
      </c>
      <c r="G1691" t="n">
        <v>312</v>
      </c>
      <c r="H1691" t="n">
        <v>4.68e-107</v>
      </c>
      <c r="I1691" t="inlineStr">
        <is>
          <t>Nr</t>
        </is>
      </c>
      <c r="J1691" t="inlineStr"/>
      <c r="K1691" t="inlineStr"/>
      <c r="L1691" t="inlineStr">
        <is>
          <t>UKB38742.1 provisional ortholog of endonuclease domain containing 1 protein, partial [synthetic construct]</t>
        </is>
      </c>
      <c r="M1691" t="n">
        <v>314</v>
      </c>
      <c r="N1691" t="inlineStr">
        <is>
          <t>synthetic construct</t>
        </is>
      </c>
      <c r="O1691" t="inlineStr">
        <is>
          <t>provisional ortholog of endonuclease domain containing 1 protein, partial</t>
        </is>
      </c>
    </row>
    <row r="1692">
      <c r="A1692" t="inlineStr"/>
      <c r="B1692" t="inlineStr"/>
      <c r="C1692" t="inlineStr"/>
      <c r="D1692" t="inlineStr"/>
      <c r="E1692">
        <f>HYPERLINK("https://www.uniprot.org/uniprotkb/A0A1L8H2D4/entry", "A0A1L8H2D4")</f>
        <v/>
      </c>
      <c r="F1692" t="n">
        <v>50.6</v>
      </c>
      <c r="G1692" t="n">
        <v>320</v>
      </c>
      <c r="H1692" t="n">
        <v>1.53e-103</v>
      </c>
      <c r="I1692" t="inlineStr">
        <is>
          <t>TrEMBL</t>
        </is>
      </c>
      <c r="J1692" t="inlineStr">
        <is>
          <t>LOC108710634</t>
        </is>
      </c>
      <c r="K1692" t="inlineStr">
        <is>
          <t>A0A1L8H2D4_XENLA</t>
        </is>
      </c>
      <c r="L1692" t="inlineStr">
        <is>
          <t>tr|A0A1L8H2D4|A0A1L8H2D4_XENLA endonuclease domain-containing 1 protein OS=Xenopus laevis OX=8355 GN=LOC108710634 PE=4 SV=1</t>
        </is>
      </c>
      <c r="M1692" t="n">
        <v>334</v>
      </c>
      <c r="N1692" t="inlineStr">
        <is>
          <t>Xenopus laevis</t>
        </is>
      </c>
      <c r="O1692" t="inlineStr">
        <is>
          <t>endonuclease domain-containing 1 protein</t>
        </is>
      </c>
    </row>
    <row r="1693">
      <c r="A1693" t="inlineStr"/>
      <c r="B1693" t="inlineStr"/>
      <c r="C1693" t="inlineStr"/>
      <c r="D1693" t="inlineStr"/>
      <c r="E1693">
        <f>HYPERLINK("https://www.ncbi.nlm.nih.gov/gene/?term=XP_018107235.2", "XP_018107235.2")</f>
        <v/>
      </c>
      <c r="F1693" t="n">
        <v>50.6</v>
      </c>
      <c r="G1693" t="n">
        <v>320</v>
      </c>
      <c r="H1693" t="n">
        <v>3.93e-103</v>
      </c>
      <c r="I1693" t="inlineStr">
        <is>
          <t>Nr</t>
        </is>
      </c>
      <c r="J1693" t="inlineStr"/>
      <c r="K1693" t="inlineStr"/>
      <c r="L1693" t="inlineStr">
        <is>
          <t>XP_018107235.2 endonuclease domain-containing 1 protein [Xenopus laevis]</t>
        </is>
      </c>
      <c r="M1693" t="n">
        <v>334</v>
      </c>
      <c r="N1693" t="inlineStr">
        <is>
          <t>Xenopus laevis</t>
        </is>
      </c>
      <c r="O1693" t="inlineStr">
        <is>
          <t>endonuclease domain-containing 1 protein</t>
        </is>
      </c>
    </row>
    <row r="1694">
      <c r="A1694" t="inlineStr"/>
      <c r="B1694" t="inlineStr"/>
      <c r="C1694" t="inlineStr"/>
      <c r="D1694" t="inlineStr"/>
      <c r="E1694">
        <f>HYPERLINK("https://www.uniprot.org/uniprotkb/A0A803KA37/entry", "A0A803KA37")</f>
        <v/>
      </c>
      <c r="F1694" t="n">
        <v>45.9</v>
      </c>
      <c r="G1694" t="n">
        <v>362</v>
      </c>
      <c r="H1694" t="n">
        <v>3.29e-102</v>
      </c>
      <c r="I1694" t="inlineStr">
        <is>
          <t>TrEMBL</t>
        </is>
      </c>
      <c r="J1694" t="inlineStr">
        <is>
          <t>LOC116409561</t>
        </is>
      </c>
      <c r="K1694" t="inlineStr">
        <is>
          <t>A0A803KA37_XENTR</t>
        </is>
      </c>
      <c r="L1694" t="inlineStr">
        <is>
          <t>tr|A0A803KA37|A0A803KA37_XENTR Endonuclease domain-containing 1 protein-like OS=Xenopus tropicalis OX=8364 GN=LOC116409561 PE=4 SV=1</t>
        </is>
      </c>
      <c r="M1694" t="n">
        <v>364</v>
      </c>
      <c r="N1694" t="inlineStr">
        <is>
          <t>Xenopus tropicalis</t>
        </is>
      </c>
      <c r="O1694" t="inlineStr">
        <is>
          <t>Endonuclease domain-containing 1 protein-like</t>
        </is>
      </c>
    </row>
    <row r="1695">
      <c r="A1695" t="inlineStr"/>
      <c r="B1695" t="inlineStr"/>
      <c r="C1695" t="inlineStr"/>
      <c r="D1695" t="inlineStr"/>
      <c r="E1695">
        <f>HYPERLINK("https://www.ncbi.nlm.nih.gov/gene/?term=XP_040202171.1", "XP_040202171.1")</f>
        <v/>
      </c>
      <c r="F1695" t="n">
        <v>48.5</v>
      </c>
      <c r="G1695" t="n">
        <v>340</v>
      </c>
      <c r="H1695" t="n">
        <v>2.78e-101</v>
      </c>
      <c r="I1695" t="inlineStr">
        <is>
          <t>Nr</t>
        </is>
      </c>
      <c r="J1695" t="inlineStr"/>
      <c r="K1695" t="inlineStr"/>
      <c r="L1695" t="inlineStr">
        <is>
          <t>XP_040202171.1 endonuclease domain-containing 1 protein-like [Rana temporaria]</t>
        </is>
      </c>
      <c r="M1695" t="n">
        <v>347</v>
      </c>
      <c r="N1695" t="inlineStr">
        <is>
          <t>Rana temporaria</t>
        </is>
      </c>
      <c r="O1695" t="inlineStr">
        <is>
          <t>endonuclease domain-containing 1 protein-like</t>
        </is>
      </c>
    </row>
    <row r="1696">
      <c r="A1696" t="inlineStr"/>
      <c r="B1696" t="inlineStr"/>
      <c r="C1696" t="inlineStr"/>
      <c r="D1696" t="inlineStr"/>
      <c r="E1696">
        <f>HYPERLINK("https://www.ncbi.nlm.nih.gov/gene/?term=KAG8574283.1", "KAG8574283.1")</f>
        <v/>
      </c>
      <c r="F1696" t="n">
        <v>50.3</v>
      </c>
      <c r="G1696" t="n">
        <v>312</v>
      </c>
      <c r="H1696" t="n">
        <v>3.51e-97</v>
      </c>
      <c r="I1696" t="inlineStr">
        <is>
          <t>Nr</t>
        </is>
      </c>
      <c r="J1696" t="inlineStr"/>
      <c r="K1696" t="inlineStr"/>
      <c r="L1696" t="inlineStr">
        <is>
          <t>KAG8574283.1 hypothetical protein GDO81_009126 [Engystomops pustulosus]</t>
        </is>
      </c>
      <c r="M1696" t="n">
        <v>316</v>
      </c>
      <c r="N1696" t="inlineStr">
        <is>
          <t>Engystomops pustulosus</t>
        </is>
      </c>
      <c r="O1696" t="inlineStr">
        <is>
          <t>hypothetical protein GDO81_009126</t>
        </is>
      </c>
    </row>
    <row r="1697">
      <c r="A1697" t="inlineStr"/>
      <c r="B1697" t="inlineStr"/>
      <c r="C1697" t="inlineStr"/>
      <c r="D1697" t="inlineStr"/>
      <c r="E1697">
        <f>HYPERLINK("https://www.uniprot.org/uniprotkb/A0A803J640/entry", "A0A803J640")</f>
        <v/>
      </c>
      <c r="F1697" t="n">
        <v>41.1</v>
      </c>
      <c r="G1697" t="n">
        <v>411</v>
      </c>
      <c r="H1697" t="n">
        <v>2.38e-95</v>
      </c>
      <c r="I1697" t="inlineStr">
        <is>
          <t>TrEMBL</t>
        </is>
      </c>
      <c r="J1697" t="inlineStr">
        <is>
          <t>LOC116409561</t>
        </is>
      </c>
      <c r="K1697" t="inlineStr">
        <is>
          <t>A0A803J640_XENTR</t>
        </is>
      </c>
      <c r="L1697" t="inlineStr">
        <is>
          <t>tr|A0A803J640|A0A803J640_XENTR Endonuclease domain-containing 1 protein-like OS=Xenopus tropicalis OX=8364 GN=LOC116409561 PE=4 SV=1</t>
        </is>
      </c>
      <c r="M1697" t="n">
        <v>413</v>
      </c>
      <c r="N1697" t="inlineStr">
        <is>
          <t>Xenopus tropicalis</t>
        </is>
      </c>
      <c r="O1697" t="inlineStr">
        <is>
          <t>Endonuclease domain-containing 1 protein-like</t>
        </is>
      </c>
    </row>
    <row r="1698">
      <c r="A1698" t="inlineStr"/>
      <c r="B1698" t="inlineStr"/>
      <c r="C1698" t="inlineStr"/>
      <c r="D1698" t="inlineStr"/>
      <c r="E1698">
        <f>HYPERLINK("https://www.ncbi.nlm.nih.gov/gene/?term=XP_018427898.1", "XP_018427898.1")</f>
        <v/>
      </c>
      <c r="F1698" t="n">
        <v>47.9</v>
      </c>
      <c r="G1698" t="n">
        <v>336</v>
      </c>
      <c r="H1698" t="n">
        <v>3.34e-94</v>
      </c>
      <c r="I1698" t="inlineStr">
        <is>
          <t>Nr</t>
        </is>
      </c>
      <c r="J1698" t="inlineStr"/>
      <c r="K1698" t="inlineStr"/>
      <c r="L1698" t="inlineStr">
        <is>
          <t>XP_018427898.1 PREDICTED: endonuclease domain-containing 1 protein-like [Nanorana parkeri]</t>
        </is>
      </c>
      <c r="M1698" t="n">
        <v>345</v>
      </c>
      <c r="N1698" t="inlineStr">
        <is>
          <t>Nanorana parkeri</t>
        </is>
      </c>
      <c r="O1698" t="inlineStr">
        <is>
          <t>PREDICTED: endonuclease domain-containing 1 protein-like</t>
        </is>
      </c>
    </row>
    <row r="1699">
      <c r="A1699" t="inlineStr"/>
      <c r="B1699" t="inlineStr"/>
      <c r="C1699" t="inlineStr"/>
      <c r="D1699" t="inlineStr"/>
      <c r="E1699">
        <f>HYPERLINK("https://www.uniprot.org/uniprotkb/A0A803JVL7/entry", "A0A803JVL7")</f>
        <v/>
      </c>
      <c r="F1699" t="n">
        <v>40.9</v>
      </c>
      <c r="G1699" t="n">
        <v>411</v>
      </c>
      <c r="H1699" t="n">
        <v>5.4e-94</v>
      </c>
      <c r="I1699" t="inlineStr">
        <is>
          <t>TrEMBL</t>
        </is>
      </c>
      <c r="J1699" t="inlineStr">
        <is>
          <t>LOC116409561</t>
        </is>
      </c>
      <c r="K1699" t="inlineStr">
        <is>
          <t>A0A803JVL7_XENTR</t>
        </is>
      </c>
      <c r="L1699" t="inlineStr">
        <is>
          <t>tr|A0A803JVL7|A0A803JVL7_XENTR Endonuclease domain-containing 1 protein-like OS=Xenopus tropicalis OX=8364 GN=LOC116409561 PE=4 SV=1</t>
        </is>
      </c>
      <c r="M1699" t="n">
        <v>413</v>
      </c>
      <c r="N1699" t="inlineStr">
        <is>
          <t>Xenopus tropicalis</t>
        </is>
      </c>
      <c r="O1699" t="inlineStr">
        <is>
          <t>Endonuclease domain-containing 1 protein-like</t>
        </is>
      </c>
    </row>
    <row r="1700">
      <c r="A1700" t="inlineStr"/>
      <c r="B1700" t="inlineStr"/>
      <c r="C1700" t="inlineStr"/>
      <c r="D1700" t="inlineStr"/>
      <c r="E1700">
        <f>HYPERLINK("https://www.uniprot.org/uniprotkb/A0A803K3B8/entry", "A0A803K3B8")</f>
        <v/>
      </c>
      <c r="F1700" t="n">
        <v>47.2</v>
      </c>
      <c r="G1700" t="n">
        <v>316</v>
      </c>
      <c r="H1700" t="n">
        <v>8.27e-94</v>
      </c>
      <c r="I1700" t="inlineStr">
        <is>
          <t>TrEMBL</t>
        </is>
      </c>
      <c r="J1700" t="inlineStr"/>
      <c r="K1700" t="inlineStr">
        <is>
          <t>A0A803K3B8_XENTR</t>
        </is>
      </c>
      <c r="L1700" t="inlineStr">
        <is>
          <t>tr|A0A803K3B8|A0A803K3B8_XENTR Endonuclease domain-containing 1 protein-like OS=Xenopus tropicalis OX=8364 PE=4 SV=1</t>
        </is>
      </c>
      <c r="M1700" t="n">
        <v>316</v>
      </c>
      <c r="N1700" t="inlineStr">
        <is>
          <t>Xenopus tropicalis</t>
        </is>
      </c>
      <c r="O1700" t="inlineStr">
        <is>
          <t>Endonuclease domain-containing 1 protein-like</t>
        </is>
      </c>
    </row>
    <row r="1701">
      <c r="A1701" t="inlineStr"/>
      <c r="B1701" t="inlineStr"/>
      <c r="C1701" t="inlineStr"/>
      <c r="D1701" t="inlineStr"/>
      <c r="E1701">
        <f>HYPERLINK("https://www.ncbi.nlm.nih.gov/gene/?term=OCT90241.1", "OCT90241.1")</f>
        <v/>
      </c>
      <c r="F1701" t="n">
        <v>50.2</v>
      </c>
      <c r="G1701" t="n">
        <v>311</v>
      </c>
      <c r="H1701" t="n">
        <v>3.72e-92</v>
      </c>
      <c r="I1701" t="inlineStr">
        <is>
          <t>Nr</t>
        </is>
      </c>
      <c r="J1701" t="inlineStr"/>
      <c r="K1701" t="inlineStr"/>
      <c r="L1701" t="inlineStr">
        <is>
          <t>OCT90241.1 hypothetical protein XELAEV_18018854mg [Xenopus laevis]</t>
        </is>
      </c>
      <c r="M1701" t="n">
        <v>297</v>
      </c>
      <c r="N1701" t="inlineStr">
        <is>
          <t>Xenopus laevis</t>
        </is>
      </c>
      <c r="O1701" t="inlineStr">
        <is>
          <t>hypothetical protein XELAEV_18018854mg</t>
        </is>
      </c>
    </row>
    <row r="1702">
      <c r="A1702" t="inlineStr"/>
      <c r="B1702" t="inlineStr"/>
      <c r="C1702" t="inlineStr"/>
      <c r="D1702" t="inlineStr"/>
      <c r="E1702">
        <f>HYPERLINK("https://www.uniprot.org/uniprotkb/A0A803JYD0/entry", "A0A803JYD0")</f>
        <v/>
      </c>
      <c r="F1702" t="n">
        <v>48.1</v>
      </c>
      <c r="G1702" t="n">
        <v>310</v>
      </c>
      <c r="H1702" t="n">
        <v>2.23e-91</v>
      </c>
      <c r="I1702" t="inlineStr">
        <is>
          <t>TrEMBL</t>
        </is>
      </c>
      <c r="J1702" t="inlineStr">
        <is>
          <t>LOC100490758</t>
        </is>
      </c>
      <c r="K1702" t="inlineStr">
        <is>
          <t>A0A803JYD0_XENTR</t>
        </is>
      </c>
      <c r="L1702" t="inlineStr">
        <is>
          <t>tr|A0A803JYD0|A0A803JYD0_XENTR endonuclease domain-containing 1 protein OS=Xenopus tropicalis OX=8364 GN=LOC100490758 PE=4 SV=1</t>
        </is>
      </c>
      <c r="M1702" t="n">
        <v>306</v>
      </c>
      <c r="N1702" t="inlineStr">
        <is>
          <t>Xenopus tropicalis</t>
        </is>
      </c>
      <c r="O1702" t="inlineStr">
        <is>
          <t>endonuclease domain-containing 1 protein</t>
        </is>
      </c>
    </row>
    <row r="1703">
      <c r="A1703" t="inlineStr"/>
      <c r="B1703" t="inlineStr"/>
      <c r="C1703" t="inlineStr"/>
      <c r="D1703" t="inlineStr"/>
      <c r="E1703">
        <f>HYPERLINK("https://www.ncbi.nlm.nih.gov/gene/?term=XP_002932761.1", "XP_002932761.1")</f>
        <v/>
      </c>
      <c r="F1703" t="n">
        <v>48.1</v>
      </c>
      <c r="G1703" t="n">
        <v>310</v>
      </c>
      <c r="H1703" t="n">
        <v>5.719999999999999e-91</v>
      </c>
      <c r="I1703" t="inlineStr">
        <is>
          <t>Nr</t>
        </is>
      </c>
      <c r="J1703" t="inlineStr"/>
      <c r="K1703" t="inlineStr"/>
      <c r="L1703" t="inlineStr">
        <is>
          <t>XP_002932761.1 endonuclease domain-containing 1 protein [Xenopus tropicalis]</t>
        </is>
      </c>
      <c r="M1703" t="n">
        <v>306</v>
      </c>
      <c r="N1703" t="inlineStr">
        <is>
          <t>Xenopus tropicalis</t>
        </is>
      </c>
      <c r="O1703" t="inlineStr">
        <is>
          <t>endonuclease domain-containing 1 protein</t>
        </is>
      </c>
    </row>
    <row r="1704">
      <c r="A1704" t="inlineStr"/>
      <c r="B1704" t="inlineStr"/>
      <c r="C1704" t="inlineStr"/>
      <c r="D1704" t="inlineStr"/>
      <c r="E1704">
        <f>HYPERLINK("https://www.uniprot.org/uniprotkb/A0A6I8PKN9/entry", "A0A6I8PKN9")</f>
        <v/>
      </c>
      <c r="F1704" t="n">
        <v>48.1</v>
      </c>
      <c r="G1704" t="n">
        <v>310</v>
      </c>
      <c r="H1704" t="n">
        <v>7.31e-91</v>
      </c>
      <c r="I1704" t="inlineStr">
        <is>
          <t>TrEMBL</t>
        </is>
      </c>
      <c r="J1704" t="inlineStr">
        <is>
          <t>LOC100490758</t>
        </is>
      </c>
      <c r="K1704" t="inlineStr">
        <is>
          <t>A0A6I8PKN9_XENTR</t>
        </is>
      </c>
      <c r="L1704" t="inlineStr">
        <is>
          <t>tr|A0A6I8PKN9|A0A6I8PKN9_XENTR Endonuclease domain-containing 1 protein OS=Xenopus tropicalis OX=8364 GN=LOC100490758 PE=4 SV=2</t>
        </is>
      </c>
      <c r="M1704" t="n">
        <v>343</v>
      </c>
      <c r="N1704" t="inlineStr">
        <is>
          <t>Xenopus tropicalis</t>
        </is>
      </c>
      <c r="O1704" t="inlineStr">
        <is>
          <t>Endonuclease domain-containing 1 protein</t>
        </is>
      </c>
    </row>
    <row r="1705">
      <c r="A1705" t="inlineStr"/>
      <c r="B1705" t="inlineStr"/>
      <c r="C1705" t="inlineStr"/>
      <c r="D1705" t="inlineStr"/>
      <c r="E1705">
        <f>HYPERLINK("https://www.uniprot.org/uniprotkb/A0A6I8PNC9/entry", "A0A6I8PNC9")</f>
        <v/>
      </c>
      <c r="F1705" t="n">
        <v>44.9</v>
      </c>
      <c r="G1705" t="n">
        <v>314</v>
      </c>
      <c r="H1705" t="n">
        <v>3.97e-85</v>
      </c>
      <c r="I1705" t="inlineStr">
        <is>
          <t>TrEMBL</t>
        </is>
      </c>
      <c r="J1705" t="inlineStr"/>
      <c r="K1705" t="inlineStr">
        <is>
          <t>A0A6I8PNC9_XENTR</t>
        </is>
      </c>
      <c r="L1705" t="inlineStr">
        <is>
          <t>tr|A0A6I8PNC9|A0A6I8PNC9_XENTR ENDD1 protein OS=Xenopus tropicalis OX=8364 PE=4 SV=1</t>
        </is>
      </c>
      <c r="M1705" t="n">
        <v>299</v>
      </c>
      <c r="N1705" t="inlineStr">
        <is>
          <t>Xenopus tropicalis</t>
        </is>
      </c>
      <c r="O1705" t="inlineStr">
        <is>
          <t>ENDD1 protein</t>
        </is>
      </c>
    </row>
    <row r="1706">
      <c r="A1706" t="inlineStr"/>
      <c r="B1706" t="inlineStr"/>
      <c r="C1706" t="inlineStr"/>
      <c r="D1706" t="inlineStr"/>
      <c r="E1706">
        <f>HYPERLINK("https://www.uniprot.org/uniprotkb/A0A6I8RPP6/entry", "A0A6I8RPP6")</f>
        <v/>
      </c>
      <c r="F1706" t="n">
        <v>46.9</v>
      </c>
      <c r="G1706" t="n">
        <v>311</v>
      </c>
      <c r="H1706" t="n">
        <v>1.14e-83</v>
      </c>
      <c r="I1706" t="inlineStr">
        <is>
          <t>TrEMBL</t>
        </is>
      </c>
      <c r="J1706" t="inlineStr">
        <is>
          <t>LOC100487990</t>
        </is>
      </c>
      <c r="K1706" t="inlineStr">
        <is>
          <t>A0A6I8RPP6_XENTR</t>
        </is>
      </c>
      <c r="L1706" t="inlineStr">
        <is>
          <t>tr|A0A6I8RPP6|A0A6I8RPP6_XENTR endonuclease domain-containing 1 protein OS=Xenopus tropicalis OX=8364 GN=LOC100487990 PE=4 SV=2</t>
        </is>
      </c>
      <c r="M1706" t="n">
        <v>306</v>
      </c>
      <c r="N1706" t="inlineStr">
        <is>
          <t>Xenopus tropicalis</t>
        </is>
      </c>
      <c r="O1706" t="inlineStr">
        <is>
          <t>endonuclease domain-containing 1 protein</t>
        </is>
      </c>
    </row>
    <row r="1707">
      <c r="A1707" t="inlineStr"/>
      <c r="B1707" t="inlineStr"/>
      <c r="C1707" t="inlineStr"/>
      <c r="D1707" t="inlineStr"/>
      <c r="E1707">
        <f>HYPERLINK("https://www.ncbi.nlm.nih.gov/gene/?term=XP_002932825.1", "XP_002932825.1")</f>
        <v/>
      </c>
      <c r="F1707" t="n">
        <v>46.9</v>
      </c>
      <c r="G1707" t="n">
        <v>311</v>
      </c>
      <c r="H1707" t="n">
        <v>2.92e-83</v>
      </c>
      <c r="I1707" t="inlineStr">
        <is>
          <t>Nr</t>
        </is>
      </c>
      <c r="J1707" t="inlineStr"/>
      <c r="K1707" t="inlineStr"/>
      <c r="L1707" t="inlineStr">
        <is>
          <t>XP_002932825.1 endonuclease domain-containing 1 protein [Xenopus tropicalis]</t>
        </is>
      </c>
      <c r="M1707" t="n">
        <v>306</v>
      </c>
      <c r="N1707" t="inlineStr">
        <is>
          <t>Xenopus tropicalis</t>
        </is>
      </c>
      <c r="O1707" t="inlineStr">
        <is>
          <t>endonuclease domain-containing 1 protein</t>
        </is>
      </c>
    </row>
    <row r="1708">
      <c r="A1708" t="inlineStr"/>
      <c r="B1708" t="inlineStr"/>
      <c r="C1708" t="inlineStr"/>
      <c r="D1708" t="inlineStr"/>
      <c r="E1708">
        <f>HYPERLINK("https://www.ncbi.nlm.nih.gov/gene/?term=KAG8574278.1", "KAG8574278.1")</f>
        <v/>
      </c>
      <c r="F1708" t="n">
        <v>45.4</v>
      </c>
      <c r="G1708" t="n">
        <v>315</v>
      </c>
      <c r="H1708" t="n">
        <v>1.82e-82</v>
      </c>
      <c r="I1708" t="inlineStr">
        <is>
          <t>Nr</t>
        </is>
      </c>
      <c r="J1708" t="inlineStr"/>
      <c r="K1708" t="inlineStr"/>
      <c r="L1708" t="inlineStr">
        <is>
          <t>KAG8574278.1 hypothetical protein GDO81_009121 [Engystomops pustulosus]</t>
        </is>
      </c>
      <c r="M1708" t="n">
        <v>320</v>
      </c>
      <c r="N1708" t="inlineStr">
        <is>
          <t>Engystomops pustulosus</t>
        </is>
      </c>
      <c r="O1708" t="inlineStr">
        <is>
          <t>hypothetical protein GDO81_009121</t>
        </is>
      </c>
    </row>
    <row r="1709">
      <c r="A1709" t="inlineStr"/>
      <c r="B1709" t="inlineStr"/>
      <c r="C1709" t="inlineStr"/>
      <c r="D1709" t="inlineStr"/>
      <c r="E1709">
        <f>HYPERLINK("https://www.uniprot.org/uniprotkb/A0A803J6V9/entry", "A0A803J6V9")</f>
        <v/>
      </c>
      <c r="F1709" t="n">
        <v>45.1</v>
      </c>
      <c r="G1709" t="n">
        <v>319</v>
      </c>
      <c r="H1709" t="n">
        <v>1.73e-80</v>
      </c>
      <c r="I1709" t="inlineStr">
        <is>
          <t>TrEMBL</t>
        </is>
      </c>
      <c r="J1709" t="inlineStr"/>
      <c r="K1709" t="inlineStr">
        <is>
          <t>A0A803J6V9_XENTR</t>
        </is>
      </c>
      <c r="L1709" t="inlineStr">
        <is>
          <t>tr|A0A803J6V9|A0A803J6V9_XENTR ENDD1 protein OS=Xenopus tropicalis OX=8364 PE=4 SV=1</t>
        </is>
      </c>
      <c r="M1709" t="n">
        <v>296</v>
      </c>
      <c r="N1709" t="inlineStr">
        <is>
          <t>Xenopus tropicalis</t>
        </is>
      </c>
      <c r="O1709" t="inlineStr">
        <is>
          <t>ENDD1 protein</t>
        </is>
      </c>
    </row>
    <row r="1710">
      <c r="A1710" t="inlineStr"/>
      <c r="B1710" t="inlineStr"/>
      <c r="C1710" t="inlineStr"/>
      <c r="D1710" t="inlineStr"/>
      <c r="E1710">
        <f>HYPERLINK("https://www.uniprot.org/uniprotkb/A0A6I8RBG0/entry", "A0A6I8RBG0")</f>
        <v/>
      </c>
      <c r="F1710" t="n">
        <v>43.4</v>
      </c>
      <c r="G1710" t="n">
        <v>316</v>
      </c>
      <c r="H1710" t="n">
        <v>1.92e-76</v>
      </c>
      <c r="I1710" t="inlineStr">
        <is>
          <t>TrEMBL</t>
        </is>
      </c>
      <c r="J1710" t="inlineStr">
        <is>
          <t>LOC116409498</t>
        </is>
      </c>
      <c r="K1710" t="inlineStr">
        <is>
          <t>A0A6I8RBG0_XENTR</t>
        </is>
      </c>
      <c r="L1710" t="inlineStr">
        <is>
          <t>tr|A0A6I8RBG0|A0A6I8RBG0_XENTR endonuclease domain-containing 1 protein-like OS=Xenopus tropicalis OX=8364 GN=LOC116409498 PE=4 SV=2</t>
        </is>
      </c>
      <c r="M1710" t="n">
        <v>294</v>
      </c>
      <c r="N1710" t="inlineStr">
        <is>
          <t>Xenopus tropicalis</t>
        </is>
      </c>
      <c r="O1710" t="inlineStr">
        <is>
          <t>endonuclease domain-containing 1 protein-like</t>
        </is>
      </c>
    </row>
    <row r="1711">
      <c r="A1711" t="inlineStr"/>
      <c r="B1711" t="inlineStr"/>
      <c r="C1711" t="inlineStr"/>
      <c r="D1711" t="inlineStr"/>
      <c r="E1711">
        <f>HYPERLINK("https://www.ncbi.nlm.nih.gov/gene/?term=XP_031754016.1", "XP_031754016.1")</f>
        <v/>
      </c>
      <c r="F1711" t="n">
        <v>43.4</v>
      </c>
      <c r="G1711" t="n">
        <v>316</v>
      </c>
      <c r="H1711" t="n">
        <v>4.94e-76</v>
      </c>
      <c r="I1711" t="inlineStr">
        <is>
          <t>Nr</t>
        </is>
      </c>
      <c r="J1711" t="inlineStr"/>
      <c r="K1711" t="inlineStr"/>
      <c r="L1711" t="inlineStr">
        <is>
          <t>XP_031754016.1 endonuclease domain-containing 1 protein-like [Xenopus tropicalis]</t>
        </is>
      </c>
      <c r="M1711" t="n">
        <v>294</v>
      </c>
      <c r="N1711" t="inlineStr">
        <is>
          <t>Xenopus tropicalis</t>
        </is>
      </c>
      <c r="O1711" t="inlineStr">
        <is>
          <t>endonuclease domain-containing 1 protein-like</t>
        </is>
      </c>
    </row>
    <row r="1712">
      <c r="A1712" t="inlineStr"/>
      <c r="B1712" t="inlineStr"/>
      <c r="C1712" t="inlineStr"/>
      <c r="D1712" t="inlineStr"/>
      <c r="E1712">
        <f>HYPERLINK("https://www.uniprot.org/uniprotkb/F6U3W3/entry", "F6U3W3")</f>
        <v/>
      </c>
      <c r="F1712" t="n">
        <v>44.2</v>
      </c>
      <c r="G1712" t="n">
        <v>312</v>
      </c>
      <c r="H1712" t="n">
        <v>3.4e-75</v>
      </c>
      <c r="I1712" t="inlineStr">
        <is>
          <t>TrEMBL</t>
        </is>
      </c>
      <c r="J1712" t="inlineStr">
        <is>
          <t>XB5812267</t>
        </is>
      </c>
      <c r="K1712" t="inlineStr">
        <is>
          <t>F6U3W3_XENTR</t>
        </is>
      </c>
      <c r="L1712" t="inlineStr">
        <is>
          <t>tr|F6U3W3|F6U3W3_XENTR Uncharacterized XB5812267 OS=Xenopus tropicalis OX=8364 GN=XB5812267 PE=2 SV=2</t>
        </is>
      </c>
      <c r="M1712" t="n">
        <v>297</v>
      </c>
      <c r="N1712" t="inlineStr">
        <is>
          <t>Xenopus tropicalis</t>
        </is>
      </c>
      <c r="O1712" t="inlineStr">
        <is>
          <t>Uncharacterized XB5812267</t>
        </is>
      </c>
    </row>
    <row r="1713">
      <c r="A1713" t="inlineStr"/>
      <c r="B1713" t="inlineStr"/>
      <c r="C1713" t="inlineStr"/>
      <c r="D1713" t="inlineStr"/>
      <c r="E1713">
        <f>HYPERLINK("https://www.uniprot.org/uniprotkb/A0A8C4RQ27/entry", "A0A8C4RQ27")</f>
        <v/>
      </c>
      <c r="F1713" t="n">
        <v>41.4</v>
      </c>
      <c r="G1713" t="n">
        <v>314</v>
      </c>
      <c r="H1713" t="n">
        <v>4.6e-75</v>
      </c>
      <c r="I1713" t="inlineStr">
        <is>
          <t>TrEMBL</t>
        </is>
      </c>
      <c r="J1713" t="inlineStr">
        <is>
          <t>LOC114649053</t>
        </is>
      </c>
      <c r="K1713" t="inlineStr">
        <is>
          <t>A0A8C4RQ27_ERPCA</t>
        </is>
      </c>
      <c r="L1713" t="inlineStr">
        <is>
          <t>tr|A0A8C4RQ27|A0A8C4RQ27_ERPCA Endonuclease domain-containing 1 protein-like OS=Erpetoichthys calabaricus OX=27687 GN=LOC114649053 PE=4 SV=1</t>
        </is>
      </c>
      <c r="M1713" t="n">
        <v>318</v>
      </c>
      <c r="N1713" t="inlineStr">
        <is>
          <t>Erpetoichthys calabaricus</t>
        </is>
      </c>
      <c r="O1713" t="inlineStr">
        <is>
          <t>Endonuclease domain-containing 1 protein-like</t>
        </is>
      </c>
    </row>
    <row r="1714">
      <c r="A1714" t="inlineStr"/>
      <c r="B1714" t="inlineStr"/>
      <c r="C1714" t="inlineStr"/>
      <c r="D1714" t="inlineStr"/>
      <c r="E1714">
        <f>HYPERLINK("https://www.ncbi.nlm.nih.gov/gene/?term=NP_001072816.1", "NP_001072816.1")</f>
        <v/>
      </c>
      <c r="F1714" t="n">
        <v>44.2</v>
      </c>
      <c r="G1714" t="n">
        <v>312</v>
      </c>
      <c r="H1714" t="n">
        <v>8.73e-75</v>
      </c>
      <c r="I1714" t="inlineStr">
        <is>
          <t>Nr</t>
        </is>
      </c>
      <c r="J1714" t="inlineStr"/>
      <c r="K1714" t="inlineStr"/>
      <c r="L1714" t="inlineStr">
        <is>
          <t>NP_001072816.1 uncharacterized protein LOC780277 precursor [Xenopus tropicalis]</t>
        </is>
      </c>
      <c r="M1714" t="n">
        <v>297</v>
      </c>
      <c r="N1714" t="inlineStr">
        <is>
          <t>Xenopus tropicalis</t>
        </is>
      </c>
      <c r="O1714" t="inlineStr">
        <is>
          <t>uncharacterized protein LOC780277 precursor</t>
        </is>
      </c>
    </row>
    <row r="1715">
      <c r="A1715" t="inlineStr"/>
      <c r="B1715" t="inlineStr"/>
      <c r="C1715" t="inlineStr"/>
      <c r="D1715" t="inlineStr"/>
      <c r="E1715">
        <f>HYPERLINK("https://www.ncbi.nlm.nih.gov/gene/?term=XP_051780329.1", "XP_051780329.1")</f>
        <v/>
      </c>
      <c r="F1715" t="n">
        <v>41.4</v>
      </c>
      <c r="G1715" t="n">
        <v>314</v>
      </c>
      <c r="H1715" t="n">
        <v>1.67e-74</v>
      </c>
      <c r="I1715" t="inlineStr">
        <is>
          <t>Nr</t>
        </is>
      </c>
      <c r="J1715" t="inlineStr"/>
      <c r="K1715" t="inlineStr"/>
      <c r="L1715" t="inlineStr">
        <is>
          <t>XP_051780329.1 endonuclease domain-containing 1 protein-like isoform X3 [Erpetoichthys calabaricus]</t>
        </is>
      </c>
      <c r="M1715" t="n">
        <v>318</v>
      </c>
      <c r="N1715" t="inlineStr">
        <is>
          <t>Erpetoichthys calabaricus</t>
        </is>
      </c>
      <c r="O1715" t="inlineStr">
        <is>
          <t>endonuclease domain-containing 1 protein-like isoform X3</t>
        </is>
      </c>
    </row>
    <row r="1716">
      <c r="A1716" t="inlineStr"/>
      <c r="B1716" t="inlineStr"/>
      <c r="C1716" t="inlineStr"/>
      <c r="D1716" t="inlineStr"/>
      <c r="E1716">
        <f>HYPERLINK("https://www.uniprot.org/uniprotkb/A0A8J0UND4/entry", "A0A8J0UND4")</f>
        <v/>
      </c>
      <c r="F1716" t="n">
        <v>46</v>
      </c>
      <c r="G1716" t="n">
        <v>311</v>
      </c>
      <c r="H1716" t="n">
        <v>7.719999999999999e-74</v>
      </c>
      <c r="I1716" t="inlineStr">
        <is>
          <t>TrEMBL</t>
        </is>
      </c>
      <c r="J1716" t="inlineStr">
        <is>
          <t>LOC108710631</t>
        </is>
      </c>
      <c r="K1716" t="inlineStr">
        <is>
          <t>A0A8J0UND4_XENLA</t>
        </is>
      </c>
      <c r="L1716" t="inlineStr">
        <is>
          <t>tr|A0A8J0UND4|A0A8J0UND4_XENLA endonuclease domain-containing 1 protein OS=Xenopus laevis OX=8355 GN=LOC108710631 PE=4 SV=1</t>
        </is>
      </c>
      <c r="M1716" t="n">
        <v>297</v>
      </c>
      <c r="N1716" t="inlineStr">
        <is>
          <t>Xenopus laevis</t>
        </is>
      </c>
      <c r="O1716" t="inlineStr">
        <is>
          <t>endonuclease domain-containing 1 protein</t>
        </is>
      </c>
    </row>
    <row r="1717">
      <c r="A1717" t="inlineStr"/>
      <c r="B1717" t="inlineStr"/>
      <c r="C1717" t="inlineStr"/>
      <c r="D1717" t="inlineStr"/>
      <c r="E1717">
        <f>HYPERLINK("https://www.ncbi.nlm.nih.gov/gene/?term=XP_018107232.1", "XP_018107232.1")</f>
        <v/>
      </c>
      <c r="F1717" t="n">
        <v>46</v>
      </c>
      <c r="G1717" t="n">
        <v>311</v>
      </c>
      <c r="H1717" t="n">
        <v>1.98e-73</v>
      </c>
      <c r="I1717" t="inlineStr">
        <is>
          <t>Nr</t>
        </is>
      </c>
      <c r="J1717" t="inlineStr"/>
      <c r="K1717" t="inlineStr"/>
      <c r="L1717" t="inlineStr">
        <is>
          <t>XP_018107232.1 endonuclease domain-containing 1 protein [Xenopus laevis]</t>
        </is>
      </c>
      <c r="M1717" t="n">
        <v>297</v>
      </c>
      <c r="N1717" t="inlineStr">
        <is>
          <t>Xenopus laevis</t>
        </is>
      </c>
      <c r="O1717" t="inlineStr">
        <is>
          <t>endonuclease domain-containing 1 protein</t>
        </is>
      </c>
    </row>
    <row r="1718">
      <c r="A1718" t="inlineStr"/>
      <c r="B1718" t="inlineStr"/>
      <c r="C1718" t="inlineStr"/>
      <c r="D1718" t="inlineStr"/>
      <c r="E1718">
        <f>HYPERLINK("https://www.uniprot.org/uniprotkb/A0A6I8RED7/entry", "A0A6I8RED7")</f>
        <v/>
      </c>
      <c r="F1718" t="n">
        <v>44.8</v>
      </c>
      <c r="G1718" t="n">
        <v>297</v>
      </c>
      <c r="H1718" t="n">
        <v>1.36e-72</v>
      </c>
      <c r="I1718" t="inlineStr">
        <is>
          <t>TrEMBL</t>
        </is>
      </c>
      <c r="J1718" t="inlineStr">
        <is>
          <t>LOC116409561</t>
        </is>
      </c>
      <c r="K1718" t="inlineStr">
        <is>
          <t>A0A6I8RED7_XENTR</t>
        </is>
      </c>
      <c r="L1718" t="inlineStr">
        <is>
          <t>tr|A0A6I8RED7|A0A6I8RED7_XENTR Endonuclease domain-containing 1 protein-like OS=Xenopus tropicalis OX=8364 GN=LOC116409561 PE=4 SV=2</t>
        </is>
      </c>
      <c r="M1718" t="n">
        <v>300</v>
      </c>
      <c r="N1718" t="inlineStr">
        <is>
          <t>Xenopus tropicalis</t>
        </is>
      </c>
      <c r="O1718" t="inlineStr">
        <is>
          <t>Endonuclease domain-containing 1 protein-like</t>
        </is>
      </c>
    </row>
    <row r="1719">
      <c r="A1719" t="inlineStr"/>
      <c r="B1719" t="inlineStr"/>
      <c r="C1719" t="inlineStr"/>
      <c r="D1719" t="inlineStr"/>
      <c r="E1719">
        <f>HYPERLINK("https://www.ncbi.nlm.nih.gov/gene/?term=XP_041443044.1", "XP_041443044.1")</f>
        <v/>
      </c>
      <c r="F1719" t="n">
        <v>43.3</v>
      </c>
      <c r="G1719" t="n">
        <v>314</v>
      </c>
      <c r="H1719" t="n">
        <v>2.74e-69</v>
      </c>
      <c r="I1719" t="inlineStr">
        <is>
          <t>Nr</t>
        </is>
      </c>
      <c r="J1719" t="inlineStr"/>
      <c r="K1719" t="inlineStr"/>
      <c r="L1719" t="inlineStr">
        <is>
          <t>XP_041443044.1 LOW QUALITY PROTEIN: endonuclease domain-containing 1 protein [Xenopus laevis]</t>
        </is>
      </c>
      <c r="M1719" t="n">
        <v>258</v>
      </c>
      <c r="N1719" t="inlineStr">
        <is>
          <t>Xenopus laevis</t>
        </is>
      </c>
      <c r="O1719" t="inlineStr">
        <is>
          <t>LOW QUALITY PROTEIN: endonuclease domain-containing 1 protein</t>
        </is>
      </c>
    </row>
    <row r="1720">
      <c r="A1720" t="inlineStr"/>
      <c r="B1720" t="inlineStr"/>
      <c r="C1720" t="inlineStr"/>
      <c r="D1720" t="inlineStr"/>
      <c r="E1720">
        <f>HYPERLINK("https://www.ncbi.nlm.nih.gov/gene/?term=MBN3311473.1", "MBN3311473.1")</f>
        <v/>
      </c>
      <c r="F1720" t="n">
        <v>41.4</v>
      </c>
      <c r="G1720" t="n">
        <v>321</v>
      </c>
      <c r="H1720" t="n">
        <v>2.42e-68</v>
      </c>
      <c r="I1720" t="inlineStr">
        <is>
          <t>Nr</t>
        </is>
      </c>
      <c r="J1720" t="inlineStr"/>
      <c r="K1720" t="inlineStr"/>
      <c r="L1720" t="inlineStr">
        <is>
          <t>MBN3311473.1 ENDD1 protein [Atractosteus spatula]</t>
        </is>
      </c>
      <c r="M1720" t="n">
        <v>306</v>
      </c>
      <c r="N1720" t="inlineStr">
        <is>
          <t>Atractosteus spatula</t>
        </is>
      </c>
      <c r="O1720" t="inlineStr">
        <is>
          <t>ENDD1 protein</t>
        </is>
      </c>
    </row>
    <row r="1721">
      <c r="A1721" t="inlineStr"/>
      <c r="B1721" t="inlineStr"/>
      <c r="C1721" t="inlineStr"/>
      <c r="D1721" t="inlineStr"/>
      <c r="E1721">
        <f>HYPERLINK("https://www.ncbi.nlm.nih.gov/gene/?term=XP_051780328.1", "XP_051780328.1")</f>
        <v/>
      </c>
      <c r="F1721" t="n">
        <v>39.5</v>
      </c>
      <c r="G1721" t="n">
        <v>314</v>
      </c>
      <c r="H1721" t="n">
        <v>2.46e-68</v>
      </c>
      <c r="I1721" t="inlineStr">
        <is>
          <t>Nr</t>
        </is>
      </c>
      <c r="J1721" t="inlineStr"/>
      <c r="K1721" t="inlineStr"/>
      <c r="L1721" t="inlineStr">
        <is>
          <t>XP_051780328.1 endonuclease domain-containing 1 protein-like isoform X2 [Erpetoichthys calabaricus]</t>
        </is>
      </c>
      <c r="M1721" t="n">
        <v>318</v>
      </c>
      <c r="N1721" t="inlineStr">
        <is>
          <t>Erpetoichthys calabaricus</t>
        </is>
      </c>
      <c r="O1721" t="inlineStr">
        <is>
          <t>endonuclease domain-containing 1 protein-like isoform X2</t>
        </is>
      </c>
    </row>
    <row r="1722">
      <c r="A1722" t="inlineStr"/>
      <c r="B1722" t="inlineStr"/>
      <c r="C1722" t="inlineStr"/>
      <c r="D1722" t="inlineStr"/>
      <c r="E1722">
        <f>HYPERLINK("https://www.ncbi.nlm.nih.gov/gene/?term=XP_039602841.1", "XP_039602841.1")</f>
        <v/>
      </c>
      <c r="F1722" t="n">
        <v>39.2</v>
      </c>
      <c r="G1722" t="n">
        <v>314</v>
      </c>
      <c r="H1722" t="n">
        <v>6.210000000000001e-66</v>
      </c>
      <c r="I1722" t="inlineStr">
        <is>
          <t>Nr</t>
        </is>
      </c>
      <c r="J1722" t="inlineStr"/>
      <c r="K1722" t="inlineStr"/>
      <c r="L1722" t="inlineStr">
        <is>
          <t>XP_039602841.1 endonuclease domain-containing 1 protein-like [Polypterus senegalus]</t>
        </is>
      </c>
      <c r="M1722" t="n">
        <v>318</v>
      </c>
      <c r="N1722" t="inlineStr">
        <is>
          <t>Polypterus senegalus</t>
        </is>
      </c>
      <c r="O1722" t="inlineStr">
        <is>
          <t>endonuclease domain-containing 1 protein-like</t>
        </is>
      </c>
    </row>
    <row r="1723">
      <c r="A1723" t="inlineStr"/>
      <c r="B1723" t="inlineStr"/>
      <c r="C1723" t="inlineStr"/>
      <c r="D1723" t="inlineStr"/>
      <c r="E1723">
        <f>HYPERLINK("https://www.uniprot.org/uniprotkb/O94919/entry", "O94919")</f>
        <v/>
      </c>
      <c r="F1723" t="n">
        <v>27.5</v>
      </c>
      <c r="G1723" t="n">
        <v>265</v>
      </c>
      <c r="H1723" t="n">
        <v>1.29e-17</v>
      </c>
      <c r="I1723" t="inlineStr">
        <is>
          <t>Swiss-Prot</t>
        </is>
      </c>
      <c r="J1723" t="inlineStr">
        <is>
          <t>ENDOD1</t>
        </is>
      </c>
      <c r="K1723" t="inlineStr">
        <is>
          <t>ENDD1_HUMAN</t>
        </is>
      </c>
      <c r="L1723" t="inlineStr">
        <is>
          <t>sp|O94919|ENDD1_HUMAN Endonuclease domain-containing 1 protein OS=Homo sapiens OX=9606 GN=ENDOD1 PE=1 SV=2</t>
        </is>
      </c>
      <c r="M1723" t="n">
        <v>500</v>
      </c>
      <c r="N1723" t="inlineStr">
        <is>
          <t>Homo sapiens</t>
        </is>
      </c>
      <c r="O1723" t="inlineStr">
        <is>
          <t>Endonuclease domain-containing 1 protein</t>
        </is>
      </c>
    </row>
    <row r="1724">
      <c r="A1724" t="inlineStr"/>
      <c r="B1724" t="inlineStr"/>
      <c r="C1724" t="inlineStr"/>
      <c r="D1724" t="inlineStr"/>
      <c r="E1724">
        <f>HYPERLINK("https://www.uniprot.org/uniprotkb/Q8C522/entry", "Q8C522")</f>
        <v/>
      </c>
      <c r="F1724" t="n">
        <v>25.7</v>
      </c>
      <c r="G1724" t="n">
        <v>296</v>
      </c>
      <c r="H1724" t="n">
        <v>3.95e-14</v>
      </c>
      <c r="I1724" t="inlineStr">
        <is>
          <t>Swiss-Prot</t>
        </is>
      </c>
      <c r="J1724" t="inlineStr">
        <is>
          <t>Endod1</t>
        </is>
      </c>
      <c r="K1724" t="inlineStr">
        <is>
          <t>ENDD1_MOUSE</t>
        </is>
      </c>
      <c r="L1724" t="inlineStr">
        <is>
          <t>sp|Q8C522|ENDD1_MOUSE Endonuclease domain-containing 1 protein OS=Mus musculus OX=10090 GN=Endod1 PE=1 SV=2</t>
        </is>
      </c>
      <c r="M1724" t="n">
        <v>501</v>
      </c>
      <c r="N1724" t="inlineStr">
        <is>
          <t>Mus musculus</t>
        </is>
      </c>
      <c r="O1724" t="inlineStr">
        <is>
          <t>Endonuclease domain-containing 1 protein</t>
        </is>
      </c>
    </row>
    <row r="1725">
      <c r="A1725" t="inlineStr"/>
      <c r="B1725" t="inlineStr"/>
      <c r="C1725" t="inlineStr"/>
      <c r="D1725" t="inlineStr"/>
      <c r="E1725">
        <f>HYPERLINK("https://www.uniprot.org/uniprotkb/Q14249/entry", "Q14249")</f>
        <v/>
      </c>
      <c r="F1725" t="n">
        <v>31.4</v>
      </c>
      <c r="G1725" t="n">
        <v>105</v>
      </c>
      <c r="H1725" t="n">
        <v>8.99e-08</v>
      </c>
      <c r="I1725" t="inlineStr">
        <is>
          <t>Swiss-Prot</t>
        </is>
      </c>
      <c r="J1725" t="inlineStr">
        <is>
          <t>ENDOG</t>
        </is>
      </c>
      <c r="K1725" t="inlineStr">
        <is>
          <t>NUCG_HUMAN</t>
        </is>
      </c>
      <c r="L1725" t="inlineStr">
        <is>
          <t>sp|Q14249|NUCG_HUMAN Endonuclease G, mitochondrial OS=Homo sapiens OX=9606 GN=ENDOG PE=1 SV=4</t>
        </is>
      </c>
      <c r="M1725" t="n">
        <v>297</v>
      </c>
      <c r="N1725" t="inlineStr">
        <is>
          <t>Homo sapiens</t>
        </is>
      </c>
      <c r="O1725" t="inlineStr">
        <is>
          <t>Endonuclease G, mitochondrial</t>
        </is>
      </c>
    </row>
    <row r="1726">
      <c r="A1726" t="inlineStr"/>
      <c r="B1726" t="inlineStr"/>
      <c r="C1726" t="inlineStr"/>
      <c r="D1726" t="inlineStr"/>
      <c r="E1726">
        <f>HYPERLINK("https://www.uniprot.org/uniprotkb/P38447/entry", "P38447")</f>
        <v/>
      </c>
      <c r="F1726" t="n">
        <v>31.4</v>
      </c>
      <c r="G1726" t="n">
        <v>105</v>
      </c>
      <c r="H1726" t="n">
        <v>1.63e-07</v>
      </c>
      <c r="I1726" t="inlineStr">
        <is>
          <t>Swiss-Prot</t>
        </is>
      </c>
      <c r="J1726" t="inlineStr">
        <is>
          <t>ENDOG</t>
        </is>
      </c>
      <c r="K1726" t="inlineStr">
        <is>
          <t>NUCG_BOVIN</t>
        </is>
      </c>
      <c r="L1726" t="inlineStr">
        <is>
          <t>sp|P38447|NUCG_BOVIN Endonuclease G, mitochondrial OS=Bos taurus OX=9913 GN=ENDOG PE=1 SV=1</t>
        </is>
      </c>
      <c r="M1726" t="n">
        <v>299</v>
      </c>
      <c r="N1726" t="inlineStr">
        <is>
          <t>Bos taurus</t>
        </is>
      </c>
      <c r="O1726" t="inlineStr">
        <is>
          <t>Endonuclease G, mitochondrial</t>
        </is>
      </c>
    </row>
    <row r="1727">
      <c r="A1727" t="inlineStr"/>
      <c r="B1727" t="inlineStr"/>
      <c r="C1727" t="inlineStr"/>
      <c r="D1727" t="inlineStr"/>
      <c r="E1727">
        <f>HYPERLINK("https://www.uniprot.org/uniprotkb/O08600/entry", "O08600")</f>
        <v/>
      </c>
      <c r="F1727" t="n">
        <v>31.4</v>
      </c>
      <c r="G1727" t="n">
        <v>105</v>
      </c>
      <c r="H1727" t="n">
        <v>2.13e-07</v>
      </c>
      <c r="I1727" t="inlineStr">
        <is>
          <t>Swiss-Prot</t>
        </is>
      </c>
      <c r="J1727" t="inlineStr">
        <is>
          <t>Endog</t>
        </is>
      </c>
      <c r="K1727" t="inlineStr">
        <is>
          <t>NUCG_MOUSE</t>
        </is>
      </c>
      <c r="L1727" t="inlineStr">
        <is>
          <t>sp|O08600|NUCG_MOUSE Endonuclease G, mitochondrial OS=Mus musculus OX=10090 GN=Endog PE=1 SV=1</t>
        </is>
      </c>
      <c r="M1727" t="n">
        <v>294</v>
      </c>
      <c r="N1727" t="inlineStr">
        <is>
          <t>Mus musculus</t>
        </is>
      </c>
      <c r="O1727" t="inlineStr">
        <is>
          <t>Endonuclease G, mitochondrial</t>
        </is>
      </c>
    </row>
    <row r="1728">
      <c r="A1728" t="inlineStr"/>
      <c r="B1728" t="inlineStr"/>
      <c r="C1728" t="inlineStr"/>
      <c r="D1728" t="inlineStr"/>
      <c r="E1728">
        <f>HYPERLINK("https://www.uniprot.org/uniprotkb/P38446/entry", "P38446")</f>
        <v/>
      </c>
      <c r="F1728" t="n">
        <v>30.1</v>
      </c>
      <c r="G1728" t="n">
        <v>103</v>
      </c>
      <c r="H1728" t="n">
        <v>4.82e-06</v>
      </c>
      <c r="I1728" t="inlineStr">
        <is>
          <t>Swiss-Prot</t>
        </is>
      </c>
      <c r="J1728" t="inlineStr">
        <is>
          <t>nucA</t>
        </is>
      </c>
      <c r="K1728" t="inlineStr">
        <is>
          <t>NUCA_NOSS1</t>
        </is>
      </c>
      <c r="L1728" t="inlineStr">
        <is>
          <t>sp|P38446|NUCA_NOSS1 Nuclease OS=Nostoc sp. (strain PCC 7120 / SAG 25.82 / UTEX 2576) OX=103690 GN=nucA PE=1 SV=1</t>
        </is>
      </c>
      <c r="M1728" t="n">
        <v>274</v>
      </c>
      <c r="N1728" t="inlineStr">
        <is>
          <t>Nostoc sp. (strain PCC 7120 / SAG 25.82 / UTEX 2576)</t>
        </is>
      </c>
      <c r="O1728" t="inlineStr">
        <is>
          <t>Nuclease</t>
        </is>
      </c>
    </row>
    <row r="1729">
      <c r="A1729" t="inlineStr"/>
      <c r="B1729" t="inlineStr"/>
      <c r="C1729" t="inlineStr"/>
      <c r="D1729" t="inlineStr"/>
      <c r="E1729">
        <f>HYPERLINK("https://www.uniprot.org/uniprotkb/Q9Y2C4/entry", "Q9Y2C4")</f>
        <v/>
      </c>
      <c r="F1729" t="n">
        <v>26.7</v>
      </c>
      <c r="G1729" t="n">
        <v>131</v>
      </c>
      <c r="H1729" t="n">
        <v>0.000374</v>
      </c>
      <c r="I1729" t="inlineStr">
        <is>
          <t>Swiss-Prot</t>
        </is>
      </c>
      <c r="J1729" t="inlineStr">
        <is>
          <t>EXOG</t>
        </is>
      </c>
      <c r="K1729" t="inlineStr">
        <is>
          <t>EXOG_HUMAN</t>
        </is>
      </c>
      <c r="L1729" t="inlineStr">
        <is>
          <t>sp|Q9Y2C4|EXOG_HUMAN Nuclease EXOG, mitochondrial OS=Homo sapiens OX=9606 GN=EXOG PE=1 SV=2</t>
        </is>
      </c>
      <c r="M1729" t="n">
        <v>368</v>
      </c>
      <c r="N1729" t="inlineStr">
        <is>
          <t>Homo sapiens</t>
        </is>
      </c>
      <c r="O1729" t="inlineStr">
        <is>
          <t>Nuclease EXOG, mitochondrial</t>
        </is>
      </c>
    </row>
    <row r="1730">
      <c r="A1730" t="inlineStr">
        <is>
          <t>NODE_146478_length_1111_cov_17.563218_g67462_i0</t>
        </is>
      </c>
      <c r="B1730" t="inlineStr">
        <is>
          <t>bombina_pachypus_blastx</t>
        </is>
      </c>
      <c r="C1730" t="n">
        <v>2.67491521331688</v>
      </c>
      <c r="D1730" t="n">
        <v>0.0069640419493981</v>
      </c>
      <c r="E1730">
        <f>HYPERLINK("https://www.uniprot.org/uniprotkb/A0A803JQE7/entry", "A0A803JQE7")</f>
        <v/>
      </c>
      <c r="F1730" t="n">
        <v>47.5</v>
      </c>
      <c r="G1730" t="n">
        <v>183</v>
      </c>
      <c r="H1730" t="n">
        <v>3.95e-45</v>
      </c>
      <c r="I1730" t="inlineStr">
        <is>
          <t>TrEMBL</t>
        </is>
      </c>
      <c r="J1730" t="inlineStr"/>
      <c r="K1730" t="inlineStr">
        <is>
          <t>A0A803JQE7_XENTR</t>
        </is>
      </c>
      <c r="L1730" t="inlineStr">
        <is>
          <t>tr|A0A803JQE7|A0A803JQE7_XENTR Reverse transcriptase domain-containing protein OS=Xenopus tropicalis OX=8364 PE=4 SV=1</t>
        </is>
      </c>
      <c r="M1730" t="n">
        <v>619</v>
      </c>
      <c r="N1730" t="inlineStr">
        <is>
          <t>Xenopus tropicalis</t>
        </is>
      </c>
      <c r="O1730" t="inlineStr">
        <is>
          <t>Reverse transcriptase domain-containing protein</t>
        </is>
      </c>
    </row>
    <row r="1731">
      <c r="A1731" t="inlineStr"/>
      <c r="B1731" t="inlineStr"/>
      <c r="C1731" t="inlineStr"/>
      <c r="D1731" t="inlineStr"/>
      <c r="E1731">
        <f>HYPERLINK("https://www.uniprot.org/uniprotkb/A0A803JX20/entry", "A0A803JX20")</f>
        <v/>
      </c>
      <c r="F1731" t="n">
        <v>47</v>
      </c>
      <c r="G1731" t="n">
        <v>183</v>
      </c>
      <c r="H1731" t="n">
        <v>8.02e-45</v>
      </c>
      <c r="I1731" t="inlineStr">
        <is>
          <t>TrEMBL</t>
        </is>
      </c>
      <c r="J1731" t="inlineStr"/>
      <c r="K1731" t="inlineStr">
        <is>
          <t>A0A803JX20_XENTR</t>
        </is>
      </c>
      <c r="L1731" t="inlineStr">
        <is>
          <t>tr|A0A803JX20|A0A803JX20_XENTR Reverse transcriptase domain-containing protein OS=Xenopus tropicalis OX=8364 PE=4 SV=1</t>
        </is>
      </c>
      <c r="M1731" t="n">
        <v>466</v>
      </c>
      <c r="N1731" t="inlineStr">
        <is>
          <t>Xenopus tropicalis</t>
        </is>
      </c>
      <c r="O1731" t="inlineStr">
        <is>
          <t>Reverse transcriptase domain-containing protein</t>
        </is>
      </c>
    </row>
    <row r="1732">
      <c r="A1732" t="inlineStr"/>
      <c r="B1732" t="inlineStr"/>
      <c r="C1732" t="inlineStr"/>
      <c r="D1732" t="inlineStr"/>
      <c r="E1732">
        <f>HYPERLINK("https://www.uniprot.org/uniprotkb/A0A8J1IZR5/entry", "A0A8J1IZR5")</f>
        <v/>
      </c>
      <c r="F1732" t="n">
        <v>47.8</v>
      </c>
      <c r="G1732" t="n">
        <v>178</v>
      </c>
      <c r="H1732" t="n">
        <v>8.08e-44</v>
      </c>
      <c r="I1732" t="inlineStr">
        <is>
          <t>TrEMBL</t>
        </is>
      </c>
      <c r="J1732" t="inlineStr">
        <is>
          <t>LOC116408410</t>
        </is>
      </c>
      <c r="K1732" t="inlineStr">
        <is>
          <t>A0A8J1IZR5_XENTR</t>
        </is>
      </c>
      <c r="L1732" t="inlineStr">
        <is>
          <t>tr|A0A8J1IZR5|A0A8J1IZR5_XENTR uncharacterized protein LOC116408410 OS=Xenopus tropicalis OX=8364 GN=LOC116408410 PE=4 SV=1</t>
        </is>
      </c>
      <c r="M1732" t="n">
        <v>570</v>
      </c>
      <c r="N1732" t="inlineStr">
        <is>
          <t>Xenopus tropicalis</t>
        </is>
      </c>
      <c r="O1732" t="inlineStr">
        <is>
          <t>uncharacterized protein LOC116408410</t>
        </is>
      </c>
    </row>
    <row r="1733">
      <c r="A1733" t="inlineStr"/>
      <c r="B1733" t="inlineStr"/>
      <c r="C1733" t="inlineStr"/>
      <c r="D1733" t="inlineStr"/>
      <c r="E1733">
        <f>HYPERLINK("https://www.ncbi.nlm.nih.gov/gene/?term=XP_031751078.1", "XP_031751078.1")</f>
        <v/>
      </c>
      <c r="F1733" t="n">
        <v>47.8</v>
      </c>
      <c r="G1733" t="n">
        <v>178</v>
      </c>
      <c r="H1733" t="n">
        <v>2.08e-43</v>
      </c>
      <c r="I1733" t="inlineStr">
        <is>
          <t>Nr</t>
        </is>
      </c>
      <c r="J1733" t="inlineStr"/>
      <c r="K1733" t="inlineStr"/>
      <c r="L1733" t="inlineStr">
        <is>
          <t>XP_031751078.1 uncharacterized protein LOC116408410 [Xenopus tropicalis]</t>
        </is>
      </c>
      <c r="M1733" t="n">
        <v>570</v>
      </c>
      <c r="N1733" t="inlineStr">
        <is>
          <t>Xenopus tropicalis</t>
        </is>
      </c>
      <c r="O1733" t="inlineStr">
        <is>
          <t>uncharacterized protein LOC116408410</t>
        </is>
      </c>
    </row>
    <row r="1734">
      <c r="A1734" t="inlineStr"/>
      <c r="B1734" t="inlineStr"/>
      <c r="C1734" t="inlineStr"/>
      <c r="D1734" t="inlineStr"/>
      <c r="E1734">
        <f>HYPERLINK("https://www.uniprot.org/uniprotkb/A0A803KEE8/entry", "A0A803KEE8")</f>
        <v/>
      </c>
      <c r="F1734" t="n">
        <v>46.9</v>
      </c>
      <c r="G1734" t="n">
        <v>179</v>
      </c>
      <c r="H1734" t="n">
        <v>3.65e-43</v>
      </c>
      <c r="I1734" t="inlineStr">
        <is>
          <t>TrEMBL</t>
        </is>
      </c>
      <c r="J1734" t="inlineStr"/>
      <c r="K1734" t="inlineStr">
        <is>
          <t>A0A803KEE8_XENTR</t>
        </is>
      </c>
      <c r="L1734" t="inlineStr">
        <is>
          <t>tr|A0A803KEE8|A0A803KEE8_XENTR Reverse transcriptase domain-containing protein OS=Xenopus tropicalis OX=8364 PE=4 SV=1</t>
        </is>
      </c>
      <c r="M1734" t="n">
        <v>779</v>
      </c>
      <c r="N1734" t="inlineStr">
        <is>
          <t>Xenopus tropicalis</t>
        </is>
      </c>
      <c r="O1734" t="inlineStr">
        <is>
          <t>Reverse transcriptase domain-containing protein</t>
        </is>
      </c>
    </row>
    <row r="1735">
      <c r="A1735" t="inlineStr"/>
      <c r="B1735" t="inlineStr"/>
      <c r="C1735" t="inlineStr"/>
      <c r="D1735" t="inlineStr"/>
      <c r="E1735">
        <f>HYPERLINK("https://www.uniprot.org/uniprotkb/A0A6I8QAC4/entry", "A0A6I8QAC4")</f>
        <v/>
      </c>
      <c r="F1735" t="n">
        <v>47.8</v>
      </c>
      <c r="G1735" t="n">
        <v>178</v>
      </c>
      <c r="H1735" t="n">
        <v>7.760000000000001e-43</v>
      </c>
      <c r="I1735" t="inlineStr">
        <is>
          <t>TrEMBL</t>
        </is>
      </c>
      <c r="J1735" t="inlineStr"/>
      <c r="K1735" t="inlineStr">
        <is>
          <t>A0A6I8QAC4_XENTR</t>
        </is>
      </c>
      <c r="L1735" t="inlineStr">
        <is>
          <t>tr|A0A6I8QAC4|A0A6I8QAC4_XENTR Reverse transcriptase domain-containing protein OS=Xenopus tropicalis OX=8364 PE=4 SV=1</t>
        </is>
      </c>
      <c r="M1735" t="n">
        <v>655</v>
      </c>
      <c r="N1735" t="inlineStr">
        <is>
          <t>Xenopus tropicalis</t>
        </is>
      </c>
      <c r="O1735" t="inlineStr">
        <is>
          <t>Reverse transcriptase domain-containing protein</t>
        </is>
      </c>
    </row>
    <row r="1736">
      <c r="A1736" t="inlineStr"/>
      <c r="B1736" t="inlineStr"/>
      <c r="C1736" t="inlineStr"/>
      <c r="D1736" t="inlineStr"/>
      <c r="E1736">
        <f>HYPERLINK("https://www.uniprot.org/uniprotkb/A0A803JV49/entry", "A0A803JV49")</f>
        <v/>
      </c>
      <c r="F1736" t="n">
        <v>47.5</v>
      </c>
      <c r="G1736" t="n">
        <v>179</v>
      </c>
      <c r="H1736" t="n">
        <v>1.15e-41</v>
      </c>
      <c r="I1736" t="inlineStr">
        <is>
          <t>TrEMBL</t>
        </is>
      </c>
      <c r="J1736" t="inlineStr"/>
      <c r="K1736" t="inlineStr">
        <is>
          <t>A0A803JV49_XENTR</t>
        </is>
      </c>
      <c r="L1736" t="inlineStr">
        <is>
          <t>tr|A0A803JV49|A0A803JV49_XENTR Reverse transcriptase domain-containing protein OS=Xenopus tropicalis OX=8364 PE=4 SV=1</t>
        </is>
      </c>
      <c r="M1736" t="n">
        <v>499</v>
      </c>
      <c r="N1736" t="inlineStr">
        <is>
          <t>Xenopus tropicalis</t>
        </is>
      </c>
      <c r="O1736" t="inlineStr">
        <is>
          <t>Reverse transcriptase domain-containing protein</t>
        </is>
      </c>
    </row>
    <row r="1737">
      <c r="A1737" t="inlineStr"/>
      <c r="B1737" t="inlineStr"/>
      <c r="C1737" t="inlineStr"/>
      <c r="D1737" t="inlineStr"/>
      <c r="E1737">
        <f>HYPERLINK("https://www.uniprot.org/uniprotkb/A0A803K2L1/entry", "A0A803K2L1")</f>
        <v/>
      </c>
      <c r="F1737" t="n">
        <v>46.9</v>
      </c>
      <c r="G1737" t="n">
        <v>179</v>
      </c>
      <c r="H1737" t="n">
        <v>5.18e-41</v>
      </c>
      <c r="I1737" t="inlineStr">
        <is>
          <t>TrEMBL</t>
        </is>
      </c>
      <c r="J1737" t="inlineStr"/>
      <c r="K1737" t="inlineStr">
        <is>
          <t>A0A803K2L1_XENTR</t>
        </is>
      </c>
      <c r="L1737" t="inlineStr">
        <is>
          <t>tr|A0A803K2L1|A0A803K2L1_XENTR Reverse transcriptase domain-containing protein OS=Xenopus tropicalis OX=8364 PE=4 SV=1</t>
        </is>
      </c>
      <c r="M1737" t="n">
        <v>696</v>
      </c>
      <c r="N1737" t="inlineStr">
        <is>
          <t>Xenopus tropicalis</t>
        </is>
      </c>
      <c r="O1737" t="inlineStr">
        <is>
          <t>Reverse transcriptase domain-containing protein</t>
        </is>
      </c>
    </row>
    <row r="1738">
      <c r="A1738" t="inlineStr"/>
      <c r="B1738" t="inlineStr"/>
      <c r="C1738" t="inlineStr"/>
      <c r="D1738" t="inlineStr"/>
      <c r="E1738">
        <f>HYPERLINK("https://www.ncbi.nlm.nih.gov/gene/?term=OCT61343.1", "OCT61343.1")</f>
        <v/>
      </c>
      <c r="F1738" t="n">
        <v>47.4</v>
      </c>
      <c r="G1738" t="n">
        <v>192</v>
      </c>
      <c r="H1738" t="n">
        <v>4.37e-40</v>
      </c>
      <c r="I1738" t="inlineStr">
        <is>
          <t>Nr</t>
        </is>
      </c>
      <c r="J1738" t="inlineStr"/>
      <c r="K1738" t="inlineStr"/>
      <c r="L1738" t="inlineStr">
        <is>
          <t>OCT61343.1 hypothetical protein XELAEV_18047366mg [Xenopus laevis]</t>
        </is>
      </c>
      <c r="M1738" t="n">
        <v>1952</v>
      </c>
      <c r="N1738" t="inlineStr">
        <is>
          <t>Xenopus laevis</t>
        </is>
      </c>
      <c r="O1738" t="inlineStr">
        <is>
          <t>hypothetical protein XELAEV_18047366mg</t>
        </is>
      </c>
    </row>
    <row r="1739">
      <c r="A1739" t="inlineStr"/>
      <c r="B1739" t="inlineStr"/>
      <c r="C1739" t="inlineStr"/>
      <c r="D1739" t="inlineStr"/>
      <c r="E1739">
        <f>HYPERLINK("https://www.uniprot.org/uniprotkb/A0A803JHB8/entry", "A0A803JHB8")</f>
        <v/>
      </c>
      <c r="F1739" t="n">
        <v>45.3</v>
      </c>
      <c r="G1739" t="n">
        <v>179</v>
      </c>
      <c r="H1739" t="n">
        <v>9.56e-39</v>
      </c>
      <c r="I1739" t="inlineStr">
        <is>
          <t>TrEMBL</t>
        </is>
      </c>
      <c r="J1739" t="inlineStr"/>
      <c r="K1739" t="inlineStr">
        <is>
          <t>A0A803JHB8_XENTR</t>
        </is>
      </c>
      <c r="L1739" t="inlineStr">
        <is>
          <t>tr|A0A803JHB8|A0A803JHB8_XENTR Reverse transcriptase domain-containing protein OS=Xenopus tropicalis OX=8364 PE=4 SV=1</t>
        </is>
      </c>
      <c r="M1739" t="n">
        <v>585</v>
      </c>
      <c r="N1739" t="inlineStr">
        <is>
          <t>Xenopus tropicalis</t>
        </is>
      </c>
      <c r="O1739" t="inlineStr">
        <is>
          <t>Reverse transcriptase domain-containing protein</t>
        </is>
      </c>
    </row>
    <row r="1740">
      <c r="A1740" t="inlineStr"/>
      <c r="B1740" t="inlineStr"/>
      <c r="C1740" t="inlineStr"/>
      <c r="D1740" t="inlineStr"/>
      <c r="E1740">
        <f>HYPERLINK("https://www.ncbi.nlm.nih.gov/gene/?term=OCT99555.1", "OCT99555.1")</f>
        <v/>
      </c>
      <c r="F1740" t="n">
        <v>43.2</v>
      </c>
      <c r="G1740" t="n">
        <v>192</v>
      </c>
      <c r="H1740" t="n">
        <v>1.07e-38</v>
      </c>
      <c r="I1740" t="inlineStr">
        <is>
          <t>Nr</t>
        </is>
      </c>
      <c r="J1740" t="inlineStr"/>
      <c r="K1740" t="inlineStr"/>
      <c r="L1740" t="inlineStr">
        <is>
          <t>OCT99555.1 hypothetical protein XELAEV_18005337mg [Xenopus laevis]</t>
        </is>
      </c>
      <c r="M1740" t="n">
        <v>430</v>
      </c>
      <c r="N1740" t="inlineStr">
        <is>
          <t>Xenopus laevis</t>
        </is>
      </c>
      <c r="O1740" t="inlineStr">
        <is>
          <t>hypothetical protein XELAEV_18005337mg</t>
        </is>
      </c>
    </row>
    <row r="1741">
      <c r="A1741" t="inlineStr"/>
      <c r="B1741" t="inlineStr"/>
      <c r="C1741" t="inlineStr"/>
      <c r="D1741" t="inlineStr"/>
      <c r="E1741">
        <f>HYPERLINK("https://www.ncbi.nlm.nih.gov/gene/?term=OCT87659.1", "OCT87659.1")</f>
        <v/>
      </c>
      <c r="F1741" t="n">
        <v>46</v>
      </c>
      <c r="G1741" t="n">
        <v>176</v>
      </c>
      <c r="H1741" t="n">
        <v>1.32e-38</v>
      </c>
      <c r="I1741" t="inlineStr">
        <is>
          <t>Nr</t>
        </is>
      </c>
      <c r="J1741" t="inlineStr"/>
      <c r="K1741" t="inlineStr"/>
      <c r="L1741" t="inlineStr">
        <is>
          <t>OCT87659.1 hypothetical protein XELAEV_18021356mg [Xenopus laevis]</t>
        </is>
      </c>
      <c r="M1741" t="n">
        <v>462</v>
      </c>
      <c r="N1741" t="inlineStr">
        <is>
          <t>Xenopus laevis</t>
        </is>
      </c>
      <c r="O1741" t="inlineStr">
        <is>
          <t>hypothetical protein XELAEV_18021356mg</t>
        </is>
      </c>
    </row>
    <row r="1742">
      <c r="A1742" t="inlineStr"/>
      <c r="B1742" t="inlineStr"/>
      <c r="C1742" t="inlineStr"/>
      <c r="D1742" t="inlineStr"/>
      <c r="E1742">
        <f>HYPERLINK("https://www.uniprot.org/uniprotkb/A0A803KCP2/entry", "A0A803KCP2")</f>
        <v/>
      </c>
      <c r="F1742" t="n">
        <v>44.4</v>
      </c>
      <c r="G1742" t="n">
        <v>180</v>
      </c>
      <c r="H1742" t="n">
        <v>4.11e-38</v>
      </c>
      <c r="I1742" t="inlineStr">
        <is>
          <t>TrEMBL</t>
        </is>
      </c>
      <c r="J1742" t="inlineStr"/>
      <c r="K1742" t="inlineStr">
        <is>
          <t>A0A803KCP2_XENTR</t>
        </is>
      </c>
      <c r="L1742" t="inlineStr">
        <is>
          <t>tr|A0A803KCP2|A0A803KCP2_XENTR Reverse transcriptase domain-containing protein OS=Xenopus tropicalis OX=8364 PE=4 SV=1</t>
        </is>
      </c>
      <c r="M1742" t="n">
        <v>390</v>
      </c>
      <c r="N1742" t="inlineStr">
        <is>
          <t>Xenopus tropicalis</t>
        </is>
      </c>
      <c r="O1742" t="inlineStr">
        <is>
          <t>Reverse transcriptase domain-containing protein</t>
        </is>
      </c>
    </row>
    <row r="1743">
      <c r="A1743" t="inlineStr"/>
      <c r="B1743" t="inlineStr"/>
      <c r="C1743" t="inlineStr"/>
      <c r="D1743" t="inlineStr"/>
      <c r="E1743">
        <f>HYPERLINK("https://www.uniprot.org/uniprotkb/A0A803K4D8/entry", "A0A803K4D8")</f>
        <v/>
      </c>
      <c r="F1743" t="n">
        <v>45.3</v>
      </c>
      <c r="G1743" t="n">
        <v>179</v>
      </c>
      <c r="H1743" t="n">
        <v>7.05e-38</v>
      </c>
      <c r="I1743" t="inlineStr">
        <is>
          <t>TrEMBL</t>
        </is>
      </c>
      <c r="J1743" t="inlineStr"/>
      <c r="K1743" t="inlineStr">
        <is>
          <t>A0A803K4D8_XENTR</t>
        </is>
      </c>
      <c r="L1743" t="inlineStr">
        <is>
          <t>tr|A0A803K4D8|A0A803K4D8_XENTR Reverse transcriptase domain-containing protein OS=Xenopus tropicalis OX=8364 PE=4 SV=1</t>
        </is>
      </c>
      <c r="M1743" t="n">
        <v>504</v>
      </c>
      <c r="N1743" t="inlineStr">
        <is>
          <t>Xenopus tropicalis</t>
        </is>
      </c>
      <c r="O1743" t="inlineStr">
        <is>
          <t>Reverse transcriptase domain-containing protein</t>
        </is>
      </c>
    </row>
    <row r="1744">
      <c r="A1744" t="inlineStr"/>
      <c r="B1744" t="inlineStr"/>
      <c r="C1744" t="inlineStr"/>
      <c r="D1744" t="inlineStr"/>
      <c r="E1744">
        <f>HYPERLINK("https://www.ncbi.nlm.nih.gov/gene/?term=OCT76204.1", "OCT76204.1")</f>
        <v/>
      </c>
      <c r="F1744" t="n">
        <v>46.9</v>
      </c>
      <c r="G1744" t="n">
        <v>179</v>
      </c>
      <c r="H1744" t="n">
        <v>9.590000000000001e-38</v>
      </c>
      <c r="I1744" t="inlineStr">
        <is>
          <t>Nr</t>
        </is>
      </c>
      <c r="J1744" t="inlineStr"/>
      <c r="K1744" t="inlineStr"/>
      <c r="L1744" t="inlineStr">
        <is>
          <t>OCT76204.1 hypothetical protein XELAEV_18031398mg [Xenopus laevis]</t>
        </is>
      </c>
      <c r="M1744" t="n">
        <v>506</v>
      </c>
      <c r="N1744" t="inlineStr">
        <is>
          <t>Xenopus laevis</t>
        </is>
      </c>
      <c r="O1744" t="inlineStr">
        <is>
          <t>hypothetical protein XELAEV_18031398mg</t>
        </is>
      </c>
    </row>
    <row r="1745">
      <c r="A1745" t="inlineStr"/>
      <c r="B1745" t="inlineStr"/>
      <c r="C1745" t="inlineStr"/>
      <c r="D1745" t="inlineStr"/>
      <c r="E1745">
        <f>HYPERLINK("https://www.uniprot.org/uniprotkb/A0A803JX24/entry", "A0A803JX24")</f>
        <v/>
      </c>
      <c r="F1745" t="n">
        <v>45.8</v>
      </c>
      <c r="G1745" t="n">
        <v>179</v>
      </c>
      <c r="H1745" t="n">
        <v>9.719999999999999e-38</v>
      </c>
      <c r="I1745" t="inlineStr">
        <is>
          <t>TrEMBL</t>
        </is>
      </c>
      <c r="J1745" t="inlineStr"/>
      <c r="K1745" t="inlineStr">
        <is>
          <t>A0A803JX24_XENTR</t>
        </is>
      </c>
      <c r="L1745" t="inlineStr">
        <is>
          <t>tr|A0A803JX24|A0A803JX24_XENTR Reverse transcriptase domain-containing protein OS=Xenopus tropicalis OX=8364 PE=4 SV=1</t>
        </is>
      </c>
      <c r="M1745" t="n">
        <v>626</v>
      </c>
      <c r="N1745" t="inlineStr">
        <is>
          <t>Xenopus tropicalis</t>
        </is>
      </c>
      <c r="O1745" t="inlineStr">
        <is>
          <t>Reverse transcriptase domain-containing protein</t>
        </is>
      </c>
    </row>
    <row r="1746">
      <c r="A1746" t="inlineStr"/>
      <c r="B1746" t="inlineStr"/>
      <c r="C1746" t="inlineStr"/>
      <c r="D1746" t="inlineStr"/>
      <c r="E1746">
        <f>HYPERLINK("https://www.uniprot.org/uniprotkb/A0A803J9K9/entry", "A0A803J9K9")</f>
        <v/>
      </c>
      <c r="F1746" t="n">
        <v>45.3</v>
      </c>
      <c r="G1746" t="n">
        <v>179</v>
      </c>
      <c r="H1746" t="n">
        <v>1.05e-37</v>
      </c>
      <c r="I1746" t="inlineStr">
        <is>
          <t>TrEMBL</t>
        </is>
      </c>
      <c r="J1746" t="inlineStr"/>
      <c r="K1746" t="inlineStr">
        <is>
          <t>A0A803J9K9_XENTR</t>
        </is>
      </c>
      <c r="L1746" t="inlineStr">
        <is>
          <t>tr|A0A803J9K9|A0A803J9K9_XENTR Reverse transcriptase domain-containing protein OS=Xenopus tropicalis OX=8364 PE=4 SV=1</t>
        </is>
      </c>
      <c r="M1746" t="n">
        <v>485</v>
      </c>
      <c r="N1746" t="inlineStr">
        <is>
          <t>Xenopus tropicalis</t>
        </is>
      </c>
      <c r="O1746" t="inlineStr">
        <is>
          <t>Reverse transcriptase domain-containing protein</t>
        </is>
      </c>
    </row>
    <row r="1747">
      <c r="A1747" t="inlineStr"/>
      <c r="B1747" t="inlineStr"/>
      <c r="C1747" t="inlineStr"/>
      <c r="D1747" t="inlineStr"/>
      <c r="E1747">
        <f>HYPERLINK("https://www.uniprot.org/uniprotkb/A0A803K2I9/entry", "A0A803K2I9")</f>
        <v/>
      </c>
      <c r="F1747" t="n">
        <v>45.8</v>
      </c>
      <c r="G1747" t="n">
        <v>179</v>
      </c>
      <c r="H1747" t="n">
        <v>1.07e-37</v>
      </c>
      <c r="I1747" t="inlineStr">
        <is>
          <t>TrEMBL</t>
        </is>
      </c>
      <c r="J1747" t="inlineStr"/>
      <c r="K1747" t="inlineStr">
        <is>
          <t>A0A803K2I9_XENTR</t>
        </is>
      </c>
      <c r="L1747" t="inlineStr">
        <is>
          <t>tr|A0A803K2I9|A0A803K2I9_XENTR Reverse transcriptase domain-containing protein OS=Xenopus tropicalis OX=8364 PE=4 SV=1</t>
        </is>
      </c>
      <c r="M1747" t="n">
        <v>688</v>
      </c>
      <c r="N1747" t="inlineStr">
        <is>
          <t>Xenopus tropicalis</t>
        </is>
      </c>
      <c r="O1747" t="inlineStr">
        <is>
          <t>Reverse transcriptase domain-containing protein</t>
        </is>
      </c>
    </row>
    <row r="1748">
      <c r="A1748" t="inlineStr"/>
      <c r="B1748" t="inlineStr"/>
      <c r="C1748" t="inlineStr"/>
      <c r="D1748" t="inlineStr"/>
      <c r="E1748">
        <f>HYPERLINK("https://www.uniprot.org/uniprotkb/A0A803K635/entry", "A0A803K635")</f>
        <v/>
      </c>
      <c r="F1748" t="n">
        <v>45.8</v>
      </c>
      <c r="G1748" t="n">
        <v>179</v>
      </c>
      <c r="H1748" t="n">
        <v>1.32e-37</v>
      </c>
      <c r="I1748" t="inlineStr">
        <is>
          <t>TrEMBL</t>
        </is>
      </c>
      <c r="J1748" t="inlineStr"/>
      <c r="K1748" t="inlineStr">
        <is>
          <t>A0A803K635_XENTR</t>
        </is>
      </c>
      <c r="L1748" t="inlineStr">
        <is>
          <t>tr|A0A803K635|A0A803K635_XENTR Reverse transcriptase domain-containing protein OS=Xenopus tropicalis OX=8364 PE=4 SV=1</t>
        </is>
      </c>
      <c r="M1748" t="n">
        <v>734</v>
      </c>
      <c r="N1748" t="inlineStr">
        <is>
          <t>Xenopus tropicalis</t>
        </is>
      </c>
      <c r="O1748" t="inlineStr">
        <is>
          <t>Reverse transcriptase domain-containing protein</t>
        </is>
      </c>
    </row>
    <row r="1749">
      <c r="A1749" t="inlineStr"/>
      <c r="B1749" t="inlineStr"/>
      <c r="C1749" t="inlineStr"/>
      <c r="D1749" t="inlineStr"/>
      <c r="E1749">
        <f>HYPERLINK("https://www.uniprot.org/uniprotkb/A0A803JZX6/entry", "A0A803JZX6")</f>
        <v/>
      </c>
      <c r="F1749" t="n">
        <v>47.8</v>
      </c>
      <c r="G1749" t="n">
        <v>161</v>
      </c>
      <c r="H1749" t="n">
        <v>1.4e-37</v>
      </c>
      <c r="I1749" t="inlineStr">
        <is>
          <t>TrEMBL</t>
        </is>
      </c>
      <c r="J1749" t="inlineStr"/>
      <c r="K1749" t="inlineStr">
        <is>
          <t>A0A803JZX6_XENTR</t>
        </is>
      </c>
      <c r="L1749" t="inlineStr">
        <is>
          <t>tr|A0A803JZX6|A0A803JZX6_XENTR Reverse transcriptase domain-containing protein OS=Xenopus tropicalis OX=8364 PE=4 SV=1</t>
        </is>
      </c>
      <c r="M1749" t="n">
        <v>482</v>
      </c>
      <c r="N1749" t="inlineStr">
        <is>
          <t>Xenopus tropicalis</t>
        </is>
      </c>
      <c r="O1749" t="inlineStr">
        <is>
          <t>Reverse transcriptase domain-containing protein</t>
        </is>
      </c>
    </row>
    <row r="1750">
      <c r="A1750" t="inlineStr"/>
      <c r="B1750" t="inlineStr"/>
      <c r="C1750" t="inlineStr"/>
      <c r="D1750" t="inlineStr"/>
      <c r="E1750">
        <f>HYPERLINK("https://www.uniprot.org/uniprotkb/A0A803JPB3/entry", "A0A803JPB3")</f>
        <v/>
      </c>
      <c r="F1750" t="n">
        <v>44.1</v>
      </c>
      <c r="G1750" t="n">
        <v>179</v>
      </c>
      <c r="H1750" t="n">
        <v>3.29e-37</v>
      </c>
      <c r="I1750" t="inlineStr">
        <is>
          <t>TrEMBL</t>
        </is>
      </c>
      <c r="J1750" t="inlineStr"/>
      <c r="K1750" t="inlineStr">
        <is>
          <t>A0A803JPB3_XENTR</t>
        </is>
      </c>
      <c r="L1750" t="inlineStr">
        <is>
          <t>tr|A0A803JPB3|A0A803JPB3_XENTR Reverse transcriptase domain-containing protein OS=Xenopus tropicalis OX=8364 PE=4 SV=1</t>
        </is>
      </c>
      <c r="M1750" t="n">
        <v>725</v>
      </c>
      <c r="N1750" t="inlineStr">
        <is>
          <t>Xenopus tropicalis</t>
        </is>
      </c>
      <c r="O1750" t="inlineStr">
        <is>
          <t>Reverse transcriptase domain-containing protein</t>
        </is>
      </c>
    </row>
    <row r="1751">
      <c r="A1751" t="inlineStr"/>
      <c r="B1751" t="inlineStr"/>
      <c r="C1751" t="inlineStr"/>
      <c r="D1751" t="inlineStr"/>
      <c r="E1751">
        <f>HYPERLINK("https://www.uniprot.org/uniprotkb/A0A8J1L7P8/entry", "A0A8J1L7P8")</f>
        <v/>
      </c>
      <c r="F1751" t="n">
        <v>45.1</v>
      </c>
      <c r="G1751" t="n">
        <v>173</v>
      </c>
      <c r="H1751" t="n">
        <v>8.16e-37</v>
      </c>
      <c r="I1751" t="inlineStr">
        <is>
          <t>TrEMBL</t>
        </is>
      </c>
      <c r="J1751" t="inlineStr">
        <is>
          <t>LOC121395346</t>
        </is>
      </c>
      <c r="K1751" t="inlineStr">
        <is>
          <t>A0A8J1L7P8_XENLA</t>
        </is>
      </c>
      <c r="L1751" t="inlineStr">
        <is>
          <t>tr|A0A8J1L7P8|A0A8J1L7P8_XENLA uncharacterized protein LOC121395346 isoform X1 OS=Xenopus laevis OX=8355 GN=LOC121395346 PE=4 SV=1</t>
        </is>
      </c>
      <c r="M1751" t="n">
        <v>840</v>
      </c>
      <c r="N1751" t="inlineStr">
        <is>
          <t>Xenopus laevis</t>
        </is>
      </c>
      <c r="O1751" t="inlineStr">
        <is>
          <t>uncharacterized protein LOC121395346 isoform X1</t>
        </is>
      </c>
    </row>
    <row r="1752">
      <c r="A1752" t="inlineStr"/>
      <c r="B1752" t="inlineStr"/>
      <c r="C1752" t="inlineStr"/>
      <c r="D1752" t="inlineStr"/>
      <c r="E1752">
        <f>HYPERLINK("https://www.uniprot.org/uniprotkb/A0A803JCF5/entry", "A0A803JCF5")</f>
        <v/>
      </c>
      <c r="F1752" t="n">
        <v>47.2</v>
      </c>
      <c r="G1752" t="n">
        <v>161</v>
      </c>
      <c r="H1752" t="n">
        <v>1.73e-36</v>
      </c>
      <c r="I1752" t="inlineStr">
        <is>
          <t>TrEMBL</t>
        </is>
      </c>
      <c r="J1752" t="inlineStr"/>
      <c r="K1752" t="inlineStr">
        <is>
          <t>A0A803JCF5_XENTR</t>
        </is>
      </c>
      <c r="L1752" t="inlineStr">
        <is>
          <t>tr|A0A803JCF5|A0A803JCF5_XENTR Reverse transcriptase domain-containing protein OS=Xenopus tropicalis OX=8364 PE=4 SV=1</t>
        </is>
      </c>
      <c r="M1752" t="n">
        <v>551</v>
      </c>
      <c r="N1752" t="inlineStr">
        <is>
          <t>Xenopus tropicalis</t>
        </is>
      </c>
      <c r="O1752" t="inlineStr">
        <is>
          <t>Reverse transcriptase domain-containing protein</t>
        </is>
      </c>
    </row>
    <row r="1753">
      <c r="A1753" t="inlineStr"/>
      <c r="B1753" t="inlineStr"/>
      <c r="C1753" t="inlineStr"/>
      <c r="D1753" t="inlineStr"/>
      <c r="E1753">
        <f>HYPERLINK("https://www.ncbi.nlm.nih.gov/gene/?term=XP_041424610.1", "XP_041424610.1")</f>
        <v/>
      </c>
      <c r="F1753" t="n">
        <v>45.1</v>
      </c>
      <c r="G1753" t="n">
        <v>173</v>
      </c>
      <c r="H1753" t="n">
        <v>2.1e-36</v>
      </c>
      <c r="I1753" t="inlineStr">
        <is>
          <t>Nr</t>
        </is>
      </c>
      <c r="J1753" t="inlineStr"/>
      <c r="K1753" t="inlineStr"/>
      <c r="L1753" t="inlineStr">
        <is>
          <t>XP_041424610.1 uncharacterized protein LOC121395346 isoform X1 [Xenopus laevis]</t>
        </is>
      </c>
      <c r="M1753" t="n">
        <v>840</v>
      </c>
      <c r="N1753" t="inlineStr">
        <is>
          <t>Xenopus laevis</t>
        </is>
      </c>
      <c r="O1753" t="inlineStr">
        <is>
          <t>uncharacterized protein LOC121395346 isoform X1</t>
        </is>
      </c>
    </row>
    <row r="1754">
      <c r="A1754" t="inlineStr"/>
      <c r="B1754" t="inlineStr"/>
      <c r="C1754" t="inlineStr"/>
      <c r="D1754" t="inlineStr"/>
      <c r="E1754">
        <f>HYPERLINK("https://www.uniprot.org/uniprotkb/A0A803KAJ0/entry", "A0A803KAJ0")</f>
        <v/>
      </c>
      <c r="F1754" t="n">
        <v>45.3</v>
      </c>
      <c r="G1754" t="n">
        <v>179</v>
      </c>
      <c r="H1754" t="n">
        <v>3.92e-36</v>
      </c>
      <c r="I1754" t="inlineStr">
        <is>
          <t>TrEMBL</t>
        </is>
      </c>
      <c r="J1754" t="inlineStr"/>
      <c r="K1754" t="inlineStr">
        <is>
          <t>A0A803KAJ0_XENTR</t>
        </is>
      </c>
      <c r="L1754" t="inlineStr">
        <is>
          <t>tr|A0A803KAJ0|A0A803KAJ0_XENTR Reverse transcriptase domain-containing protein OS=Xenopus tropicalis OX=8364 PE=4 SV=1</t>
        </is>
      </c>
      <c r="M1754" t="n">
        <v>856</v>
      </c>
      <c r="N1754" t="inlineStr">
        <is>
          <t>Xenopus tropicalis</t>
        </is>
      </c>
      <c r="O1754" t="inlineStr">
        <is>
          <t>Reverse transcriptase domain-containing protein</t>
        </is>
      </c>
    </row>
    <row r="1755">
      <c r="A1755" t="inlineStr"/>
      <c r="B1755" t="inlineStr"/>
      <c r="C1755" t="inlineStr"/>
      <c r="D1755" t="inlineStr"/>
      <c r="E1755">
        <f>HYPERLINK("https://www.uniprot.org/uniprotkb/A0A8J1JBP4/entry", "A0A8J1JBP4")</f>
        <v/>
      </c>
      <c r="F1755" t="n">
        <v>46.6</v>
      </c>
      <c r="G1755" t="n">
        <v>161</v>
      </c>
      <c r="H1755" t="n">
        <v>5.52e-36</v>
      </c>
      <c r="I1755" t="inlineStr">
        <is>
          <t>TrEMBL</t>
        </is>
      </c>
      <c r="J1755" t="inlineStr">
        <is>
          <t>LOC108645441</t>
        </is>
      </c>
      <c r="K1755" t="inlineStr">
        <is>
          <t>A0A8J1JBP4_XENTR</t>
        </is>
      </c>
      <c r="L1755" t="inlineStr">
        <is>
          <t>tr|A0A8J1JBP4|A0A8J1JBP4_XENTR uncharacterized protein LOC108645441 OS=Xenopus tropicalis OX=8364 GN=LOC108645441 PE=4 SV=1</t>
        </is>
      </c>
      <c r="M1755" t="n">
        <v>569</v>
      </c>
      <c r="N1755" t="inlineStr">
        <is>
          <t>Xenopus tropicalis</t>
        </is>
      </c>
      <c r="O1755" t="inlineStr">
        <is>
          <t>uncharacterized protein LOC108645441</t>
        </is>
      </c>
    </row>
    <row r="1756">
      <c r="A1756" t="inlineStr"/>
      <c r="B1756" t="inlineStr"/>
      <c r="C1756" t="inlineStr"/>
      <c r="D1756" t="inlineStr"/>
      <c r="E1756">
        <f>HYPERLINK("https://www.uniprot.org/uniprotkb/A0A803JVB3/entry", "A0A803JVB3")</f>
        <v/>
      </c>
      <c r="F1756" t="n">
        <v>46.6</v>
      </c>
      <c r="G1756" t="n">
        <v>161</v>
      </c>
      <c r="H1756" t="n">
        <v>1.21e-35</v>
      </c>
      <c r="I1756" t="inlineStr">
        <is>
          <t>TrEMBL</t>
        </is>
      </c>
      <c r="J1756" t="inlineStr"/>
      <c r="K1756" t="inlineStr">
        <is>
          <t>A0A803JVB3_XENTR</t>
        </is>
      </c>
      <c r="L1756" t="inlineStr">
        <is>
          <t>tr|A0A803JVB3|A0A803JVB3_XENTR Reverse transcriptase domain-containing protein OS=Xenopus tropicalis OX=8364 PE=4 SV=1</t>
        </is>
      </c>
      <c r="M1756" t="n">
        <v>680</v>
      </c>
      <c r="N1756" t="inlineStr">
        <is>
          <t>Xenopus tropicalis</t>
        </is>
      </c>
      <c r="O1756" t="inlineStr">
        <is>
          <t>Reverse transcriptase domain-containing protein</t>
        </is>
      </c>
    </row>
    <row r="1757">
      <c r="A1757" t="inlineStr"/>
      <c r="B1757" t="inlineStr"/>
      <c r="C1757" t="inlineStr"/>
      <c r="D1757" t="inlineStr"/>
      <c r="E1757">
        <f>HYPERLINK("https://www.ncbi.nlm.nih.gov/gene/?term=XP_031754066.1", "XP_031754066.1")</f>
        <v/>
      </c>
      <c r="F1757" t="n">
        <v>46.6</v>
      </c>
      <c r="G1757" t="n">
        <v>161</v>
      </c>
      <c r="H1757" t="n">
        <v>1.42e-35</v>
      </c>
      <c r="I1757" t="inlineStr">
        <is>
          <t>Nr</t>
        </is>
      </c>
      <c r="J1757" t="inlineStr"/>
      <c r="K1757" t="inlineStr"/>
      <c r="L1757" t="inlineStr">
        <is>
          <t>XP_031754066.1 uncharacterized protein LOC108645441 [Xenopus tropicalis]</t>
        </is>
      </c>
      <c r="M1757" t="n">
        <v>569</v>
      </c>
      <c r="N1757" t="inlineStr">
        <is>
          <t>Xenopus tropicalis</t>
        </is>
      </c>
      <c r="O1757" t="inlineStr">
        <is>
          <t>uncharacterized protein LOC108645441</t>
        </is>
      </c>
    </row>
    <row r="1758">
      <c r="A1758" t="inlineStr"/>
      <c r="B1758" t="inlineStr"/>
      <c r="C1758" t="inlineStr"/>
      <c r="D1758" t="inlineStr"/>
      <c r="E1758">
        <f>HYPERLINK("https://www.ncbi.nlm.nih.gov/gene/?term=KAE8601590.1", "KAE8601590.1")</f>
        <v/>
      </c>
      <c r="F1758" t="n">
        <v>47.2</v>
      </c>
      <c r="G1758" t="n">
        <v>161</v>
      </c>
      <c r="H1758" t="n">
        <v>1.55e-35</v>
      </c>
      <c r="I1758" t="inlineStr">
        <is>
          <t>Nr</t>
        </is>
      </c>
      <c r="J1758" t="inlineStr"/>
      <c r="K1758" t="inlineStr"/>
      <c r="L1758" t="inlineStr">
        <is>
          <t>KAE8601590.1 hypothetical protein XENTR_v10013728 [Xenopus tropicalis]</t>
        </is>
      </c>
      <c r="M1758" t="n">
        <v>1505</v>
      </c>
      <c r="N1758" t="inlineStr">
        <is>
          <t>Xenopus tropicalis</t>
        </is>
      </c>
      <c r="O1758" t="inlineStr">
        <is>
          <t>hypothetical protein XENTR_v10013728</t>
        </is>
      </c>
    </row>
    <row r="1759">
      <c r="A1759" t="inlineStr"/>
      <c r="B1759" t="inlineStr"/>
      <c r="C1759" t="inlineStr"/>
      <c r="D1759" t="inlineStr"/>
      <c r="E1759">
        <f>HYPERLINK("https://www.uniprot.org/uniprotkb/A0A803JG97/entry", "A0A803JG97")</f>
        <v/>
      </c>
      <c r="F1759" t="n">
        <v>42.3</v>
      </c>
      <c r="G1759" t="n">
        <v>182</v>
      </c>
      <c r="H1759" t="n">
        <v>6.21e-35</v>
      </c>
      <c r="I1759" t="inlineStr">
        <is>
          <t>TrEMBL</t>
        </is>
      </c>
      <c r="J1759" t="inlineStr"/>
      <c r="K1759" t="inlineStr">
        <is>
          <t>A0A803JG97_XENTR</t>
        </is>
      </c>
      <c r="L1759" t="inlineStr">
        <is>
          <t>tr|A0A803JG97|A0A803JG97_XENTR Reverse transcriptase domain-containing protein OS=Xenopus tropicalis OX=8364 PE=4 SV=1</t>
        </is>
      </c>
      <c r="M1759" t="n">
        <v>492</v>
      </c>
      <c r="N1759" t="inlineStr">
        <is>
          <t>Xenopus tropicalis</t>
        </is>
      </c>
      <c r="O1759" t="inlineStr">
        <is>
          <t>Reverse transcriptase domain-containing protein</t>
        </is>
      </c>
    </row>
    <row r="1760">
      <c r="A1760" t="inlineStr"/>
      <c r="B1760" t="inlineStr"/>
      <c r="C1760" t="inlineStr"/>
      <c r="D1760" t="inlineStr"/>
      <c r="E1760">
        <f>HYPERLINK("https://www.uniprot.org/uniprotkb/A0A803KFZ4/entry", "A0A803KFZ4")</f>
        <v/>
      </c>
      <c r="F1760" t="n">
        <v>43.6</v>
      </c>
      <c r="G1760" t="n">
        <v>179</v>
      </c>
      <c r="H1760" t="n">
        <v>6.890000000000001e-35</v>
      </c>
      <c r="I1760" t="inlineStr">
        <is>
          <t>TrEMBL</t>
        </is>
      </c>
      <c r="J1760" t="inlineStr"/>
      <c r="K1760" t="inlineStr">
        <is>
          <t>A0A803KFZ4_XENTR</t>
        </is>
      </c>
      <c r="L1760" t="inlineStr">
        <is>
          <t>tr|A0A803KFZ4|A0A803KFZ4_XENTR Reverse transcriptase domain-containing protein OS=Xenopus tropicalis OX=8364 PE=4 SV=1</t>
        </is>
      </c>
      <c r="M1760" t="n">
        <v>561</v>
      </c>
      <c r="N1760" t="inlineStr">
        <is>
          <t>Xenopus tropicalis</t>
        </is>
      </c>
      <c r="O1760" t="inlineStr">
        <is>
          <t>Reverse transcriptase domain-containing protein</t>
        </is>
      </c>
    </row>
    <row r="1761">
      <c r="A1761" t="inlineStr"/>
      <c r="B1761" t="inlineStr"/>
      <c r="C1761" t="inlineStr"/>
      <c r="D1761" t="inlineStr"/>
      <c r="E1761">
        <f>HYPERLINK("https://www.uniprot.org/uniprotkb/A0A803J3S0/entry", "A0A803J3S0")</f>
        <v/>
      </c>
      <c r="F1761" t="n">
        <v>47.2</v>
      </c>
      <c r="G1761" t="n">
        <v>161</v>
      </c>
      <c r="H1761" t="n">
        <v>2.08e-34</v>
      </c>
      <c r="I1761" t="inlineStr">
        <is>
          <t>TrEMBL</t>
        </is>
      </c>
      <c r="J1761" t="inlineStr"/>
      <c r="K1761" t="inlineStr">
        <is>
          <t>A0A803J3S0_XENTR</t>
        </is>
      </c>
      <c r="L1761" t="inlineStr">
        <is>
          <t>tr|A0A803J3S0|A0A803J3S0_XENTR Reverse transcriptase domain-containing protein OS=Xenopus tropicalis OX=8364 PE=4 SV=1</t>
        </is>
      </c>
      <c r="M1761" t="n">
        <v>679</v>
      </c>
      <c r="N1761" t="inlineStr">
        <is>
          <t>Xenopus tropicalis</t>
        </is>
      </c>
      <c r="O1761" t="inlineStr">
        <is>
          <t>Reverse transcriptase domain-containing protein</t>
        </is>
      </c>
    </row>
    <row r="1762">
      <c r="A1762" t="inlineStr"/>
      <c r="B1762" t="inlineStr"/>
      <c r="C1762" t="inlineStr"/>
      <c r="D1762" t="inlineStr"/>
      <c r="E1762">
        <f>HYPERLINK("https://www.ncbi.nlm.nih.gov/gene/?term=OCT77564.1", "OCT77564.1")</f>
        <v/>
      </c>
      <c r="F1762" t="n">
        <v>54</v>
      </c>
      <c r="G1762" t="n">
        <v>113</v>
      </c>
      <c r="H1762" t="n">
        <v>1.04e-33</v>
      </c>
      <c r="I1762" t="inlineStr">
        <is>
          <t>Nr</t>
        </is>
      </c>
      <c r="J1762" t="inlineStr"/>
      <c r="K1762" t="inlineStr"/>
      <c r="L1762" t="inlineStr">
        <is>
          <t>OCT77564.1 hypothetical protein XELAEV_18028656mg [Xenopus laevis]</t>
        </is>
      </c>
      <c r="M1762" t="n">
        <v>359</v>
      </c>
      <c r="N1762" t="inlineStr">
        <is>
          <t>Xenopus laevis</t>
        </is>
      </c>
      <c r="O1762" t="inlineStr">
        <is>
          <t>hypothetical protein XELAEV_18028656mg</t>
        </is>
      </c>
    </row>
    <row r="1763">
      <c r="A1763" t="inlineStr"/>
      <c r="B1763" t="inlineStr"/>
      <c r="C1763" t="inlineStr"/>
      <c r="D1763" t="inlineStr"/>
      <c r="E1763">
        <f>HYPERLINK("https://www.ncbi.nlm.nih.gov/gene/?term=OCT62397.1", "OCT62397.1")</f>
        <v/>
      </c>
      <c r="F1763" t="n">
        <v>43.4</v>
      </c>
      <c r="G1763" t="n">
        <v>166</v>
      </c>
      <c r="H1763" t="n">
        <v>1.19e-31</v>
      </c>
      <c r="I1763" t="inlineStr">
        <is>
          <t>Nr</t>
        </is>
      </c>
      <c r="J1763" t="inlineStr"/>
      <c r="K1763" t="inlineStr"/>
      <c r="L1763" t="inlineStr">
        <is>
          <t>OCT62397.1 hypothetical protein XELAEV_18043478mg [Xenopus laevis]</t>
        </is>
      </c>
      <c r="M1763" t="n">
        <v>1448</v>
      </c>
      <c r="N1763" t="inlineStr">
        <is>
          <t>Xenopus laevis</t>
        </is>
      </c>
      <c r="O1763" t="inlineStr">
        <is>
          <t>hypothetical protein XELAEV_18043478mg</t>
        </is>
      </c>
    </row>
    <row r="1764">
      <c r="A1764" t="inlineStr"/>
      <c r="B1764" t="inlineStr"/>
      <c r="C1764" t="inlineStr"/>
      <c r="D1764" t="inlineStr"/>
      <c r="E1764">
        <f>HYPERLINK("https://www.uniprot.org/uniprotkb/A0A803JPC3/entry", "A0A803JPC3")</f>
        <v/>
      </c>
      <c r="F1764" t="n">
        <v>40.8</v>
      </c>
      <c r="G1764" t="n">
        <v>179</v>
      </c>
      <c r="H1764" t="n">
        <v>1.3e-31</v>
      </c>
      <c r="I1764" t="inlineStr">
        <is>
          <t>TrEMBL</t>
        </is>
      </c>
      <c r="J1764" t="inlineStr"/>
      <c r="K1764" t="inlineStr">
        <is>
          <t>A0A803JPC3_XENTR</t>
        </is>
      </c>
      <c r="L1764" t="inlineStr">
        <is>
          <t>tr|A0A803JPC3|A0A803JPC3_XENTR Reverse transcriptase domain-containing protein OS=Xenopus tropicalis OX=8364 PE=4 SV=1</t>
        </is>
      </c>
      <c r="M1764" t="n">
        <v>631</v>
      </c>
      <c r="N1764" t="inlineStr">
        <is>
          <t>Xenopus tropicalis</t>
        </is>
      </c>
      <c r="O1764" t="inlineStr">
        <is>
          <t>Reverse transcriptase domain-containing protein</t>
        </is>
      </c>
    </row>
    <row r="1765">
      <c r="A1765" t="inlineStr"/>
      <c r="B1765" t="inlineStr"/>
      <c r="C1765" t="inlineStr"/>
      <c r="D1765" t="inlineStr"/>
      <c r="E1765">
        <f>HYPERLINK("https://www.ncbi.nlm.nih.gov/gene/?term=OCT88249.1", "OCT88249.1")</f>
        <v/>
      </c>
      <c r="F1765" t="n">
        <v>54.3</v>
      </c>
      <c r="G1765" t="n">
        <v>105</v>
      </c>
      <c r="H1765" t="n">
        <v>2.87e-29</v>
      </c>
      <c r="I1765" t="inlineStr">
        <is>
          <t>Nr</t>
        </is>
      </c>
      <c r="J1765" t="inlineStr"/>
      <c r="K1765" t="inlineStr"/>
      <c r="L1765" t="inlineStr">
        <is>
          <t>OCT88249.1 hypothetical protein XELAEV_18016880mg [Xenopus laevis]</t>
        </is>
      </c>
      <c r="M1765" t="n">
        <v>433</v>
      </c>
      <c r="N1765" t="inlineStr">
        <is>
          <t>Xenopus laevis</t>
        </is>
      </c>
      <c r="O1765" t="inlineStr">
        <is>
          <t>hypothetical protein XELAEV_18016880mg</t>
        </is>
      </c>
    </row>
    <row r="1766">
      <c r="A1766" t="inlineStr"/>
      <c r="B1766" t="inlineStr"/>
      <c r="C1766" t="inlineStr"/>
      <c r="D1766" t="inlineStr"/>
      <c r="E1766">
        <f>HYPERLINK("https://www.ncbi.nlm.nih.gov/gene/?term=OCT88862.1", "OCT88862.1")</f>
        <v/>
      </c>
      <c r="F1766" t="n">
        <v>50.4</v>
      </c>
      <c r="G1766" t="n">
        <v>113</v>
      </c>
      <c r="H1766" t="n">
        <v>4.4e-29</v>
      </c>
      <c r="I1766" t="inlineStr">
        <is>
          <t>Nr</t>
        </is>
      </c>
      <c r="J1766" t="inlineStr"/>
      <c r="K1766" t="inlineStr"/>
      <c r="L1766" t="inlineStr">
        <is>
          <t>OCT88862.1 hypothetical protein XELAEV_18017492mg [Xenopus laevis]</t>
        </is>
      </c>
      <c r="M1766" t="n">
        <v>393</v>
      </c>
      <c r="N1766" t="inlineStr">
        <is>
          <t>Xenopus laevis</t>
        </is>
      </c>
      <c r="O1766" t="inlineStr">
        <is>
          <t>hypothetical protein XELAEV_18017492mg</t>
        </is>
      </c>
    </row>
    <row r="1767">
      <c r="A1767" t="inlineStr"/>
      <c r="B1767" t="inlineStr"/>
      <c r="C1767" t="inlineStr"/>
      <c r="D1767" t="inlineStr"/>
      <c r="E1767">
        <f>HYPERLINK("https://www.ncbi.nlm.nih.gov/gene/?term=XP_044148864.1", "XP_044148864.1")</f>
        <v/>
      </c>
      <c r="F1767" t="n">
        <v>38.5</v>
      </c>
      <c r="G1767" t="n">
        <v>179</v>
      </c>
      <c r="H1767" t="n">
        <v>8.58e-29</v>
      </c>
      <c r="I1767" t="inlineStr">
        <is>
          <t>Nr</t>
        </is>
      </c>
      <c r="J1767" t="inlineStr"/>
      <c r="K1767" t="inlineStr"/>
      <c r="L1767" t="inlineStr">
        <is>
          <t>XP_044148864.1 protein YAE1 homolog isoform X1 [Bufo gargarizans]</t>
        </is>
      </c>
      <c r="M1767" t="n">
        <v>703</v>
      </c>
      <c r="N1767" t="inlineStr">
        <is>
          <t>Bufo gargarizans</t>
        </is>
      </c>
      <c r="O1767" t="inlineStr">
        <is>
          <t>protein YAE1 homolog isoform X1</t>
        </is>
      </c>
    </row>
    <row r="1768">
      <c r="A1768" t="inlineStr"/>
      <c r="B1768" t="inlineStr"/>
      <c r="C1768" t="inlineStr"/>
      <c r="D1768" t="inlineStr"/>
      <c r="E1768">
        <f>HYPERLINK("https://www.ncbi.nlm.nih.gov/gene/?term=CAH2329928.1", "CAH2329928.1")</f>
        <v/>
      </c>
      <c r="F1768" t="n">
        <v>42.5</v>
      </c>
      <c r="G1768" t="n">
        <v>167</v>
      </c>
      <c r="H1768" t="n">
        <v>2.11e-28</v>
      </c>
      <c r="I1768" t="inlineStr">
        <is>
          <t>Nr</t>
        </is>
      </c>
      <c r="J1768" t="inlineStr"/>
      <c r="K1768" t="inlineStr"/>
      <c r="L1768" t="inlineStr">
        <is>
          <t>CAH2329928.1 Hypothetical predicted protein, partial [Pelobates cultripes]</t>
        </is>
      </c>
      <c r="M1768" t="n">
        <v>535</v>
      </c>
      <c r="N1768" t="inlineStr">
        <is>
          <t>Pelobates cultripes</t>
        </is>
      </c>
      <c r="O1768" t="inlineStr">
        <is>
          <t>Hypothetical predicted protein, partial</t>
        </is>
      </c>
    </row>
    <row r="1769">
      <c r="A1769" t="inlineStr"/>
      <c r="B1769" t="inlineStr"/>
      <c r="C1769" t="inlineStr"/>
      <c r="D1769" t="inlineStr"/>
      <c r="E1769">
        <f>HYPERLINK("https://www.ncbi.nlm.nih.gov/gene/?term=OCT72560.1", "OCT72560.1")</f>
        <v/>
      </c>
      <c r="F1769" t="n">
        <v>59.3</v>
      </c>
      <c r="G1769" t="n">
        <v>86</v>
      </c>
      <c r="H1769" t="n">
        <v>2.74e-26</v>
      </c>
      <c r="I1769" t="inlineStr">
        <is>
          <t>Nr</t>
        </is>
      </c>
      <c r="J1769" t="inlineStr"/>
      <c r="K1769" t="inlineStr"/>
      <c r="L1769" t="inlineStr">
        <is>
          <t>OCT72560.1 hypothetical protein XELAEV_18035541mg [Xenopus laevis]</t>
        </is>
      </c>
      <c r="M1769" t="n">
        <v>461</v>
      </c>
      <c r="N1769" t="inlineStr">
        <is>
          <t>Xenopus laevis</t>
        </is>
      </c>
      <c r="O1769" t="inlineStr">
        <is>
          <t>hypothetical protein XELAEV_18035541mg</t>
        </is>
      </c>
    </row>
    <row r="1770">
      <c r="A1770" t="inlineStr"/>
      <c r="B1770" t="inlineStr"/>
      <c r="C1770" t="inlineStr"/>
      <c r="D1770" t="inlineStr"/>
      <c r="E1770">
        <f>HYPERLINK("https://www.ncbi.nlm.nih.gov/gene/?term=XP_041431933.1", "XP_041431933.1")</f>
        <v/>
      </c>
      <c r="F1770" t="n">
        <v>41</v>
      </c>
      <c r="G1770" t="n">
        <v>166</v>
      </c>
      <c r="H1770" t="n">
        <v>2.82e-26</v>
      </c>
      <c r="I1770" t="inlineStr">
        <is>
          <t>Nr</t>
        </is>
      </c>
      <c r="J1770" t="inlineStr"/>
      <c r="K1770" t="inlineStr"/>
      <c r="L1770" t="inlineStr">
        <is>
          <t>XP_041431933.1 uncharacterized protein LOC121397896 [Xenopus laevis]</t>
        </is>
      </c>
      <c r="M1770" t="n">
        <v>464</v>
      </c>
      <c r="N1770" t="inlineStr">
        <is>
          <t>Xenopus laevis</t>
        </is>
      </c>
      <c r="O1770" t="inlineStr">
        <is>
          <t>uncharacterized protein LOC121397896</t>
        </is>
      </c>
    </row>
    <row r="1771">
      <c r="A1771" t="inlineStr"/>
      <c r="B1771" t="inlineStr"/>
      <c r="C1771" t="inlineStr"/>
      <c r="D1771" t="inlineStr"/>
      <c r="E1771">
        <f>HYPERLINK("https://www.ncbi.nlm.nih.gov/gene/?term=CAH2329718.1", "CAH2329718.1")</f>
        <v/>
      </c>
      <c r="F1771" t="n">
        <v>45.5</v>
      </c>
      <c r="G1771" t="n">
        <v>121</v>
      </c>
      <c r="H1771" t="n">
        <v>5.09e-26</v>
      </c>
      <c r="I1771" t="inlineStr">
        <is>
          <t>Nr</t>
        </is>
      </c>
      <c r="J1771" t="inlineStr"/>
      <c r="K1771" t="inlineStr"/>
      <c r="L1771" t="inlineStr">
        <is>
          <t>CAH2329718.1 Hypothetical predicted protein, partial [Pelobates cultripes]</t>
        </is>
      </c>
      <c r="M1771" t="n">
        <v>458</v>
      </c>
      <c r="N1771" t="inlineStr">
        <is>
          <t>Pelobates cultripes</t>
        </is>
      </c>
      <c r="O1771" t="inlineStr">
        <is>
          <t>Hypothetical predicted protein, partial</t>
        </is>
      </c>
    </row>
    <row r="1772">
      <c r="A1772" t="inlineStr"/>
      <c r="B1772" t="inlineStr"/>
      <c r="C1772" t="inlineStr"/>
      <c r="D1772" t="inlineStr"/>
      <c r="E1772">
        <f>HYPERLINK("https://www.ncbi.nlm.nih.gov/gene/?term=OCT85315.1", "OCT85315.1")</f>
        <v/>
      </c>
      <c r="F1772" t="n">
        <v>45.1</v>
      </c>
      <c r="G1772" t="n">
        <v>113</v>
      </c>
      <c r="H1772" t="n">
        <v>2.69e-25</v>
      </c>
      <c r="I1772" t="inlineStr">
        <is>
          <t>Nr</t>
        </is>
      </c>
      <c r="J1772" t="inlineStr"/>
      <c r="K1772" t="inlineStr"/>
      <c r="L1772" t="inlineStr">
        <is>
          <t>OCT85315.1 hypothetical protein XELAEV_18023480mg [Xenopus laevis]</t>
        </is>
      </c>
      <c r="M1772" t="n">
        <v>334</v>
      </c>
      <c r="N1772" t="inlineStr">
        <is>
          <t>Xenopus laevis</t>
        </is>
      </c>
      <c r="O1772" t="inlineStr">
        <is>
          <t>hypothetical protein XELAEV_18023480mg</t>
        </is>
      </c>
    </row>
    <row r="1773">
      <c r="A1773" t="inlineStr"/>
      <c r="B1773" t="inlineStr"/>
      <c r="C1773" t="inlineStr"/>
      <c r="D1773" t="inlineStr"/>
      <c r="E1773">
        <f>HYPERLINK("https://www.ncbi.nlm.nih.gov/gene/?term=OCT60119.1", "OCT60119.1")</f>
        <v/>
      </c>
      <c r="F1773" t="n">
        <v>37.6</v>
      </c>
      <c r="G1773" t="n">
        <v>170</v>
      </c>
      <c r="H1773" t="n">
        <v>9.05e-25</v>
      </c>
      <c r="I1773" t="inlineStr">
        <is>
          <t>Nr</t>
        </is>
      </c>
      <c r="J1773" t="inlineStr"/>
      <c r="K1773" t="inlineStr"/>
      <c r="L1773" t="inlineStr">
        <is>
          <t>OCT60119.1 hypothetical protein XELAEV_18046140mg [Xenopus laevis]</t>
        </is>
      </c>
      <c r="M1773" t="n">
        <v>494</v>
      </c>
      <c r="N1773" t="inlineStr">
        <is>
          <t>Xenopus laevis</t>
        </is>
      </c>
      <c r="O1773" t="inlineStr">
        <is>
          <t>hypothetical protein XELAEV_18046140mg</t>
        </is>
      </c>
    </row>
    <row r="1774">
      <c r="A1774" t="inlineStr"/>
      <c r="B1774" t="inlineStr"/>
      <c r="C1774" t="inlineStr"/>
      <c r="D1774" t="inlineStr"/>
      <c r="E1774">
        <f>HYPERLINK("https://www.ncbi.nlm.nih.gov/gene/?term=OCT95432.1", "OCT95432.1")</f>
        <v/>
      </c>
      <c r="F1774" t="n">
        <v>43.4</v>
      </c>
      <c r="G1774" t="n">
        <v>136</v>
      </c>
      <c r="H1774" t="n">
        <v>3.6e-24</v>
      </c>
      <c r="I1774" t="inlineStr">
        <is>
          <t>Nr</t>
        </is>
      </c>
      <c r="J1774" t="inlineStr"/>
      <c r="K1774" t="inlineStr"/>
      <c r="L1774" t="inlineStr">
        <is>
          <t>OCT95432.1 hypothetical protein XELAEV_18013121mg [Xenopus laevis]</t>
        </is>
      </c>
      <c r="M1774" t="n">
        <v>242</v>
      </c>
      <c r="N1774" t="inlineStr">
        <is>
          <t>Xenopus laevis</t>
        </is>
      </c>
      <c r="O1774" t="inlineStr">
        <is>
          <t>hypothetical protein XELAEV_18013121mg</t>
        </is>
      </c>
    </row>
    <row r="1775">
      <c r="A1775" t="inlineStr"/>
      <c r="B1775" t="inlineStr"/>
      <c r="C1775" t="inlineStr"/>
      <c r="D1775" t="inlineStr"/>
      <c r="E1775">
        <f>HYPERLINK("https://www.ncbi.nlm.nih.gov/gene/?term=OCT56295.1", "OCT56295.1")</f>
        <v/>
      </c>
      <c r="F1775" t="n">
        <v>45.1</v>
      </c>
      <c r="G1775" t="n">
        <v>113</v>
      </c>
      <c r="H1775" t="n">
        <v>1.15e-23</v>
      </c>
      <c r="I1775" t="inlineStr">
        <is>
          <t>Nr</t>
        </is>
      </c>
      <c r="J1775" t="inlineStr"/>
      <c r="K1775" t="inlineStr"/>
      <c r="L1775" t="inlineStr">
        <is>
          <t>OCT56295.1 hypothetical protein XELAEV_18000319mg [Xenopus laevis]</t>
        </is>
      </c>
      <c r="M1775" t="n">
        <v>808</v>
      </c>
      <c r="N1775" t="inlineStr">
        <is>
          <t>Xenopus laevis</t>
        </is>
      </c>
      <c r="O1775" t="inlineStr">
        <is>
          <t>hypothetical protein XELAEV_18000319mg</t>
        </is>
      </c>
    </row>
    <row r="1776">
      <c r="A1776" t="inlineStr"/>
      <c r="B1776" t="inlineStr"/>
      <c r="C1776" t="inlineStr"/>
      <c r="D1776" t="inlineStr"/>
      <c r="E1776">
        <f>HYPERLINK("https://www.ncbi.nlm.nih.gov/gene/?term=XP_040177478.1", "XP_040177478.1")</f>
        <v/>
      </c>
      <c r="F1776" t="n">
        <v>40.4</v>
      </c>
      <c r="G1776" t="n">
        <v>166</v>
      </c>
      <c r="H1776" t="n">
        <v>3.99e-23</v>
      </c>
      <c r="I1776" t="inlineStr">
        <is>
          <t>Nr</t>
        </is>
      </c>
      <c r="J1776" t="inlineStr"/>
      <c r="K1776" t="inlineStr"/>
      <c r="L1776" t="inlineStr">
        <is>
          <t>XP_040177478.1 zinc finger protein 420-like [Rana temporaria]</t>
        </is>
      </c>
      <c r="M1776" t="n">
        <v>847</v>
      </c>
      <c r="N1776" t="inlineStr">
        <is>
          <t>Rana temporaria</t>
        </is>
      </c>
      <c r="O1776" t="inlineStr">
        <is>
          <t>zinc finger protein 420-like</t>
        </is>
      </c>
    </row>
    <row r="1777">
      <c r="A1777" t="inlineStr"/>
      <c r="B1777" t="inlineStr"/>
      <c r="C1777" t="inlineStr"/>
      <c r="D1777" t="inlineStr"/>
      <c r="E1777">
        <f>HYPERLINK("https://www.ncbi.nlm.nih.gov/gene/?term=OCT70436.1", "OCT70436.1")</f>
        <v/>
      </c>
      <c r="F1777" t="n">
        <v>37.1</v>
      </c>
      <c r="G1777" t="n">
        <v>170</v>
      </c>
      <c r="H1777" t="n">
        <v>5.689999999999999e-23</v>
      </c>
      <c r="I1777" t="inlineStr">
        <is>
          <t>Nr</t>
        </is>
      </c>
      <c r="J1777" t="inlineStr"/>
      <c r="K1777" t="inlineStr"/>
      <c r="L1777" t="inlineStr">
        <is>
          <t>OCT70436.1 hypothetical protein XELAEV_18037355mg [Xenopus laevis]</t>
        </is>
      </c>
      <c r="M1777" t="n">
        <v>493</v>
      </c>
      <c r="N1777" t="inlineStr">
        <is>
          <t>Xenopus laevis</t>
        </is>
      </c>
      <c r="O1777" t="inlineStr">
        <is>
          <t>hypothetical protein XELAEV_18037355mg</t>
        </is>
      </c>
    </row>
    <row r="1778">
      <c r="A1778" t="inlineStr"/>
      <c r="B1778" t="inlineStr"/>
      <c r="C1778" t="inlineStr"/>
      <c r="D1778" t="inlineStr"/>
      <c r="E1778">
        <f>HYPERLINK("https://www.ncbi.nlm.nih.gov/gene/?term=OCT89306.1", "OCT89306.1")</f>
        <v/>
      </c>
      <c r="F1778" t="n">
        <v>39.3</v>
      </c>
      <c r="G1778" t="n">
        <v>183</v>
      </c>
      <c r="H1778" t="n">
        <v>7.09e-23</v>
      </c>
      <c r="I1778" t="inlineStr">
        <is>
          <t>Nr</t>
        </is>
      </c>
      <c r="J1778" t="inlineStr"/>
      <c r="K1778" t="inlineStr"/>
      <c r="L1778" t="inlineStr">
        <is>
          <t>OCT89306.1 hypothetical protein XELAEV_18017926mg [Xenopus laevis]</t>
        </is>
      </c>
      <c r="M1778" t="n">
        <v>723</v>
      </c>
      <c r="N1778" t="inlineStr">
        <is>
          <t>Xenopus laevis</t>
        </is>
      </c>
      <c r="O1778" t="inlineStr">
        <is>
          <t>hypothetical protein XELAEV_18017926mg</t>
        </is>
      </c>
    </row>
    <row r="1779">
      <c r="A1779" t="inlineStr"/>
      <c r="B1779" t="inlineStr"/>
      <c r="C1779" t="inlineStr"/>
      <c r="D1779" t="inlineStr"/>
      <c r="E1779">
        <f>HYPERLINK("https://www.ncbi.nlm.nih.gov/gene/?term=XP_013889701.1", "XP_013889701.1")</f>
        <v/>
      </c>
      <c r="F1779" t="n">
        <v>38.4</v>
      </c>
      <c r="G1779" t="n">
        <v>172</v>
      </c>
      <c r="H1779" t="n">
        <v>7.419999999999999e-23</v>
      </c>
      <c r="I1779" t="inlineStr">
        <is>
          <t>Nr</t>
        </is>
      </c>
      <c r="J1779" t="inlineStr"/>
      <c r="K1779" t="inlineStr"/>
      <c r="L1779" t="inlineStr">
        <is>
          <t>XP_013889701.1 PREDICTED: uncharacterized protein LOC106536906 [Austrofundulus limnaeus]</t>
        </is>
      </c>
      <c r="M1779" t="n">
        <v>379</v>
      </c>
      <c r="N1779" t="inlineStr">
        <is>
          <t>Austrofundulus limnaeus</t>
        </is>
      </c>
      <c r="O1779" t="inlineStr">
        <is>
          <t>PREDICTED: uncharacterized protein LOC106536906</t>
        </is>
      </c>
    </row>
    <row r="1780">
      <c r="A1780" t="inlineStr">
        <is>
          <t>NODE_147691_length_1100_cov_94.201355_g68373_i0</t>
        </is>
      </c>
      <c r="B1780" t="inlineStr">
        <is>
          <t>bombina_pachypus_blastx</t>
        </is>
      </c>
      <c r="C1780" t="n">
        <v>-2.35821465745734</v>
      </c>
      <c r="D1780" t="n">
        <v>0.0207205872605217</v>
      </c>
      <c r="E1780">
        <f>HYPERLINK("https://www.ncbi.nlm.nih.gov/gene/?term=KAE8611192.1", "KAE8611192.1")</f>
        <v/>
      </c>
      <c r="F1780" t="n">
        <v>67.40000000000001</v>
      </c>
      <c r="G1780" t="n">
        <v>95</v>
      </c>
      <c r="H1780" t="n">
        <v>9.140000000000001e-31</v>
      </c>
      <c r="I1780" t="inlineStr">
        <is>
          <t>Nr</t>
        </is>
      </c>
      <c r="J1780" t="inlineStr"/>
      <c r="K1780" t="inlineStr"/>
      <c r="L1780" t="inlineStr">
        <is>
          <t>KAE8611192.1 hypothetical protein XENTR_v10012361 [Xenopus tropicalis]</t>
        </is>
      </c>
      <c r="M1780" t="n">
        <v>310</v>
      </c>
      <c r="N1780" t="inlineStr">
        <is>
          <t>Xenopus tropicalis</t>
        </is>
      </c>
      <c r="O1780" t="inlineStr">
        <is>
          <t>hypothetical protein XENTR_v10012361</t>
        </is>
      </c>
    </row>
    <row r="1781">
      <c r="A1781" t="inlineStr"/>
      <c r="B1781" t="inlineStr"/>
      <c r="C1781" t="inlineStr"/>
      <c r="D1781" t="inlineStr"/>
      <c r="E1781">
        <f>HYPERLINK("https://www.ncbi.nlm.nih.gov/gene/?term=KAE8611191.1", "KAE8611191.1")</f>
        <v/>
      </c>
      <c r="F1781" t="n">
        <v>67.40000000000001</v>
      </c>
      <c r="G1781" t="n">
        <v>95</v>
      </c>
      <c r="H1781" t="n">
        <v>1.25e-30</v>
      </c>
      <c r="I1781" t="inlineStr">
        <is>
          <t>Nr</t>
        </is>
      </c>
      <c r="J1781" t="inlineStr"/>
      <c r="K1781" t="inlineStr"/>
      <c r="L1781" t="inlineStr">
        <is>
          <t>KAE8611191.1 hypothetical protein XENTR_v10012361 [Xenopus tropicalis]</t>
        </is>
      </c>
      <c r="M1781" t="n">
        <v>326</v>
      </c>
      <c r="N1781" t="inlineStr">
        <is>
          <t>Xenopus tropicalis</t>
        </is>
      </c>
      <c r="O1781" t="inlineStr">
        <is>
          <t>hypothetical protein XENTR_v10012361</t>
        </is>
      </c>
    </row>
    <row r="1782">
      <c r="A1782" t="inlineStr"/>
      <c r="B1782" t="inlineStr"/>
      <c r="C1782" t="inlineStr"/>
      <c r="D1782" t="inlineStr"/>
      <c r="E1782">
        <f>HYPERLINK("https://www.uniprot.org/uniprotkb/A0A8J0T363/entry", "A0A8J0T363")</f>
        <v/>
      </c>
      <c r="F1782" t="n">
        <v>67.40000000000001</v>
      </c>
      <c r="G1782" t="n">
        <v>95</v>
      </c>
      <c r="H1782" t="n">
        <v>1.84e-30</v>
      </c>
      <c r="I1782" t="inlineStr">
        <is>
          <t>TrEMBL</t>
        </is>
      </c>
      <c r="J1782" t="inlineStr">
        <is>
          <t>rab11fip4l</t>
        </is>
      </c>
      <c r="K1782" t="inlineStr">
        <is>
          <t>A0A8J0T363_XENTR</t>
        </is>
      </c>
      <c r="L1782" t="inlineStr">
        <is>
          <t>tr|A0A8J0T363|A0A8J0T363_XENTR rab11 family-interacting protein 4-like isoform X2 OS=Xenopus tropicalis OX=8364 GN=rab11fip4l PE=4 SV=1</t>
        </is>
      </c>
      <c r="M1782" t="n">
        <v>406</v>
      </c>
      <c r="N1782" t="inlineStr">
        <is>
          <t>Xenopus tropicalis</t>
        </is>
      </c>
      <c r="O1782" t="inlineStr">
        <is>
          <t>rab11 family-interacting protein 4-like isoform X2</t>
        </is>
      </c>
    </row>
    <row r="1783">
      <c r="A1783" t="inlineStr"/>
      <c r="B1783" t="inlineStr"/>
      <c r="C1783" t="inlineStr"/>
      <c r="D1783" t="inlineStr"/>
      <c r="E1783">
        <f>HYPERLINK("https://www.uniprot.org/uniprotkb/A0A8J0QGM9/entry", "A0A8J0QGM9")</f>
        <v/>
      </c>
      <c r="F1783" t="n">
        <v>67.40000000000001</v>
      </c>
      <c r="G1783" t="n">
        <v>95</v>
      </c>
      <c r="H1783" t="n">
        <v>1.84e-30</v>
      </c>
      <c r="I1783" t="inlineStr">
        <is>
          <t>TrEMBL</t>
        </is>
      </c>
      <c r="J1783" t="inlineStr">
        <is>
          <t>rab11fip4l</t>
        </is>
      </c>
      <c r="K1783" t="inlineStr">
        <is>
          <t>A0A8J0QGM9_XENTR</t>
        </is>
      </c>
      <c r="L1783" t="inlineStr">
        <is>
          <t>tr|A0A8J0QGM9|A0A8J0QGM9_XENTR rab11 family-interacting protein 4-like OS=Xenopus tropicalis OX=8364 GN=rab11fip4l PE=4 SV=1</t>
        </is>
      </c>
      <c r="M1783" t="n">
        <v>406</v>
      </c>
      <c r="N1783" t="inlineStr">
        <is>
          <t>Xenopus tropicalis</t>
        </is>
      </c>
      <c r="O1783" t="inlineStr">
        <is>
          <t>rab11 family-interacting protein 4-like</t>
        </is>
      </c>
    </row>
    <row r="1784">
      <c r="A1784" t="inlineStr"/>
      <c r="B1784" t="inlineStr"/>
      <c r="C1784" t="inlineStr"/>
      <c r="D1784" t="inlineStr"/>
      <c r="E1784">
        <f>HYPERLINK("https://www.uniprot.org/uniprotkb/A9ULN1/entry", "A9ULN1")</f>
        <v/>
      </c>
      <c r="F1784" t="n">
        <v>67.40000000000001</v>
      </c>
      <c r="G1784" t="n">
        <v>95</v>
      </c>
      <c r="H1784" t="n">
        <v>2.23e-30</v>
      </c>
      <c r="I1784" t="inlineStr">
        <is>
          <t>TrEMBL</t>
        </is>
      </c>
      <c r="J1784" t="inlineStr">
        <is>
          <t>LOC100135220</t>
        </is>
      </c>
      <c r="K1784" t="inlineStr">
        <is>
          <t>A9ULN1_XENTR</t>
        </is>
      </c>
      <c r="L1784" t="inlineStr">
        <is>
          <t>tr|A9ULN1|A9ULN1_XENTR LOC100135220 protein (Fragment) OS=Xenopus tropicalis OX=8364 GN=LOC100135220 PE=2 SV=1</t>
        </is>
      </c>
      <c r="M1784" t="n">
        <v>420</v>
      </c>
      <c r="N1784" t="inlineStr">
        <is>
          <t>Xenopus tropicalis</t>
        </is>
      </c>
      <c r="O1784" t="inlineStr">
        <is>
          <t>LOC100135220 protein (Fragment)</t>
        </is>
      </c>
    </row>
    <row r="1785">
      <c r="A1785" t="inlineStr"/>
      <c r="B1785" t="inlineStr"/>
      <c r="C1785" t="inlineStr"/>
      <c r="D1785" t="inlineStr"/>
      <c r="E1785">
        <f>HYPERLINK("https://www.uniprot.org/uniprotkb/A0A6I8PZG5/entry", "A0A6I8PZG5")</f>
        <v/>
      </c>
      <c r="F1785" t="n">
        <v>67.40000000000001</v>
      </c>
      <c r="G1785" t="n">
        <v>95</v>
      </c>
      <c r="H1785" t="n">
        <v>2.42e-30</v>
      </c>
      <c r="I1785" t="inlineStr">
        <is>
          <t>TrEMBL</t>
        </is>
      </c>
      <c r="J1785" t="inlineStr">
        <is>
          <t>rab11fip4l</t>
        </is>
      </c>
      <c r="K1785" t="inlineStr">
        <is>
          <t>A0A6I8PZG5_XENTR</t>
        </is>
      </c>
      <c r="L1785" t="inlineStr">
        <is>
          <t>tr|A0A6I8PZG5|A0A6I8PZG5_XENTR RAB11 family interacting protein 4 (class II) like OS=Xenopus tropicalis OX=8364 GN=rab11fip4l PE=4 SV=2</t>
        </is>
      </c>
      <c r="M1785" t="n">
        <v>426</v>
      </c>
      <c r="N1785" t="inlineStr">
        <is>
          <t>Xenopus tropicalis</t>
        </is>
      </c>
      <c r="O1785" t="inlineStr">
        <is>
          <t>RAB11 family interacting protein 4 (class II) like</t>
        </is>
      </c>
    </row>
    <row r="1786">
      <c r="A1786" t="inlineStr"/>
      <c r="B1786" t="inlineStr"/>
      <c r="C1786" t="inlineStr"/>
      <c r="D1786" t="inlineStr"/>
      <c r="E1786">
        <f>HYPERLINK("https://www.uniprot.org/uniprotkb/B0BMB7/entry", "B0BMB7")</f>
        <v/>
      </c>
      <c r="F1786" t="n">
        <v>67.40000000000001</v>
      </c>
      <c r="G1786" t="n">
        <v>95</v>
      </c>
      <c r="H1786" t="n">
        <v>2.48e-30</v>
      </c>
      <c r="I1786" t="inlineStr">
        <is>
          <t>TrEMBL</t>
        </is>
      </c>
      <c r="J1786" t="inlineStr">
        <is>
          <t>rab11fip4l</t>
        </is>
      </c>
      <c r="K1786" t="inlineStr">
        <is>
          <t>B0BMB7_XENTR</t>
        </is>
      </c>
      <c r="L1786" t="inlineStr">
        <is>
          <t>tr|B0BMB7|B0BMB7_XENTR LOC100135220 protein (Fragment) OS=Xenopus tropicalis OX=8364 GN=rab11fip4l PE=2 SV=1</t>
        </is>
      </c>
      <c r="M1786" t="n">
        <v>428</v>
      </c>
      <c r="N1786" t="inlineStr">
        <is>
          <t>Xenopus tropicalis</t>
        </is>
      </c>
      <c r="O1786" t="inlineStr">
        <is>
          <t>LOC100135220 protein (Fragment)</t>
        </is>
      </c>
    </row>
    <row r="1787">
      <c r="A1787" t="inlineStr"/>
      <c r="B1787" t="inlineStr"/>
      <c r="C1787" t="inlineStr"/>
      <c r="D1787" t="inlineStr"/>
      <c r="E1787">
        <f>HYPERLINK("https://www.uniprot.org/uniprotkb/A0A6I8QDH9/entry", "A0A6I8QDH9")</f>
        <v/>
      </c>
      <c r="F1787" t="n">
        <v>67.40000000000001</v>
      </c>
      <c r="G1787" t="n">
        <v>95</v>
      </c>
      <c r="H1787" t="n">
        <v>3.31e-30</v>
      </c>
      <c r="I1787" t="inlineStr">
        <is>
          <t>TrEMBL</t>
        </is>
      </c>
      <c r="J1787" t="inlineStr">
        <is>
          <t>rab11fip4l</t>
        </is>
      </c>
      <c r="K1787" t="inlineStr">
        <is>
          <t>A0A6I8QDH9_XENTR</t>
        </is>
      </c>
      <c r="L1787" t="inlineStr">
        <is>
          <t>tr|A0A6I8QDH9|A0A6I8QDH9_XENTR RAB11 family interacting protein 4 (class II) like OS=Xenopus tropicalis OX=8364 GN=rab11fip4l PE=4 SV=2</t>
        </is>
      </c>
      <c r="M1787" t="n">
        <v>452</v>
      </c>
      <c r="N1787" t="inlineStr">
        <is>
          <t>Xenopus tropicalis</t>
        </is>
      </c>
      <c r="O1787" t="inlineStr">
        <is>
          <t>RAB11 family interacting protein 4 (class II) like</t>
        </is>
      </c>
    </row>
    <row r="1788">
      <c r="A1788" t="inlineStr"/>
      <c r="B1788" t="inlineStr"/>
      <c r="C1788" t="inlineStr"/>
      <c r="D1788" t="inlineStr"/>
      <c r="E1788">
        <f>HYPERLINK("https://www.ncbi.nlm.nih.gov/gene/?term=NP_001186824.2", "NP_001186824.2")</f>
        <v/>
      </c>
      <c r="F1788" t="n">
        <v>67.40000000000001</v>
      </c>
      <c r="G1788" t="n">
        <v>95</v>
      </c>
      <c r="H1788" t="n">
        <v>4.739999999999999e-30</v>
      </c>
      <c r="I1788" t="inlineStr">
        <is>
          <t>Nr</t>
        </is>
      </c>
      <c r="J1788" t="inlineStr"/>
      <c r="K1788" t="inlineStr"/>
      <c r="L1788" t="inlineStr">
        <is>
          <t>NP_001186824.2 rab11 family-interacting protein 4-like [Xenopus tropicalis]</t>
        </is>
      </c>
      <c r="M1788" t="n">
        <v>406</v>
      </c>
      <c r="N1788" t="inlineStr">
        <is>
          <t>Xenopus tropicalis</t>
        </is>
      </c>
      <c r="O1788" t="inlineStr">
        <is>
          <t>rab11 family-interacting protein 4-like</t>
        </is>
      </c>
    </row>
    <row r="1789">
      <c r="A1789" t="inlineStr"/>
      <c r="B1789" t="inlineStr"/>
      <c r="C1789" t="inlineStr"/>
      <c r="D1789" t="inlineStr"/>
      <c r="E1789">
        <f>HYPERLINK("https://www.ncbi.nlm.nih.gov/gene/?term=KAE8611189.1", "KAE8611189.1")</f>
        <v/>
      </c>
      <c r="F1789" t="n">
        <v>67.40000000000001</v>
      </c>
      <c r="G1789" t="n">
        <v>95</v>
      </c>
      <c r="H1789" t="n">
        <v>4.87e-30</v>
      </c>
      <c r="I1789" t="inlineStr">
        <is>
          <t>Nr</t>
        </is>
      </c>
      <c r="J1789" t="inlineStr"/>
      <c r="K1789" t="inlineStr"/>
      <c r="L1789" t="inlineStr">
        <is>
          <t>KAE8611189.1 hypothetical protein XENTR_v10012361 [Xenopus tropicalis]</t>
        </is>
      </c>
      <c r="M1789" t="n">
        <v>408</v>
      </c>
      <c r="N1789" t="inlineStr">
        <is>
          <t>Xenopus tropicalis</t>
        </is>
      </c>
      <c r="O1789" t="inlineStr">
        <is>
          <t>hypothetical protein XENTR_v10012361</t>
        </is>
      </c>
    </row>
    <row r="1790">
      <c r="A1790" t="inlineStr"/>
      <c r="B1790" t="inlineStr"/>
      <c r="C1790" t="inlineStr"/>
      <c r="D1790" t="inlineStr"/>
      <c r="E1790">
        <f>HYPERLINK("https://www.ncbi.nlm.nih.gov/gene/?term=AAI57323.1", "AAI57323.1")</f>
        <v/>
      </c>
      <c r="F1790" t="n">
        <v>67.40000000000001</v>
      </c>
      <c r="G1790" t="n">
        <v>95</v>
      </c>
      <c r="H1790" t="n">
        <v>5.739999999999999e-30</v>
      </c>
      <c r="I1790" t="inlineStr">
        <is>
          <t>Nr</t>
        </is>
      </c>
      <c r="J1790" t="inlineStr"/>
      <c r="K1790" t="inlineStr"/>
      <c r="L1790" t="inlineStr">
        <is>
          <t>AAI57323.1 LOC100135220 protein, partial [Xenopus tropicalis]</t>
        </is>
      </c>
      <c r="M1790" t="n">
        <v>420</v>
      </c>
      <c r="N1790" t="inlineStr">
        <is>
          <t>Xenopus tropicalis</t>
        </is>
      </c>
      <c r="O1790" t="inlineStr">
        <is>
          <t>LOC100135220 protein, partial</t>
        </is>
      </c>
    </row>
    <row r="1791">
      <c r="A1791" t="inlineStr"/>
      <c r="B1791" t="inlineStr"/>
      <c r="C1791" t="inlineStr"/>
      <c r="D1791" t="inlineStr"/>
      <c r="E1791">
        <f>HYPERLINK("https://www.ncbi.nlm.nih.gov/gene/?term=XP_031755676.1", "XP_031755676.1")</f>
        <v/>
      </c>
      <c r="F1791" t="n">
        <v>67.40000000000001</v>
      </c>
      <c r="G1791" t="n">
        <v>95</v>
      </c>
      <c r="H1791" t="n">
        <v>6.209999999999999e-30</v>
      </c>
      <c r="I1791" t="inlineStr">
        <is>
          <t>Nr</t>
        </is>
      </c>
      <c r="J1791" t="inlineStr"/>
      <c r="K1791" t="inlineStr"/>
      <c r="L1791" t="inlineStr">
        <is>
          <t>XP_031755676.1 rab11 family-interacting protein 4-like isoform X1 [Xenopus tropicalis]</t>
        </is>
      </c>
      <c r="M1791" t="n">
        <v>426</v>
      </c>
      <c r="N1791" t="inlineStr">
        <is>
          <t>Xenopus tropicalis</t>
        </is>
      </c>
      <c r="O1791" t="inlineStr">
        <is>
          <t>rab11 family-interacting protein 4-like isoform X1</t>
        </is>
      </c>
    </row>
    <row r="1792">
      <c r="A1792" t="inlineStr"/>
      <c r="B1792" t="inlineStr"/>
      <c r="C1792" t="inlineStr"/>
      <c r="D1792" t="inlineStr"/>
      <c r="E1792">
        <f>HYPERLINK("https://www.ncbi.nlm.nih.gov/gene/?term=AAI58362.1", "AAI58362.1")</f>
        <v/>
      </c>
      <c r="F1792" t="n">
        <v>67.40000000000001</v>
      </c>
      <c r="G1792" t="n">
        <v>95</v>
      </c>
      <c r="H1792" t="n">
        <v>6.37e-30</v>
      </c>
      <c r="I1792" t="inlineStr">
        <is>
          <t>Nr</t>
        </is>
      </c>
      <c r="J1792" t="inlineStr"/>
      <c r="K1792" t="inlineStr"/>
      <c r="L1792" t="inlineStr">
        <is>
          <t>AAI58362.1 LOC100135220 protein, partial [Xenopus tropicalis]</t>
        </is>
      </c>
      <c r="M1792" t="n">
        <v>428</v>
      </c>
      <c r="N1792" t="inlineStr">
        <is>
          <t>Xenopus tropicalis</t>
        </is>
      </c>
      <c r="O1792" t="inlineStr">
        <is>
          <t>LOC100135220 protein, partial</t>
        </is>
      </c>
    </row>
    <row r="1793">
      <c r="A1793" t="inlineStr"/>
      <c r="B1793" t="inlineStr"/>
      <c r="C1793" t="inlineStr"/>
      <c r="D1793" t="inlineStr"/>
      <c r="E1793">
        <f>HYPERLINK("https://www.uniprot.org/uniprotkb/A0A8J0V7H0/entry", "A0A8J0V7H0")</f>
        <v/>
      </c>
      <c r="F1793" t="n">
        <v>68.09999999999999</v>
      </c>
      <c r="G1793" t="n">
        <v>94</v>
      </c>
      <c r="H1793" t="n">
        <v>1.52e-29</v>
      </c>
      <c r="I1793" t="inlineStr">
        <is>
          <t>TrEMBL</t>
        </is>
      </c>
      <c r="J1793" t="inlineStr">
        <is>
          <t>LOC108715723</t>
        </is>
      </c>
      <c r="K1793" t="inlineStr">
        <is>
          <t>A0A8J0V7H0_XENLA</t>
        </is>
      </c>
      <c r="L1793" t="inlineStr">
        <is>
          <t>tr|A0A8J0V7H0|A0A8J0V7H0_XENLA rab11 family-interacting protein 4B isoform X2 OS=Xenopus laevis OX=8355 GN=LOC108715723 PE=4 SV=1</t>
        </is>
      </c>
      <c r="M1793" t="n">
        <v>414</v>
      </c>
      <c r="N1793" t="inlineStr">
        <is>
          <t>Xenopus laevis</t>
        </is>
      </c>
      <c r="O1793" t="inlineStr">
        <is>
          <t>rab11 family-interacting protein 4B isoform X2</t>
        </is>
      </c>
    </row>
    <row r="1794">
      <c r="A1794" t="inlineStr"/>
      <c r="B1794" t="inlineStr"/>
      <c r="C1794" t="inlineStr"/>
      <c r="D1794" t="inlineStr"/>
      <c r="E1794">
        <f>HYPERLINK("https://www.uniprot.org/uniprotkb/A0A1L8GGP9/entry", "A0A1L8GGP9")</f>
        <v/>
      </c>
      <c r="F1794" t="n">
        <v>68.09999999999999</v>
      </c>
      <c r="G1794" t="n">
        <v>94</v>
      </c>
      <c r="H1794" t="n">
        <v>2.02e-29</v>
      </c>
      <c r="I1794" t="inlineStr">
        <is>
          <t>TrEMBL</t>
        </is>
      </c>
      <c r="J1794" t="inlineStr">
        <is>
          <t>LOC108715723</t>
        </is>
      </c>
      <c r="K1794" t="inlineStr">
        <is>
          <t>A0A1L8GGP9_XENLA</t>
        </is>
      </c>
      <c r="L1794" t="inlineStr">
        <is>
          <t>tr|A0A1L8GGP9|A0A1L8GGP9_XENLA rab11 family-interacting protein 4B isoform X1 OS=Xenopus laevis OX=8355 GN=LOC108715723 PE=4 SV=1</t>
        </is>
      </c>
      <c r="M1794" t="n">
        <v>437</v>
      </c>
      <c r="N1794" t="inlineStr">
        <is>
          <t>Xenopus laevis</t>
        </is>
      </c>
      <c r="O1794" t="inlineStr">
        <is>
          <t>rab11 family-interacting protein 4B isoform X1</t>
        </is>
      </c>
    </row>
    <row r="1795">
      <c r="A1795" t="inlineStr"/>
      <c r="B1795" t="inlineStr"/>
      <c r="C1795" t="inlineStr"/>
      <c r="D1795" t="inlineStr"/>
      <c r="E1795">
        <f>HYPERLINK("https://www.ncbi.nlm.nih.gov/gene/?term=XP_018116626.1", "XP_018116626.1")</f>
        <v/>
      </c>
      <c r="F1795" t="n">
        <v>68.09999999999999</v>
      </c>
      <c r="G1795" t="n">
        <v>94</v>
      </c>
      <c r="H1795" t="n">
        <v>3.91e-29</v>
      </c>
      <c r="I1795" t="inlineStr">
        <is>
          <t>Nr</t>
        </is>
      </c>
      <c r="J1795" t="inlineStr"/>
      <c r="K1795" t="inlineStr"/>
      <c r="L1795" t="inlineStr">
        <is>
          <t>XP_018116626.1 rab11 family-interacting protein 4B isoform X2 [Xenopus laevis]</t>
        </is>
      </c>
      <c r="M1795" t="n">
        <v>414</v>
      </c>
      <c r="N1795" t="inlineStr">
        <is>
          <t>Xenopus laevis</t>
        </is>
      </c>
      <c r="O1795" t="inlineStr">
        <is>
          <t>rab11 family-interacting protein 4B isoform X2</t>
        </is>
      </c>
    </row>
    <row r="1796">
      <c r="A1796" t="inlineStr"/>
      <c r="B1796" t="inlineStr"/>
      <c r="C1796" t="inlineStr"/>
      <c r="D1796" t="inlineStr"/>
      <c r="E1796">
        <f>HYPERLINK("https://www.ncbi.nlm.nih.gov/gene/?term=XP_041417523.1", "XP_041417523.1")</f>
        <v/>
      </c>
      <c r="F1796" t="n">
        <v>68.09999999999999</v>
      </c>
      <c r="G1796" t="n">
        <v>94</v>
      </c>
      <c r="H1796" t="n">
        <v>5.2e-29</v>
      </c>
      <c r="I1796" t="inlineStr">
        <is>
          <t>Nr</t>
        </is>
      </c>
      <c r="J1796" t="inlineStr"/>
      <c r="K1796" t="inlineStr"/>
      <c r="L1796" t="inlineStr">
        <is>
          <t>XP_041417523.1 rab11 family-interacting protein 4B isoform X1 [Xenopus laevis]</t>
        </is>
      </c>
      <c r="M1796" t="n">
        <v>437</v>
      </c>
      <c r="N1796" t="inlineStr">
        <is>
          <t>Xenopus laevis</t>
        </is>
      </c>
      <c r="O1796" t="inlineStr">
        <is>
          <t>rab11 family-interacting protein 4B isoform X1</t>
        </is>
      </c>
    </row>
    <row r="1797">
      <c r="A1797" t="inlineStr"/>
      <c r="B1797" t="inlineStr"/>
      <c r="C1797" t="inlineStr"/>
      <c r="D1797" t="inlineStr"/>
      <c r="E1797">
        <f>HYPERLINK("https://www.uniprot.org/uniprotkb/A0A1L8GNF1/entry", "A0A1L8GNF1")</f>
        <v/>
      </c>
      <c r="F1797" t="n">
        <v>61.5</v>
      </c>
      <c r="G1797" t="n">
        <v>104</v>
      </c>
      <c r="H1797" t="n">
        <v>1.41e-28</v>
      </c>
      <c r="I1797" t="inlineStr">
        <is>
          <t>TrEMBL</t>
        </is>
      </c>
      <c r="J1797" t="inlineStr">
        <is>
          <t>rab11fip4l.L</t>
        </is>
      </c>
      <c r="K1797" t="inlineStr">
        <is>
          <t>A0A1L8GNF1_XENLA</t>
        </is>
      </c>
      <c r="L1797" t="inlineStr">
        <is>
          <t>tr|A0A1L8GNF1|A0A1L8GNF1_XENLA RAB11 family interacting protein 4 (Class II) like L homeolog isoform X1 OS=Xenopus laevis OX=8355 GN=rab11fip4l.L PE=4 SV=1</t>
        </is>
      </c>
      <c r="M1797" t="n">
        <v>406</v>
      </c>
      <c r="N1797" t="inlineStr">
        <is>
          <t>Xenopus laevis</t>
        </is>
      </c>
      <c r="O1797" t="inlineStr">
        <is>
          <t>RAB11 family interacting protein 4 (Class II) like L homeolog isoform X1</t>
        </is>
      </c>
    </row>
    <row r="1798">
      <c r="A1798" t="inlineStr"/>
      <c r="B1798" t="inlineStr"/>
      <c r="C1798" t="inlineStr"/>
      <c r="D1798" t="inlineStr"/>
      <c r="E1798">
        <f>HYPERLINK("https://www.ncbi.nlm.nih.gov/gene/?term=XP_018112440.1", "XP_018112440.1")</f>
        <v/>
      </c>
      <c r="F1798" t="n">
        <v>61.5</v>
      </c>
      <c r="G1798" t="n">
        <v>104</v>
      </c>
      <c r="H1798" t="n">
        <v>3.62e-28</v>
      </c>
      <c r="I1798" t="inlineStr">
        <is>
          <t>Nr</t>
        </is>
      </c>
      <c r="J1798" t="inlineStr"/>
      <c r="K1798" t="inlineStr"/>
      <c r="L1798" t="inlineStr">
        <is>
          <t>XP_018112440.1 RAB11 family interacting protein 4 (class II) like L homeolog isoform X1 [Xenopus laevis]</t>
        </is>
      </c>
      <c r="M1798" t="n">
        <v>406</v>
      </c>
      <c r="N1798" t="inlineStr">
        <is>
          <t>Xenopus laevis</t>
        </is>
      </c>
      <c r="O1798" t="inlineStr">
        <is>
          <t>RAB11 family interacting protein 4 (class II) like L homeolog isoform X1</t>
        </is>
      </c>
    </row>
    <row r="1799">
      <c r="A1799" t="inlineStr"/>
      <c r="B1799" t="inlineStr"/>
      <c r="C1799" t="inlineStr"/>
      <c r="D1799" t="inlineStr"/>
      <c r="E1799">
        <f>HYPERLINK("https://www.ncbi.nlm.nih.gov/gene/?term=XP_029446274.1", "XP_029446274.1")</f>
        <v/>
      </c>
      <c r="F1799" t="n">
        <v>52.8</v>
      </c>
      <c r="G1799" t="n">
        <v>89</v>
      </c>
      <c r="H1799" t="n">
        <v>1.12e-15</v>
      </c>
      <c r="I1799" t="inlineStr">
        <is>
          <t>Nr</t>
        </is>
      </c>
      <c r="J1799" t="inlineStr"/>
      <c r="K1799" t="inlineStr"/>
      <c r="L1799" t="inlineStr">
        <is>
          <t>XP_029446274.1 rab11 family-interacting protein 4-like isoform X1 [Rhinatrema bivittatum]</t>
        </is>
      </c>
      <c r="M1799" t="n">
        <v>411</v>
      </c>
      <c r="N1799" t="inlineStr">
        <is>
          <t>Rhinatrema bivittatum</t>
        </is>
      </c>
      <c r="O1799" t="inlineStr">
        <is>
          <t>rab11 family-interacting protein 4-like isoform X1</t>
        </is>
      </c>
    </row>
    <row r="1800">
      <c r="A1800" t="inlineStr"/>
      <c r="B1800" t="inlineStr"/>
      <c r="C1800" t="inlineStr"/>
      <c r="D1800" t="inlineStr"/>
      <c r="E1800">
        <f>HYPERLINK("https://www.ncbi.nlm.nih.gov/gene/?term=KAJ1174102.1", "KAJ1174102.1")</f>
        <v/>
      </c>
      <c r="F1800" t="n">
        <v>44.7</v>
      </c>
      <c r="G1800" t="n">
        <v>94</v>
      </c>
      <c r="H1800" t="n">
        <v>4.63e-15</v>
      </c>
      <c r="I1800" t="inlineStr">
        <is>
          <t>Nr</t>
        </is>
      </c>
      <c r="J1800" t="inlineStr"/>
      <c r="K1800" t="inlineStr"/>
      <c r="L1800" t="inlineStr">
        <is>
          <t>KAJ1174102.1 hypothetical protein NDU88_005925 [Pleurodeles waltl]</t>
        </is>
      </c>
      <c r="M1800" t="n">
        <v>101</v>
      </c>
      <c r="N1800" t="inlineStr">
        <is>
          <t>Pleurodeles waltl</t>
        </is>
      </c>
      <c r="O1800" t="inlineStr">
        <is>
          <t>hypothetical protein NDU88_005925</t>
        </is>
      </c>
    </row>
    <row r="1801">
      <c r="A1801" t="inlineStr"/>
      <c r="B1801" t="inlineStr"/>
      <c r="C1801" t="inlineStr"/>
      <c r="D1801" t="inlineStr"/>
      <c r="E1801">
        <f>HYPERLINK("https://www.ncbi.nlm.nih.gov/gene/?term=XP_029446275.1", "XP_029446275.1")</f>
        <v/>
      </c>
      <c r="F1801" t="n">
        <v>52.3</v>
      </c>
      <c r="G1801" t="n">
        <v>88</v>
      </c>
      <c r="H1801" t="n">
        <v>5.34e-15</v>
      </c>
      <c r="I1801" t="inlineStr">
        <is>
          <t>Nr</t>
        </is>
      </c>
      <c r="J1801" t="inlineStr"/>
      <c r="K1801" t="inlineStr"/>
      <c r="L1801" t="inlineStr">
        <is>
          <t>XP_029446275.1 rab11 family-interacting protein 4-like isoform X2 [Rhinatrema bivittatum]</t>
        </is>
      </c>
      <c r="M1801" t="n">
        <v>404</v>
      </c>
      <c r="N1801" t="inlineStr">
        <is>
          <t>Rhinatrema bivittatum</t>
        </is>
      </c>
      <c r="O1801" t="inlineStr">
        <is>
          <t>rab11 family-interacting protein 4-like isoform X2</t>
        </is>
      </c>
    </row>
    <row r="1802">
      <c r="A1802" t="inlineStr"/>
      <c r="B1802" t="inlineStr"/>
      <c r="C1802" t="inlineStr"/>
      <c r="D1802" t="inlineStr"/>
      <c r="E1802">
        <f>HYPERLINK("https://www.ncbi.nlm.nih.gov/gene/?term=KAJ1174094.1", "KAJ1174094.1")</f>
        <v/>
      </c>
      <c r="F1802" t="n">
        <v>46.2</v>
      </c>
      <c r="G1802" t="n">
        <v>93</v>
      </c>
      <c r="H1802" t="n">
        <v>4.73e-13</v>
      </c>
      <c r="I1802" t="inlineStr">
        <is>
          <t>Nr</t>
        </is>
      </c>
      <c r="J1802" t="inlineStr"/>
      <c r="K1802" t="inlineStr"/>
      <c r="L1802" t="inlineStr">
        <is>
          <t>KAJ1174094.1 hypothetical protein NDU88_005917 [Pleurodeles waltl]</t>
        </is>
      </c>
      <c r="M1802" t="n">
        <v>421</v>
      </c>
      <c r="N1802" t="inlineStr">
        <is>
          <t>Pleurodeles waltl</t>
        </is>
      </c>
      <c r="O1802" t="inlineStr">
        <is>
          <t>hypothetical protein NDU88_005917</t>
        </is>
      </c>
    </row>
    <row r="1803">
      <c r="A1803" t="inlineStr"/>
      <c r="B1803" t="inlineStr"/>
      <c r="C1803" t="inlineStr"/>
      <c r="D1803" t="inlineStr"/>
      <c r="E1803">
        <f>HYPERLINK("https://www.uniprot.org/uniprotkb/C3YWJ9/entry", "C3YWJ9")</f>
        <v/>
      </c>
      <c r="F1803" t="n">
        <v>42.9</v>
      </c>
      <c r="G1803" t="n">
        <v>98</v>
      </c>
      <c r="H1803" t="n">
        <v>1.3e-12</v>
      </c>
      <c r="I1803" t="inlineStr">
        <is>
          <t>TrEMBL</t>
        </is>
      </c>
      <c r="J1803" t="inlineStr">
        <is>
          <t>BRAFLDRAFT_117386</t>
        </is>
      </c>
      <c r="K1803" t="inlineStr">
        <is>
          <t>C3YWJ9_BRAFL</t>
        </is>
      </c>
      <c r="L1803" t="inlineStr">
        <is>
          <t>tr|C3YWJ9|C3YWJ9_BRAFL FIP-RBD domain-containing protein OS=Branchiostoma floridae OX=7739 GN=BRAFLDRAFT_117386 PE=4 SV=1</t>
        </is>
      </c>
      <c r="M1803" t="n">
        <v>344</v>
      </c>
      <c r="N1803" t="inlineStr">
        <is>
          <t>Branchiostoma floridae</t>
        </is>
      </c>
      <c r="O1803" t="inlineStr">
        <is>
          <t>FIP-RBD domain-containing protein</t>
        </is>
      </c>
    </row>
    <row r="1804">
      <c r="A1804" t="inlineStr"/>
      <c r="B1804" t="inlineStr"/>
      <c r="C1804" t="inlineStr"/>
      <c r="D1804" t="inlineStr"/>
      <c r="E1804">
        <f>HYPERLINK("https://www.uniprot.org/uniprotkb/A0A8K0ADF8/entry", "A0A8K0ADF8")</f>
        <v/>
      </c>
      <c r="F1804" t="n">
        <v>43.8</v>
      </c>
      <c r="G1804" t="n">
        <v>89</v>
      </c>
      <c r="H1804" t="n">
        <v>2.51e-12</v>
      </c>
      <c r="I1804" t="inlineStr">
        <is>
          <t>TrEMBL</t>
        </is>
      </c>
      <c r="J1804" t="inlineStr">
        <is>
          <t>RAB11FIP4</t>
        </is>
      </c>
      <c r="K1804" t="inlineStr">
        <is>
          <t>A0A8K0ADF8_BRALA</t>
        </is>
      </c>
      <c r="L1804" t="inlineStr">
        <is>
          <t>tr|A0A8K0ADF8|A0A8K0ADF8_BRALA RAB11FIP4 protein OS=Branchiostoma lanceolatum OX=7740 GN=RAB11FIP4 PE=4 SV=1</t>
        </is>
      </c>
      <c r="M1804" t="n">
        <v>609</v>
      </c>
      <c r="N1804" t="inlineStr">
        <is>
          <t>Branchiostoma lanceolatum</t>
        </is>
      </c>
      <c r="O1804" t="inlineStr">
        <is>
          <t>RAB11FIP4 protein</t>
        </is>
      </c>
    </row>
    <row r="1805">
      <c r="A1805" t="inlineStr"/>
      <c r="B1805" t="inlineStr"/>
      <c r="C1805" t="inlineStr"/>
      <c r="D1805" t="inlineStr"/>
      <c r="E1805">
        <f>HYPERLINK("https://www.uniprot.org/uniprotkb/A0A8K0AIY1/entry", "A0A8K0AIY1")</f>
        <v/>
      </c>
      <c r="F1805" t="n">
        <v>43.2</v>
      </c>
      <c r="G1805" t="n">
        <v>88</v>
      </c>
      <c r="H1805" t="n">
        <v>4.47e-12</v>
      </c>
      <c r="I1805" t="inlineStr">
        <is>
          <t>TrEMBL</t>
        </is>
      </c>
      <c r="J1805" t="inlineStr">
        <is>
          <t>RAB11FIP4</t>
        </is>
      </c>
      <c r="K1805" t="inlineStr">
        <is>
          <t>A0A8K0AIY1_BRALA</t>
        </is>
      </c>
      <c r="L1805" t="inlineStr">
        <is>
          <t>tr|A0A8K0AIY1|A0A8K0AIY1_BRALA RAB11FIP4 protein OS=Branchiostoma lanceolatum OX=7740 GN=RAB11FIP4 PE=4 SV=1</t>
        </is>
      </c>
      <c r="M1805" t="n">
        <v>467</v>
      </c>
      <c r="N1805" t="inlineStr">
        <is>
          <t>Branchiostoma lanceolatum</t>
        </is>
      </c>
      <c r="O1805" t="inlineStr">
        <is>
          <t>RAB11FIP4 protein</t>
        </is>
      </c>
    </row>
    <row r="1806">
      <c r="A1806" t="inlineStr"/>
      <c r="B1806" t="inlineStr"/>
      <c r="C1806" t="inlineStr"/>
      <c r="D1806" t="inlineStr"/>
      <c r="E1806">
        <f>HYPERLINK("https://www.uniprot.org/uniprotkb/A0A8K0AEJ6/entry", "A0A8K0AEJ6")</f>
        <v/>
      </c>
      <c r="F1806" t="n">
        <v>43.2</v>
      </c>
      <c r="G1806" t="n">
        <v>88</v>
      </c>
      <c r="H1806" t="n">
        <v>4.48e-12</v>
      </c>
      <c r="I1806" t="inlineStr">
        <is>
          <t>TrEMBL</t>
        </is>
      </c>
      <c r="J1806" t="inlineStr">
        <is>
          <t>RAB11FIP4</t>
        </is>
      </c>
      <c r="K1806" t="inlineStr">
        <is>
          <t>A0A8K0AEJ6_BRALA</t>
        </is>
      </c>
      <c r="L1806" t="inlineStr">
        <is>
          <t>tr|A0A8K0AEJ6|A0A8K0AEJ6_BRALA RAB11FIP4 protein OS=Branchiostoma lanceolatum OX=7740 GN=RAB11FIP4 PE=4 SV=1</t>
        </is>
      </c>
      <c r="M1806" t="n">
        <v>471</v>
      </c>
      <c r="N1806" t="inlineStr">
        <is>
          <t>Branchiostoma lanceolatum</t>
        </is>
      </c>
      <c r="O1806" t="inlineStr">
        <is>
          <t>RAB11FIP4 protein</t>
        </is>
      </c>
    </row>
    <row r="1807">
      <c r="A1807" t="inlineStr"/>
      <c r="B1807" t="inlineStr"/>
      <c r="C1807" t="inlineStr"/>
      <c r="D1807" t="inlineStr"/>
      <c r="E1807">
        <f>HYPERLINK("https://www.uniprot.org/uniprotkb/A0A8K0AEA2/entry", "A0A8K0AEA2")</f>
        <v/>
      </c>
      <c r="F1807" t="n">
        <v>43.2</v>
      </c>
      <c r="G1807" t="n">
        <v>88</v>
      </c>
      <c r="H1807" t="n">
        <v>4.51e-12</v>
      </c>
      <c r="I1807" t="inlineStr">
        <is>
          <t>TrEMBL</t>
        </is>
      </c>
      <c r="J1807" t="inlineStr">
        <is>
          <t>RAB11FIP4</t>
        </is>
      </c>
      <c r="K1807" t="inlineStr">
        <is>
          <t>A0A8K0AEA2_BRALA</t>
        </is>
      </c>
      <c r="L1807" t="inlineStr">
        <is>
          <t>tr|A0A8K0AEA2|A0A8K0AEA2_BRALA RAB11FIP4 protein OS=Branchiostoma lanceolatum OX=7740 GN=RAB11FIP4 PE=4 SV=1</t>
        </is>
      </c>
      <c r="M1807" t="n">
        <v>482</v>
      </c>
      <c r="N1807" t="inlineStr">
        <is>
          <t>Branchiostoma lanceolatum</t>
        </is>
      </c>
      <c r="O1807" t="inlineStr">
        <is>
          <t>RAB11FIP4 protein</t>
        </is>
      </c>
    </row>
    <row r="1808">
      <c r="A1808" t="inlineStr"/>
      <c r="B1808" t="inlineStr"/>
      <c r="C1808" t="inlineStr"/>
      <c r="D1808" t="inlineStr"/>
      <c r="E1808">
        <f>HYPERLINK("https://www.uniprot.org/uniprotkb/A0A8K0AFP8/entry", "A0A8K0AFP8")</f>
        <v/>
      </c>
      <c r="F1808" t="n">
        <v>43.2</v>
      </c>
      <c r="G1808" t="n">
        <v>88</v>
      </c>
      <c r="H1808" t="n">
        <v>4.54e-12</v>
      </c>
      <c r="I1808" t="inlineStr">
        <is>
          <t>TrEMBL</t>
        </is>
      </c>
      <c r="J1808" t="inlineStr">
        <is>
          <t>RAB11FIP4</t>
        </is>
      </c>
      <c r="K1808" t="inlineStr">
        <is>
          <t>A0A8K0AFP8_BRALA</t>
        </is>
      </c>
      <c r="L1808" t="inlineStr">
        <is>
          <t>tr|A0A8K0AFP8|A0A8K0AFP8_BRALA RAB11FIP4 protein OS=Branchiostoma lanceolatum OX=7740 GN=RAB11FIP4 PE=4 SV=1</t>
        </is>
      </c>
      <c r="M1808" t="n">
        <v>497</v>
      </c>
      <c r="N1808" t="inlineStr">
        <is>
          <t>Branchiostoma lanceolatum</t>
        </is>
      </c>
      <c r="O1808" t="inlineStr">
        <is>
          <t>RAB11FIP4 protein</t>
        </is>
      </c>
    </row>
    <row r="1809">
      <c r="A1809" t="inlineStr"/>
      <c r="B1809" t="inlineStr"/>
      <c r="C1809" t="inlineStr"/>
      <c r="D1809" t="inlineStr"/>
      <c r="E1809">
        <f>HYPERLINK("https://www.uniprot.org/uniprotkb/A0A8K0ADG1/entry", "A0A8K0ADG1")</f>
        <v/>
      </c>
      <c r="F1809" t="n">
        <v>43.2</v>
      </c>
      <c r="G1809" t="n">
        <v>88</v>
      </c>
      <c r="H1809" t="n">
        <v>4.67e-12</v>
      </c>
      <c r="I1809" t="inlineStr">
        <is>
          <t>TrEMBL</t>
        </is>
      </c>
      <c r="J1809" t="inlineStr">
        <is>
          <t>RAB11FIP4</t>
        </is>
      </c>
      <c r="K1809" t="inlineStr">
        <is>
          <t>A0A8K0ADG1_BRALA</t>
        </is>
      </c>
      <c r="L1809" t="inlineStr">
        <is>
          <t>tr|A0A8K0ADG1|A0A8K0ADG1_BRALA RAB11FIP4 protein OS=Branchiostoma lanceolatum OX=7740 GN=RAB11FIP4 PE=4 SV=1</t>
        </is>
      </c>
      <c r="M1809" t="n">
        <v>613</v>
      </c>
      <c r="N1809" t="inlineStr">
        <is>
          <t>Branchiostoma lanceolatum</t>
        </is>
      </c>
      <c r="O1809" t="inlineStr">
        <is>
          <t>RAB11FIP4 protein</t>
        </is>
      </c>
    </row>
    <row r="1810">
      <c r="A1810" t="inlineStr"/>
      <c r="B1810" t="inlineStr"/>
      <c r="C1810" t="inlineStr"/>
      <c r="D1810" t="inlineStr"/>
      <c r="E1810">
        <f>HYPERLINK("https://www.uniprot.org/uniprotkb/A0A8K0AEP3/entry", "A0A8K0AEP3")</f>
        <v/>
      </c>
      <c r="F1810" t="n">
        <v>43.2</v>
      </c>
      <c r="G1810" t="n">
        <v>88</v>
      </c>
      <c r="H1810" t="n">
        <v>4.69e-12</v>
      </c>
      <c r="I1810" t="inlineStr">
        <is>
          <t>TrEMBL</t>
        </is>
      </c>
      <c r="J1810" t="inlineStr">
        <is>
          <t>RAB11FIP4</t>
        </is>
      </c>
      <c r="K1810" t="inlineStr">
        <is>
          <t>A0A8K0AEP3_BRALA</t>
        </is>
      </c>
      <c r="L1810" t="inlineStr">
        <is>
          <t>tr|A0A8K0AEP3|A0A8K0AEP3_BRALA RAB11FIP4 protein OS=Branchiostoma lanceolatum OX=7740 GN=RAB11FIP4 PE=4 SV=1</t>
        </is>
      </c>
      <c r="M1810" t="n">
        <v>632</v>
      </c>
      <c r="N1810" t="inlineStr">
        <is>
          <t>Branchiostoma lanceolatum</t>
        </is>
      </c>
      <c r="O1810" t="inlineStr">
        <is>
          <t>RAB11FIP4 protein</t>
        </is>
      </c>
    </row>
    <row r="1811">
      <c r="A1811" t="inlineStr"/>
      <c r="B1811" t="inlineStr"/>
      <c r="C1811" t="inlineStr"/>
      <c r="D1811" t="inlineStr"/>
      <c r="E1811">
        <f>HYPERLINK("https://www.ncbi.nlm.nih.gov/gene/?term=CAH1273917.1", "CAH1273917.1")</f>
        <v/>
      </c>
      <c r="F1811" t="n">
        <v>43.8</v>
      </c>
      <c r="G1811" t="n">
        <v>89</v>
      </c>
      <c r="H1811" t="n">
        <v>6.44e-12</v>
      </c>
      <c r="I1811" t="inlineStr">
        <is>
          <t>Nr</t>
        </is>
      </c>
      <c r="J1811" t="inlineStr"/>
      <c r="K1811" t="inlineStr"/>
      <c r="L1811" t="inlineStr">
        <is>
          <t>CAH1273917.1 RAB11FIP4 [Branchiostoma lanceolatum]</t>
        </is>
      </c>
      <c r="M1811" t="n">
        <v>609</v>
      </c>
      <c r="N1811" t="inlineStr">
        <is>
          <t>Branchiostoma lanceolatum</t>
        </is>
      </c>
      <c r="O1811" t="inlineStr">
        <is>
          <t>RAB11FIP4</t>
        </is>
      </c>
    </row>
    <row r="1812">
      <c r="A1812" t="inlineStr"/>
      <c r="B1812" t="inlineStr"/>
      <c r="C1812" t="inlineStr"/>
      <c r="D1812" t="inlineStr"/>
      <c r="E1812">
        <f>HYPERLINK("https://www.ncbi.nlm.nih.gov/gene/?term=CAH1273923.1", "CAH1273923.1")</f>
        <v/>
      </c>
      <c r="F1812" t="n">
        <v>43.2</v>
      </c>
      <c r="G1812" t="n">
        <v>88</v>
      </c>
      <c r="H1812" t="n">
        <v>1.15e-11</v>
      </c>
      <c r="I1812" t="inlineStr">
        <is>
          <t>Nr</t>
        </is>
      </c>
      <c r="J1812" t="inlineStr"/>
      <c r="K1812" t="inlineStr"/>
      <c r="L1812" t="inlineStr">
        <is>
          <t>CAH1273923.1 RAB11FIP4 [Branchiostoma lanceolatum]</t>
        </is>
      </c>
      <c r="M1812" t="n">
        <v>467</v>
      </c>
      <c r="N1812" t="inlineStr">
        <is>
          <t>Branchiostoma lanceolatum</t>
        </is>
      </c>
      <c r="O1812" t="inlineStr">
        <is>
          <t>RAB11FIP4</t>
        </is>
      </c>
    </row>
    <row r="1813">
      <c r="A1813" t="inlineStr"/>
      <c r="B1813" t="inlineStr"/>
      <c r="C1813" t="inlineStr"/>
      <c r="D1813" t="inlineStr"/>
      <c r="E1813">
        <f>HYPERLINK("https://www.ncbi.nlm.nih.gov/gene/?term=CAH1273920.1", "CAH1273920.1")</f>
        <v/>
      </c>
      <c r="F1813" t="n">
        <v>43.2</v>
      </c>
      <c r="G1813" t="n">
        <v>88</v>
      </c>
      <c r="H1813" t="n">
        <v>1.15e-11</v>
      </c>
      <c r="I1813" t="inlineStr">
        <is>
          <t>Nr</t>
        </is>
      </c>
      <c r="J1813" t="inlineStr"/>
      <c r="K1813" t="inlineStr"/>
      <c r="L1813" t="inlineStr">
        <is>
          <t>CAH1273920.1 RAB11FIP4 [Branchiostoma lanceolatum]</t>
        </is>
      </c>
      <c r="M1813" t="n">
        <v>471</v>
      </c>
      <c r="N1813" t="inlineStr">
        <is>
          <t>Branchiostoma lanceolatum</t>
        </is>
      </c>
      <c r="O1813" t="inlineStr">
        <is>
          <t>RAB11FIP4</t>
        </is>
      </c>
    </row>
    <row r="1814">
      <c r="A1814" t="inlineStr"/>
      <c r="B1814" t="inlineStr"/>
      <c r="C1814" t="inlineStr"/>
      <c r="D1814" t="inlineStr"/>
      <c r="E1814">
        <f>HYPERLINK("https://www.ncbi.nlm.nih.gov/gene/?term=CAH1273921.1", "CAH1273921.1")</f>
        <v/>
      </c>
      <c r="F1814" t="n">
        <v>43.2</v>
      </c>
      <c r="G1814" t="n">
        <v>88</v>
      </c>
      <c r="H1814" t="n">
        <v>1.16e-11</v>
      </c>
      <c r="I1814" t="inlineStr">
        <is>
          <t>Nr</t>
        </is>
      </c>
      <c r="J1814" t="inlineStr"/>
      <c r="K1814" t="inlineStr"/>
      <c r="L1814" t="inlineStr">
        <is>
          <t>CAH1273921.1 RAB11FIP4 [Branchiostoma lanceolatum]</t>
        </is>
      </c>
      <c r="M1814" t="n">
        <v>482</v>
      </c>
      <c r="N1814" t="inlineStr">
        <is>
          <t>Branchiostoma lanceolatum</t>
        </is>
      </c>
      <c r="O1814" t="inlineStr">
        <is>
          <t>RAB11FIP4</t>
        </is>
      </c>
    </row>
    <row r="1815">
      <c r="A1815" t="inlineStr"/>
      <c r="B1815" t="inlineStr"/>
      <c r="C1815" t="inlineStr"/>
      <c r="D1815" t="inlineStr"/>
      <c r="E1815">
        <f>HYPERLINK("https://www.ncbi.nlm.nih.gov/gene/?term=CAH1273922.1", "CAH1273922.1")</f>
        <v/>
      </c>
      <c r="F1815" t="n">
        <v>43.2</v>
      </c>
      <c r="G1815" t="n">
        <v>88</v>
      </c>
      <c r="H1815" t="n">
        <v>1.17e-11</v>
      </c>
      <c r="I1815" t="inlineStr">
        <is>
          <t>Nr</t>
        </is>
      </c>
      <c r="J1815" t="inlineStr"/>
      <c r="K1815" t="inlineStr"/>
      <c r="L1815" t="inlineStr">
        <is>
          <t>CAH1273922.1 RAB11FIP4 [Branchiostoma lanceolatum]</t>
        </is>
      </c>
      <c r="M1815" t="n">
        <v>497</v>
      </c>
      <c r="N1815" t="inlineStr">
        <is>
          <t>Branchiostoma lanceolatum</t>
        </is>
      </c>
      <c r="O1815" t="inlineStr">
        <is>
          <t>RAB11FIP4</t>
        </is>
      </c>
    </row>
    <row r="1816">
      <c r="A1816" t="inlineStr"/>
      <c r="B1816" t="inlineStr"/>
      <c r="C1816" t="inlineStr"/>
      <c r="D1816" t="inlineStr"/>
      <c r="E1816">
        <f>HYPERLINK("https://www.ncbi.nlm.nih.gov/gene/?term=CAH1273919.1", "CAH1273919.1")</f>
        <v/>
      </c>
      <c r="F1816" t="n">
        <v>43.2</v>
      </c>
      <c r="G1816" t="n">
        <v>88</v>
      </c>
      <c r="H1816" t="n">
        <v>1.2e-11</v>
      </c>
      <c r="I1816" t="inlineStr">
        <is>
          <t>Nr</t>
        </is>
      </c>
      <c r="J1816" t="inlineStr"/>
      <c r="K1816" t="inlineStr"/>
      <c r="L1816" t="inlineStr">
        <is>
          <t>CAH1273919.1 RAB11FIP4 [Branchiostoma lanceolatum]</t>
        </is>
      </c>
      <c r="M1816" t="n">
        <v>613</v>
      </c>
      <c r="N1816" t="inlineStr">
        <is>
          <t>Branchiostoma lanceolatum</t>
        </is>
      </c>
      <c r="O1816" t="inlineStr">
        <is>
          <t>RAB11FIP4</t>
        </is>
      </c>
    </row>
    <row r="1817">
      <c r="A1817" t="inlineStr"/>
      <c r="B1817" t="inlineStr"/>
      <c r="C1817" t="inlineStr"/>
      <c r="D1817" t="inlineStr"/>
      <c r="E1817">
        <f>HYPERLINK("https://www.ncbi.nlm.nih.gov/gene/?term=CAH1273918.1", "CAH1273918.1")</f>
        <v/>
      </c>
      <c r="F1817" t="n">
        <v>43.2</v>
      </c>
      <c r="G1817" t="n">
        <v>88</v>
      </c>
      <c r="H1817" t="n">
        <v>1.2e-11</v>
      </c>
      <c r="I1817" t="inlineStr">
        <is>
          <t>Nr</t>
        </is>
      </c>
      <c r="J1817" t="inlineStr"/>
      <c r="K1817" t="inlineStr"/>
      <c r="L1817" t="inlineStr">
        <is>
          <t>CAH1273918.1 RAB11FIP4 [Branchiostoma lanceolatum]</t>
        </is>
      </c>
      <c r="M1817" t="n">
        <v>632</v>
      </c>
      <c r="N1817" t="inlineStr">
        <is>
          <t>Branchiostoma lanceolatum</t>
        </is>
      </c>
      <c r="O1817" t="inlineStr">
        <is>
          <t>RAB11FIP4</t>
        </is>
      </c>
    </row>
    <row r="1818">
      <c r="A1818" t="inlineStr"/>
      <c r="B1818" t="inlineStr"/>
      <c r="C1818" t="inlineStr"/>
      <c r="D1818" t="inlineStr"/>
      <c r="E1818">
        <f>HYPERLINK("https://www.ncbi.nlm.nih.gov/gene/?term=XP_035696245.1", "XP_035696245.1")</f>
        <v/>
      </c>
      <c r="F1818" t="n">
        <v>43.8</v>
      </c>
      <c r="G1818" t="n">
        <v>89</v>
      </c>
      <c r="H1818" t="n">
        <v>1.64e-11</v>
      </c>
      <c r="I1818" t="inlineStr">
        <is>
          <t>Nr</t>
        </is>
      </c>
      <c r="J1818" t="inlineStr"/>
      <c r="K1818" t="inlineStr"/>
      <c r="L1818" t="inlineStr">
        <is>
          <t>XP_035696245.1 rab11 family-interacting protein 4B-like isoform X2 [Branchiostoma floridae]</t>
        </is>
      </c>
      <c r="M1818" t="n">
        <v>631</v>
      </c>
      <c r="N1818" t="inlineStr">
        <is>
          <t>Branchiostoma floridae</t>
        </is>
      </c>
      <c r="O1818" t="inlineStr">
        <is>
          <t>rab11 family-interacting protein 4B-like isoform X2</t>
        </is>
      </c>
    </row>
    <row r="1819">
      <c r="A1819" t="inlineStr"/>
      <c r="B1819" t="inlineStr"/>
      <c r="C1819" t="inlineStr"/>
      <c r="D1819" t="inlineStr"/>
      <c r="E1819">
        <f>HYPERLINK("https://www.ncbi.nlm.nih.gov/gene/?term=XP_035696246.1", "XP_035696246.1")</f>
        <v/>
      </c>
      <c r="F1819" t="n">
        <v>43.2</v>
      </c>
      <c r="G1819" t="n">
        <v>88</v>
      </c>
      <c r="H1819" t="n">
        <v>3.05e-11</v>
      </c>
      <c r="I1819" t="inlineStr">
        <is>
          <t>Nr</t>
        </is>
      </c>
      <c r="J1819" t="inlineStr"/>
      <c r="K1819" t="inlineStr"/>
      <c r="L1819" t="inlineStr">
        <is>
          <t>XP_035696246.1 rab11 family-interacting protein 4B-like isoform X3 [Branchiostoma floridae]</t>
        </is>
      </c>
      <c r="M1819" t="n">
        <v>617</v>
      </c>
      <c r="N1819" t="inlineStr">
        <is>
          <t>Branchiostoma floridae</t>
        </is>
      </c>
      <c r="O1819" t="inlineStr">
        <is>
          <t>rab11 family-interacting protein 4B-like isoform X3</t>
        </is>
      </c>
    </row>
    <row r="1820">
      <c r="A1820" t="inlineStr"/>
      <c r="B1820" t="inlineStr"/>
      <c r="C1820" t="inlineStr"/>
      <c r="D1820" t="inlineStr"/>
      <c r="E1820">
        <f>HYPERLINK("https://www.ncbi.nlm.nih.gov/gene/?term=XP_035696243.1", "XP_035696243.1")</f>
        <v/>
      </c>
      <c r="F1820" t="n">
        <v>43.2</v>
      </c>
      <c r="G1820" t="n">
        <v>88</v>
      </c>
      <c r="H1820" t="n">
        <v>3.06e-11</v>
      </c>
      <c r="I1820" t="inlineStr">
        <is>
          <t>Nr</t>
        </is>
      </c>
      <c r="J1820" t="inlineStr"/>
      <c r="K1820" t="inlineStr"/>
      <c r="L1820" t="inlineStr">
        <is>
          <t>XP_035696243.1 rab11 family-interacting protein 4B-like isoform X1 [Branchiostoma floridae]</t>
        </is>
      </c>
      <c r="M1820" t="n">
        <v>636</v>
      </c>
      <c r="N1820" t="inlineStr">
        <is>
          <t>Branchiostoma floridae</t>
        </is>
      </c>
      <c r="O1820" t="inlineStr">
        <is>
          <t>rab11 family-interacting protein 4B-like isoform X1</t>
        </is>
      </c>
    </row>
    <row r="1821">
      <c r="A1821" t="inlineStr"/>
      <c r="B1821" t="inlineStr"/>
      <c r="C1821" t="inlineStr"/>
      <c r="D1821" t="inlineStr"/>
      <c r="E1821">
        <f>HYPERLINK("https://www.uniprot.org/uniprotkb/B3DGU2/entry", "B3DGU2")</f>
        <v/>
      </c>
      <c r="F1821" t="n">
        <v>42.7</v>
      </c>
      <c r="G1821" t="n">
        <v>89</v>
      </c>
      <c r="H1821" t="n">
        <v>3.77e-11</v>
      </c>
      <c r="I1821" t="inlineStr">
        <is>
          <t>Swiss-Prot</t>
        </is>
      </c>
      <c r="J1821" t="inlineStr">
        <is>
          <t>rab11fip4b</t>
        </is>
      </c>
      <c r="K1821" t="inlineStr">
        <is>
          <t>RFP4B_DANRE</t>
        </is>
      </c>
      <c r="L1821" t="inlineStr">
        <is>
          <t>sp|B3DGU2|RFP4B_DANRE Rab11 family-interacting protein 4B OS=Danio rerio OX=7955 GN=rab11fip4b PE=2 SV=1</t>
        </is>
      </c>
      <c r="M1821" t="n">
        <v>502</v>
      </c>
      <c r="N1821" t="inlineStr">
        <is>
          <t>Danio rerio</t>
        </is>
      </c>
      <c r="O1821" t="inlineStr">
        <is>
          <t>Rab11 family-interacting protein 4B</t>
        </is>
      </c>
    </row>
    <row r="1822">
      <c r="A1822" t="inlineStr"/>
      <c r="B1822" t="inlineStr"/>
      <c r="C1822" t="inlineStr"/>
      <c r="D1822" t="inlineStr"/>
      <c r="E1822">
        <f>HYPERLINK("https://www.ncbi.nlm.nih.gov/gene/?term=XP_034044558.1", "XP_034044558.1")</f>
        <v/>
      </c>
      <c r="F1822" t="n">
        <v>44.9</v>
      </c>
      <c r="G1822" t="n">
        <v>89</v>
      </c>
      <c r="H1822" t="n">
        <v>4.16e-11</v>
      </c>
      <c r="I1822" t="inlineStr">
        <is>
          <t>Nr</t>
        </is>
      </c>
      <c r="J1822" t="inlineStr"/>
      <c r="K1822" t="inlineStr"/>
      <c r="L1822" t="inlineStr">
        <is>
          <t>XP_034044558.1 LOW QUALITY PROTEIN: rab11 family-interacting protein 4B-like [Thalassophryne amazonica]</t>
        </is>
      </c>
      <c r="M1822" t="n">
        <v>612</v>
      </c>
      <c r="N1822" t="inlineStr">
        <is>
          <t>Thalassophryne amazonica</t>
        </is>
      </c>
      <c r="O1822" t="inlineStr">
        <is>
          <t>LOW QUALITY PROTEIN: rab11 family-interacting protein 4B-like</t>
        </is>
      </c>
    </row>
    <row r="1823">
      <c r="A1823" t="inlineStr"/>
      <c r="B1823" t="inlineStr"/>
      <c r="C1823" t="inlineStr"/>
      <c r="D1823" t="inlineStr"/>
      <c r="E1823">
        <f>HYPERLINK("https://www.uniprot.org/uniprotkb/A0A8C4ZUH5/entry", "A0A8C4ZUH5")</f>
        <v/>
      </c>
      <c r="F1823" t="n">
        <v>45.5</v>
      </c>
      <c r="G1823" t="n">
        <v>88</v>
      </c>
      <c r="H1823" t="n">
        <v>5.6e-11</v>
      </c>
      <c r="I1823" t="inlineStr">
        <is>
          <t>TrEMBL</t>
        </is>
      </c>
      <c r="J1823" t="inlineStr"/>
      <c r="K1823" t="inlineStr">
        <is>
          <t>A0A8C4ZUH5_GADMO</t>
        </is>
      </c>
      <c r="L1823" t="inlineStr">
        <is>
          <t>tr|A0A8C4ZUH5|A0A8C4ZUH5_GADMO RAB11 family interacting protein 4 (class II) b OS=Gadus morhua OX=8049 PE=4 SV=1</t>
        </is>
      </c>
      <c r="M1823" t="n">
        <v>594</v>
      </c>
      <c r="N1823" t="inlineStr">
        <is>
          <t>Gadus morhua</t>
        </is>
      </c>
      <c r="O1823" t="inlineStr">
        <is>
          <t>RAB11 family interacting protein 4 (class II) b</t>
        </is>
      </c>
    </row>
    <row r="1824">
      <c r="A1824" t="inlineStr"/>
      <c r="B1824" t="inlineStr"/>
      <c r="C1824" t="inlineStr"/>
      <c r="D1824" t="inlineStr"/>
      <c r="E1824">
        <f>HYPERLINK("https://www.uniprot.org/uniprotkb/A0A443SAC6/entry", "A0A443SAC6")</f>
        <v/>
      </c>
      <c r="F1824" t="n">
        <v>46.1</v>
      </c>
      <c r="G1824" t="n">
        <v>89</v>
      </c>
      <c r="H1824" t="n">
        <v>9.77e-11</v>
      </c>
      <c r="I1824" t="inlineStr">
        <is>
          <t>TrEMBL</t>
        </is>
      </c>
      <c r="J1824" t="inlineStr">
        <is>
          <t>B4U80_04931</t>
        </is>
      </c>
      <c r="K1824" t="inlineStr">
        <is>
          <t>A0A443SAC6_9ACAR</t>
        </is>
      </c>
      <c r="L1824" t="inlineStr">
        <is>
          <t>tr|A0A443SAC6|A0A443SAC6_9ACAR Rab11 family-interacting protein 4A-like protein OS=Leptotrombidium deliense OX=299467 GN=B4U80_04931 PE=4 SV=1</t>
        </is>
      </c>
      <c r="M1824" t="n">
        <v>312</v>
      </c>
      <c r="N1824" t="inlineStr">
        <is>
          <t>Leptotrombidium deliense</t>
        </is>
      </c>
      <c r="O1824" t="inlineStr">
        <is>
          <t>Rab11 family-interacting protein 4A-like protein</t>
        </is>
      </c>
    </row>
    <row r="1825">
      <c r="A1825" t="inlineStr"/>
      <c r="B1825" t="inlineStr"/>
      <c r="C1825" t="inlineStr"/>
      <c r="D1825" t="inlineStr"/>
      <c r="E1825">
        <f>HYPERLINK("https://www.uniprot.org/uniprotkb/A4IIE8/entry", "A4IIE8")</f>
        <v/>
      </c>
      <c r="F1825" t="n">
        <v>39.3</v>
      </c>
      <c r="G1825" t="n">
        <v>89</v>
      </c>
      <c r="H1825" t="n">
        <v>1.34e-10</v>
      </c>
      <c r="I1825" t="inlineStr">
        <is>
          <t>Swiss-Prot</t>
        </is>
      </c>
      <c r="J1825" t="inlineStr">
        <is>
          <t>rab11fip4</t>
        </is>
      </c>
      <c r="K1825" t="inlineStr">
        <is>
          <t>RFIP4_XENTR</t>
        </is>
      </c>
      <c r="L1825" t="inlineStr">
        <is>
          <t>sp|A4IIE8|RFIP4_XENTR Rab11 family-interacting protein 4 OS=Xenopus tropicalis OX=8364 GN=rab11fip4 PE=2 SV=1</t>
        </is>
      </c>
      <c r="M1825" t="n">
        <v>633</v>
      </c>
      <c r="N1825" t="inlineStr">
        <is>
          <t>Xenopus tropicalis</t>
        </is>
      </c>
      <c r="O1825" t="inlineStr">
        <is>
          <t>Rab11 family-interacting protein 4</t>
        </is>
      </c>
    </row>
    <row r="1826">
      <c r="A1826" t="inlineStr"/>
      <c r="B1826" t="inlineStr"/>
      <c r="C1826" t="inlineStr"/>
      <c r="D1826" t="inlineStr"/>
      <c r="E1826">
        <f>HYPERLINK("https://www.uniprot.org/uniprotkb/Q8BQP8/entry", "Q8BQP8")</f>
        <v/>
      </c>
      <c r="F1826" t="n">
        <v>39.3</v>
      </c>
      <c r="G1826" t="n">
        <v>89</v>
      </c>
      <c r="H1826" t="n">
        <v>2.5e-10</v>
      </c>
      <c r="I1826" t="inlineStr">
        <is>
          <t>Swiss-Prot</t>
        </is>
      </c>
      <c r="J1826" t="inlineStr">
        <is>
          <t>Rab11fip4</t>
        </is>
      </c>
      <c r="K1826" t="inlineStr">
        <is>
          <t>RFIP4_MOUSE</t>
        </is>
      </c>
      <c r="L1826" t="inlineStr">
        <is>
          <t>sp|Q8BQP8|RFIP4_MOUSE Rab11 family-interacting protein 4 OS=Mus musculus OX=10090 GN=Rab11fip4 PE=1 SV=1</t>
        </is>
      </c>
      <c r="M1826" t="n">
        <v>635</v>
      </c>
      <c r="N1826" t="inlineStr">
        <is>
          <t>Mus musculus</t>
        </is>
      </c>
      <c r="O1826" t="inlineStr">
        <is>
          <t>Rab11 family-interacting protein 4</t>
        </is>
      </c>
    </row>
    <row r="1827">
      <c r="A1827" t="inlineStr"/>
      <c r="B1827" t="inlineStr"/>
      <c r="C1827" t="inlineStr"/>
      <c r="D1827" t="inlineStr"/>
      <c r="E1827">
        <f>HYPERLINK("https://www.uniprot.org/uniprotkb/A0A4Z2B5M0/entry", "A0A4Z2B5M0")</f>
        <v/>
      </c>
      <c r="F1827" t="n">
        <v>46.1</v>
      </c>
      <c r="G1827" t="n">
        <v>89</v>
      </c>
      <c r="H1827" t="n">
        <v>3.56e-10</v>
      </c>
      <c r="I1827" t="inlineStr">
        <is>
          <t>TrEMBL</t>
        </is>
      </c>
      <c r="J1827" t="inlineStr">
        <is>
          <t>fugu_008461</t>
        </is>
      </c>
      <c r="K1827" t="inlineStr">
        <is>
          <t>A0A4Z2B5M0_9TELE</t>
        </is>
      </c>
      <c r="L1827" t="inlineStr">
        <is>
          <t>tr|A0A4Z2B5M0|A0A4Z2B5M0_9TELE FIP-RBD domain-containing protein OS=Takifugu bimaculatus OX=433685 GN=fugu_008461 PE=4 SV=1</t>
        </is>
      </c>
      <c r="M1827" t="n">
        <v>512</v>
      </c>
      <c r="N1827" t="inlineStr">
        <is>
          <t>Takifugu bimaculatus</t>
        </is>
      </c>
      <c r="O1827" t="inlineStr">
        <is>
          <t>FIP-RBD domain-containing protein</t>
        </is>
      </c>
    </row>
    <row r="1828">
      <c r="A1828" t="inlineStr"/>
      <c r="B1828" t="inlineStr"/>
      <c r="C1828" t="inlineStr"/>
      <c r="D1828" t="inlineStr"/>
      <c r="E1828">
        <f>HYPERLINK("https://www.uniprot.org/uniprotkb/A0A5C6MX46/entry", "A0A5C6MX46")</f>
        <v/>
      </c>
      <c r="F1828" t="n">
        <v>46.1</v>
      </c>
      <c r="G1828" t="n">
        <v>89</v>
      </c>
      <c r="H1828" t="n">
        <v>3.59e-10</v>
      </c>
      <c r="I1828" t="inlineStr">
        <is>
          <t>TrEMBL</t>
        </is>
      </c>
      <c r="J1828" t="inlineStr">
        <is>
          <t>D4764_06G0011960</t>
        </is>
      </c>
      <c r="K1828" t="inlineStr">
        <is>
          <t>A0A5C6MX46_9TELE</t>
        </is>
      </c>
      <c r="L1828" t="inlineStr">
        <is>
          <t>tr|A0A5C6MX46|A0A5C6MX46_9TELE Rab11 family-interacting protein 4A OS=Takifugu flavidus OX=433684 GN=D4764_06G0011960 PE=4 SV=1</t>
        </is>
      </c>
      <c r="M1828" t="n">
        <v>556</v>
      </c>
      <c r="N1828" t="inlineStr">
        <is>
          <t>Takifugu flavidus</t>
        </is>
      </c>
      <c r="O1828" t="inlineStr">
        <is>
          <t>Rab11 family-interacting protein 4A</t>
        </is>
      </c>
    </row>
    <row r="1829">
      <c r="A1829" t="inlineStr"/>
      <c r="B1829" t="inlineStr"/>
      <c r="C1829" t="inlineStr"/>
      <c r="D1829" t="inlineStr"/>
      <c r="E1829">
        <f>HYPERLINK("https://www.uniprot.org/uniprotkb/Q3LGD4/entry", "Q3LGD4")</f>
        <v/>
      </c>
      <c r="F1829" t="n">
        <v>39.3</v>
      </c>
      <c r="G1829" t="n">
        <v>89</v>
      </c>
      <c r="H1829" t="n">
        <v>4.65e-10</v>
      </c>
      <c r="I1829" t="inlineStr">
        <is>
          <t>Swiss-Prot</t>
        </is>
      </c>
      <c r="J1829" t="inlineStr">
        <is>
          <t>rab11fip4a</t>
        </is>
      </c>
      <c r="K1829" t="inlineStr">
        <is>
          <t>RFP4A_DANRE</t>
        </is>
      </c>
      <c r="L1829" t="inlineStr">
        <is>
          <t>sp|Q3LGD4|RFP4A_DANRE Rab11 family-interacting protein 4A OS=Danio rerio OX=7955 GN=rab11fip4a PE=2 SV=1</t>
        </is>
      </c>
      <c r="M1829" t="n">
        <v>621</v>
      </c>
      <c r="N1829" t="inlineStr">
        <is>
          <t>Danio rerio</t>
        </is>
      </c>
      <c r="O1829" t="inlineStr">
        <is>
          <t>Rab11 family-interacting protein 4A</t>
        </is>
      </c>
    </row>
    <row r="1830">
      <c r="A1830" t="inlineStr"/>
      <c r="B1830" t="inlineStr"/>
      <c r="C1830" t="inlineStr"/>
      <c r="D1830" t="inlineStr"/>
      <c r="E1830">
        <f>HYPERLINK("https://www.uniprot.org/uniprotkb/Q86YS3/entry", "Q86YS3")</f>
        <v/>
      </c>
      <c r="F1830" t="n">
        <v>39.3</v>
      </c>
      <c r="G1830" t="n">
        <v>89</v>
      </c>
      <c r="H1830" t="n">
        <v>4.66e-10</v>
      </c>
      <c r="I1830" t="inlineStr">
        <is>
          <t>Swiss-Prot</t>
        </is>
      </c>
      <c r="J1830" t="inlineStr">
        <is>
          <t>RAB11FIP4</t>
        </is>
      </c>
      <c r="K1830" t="inlineStr">
        <is>
          <t>RFIP4_HUMAN</t>
        </is>
      </c>
      <c r="L1830" t="inlineStr">
        <is>
          <t>sp|Q86YS3|RFIP4_HUMAN Rab11 family-interacting protein 4 OS=Homo sapiens OX=9606 GN=RAB11FIP4 PE=1 SV=1</t>
        </is>
      </c>
      <c r="M1830" t="n">
        <v>637</v>
      </c>
      <c r="N1830" t="inlineStr">
        <is>
          <t>Homo sapiens</t>
        </is>
      </c>
      <c r="O1830" t="inlineStr">
        <is>
          <t>Rab11 family-interacting protein 4</t>
        </is>
      </c>
    </row>
    <row r="1831">
      <c r="A1831" t="inlineStr"/>
      <c r="B1831" t="inlineStr"/>
      <c r="C1831" t="inlineStr"/>
      <c r="D1831" t="inlineStr"/>
      <c r="E1831">
        <f>HYPERLINK("https://www.uniprot.org/uniprotkb/A0A8J5DB95/entry", "A0A8J5DB95")</f>
        <v/>
      </c>
      <c r="F1831" t="n">
        <v>40</v>
      </c>
      <c r="G1831" t="n">
        <v>90</v>
      </c>
      <c r="H1831" t="n">
        <v>4.84e-10</v>
      </c>
      <c r="I1831" t="inlineStr">
        <is>
          <t>TrEMBL</t>
        </is>
      </c>
      <c r="J1831" t="inlineStr">
        <is>
          <t>rab11fip4a</t>
        </is>
      </c>
      <c r="K1831" t="inlineStr">
        <is>
          <t>A0A8J5DB95_9CHEL</t>
        </is>
      </c>
      <c r="L1831" t="inlineStr">
        <is>
          <t>tr|A0A8J5DB95|A0A8J5DB95_9CHEL Rab11 family-interacting protein 4A OS=Nymphon striatum OX=424472 GN=rab11fip4a PE=4 SV=1</t>
        </is>
      </c>
      <c r="M1831" t="n">
        <v>504</v>
      </c>
      <c r="N1831" t="inlineStr">
        <is>
          <t>Nymphon striatum</t>
        </is>
      </c>
      <c r="O1831" t="inlineStr">
        <is>
          <t>Rab11 family-interacting protein 4A</t>
        </is>
      </c>
    </row>
    <row r="1832">
      <c r="A1832" t="inlineStr"/>
      <c r="B1832" t="inlineStr"/>
      <c r="C1832" t="inlineStr"/>
      <c r="D1832" t="inlineStr"/>
      <c r="E1832">
        <f>HYPERLINK("https://www.uniprot.org/uniprotkb/A0A8D3AVA4/entry", "A0A8D3AVA4")</f>
        <v/>
      </c>
      <c r="F1832" t="n">
        <v>44.9</v>
      </c>
      <c r="G1832" t="n">
        <v>89</v>
      </c>
      <c r="H1832" t="n">
        <v>4.85e-10</v>
      </c>
      <c r="I1832" t="inlineStr">
        <is>
          <t>TrEMBL</t>
        </is>
      </c>
      <c r="J1832" t="inlineStr"/>
      <c r="K1832" t="inlineStr">
        <is>
          <t>A0A8D3AVA4_SCOMX</t>
        </is>
      </c>
      <c r="L1832" t="inlineStr">
        <is>
          <t>tr|A0A8D3AVA4|A0A8D3AVA4_SCOMX RAB11 family interacting protein 4 (class II) b OS=Scophthalmus maximus OX=52904 PE=4 SV=1</t>
        </is>
      </c>
      <c r="M1832" t="n">
        <v>509</v>
      </c>
      <c r="N1832" t="inlineStr">
        <is>
          <t>Scophthalmus maximus</t>
        </is>
      </c>
      <c r="O1832" t="inlineStr">
        <is>
          <t>RAB11 family interacting protein 4 (class II) b</t>
        </is>
      </c>
    </row>
    <row r="1833">
      <c r="A1833" t="inlineStr"/>
      <c r="B1833" t="inlineStr"/>
      <c r="C1833" t="inlineStr"/>
      <c r="D1833" t="inlineStr"/>
      <c r="E1833">
        <f>HYPERLINK("https://www.uniprot.org/uniprotkb/A0A8D3E248/entry", "A0A8D3E248")</f>
        <v/>
      </c>
      <c r="F1833" t="n">
        <v>44.9</v>
      </c>
      <c r="G1833" t="n">
        <v>89</v>
      </c>
      <c r="H1833" t="n">
        <v>4.9e-10</v>
      </c>
      <c r="I1833" t="inlineStr">
        <is>
          <t>TrEMBL</t>
        </is>
      </c>
      <c r="J1833" t="inlineStr"/>
      <c r="K1833" t="inlineStr">
        <is>
          <t>A0A8D3E248_SCOMX</t>
        </is>
      </c>
      <c r="L1833" t="inlineStr">
        <is>
          <t>tr|A0A8D3E248|A0A8D3E248_SCOMX RAB11 family interacting protein 4 (class II) b OS=Scophthalmus maximus OX=52904 PE=4 SV=1</t>
        </is>
      </c>
      <c r="M1833" t="n">
        <v>551</v>
      </c>
      <c r="N1833" t="inlineStr">
        <is>
          <t>Scophthalmus maximus</t>
        </is>
      </c>
      <c r="O1833" t="inlineStr">
        <is>
          <t>RAB11 family interacting protein 4 (class II) b</t>
        </is>
      </c>
    </row>
    <row r="1834">
      <c r="A1834" t="inlineStr"/>
      <c r="B1834" t="inlineStr"/>
      <c r="C1834" t="inlineStr"/>
      <c r="D1834" t="inlineStr"/>
      <c r="E1834">
        <f>HYPERLINK("https://www.uniprot.org/uniprotkb/A0A2U9BNW3/entry", "A0A2U9BNW3")</f>
        <v/>
      </c>
      <c r="F1834" t="n">
        <v>44.9</v>
      </c>
      <c r="G1834" t="n">
        <v>89</v>
      </c>
      <c r="H1834" t="n">
        <v>4.93e-10</v>
      </c>
      <c r="I1834" t="inlineStr">
        <is>
          <t>TrEMBL</t>
        </is>
      </c>
      <c r="J1834" t="inlineStr">
        <is>
          <t>SMAX5B_007416</t>
        </is>
      </c>
      <c r="K1834" t="inlineStr">
        <is>
          <t>A0A2U9BNW3_SCOMX</t>
        </is>
      </c>
      <c r="L1834" t="inlineStr">
        <is>
          <t>tr|A0A2U9BNW3|A0A2U9BNW3_SCOMX Putative rab11 family-interacting protein 4 OS=Scophthalmus maximus OX=52904 GN=SMAX5B_007416 PE=4 SV=1</t>
        </is>
      </c>
      <c r="M1834" t="n">
        <v>579</v>
      </c>
      <c r="N1834" t="inlineStr">
        <is>
          <t>Scophthalmus maximus</t>
        </is>
      </c>
      <c r="O1834" t="inlineStr">
        <is>
          <t>Putative rab11 family-interacting protein 4</t>
        </is>
      </c>
    </row>
    <row r="1835">
      <c r="A1835" t="inlineStr"/>
      <c r="B1835" t="inlineStr"/>
      <c r="C1835" t="inlineStr"/>
      <c r="D1835" t="inlineStr"/>
      <c r="E1835">
        <f>HYPERLINK("https://www.uniprot.org/uniprotkb/Q7T005/entry", "Q7T005")</f>
        <v/>
      </c>
      <c r="F1835" t="n">
        <v>28.4</v>
      </c>
      <c r="G1835" t="n">
        <v>81</v>
      </c>
      <c r="H1835" t="n">
        <v>6.53e-05</v>
      </c>
      <c r="I1835" t="inlineStr">
        <is>
          <t>Swiss-Prot</t>
        </is>
      </c>
      <c r="J1835" t="inlineStr">
        <is>
          <t>rab11fip3</t>
        </is>
      </c>
      <c r="K1835" t="inlineStr">
        <is>
          <t>RFIP3_DANRE</t>
        </is>
      </c>
      <c r="L1835" t="inlineStr">
        <is>
          <t>sp|Q7T005|RFIP3_DANRE Rab11 family-interacting protein 3 OS=Danio rerio OX=7955 GN=rab11fip3 PE=3 SV=1</t>
        </is>
      </c>
      <c r="M1835" t="n">
        <v>1183</v>
      </c>
      <c r="N1835" t="inlineStr">
        <is>
          <t>Danio rerio</t>
        </is>
      </c>
      <c r="O1835" t="inlineStr">
        <is>
          <t>Rab11 family-interacting protein 3</t>
        </is>
      </c>
    </row>
    <row r="1836">
      <c r="A1836" t="inlineStr"/>
      <c r="B1836" t="inlineStr"/>
      <c r="C1836" t="inlineStr"/>
      <c r="D1836" t="inlineStr"/>
      <c r="E1836">
        <f>HYPERLINK("https://www.uniprot.org/uniprotkb/Q8CHD8/entry", "Q8CHD8")</f>
        <v/>
      </c>
      <c r="F1836" t="n">
        <v>32.9</v>
      </c>
      <c r="G1836" t="n">
        <v>82</v>
      </c>
      <c r="H1836" t="n">
        <v>0.000121</v>
      </c>
      <c r="I1836" t="inlineStr">
        <is>
          <t>Swiss-Prot</t>
        </is>
      </c>
      <c r="J1836" t="inlineStr">
        <is>
          <t>Rab11fip3</t>
        </is>
      </c>
      <c r="K1836" t="inlineStr">
        <is>
          <t>RFIP3_MOUSE</t>
        </is>
      </c>
      <c r="L1836" t="inlineStr">
        <is>
          <t>sp|Q8CHD8|RFIP3_MOUSE Rab11 family-interacting protein 3 OS=Mus musculus OX=10090 GN=Rab11fip3 PE=1 SV=2</t>
        </is>
      </c>
      <c r="M1836" t="n">
        <v>1047</v>
      </c>
      <c r="N1836" t="inlineStr">
        <is>
          <t>Mus musculus</t>
        </is>
      </c>
      <c r="O1836" t="inlineStr">
        <is>
          <t>Rab11 family-interacting protein 3</t>
        </is>
      </c>
    </row>
    <row r="1837">
      <c r="A1837" t="inlineStr"/>
      <c r="B1837" t="inlineStr"/>
      <c r="C1837" t="inlineStr"/>
      <c r="D1837" t="inlineStr"/>
      <c r="E1837">
        <f>HYPERLINK("https://www.uniprot.org/uniprotkb/O75154/entry", "O75154")</f>
        <v/>
      </c>
      <c r="F1837" t="n">
        <v>31.7</v>
      </c>
      <c r="G1837" t="n">
        <v>82</v>
      </c>
      <c r="H1837" t="n">
        <v>0.000299</v>
      </c>
      <c r="I1837" t="inlineStr">
        <is>
          <t>Swiss-Prot</t>
        </is>
      </c>
      <c r="J1837" t="inlineStr">
        <is>
          <t>RAB11FIP3</t>
        </is>
      </c>
      <c r="K1837" t="inlineStr">
        <is>
          <t>RFIP3_HUMAN</t>
        </is>
      </c>
      <c r="L1837" t="inlineStr">
        <is>
          <t>sp|O75154|RFIP3_HUMAN Rab11 family-interacting protein 3 OS=Homo sapiens OX=9606 GN=RAB11FIP3 PE=1 SV=1</t>
        </is>
      </c>
      <c r="M1837" t="n">
        <v>756</v>
      </c>
      <c r="N1837" t="inlineStr">
        <is>
          <t>Homo sapiens</t>
        </is>
      </c>
      <c r="O1837" t="inlineStr">
        <is>
          <t>Rab11 family-interacting protein 3</t>
        </is>
      </c>
    </row>
    <row r="1838">
      <c r="A1838" t="inlineStr">
        <is>
          <t>NODE_153274_length_1056_cov_28.911021_g72398_i0</t>
        </is>
      </c>
      <c r="B1838" t="inlineStr">
        <is>
          <t>bombina_pachypus_blastx</t>
        </is>
      </c>
      <c r="C1838" t="n">
        <v>2.41101761695924</v>
      </c>
      <c r="D1838" t="n">
        <v>0.0125783547056151</v>
      </c>
      <c r="E1838">
        <f>HYPERLINK("https://www.ncbi.nlm.nih.gov/gene/?term=XP_040269156.1", "XP_040269156.1")</f>
        <v/>
      </c>
      <c r="F1838" t="n">
        <v>92.3</v>
      </c>
      <c r="G1838" t="n">
        <v>195</v>
      </c>
      <c r="H1838" t="n">
        <v>1.41e-121</v>
      </c>
      <c r="I1838" t="inlineStr">
        <is>
          <t>Nr</t>
        </is>
      </c>
      <c r="J1838" t="inlineStr"/>
      <c r="K1838" t="inlineStr"/>
      <c r="L1838" t="inlineStr">
        <is>
          <t>XP_040269156.1 myosin regulatory light chain 2, skeletal muscle isoform [Bufo bufo]</t>
        </is>
      </c>
      <c r="M1838" t="n">
        <v>194</v>
      </c>
      <c r="N1838" t="inlineStr">
        <is>
          <t>Bufo bufo</t>
        </is>
      </c>
      <c r="O1838" t="inlineStr">
        <is>
          <t>myosin regulatory light chain 2, skeletal muscle isoform</t>
        </is>
      </c>
    </row>
    <row r="1839">
      <c r="A1839" t="inlineStr"/>
      <c r="B1839" t="inlineStr"/>
      <c r="C1839" t="inlineStr"/>
      <c r="D1839" t="inlineStr"/>
      <c r="E1839">
        <f>HYPERLINK("https://www.ncbi.nlm.nih.gov/gene/?term=WP_157954479.1", "WP_157954479.1")</f>
        <v/>
      </c>
      <c r="F1839" t="n">
        <v>96.09999999999999</v>
      </c>
      <c r="G1839" t="n">
        <v>179</v>
      </c>
      <c r="H1839" t="n">
        <v>1.16e-119</v>
      </c>
      <c r="I1839" t="inlineStr">
        <is>
          <t>Nr</t>
        </is>
      </c>
      <c r="J1839" t="inlineStr"/>
      <c r="K1839" t="inlineStr"/>
      <c r="L1839" t="inlineStr">
        <is>
          <t>WP_157954479.1 hypothetical protein, partial [Saccharospirillum mangrovi]</t>
        </is>
      </c>
      <c r="M1839" t="n">
        <v>180</v>
      </c>
      <c r="N1839" t="inlineStr">
        <is>
          <t>Saccharospirillum mangrovi</t>
        </is>
      </c>
      <c r="O1839" t="inlineStr">
        <is>
          <t>hypothetical protein, partial</t>
        </is>
      </c>
    </row>
    <row r="1840">
      <c r="A1840" t="inlineStr"/>
      <c r="B1840" t="inlineStr"/>
      <c r="C1840" t="inlineStr"/>
      <c r="D1840" t="inlineStr"/>
      <c r="E1840">
        <f>HYPERLINK("https://www.ncbi.nlm.nih.gov/gene/?term=XP_029462654.1", "XP_029462654.1")</f>
        <v/>
      </c>
      <c r="F1840" t="n">
        <v>97.59999999999999</v>
      </c>
      <c r="G1840" t="n">
        <v>170</v>
      </c>
      <c r="H1840" t="n">
        <v>7.430000000000001e-116</v>
      </c>
      <c r="I1840" t="inlineStr">
        <is>
          <t>Nr</t>
        </is>
      </c>
      <c r="J1840" t="inlineStr"/>
      <c r="K1840" t="inlineStr"/>
      <c r="L1840" t="inlineStr">
        <is>
          <t>XP_029462654.1 myosin regulatory light chain 2, skeletal muscle isoform [Rhinatrema bivittatum]</t>
        </is>
      </c>
      <c r="M1840" t="n">
        <v>170</v>
      </c>
      <c r="N1840" t="inlineStr">
        <is>
          <t>Rhinatrema bivittatum</t>
        </is>
      </c>
      <c r="O1840" t="inlineStr">
        <is>
          <t>myosin regulatory light chain 2, skeletal muscle isoform</t>
        </is>
      </c>
    </row>
    <row r="1841">
      <c r="A1841" t="inlineStr"/>
      <c r="B1841" t="inlineStr"/>
      <c r="C1841" t="inlineStr"/>
      <c r="D1841" t="inlineStr"/>
      <c r="E1841">
        <f>HYPERLINK("https://www.ncbi.nlm.nih.gov/gene/?term=KAJ1126157.1", "KAJ1126157.1")</f>
        <v/>
      </c>
      <c r="F1841" t="n">
        <v>97.59999999999999</v>
      </c>
      <c r="G1841" t="n">
        <v>170</v>
      </c>
      <c r="H1841" t="n">
        <v>1.5e-115</v>
      </c>
      <c r="I1841" t="inlineStr">
        <is>
          <t>Nr</t>
        </is>
      </c>
      <c r="J1841" t="inlineStr"/>
      <c r="K1841" t="inlineStr"/>
      <c r="L1841" t="inlineStr">
        <is>
          <t>KAJ1126157.1 hypothetical protein NDU88_004566 [Pleurodeles waltl]</t>
        </is>
      </c>
      <c r="M1841" t="n">
        <v>170</v>
      </c>
      <c r="N1841" t="inlineStr">
        <is>
          <t>Pleurodeles waltl</t>
        </is>
      </c>
      <c r="O1841" t="inlineStr">
        <is>
          <t>hypothetical protein NDU88_004566</t>
        </is>
      </c>
    </row>
    <row r="1842">
      <c r="A1842" t="inlineStr"/>
      <c r="B1842" t="inlineStr"/>
      <c r="C1842" t="inlineStr"/>
      <c r="D1842" t="inlineStr"/>
      <c r="E1842">
        <f>HYPERLINK("https://www.uniprot.org/uniprotkb/A0A7N5JGM2/entry", "A0A7N5JGM2")</f>
        <v/>
      </c>
      <c r="F1842" t="n">
        <v>96.5</v>
      </c>
      <c r="G1842" t="n">
        <v>170</v>
      </c>
      <c r="H1842" t="n">
        <v>6.79e-115</v>
      </c>
      <c r="I1842" t="inlineStr">
        <is>
          <t>TrEMBL</t>
        </is>
      </c>
      <c r="J1842" t="inlineStr">
        <is>
          <t>LOC117799351</t>
        </is>
      </c>
      <c r="K1842" t="inlineStr">
        <is>
          <t>A0A7N5JGM2_AILME</t>
        </is>
      </c>
      <c r="L1842" t="inlineStr">
        <is>
          <t>tr|A0A7N5JGM2|A0A7N5JGM2_AILME Myosin regulatory light chain 2, skeletal muscle isoform-like OS=Ailuropoda melanoleuca OX=9646 GN=LOC117799351 PE=4 SV=1</t>
        </is>
      </c>
      <c r="M1842" t="n">
        <v>170</v>
      </c>
      <c r="N1842" t="inlineStr">
        <is>
          <t>Ailuropoda melanoleuca</t>
        </is>
      </c>
      <c r="O1842" t="inlineStr">
        <is>
          <t>Myosin regulatory light chain 2, skeletal muscle isoform-like</t>
        </is>
      </c>
    </row>
    <row r="1843">
      <c r="A1843" t="inlineStr"/>
      <c r="B1843" t="inlineStr"/>
      <c r="C1843" t="inlineStr"/>
      <c r="D1843" t="inlineStr"/>
      <c r="E1843">
        <f>HYPERLINK("https://www.ncbi.nlm.nih.gov/gene/?term=XP_034507717.1", "XP_034507717.1")</f>
        <v/>
      </c>
      <c r="F1843" t="n">
        <v>96.5</v>
      </c>
      <c r="G1843" t="n">
        <v>170</v>
      </c>
      <c r="H1843" t="n">
        <v>1.74e-114</v>
      </c>
      <c r="I1843" t="inlineStr">
        <is>
          <t>Nr</t>
        </is>
      </c>
      <c r="J1843" t="inlineStr"/>
      <c r="K1843" t="inlineStr"/>
      <c r="L1843" t="inlineStr">
        <is>
          <t>XP_034507717.1 myosin regulatory light chain 2, skeletal muscle isoform-like [Ailuropoda melanoleuca]</t>
        </is>
      </c>
      <c r="M1843" t="n">
        <v>170</v>
      </c>
      <c r="N1843" t="inlineStr">
        <is>
          <t>Ailuropoda melanoleuca</t>
        </is>
      </c>
      <c r="O1843" t="inlineStr">
        <is>
          <t>myosin regulatory light chain 2, skeletal muscle isoform-like</t>
        </is>
      </c>
    </row>
    <row r="1844">
      <c r="A1844" t="inlineStr"/>
      <c r="B1844" t="inlineStr"/>
      <c r="C1844" t="inlineStr"/>
      <c r="D1844" t="inlineStr"/>
      <c r="E1844">
        <f>HYPERLINK("https://www.uniprot.org/uniprotkb/Q6P7M8/entry", "Q6P7M8")</f>
        <v/>
      </c>
      <c r="F1844" t="n">
        <v>96.5</v>
      </c>
      <c r="G1844" t="n">
        <v>170</v>
      </c>
      <c r="H1844" t="n">
        <v>5.56e-114</v>
      </c>
      <c r="I1844" t="inlineStr">
        <is>
          <t>TrEMBL</t>
        </is>
      </c>
      <c r="J1844" t="inlineStr">
        <is>
          <t>myl11</t>
        </is>
      </c>
      <c r="K1844" t="inlineStr">
        <is>
          <t>Q6P7M8_XENTR</t>
        </is>
      </c>
      <c r="L1844" t="inlineStr">
        <is>
          <t>tr|Q6P7M8|Q6P7M8_XENTR Fast skeletal myosin light chain 2 OS=Xenopus tropicalis OX=8364 GN=myl11 PE=2 SV=1</t>
        </is>
      </c>
      <c r="M1844" t="n">
        <v>170</v>
      </c>
      <c r="N1844" t="inlineStr">
        <is>
          <t>Xenopus tropicalis</t>
        </is>
      </c>
      <c r="O1844" t="inlineStr">
        <is>
          <t>Fast skeletal myosin light chain 2</t>
        </is>
      </c>
    </row>
    <row r="1845">
      <c r="A1845" t="inlineStr"/>
      <c r="B1845" t="inlineStr"/>
      <c r="C1845" t="inlineStr"/>
      <c r="D1845" t="inlineStr"/>
      <c r="E1845">
        <f>HYPERLINK("https://www.ncbi.nlm.nih.gov/gene/?term=NP_989158.1", "NP_989158.1")</f>
        <v/>
      </c>
      <c r="F1845" t="n">
        <v>96.5</v>
      </c>
      <c r="G1845" t="n">
        <v>170</v>
      </c>
      <c r="H1845" t="n">
        <v>1.43e-113</v>
      </c>
      <c r="I1845" t="inlineStr">
        <is>
          <t>Nr</t>
        </is>
      </c>
      <c r="J1845" t="inlineStr"/>
      <c r="K1845" t="inlineStr"/>
      <c r="L1845" t="inlineStr">
        <is>
          <t>NP_989158.1 myosin regulatory light chain 2, skeletal muscle isoform [Xenopus tropicalis]</t>
        </is>
      </c>
      <c r="M1845" t="n">
        <v>170</v>
      </c>
      <c r="N1845" t="inlineStr">
        <is>
          <t>Xenopus tropicalis</t>
        </is>
      </c>
      <c r="O1845" t="inlineStr">
        <is>
          <t>myosin regulatory light chain 2, skeletal muscle isoform</t>
        </is>
      </c>
    </row>
    <row r="1846">
      <c r="A1846" t="inlineStr"/>
      <c r="B1846" t="inlineStr"/>
      <c r="C1846" t="inlineStr"/>
      <c r="D1846" t="inlineStr"/>
      <c r="E1846">
        <f>HYPERLINK("https://www.uniprot.org/uniprotkb/A0A6I8PSA8/entry", "A0A6I8PSA8")</f>
        <v/>
      </c>
      <c r="F1846" t="n">
        <v>96.40000000000001</v>
      </c>
      <c r="G1846" t="n">
        <v>169</v>
      </c>
      <c r="H1846" t="n">
        <v>3.83e-113</v>
      </c>
      <c r="I1846" t="inlineStr">
        <is>
          <t>TrEMBL</t>
        </is>
      </c>
      <c r="J1846" t="inlineStr">
        <is>
          <t>mylpf</t>
        </is>
      </c>
      <c r="K1846" t="inlineStr">
        <is>
          <t>A0A6I8PSA8_XENTR</t>
        </is>
      </c>
      <c r="L1846" t="inlineStr">
        <is>
          <t>tr|A0A6I8PSA8|A0A6I8PSA8_XENTR Myosin light chain, phosphorylatable, fast skeletal muscle OS=Xenopus tropicalis OX=8364 GN=mylpf PE=4 SV=1</t>
        </is>
      </c>
      <c r="M1846" t="n">
        <v>175</v>
      </c>
      <c r="N1846" t="inlineStr">
        <is>
          <t>Xenopus tropicalis</t>
        </is>
      </c>
      <c r="O1846" t="inlineStr">
        <is>
          <t>Myosin light chain, phosphorylatable, fast skeletal muscle</t>
        </is>
      </c>
    </row>
    <row r="1847">
      <c r="A1847" t="inlineStr"/>
      <c r="B1847" t="inlineStr"/>
      <c r="C1847" t="inlineStr"/>
      <c r="D1847" t="inlineStr"/>
      <c r="E1847">
        <f>HYPERLINK("https://www.ncbi.nlm.nih.gov/gene/?term=XP_040190871.1", "XP_040190871.1")</f>
        <v/>
      </c>
      <c r="F1847" t="n">
        <v>96.5</v>
      </c>
      <c r="G1847" t="n">
        <v>170</v>
      </c>
      <c r="H1847" t="n">
        <v>4.09e-113</v>
      </c>
      <c r="I1847" t="inlineStr">
        <is>
          <t>Nr</t>
        </is>
      </c>
      <c r="J1847" t="inlineStr"/>
      <c r="K1847" t="inlineStr"/>
      <c r="L1847" t="inlineStr">
        <is>
          <t>XP_040190871.1 myosin regulatory light chain 2, skeletal muscle isoform [Rana temporaria]</t>
        </is>
      </c>
      <c r="M1847" t="n">
        <v>170</v>
      </c>
      <c r="N1847" t="inlineStr">
        <is>
          <t>Rana temporaria</t>
        </is>
      </c>
      <c r="O1847" t="inlineStr">
        <is>
          <t>myosin regulatory light chain 2, skeletal muscle isoform</t>
        </is>
      </c>
    </row>
    <row r="1848">
      <c r="A1848" t="inlineStr"/>
      <c r="B1848" t="inlineStr"/>
      <c r="C1848" t="inlineStr"/>
      <c r="D1848" t="inlineStr"/>
      <c r="E1848">
        <f>HYPERLINK("https://www.uniprot.org/uniprotkb/A0A8J6JRK3/entry", "A0A8J6JRK3")</f>
        <v/>
      </c>
      <c r="F1848" t="n">
        <v>95.90000000000001</v>
      </c>
      <c r="G1848" t="n">
        <v>170</v>
      </c>
      <c r="H1848" t="n">
        <v>6.469999999999999e-113</v>
      </c>
      <c r="I1848" t="inlineStr">
        <is>
          <t>TrEMBL</t>
        </is>
      </c>
      <c r="J1848" t="inlineStr">
        <is>
          <t>GDO78_022701</t>
        </is>
      </c>
      <c r="K1848" t="inlineStr">
        <is>
          <t>A0A8J6JRK3_ELECQ</t>
        </is>
      </c>
      <c r="L1848" t="inlineStr">
        <is>
          <t>tr|A0A8J6JRK3|A0A8J6JRK3_ELECQ EF-hand domain-containing protein OS=Eleutherodactylus coqui OX=57060 GN=GDO78_022701 PE=4 SV=1</t>
        </is>
      </c>
      <c r="M1848" t="n">
        <v>170</v>
      </c>
      <c r="N1848" t="inlineStr">
        <is>
          <t>Eleutherodactylus coqui</t>
        </is>
      </c>
      <c r="O1848" t="inlineStr">
        <is>
          <t>EF-hand domain-containing protein</t>
        </is>
      </c>
    </row>
    <row r="1849">
      <c r="A1849" t="inlineStr"/>
      <c r="B1849" t="inlineStr"/>
      <c r="C1849" t="inlineStr"/>
      <c r="D1849" t="inlineStr"/>
      <c r="E1849">
        <f>HYPERLINK("https://www.uniprot.org/uniprotkb/A0A8J0TXU9/entry", "A0A8J0TXU9")</f>
        <v/>
      </c>
      <c r="F1849" t="n">
        <v>95.90000000000001</v>
      </c>
      <c r="G1849" t="n">
        <v>170</v>
      </c>
      <c r="H1849" t="n">
        <v>6.469999999999999e-113</v>
      </c>
      <c r="I1849" t="inlineStr">
        <is>
          <t>TrEMBL</t>
        </is>
      </c>
      <c r="J1849" t="inlineStr">
        <is>
          <t>LOC108701718</t>
        </is>
      </c>
      <c r="K1849" t="inlineStr">
        <is>
          <t>A0A8J0TXU9_XENLA</t>
        </is>
      </c>
      <c r="L1849" t="inlineStr">
        <is>
          <t>tr|A0A8J0TXU9|A0A8J0TXU9_XENLA myosin regulatory light chain 2, skeletal muscle isoform type 2 OS=Xenopus laevis OX=8355 GN=LOC108701718 PE=4 SV=1</t>
        </is>
      </c>
      <c r="M1849" t="n">
        <v>170</v>
      </c>
      <c r="N1849" t="inlineStr">
        <is>
          <t>Xenopus laevis</t>
        </is>
      </c>
      <c r="O1849" t="inlineStr">
        <is>
          <t>myosin regulatory light chain 2, skeletal muscle isoform type 2</t>
        </is>
      </c>
    </row>
    <row r="1850">
      <c r="A1850" t="inlineStr"/>
      <c r="B1850" t="inlineStr"/>
      <c r="C1850" t="inlineStr"/>
      <c r="D1850" t="inlineStr"/>
      <c r="E1850">
        <f>HYPERLINK("https://www.uniprot.org/uniprotkb/Q8AVD6/entry", "Q8AVD6")</f>
        <v/>
      </c>
      <c r="F1850" t="n">
        <v>94.7</v>
      </c>
      <c r="G1850" t="n">
        <v>170</v>
      </c>
      <c r="H1850" t="n">
        <v>1.31e-112</v>
      </c>
      <c r="I1850" t="inlineStr">
        <is>
          <t>TrEMBL</t>
        </is>
      </c>
      <c r="J1850" t="inlineStr">
        <is>
          <t>myl11.S</t>
        </is>
      </c>
      <c r="K1850" t="inlineStr">
        <is>
          <t>Q8AVD6_XENLA</t>
        </is>
      </c>
      <c r="L1850" t="inlineStr">
        <is>
          <t>tr|Q8AVD6|Q8AVD6_XENLA Mylpf-prov protein OS=Xenopus laevis OX=8355 GN=myl11.S PE=2 SV=1</t>
        </is>
      </c>
      <c r="M1850" t="n">
        <v>170</v>
      </c>
      <c r="N1850" t="inlineStr">
        <is>
          <t>Xenopus laevis</t>
        </is>
      </c>
      <c r="O1850" t="inlineStr">
        <is>
          <t>Mylpf-prov protein</t>
        </is>
      </c>
    </row>
    <row r="1851">
      <c r="A1851" t="inlineStr"/>
      <c r="B1851" t="inlineStr"/>
      <c r="C1851" t="inlineStr"/>
      <c r="D1851" t="inlineStr"/>
      <c r="E1851">
        <f>HYPERLINK("https://www.ncbi.nlm.nih.gov/gene/?term=KAG9468456.1", "KAG9468456.1")</f>
        <v/>
      </c>
      <c r="F1851" t="n">
        <v>95.90000000000001</v>
      </c>
      <c r="G1851" t="n">
        <v>170</v>
      </c>
      <c r="H1851" t="n">
        <v>1.66e-112</v>
      </c>
      <c r="I1851" t="inlineStr">
        <is>
          <t>Nr</t>
        </is>
      </c>
      <c r="J1851" t="inlineStr"/>
      <c r="K1851" t="inlineStr"/>
      <c r="L1851" t="inlineStr">
        <is>
          <t>KAG9468456.1 hypothetical protein GDO78_022701 [Eleutherodactylus coqui]</t>
        </is>
      </c>
      <c r="M1851" t="n">
        <v>170</v>
      </c>
      <c r="N1851" t="inlineStr">
        <is>
          <t>Eleutherodactylus coqui</t>
        </is>
      </c>
      <c r="O1851" t="inlineStr">
        <is>
          <t>hypothetical protein GDO78_022701</t>
        </is>
      </c>
    </row>
    <row r="1852">
      <c r="A1852" t="inlineStr"/>
      <c r="B1852" t="inlineStr"/>
      <c r="C1852" t="inlineStr"/>
      <c r="D1852" t="inlineStr"/>
      <c r="E1852">
        <f>HYPERLINK("https://www.ncbi.nlm.nih.gov/gene/?term=XP_018092204.1", "XP_018092204.1")</f>
        <v/>
      </c>
      <c r="F1852" t="n">
        <v>95.90000000000001</v>
      </c>
      <c r="G1852" t="n">
        <v>170</v>
      </c>
      <c r="H1852" t="n">
        <v>1.66e-112</v>
      </c>
      <c r="I1852" t="inlineStr">
        <is>
          <t>Nr</t>
        </is>
      </c>
      <c r="J1852" t="inlineStr"/>
      <c r="K1852" t="inlineStr"/>
      <c r="L1852" t="inlineStr">
        <is>
          <t>XP_018092204.1 myosin regulatory light chain 2, skeletal muscle isoform type 2 [Xenopus laevis]</t>
        </is>
      </c>
      <c r="M1852" t="n">
        <v>170</v>
      </c>
      <c r="N1852" t="inlineStr">
        <is>
          <t>Xenopus laevis</t>
        </is>
      </c>
      <c r="O1852" t="inlineStr">
        <is>
          <t>myosin regulatory light chain 2, skeletal muscle isoform type 2</t>
        </is>
      </c>
    </row>
    <row r="1853">
      <c r="A1853" t="inlineStr"/>
      <c r="B1853" t="inlineStr"/>
      <c r="C1853" t="inlineStr"/>
      <c r="D1853" t="inlineStr"/>
      <c r="E1853">
        <f>HYPERLINK("https://www.ncbi.nlm.nih.gov/gene/?term=XP_053326940.1", "XP_053326940.1")</f>
        <v/>
      </c>
      <c r="F1853" t="n">
        <v>95.90000000000001</v>
      </c>
      <c r="G1853" t="n">
        <v>170</v>
      </c>
      <c r="H1853" t="n">
        <v>2.36e-112</v>
      </c>
      <c r="I1853" t="inlineStr">
        <is>
          <t>Nr</t>
        </is>
      </c>
      <c r="J1853" t="inlineStr"/>
      <c r="K1853" t="inlineStr"/>
      <c r="L1853" t="inlineStr">
        <is>
          <t>XP_053326940.1 myosin regulatory light chain 11 [Spea bombifrons]</t>
        </is>
      </c>
      <c r="M1853" t="n">
        <v>170</v>
      </c>
      <c r="N1853" t="inlineStr">
        <is>
          <t>Spea bombifrons</t>
        </is>
      </c>
      <c r="O1853" t="inlineStr">
        <is>
          <t>myosin regulatory light chain 11</t>
        </is>
      </c>
    </row>
    <row r="1854">
      <c r="A1854" t="inlineStr"/>
      <c r="B1854" t="inlineStr"/>
      <c r="C1854" t="inlineStr"/>
      <c r="D1854" t="inlineStr"/>
      <c r="E1854">
        <f>HYPERLINK("https://www.ncbi.nlm.nih.gov/gene/?term=NP_001084009.1", "NP_001084009.1")</f>
        <v/>
      </c>
      <c r="F1854" t="n">
        <v>94.7</v>
      </c>
      <c r="G1854" t="n">
        <v>170</v>
      </c>
      <c r="H1854" t="n">
        <v>3.35e-112</v>
      </c>
      <c r="I1854" t="inlineStr">
        <is>
          <t>Nr</t>
        </is>
      </c>
      <c r="J1854" t="inlineStr"/>
      <c r="K1854" t="inlineStr"/>
      <c r="L1854" t="inlineStr">
        <is>
          <t>NP_001084009.1 myosin light chain, phosphorylatable, fast skeletal muscle L homeolog [Xenopus laevis]</t>
        </is>
      </c>
      <c r="M1854" t="n">
        <v>170</v>
      </c>
      <c r="N1854" t="inlineStr">
        <is>
          <t>Xenopus laevis</t>
        </is>
      </c>
      <c r="O1854" t="inlineStr">
        <is>
          <t>myosin light chain, phosphorylatable, fast skeletal muscle L homeolog</t>
        </is>
      </c>
    </row>
    <row r="1855">
      <c r="A1855" t="inlineStr"/>
      <c r="B1855" t="inlineStr"/>
      <c r="C1855" t="inlineStr"/>
      <c r="D1855" t="inlineStr"/>
      <c r="E1855">
        <f>HYPERLINK("https://www.ncbi.nlm.nih.gov/gene/?term=XP_029802208.1", "XP_029802208.1")</f>
        <v/>
      </c>
      <c r="F1855" t="n">
        <v>92.59999999999999</v>
      </c>
      <c r="G1855" t="n">
        <v>176</v>
      </c>
      <c r="H1855" t="n">
        <v>3.99e-112</v>
      </c>
      <c r="I1855" t="inlineStr">
        <is>
          <t>Nr</t>
        </is>
      </c>
      <c r="J1855" t="inlineStr"/>
      <c r="K1855" t="inlineStr"/>
      <c r="L1855" t="inlineStr">
        <is>
          <t>XP_029802208.1 myosin regulatory light chain 2, skeletal muscle isoform [Suricata suricatta]</t>
        </is>
      </c>
      <c r="M1855" t="n">
        <v>185</v>
      </c>
      <c r="N1855" t="inlineStr">
        <is>
          <t>Suricata suricatta</t>
        </is>
      </c>
      <c r="O1855" t="inlineStr">
        <is>
          <t>myosin regulatory light chain 2, skeletal muscle isoform</t>
        </is>
      </c>
    </row>
    <row r="1856">
      <c r="A1856" t="inlineStr"/>
      <c r="B1856" t="inlineStr"/>
      <c r="C1856" t="inlineStr"/>
      <c r="D1856" t="inlineStr"/>
      <c r="E1856">
        <f>HYPERLINK("https://www.ncbi.nlm.nih.gov/gene/?term=XP_007988178.2", "XP_007988178.2")</f>
        <v/>
      </c>
      <c r="F1856" t="n">
        <v>92.7</v>
      </c>
      <c r="G1856" t="n">
        <v>177</v>
      </c>
      <c r="H1856" t="n">
        <v>1.51e-111</v>
      </c>
      <c r="I1856" t="inlineStr">
        <is>
          <t>Nr</t>
        </is>
      </c>
      <c r="J1856" t="inlineStr"/>
      <c r="K1856" t="inlineStr"/>
      <c r="L1856" t="inlineStr">
        <is>
          <t>XP_007988178.2 myosin regulatory light chain 2, skeletal muscle isoform [Chlorocebus sabaeus]</t>
        </is>
      </c>
      <c r="M1856" t="n">
        <v>183</v>
      </c>
      <c r="N1856" t="inlineStr">
        <is>
          <t>Chlorocebus sabaeus</t>
        </is>
      </c>
      <c r="O1856" t="inlineStr">
        <is>
          <t>myosin regulatory light chain 2, skeletal muscle isoform</t>
        </is>
      </c>
    </row>
    <row r="1857">
      <c r="A1857" t="inlineStr"/>
      <c r="B1857" t="inlineStr"/>
      <c r="C1857" t="inlineStr"/>
      <c r="D1857" t="inlineStr"/>
      <c r="E1857">
        <f>HYPERLINK("https://www.uniprot.org/uniprotkb/A0A2K5WZ50/entry", "A0A2K5WZ50")</f>
        <v/>
      </c>
      <c r="F1857" t="n">
        <v>92.7</v>
      </c>
      <c r="G1857" t="n">
        <v>177</v>
      </c>
      <c r="H1857" t="n">
        <v>1.93e-111</v>
      </c>
      <c r="I1857" t="inlineStr">
        <is>
          <t>TrEMBL</t>
        </is>
      </c>
      <c r="J1857" t="inlineStr">
        <is>
          <t>MYLPF</t>
        </is>
      </c>
      <c r="K1857" t="inlineStr">
        <is>
          <t>A0A2K5WZ50_MACFA</t>
        </is>
      </c>
      <c r="L1857" t="inlineStr">
        <is>
          <t>tr|A0A2K5WZ50|A0A2K5WZ50_MACFA Myosin light chain, phosphorylatable, fast skeletal muscle OS=Macaca fascicularis OX=9541 GN=MYLPF PE=4 SV=2</t>
        </is>
      </c>
      <c r="M1857" t="n">
        <v>227</v>
      </c>
      <c r="N1857" t="inlineStr">
        <is>
          <t>Macaca fascicularis</t>
        </is>
      </c>
      <c r="O1857" t="inlineStr">
        <is>
          <t>Myosin light chain, phosphorylatable, fast skeletal muscle</t>
        </is>
      </c>
    </row>
    <row r="1858">
      <c r="A1858" t="inlineStr"/>
      <c r="B1858" t="inlineStr"/>
      <c r="C1858" t="inlineStr"/>
      <c r="D1858" t="inlineStr"/>
      <c r="E1858">
        <f>HYPERLINK("https://www.ncbi.nlm.nih.gov/gene/?term=XP_037363140.1", "XP_037363140.1")</f>
        <v/>
      </c>
      <c r="F1858" t="n">
        <v>91.5</v>
      </c>
      <c r="G1858" t="n">
        <v>176</v>
      </c>
      <c r="H1858" t="n">
        <v>2.3e-111</v>
      </c>
      <c r="I1858" t="inlineStr">
        <is>
          <t>Nr</t>
        </is>
      </c>
      <c r="J1858" t="inlineStr"/>
      <c r="K1858" t="inlineStr"/>
      <c r="L1858" t="inlineStr">
        <is>
          <t>XP_037363140.1 myosin regulatory light chain 2, skeletal muscle isoform isoform X1 [Talpa occidentalis]</t>
        </is>
      </c>
      <c r="M1858" t="n">
        <v>195</v>
      </c>
      <c r="N1858" t="inlineStr">
        <is>
          <t>Talpa occidentalis</t>
        </is>
      </c>
      <c r="O1858" t="inlineStr">
        <is>
          <t>myosin regulatory light chain 2, skeletal muscle isoform isoform X1</t>
        </is>
      </c>
    </row>
    <row r="1859">
      <c r="A1859" t="inlineStr"/>
      <c r="B1859" t="inlineStr"/>
      <c r="C1859" t="inlineStr"/>
      <c r="D1859" t="inlineStr"/>
      <c r="E1859">
        <f>HYPERLINK("https://www.uniprot.org/uniprotkb/A0A8C5Q7N6/entry", "A0A8C5Q7N6")</f>
        <v/>
      </c>
      <c r="F1859" t="n">
        <v>94.7</v>
      </c>
      <c r="G1859" t="n">
        <v>170</v>
      </c>
      <c r="H1859" t="n">
        <v>3.06e-111</v>
      </c>
      <c r="I1859" t="inlineStr">
        <is>
          <t>TrEMBL</t>
        </is>
      </c>
      <c r="J1859" t="inlineStr">
        <is>
          <t>MYLPF</t>
        </is>
      </c>
      <c r="K1859" t="inlineStr">
        <is>
          <t>A0A8C5Q7N6_9ANUR</t>
        </is>
      </c>
      <c r="L1859" t="inlineStr">
        <is>
          <t>tr|A0A8C5Q7N6|A0A8C5Q7N6_9ANUR Myosin light chain, phosphorylatable, fast skeletal muscle OS=Leptobrachium leishanense OX=445787 GN=MYLPF PE=4 SV=1</t>
        </is>
      </c>
      <c r="M1859" t="n">
        <v>170</v>
      </c>
      <c r="N1859" t="inlineStr">
        <is>
          <t>Leptobrachium leishanense</t>
        </is>
      </c>
      <c r="O1859" t="inlineStr">
        <is>
          <t>Myosin light chain, phosphorylatable, fast skeletal muscle</t>
        </is>
      </c>
    </row>
    <row r="1860">
      <c r="A1860" t="inlineStr"/>
      <c r="B1860" t="inlineStr"/>
      <c r="C1860" t="inlineStr"/>
      <c r="D1860" t="inlineStr"/>
      <c r="E1860">
        <f>HYPERLINK("https://www.uniprot.org/uniprotkb/A0A6P8RG01/entry", "A0A6P8RG01")</f>
        <v/>
      </c>
      <c r="F1860" t="n">
        <v>94.59999999999999</v>
      </c>
      <c r="G1860" t="n">
        <v>168</v>
      </c>
      <c r="H1860" t="n">
        <v>4.2e-111</v>
      </c>
      <c r="I1860" t="inlineStr">
        <is>
          <t>TrEMBL</t>
        </is>
      </c>
      <c r="J1860" t="inlineStr">
        <is>
          <t>MYLPF</t>
        </is>
      </c>
      <c r="K1860" t="inlineStr">
        <is>
          <t>A0A6P8RG01_GEOSA</t>
        </is>
      </c>
      <c r="L1860" t="inlineStr">
        <is>
          <t>tr|A0A6P8RG01|A0A6P8RG01_GEOSA myosin regulatory light chain 2, skeletal muscle isoform OS=Geotrypetes seraphini OX=260995 GN=MYLPF PE=4 SV=1</t>
        </is>
      </c>
      <c r="M1860" t="n">
        <v>169</v>
      </c>
      <c r="N1860" t="inlineStr">
        <is>
          <t>Geotrypetes seraphini</t>
        </is>
      </c>
      <c r="O1860" t="inlineStr">
        <is>
          <t>myosin regulatory light chain 2, skeletal muscle isoform</t>
        </is>
      </c>
    </row>
    <row r="1861">
      <c r="A1861" t="inlineStr"/>
      <c r="B1861" t="inlineStr"/>
      <c r="C1861" t="inlineStr"/>
      <c r="D1861" t="inlineStr"/>
      <c r="E1861">
        <f>HYPERLINK("https://www.uniprot.org/uniprotkb/P02608/entry", "P02608")</f>
        <v/>
      </c>
      <c r="F1861" t="n">
        <v>92.40000000000001</v>
      </c>
      <c r="G1861" t="n">
        <v>170</v>
      </c>
      <c r="H1861" t="n">
        <v>6.07e-111</v>
      </c>
      <c r="I1861" t="inlineStr">
        <is>
          <t>Swiss-Prot</t>
        </is>
      </c>
      <c r="J1861" t="inlineStr">
        <is>
          <t>MYL11</t>
        </is>
      </c>
      <c r="K1861" t="inlineStr">
        <is>
          <t>MYL11_RABIT</t>
        </is>
      </c>
      <c r="L1861" t="inlineStr">
        <is>
          <t>sp|P02608|MYL11_RABIT Myosin regulatory light chain 11 OS=Oryctolagus cuniculus OX=9986 GN=MYL11 PE=1 SV=3</t>
        </is>
      </c>
      <c r="M1861" t="n">
        <v>170</v>
      </c>
      <c r="N1861" t="inlineStr">
        <is>
          <t>Oryctolagus cuniculus</t>
        </is>
      </c>
      <c r="O1861" t="inlineStr">
        <is>
          <t>Myosin regulatory light chain 11</t>
        </is>
      </c>
    </row>
    <row r="1862">
      <c r="A1862" t="inlineStr"/>
      <c r="B1862" t="inlineStr"/>
      <c r="C1862" t="inlineStr"/>
      <c r="D1862" t="inlineStr"/>
      <c r="E1862">
        <f>HYPERLINK("https://www.ncbi.nlm.nih.gov/gene/?term=XP_033802853.1", "XP_033802853.1")</f>
        <v/>
      </c>
      <c r="F1862" t="n">
        <v>94.59999999999999</v>
      </c>
      <c r="G1862" t="n">
        <v>168</v>
      </c>
      <c r="H1862" t="n">
        <v>1.08e-110</v>
      </c>
      <c r="I1862" t="inlineStr">
        <is>
          <t>Nr</t>
        </is>
      </c>
      <c r="J1862" t="inlineStr"/>
      <c r="K1862" t="inlineStr"/>
      <c r="L1862" t="inlineStr">
        <is>
          <t>XP_033802853.1 myosin regulatory light chain 2, skeletal muscle isoform [Geotrypetes seraphini]</t>
        </is>
      </c>
      <c r="M1862" t="n">
        <v>169</v>
      </c>
      <c r="N1862" t="inlineStr">
        <is>
          <t>Geotrypetes seraphini</t>
        </is>
      </c>
      <c r="O1862" t="inlineStr">
        <is>
          <t>myosin regulatory light chain 2, skeletal muscle isoform</t>
        </is>
      </c>
    </row>
    <row r="1863">
      <c r="A1863" t="inlineStr"/>
      <c r="B1863" t="inlineStr"/>
      <c r="C1863" t="inlineStr"/>
      <c r="D1863" t="inlineStr"/>
      <c r="E1863">
        <f>HYPERLINK("https://www.ncbi.nlm.nih.gov/gene/?term=XP_006896589.1", "XP_006896589.1")</f>
        <v/>
      </c>
      <c r="F1863" t="n">
        <v>95.3</v>
      </c>
      <c r="G1863" t="n">
        <v>170</v>
      </c>
      <c r="H1863" t="n">
        <v>1.08e-110</v>
      </c>
      <c r="I1863" t="inlineStr">
        <is>
          <t>Nr</t>
        </is>
      </c>
      <c r="J1863" t="inlineStr"/>
      <c r="K1863" t="inlineStr"/>
      <c r="L1863" t="inlineStr">
        <is>
          <t>XP_006896589.1 PREDICTED: myosin regulatory light chain 2, skeletal muscle isoform type 2-like [Elephantulus edwardii]</t>
        </is>
      </c>
      <c r="M1863" t="n">
        <v>169</v>
      </c>
      <c r="N1863" t="inlineStr">
        <is>
          <t>Elephantulus edwardii</t>
        </is>
      </c>
      <c r="O1863" t="inlineStr">
        <is>
          <t>PREDICTED: myosin regulatory light chain 2, skeletal muscle isoform type 2-like</t>
        </is>
      </c>
    </row>
    <row r="1864">
      <c r="A1864" t="inlineStr"/>
      <c r="B1864" t="inlineStr"/>
      <c r="C1864" t="inlineStr"/>
      <c r="D1864" t="inlineStr"/>
      <c r="E1864">
        <f>HYPERLINK("https://www.ncbi.nlm.nih.gov/gene/?term=XP_024416261.1", "XP_024416261.1")</f>
        <v/>
      </c>
      <c r="F1864" t="n">
        <v>94.7</v>
      </c>
      <c r="G1864" t="n">
        <v>170</v>
      </c>
      <c r="H1864" t="n">
        <v>1.53e-110</v>
      </c>
      <c r="I1864" t="inlineStr">
        <is>
          <t>Nr</t>
        </is>
      </c>
      <c r="J1864" t="inlineStr"/>
      <c r="K1864" t="inlineStr"/>
      <c r="L1864" t="inlineStr">
        <is>
          <t>XP_024416261.1 myosin regulatory light chain 2, skeletal muscle isoform [Desmodus rotundus]</t>
        </is>
      </c>
      <c r="M1864" t="n">
        <v>169</v>
      </c>
      <c r="N1864" t="inlineStr">
        <is>
          <t>Desmodus rotundus</t>
        </is>
      </c>
      <c r="O1864" t="inlineStr">
        <is>
          <t>myosin regulatory light chain 2, skeletal muscle isoform</t>
        </is>
      </c>
    </row>
    <row r="1865">
      <c r="A1865" t="inlineStr"/>
      <c r="B1865" t="inlineStr"/>
      <c r="C1865" t="inlineStr"/>
      <c r="D1865" t="inlineStr"/>
      <c r="E1865">
        <f>HYPERLINK("https://www.uniprot.org/uniprotkb/A0A8C5Q7V8/entry", "A0A8C5Q7V8")</f>
        <v/>
      </c>
      <c r="F1865" t="n">
        <v>94.7</v>
      </c>
      <c r="G1865" t="n">
        <v>169</v>
      </c>
      <c r="H1865" t="n">
        <v>1.77e-110</v>
      </c>
      <c r="I1865" t="inlineStr">
        <is>
          <t>TrEMBL</t>
        </is>
      </c>
      <c r="J1865" t="inlineStr">
        <is>
          <t>MYLPF</t>
        </is>
      </c>
      <c r="K1865" t="inlineStr">
        <is>
          <t>A0A8C5Q7V8_9ANUR</t>
        </is>
      </c>
      <c r="L1865" t="inlineStr">
        <is>
          <t>tr|A0A8C5Q7V8|A0A8C5Q7V8_9ANUR Myosin light chain, phosphorylatable, fast skeletal muscle OS=Leptobrachium leishanense OX=445787 GN=MYLPF PE=4 SV=1</t>
        </is>
      </c>
      <c r="M1865" t="n">
        <v>170</v>
      </c>
      <c r="N1865" t="inlineStr">
        <is>
          <t>Leptobrachium leishanense</t>
        </is>
      </c>
      <c r="O1865" t="inlineStr">
        <is>
          <t>Myosin light chain, phosphorylatable, fast skeletal muscle</t>
        </is>
      </c>
    </row>
    <row r="1866">
      <c r="A1866" t="inlineStr"/>
      <c r="B1866" t="inlineStr"/>
      <c r="C1866" t="inlineStr"/>
      <c r="D1866" t="inlineStr"/>
      <c r="E1866">
        <f>HYPERLINK("https://www.uniprot.org/uniprotkb/A0A673U1F7/entry", "A0A673U1F7")</f>
        <v/>
      </c>
      <c r="F1866" t="n">
        <v>93.5</v>
      </c>
      <c r="G1866" t="n">
        <v>170</v>
      </c>
      <c r="H1866" t="n">
        <v>3.56e-110</v>
      </c>
      <c r="I1866" t="inlineStr">
        <is>
          <t>TrEMBL</t>
        </is>
      </c>
      <c r="J1866" t="inlineStr"/>
      <c r="K1866" t="inlineStr">
        <is>
          <t>A0A673U1F7_SURSU</t>
        </is>
      </c>
      <c r="L1866" t="inlineStr">
        <is>
          <t>tr|A0A673U1F7|A0A673U1F7_SURSU Myosin light chain, phosphorylatable, fast skeletal muscle OS=Suricata suricatta OX=37032 PE=4 SV=1</t>
        </is>
      </c>
      <c r="M1866" t="n">
        <v>170</v>
      </c>
      <c r="N1866" t="inlineStr">
        <is>
          <t>Suricata suricatta</t>
        </is>
      </c>
      <c r="O1866" t="inlineStr">
        <is>
          <t>Myosin light chain, phosphorylatable, fast skeletal muscle</t>
        </is>
      </c>
    </row>
    <row r="1867">
      <c r="A1867" t="inlineStr"/>
      <c r="B1867" t="inlineStr"/>
      <c r="C1867" t="inlineStr"/>
      <c r="D1867" t="inlineStr"/>
      <c r="E1867">
        <f>HYPERLINK("https://www.uniprot.org/uniprotkb/H0V016/entry", "H0V016")</f>
        <v/>
      </c>
      <c r="F1867" t="n">
        <v>93.5</v>
      </c>
      <c r="G1867" t="n">
        <v>170</v>
      </c>
      <c r="H1867" t="n">
        <v>3.56e-110</v>
      </c>
      <c r="I1867" t="inlineStr">
        <is>
          <t>TrEMBL</t>
        </is>
      </c>
      <c r="J1867" t="inlineStr">
        <is>
          <t>MYLPF</t>
        </is>
      </c>
      <c r="K1867" t="inlineStr">
        <is>
          <t>H0V016_CAVPO</t>
        </is>
      </c>
      <c r="L1867" t="inlineStr">
        <is>
          <t>tr|H0V016|H0V016_CAVPO Myosin light chain, phosphorylatable, fast skeletal muscle OS=Cavia porcellus OX=10141 GN=MYLPF PE=4 SV=2</t>
        </is>
      </c>
      <c r="M1867" t="n">
        <v>170</v>
      </c>
      <c r="N1867" t="inlineStr">
        <is>
          <t>Cavia porcellus</t>
        </is>
      </c>
      <c r="O1867" t="inlineStr">
        <is>
          <t>Myosin light chain, phosphorylatable, fast skeletal muscle</t>
        </is>
      </c>
    </row>
    <row r="1868">
      <c r="A1868" t="inlineStr"/>
      <c r="B1868" t="inlineStr"/>
      <c r="C1868" t="inlineStr"/>
      <c r="D1868" t="inlineStr"/>
      <c r="E1868">
        <f>HYPERLINK("https://www.uniprot.org/uniprotkb/A0A8C2VM61/entry", "A0A8C2VM61")</f>
        <v/>
      </c>
      <c r="F1868" t="n">
        <v>93.5</v>
      </c>
      <c r="G1868" t="n">
        <v>170</v>
      </c>
      <c r="H1868" t="n">
        <v>3.56e-110</v>
      </c>
      <c r="I1868" t="inlineStr">
        <is>
          <t>TrEMBL</t>
        </is>
      </c>
      <c r="J1868" t="inlineStr">
        <is>
          <t>MYLPF</t>
        </is>
      </c>
      <c r="K1868" t="inlineStr">
        <is>
          <t>A0A8C2VM61_CHILA</t>
        </is>
      </c>
      <c r="L1868" t="inlineStr">
        <is>
          <t>tr|A0A8C2VM61|A0A8C2VM61_CHILA Myosin light chain, phosphorylatable, fast skeletal muscle OS=Chinchilla lanigera OX=34839 GN=MYLPF PE=4 SV=1</t>
        </is>
      </c>
      <c r="M1868" t="n">
        <v>170</v>
      </c>
      <c r="N1868" t="inlineStr">
        <is>
          <t>Chinchilla lanigera</t>
        </is>
      </c>
      <c r="O1868" t="inlineStr">
        <is>
          <t>Myosin light chain, phosphorylatable, fast skeletal muscle</t>
        </is>
      </c>
    </row>
    <row r="1869">
      <c r="A1869" t="inlineStr"/>
      <c r="B1869" t="inlineStr"/>
      <c r="C1869" t="inlineStr"/>
      <c r="D1869" t="inlineStr"/>
      <c r="E1869">
        <f>HYPERLINK("https://www.uniprot.org/uniprotkb/A0A6P3V967/entry", "A0A6P3V967")</f>
        <v/>
      </c>
      <c r="F1869" t="n">
        <v>93.5</v>
      </c>
      <c r="G1869" t="n">
        <v>170</v>
      </c>
      <c r="H1869" t="n">
        <v>3.56e-110</v>
      </c>
      <c r="I1869" t="inlineStr">
        <is>
          <t>TrEMBL</t>
        </is>
      </c>
      <c r="J1869" t="inlineStr">
        <is>
          <t>Mylpf</t>
        </is>
      </c>
      <c r="K1869" t="inlineStr">
        <is>
          <t>A0A6P3V967_OCTDE</t>
        </is>
      </c>
      <c r="L1869" t="inlineStr">
        <is>
          <t>tr|A0A6P3V967|A0A6P3V967_OCTDE myosin regulatory light chain 2, skeletal muscle isoform OS=Octodon degus OX=10160 GN=Mylpf PE=4 SV=1</t>
        </is>
      </c>
      <c r="M1869" t="n">
        <v>170</v>
      </c>
      <c r="N1869" t="inlineStr">
        <is>
          <t>Octodon degus</t>
        </is>
      </c>
      <c r="O1869" t="inlineStr">
        <is>
          <t>myosin regulatory light chain 2, skeletal muscle isoform</t>
        </is>
      </c>
    </row>
    <row r="1870">
      <c r="A1870" t="inlineStr"/>
      <c r="B1870" t="inlineStr"/>
      <c r="C1870" t="inlineStr"/>
      <c r="D1870" t="inlineStr"/>
      <c r="E1870">
        <f>HYPERLINK("https://www.ncbi.nlm.nih.gov/gene/?term=XP_004705720.2", "XP_004705720.2")</f>
        <v/>
      </c>
      <c r="F1870" t="n">
        <v>91.5</v>
      </c>
      <c r="G1870" t="n">
        <v>176</v>
      </c>
      <c r="H1870" t="n">
        <v>5.2e-110</v>
      </c>
      <c r="I1870" t="inlineStr">
        <is>
          <t>Nr</t>
        </is>
      </c>
      <c r="J1870" t="inlineStr"/>
      <c r="K1870" t="inlineStr"/>
      <c r="L1870" t="inlineStr">
        <is>
          <t>XP_004705720.2 myosin regulatory light chain 2, skeletal muscle isoform [Echinops telfairi]</t>
        </is>
      </c>
      <c r="M1870" t="n">
        <v>194</v>
      </c>
      <c r="N1870" t="inlineStr">
        <is>
          <t>Echinops telfairi</t>
        </is>
      </c>
      <c r="O1870" t="inlineStr">
        <is>
          <t>myosin regulatory light chain 2, skeletal muscle isoform</t>
        </is>
      </c>
    </row>
    <row r="1871">
      <c r="A1871" t="inlineStr"/>
      <c r="B1871" t="inlineStr"/>
      <c r="C1871" t="inlineStr"/>
      <c r="D1871" t="inlineStr"/>
      <c r="E1871">
        <f>HYPERLINK("https://www.ncbi.nlm.nih.gov/gene/?term=XP_039103883.1", "XP_039103883.1")</f>
        <v/>
      </c>
      <c r="F1871" t="n">
        <v>90.90000000000001</v>
      </c>
      <c r="G1871" t="n">
        <v>176</v>
      </c>
      <c r="H1871" t="n">
        <v>7.660000000000001e-110</v>
      </c>
      <c r="I1871" t="inlineStr">
        <is>
          <t>Nr</t>
        </is>
      </c>
      <c r="J1871" t="inlineStr"/>
      <c r="K1871" t="inlineStr"/>
      <c r="L1871" t="inlineStr">
        <is>
          <t>XP_039103883.1 myosin regulatory light chain 2, skeletal muscle isoform [Hyaena hyaena]</t>
        </is>
      </c>
      <c r="M1871" t="n">
        <v>185</v>
      </c>
      <c r="N1871" t="inlineStr">
        <is>
          <t>Hyaena hyaena</t>
        </is>
      </c>
      <c r="O1871" t="inlineStr">
        <is>
          <t>myosin regulatory light chain 2, skeletal muscle isoform</t>
        </is>
      </c>
    </row>
    <row r="1872">
      <c r="A1872" t="inlineStr"/>
      <c r="B1872" t="inlineStr"/>
      <c r="C1872" t="inlineStr"/>
      <c r="D1872" t="inlineStr"/>
      <c r="E1872">
        <f>HYPERLINK("https://www.ncbi.nlm.nih.gov/gene/?term=XP_003478286.2", "XP_003478286.2")</f>
        <v/>
      </c>
      <c r="F1872" t="n">
        <v>93.5</v>
      </c>
      <c r="G1872" t="n">
        <v>170</v>
      </c>
      <c r="H1872" t="n">
        <v>9.140000000000001e-110</v>
      </c>
      <c r="I1872" t="inlineStr">
        <is>
          <t>Nr</t>
        </is>
      </c>
      <c r="J1872" t="inlineStr"/>
      <c r="K1872" t="inlineStr"/>
      <c r="L1872" t="inlineStr">
        <is>
          <t>XP_003478286.2 myosin regulatory light chain 2, skeletal muscle isoform [Cavia porcellus]</t>
        </is>
      </c>
      <c r="M1872" t="n">
        <v>170</v>
      </c>
      <c r="N1872" t="inlineStr">
        <is>
          <t>Cavia porcellus</t>
        </is>
      </c>
      <c r="O1872" t="inlineStr">
        <is>
          <t>myosin regulatory light chain 2, skeletal muscle isoform</t>
        </is>
      </c>
    </row>
    <row r="1873">
      <c r="A1873" t="inlineStr"/>
      <c r="B1873" t="inlineStr"/>
      <c r="C1873" t="inlineStr"/>
      <c r="D1873" t="inlineStr"/>
      <c r="E1873">
        <f>HYPERLINK("https://www.uniprot.org/uniprotkb/P04466/entry", "P04466")</f>
        <v/>
      </c>
      <c r="F1873" t="n">
        <v>92.90000000000001</v>
      </c>
      <c r="G1873" t="n">
        <v>170</v>
      </c>
      <c r="H1873" t="n">
        <v>9.680000000000001e-110</v>
      </c>
      <c r="I1873" t="inlineStr">
        <is>
          <t>Swiss-Prot</t>
        </is>
      </c>
      <c r="J1873" t="inlineStr">
        <is>
          <t>Myl11</t>
        </is>
      </c>
      <c r="K1873" t="inlineStr">
        <is>
          <t>MYL11_RAT</t>
        </is>
      </c>
      <c r="L1873" t="inlineStr">
        <is>
          <t>sp|P04466|MYL11_RAT Myosin regulatory light chain 11 OS=Rattus norvegicus OX=10116 GN=Myl11 PE=1 SV=2</t>
        </is>
      </c>
      <c r="M1873" t="n">
        <v>169</v>
      </c>
      <c r="N1873" t="inlineStr">
        <is>
          <t>Rattus norvegicus</t>
        </is>
      </c>
      <c r="O1873" t="inlineStr">
        <is>
          <t>Myosin regulatory light chain 11</t>
        </is>
      </c>
    </row>
    <row r="1874">
      <c r="A1874" t="inlineStr"/>
      <c r="B1874" t="inlineStr"/>
      <c r="C1874" t="inlineStr"/>
      <c r="D1874" t="inlineStr"/>
      <c r="E1874">
        <f>HYPERLINK("https://www.uniprot.org/uniprotkb/A0A6P5M7J4/entry", "A0A6P5M7J4")</f>
        <v/>
      </c>
      <c r="F1874" t="n">
        <v>94.7</v>
      </c>
      <c r="G1874" t="n">
        <v>170</v>
      </c>
      <c r="H1874" t="n">
        <v>9.830000000000001e-110</v>
      </c>
      <c r="I1874" t="inlineStr">
        <is>
          <t>TrEMBL</t>
        </is>
      </c>
      <c r="J1874" t="inlineStr">
        <is>
          <t>MYLPF</t>
        </is>
      </c>
      <c r="K1874" t="inlineStr">
        <is>
          <t>A0A6P5M7J4_PHACI</t>
        </is>
      </c>
      <c r="L1874" t="inlineStr">
        <is>
          <t>tr|A0A6P5M7J4|A0A6P5M7J4_PHACI myosin regulatory light chain 2, skeletal muscle isoform isoform X1 OS=Phascolarctos cinereus OX=38626 GN=MYLPF PE=4 SV=1</t>
        </is>
      </c>
      <c r="M1874" t="n">
        <v>169</v>
      </c>
      <c r="N1874" t="inlineStr">
        <is>
          <t>Phascolarctos cinereus</t>
        </is>
      </c>
      <c r="O1874" t="inlineStr">
        <is>
          <t>myosin regulatory light chain 2, skeletal muscle isoform isoform X1</t>
        </is>
      </c>
    </row>
    <row r="1875">
      <c r="A1875" t="inlineStr"/>
      <c r="B1875" t="inlineStr"/>
      <c r="C1875" t="inlineStr"/>
      <c r="D1875" t="inlineStr"/>
      <c r="E1875">
        <f>HYPERLINK("https://www.uniprot.org/uniprotkb/A0A5F8GD92/entry", "A0A5F8GD92")</f>
        <v/>
      </c>
      <c r="F1875" t="n">
        <v>94.7</v>
      </c>
      <c r="G1875" t="n">
        <v>170</v>
      </c>
      <c r="H1875" t="n">
        <v>9.830000000000001e-110</v>
      </c>
      <c r="I1875" t="inlineStr">
        <is>
          <t>TrEMBL</t>
        </is>
      </c>
      <c r="J1875" t="inlineStr">
        <is>
          <t>MYLPF</t>
        </is>
      </c>
      <c r="K1875" t="inlineStr">
        <is>
          <t>A0A5F8GD92_MONDO</t>
        </is>
      </c>
      <c r="L1875" t="inlineStr">
        <is>
          <t>tr|A0A5F8GD92|A0A5F8GD92_MONDO Myosin light chain, phosphorylatable, fast skeletal muscle OS=Monodelphis domestica OX=13616 GN=MYLPF PE=4 SV=1</t>
        </is>
      </c>
      <c r="M1875" t="n">
        <v>169</v>
      </c>
      <c r="N1875" t="inlineStr">
        <is>
          <t>Monodelphis domestica</t>
        </is>
      </c>
      <c r="O1875" t="inlineStr">
        <is>
          <t>Myosin light chain, phosphorylatable, fast skeletal muscle</t>
        </is>
      </c>
    </row>
    <row r="1876">
      <c r="A1876" t="inlineStr"/>
      <c r="B1876" t="inlineStr"/>
      <c r="C1876" t="inlineStr"/>
      <c r="D1876" t="inlineStr"/>
      <c r="E1876">
        <f>HYPERLINK("https://www.uniprot.org/uniprotkb/A0A2Y9I1X5/entry", "A0A2Y9I1X5")</f>
        <v/>
      </c>
      <c r="F1876" t="n">
        <v>90.3</v>
      </c>
      <c r="G1876" t="n">
        <v>176</v>
      </c>
      <c r="H1876" t="n">
        <v>1.21e-109</v>
      </c>
      <c r="I1876" t="inlineStr">
        <is>
          <t>TrEMBL</t>
        </is>
      </c>
      <c r="J1876" t="inlineStr">
        <is>
          <t>MYLPF</t>
        </is>
      </c>
      <c r="K1876" t="inlineStr">
        <is>
          <t>A0A2Y9I1X5_NEOSC</t>
        </is>
      </c>
      <c r="L1876" t="inlineStr">
        <is>
          <t>tr|A0A2Y9I1X5|A0A2Y9I1X5_NEOSC myosin regulatory light chain 2, skeletal muscle isoform isoform X1 OS=Neomonachus schauinslandi OX=29088 GN=MYLPF PE=4 SV=1</t>
        </is>
      </c>
      <c r="M1876" t="n">
        <v>185</v>
      </c>
      <c r="N1876" t="inlineStr">
        <is>
          <t>Neomonachus schauinslandi</t>
        </is>
      </c>
      <c r="O1876" t="inlineStr">
        <is>
          <t>myosin regulatory light chain 2, skeletal muscle isoform isoform X1</t>
        </is>
      </c>
    </row>
    <row r="1877">
      <c r="A1877" t="inlineStr"/>
      <c r="B1877" t="inlineStr"/>
      <c r="C1877" t="inlineStr"/>
      <c r="D1877" t="inlineStr"/>
      <c r="E1877">
        <f>HYPERLINK("https://www.uniprot.org/uniprotkb/A0A2U3VQC2/entry", "A0A2U3VQC2")</f>
        <v/>
      </c>
      <c r="F1877" t="n">
        <v>90.3</v>
      </c>
      <c r="G1877" t="n">
        <v>176</v>
      </c>
      <c r="H1877" t="n">
        <v>1.21e-109</v>
      </c>
      <c r="I1877" t="inlineStr">
        <is>
          <t>TrEMBL</t>
        </is>
      </c>
      <c r="J1877" t="inlineStr">
        <is>
          <t>MYLPF</t>
        </is>
      </c>
      <c r="K1877" t="inlineStr">
        <is>
          <t>A0A2U3VQC2_ODORO</t>
        </is>
      </c>
      <c r="L1877" t="inlineStr">
        <is>
          <t>tr|A0A2U3VQC2|A0A2U3VQC2_ODORO myosin regulatory light chain 2, skeletal muscle isoform isoform X1 OS=Odobenus rosmarus divergens OX=9708 GN=MYLPF PE=4 SV=1</t>
        </is>
      </c>
      <c r="M1877" t="n">
        <v>185</v>
      </c>
      <c r="N1877" t="inlineStr">
        <is>
          <t>Odobenus rosmarus divergens</t>
        </is>
      </c>
      <c r="O1877" t="inlineStr">
        <is>
          <t>myosin regulatory light chain 2, skeletal muscle isoform isoform X1</t>
        </is>
      </c>
    </row>
    <row r="1878">
      <c r="A1878" t="inlineStr"/>
      <c r="B1878" t="inlineStr"/>
      <c r="C1878" t="inlineStr"/>
      <c r="D1878" t="inlineStr"/>
      <c r="E1878">
        <f>HYPERLINK("https://www.uniprot.org/uniprotkb/A0A7J8J0F5/entry", "A0A7J8J0F5")</f>
        <v/>
      </c>
      <c r="F1878" t="n">
        <v>90.90000000000001</v>
      </c>
      <c r="G1878" t="n">
        <v>176</v>
      </c>
      <c r="H1878" t="n">
        <v>1.39e-109</v>
      </c>
      <c r="I1878" t="inlineStr">
        <is>
          <t>TrEMBL</t>
        </is>
      </c>
      <c r="J1878" t="inlineStr">
        <is>
          <t>HJG59_012707</t>
        </is>
      </c>
      <c r="K1878" t="inlineStr">
        <is>
          <t>A0A7J8J0F5_MOLMO</t>
        </is>
      </c>
      <c r="L1878" t="inlineStr">
        <is>
          <t>tr|A0A7J8J0F5|A0A7J8J0F5_MOLMO Myosin light chain, phosphorylatable, fast skeletal muscle OS=Molossus molossus OX=27622 GN=HJG59_012707 PE=4 SV=1</t>
        </is>
      </c>
      <c r="M1878" t="n">
        <v>179</v>
      </c>
      <c r="N1878" t="inlineStr">
        <is>
          <t>Molossus molossus</t>
        </is>
      </c>
      <c r="O1878" t="inlineStr">
        <is>
          <t>Myosin light chain, phosphorylatable, fast skeletal muscle</t>
        </is>
      </c>
    </row>
    <row r="1879">
      <c r="A1879" t="inlineStr"/>
      <c r="B1879" t="inlineStr"/>
      <c r="C1879" t="inlineStr"/>
      <c r="D1879" t="inlineStr"/>
      <c r="E1879">
        <f>HYPERLINK("https://www.uniprot.org/uniprotkb/A0A8D2DX17/entry", "A0A8D2DX17")</f>
        <v/>
      </c>
      <c r="F1879" t="n">
        <v>92.90000000000001</v>
      </c>
      <c r="G1879" t="n">
        <v>170</v>
      </c>
      <c r="H1879" t="n">
        <v>1.45e-109</v>
      </c>
      <c r="I1879" t="inlineStr">
        <is>
          <t>TrEMBL</t>
        </is>
      </c>
      <c r="J1879" t="inlineStr">
        <is>
          <t>MYLPF</t>
        </is>
      </c>
      <c r="K1879" t="inlineStr">
        <is>
          <t>A0A8D2DX17_SCIVU</t>
        </is>
      </c>
      <c r="L1879" t="inlineStr">
        <is>
          <t>tr|A0A8D2DX17|A0A8D2DX17_SCIVU Myosin light chain, phosphorylatable, fast skeletal muscle OS=Sciurus vulgaris OX=55149 GN=MYLPF PE=4 SV=1</t>
        </is>
      </c>
      <c r="M1879" t="n">
        <v>170</v>
      </c>
      <c r="N1879" t="inlineStr">
        <is>
          <t>Sciurus vulgaris</t>
        </is>
      </c>
      <c r="O1879" t="inlineStr">
        <is>
          <t>Myosin light chain, phosphorylatable, fast skeletal muscle</t>
        </is>
      </c>
    </row>
    <row r="1880">
      <c r="A1880" t="inlineStr"/>
      <c r="B1880" t="inlineStr"/>
      <c r="C1880" t="inlineStr"/>
      <c r="D1880" t="inlineStr"/>
      <c r="E1880">
        <f>HYPERLINK("https://www.uniprot.org/uniprotkb/A0A0P6JTJ9/entry", "A0A0P6JTJ9")</f>
        <v/>
      </c>
      <c r="F1880" t="n">
        <v>92.90000000000001</v>
      </c>
      <c r="G1880" t="n">
        <v>170</v>
      </c>
      <c r="H1880" t="n">
        <v>1.45e-109</v>
      </c>
      <c r="I1880" t="inlineStr">
        <is>
          <t>TrEMBL</t>
        </is>
      </c>
      <c r="J1880" t="inlineStr">
        <is>
          <t>MYLPF</t>
        </is>
      </c>
      <c r="K1880" t="inlineStr">
        <is>
          <t>A0A0P6JTJ9_HETGA</t>
        </is>
      </c>
      <c r="L1880" t="inlineStr">
        <is>
          <t>tr|A0A0P6JTJ9|A0A0P6JTJ9_HETGA Myosin regulatory light chain 2, skeletal muscle isoform OS=Heterocephalus glaber OX=10181 GN=MYLPF PE=4 SV=1</t>
        </is>
      </c>
      <c r="M1880" t="n">
        <v>170</v>
      </c>
      <c r="N1880" t="inlineStr">
        <is>
          <t>Heterocephalus glaber</t>
        </is>
      </c>
      <c r="O1880" t="inlineStr">
        <is>
          <t>Myosin regulatory light chain 2, skeletal muscle isoform</t>
        </is>
      </c>
    </row>
    <row r="1881">
      <c r="A1881" t="inlineStr"/>
      <c r="B1881" t="inlineStr"/>
      <c r="C1881" t="inlineStr"/>
      <c r="D1881" t="inlineStr"/>
      <c r="E1881">
        <f>HYPERLINK("https://www.uniprot.org/uniprotkb/A0A3Q7MRP5/entry", "A0A3Q7MRP5")</f>
        <v/>
      </c>
      <c r="F1881" t="n">
        <v>90.3</v>
      </c>
      <c r="G1881" t="n">
        <v>176</v>
      </c>
      <c r="H1881" t="n">
        <v>1.66e-109</v>
      </c>
      <c r="I1881" t="inlineStr">
        <is>
          <t>TrEMBL</t>
        </is>
      </c>
      <c r="J1881" t="inlineStr">
        <is>
          <t>LOC112810344</t>
        </is>
      </c>
      <c r="K1881" t="inlineStr">
        <is>
          <t>A0A3Q7MRP5_CALUR</t>
        </is>
      </c>
      <c r="L1881" t="inlineStr">
        <is>
          <t>tr|A0A3Q7MRP5|A0A3Q7MRP5_CALUR myosin regulatory light chain 2, skeletal muscle isoform type 2 isoform X1 OS=Callorhinus ursinus OX=34884 GN=LOC112810344 PE=4 SV=1</t>
        </is>
      </c>
      <c r="M1881" t="n">
        <v>194</v>
      </c>
      <c r="N1881" t="inlineStr">
        <is>
          <t>Callorhinus ursinus</t>
        </is>
      </c>
      <c r="O1881" t="inlineStr">
        <is>
          <t>myosin regulatory light chain 2, skeletal muscle isoform type 2 isoform X1</t>
        </is>
      </c>
    </row>
    <row r="1882">
      <c r="A1882" t="inlineStr"/>
      <c r="B1882" t="inlineStr"/>
      <c r="C1882" t="inlineStr"/>
      <c r="D1882" t="inlineStr"/>
      <c r="E1882">
        <f>HYPERLINK("https://www.uniprot.org/uniprotkb/A0A6J2EFQ2/entry", "A0A6J2EFQ2")</f>
        <v/>
      </c>
      <c r="F1882" t="n">
        <v>90.3</v>
      </c>
      <c r="G1882" t="n">
        <v>176</v>
      </c>
      <c r="H1882" t="n">
        <v>1.66e-109</v>
      </c>
      <c r="I1882" t="inlineStr">
        <is>
          <t>TrEMBL</t>
        </is>
      </c>
      <c r="J1882" t="inlineStr">
        <is>
          <t>MYLPF</t>
        </is>
      </c>
      <c r="K1882" t="inlineStr">
        <is>
          <t>A0A6J2EFQ2_ZALCA</t>
        </is>
      </c>
      <c r="L1882" t="inlineStr">
        <is>
          <t>tr|A0A6J2EFQ2|A0A6J2EFQ2_ZALCA myosin regulatory light chain 2, skeletal muscle isoform isoform X1 OS=Zalophus californianus OX=9704 GN=MYLPF PE=4 SV=1</t>
        </is>
      </c>
      <c r="M1882" t="n">
        <v>194</v>
      </c>
      <c r="N1882" t="inlineStr">
        <is>
          <t>Zalophus californianus</t>
        </is>
      </c>
      <c r="O1882" t="inlineStr">
        <is>
          <t>myosin regulatory light chain 2, skeletal muscle isoform isoform X1</t>
        </is>
      </c>
    </row>
    <row r="1883">
      <c r="A1883" t="inlineStr"/>
      <c r="B1883" t="inlineStr"/>
      <c r="C1883" t="inlineStr"/>
      <c r="D1883" t="inlineStr"/>
      <c r="E1883">
        <f>HYPERLINK("https://www.uniprot.org/uniprotkb/F7A1H2/entry", "F7A1H2")</f>
        <v/>
      </c>
      <c r="F1883" t="n">
        <v>92.40000000000001</v>
      </c>
      <c r="G1883" t="n">
        <v>172</v>
      </c>
      <c r="H1883" t="n">
        <v>2.05e-109</v>
      </c>
      <c r="I1883" t="inlineStr">
        <is>
          <t>TrEMBL</t>
        </is>
      </c>
      <c r="J1883" t="inlineStr">
        <is>
          <t>MYLPF</t>
        </is>
      </c>
      <c r="K1883" t="inlineStr">
        <is>
          <t>F7A1H2_MONDO</t>
        </is>
      </c>
      <c r="L1883" t="inlineStr">
        <is>
          <t>tr|F7A1H2|F7A1H2_MONDO Myosin light chain, phosphorylatable, fast skeletal muscle OS=Monodelphis domestica OX=13616 GN=MYLPF PE=4 SV=3</t>
        </is>
      </c>
      <c r="M1883" t="n">
        <v>180</v>
      </c>
      <c r="N1883" t="inlineStr">
        <is>
          <t>Monodelphis domestica</t>
        </is>
      </c>
      <c r="O1883" t="inlineStr">
        <is>
          <t>Myosin light chain, phosphorylatable, fast skeletal muscle</t>
        </is>
      </c>
    </row>
    <row r="1884">
      <c r="A1884" t="inlineStr"/>
      <c r="B1884" t="inlineStr"/>
      <c r="C1884" t="inlineStr"/>
      <c r="D1884" t="inlineStr"/>
      <c r="E1884">
        <f>HYPERLINK("https://www.uniprot.org/uniprotkb/A0A6P7YDT0/entry", "A0A6P7YDT0")</f>
        <v/>
      </c>
      <c r="F1884" t="n">
        <v>94.7</v>
      </c>
      <c r="G1884" t="n">
        <v>169</v>
      </c>
      <c r="H1884" t="n">
        <v>2.05e-109</v>
      </c>
      <c r="I1884" t="inlineStr">
        <is>
          <t>TrEMBL</t>
        </is>
      </c>
      <c r="J1884" t="inlineStr">
        <is>
          <t>MYLPF</t>
        </is>
      </c>
      <c r="K1884" t="inlineStr">
        <is>
          <t>A0A6P7YDT0_9AMPH</t>
        </is>
      </c>
      <c r="L1884" t="inlineStr">
        <is>
          <t>tr|A0A6P7YDT0|A0A6P7YDT0_9AMPH myosin regulatory light chain 2, skeletal muscle isoform OS=Microcaecilia unicolor OX=1415580 GN=MYLPF PE=4 SV=1</t>
        </is>
      </c>
      <c r="M1884" t="n">
        <v>170</v>
      </c>
      <c r="N1884" t="inlineStr">
        <is>
          <t>Microcaecilia unicolor</t>
        </is>
      </c>
      <c r="O1884" t="inlineStr">
        <is>
          <t>myosin regulatory light chain 2, skeletal muscle isoform</t>
        </is>
      </c>
    </row>
    <row r="1885">
      <c r="A1885" t="inlineStr"/>
      <c r="B1885" t="inlineStr"/>
      <c r="C1885" t="inlineStr"/>
      <c r="D1885" t="inlineStr"/>
      <c r="E1885">
        <f>HYPERLINK("https://www.ncbi.nlm.nih.gov/gene/?term=XP_047694790.1", "XP_047694790.1")</f>
        <v/>
      </c>
      <c r="F1885" t="n">
        <v>90.90000000000001</v>
      </c>
      <c r="G1885" t="n">
        <v>176</v>
      </c>
      <c r="H1885" t="n">
        <v>2.11e-109</v>
      </c>
      <c r="I1885" t="inlineStr">
        <is>
          <t>Nr</t>
        </is>
      </c>
      <c r="J1885" t="inlineStr"/>
      <c r="K1885" t="inlineStr"/>
      <c r="L1885" t="inlineStr">
        <is>
          <t>XP_047694790.1 myosin regulatory light chain 11 isoform X1 [Prionailurus viverrinus]</t>
        </is>
      </c>
      <c r="M1885" t="n">
        <v>204</v>
      </c>
      <c r="N1885" t="inlineStr">
        <is>
          <t>Prionailurus viverrinus</t>
        </is>
      </c>
      <c r="O1885" t="inlineStr">
        <is>
          <t>myosin regulatory light chain 11 isoform X1</t>
        </is>
      </c>
    </row>
    <row r="1886">
      <c r="A1886" t="inlineStr"/>
      <c r="B1886" t="inlineStr"/>
      <c r="C1886" t="inlineStr"/>
      <c r="D1886" t="inlineStr"/>
      <c r="E1886">
        <f>HYPERLINK("https://www.ncbi.nlm.nih.gov/gene/?term=XP_020864146.1", "XP_020864146.1")</f>
        <v/>
      </c>
      <c r="F1886" t="n">
        <v>94.7</v>
      </c>
      <c r="G1886" t="n">
        <v>170</v>
      </c>
      <c r="H1886" t="n">
        <v>2.53e-109</v>
      </c>
      <c r="I1886" t="inlineStr">
        <is>
          <t>Nr</t>
        </is>
      </c>
      <c r="J1886" t="inlineStr"/>
      <c r="K1886" t="inlineStr"/>
      <c r="L1886" t="inlineStr">
        <is>
          <t>XP_020864146.1 myosin regulatory light chain 2, skeletal muscle isoform isoform X1 [Phascolarctos cinereus]</t>
        </is>
      </c>
      <c r="M1886" t="n">
        <v>169</v>
      </c>
      <c r="N1886" t="inlineStr">
        <is>
          <t>Phascolarctos cinereus</t>
        </is>
      </c>
      <c r="O1886" t="inlineStr">
        <is>
          <t>myosin regulatory light chain 2, skeletal muscle isoform isoform X1</t>
        </is>
      </c>
    </row>
    <row r="1887">
      <c r="A1887" t="inlineStr"/>
      <c r="B1887" t="inlineStr"/>
      <c r="C1887" t="inlineStr"/>
      <c r="D1887" t="inlineStr"/>
      <c r="E1887">
        <f>HYPERLINK("https://www.ncbi.nlm.nih.gov/gene/?term=XP_036921340.1", "XP_036921340.1")</f>
        <v/>
      </c>
      <c r="F1887" t="n">
        <v>94.09999999999999</v>
      </c>
      <c r="G1887" t="n">
        <v>170</v>
      </c>
      <c r="H1887" t="n">
        <v>2.53e-109</v>
      </c>
      <c r="I1887" t="inlineStr">
        <is>
          <t>Nr</t>
        </is>
      </c>
      <c r="J1887" t="inlineStr"/>
      <c r="K1887" t="inlineStr"/>
      <c r="L1887" t="inlineStr">
        <is>
          <t>XP_036921340.1 myosin regulatory light chain 2, skeletal muscle isoform isoform X2 [Sturnira hondurensis]</t>
        </is>
      </c>
      <c r="M1887" t="n">
        <v>169</v>
      </c>
      <c r="N1887" t="inlineStr">
        <is>
          <t>Sturnira hondurensis</t>
        </is>
      </c>
      <c r="O1887" t="inlineStr">
        <is>
          <t>myosin regulatory light chain 2, skeletal muscle isoform isoform X2</t>
        </is>
      </c>
    </row>
    <row r="1888">
      <c r="A1888" t="inlineStr"/>
      <c r="B1888" t="inlineStr"/>
      <c r="C1888" t="inlineStr"/>
      <c r="D1888" t="inlineStr"/>
      <c r="E1888">
        <f>HYPERLINK("https://www.ncbi.nlm.nih.gov/gene/?term=XP_001371068.2", "XP_001371068.2")</f>
        <v/>
      </c>
      <c r="F1888" t="n">
        <v>94.7</v>
      </c>
      <c r="G1888" t="n">
        <v>170</v>
      </c>
      <c r="H1888" t="n">
        <v>2.53e-109</v>
      </c>
      <c r="I1888" t="inlineStr">
        <is>
          <t>Nr</t>
        </is>
      </c>
      <c r="J1888" t="inlineStr"/>
      <c r="K1888" t="inlineStr"/>
      <c r="L1888" t="inlineStr">
        <is>
          <t>XP_001371068.2 PREDICTED: myosin regulatory light chain 2, skeletal muscle isoform [Monodelphis domestica]</t>
        </is>
      </c>
      <c r="M1888" t="n">
        <v>169</v>
      </c>
      <c r="N1888" t="inlineStr">
        <is>
          <t>Monodelphis domestica</t>
        </is>
      </c>
      <c r="O1888" t="inlineStr">
        <is>
          <t>PREDICTED: myosin regulatory light chain 2, skeletal muscle isoform</t>
        </is>
      </c>
    </row>
    <row r="1889">
      <c r="A1889" t="inlineStr"/>
      <c r="B1889" t="inlineStr"/>
      <c r="C1889" t="inlineStr"/>
      <c r="D1889" t="inlineStr"/>
      <c r="E1889">
        <f>HYPERLINK("https://www.ncbi.nlm.nih.gov/gene/?term=XP_046943758.1", "XP_046943758.1")</f>
        <v/>
      </c>
      <c r="F1889" t="n">
        <v>90.90000000000001</v>
      </c>
      <c r="G1889" t="n">
        <v>176</v>
      </c>
      <c r="H1889" t="n">
        <v>2.89e-109</v>
      </c>
      <c r="I1889" t="inlineStr">
        <is>
          <t>Nr</t>
        </is>
      </c>
      <c r="J1889" t="inlineStr"/>
      <c r="K1889" t="inlineStr"/>
      <c r="L1889" t="inlineStr">
        <is>
          <t>XP_046943758.1 myosin regulatory light chain 2, skeletal muscle isoform type 2 [Lynx rufus]</t>
        </is>
      </c>
      <c r="M1889" t="n">
        <v>213</v>
      </c>
      <c r="N1889" t="inlineStr">
        <is>
          <t>Lynx rufus</t>
        </is>
      </c>
      <c r="O1889" t="inlineStr">
        <is>
          <t>myosin regulatory light chain 2, skeletal muscle isoform type 2</t>
        </is>
      </c>
    </row>
    <row r="1890">
      <c r="A1890" t="inlineStr"/>
      <c r="B1890" t="inlineStr"/>
      <c r="C1890" t="inlineStr"/>
      <c r="D1890" t="inlineStr"/>
      <c r="E1890">
        <f>HYPERLINK("https://www.uniprot.org/uniprotkb/P97457/entry", "P97457")</f>
        <v/>
      </c>
      <c r="F1890" t="n">
        <v>92.40000000000001</v>
      </c>
      <c r="G1890" t="n">
        <v>170</v>
      </c>
      <c r="H1890" t="n">
        <v>3.93e-109</v>
      </c>
      <c r="I1890" t="inlineStr">
        <is>
          <t>Swiss-Prot</t>
        </is>
      </c>
      <c r="J1890" t="inlineStr">
        <is>
          <t>Myl11</t>
        </is>
      </c>
      <c r="K1890" t="inlineStr">
        <is>
          <t>MYL11_MOUSE</t>
        </is>
      </c>
      <c r="L1890" t="inlineStr">
        <is>
          <t>sp|P97457|MYL11_MOUSE Myosin regulatory light chain 11 OS=Mus musculus OX=10090 GN=Myl11 PE=1 SV=3</t>
        </is>
      </c>
      <c r="M1890" t="n">
        <v>169</v>
      </c>
      <c r="N1890" t="inlineStr">
        <is>
          <t>Mus musculus</t>
        </is>
      </c>
      <c r="O1890" t="inlineStr">
        <is>
          <t>Myosin regulatory light chain 11</t>
        </is>
      </c>
    </row>
    <row r="1891">
      <c r="A1891" t="inlineStr"/>
      <c r="B1891" t="inlineStr"/>
      <c r="C1891" t="inlineStr"/>
      <c r="D1891" t="inlineStr"/>
      <c r="E1891">
        <f>HYPERLINK("https://www.uniprot.org/uniprotkb/Q96A32/entry", "Q96A32")</f>
        <v/>
      </c>
      <c r="F1891" t="n">
        <v>91.2</v>
      </c>
      <c r="G1891" t="n">
        <v>170</v>
      </c>
      <c r="H1891" t="n">
        <v>7.920000000000001e-109</v>
      </c>
      <c r="I1891" t="inlineStr">
        <is>
          <t>Swiss-Prot</t>
        </is>
      </c>
      <c r="J1891" t="inlineStr">
        <is>
          <t>MYL11</t>
        </is>
      </c>
      <c r="K1891" t="inlineStr">
        <is>
          <t>MYL11_HUMAN</t>
        </is>
      </c>
      <c r="L1891" t="inlineStr">
        <is>
          <t>sp|Q96A32|MYL11_HUMAN Myosin regulatory light chain 11 OS=Homo sapiens OX=9606 GN=MYL11 PE=1 SV=1</t>
        </is>
      </c>
      <c r="M1891" t="n">
        <v>169</v>
      </c>
      <c r="N1891" t="inlineStr">
        <is>
          <t>Homo sapiens</t>
        </is>
      </c>
      <c r="O1891" t="inlineStr">
        <is>
          <t>Myosin regulatory light chain 11</t>
        </is>
      </c>
    </row>
    <row r="1892">
      <c r="A1892" t="inlineStr"/>
      <c r="B1892" t="inlineStr"/>
      <c r="C1892" t="inlineStr"/>
      <c r="D1892" t="inlineStr"/>
      <c r="E1892">
        <f>HYPERLINK("https://www.uniprot.org/uniprotkb/Q0P571/entry", "Q0P571")</f>
        <v/>
      </c>
      <c r="F1892" t="n">
        <v>90.59999999999999</v>
      </c>
      <c r="G1892" t="n">
        <v>170</v>
      </c>
      <c r="H1892" t="n">
        <v>8.2e-109</v>
      </c>
      <c r="I1892" t="inlineStr">
        <is>
          <t>Swiss-Prot</t>
        </is>
      </c>
      <c r="J1892" t="inlineStr">
        <is>
          <t>MYLPF</t>
        </is>
      </c>
      <c r="K1892" t="inlineStr">
        <is>
          <t>MLRS_BOVIN</t>
        </is>
      </c>
      <c r="L1892" t="inlineStr">
        <is>
          <t>sp|Q0P571|MLRS_BOVIN Myosin regulatory light chain 2, skeletal muscle isoform OS=Bos taurus OX=9913 GN=MYLPF PE=2 SV=1</t>
        </is>
      </c>
      <c r="M1892" t="n">
        <v>170</v>
      </c>
      <c r="N1892" t="inlineStr">
        <is>
          <t>Bos taurus</t>
        </is>
      </c>
      <c r="O1892" t="inlineStr">
        <is>
          <t>Myosin regulatory light chain 2, skeletal muscle isoform</t>
        </is>
      </c>
    </row>
    <row r="1893">
      <c r="A1893" t="inlineStr"/>
      <c r="B1893" t="inlineStr"/>
      <c r="C1893" t="inlineStr"/>
      <c r="D1893" t="inlineStr"/>
      <c r="E1893">
        <f>HYPERLINK("https://www.uniprot.org/uniprotkb/P24732/entry", "P24732")</f>
        <v/>
      </c>
      <c r="F1893" t="n">
        <v>91.2</v>
      </c>
      <c r="G1893" t="n">
        <v>170</v>
      </c>
      <c r="H1893" t="n">
        <v>8.2e-109</v>
      </c>
      <c r="I1893" t="inlineStr">
        <is>
          <t>Swiss-Prot</t>
        </is>
      </c>
      <c r="J1893" t="inlineStr"/>
      <c r="K1893" t="inlineStr">
        <is>
          <t>MLRT_RABIT</t>
        </is>
      </c>
      <c r="L1893" t="inlineStr">
        <is>
          <t>sp|P24732|MLRT_RABIT Myosin regulatory light chain 2, skeletal muscle isoform type 1 OS=Oryctolagus cuniculus OX=9986 PE=1 SV=2</t>
        </is>
      </c>
      <c r="M1893" t="n">
        <v>170</v>
      </c>
      <c r="N1893" t="inlineStr">
        <is>
          <t>Oryctolagus cuniculus</t>
        </is>
      </c>
      <c r="O1893" t="inlineStr">
        <is>
          <t>Myosin regulatory light chain 2, skeletal muscle isoform type 1</t>
        </is>
      </c>
    </row>
    <row r="1894">
      <c r="A1894" t="inlineStr"/>
      <c r="B1894" t="inlineStr"/>
      <c r="C1894" t="inlineStr"/>
      <c r="D1894" t="inlineStr"/>
      <c r="E1894">
        <f>HYPERLINK("https://www.uniprot.org/uniprotkb/P02609/entry", "P02609")</f>
        <v/>
      </c>
      <c r="F1894" t="n">
        <v>91.8</v>
      </c>
      <c r="G1894" t="n">
        <v>170</v>
      </c>
      <c r="H1894" t="n">
        <v>5.13e-107</v>
      </c>
      <c r="I1894" t="inlineStr">
        <is>
          <t>Swiss-Prot</t>
        </is>
      </c>
      <c r="J1894" t="inlineStr">
        <is>
          <t>MYL11</t>
        </is>
      </c>
      <c r="K1894" t="inlineStr">
        <is>
          <t>MYL11_CHICK</t>
        </is>
      </c>
      <c r="L1894" t="inlineStr">
        <is>
          <t>sp|P02609|MYL11_CHICK Myosin regulatory light chain 11 OS=Gallus gallus OX=9031 GN=MYL11 PE=1 SV=2</t>
        </is>
      </c>
      <c r="M1894" t="n">
        <v>168</v>
      </c>
      <c r="N1894" t="inlineStr">
        <is>
          <t>Gallus gallus</t>
        </is>
      </c>
      <c r="O1894" t="inlineStr">
        <is>
          <t>Myosin regulatory light chain 11</t>
        </is>
      </c>
    </row>
    <row r="1895">
      <c r="A1895" t="inlineStr"/>
      <c r="B1895" t="inlineStr"/>
      <c r="C1895" t="inlineStr"/>
      <c r="D1895" t="inlineStr"/>
      <c r="E1895">
        <f>HYPERLINK("https://www.uniprot.org/uniprotkb/Q66I73/entry", "Q66I73")</f>
        <v/>
      </c>
      <c r="F1895" t="n">
        <v>81.8</v>
      </c>
      <c r="G1895" t="n">
        <v>170</v>
      </c>
      <c r="H1895" t="n">
        <v>1.1e-99</v>
      </c>
      <c r="I1895" t="inlineStr">
        <is>
          <t>Swiss-Prot</t>
        </is>
      </c>
      <c r="J1895" t="inlineStr">
        <is>
          <t>mylpfb</t>
        </is>
      </c>
      <c r="K1895" t="inlineStr">
        <is>
          <t>MLRSB_DANRE</t>
        </is>
      </c>
      <c r="L1895" t="inlineStr">
        <is>
          <t>sp|Q66I73|MLRSB_DANRE Myosin regulatory light chain 2, skeletal muscle isoform B OS=Danio rerio OX=7955 GN=mylpfb PE=2 SV=1</t>
        </is>
      </c>
      <c r="M1895" t="n">
        <v>170</v>
      </c>
      <c r="N1895" t="inlineStr">
        <is>
          <t>Danio rerio</t>
        </is>
      </c>
      <c r="O1895" t="inlineStr">
        <is>
          <t>Myosin regulatory light chain 2, skeletal muscle isoform B</t>
        </is>
      </c>
    </row>
    <row r="1896">
      <c r="A1896" t="inlineStr"/>
      <c r="B1896" t="inlineStr"/>
      <c r="C1896" t="inlineStr"/>
      <c r="D1896" t="inlineStr"/>
      <c r="E1896">
        <f>HYPERLINK("https://www.uniprot.org/uniprotkb/O93409/entry", "O93409")</f>
        <v/>
      </c>
      <c r="F1896" t="n">
        <v>84.09999999999999</v>
      </c>
      <c r="G1896" t="n">
        <v>170</v>
      </c>
      <c r="H1896" t="n">
        <v>1.24e-98</v>
      </c>
      <c r="I1896" t="inlineStr">
        <is>
          <t>Swiss-Prot</t>
        </is>
      </c>
      <c r="J1896" t="inlineStr">
        <is>
          <t>myl11a</t>
        </is>
      </c>
      <c r="K1896" t="inlineStr">
        <is>
          <t>MY11A_DANRE</t>
        </is>
      </c>
      <c r="L1896" t="inlineStr">
        <is>
          <t>sp|O93409|MY11A_DANRE Myosin regulatory light chain 11 OS=Danio rerio OX=7955 GN=myl11a PE=2 SV=1</t>
        </is>
      </c>
      <c r="M1896" t="n">
        <v>169</v>
      </c>
      <c r="N1896" t="inlineStr">
        <is>
          <t>Danio rerio</t>
        </is>
      </c>
      <c r="O1896" t="inlineStr">
        <is>
          <t>Myosin regulatory light chain 11</t>
        </is>
      </c>
    </row>
    <row r="1897">
      <c r="A1897" t="inlineStr"/>
      <c r="B1897" t="inlineStr"/>
      <c r="C1897" t="inlineStr"/>
      <c r="D1897" t="inlineStr"/>
      <c r="E1897">
        <f>HYPERLINK("https://www.uniprot.org/uniprotkb/P51667/entry", "P51667")</f>
        <v/>
      </c>
      <c r="F1897" t="n">
        <v>76.2</v>
      </c>
      <c r="G1897" t="n">
        <v>168</v>
      </c>
      <c r="H1897" t="n">
        <v>4.87e-88</v>
      </c>
      <c r="I1897" t="inlineStr">
        <is>
          <t>Swiss-Prot</t>
        </is>
      </c>
      <c r="J1897" t="inlineStr">
        <is>
          <t>Myl2</t>
        </is>
      </c>
      <c r="K1897" t="inlineStr">
        <is>
          <t>MLRV_MOUSE</t>
        </is>
      </c>
      <c r="L1897" t="inlineStr">
        <is>
          <t>sp|P51667|MLRV_MOUSE Myosin regulatory light chain 2, ventricular/cardiac muscle isoform OS=Mus musculus OX=10090 GN=Myl2 PE=1 SV=3</t>
        </is>
      </c>
      <c r="M1897" t="n">
        <v>166</v>
      </c>
      <c r="N1897" t="inlineStr">
        <is>
          <t>Mus musculus</t>
        </is>
      </c>
      <c r="O1897" t="inlineStr">
        <is>
          <t>Myosin regulatory light chain 2, ventricular/cardiac muscle isoform</t>
        </is>
      </c>
    </row>
    <row r="1898">
      <c r="A1898" t="inlineStr"/>
      <c r="B1898" t="inlineStr"/>
      <c r="C1898" t="inlineStr"/>
      <c r="D1898" t="inlineStr"/>
      <c r="E1898">
        <f>HYPERLINK("https://www.uniprot.org/uniprotkb/P08733/entry", "P08733")</f>
        <v/>
      </c>
      <c r="F1898" t="n">
        <v>76.2</v>
      </c>
      <c r="G1898" t="n">
        <v>164</v>
      </c>
      <c r="H1898" t="n">
        <v>1.39e-87</v>
      </c>
      <c r="I1898" t="inlineStr">
        <is>
          <t>Swiss-Prot</t>
        </is>
      </c>
      <c r="J1898" t="inlineStr">
        <is>
          <t>Myl2</t>
        </is>
      </c>
      <c r="K1898" t="inlineStr">
        <is>
          <t>MLRV_RAT</t>
        </is>
      </c>
      <c r="L1898" t="inlineStr">
        <is>
          <t>sp|P08733|MLRV_RAT Myosin regulatory light chain 2, ventricular/cardiac muscle isoform OS=Rattus norvegicus OX=10116 GN=Myl2 PE=1 SV=2</t>
        </is>
      </c>
      <c r="M1898" t="n">
        <v>166</v>
      </c>
      <c r="N1898" t="inlineStr">
        <is>
          <t>Rattus norvegicus</t>
        </is>
      </c>
      <c r="O1898" t="inlineStr">
        <is>
          <t>Myosin regulatory light chain 2, ventricular/cardiac muscle isoform</t>
        </is>
      </c>
    </row>
    <row r="1899">
      <c r="A1899" t="inlineStr"/>
      <c r="B1899" t="inlineStr"/>
      <c r="C1899" t="inlineStr"/>
      <c r="D1899" t="inlineStr"/>
      <c r="E1899">
        <f>HYPERLINK("https://www.uniprot.org/uniprotkb/P02611/entry", "P02611")</f>
        <v/>
      </c>
      <c r="F1899" t="n">
        <v>75.59999999999999</v>
      </c>
      <c r="G1899" t="n">
        <v>168</v>
      </c>
      <c r="H1899" t="n">
        <v>8.95e-86</v>
      </c>
      <c r="I1899" t="inlineStr">
        <is>
          <t>Swiss-Prot</t>
        </is>
      </c>
      <c r="J1899" t="inlineStr"/>
      <c r="K1899" t="inlineStr">
        <is>
          <t>MLRB_CHICK</t>
        </is>
      </c>
      <c r="L1899" t="inlineStr">
        <is>
          <t>sp|P02611|MLRB_CHICK Myosin regulatory light chain 2B, cardiac muscle isoform OS=Gallus gallus OX=9031 PE=1 SV=2</t>
        </is>
      </c>
      <c r="M1899" t="n">
        <v>165</v>
      </c>
      <c r="N1899" t="inlineStr">
        <is>
          <t>Gallus gallus</t>
        </is>
      </c>
      <c r="O1899" t="inlineStr">
        <is>
          <t>Myosin regulatory light chain 2B, cardiac muscle isoform</t>
        </is>
      </c>
    </row>
    <row r="1900">
      <c r="A1900" t="inlineStr"/>
      <c r="B1900" t="inlineStr"/>
      <c r="C1900" t="inlineStr"/>
      <c r="D1900" t="inlineStr"/>
      <c r="E1900">
        <f>HYPERLINK("https://www.uniprot.org/uniprotkb/P10916/entry", "P10916")</f>
        <v/>
      </c>
      <c r="F1900" t="n">
        <v>73.8</v>
      </c>
      <c r="G1900" t="n">
        <v>168</v>
      </c>
      <c r="H1900" t="n">
        <v>9.250000000000001e-86</v>
      </c>
      <c r="I1900" t="inlineStr">
        <is>
          <t>Swiss-Prot</t>
        </is>
      </c>
      <c r="J1900" t="inlineStr">
        <is>
          <t>MYL2</t>
        </is>
      </c>
      <c r="K1900" t="inlineStr">
        <is>
          <t>MLRV_HUMAN</t>
        </is>
      </c>
      <c r="L1900" t="inlineStr">
        <is>
          <t>sp|P10916|MLRV_HUMAN Myosin regulatory light chain 2, ventricular/cardiac muscle isoform OS=Homo sapiens OX=9606 GN=MYL2 PE=1 SV=3</t>
        </is>
      </c>
      <c r="M1900" t="n">
        <v>166</v>
      </c>
      <c r="N1900" t="inlineStr">
        <is>
          <t>Homo sapiens</t>
        </is>
      </c>
      <c r="O1900" t="inlineStr">
        <is>
          <t>Myosin regulatory light chain 2, ventricular/cardiac muscle isoform</t>
        </is>
      </c>
    </row>
    <row r="1901">
      <c r="A1901" t="inlineStr"/>
      <c r="B1901" t="inlineStr"/>
      <c r="C1901" t="inlineStr"/>
      <c r="D1901" t="inlineStr"/>
      <c r="E1901">
        <f>HYPERLINK("https://www.uniprot.org/uniprotkb/Q7M2V4/entry", "Q7M2V4")</f>
        <v/>
      </c>
      <c r="F1901" t="n">
        <v>74.2</v>
      </c>
      <c r="G1901" t="n">
        <v>163</v>
      </c>
      <c r="H1901" t="n">
        <v>1.03e-84</v>
      </c>
      <c r="I1901" t="inlineStr">
        <is>
          <t>Swiss-Prot</t>
        </is>
      </c>
      <c r="J1901" t="inlineStr">
        <is>
          <t>MYL2</t>
        </is>
      </c>
      <c r="K1901" t="inlineStr">
        <is>
          <t>MLRV_RABIT</t>
        </is>
      </c>
      <c r="L1901" t="inlineStr">
        <is>
          <t>sp|Q7M2V4|MLRV_RABIT Myosin regulatory light chain 2, ventricular/cardiac muscle isoform OS=Oryctolagus cuniculus OX=9986 GN=MYL2 PE=1 SV=2</t>
        </is>
      </c>
      <c r="M1901" t="n">
        <v>165</v>
      </c>
      <c r="N1901" t="inlineStr">
        <is>
          <t>Oryctolagus cuniculus</t>
        </is>
      </c>
      <c r="O1901" t="inlineStr">
        <is>
          <t>Myosin regulatory light chain 2, ventricular/cardiac muscle isoform</t>
        </is>
      </c>
    </row>
    <row r="1902">
      <c r="A1902" t="inlineStr"/>
      <c r="B1902" t="inlineStr"/>
      <c r="C1902" t="inlineStr"/>
      <c r="D1902" t="inlineStr"/>
      <c r="E1902">
        <f>HYPERLINK("https://www.uniprot.org/uniprotkb/Q3SZE5/entry", "Q3SZE5")</f>
        <v/>
      </c>
      <c r="F1902" t="n">
        <v>73.2</v>
      </c>
      <c r="G1902" t="n">
        <v>164</v>
      </c>
      <c r="H1902" t="n">
        <v>3.06e-84</v>
      </c>
      <c r="I1902" t="inlineStr">
        <is>
          <t>Swiss-Prot</t>
        </is>
      </c>
      <c r="J1902" t="inlineStr">
        <is>
          <t>MYL2</t>
        </is>
      </c>
      <c r="K1902" t="inlineStr">
        <is>
          <t>MLRV_BOVIN</t>
        </is>
      </c>
      <c r="L1902" t="inlineStr">
        <is>
          <t>sp|Q3SZE5|MLRV_BOVIN Myosin regulatory light chain 2, ventricular/cardiac muscle isoform OS=Bos taurus OX=9913 GN=MYL2 PE=1 SV=1</t>
        </is>
      </c>
      <c r="M1902" t="n">
        <v>166</v>
      </c>
      <c r="N1902" t="inlineStr">
        <is>
          <t>Bos taurus</t>
        </is>
      </c>
      <c r="O1902" t="inlineStr">
        <is>
          <t>Myosin regulatory light chain 2, ventricular/cardiac muscle isoform</t>
        </is>
      </c>
    </row>
    <row r="1903">
      <c r="A1903" t="inlineStr"/>
      <c r="B1903" t="inlineStr"/>
      <c r="C1903" t="inlineStr"/>
      <c r="D1903" t="inlineStr"/>
      <c r="E1903">
        <f>HYPERLINK("https://www.uniprot.org/uniprotkb/Q62082/entry", "Q62082")</f>
        <v/>
      </c>
      <c r="F1903" t="n">
        <v>73.2</v>
      </c>
      <c r="G1903" t="n">
        <v>168</v>
      </c>
      <c r="H1903" t="n">
        <v>5.11e-84</v>
      </c>
      <c r="I1903" t="inlineStr">
        <is>
          <t>Swiss-Prot</t>
        </is>
      </c>
      <c r="J1903" t="inlineStr">
        <is>
          <t>Myl10</t>
        </is>
      </c>
      <c r="K1903" t="inlineStr">
        <is>
          <t>MYL10_MOUSE</t>
        </is>
      </c>
      <c r="L1903" t="inlineStr">
        <is>
          <t>sp|Q62082|MYL10_MOUSE Myosin regulatory light chain 10 OS=Mus musculus OX=10090 GN=Myl10 PE=2 SV=1</t>
        </is>
      </c>
      <c r="M1903" t="n">
        <v>202</v>
      </c>
      <c r="N1903" t="inlineStr">
        <is>
          <t>Mus musculus</t>
        </is>
      </c>
      <c r="O1903" t="inlineStr">
        <is>
          <t>Myosin regulatory light chain 10</t>
        </is>
      </c>
    </row>
    <row r="1904">
      <c r="A1904" t="inlineStr"/>
      <c r="B1904" t="inlineStr"/>
      <c r="C1904" t="inlineStr"/>
      <c r="D1904" t="inlineStr"/>
      <c r="E1904">
        <f>HYPERLINK("https://www.uniprot.org/uniprotkb/P02610/entry", "P02610")</f>
        <v/>
      </c>
      <c r="F1904" t="n">
        <v>74.40000000000001</v>
      </c>
      <c r="G1904" t="n">
        <v>168</v>
      </c>
      <c r="H1904" t="n">
        <v>1.38e-82</v>
      </c>
      <c r="I1904" t="inlineStr">
        <is>
          <t>Swiss-Prot</t>
        </is>
      </c>
      <c r="J1904" t="inlineStr"/>
      <c r="K1904" t="inlineStr">
        <is>
          <t>MLRA_CHICK</t>
        </is>
      </c>
      <c r="L1904" t="inlineStr">
        <is>
          <t>sp|P02610|MLRA_CHICK Myosin regulatory light chain 2A, cardiac muscle isoform OS=Gallus gallus OX=9031 PE=1 SV=2</t>
        </is>
      </c>
      <c r="M1904" t="n">
        <v>165</v>
      </c>
      <c r="N1904" t="inlineStr">
        <is>
          <t>Gallus gallus</t>
        </is>
      </c>
      <c r="O1904" t="inlineStr">
        <is>
          <t>Myosin regulatory light chain 2A, cardiac muscle isoform</t>
        </is>
      </c>
    </row>
    <row r="1905">
      <c r="A1905" t="inlineStr"/>
      <c r="B1905" t="inlineStr"/>
      <c r="C1905" t="inlineStr"/>
      <c r="D1905" t="inlineStr"/>
      <c r="E1905">
        <f>HYPERLINK("https://www.uniprot.org/uniprotkb/Q9BUA6/entry", "Q9BUA6")</f>
        <v/>
      </c>
      <c r="F1905" t="n">
        <v>61</v>
      </c>
      <c r="G1905" t="n">
        <v>200</v>
      </c>
      <c r="H1905" t="n">
        <v>4.29e-76</v>
      </c>
      <c r="I1905" t="inlineStr">
        <is>
          <t>Swiss-Prot</t>
        </is>
      </c>
      <c r="J1905" t="inlineStr">
        <is>
          <t>MYL10</t>
        </is>
      </c>
      <c r="K1905" t="inlineStr">
        <is>
          <t>MYL10_HUMAN</t>
        </is>
      </c>
      <c r="L1905" t="inlineStr">
        <is>
          <t>sp|Q9BUA6|MYL10_HUMAN Myosin regulatory light chain 10 OS=Homo sapiens OX=9606 GN=MYL10 PE=1 SV=2</t>
        </is>
      </c>
      <c r="M1905" t="n">
        <v>226</v>
      </c>
      <c r="N1905" t="inlineStr">
        <is>
          <t>Homo sapiens</t>
        </is>
      </c>
      <c r="O1905" t="inlineStr">
        <is>
          <t>Myosin regulatory light chain 10</t>
        </is>
      </c>
    </row>
    <row r="1906">
      <c r="A1906" t="inlineStr"/>
      <c r="B1906" t="inlineStr"/>
      <c r="C1906" t="inlineStr"/>
      <c r="D1906" t="inlineStr"/>
      <c r="E1906">
        <f>HYPERLINK("https://www.uniprot.org/uniprotkb/F1SSF9/entry", "F1SSF9")</f>
        <v/>
      </c>
      <c r="F1906" t="n">
        <v>59</v>
      </c>
      <c r="G1906" t="n">
        <v>166</v>
      </c>
      <c r="H1906" t="n">
        <v>7.490000000000001e-70</v>
      </c>
      <c r="I1906" t="inlineStr">
        <is>
          <t>Swiss-Prot</t>
        </is>
      </c>
      <c r="J1906" t="inlineStr">
        <is>
          <t>MYL7</t>
        </is>
      </c>
      <c r="K1906" t="inlineStr">
        <is>
          <t>MLRA_PIG</t>
        </is>
      </c>
      <c r="L1906" t="inlineStr">
        <is>
          <t>sp|F1SSF9|MLRA_PIG Myosin regulatory light chain 2, atrial isoform OS=Sus scrofa OX=9823 GN=MYL7 PE=1 SV=3</t>
        </is>
      </c>
      <c r="M1906" t="n">
        <v>175</v>
      </c>
      <c r="N1906" t="inlineStr">
        <is>
          <t>Sus scrofa</t>
        </is>
      </c>
      <c r="O1906" t="inlineStr">
        <is>
          <t>Myosin regulatory light chain 2, atrial isoform</t>
        </is>
      </c>
    </row>
    <row r="1907">
      <c r="A1907" t="inlineStr"/>
      <c r="B1907" t="inlineStr"/>
      <c r="C1907" t="inlineStr"/>
      <c r="D1907" t="inlineStr"/>
      <c r="E1907">
        <f>HYPERLINK("https://www.uniprot.org/uniprotkb/Q02045/entry", "Q02045")</f>
        <v/>
      </c>
      <c r="F1907" t="n">
        <v>59.6</v>
      </c>
      <c r="G1907" t="n">
        <v>171</v>
      </c>
      <c r="H1907" t="n">
        <v>1.14e-68</v>
      </c>
      <c r="I1907" t="inlineStr">
        <is>
          <t>Swiss-Prot</t>
        </is>
      </c>
      <c r="J1907" t="inlineStr">
        <is>
          <t>MYL5</t>
        </is>
      </c>
      <c r="K1907" t="inlineStr">
        <is>
          <t>MYL5_HUMAN</t>
        </is>
      </c>
      <c r="L1907" t="inlineStr">
        <is>
          <t>sp|Q02045|MYL5_HUMAN Myosin light chain 5 OS=Homo sapiens OX=9606 GN=MYL5 PE=2 SV=1</t>
        </is>
      </c>
      <c r="M1907" t="n">
        <v>173</v>
      </c>
      <c r="N1907" t="inlineStr">
        <is>
          <t>Homo sapiens</t>
        </is>
      </c>
      <c r="O1907" t="inlineStr">
        <is>
          <t>Myosin light chain 5</t>
        </is>
      </c>
    </row>
    <row r="1908">
      <c r="A1908" t="inlineStr"/>
      <c r="B1908" t="inlineStr"/>
      <c r="C1908" t="inlineStr"/>
      <c r="D1908" t="inlineStr"/>
      <c r="E1908">
        <f>HYPERLINK("https://www.uniprot.org/uniprotkb/Q01449/entry", "Q01449")</f>
        <v/>
      </c>
      <c r="F1908" t="n">
        <v>58.8</v>
      </c>
      <c r="G1908" t="n">
        <v>165</v>
      </c>
      <c r="H1908" t="n">
        <v>1.22e-68</v>
      </c>
      <c r="I1908" t="inlineStr">
        <is>
          <t>Swiss-Prot</t>
        </is>
      </c>
      <c r="J1908" t="inlineStr">
        <is>
          <t>MYL7</t>
        </is>
      </c>
      <c r="K1908" t="inlineStr">
        <is>
          <t>MLRA_HUMAN</t>
        </is>
      </c>
      <c r="L1908" t="inlineStr">
        <is>
          <t>sp|Q01449|MLRA_HUMAN Myosin regulatory light chain 2, atrial isoform OS=Homo sapiens OX=9606 GN=MYL7 PE=1 SV=1</t>
        </is>
      </c>
      <c r="M1908" t="n">
        <v>175</v>
      </c>
      <c r="N1908" t="inlineStr">
        <is>
          <t>Homo sapiens</t>
        </is>
      </c>
      <c r="O1908" t="inlineStr">
        <is>
          <t>Myosin regulatory light chain 2, atrial isoform</t>
        </is>
      </c>
    </row>
    <row r="1909">
      <c r="A1909" t="inlineStr"/>
      <c r="B1909" t="inlineStr"/>
      <c r="C1909" t="inlineStr"/>
      <c r="D1909" t="inlineStr"/>
      <c r="E1909">
        <f>HYPERLINK("https://www.uniprot.org/uniprotkb/Q9QVP4/entry", "Q9QVP4")</f>
        <v/>
      </c>
      <c r="F1909" t="n">
        <v>57.6</v>
      </c>
      <c r="G1909" t="n">
        <v>165</v>
      </c>
      <c r="H1909" t="n">
        <v>3.47e-68</v>
      </c>
      <c r="I1909" t="inlineStr">
        <is>
          <t>Swiss-Prot</t>
        </is>
      </c>
      <c r="J1909" t="inlineStr">
        <is>
          <t>Myl7</t>
        </is>
      </c>
      <c r="K1909" t="inlineStr">
        <is>
          <t>MLRA_MOUSE</t>
        </is>
      </c>
      <c r="L1909" t="inlineStr">
        <is>
          <t>sp|Q9QVP4|MLRA_MOUSE Myosin regulatory light chain 2, atrial isoform OS=Mus musculus OX=10090 GN=Myl7 PE=1 SV=1</t>
        </is>
      </c>
      <c r="M1909" t="n">
        <v>175</v>
      </c>
      <c r="N1909" t="inlineStr">
        <is>
          <t>Mus musculus</t>
        </is>
      </c>
      <c r="O1909" t="inlineStr">
        <is>
          <t>Myosin regulatory light chain 2, atrial isoform</t>
        </is>
      </c>
    </row>
    <row r="1910">
      <c r="A1910" t="inlineStr"/>
      <c r="B1910" t="inlineStr"/>
      <c r="C1910" t="inlineStr"/>
      <c r="D1910" t="inlineStr"/>
      <c r="E1910">
        <f>HYPERLINK("https://www.uniprot.org/uniprotkb/P41691/entry", "P41691")</f>
        <v/>
      </c>
      <c r="F1910" t="n">
        <v>59.1</v>
      </c>
      <c r="G1910" t="n">
        <v>171</v>
      </c>
      <c r="H1910" t="n">
        <v>9.259999999999999e-68</v>
      </c>
      <c r="I1910" t="inlineStr">
        <is>
          <t>Swiss-Prot</t>
        </is>
      </c>
      <c r="J1910" t="inlineStr">
        <is>
          <t>MYL5</t>
        </is>
      </c>
      <c r="K1910" t="inlineStr">
        <is>
          <t>MYL5_FELCA</t>
        </is>
      </c>
      <c r="L1910" t="inlineStr">
        <is>
          <t>sp|P41691|MYL5_FELCA Myosin light chain 5 OS=Felis catus OX=9685 GN=MYL5 PE=2 SV=2</t>
        </is>
      </c>
      <c r="M1910" t="n">
        <v>173</v>
      </c>
      <c r="N1910" t="inlineStr">
        <is>
          <t>Felis catus</t>
        </is>
      </c>
      <c r="O1910" t="inlineStr">
        <is>
          <t>Myosin light chain 5</t>
        </is>
      </c>
    </row>
    <row r="1911">
      <c r="A1911" t="inlineStr"/>
      <c r="B1911" t="inlineStr"/>
      <c r="C1911" t="inlineStr"/>
      <c r="D1911" t="inlineStr"/>
      <c r="E1911">
        <f>HYPERLINK("https://www.uniprot.org/uniprotkb/P07461/entry", "P07461")</f>
        <v/>
      </c>
      <c r="F1911" t="n">
        <v>57.9</v>
      </c>
      <c r="G1911" t="n">
        <v>152</v>
      </c>
      <c r="H1911" t="n">
        <v>3.87e-62</v>
      </c>
      <c r="I1911" t="inlineStr">
        <is>
          <t>Swiss-Prot</t>
        </is>
      </c>
      <c r="J1911" t="inlineStr"/>
      <c r="K1911" t="inlineStr">
        <is>
          <t>MLR_HALRO</t>
        </is>
      </c>
      <c r="L1911" t="inlineStr">
        <is>
          <t>sp|P07461|MLR_HALRO Myosin regulatory light chain, smooth muscle OS=Halocynthia roretzi OX=7729 PE=1 SV=1</t>
        </is>
      </c>
      <c r="M1911" t="n">
        <v>153</v>
      </c>
      <c r="N1911" t="inlineStr">
        <is>
          <t>Halocynthia roretzi</t>
        </is>
      </c>
      <c r="O1911" t="inlineStr">
        <is>
          <t>Myosin regulatory light chain, smooth muscle</t>
        </is>
      </c>
    </row>
    <row r="1912">
      <c r="A1912" t="inlineStr"/>
      <c r="B1912" t="inlineStr"/>
      <c r="C1912" t="inlineStr"/>
      <c r="D1912" t="inlineStr"/>
      <c r="E1912">
        <f>HYPERLINK("https://www.uniprot.org/uniprotkb/P13832/entry", "P13832")</f>
        <v/>
      </c>
      <c r="F1912" t="n">
        <v>56.1</v>
      </c>
      <c r="G1912" t="n">
        <v>164</v>
      </c>
      <c r="H1912" t="n">
        <v>6.36e-55</v>
      </c>
      <c r="I1912" t="inlineStr">
        <is>
          <t>Swiss-Prot</t>
        </is>
      </c>
      <c r="J1912" t="inlineStr">
        <is>
          <t>Rlc-a</t>
        </is>
      </c>
      <c r="K1912" t="inlineStr">
        <is>
          <t>MRLCA_RAT</t>
        </is>
      </c>
      <c r="L1912" t="inlineStr">
        <is>
          <t>sp|P13832|MRLCA_RAT Myosin regulatory light chain RLC-A OS=Rattus norvegicus OX=10116 GN=Rlc-a PE=2 SV=2</t>
        </is>
      </c>
      <c r="M1912" t="n">
        <v>172</v>
      </c>
      <c r="N1912" t="inlineStr">
        <is>
          <t>Rattus norvegicus</t>
        </is>
      </c>
      <c r="O1912" t="inlineStr">
        <is>
          <t>Myosin regulatory light chain RLC-A</t>
        </is>
      </c>
    </row>
    <row r="1913">
      <c r="A1913" t="inlineStr">
        <is>
          <t>NODE_154193_length_1049_cov_99.842159_g73046_i0</t>
        </is>
      </c>
      <c r="B1913" t="inlineStr">
        <is>
          <t>bombina_pachypus_blastx</t>
        </is>
      </c>
      <c r="C1913" t="n">
        <v>2.55863866101968</v>
      </c>
      <c r="D1913" t="n">
        <v>0.0006296106698663</v>
      </c>
      <c r="E1913">
        <f>HYPERLINK("https://www.uniprot.org/uniprotkb/A0A8C5R5G8/entry", "A0A8C5R5G8")</f>
        <v/>
      </c>
      <c r="F1913" t="n">
        <v>43.1</v>
      </c>
      <c r="G1913" t="n">
        <v>109</v>
      </c>
      <c r="H1913" t="n">
        <v>2.22e-10</v>
      </c>
      <c r="I1913" t="inlineStr">
        <is>
          <t>TrEMBL</t>
        </is>
      </c>
      <c r="J1913" t="inlineStr"/>
      <c r="K1913" t="inlineStr">
        <is>
          <t>A0A8C5R5G8_9ANUR</t>
        </is>
      </c>
      <c r="L1913" t="inlineStr">
        <is>
          <t>tr|A0A8C5R5G8|A0A8C5R5G8_9ANUR Reverse transcriptase domain-containing protein OS=Leptobrachium leishanense OX=445787 PE=4 SV=1</t>
        </is>
      </c>
      <c r="M1913" t="n">
        <v>816</v>
      </c>
      <c r="N1913" t="inlineStr">
        <is>
          <t>Leptobrachium leishanense</t>
        </is>
      </c>
      <c r="O1913" t="inlineStr">
        <is>
          <t>Reverse transcriptase domain-containing protein</t>
        </is>
      </c>
    </row>
    <row r="1914">
      <c r="A1914" t="inlineStr"/>
      <c r="B1914" t="inlineStr"/>
      <c r="C1914" t="inlineStr"/>
      <c r="D1914" t="inlineStr"/>
      <c r="E1914">
        <f>HYPERLINK("https://www.uniprot.org/uniprotkb/A0A8C5P8F1/entry", "A0A8C5P8F1")</f>
        <v/>
      </c>
      <c r="F1914" t="n">
        <v>43.1</v>
      </c>
      <c r="G1914" t="n">
        <v>109</v>
      </c>
      <c r="H1914" t="n">
        <v>4.22e-10</v>
      </c>
      <c r="I1914" t="inlineStr">
        <is>
          <t>TrEMBL</t>
        </is>
      </c>
      <c r="J1914" t="inlineStr"/>
      <c r="K1914" t="inlineStr">
        <is>
          <t>A0A8C5P8F1_9ANUR</t>
        </is>
      </c>
      <c r="L1914" t="inlineStr">
        <is>
          <t>tr|A0A8C5P8F1|A0A8C5P8F1_9ANUR Reverse transcriptase domain-containing protein OS=Leptobrachium leishanense OX=445787 PE=4 SV=1</t>
        </is>
      </c>
      <c r="M1914" t="n">
        <v>1063</v>
      </c>
      <c r="N1914" t="inlineStr">
        <is>
          <t>Leptobrachium leishanense</t>
        </is>
      </c>
      <c r="O1914" t="inlineStr">
        <is>
          <t>Reverse transcriptase domain-containing protein</t>
        </is>
      </c>
    </row>
    <row r="1915">
      <c r="A1915" t="inlineStr"/>
      <c r="B1915" t="inlineStr"/>
      <c r="C1915" t="inlineStr"/>
      <c r="D1915" t="inlineStr"/>
      <c r="E1915">
        <f>HYPERLINK("https://www.uniprot.org/uniprotkb/A0A8C5P8V0/entry", "A0A8C5P8V0")</f>
        <v/>
      </c>
      <c r="F1915" t="n">
        <v>43.1</v>
      </c>
      <c r="G1915" t="n">
        <v>109</v>
      </c>
      <c r="H1915" t="n">
        <v>4.22e-10</v>
      </c>
      <c r="I1915" t="inlineStr">
        <is>
          <t>TrEMBL</t>
        </is>
      </c>
      <c r="J1915" t="inlineStr"/>
      <c r="K1915" t="inlineStr">
        <is>
          <t>A0A8C5P8V0_9ANUR</t>
        </is>
      </c>
      <c r="L1915" t="inlineStr">
        <is>
          <t>tr|A0A8C5P8V0|A0A8C5P8V0_9ANUR Reverse transcriptase domain-containing protein OS=Leptobrachium leishanense OX=445787 PE=4 SV=1</t>
        </is>
      </c>
      <c r="M1915" t="n">
        <v>1063</v>
      </c>
      <c r="N1915" t="inlineStr">
        <is>
          <t>Leptobrachium leishanense</t>
        </is>
      </c>
      <c r="O1915" t="inlineStr">
        <is>
          <t>Reverse transcriptase domain-containing protein</t>
        </is>
      </c>
    </row>
    <row r="1916">
      <c r="A1916" t="inlineStr"/>
      <c r="B1916" t="inlineStr"/>
      <c r="C1916" t="inlineStr"/>
      <c r="D1916" t="inlineStr"/>
      <c r="E1916">
        <f>HYPERLINK("https://www.uniprot.org/uniprotkb/A0A8C5PUV5/entry", "A0A8C5PUV5")</f>
        <v/>
      </c>
      <c r="F1916" t="n">
        <v>43.1</v>
      </c>
      <c r="G1916" t="n">
        <v>109</v>
      </c>
      <c r="H1916" t="n">
        <v>5.6e-10</v>
      </c>
      <c r="I1916" t="inlineStr">
        <is>
          <t>TrEMBL</t>
        </is>
      </c>
      <c r="J1916" t="inlineStr"/>
      <c r="K1916" t="inlineStr">
        <is>
          <t>A0A8C5PUV5_9ANUR</t>
        </is>
      </c>
      <c r="L1916" t="inlineStr">
        <is>
          <t>tr|A0A8C5PUV5|A0A8C5PUV5_9ANUR Reverse transcriptase domain-containing protein OS=Leptobrachium leishanense OX=445787 PE=4 SV=1</t>
        </is>
      </c>
      <c r="M1916" t="n">
        <v>767</v>
      </c>
      <c r="N1916" t="inlineStr">
        <is>
          <t>Leptobrachium leishanense</t>
        </is>
      </c>
      <c r="O1916" t="inlineStr">
        <is>
          <t>Reverse transcriptase domain-containing protein</t>
        </is>
      </c>
    </row>
    <row r="1917">
      <c r="A1917" t="inlineStr"/>
      <c r="B1917" t="inlineStr"/>
      <c r="C1917" t="inlineStr"/>
      <c r="D1917" t="inlineStr"/>
      <c r="E1917">
        <f>HYPERLINK("https://www.uniprot.org/uniprotkb/A0A448XSY1/entry", "A0A448XSY1")</f>
        <v/>
      </c>
      <c r="F1917" t="n">
        <v>45</v>
      </c>
      <c r="G1917" t="n">
        <v>109</v>
      </c>
      <c r="H1917" t="n">
        <v>6.3e-10</v>
      </c>
      <c r="I1917" t="inlineStr">
        <is>
          <t>TrEMBL</t>
        </is>
      </c>
      <c r="J1917" t="inlineStr">
        <is>
          <t>PXEA_LOCUS37671</t>
        </is>
      </c>
      <c r="K1917" t="inlineStr">
        <is>
          <t>A0A448XSY1_9PLAT</t>
        </is>
      </c>
      <c r="L1917" t="inlineStr">
        <is>
          <t>tr|A0A448XSY1|A0A448XSY1_9PLAT Endo/exonuclease/phosphatase domain-containing protein (Fragment) OS=Protopolystoma xenopodis OX=117903 GN=PXEA_LOCUS37671 PE=4 SV=1</t>
        </is>
      </c>
      <c r="M1917" t="n">
        <v>361</v>
      </c>
      <c r="N1917" t="inlineStr">
        <is>
          <t>Protopolystoma xenopodis</t>
        </is>
      </c>
      <c r="O1917" t="inlineStr">
        <is>
          <t>Endo/exonuclease/phosphatase domain-containing protein (Fragment)</t>
        </is>
      </c>
    </row>
    <row r="1918">
      <c r="A1918" t="inlineStr"/>
      <c r="B1918" t="inlineStr"/>
      <c r="C1918" t="inlineStr"/>
      <c r="D1918" t="inlineStr"/>
      <c r="E1918">
        <f>HYPERLINK("https://www.uniprot.org/uniprotkb/A0A8C5PP66/entry", "A0A8C5PP66")</f>
        <v/>
      </c>
      <c r="F1918" t="n">
        <v>43.1</v>
      </c>
      <c r="G1918" t="n">
        <v>109</v>
      </c>
      <c r="H1918" t="n">
        <v>7.84e-10</v>
      </c>
      <c r="I1918" t="inlineStr">
        <is>
          <t>TrEMBL</t>
        </is>
      </c>
      <c r="J1918" t="inlineStr"/>
      <c r="K1918" t="inlineStr">
        <is>
          <t>A0A8C5PP66_9ANUR</t>
        </is>
      </c>
      <c r="L1918" t="inlineStr">
        <is>
          <t>tr|A0A8C5PP66|A0A8C5PP66_9ANUR Reverse transcriptase domain-containing protein OS=Leptobrachium leishanense OX=445787 PE=4 SV=1</t>
        </is>
      </c>
      <c r="M1918" t="n">
        <v>1063</v>
      </c>
      <c r="N1918" t="inlineStr">
        <is>
          <t>Leptobrachium leishanense</t>
        </is>
      </c>
      <c r="O1918" t="inlineStr">
        <is>
          <t>Reverse transcriptase domain-containing protein</t>
        </is>
      </c>
    </row>
    <row r="1919">
      <c r="A1919" t="inlineStr"/>
      <c r="B1919" t="inlineStr"/>
      <c r="C1919" t="inlineStr"/>
      <c r="D1919" t="inlineStr"/>
      <c r="E1919">
        <f>HYPERLINK("https://www.uniprot.org/uniprotkb/A0A8C5W944/entry", "A0A8C5W944")</f>
        <v/>
      </c>
      <c r="F1919" t="n">
        <v>43.1</v>
      </c>
      <c r="G1919" t="n">
        <v>109</v>
      </c>
      <c r="H1919" t="n">
        <v>7.84e-10</v>
      </c>
      <c r="I1919" t="inlineStr">
        <is>
          <t>TrEMBL</t>
        </is>
      </c>
      <c r="J1919" t="inlineStr"/>
      <c r="K1919" t="inlineStr">
        <is>
          <t>A0A8C5W944_9ANUR</t>
        </is>
      </c>
      <c r="L1919" t="inlineStr">
        <is>
          <t>tr|A0A8C5W944|A0A8C5W944_9ANUR Reverse transcriptase domain-containing protein OS=Leptobrachium leishanense OX=445787 PE=4 SV=1</t>
        </is>
      </c>
      <c r="M1919" t="n">
        <v>1063</v>
      </c>
      <c r="N1919" t="inlineStr">
        <is>
          <t>Leptobrachium leishanense</t>
        </is>
      </c>
      <c r="O1919" t="inlineStr">
        <is>
          <t>Reverse transcriptase domain-containing protein</t>
        </is>
      </c>
    </row>
    <row r="1920">
      <c r="A1920" t="inlineStr"/>
      <c r="B1920" t="inlineStr"/>
      <c r="C1920" t="inlineStr"/>
      <c r="D1920" t="inlineStr"/>
      <c r="E1920">
        <f>HYPERLINK("https://www.uniprot.org/uniprotkb/A0A8C5Q998/entry", "A0A8C5Q998")</f>
        <v/>
      </c>
      <c r="F1920" t="n">
        <v>43.1</v>
      </c>
      <c r="G1920" t="n">
        <v>109</v>
      </c>
      <c r="H1920" t="n">
        <v>1.07e-09</v>
      </c>
      <c r="I1920" t="inlineStr">
        <is>
          <t>TrEMBL</t>
        </is>
      </c>
      <c r="J1920" t="inlineStr"/>
      <c r="K1920" t="inlineStr">
        <is>
          <t>A0A8C5Q998_9ANUR</t>
        </is>
      </c>
      <c r="L1920" t="inlineStr">
        <is>
          <t>tr|A0A8C5Q998|A0A8C5Q998_9ANUR Reverse transcriptase domain-containing protein OS=Leptobrachium leishanense OX=445787 PE=4 SV=1</t>
        </is>
      </c>
      <c r="M1920" t="n">
        <v>1084</v>
      </c>
      <c r="N1920" t="inlineStr">
        <is>
          <t>Leptobrachium leishanense</t>
        </is>
      </c>
      <c r="O1920" t="inlineStr">
        <is>
          <t>Reverse transcriptase domain-containing protein</t>
        </is>
      </c>
    </row>
    <row r="1921">
      <c r="A1921" t="inlineStr"/>
      <c r="B1921" t="inlineStr"/>
      <c r="C1921" t="inlineStr"/>
      <c r="D1921" t="inlineStr"/>
      <c r="E1921">
        <f>HYPERLINK("https://www.ncbi.nlm.nih.gov/gene/?term=VEL44231.1", "VEL44231.1")</f>
        <v/>
      </c>
      <c r="F1921" t="n">
        <v>45</v>
      </c>
      <c r="G1921" t="n">
        <v>109</v>
      </c>
      <c r="H1921" t="n">
        <v>1.62e-09</v>
      </c>
      <c r="I1921" t="inlineStr">
        <is>
          <t>Nr</t>
        </is>
      </c>
      <c r="J1921" t="inlineStr"/>
      <c r="K1921" t="inlineStr"/>
      <c r="L1921" t="inlineStr">
        <is>
          <t>VEL44231.1 unnamed protein product, partial [Protopolystoma xenopodis]</t>
        </is>
      </c>
      <c r="M1921" t="n">
        <v>361</v>
      </c>
      <c r="N1921" t="inlineStr">
        <is>
          <t>Protopolystoma xenopodis</t>
        </is>
      </c>
      <c r="O1921" t="inlineStr">
        <is>
          <t>unnamed protein product, partial</t>
        </is>
      </c>
    </row>
    <row r="1922">
      <c r="A1922" t="inlineStr"/>
      <c r="B1922" t="inlineStr"/>
      <c r="C1922" t="inlineStr"/>
      <c r="D1922" t="inlineStr"/>
      <c r="E1922">
        <f>HYPERLINK("https://www.uniprot.org/uniprotkb/A0A8C5LTH3/entry", "A0A8C5LTH3")</f>
        <v/>
      </c>
      <c r="F1922" t="n">
        <v>42.2</v>
      </c>
      <c r="G1922" t="n">
        <v>109</v>
      </c>
      <c r="H1922" t="n">
        <v>2.71e-09</v>
      </c>
      <c r="I1922" t="inlineStr">
        <is>
          <t>TrEMBL</t>
        </is>
      </c>
      <c r="J1922" t="inlineStr"/>
      <c r="K1922" t="inlineStr">
        <is>
          <t>A0A8C5LTH3_9ANUR</t>
        </is>
      </c>
      <c r="L1922" t="inlineStr">
        <is>
          <t>tr|A0A8C5LTH3|A0A8C5LTH3_9ANUR Reverse transcriptase domain-containing protein OS=Leptobrachium leishanense OX=445787 PE=4 SV=1</t>
        </is>
      </c>
      <c r="M1922" t="n">
        <v>1063</v>
      </c>
      <c r="N1922" t="inlineStr">
        <is>
          <t>Leptobrachium leishanense</t>
        </is>
      </c>
      <c r="O1922" t="inlineStr">
        <is>
          <t>Reverse transcriptase domain-containing protein</t>
        </is>
      </c>
    </row>
    <row r="1923">
      <c r="A1923" t="inlineStr"/>
      <c r="B1923" t="inlineStr"/>
      <c r="C1923" t="inlineStr"/>
      <c r="D1923" t="inlineStr"/>
      <c r="E1923">
        <f>HYPERLINK("https://www.uniprot.org/uniprotkb/A0A8C5PJB7/entry", "A0A8C5PJB7")</f>
        <v/>
      </c>
      <c r="F1923" t="n">
        <v>42.2</v>
      </c>
      <c r="G1923" t="n">
        <v>109</v>
      </c>
      <c r="H1923" t="n">
        <v>3.63e-09</v>
      </c>
      <c r="I1923" t="inlineStr">
        <is>
          <t>TrEMBL</t>
        </is>
      </c>
      <c r="J1923" t="inlineStr"/>
      <c r="K1923" t="inlineStr">
        <is>
          <t>A0A8C5PJB7_9ANUR</t>
        </is>
      </c>
      <c r="L1923" t="inlineStr">
        <is>
          <t>tr|A0A8C5PJB7|A0A8C5PJB7_9ANUR Reverse transcriptase domain-containing protein OS=Leptobrachium leishanense OX=445787 PE=4 SV=1</t>
        </is>
      </c>
      <c r="M1923" t="n">
        <v>818</v>
      </c>
      <c r="N1923" t="inlineStr">
        <is>
          <t>Leptobrachium leishanense</t>
        </is>
      </c>
      <c r="O1923" t="inlineStr">
        <is>
          <t>Reverse transcriptase domain-containing protein</t>
        </is>
      </c>
    </row>
    <row r="1924">
      <c r="A1924" t="inlineStr"/>
      <c r="B1924" t="inlineStr"/>
      <c r="C1924" t="inlineStr"/>
      <c r="D1924" t="inlineStr"/>
      <c r="E1924">
        <f>HYPERLINK("https://www.uniprot.org/uniprotkb/A0A8C5WE66/entry", "A0A8C5WE66")</f>
        <v/>
      </c>
      <c r="F1924" t="n">
        <v>45.1</v>
      </c>
      <c r="G1924" t="n">
        <v>102</v>
      </c>
      <c r="H1924" t="n">
        <v>3.7e-09</v>
      </c>
      <c r="I1924" t="inlineStr">
        <is>
          <t>TrEMBL</t>
        </is>
      </c>
      <c r="J1924" t="inlineStr"/>
      <c r="K1924" t="inlineStr">
        <is>
          <t>A0A8C5WE66_9ANUR</t>
        </is>
      </c>
      <c r="L1924" t="inlineStr">
        <is>
          <t>tr|A0A8C5WE66|A0A8C5WE66_9ANUR Reverse transcriptase domain-containing protein OS=Leptobrachium leishanense OX=445787 PE=4 SV=1</t>
        </is>
      </c>
      <c r="M1924" t="n">
        <v>1047</v>
      </c>
      <c r="N1924" t="inlineStr">
        <is>
          <t>Leptobrachium leishanense</t>
        </is>
      </c>
      <c r="O1924" t="inlineStr">
        <is>
          <t>Reverse transcriptase domain-containing protein</t>
        </is>
      </c>
    </row>
    <row r="1925">
      <c r="A1925" t="inlineStr"/>
      <c r="B1925" t="inlineStr"/>
      <c r="C1925" t="inlineStr"/>
      <c r="D1925" t="inlineStr"/>
      <c r="E1925">
        <f>HYPERLINK("https://www.uniprot.org/uniprotkb/A0A8C5MCC7/entry", "A0A8C5MCC7")</f>
        <v/>
      </c>
      <c r="F1925" t="n">
        <v>44.4</v>
      </c>
      <c r="G1925" t="n">
        <v>99</v>
      </c>
      <c r="H1925" t="n">
        <v>6.54e-09</v>
      </c>
      <c r="I1925" t="inlineStr">
        <is>
          <t>TrEMBL</t>
        </is>
      </c>
      <c r="J1925" t="inlineStr"/>
      <c r="K1925" t="inlineStr">
        <is>
          <t>A0A8C5MCC7_9ANUR</t>
        </is>
      </c>
      <c r="L1925" t="inlineStr">
        <is>
          <t>tr|A0A8C5MCC7|A0A8C5MCC7_9ANUR Endo/exonuclease/phosphatase domain-containing protein OS=Leptobrachium leishanense OX=445787 PE=4 SV=1</t>
        </is>
      </c>
      <c r="M1925" t="n">
        <v>615</v>
      </c>
      <c r="N1925" t="inlineStr">
        <is>
          <t>Leptobrachium leishanense</t>
        </is>
      </c>
      <c r="O1925" t="inlineStr">
        <is>
          <t>Endo/exonuclease/phosphatase domain-containing protein</t>
        </is>
      </c>
    </row>
    <row r="1926">
      <c r="A1926" t="inlineStr"/>
      <c r="B1926" t="inlineStr"/>
      <c r="C1926" t="inlineStr"/>
      <c r="D1926" t="inlineStr"/>
      <c r="E1926">
        <f>HYPERLINK("https://www.uniprot.org/uniprotkb/A0A8C5M8Y3/entry", "A0A8C5M8Y3")</f>
        <v/>
      </c>
      <c r="F1926" t="n">
        <v>41.3</v>
      </c>
      <c r="G1926" t="n">
        <v>109</v>
      </c>
      <c r="H1926" t="n">
        <v>1.28e-08</v>
      </c>
      <c r="I1926" t="inlineStr">
        <is>
          <t>TrEMBL</t>
        </is>
      </c>
      <c r="J1926" t="inlineStr"/>
      <c r="K1926" t="inlineStr">
        <is>
          <t>A0A8C5M8Y3_9ANUR</t>
        </is>
      </c>
      <c r="L1926" t="inlineStr">
        <is>
          <t>tr|A0A8C5M8Y3|A0A8C5M8Y3_9ANUR Reverse transcriptase domain-containing protein OS=Leptobrachium leishanense OX=445787 PE=4 SV=1</t>
        </is>
      </c>
      <c r="M1926" t="n">
        <v>1063</v>
      </c>
      <c r="N1926" t="inlineStr">
        <is>
          <t>Leptobrachium leishanense</t>
        </is>
      </c>
      <c r="O1926" t="inlineStr">
        <is>
          <t>Reverse transcriptase domain-containing protein</t>
        </is>
      </c>
    </row>
    <row r="1927">
      <c r="A1927" t="inlineStr"/>
      <c r="B1927" t="inlineStr"/>
      <c r="C1927" t="inlineStr"/>
      <c r="D1927" t="inlineStr"/>
      <c r="E1927">
        <f>HYPERLINK("https://www.uniprot.org/uniprotkb/A0A8C5PJR1/entry", "A0A8C5PJR1")</f>
        <v/>
      </c>
      <c r="F1927" t="n">
        <v>45.3</v>
      </c>
      <c r="G1927" t="n">
        <v>86</v>
      </c>
      <c r="H1927" t="n">
        <v>2.79e-07</v>
      </c>
      <c r="I1927" t="inlineStr">
        <is>
          <t>TrEMBL</t>
        </is>
      </c>
      <c r="J1927" t="inlineStr"/>
      <c r="K1927" t="inlineStr">
        <is>
          <t>A0A8C5PJR1_9ANUR</t>
        </is>
      </c>
      <c r="L1927" t="inlineStr">
        <is>
          <t>tr|A0A8C5PJR1|A0A8C5PJR1_9ANUR Endo/exonuclease/phosphatase domain-containing protein OS=Leptobrachium leishanense OX=445787 PE=4 SV=1</t>
        </is>
      </c>
      <c r="M1927" t="n">
        <v>847</v>
      </c>
      <c r="N1927" t="inlineStr">
        <is>
          <t>Leptobrachium leishanense</t>
        </is>
      </c>
      <c r="O1927" t="inlineStr">
        <is>
          <t>Endo/exonuclease/phosphatase domain-containing protein</t>
        </is>
      </c>
    </row>
    <row r="1928">
      <c r="A1928" t="inlineStr"/>
      <c r="B1928" t="inlineStr"/>
      <c r="C1928" t="inlineStr"/>
      <c r="D1928" t="inlineStr"/>
      <c r="E1928">
        <f>HYPERLINK("https://www.uniprot.org/uniprotkb/A0A803JNT9/entry", "A0A803JNT9")</f>
        <v/>
      </c>
      <c r="F1928" t="n">
        <v>43.8</v>
      </c>
      <c r="G1928" t="n">
        <v>89</v>
      </c>
      <c r="H1928" t="n">
        <v>1.34e-06</v>
      </c>
      <c r="I1928" t="inlineStr">
        <is>
          <t>TrEMBL</t>
        </is>
      </c>
      <c r="J1928" t="inlineStr"/>
      <c r="K1928" t="inlineStr">
        <is>
          <t>A0A803JNT9_XENTR</t>
        </is>
      </c>
      <c r="L1928" t="inlineStr">
        <is>
          <t>tr|A0A803JNT9|A0A803JNT9_XENTR Reverse transcriptase domain-containing protein OS=Xenopus tropicalis OX=8364 PE=4 SV=1</t>
        </is>
      </c>
      <c r="M1928" t="n">
        <v>1064</v>
      </c>
      <c r="N1928" t="inlineStr">
        <is>
          <t>Xenopus tropicalis</t>
        </is>
      </c>
      <c r="O1928" t="inlineStr">
        <is>
          <t>Reverse transcriptase domain-containing protein</t>
        </is>
      </c>
    </row>
    <row r="1929">
      <c r="A1929" t="inlineStr"/>
      <c r="B1929" t="inlineStr"/>
      <c r="C1929" t="inlineStr"/>
      <c r="D1929" t="inlineStr"/>
      <c r="E1929">
        <f>HYPERLINK("https://www.uniprot.org/uniprotkb/A0A8C5MVX7/entry", "A0A8C5MVX7")</f>
        <v/>
      </c>
      <c r="F1929" t="n">
        <v>51.6</v>
      </c>
      <c r="G1929" t="n">
        <v>62</v>
      </c>
      <c r="H1929" t="n">
        <v>4.61e-06</v>
      </c>
      <c r="I1929" t="inlineStr">
        <is>
          <t>TrEMBL</t>
        </is>
      </c>
      <c r="J1929" t="inlineStr"/>
      <c r="K1929" t="inlineStr">
        <is>
          <t>A0A8C5MVX7_9ANUR</t>
        </is>
      </c>
      <c r="L1929" t="inlineStr">
        <is>
          <t>tr|A0A8C5MVX7|A0A8C5MVX7_9ANUR Reverse transcriptase domain-containing protein OS=Leptobrachium leishanense OX=445787 PE=4 SV=1</t>
        </is>
      </c>
      <c r="M1929" t="n">
        <v>1013</v>
      </c>
      <c r="N1929" t="inlineStr">
        <is>
          <t>Leptobrachium leishanense</t>
        </is>
      </c>
      <c r="O1929" t="inlineStr">
        <is>
          <t>Reverse transcriptase domain-containing protein</t>
        </is>
      </c>
    </row>
    <row r="1930">
      <c r="A1930" t="inlineStr"/>
      <c r="B1930" t="inlineStr"/>
      <c r="C1930" t="inlineStr"/>
      <c r="D1930" t="inlineStr"/>
      <c r="E1930">
        <f>HYPERLINK("https://www.uniprot.org/uniprotkb/A0A8C5MTB2/entry", "A0A8C5MTB2")</f>
        <v/>
      </c>
      <c r="F1930" t="n">
        <v>54</v>
      </c>
      <c r="G1930" t="n">
        <v>50</v>
      </c>
      <c r="H1930" t="n">
        <v>1.58e-05</v>
      </c>
      <c r="I1930" t="inlineStr">
        <is>
          <t>TrEMBL</t>
        </is>
      </c>
      <c r="J1930" t="inlineStr"/>
      <c r="K1930" t="inlineStr">
        <is>
          <t>A0A8C5MTB2_9ANUR</t>
        </is>
      </c>
      <c r="L1930" t="inlineStr">
        <is>
          <t>tr|A0A8C5MTB2|A0A8C5MTB2_9ANUR Reverse transcriptase domain-containing protein OS=Leptobrachium leishanense OX=445787 PE=4 SV=1</t>
        </is>
      </c>
      <c r="M1930" t="n">
        <v>939</v>
      </c>
      <c r="N1930" t="inlineStr">
        <is>
          <t>Leptobrachium leishanense</t>
        </is>
      </c>
      <c r="O1930" t="inlineStr">
        <is>
          <t>Reverse transcriptase domain-containing protein</t>
        </is>
      </c>
    </row>
    <row r="1931">
      <c r="A1931" t="inlineStr"/>
      <c r="B1931" t="inlineStr"/>
      <c r="C1931" t="inlineStr"/>
      <c r="D1931" t="inlineStr"/>
      <c r="E1931">
        <f>HYPERLINK("https://www.uniprot.org/uniprotkb/A0A8C5LNZ1/entry", "A0A8C5LNZ1")</f>
        <v/>
      </c>
      <c r="F1931" t="n">
        <v>52.8</v>
      </c>
      <c r="G1931" t="n">
        <v>53</v>
      </c>
      <c r="H1931" t="n">
        <v>0.000475</v>
      </c>
      <c r="I1931" t="inlineStr">
        <is>
          <t>TrEMBL</t>
        </is>
      </c>
      <c r="J1931" t="inlineStr"/>
      <c r="K1931" t="inlineStr">
        <is>
          <t>A0A8C5LNZ1_9ANUR</t>
        </is>
      </c>
      <c r="L1931" t="inlineStr">
        <is>
          <t>tr|A0A8C5LNZ1|A0A8C5LNZ1_9ANUR Reverse transcriptase domain-containing protein OS=Leptobrachium leishanense OX=445787 PE=4 SV=1</t>
        </is>
      </c>
      <c r="M1931" t="n">
        <v>870</v>
      </c>
      <c r="N1931" t="inlineStr">
        <is>
          <t>Leptobrachium leishanense</t>
        </is>
      </c>
      <c r="O1931" t="inlineStr">
        <is>
          <t>Reverse transcriptase domain-containing protein</t>
        </is>
      </c>
    </row>
    <row r="1932">
      <c r="A1932" t="inlineStr">
        <is>
          <t>NODE_15576_length_5354_cov_31291.035937_g813_i11</t>
        </is>
      </c>
      <c r="B1932" t="inlineStr">
        <is>
          <t>bombina_pachypus_blastx</t>
        </is>
      </c>
      <c r="C1932" t="n">
        <v>-4.78741410581039</v>
      </c>
      <c r="D1932" t="n">
        <v>0.0422502015318322</v>
      </c>
      <c r="E1932">
        <f>HYPERLINK("https://www.ncbi.nlm.nih.gov/gene/?term=XP_053307146.1", "XP_053307146.1")</f>
        <v/>
      </c>
      <c r="F1932" t="n">
        <v>85.40000000000001</v>
      </c>
      <c r="G1932" t="n">
        <v>343</v>
      </c>
      <c r="H1932" t="n">
        <v>4.62e-212</v>
      </c>
      <c r="I1932" t="inlineStr">
        <is>
          <t>Nr</t>
        </is>
      </c>
      <c r="J1932" t="inlineStr"/>
      <c r="K1932" t="inlineStr"/>
      <c r="L1932" t="inlineStr">
        <is>
          <t>XP_053307146.1 glyceraldehyde-3-phosphate dehydrogenase [Spea bombifrons]</t>
        </is>
      </c>
      <c r="M1932" t="n">
        <v>333</v>
      </c>
      <c r="N1932" t="inlineStr">
        <is>
          <t>Spea bombifrons</t>
        </is>
      </c>
      <c r="O1932" t="inlineStr">
        <is>
          <t>glyceraldehyde-3-phosphate dehydrogenase</t>
        </is>
      </c>
    </row>
    <row r="1933">
      <c r="A1933" t="inlineStr"/>
      <c r="B1933" t="inlineStr"/>
      <c r="C1933" t="inlineStr"/>
      <c r="D1933" t="inlineStr"/>
      <c r="E1933">
        <f>HYPERLINK("https://www.uniprot.org/uniprotkb/P00356/entry", "P00356")</f>
        <v/>
      </c>
      <c r="F1933" t="n">
        <v>84.5</v>
      </c>
      <c r="G1933" t="n">
        <v>343</v>
      </c>
      <c r="H1933" t="n">
        <v>2.94e-211</v>
      </c>
      <c r="I1933" t="inlineStr">
        <is>
          <t>Swiss-Prot</t>
        </is>
      </c>
      <c r="J1933" t="inlineStr">
        <is>
          <t>GAPDH</t>
        </is>
      </c>
      <c r="K1933" t="inlineStr">
        <is>
          <t>G3P_CHICK</t>
        </is>
      </c>
      <c r="L1933" t="inlineStr">
        <is>
          <t>sp|P00356|G3P_CHICK Glyceraldehyde-3-phosphate dehydrogenase OS=Gallus gallus OX=9031 GN=GAPDH PE=2 SV=3</t>
        </is>
      </c>
      <c r="M1933" t="n">
        <v>333</v>
      </c>
      <c r="N1933" t="inlineStr">
        <is>
          <t>Gallus gallus</t>
        </is>
      </c>
      <c r="O1933" t="inlineStr">
        <is>
          <t>Glyceraldehyde-3-phosphate dehydrogenase</t>
        </is>
      </c>
    </row>
    <row r="1934">
      <c r="A1934" t="inlineStr"/>
      <c r="B1934" t="inlineStr"/>
      <c r="C1934" t="inlineStr"/>
      <c r="D1934" t="inlineStr"/>
      <c r="E1934">
        <f>HYPERLINK("https://www.uniprot.org/uniprotkb/Q05025/entry", "Q05025")</f>
        <v/>
      </c>
      <c r="F1934" t="n">
        <v>84.3</v>
      </c>
      <c r="G1934" t="n">
        <v>343</v>
      </c>
      <c r="H1934" t="n">
        <v>1.2e-210</v>
      </c>
      <c r="I1934" t="inlineStr">
        <is>
          <t>Swiss-Prot</t>
        </is>
      </c>
      <c r="J1934" t="inlineStr">
        <is>
          <t>GAPDH</t>
        </is>
      </c>
      <c r="K1934" t="inlineStr">
        <is>
          <t>G3P_COTJA</t>
        </is>
      </c>
      <c r="L1934" t="inlineStr">
        <is>
          <t>sp|Q05025|G3P_COTJA Glyceraldehyde-3-phosphate dehydrogenase OS=Coturnix japonica OX=93934 GN=GAPDH PE=2 SV=2</t>
        </is>
      </c>
      <c r="M1934" t="n">
        <v>333</v>
      </c>
      <c r="N1934" t="inlineStr">
        <is>
          <t>Coturnix japonica</t>
        </is>
      </c>
      <c r="O1934" t="inlineStr">
        <is>
          <t>Glyceraldehyde-3-phosphate dehydrogenase</t>
        </is>
      </c>
    </row>
    <row r="1935">
      <c r="A1935" t="inlineStr"/>
      <c r="B1935" t="inlineStr"/>
      <c r="C1935" t="inlineStr"/>
      <c r="D1935" t="inlineStr"/>
      <c r="E1935">
        <f>HYPERLINK("https://www.uniprot.org/uniprotkb/A0A8C9EMQ2/entry", "A0A8C9EMQ2")</f>
        <v/>
      </c>
      <c r="F1935" t="n">
        <v>84.59999999999999</v>
      </c>
      <c r="G1935" t="n">
        <v>345</v>
      </c>
      <c r="H1935" t="n">
        <v>5.300000000000001e-210</v>
      </c>
      <c r="I1935" t="inlineStr">
        <is>
          <t>TrEMBL</t>
        </is>
      </c>
      <c r="J1935" t="inlineStr"/>
      <c r="K1935" t="inlineStr">
        <is>
          <t>A0A8C9EMQ2_PAVCR</t>
        </is>
      </c>
      <c r="L1935" t="inlineStr">
        <is>
          <t>tr|A0A8C9EMQ2|A0A8C9EMQ2_PAVCR Glyceraldehyde-3-phosphate dehydrogenase OS=Pavo cristatus OX=9049 PE=3 SV=1</t>
        </is>
      </c>
      <c r="M1935" t="n">
        <v>335</v>
      </c>
      <c r="N1935" t="inlineStr">
        <is>
          <t>Pavo cristatus</t>
        </is>
      </c>
      <c r="O1935" t="inlineStr">
        <is>
          <t>Glyceraldehyde-3-phosphate dehydrogenase</t>
        </is>
      </c>
    </row>
    <row r="1936">
      <c r="A1936" t="inlineStr"/>
      <c r="B1936" t="inlineStr"/>
      <c r="C1936" t="inlineStr"/>
      <c r="D1936" t="inlineStr"/>
      <c r="E1936">
        <f>HYPERLINK("https://www.uniprot.org/uniprotkb/A0A6J0H7Y6/entry", "A0A6J0H7Y6")</f>
        <v/>
      </c>
      <c r="F1936" t="n">
        <v>84.5</v>
      </c>
      <c r="G1936" t="n">
        <v>343</v>
      </c>
      <c r="H1936" t="n">
        <v>5.73e-209</v>
      </c>
      <c r="I1936" t="inlineStr">
        <is>
          <t>TrEMBL</t>
        </is>
      </c>
      <c r="J1936" t="inlineStr">
        <is>
          <t>GAPDH</t>
        </is>
      </c>
      <c r="K1936" t="inlineStr">
        <is>
          <t>A0A6J0H7Y6_9PASS</t>
        </is>
      </c>
      <c r="L1936" t="inlineStr">
        <is>
          <t>tr|A0A6J0H7Y6|A0A6J0H7Y6_9PASS Glyceraldehyde-3-phosphate dehydrogenase OS=Lepidothrix coronata OX=321398 GN=GAPDH PE=3 SV=1</t>
        </is>
      </c>
      <c r="M1936" t="n">
        <v>333</v>
      </c>
      <c r="N1936" t="inlineStr">
        <is>
          <t>Lepidothrix coronata</t>
        </is>
      </c>
      <c r="O1936" t="inlineStr">
        <is>
          <t>Glyceraldehyde-3-phosphate dehydrogenase</t>
        </is>
      </c>
    </row>
    <row r="1937">
      <c r="A1937" t="inlineStr"/>
      <c r="B1937" t="inlineStr"/>
      <c r="C1937" t="inlineStr"/>
      <c r="D1937" t="inlineStr"/>
      <c r="E1937">
        <f>HYPERLINK("https://www.uniprot.org/uniprotkb/A0A6J2HFC9/entry", "A0A6J2HFC9")</f>
        <v/>
      </c>
      <c r="F1937" t="n">
        <v>84.5</v>
      </c>
      <c r="G1937" t="n">
        <v>343</v>
      </c>
      <c r="H1937" t="n">
        <v>5.73e-209</v>
      </c>
      <c r="I1937" t="inlineStr">
        <is>
          <t>TrEMBL</t>
        </is>
      </c>
      <c r="J1937" t="inlineStr">
        <is>
          <t>GAPDH</t>
        </is>
      </c>
      <c r="K1937" t="inlineStr">
        <is>
          <t>A0A6J2HFC9_9PASS</t>
        </is>
      </c>
      <c r="L1937" t="inlineStr">
        <is>
          <t>tr|A0A6J2HFC9|A0A6J2HFC9_9PASS Glyceraldehyde-3-phosphate dehydrogenase OS=Pipra filicauda OX=649802 GN=GAPDH PE=3 SV=1</t>
        </is>
      </c>
      <c r="M1937" t="n">
        <v>333</v>
      </c>
      <c r="N1937" t="inlineStr">
        <is>
          <t>Pipra filicauda</t>
        </is>
      </c>
      <c r="O1937" t="inlineStr">
        <is>
          <t>Glyceraldehyde-3-phosphate dehydrogenase</t>
        </is>
      </c>
    </row>
    <row r="1938">
      <c r="A1938" t="inlineStr"/>
      <c r="B1938" t="inlineStr"/>
      <c r="C1938" t="inlineStr"/>
      <c r="D1938" t="inlineStr"/>
      <c r="E1938">
        <f>HYPERLINK("https://www.uniprot.org/uniprotkb/A0A2P4T5T0/entry", "A0A2P4T5T0")</f>
        <v/>
      </c>
      <c r="F1938" t="n">
        <v>84.3</v>
      </c>
      <c r="G1938" t="n">
        <v>345</v>
      </c>
      <c r="H1938" t="n">
        <v>6.06e-209</v>
      </c>
      <c r="I1938" t="inlineStr">
        <is>
          <t>TrEMBL</t>
        </is>
      </c>
      <c r="J1938" t="inlineStr">
        <is>
          <t>CIB84_004528</t>
        </is>
      </c>
      <c r="K1938" t="inlineStr">
        <is>
          <t>A0A2P4T5T0_BAMTH</t>
        </is>
      </c>
      <c r="L1938" t="inlineStr">
        <is>
          <t>tr|A0A2P4T5T0|A0A2P4T5T0_BAMTH Glyceraldehyde-3-phosphate dehydrogenase OS=Bambusicola thoracicus OX=9083 GN=CIB84_004528 PE=3 SV=1</t>
        </is>
      </c>
      <c r="M1938" t="n">
        <v>344</v>
      </c>
      <c r="N1938" t="inlineStr">
        <is>
          <t>Bambusicola thoracicus</t>
        </is>
      </c>
      <c r="O1938" t="inlineStr">
        <is>
          <t>Glyceraldehyde-3-phosphate dehydrogenase</t>
        </is>
      </c>
    </row>
    <row r="1939">
      <c r="A1939" t="inlineStr"/>
      <c r="B1939" t="inlineStr"/>
      <c r="C1939" t="inlineStr"/>
      <c r="D1939" t="inlineStr"/>
      <c r="E1939">
        <f>HYPERLINK("https://www.uniprot.org/uniprotkb/P10096/entry", "P10096")</f>
        <v/>
      </c>
      <c r="F1939" t="n">
        <v>83.09999999999999</v>
      </c>
      <c r="G1939" t="n">
        <v>343</v>
      </c>
      <c r="H1939" t="n">
        <v>8.04e-209</v>
      </c>
      <c r="I1939" t="inlineStr">
        <is>
          <t>Swiss-Prot</t>
        </is>
      </c>
      <c r="J1939" t="inlineStr">
        <is>
          <t>GAPDH</t>
        </is>
      </c>
      <c r="K1939" t="inlineStr">
        <is>
          <t>G3P_BOVIN</t>
        </is>
      </c>
      <c r="L1939" t="inlineStr">
        <is>
          <t>sp|P10096|G3P_BOVIN Glyceraldehyde-3-phosphate dehydrogenase OS=Bos taurus OX=9913 GN=GAPDH PE=1 SV=4</t>
        </is>
      </c>
      <c r="M1939" t="n">
        <v>333</v>
      </c>
      <c r="N1939" t="inlineStr">
        <is>
          <t>Bos taurus</t>
        </is>
      </c>
      <c r="O1939" t="inlineStr">
        <is>
          <t>Glyceraldehyde-3-phosphate dehydrogenase</t>
        </is>
      </c>
    </row>
    <row r="1940">
      <c r="A1940" t="inlineStr"/>
      <c r="B1940" t="inlineStr"/>
      <c r="C1940" t="inlineStr"/>
      <c r="D1940" t="inlineStr"/>
      <c r="E1940">
        <f>HYPERLINK("https://www.uniprot.org/uniprotkb/G1NMR6/entry", "G1NMR6")</f>
        <v/>
      </c>
      <c r="F1940" t="n">
        <v>84.5</v>
      </c>
      <c r="G1940" t="n">
        <v>343</v>
      </c>
      <c r="H1940" t="n">
        <v>1.16e-208</v>
      </c>
      <c r="I1940" t="inlineStr">
        <is>
          <t>TrEMBL</t>
        </is>
      </c>
      <c r="J1940" t="inlineStr">
        <is>
          <t>GAPDH</t>
        </is>
      </c>
      <c r="K1940" t="inlineStr">
        <is>
          <t>G1NMR6_MELGA</t>
        </is>
      </c>
      <c r="L1940" t="inlineStr">
        <is>
          <t>tr|G1NMR6|G1NMR6_MELGA Glyceraldehyde-3-phosphate dehydrogenase OS=Meleagris gallopavo OX=9103 GN=GAPDH PE=3 SV=1</t>
        </is>
      </c>
      <c r="M1940" t="n">
        <v>333</v>
      </c>
      <c r="N1940" t="inlineStr">
        <is>
          <t>Meleagris gallopavo</t>
        </is>
      </c>
      <c r="O1940" t="inlineStr">
        <is>
          <t>Glyceraldehyde-3-phosphate dehydrogenase</t>
        </is>
      </c>
    </row>
    <row r="1941">
      <c r="A1941" t="inlineStr"/>
      <c r="B1941" t="inlineStr"/>
      <c r="C1941" t="inlineStr"/>
      <c r="D1941" t="inlineStr"/>
      <c r="E1941">
        <f>HYPERLINK("https://www.uniprot.org/uniprotkb/A0A444UNJ5/entry", "A0A444UNJ5")</f>
        <v/>
      </c>
      <c r="F1941" t="n">
        <v>85.09999999999999</v>
      </c>
      <c r="G1941" t="n">
        <v>343</v>
      </c>
      <c r="H1941" t="n">
        <v>1.16e-208</v>
      </c>
      <c r="I1941" t="inlineStr">
        <is>
          <t>TrEMBL</t>
        </is>
      </c>
      <c r="J1941" t="inlineStr">
        <is>
          <t>EOD39_11521</t>
        </is>
      </c>
      <c r="K1941" t="inlineStr">
        <is>
          <t>A0A444UNJ5_ACIRT</t>
        </is>
      </c>
      <c r="L1941" t="inlineStr">
        <is>
          <t>tr|A0A444UNJ5|A0A444UNJ5_ACIRT Glyceraldehyde-3-phosphate dehydrogenase OS=Acipenser ruthenus OX=7906 GN=EOD39_11521 PE=3 SV=1</t>
        </is>
      </c>
      <c r="M1941" t="n">
        <v>333</v>
      </c>
      <c r="N1941" t="inlineStr">
        <is>
          <t>Acipenser ruthenus</t>
        </is>
      </c>
      <c r="O1941" t="inlineStr">
        <is>
          <t>Glyceraldehyde-3-phosphate dehydrogenase</t>
        </is>
      </c>
    </row>
    <row r="1942">
      <c r="A1942" t="inlineStr"/>
      <c r="B1942" t="inlineStr"/>
      <c r="C1942" t="inlineStr"/>
      <c r="D1942" t="inlineStr"/>
      <c r="E1942">
        <f>HYPERLINK("https://www.uniprot.org/uniprotkb/A0A8C3M9A6/entry", "A0A8C3M9A6")</f>
        <v/>
      </c>
      <c r="F1942" t="n">
        <v>84.5</v>
      </c>
      <c r="G1942" t="n">
        <v>343</v>
      </c>
      <c r="H1942" t="n">
        <v>1.16e-208</v>
      </c>
      <c r="I1942" t="inlineStr">
        <is>
          <t>TrEMBL</t>
        </is>
      </c>
      <c r="J1942" t="inlineStr"/>
      <c r="K1942" t="inlineStr">
        <is>
          <t>A0A8C3M9A6_CHRPC</t>
        </is>
      </c>
      <c r="L1942" t="inlineStr">
        <is>
          <t>tr|A0A8C3M9A6|A0A8C3M9A6_CHRPC Glyceraldehyde-3-phosphate dehydrogenase OS=Chrysolophus pictus OX=9089 PE=3 SV=1</t>
        </is>
      </c>
      <c r="M1942" t="n">
        <v>333</v>
      </c>
      <c r="N1942" t="inlineStr">
        <is>
          <t>Chrysolophus pictus</t>
        </is>
      </c>
      <c r="O1942" t="inlineStr">
        <is>
          <t>Glyceraldehyde-3-phosphate dehydrogenase</t>
        </is>
      </c>
    </row>
    <row r="1943">
      <c r="A1943" t="inlineStr"/>
      <c r="B1943" t="inlineStr"/>
      <c r="C1943" t="inlineStr"/>
      <c r="D1943" t="inlineStr"/>
      <c r="E1943">
        <f>HYPERLINK("https://www.uniprot.org/uniprotkb/A0A226MZ71/entry", "A0A226MZ71")</f>
        <v/>
      </c>
      <c r="F1943" t="n">
        <v>84.5</v>
      </c>
      <c r="G1943" t="n">
        <v>343</v>
      </c>
      <c r="H1943" t="n">
        <v>1.16e-208</v>
      </c>
      <c r="I1943" t="inlineStr">
        <is>
          <t>TrEMBL</t>
        </is>
      </c>
      <c r="J1943" t="inlineStr">
        <is>
          <t>ASZ78_000789</t>
        </is>
      </c>
      <c r="K1943" t="inlineStr">
        <is>
          <t>A0A226MZ71_CALSU</t>
        </is>
      </c>
      <c r="L1943" t="inlineStr">
        <is>
          <t>tr|A0A226MZ71|A0A226MZ71_CALSU Glyceraldehyde-3-phosphate dehydrogenase OS=Callipepla squamata OX=9009 GN=ASZ78_000789 PE=3 SV=1</t>
        </is>
      </c>
      <c r="M1943" t="n">
        <v>333</v>
      </c>
      <c r="N1943" t="inlineStr">
        <is>
          <t>Callipepla squamata</t>
        </is>
      </c>
      <c r="O1943" t="inlineStr">
        <is>
          <t>Glyceraldehyde-3-phosphate dehydrogenase</t>
        </is>
      </c>
    </row>
    <row r="1944">
      <c r="A1944" t="inlineStr"/>
      <c r="B1944" t="inlineStr"/>
      <c r="C1944" t="inlineStr"/>
      <c r="D1944" t="inlineStr"/>
      <c r="E1944">
        <f>HYPERLINK("https://www.uniprot.org/uniprotkb/A0A669QAW1/entry", "A0A669QAW1")</f>
        <v/>
      </c>
      <c r="F1944" t="n">
        <v>84.5</v>
      </c>
      <c r="G1944" t="n">
        <v>343</v>
      </c>
      <c r="H1944" t="n">
        <v>1.16e-208</v>
      </c>
      <c r="I1944" t="inlineStr">
        <is>
          <t>TrEMBL</t>
        </is>
      </c>
      <c r="J1944" t="inlineStr"/>
      <c r="K1944" t="inlineStr">
        <is>
          <t>A0A669QAW1_PHACC</t>
        </is>
      </c>
      <c r="L1944" t="inlineStr">
        <is>
          <t>tr|A0A669QAW1|A0A669QAW1_PHACC Glyceraldehyde-3-phosphate dehydrogenase OS=Phasianus colchicus OX=9054 PE=3 SV=1</t>
        </is>
      </c>
      <c r="M1944" t="n">
        <v>333</v>
      </c>
      <c r="N1944" t="inlineStr">
        <is>
          <t>Phasianus colchicus</t>
        </is>
      </c>
      <c r="O1944" t="inlineStr">
        <is>
          <t>Glyceraldehyde-3-phosphate dehydrogenase</t>
        </is>
      </c>
    </row>
    <row r="1945">
      <c r="A1945" t="inlineStr"/>
      <c r="B1945" t="inlineStr"/>
      <c r="C1945" t="inlineStr"/>
      <c r="D1945" t="inlineStr"/>
      <c r="E1945">
        <f>HYPERLINK("https://www.ncbi.nlm.nih.gov/gene/?term=XP_032851554.2", "XP_032851554.2")</f>
        <v/>
      </c>
      <c r="F1945" t="n">
        <v>84.3</v>
      </c>
      <c r="G1945" t="n">
        <v>343</v>
      </c>
      <c r="H1945" t="n">
        <v>1.47e-208</v>
      </c>
      <c r="I1945" t="inlineStr">
        <is>
          <t>Nr</t>
        </is>
      </c>
      <c r="J1945" t="inlineStr"/>
      <c r="K1945" t="inlineStr"/>
      <c r="L1945" t="inlineStr">
        <is>
          <t>XP_032851554.2 glyceraldehyde-3-phosphate dehydrogenase [Tyto alba]</t>
        </is>
      </c>
      <c r="M1945" t="n">
        <v>333</v>
      </c>
      <c r="N1945" t="inlineStr">
        <is>
          <t>Tyto alba</t>
        </is>
      </c>
      <c r="O1945" t="inlineStr">
        <is>
          <t>glyceraldehyde-3-phosphate dehydrogenase</t>
        </is>
      </c>
    </row>
    <row r="1946">
      <c r="A1946" t="inlineStr"/>
      <c r="B1946" t="inlineStr"/>
      <c r="C1946" t="inlineStr"/>
      <c r="D1946" t="inlineStr"/>
      <c r="E1946">
        <f>HYPERLINK("https://www.ncbi.nlm.nih.gov/gene/?term=XP_017670146.1", "XP_017670146.1")</f>
        <v/>
      </c>
      <c r="F1946" t="n">
        <v>84.5</v>
      </c>
      <c r="G1946" t="n">
        <v>343</v>
      </c>
      <c r="H1946" t="n">
        <v>1.47e-208</v>
      </c>
      <c r="I1946" t="inlineStr">
        <is>
          <t>Nr</t>
        </is>
      </c>
      <c r="J1946" t="inlineStr"/>
      <c r="K1946" t="inlineStr"/>
      <c r="L1946" t="inlineStr">
        <is>
          <t>XP_017670146.1 PREDICTED: glyceraldehyde-3-phosphate dehydrogenase [Lepidothrix coronata]</t>
        </is>
      </c>
      <c r="M1946" t="n">
        <v>333</v>
      </c>
      <c r="N1946" t="inlineStr">
        <is>
          <t>Lepidothrix coronata</t>
        </is>
      </c>
      <c r="O1946" t="inlineStr">
        <is>
          <t>PREDICTED: glyceraldehyde-3-phosphate dehydrogenase</t>
        </is>
      </c>
    </row>
    <row r="1947">
      <c r="A1947" t="inlineStr"/>
      <c r="B1947" t="inlineStr"/>
      <c r="C1947" t="inlineStr"/>
      <c r="D1947" t="inlineStr"/>
      <c r="E1947">
        <f>HYPERLINK("https://www.ncbi.nlm.nih.gov/gene/?term=POI31721.1", "POI31721.1")</f>
        <v/>
      </c>
      <c r="F1947" t="n">
        <v>84.3</v>
      </c>
      <c r="G1947" t="n">
        <v>345</v>
      </c>
      <c r="H1947" t="n">
        <v>1.56e-208</v>
      </c>
      <c r="I1947" t="inlineStr">
        <is>
          <t>Nr</t>
        </is>
      </c>
      <c r="J1947" t="inlineStr"/>
      <c r="K1947" t="inlineStr"/>
      <c r="L1947" t="inlineStr">
        <is>
          <t>POI31721.1 hypothetical protein CIB84_004528 [Bambusicola thoracicus]</t>
        </is>
      </c>
      <c r="M1947" t="n">
        <v>344</v>
      </c>
      <c r="N1947" t="inlineStr">
        <is>
          <t>Bambusicola thoracicus</t>
        </is>
      </c>
      <c r="O1947" t="inlineStr">
        <is>
          <t>hypothetical protein CIB84_004528</t>
        </is>
      </c>
    </row>
    <row r="1948">
      <c r="A1948" t="inlineStr"/>
      <c r="B1948" t="inlineStr"/>
      <c r="C1948" t="inlineStr"/>
      <c r="D1948" t="inlineStr"/>
      <c r="E1948">
        <f>HYPERLINK("https://www.uniprot.org/uniprotkb/O57479/entry", "O57479")</f>
        <v/>
      </c>
      <c r="F1948" t="n">
        <v>83.09999999999999</v>
      </c>
      <c r="G1948" t="n">
        <v>343</v>
      </c>
      <c r="H1948" t="n">
        <v>1.62e-208</v>
      </c>
      <c r="I1948" t="inlineStr">
        <is>
          <t>Swiss-Prot</t>
        </is>
      </c>
      <c r="J1948" t="inlineStr">
        <is>
          <t>GAPDH</t>
        </is>
      </c>
      <c r="K1948" t="inlineStr">
        <is>
          <t>G3P_COLLI</t>
        </is>
      </c>
      <c r="L1948" t="inlineStr">
        <is>
          <t>sp|O57479|G3P_COLLI Glyceraldehyde-3-phosphate dehydrogenase OS=Columba livia OX=8932 GN=GAPDH PE=2 SV=3</t>
        </is>
      </c>
      <c r="M1948" t="n">
        <v>333</v>
      </c>
      <c r="N1948" t="inlineStr">
        <is>
          <t>Columba livia</t>
        </is>
      </c>
      <c r="O1948" t="inlineStr">
        <is>
          <t>Glyceraldehyde-3-phosphate dehydrogenase</t>
        </is>
      </c>
    </row>
    <row r="1949">
      <c r="A1949" t="inlineStr"/>
      <c r="B1949" t="inlineStr"/>
      <c r="C1949" t="inlineStr"/>
      <c r="D1949" t="inlineStr"/>
      <c r="E1949">
        <f>HYPERLINK("https://www.uniprot.org/uniprotkb/A0A5H2WWF7/entry", "A0A5H2WWF7")</f>
        <v/>
      </c>
      <c r="F1949" t="n">
        <v>84.3</v>
      </c>
      <c r="G1949" t="n">
        <v>343</v>
      </c>
      <c r="H1949" t="n">
        <v>1.64e-208</v>
      </c>
      <c r="I1949" t="inlineStr">
        <is>
          <t>TrEMBL</t>
        </is>
      </c>
      <c r="J1949" t="inlineStr">
        <is>
          <t>GAPDH</t>
        </is>
      </c>
      <c r="K1949" t="inlineStr">
        <is>
          <t>A0A5H2WWF7_GRUJA</t>
        </is>
      </c>
      <c r="L1949" t="inlineStr">
        <is>
          <t>tr|A0A5H2WWF7|A0A5H2WWF7_GRUJA Glyceraldehyde-3-phosphate dehydrogenase OS=Grus japonensis OX=30415 GN=GAPDH PE=2 SV=1</t>
        </is>
      </c>
      <c r="M1949" t="n">
        <v>333</v>
      </c>
      <c r="N1949" t="inlineStr">
        <is>
          <t>Grus japonensis</t>
        </is>
      </c>
      <c r="O1949" t="inlineStr">
        <is>
          <t>Glyceraldehyde-3-phosphate dehydrogenase</t>
        </is>
      </c>
    </row>
    <row r="1950">
      <c r="A1950" t="inlineStr"/>
      <c r="B1950" t="inlineStr"/>
      <c r="C1950" t="inlineStr"/>
      <c r="D1950" t="inlineStr"/>
      <c r="E1950">
        <f>HYPERLINK("https://www.ncbi.nlm.nih.gov/gene/?term=XP_049628032.1", "XP_049628032.1")</f>
        <v/>
      </c>
      <c r="F1950" t="n">
        <v>84.5</v>
      </c>
      <c r="G1950" t="n">
        <v>343</v>
      </c>
      <c r="H1950" t="n">
        <v>2.09e-208</v>
      </c>
      <c r="I1950" t="inlineStr">
        <is>
          <t>Nr</t>
        </is>
      </c>
      <c r="J1950" t="inlineStr"/>
      <c r="K1950" t="inlineStr"/>
      <c r="L1950" t="inlineStr">
        <is>
          <t>XP_049628032.1 glyceraldehyde-3-phosphate dehydrogenase [Suncus etruscus]</t>
        </is>
      </c>
      <c r="M1950" t="n">
        <v>333</v>
      </c>
      <c r="N1950" t="inlineStr">
        <is>
          <t>Suncus etruscus</t>
        </is>
      </c>
      <c r="O1950" t="inlineStr">
        <is>
          <t>glyceraldehyde-3-phosphate dehydrogenase</t>
        </is>
      </c>
    </row>
    <row r="1951">
      <c r="A1951" t="inlineStr"/>
      <c r="B1951" t="inlineStr"/>
      <c r="C1951" t="inlineStr"/>
      <c r="D1951" t="inlineStr"/>
      <c r="E1951">
        <f>HYPERLINK("https://www.ncbi.nlm.nih.gov/gene/?term=XP_032536567.1", "XP_032536567.1")</f>
        <v/>
      </c>
      <c r="F1951" t="n">
        <v>84.3</v>
      </c>
      <c r="G1951" t="n">
        <v>343</v>
      </c>
      <c r="H1951" t="n">
        <v>2.09e-208</v>
      </c>
      <c r="I1951" t="inlineStr">
        <is>
          <t>Nr</t>
        </is>
      </c>
      <c r="J1951" t="inlineStr"/>
      <c r="K1951" t="inlineStr"/>
      <c r="L1951" t="inlineStr">
        <is>
          <t>XP_032536567.1 glyceraldehyde-3-phosphate dehydrogenase [Chiroxiphia lanceolata]</t>
        </is>
      </c>
      <c r="M1951" t="n">
        <v>333</v>
      </c>
      <c r="N1951" t="inlineStr">
        <is>
          <t>Chiroxiphia lanceolata</t>
        </is>
      </c>
      <c r="O1951" t="inlineStr">
        <is>
          <t>glyceraldehyde-3-phosphate dehydrogenase</t>
        </is>
      </c>
    </row>
    <row r="1952">
      <c r="A1952" t="inlineStr"/>
      <c r="B1952" t="inlineStr"/>
      <c r="C1952" t="inlineStr"/>
      <c r="D1952" t="inlineStr"/>
      <c r="E1952">
        <f>HYPERLINK("https://www.ncbi.nlm.nih.gov/gene/?term=NP_989636.1", "NP_989636.1")</f>
        <v/>
      </c>
      <c r="F1952" t="n">
        <v>84.5</v>
      </c>
      <c r="G1952" t="n">
        <v>343</v>
      </c>
      <c r="H1952" t="n">
        <v>2.97e-208</v>
      </c>
      <c r="I1952" t="inlineStr">
        <is>
          <t>Nr</t>
        </is>
      </c>
      <c r="J1952" t="inlineStr"/>
      <c r="K1952" t="inlineStr"/>
      <c r="L1952" t="inlineStr">
        <is>
          <t>NP_989636.1 glyceraldehyde-3-phosphate dehydrogenase [Gallus gallus]</t>
        </is>
      </c>
      <c r="M1952" t="n">
        <v>333</v>
      </c>
      <c r="N1952" t="inlineStr">
        <is>
          <t>Gallus gallus</t>
        </is>
      </c>
      <c r="O1952" t="inlineStr">
        <is>
          <t>glyceraldehyde-3-phosphate dehydrogenase</t>
        </is>
      </c>
    </row>
    <row r="1953">
      <c r="A1953" t="inlineStr"/>
      <c r="B1953" t="inlineStr"/>
      <c r="C1953" t="inlineStr"/>
      <c r="D1953" t="inlineStr"/>
      <c r="E1953">
        <f>HYPERLINK("https://www.ncbi.nlm.nih.gov/gene/?term=XP_033897904.1", "XP_033897904.1")</f>
        <v/>
      </c>
      <c r="F1953" t="n">
        <v>85.09999999999999</v>
      </c>
      <c r="G1953" t="n">
        <v>343</v>
      </c>
      <c r="H1953" t="n">
        <v>2.97e-208</v>
      </c>
      <c r="I1953" t="inlineStr">
        <is>
          <t>Nr</t>
        </is>
      </c>
      <c r="J1953" t="inlineStr"/>
      <c r="K1953" t="inlineStr"/>
      <c r="L1953" t="inlineStr">
        <is>
          <t>XP_033897904.1 glyceraldehyde-3-phosphate dehydrogenase [Acipenser ruthenus]</t>
        </is>
      </c>
      <c r="M1953" t="n">
        <v>333</v>
      </c>
      <c r="N1953" t="inlineStr">
        <is>
          <t>Acipenser ruthenus</t>
        </is>
      </c>
      <c r="O1953" t="inlineStr">
        <is>
          <t>glyceraldehyde-3-phosphate dehydrogenase</t>
        </is>
      </c>
    </row>
    <row r="1954">
      <c r="A1954" t="inlineStr"/>
      <c r="B1954" t="inlineStr"/>
      <c r="C1954" t="inlineStr"/>
      <c r="D1954" t="inlineStr"/>
      <c r="E1954">
        <f>HYPERLINK("https://www.uniprot.org/uniprotkb/A0A672TGM6/entry", "A0A672TGM6")</f>
        <v/>
      </c>
      <c r="F1954" t="n">
        <v>84</v>
      </c>
      <c r="G1954" t="n">
        <v>343</v>
      </c>
      <c r="H1954" t="n">
        <v>3.31e-208</v>
      </c>
      <c r="I1954" t="inlineStr">
        <is>
          <t>TrEMBL</t>
        </is>
      </c>
      <c r="J1954" t="inlineStr">
        <is>
          <t>GAPDH</t>
        </is>
      </c>
      <c r="K1954" t="inlineStr">
        <is>
          <t>A0A672TGM6_STRHB</t>
        </is>
      </c>
      <c r="L1954" t="inlineStr">
        <is>
          <t>tr|A0A672TGM6|A0A672TGM6_STRHB Glyceraldehyde-3-phosphate dehydrogenase OS=Strigops habroptila OX=2489341 GN=GAPDH PE=3 SV=1</t>
        </is>
      </c>
      <c r="M1954" t="n">
        <v>333</v>
      </c>
      <c r="N1954" t="inlineStr">
        <is>
          <t>Strigops habroptila</t>
        </is>
      </c>
      <c r="O1954" t="inlineStr">
        <is>
          <t>Glyceraldehyde-3-phosphate dehydrogenase</t>
        </is>
      </c>
    </row>
    <row r="1955">
      <c r="A1955" t="inlineStr"/>
      <c r="B1955" t="inlineStr"/>
      <c r="C1955" t="inlineStr"/>
      <c r="D1955" t="inlineStr"/>
      <c r="E1955">
        <f>HYPERLINK("https://www.ncbi.nlm.nih.gov/gene/?term=BBJ36131.1", "BBJ36131.1")</f>
        <v/>
      </c>
      <c r="F1955" t="n">
        <v>84.3</v>
      </c>
      <c r="G1955" t="n">
        <v>343</v>
      </c>
      <c r="H1955" t="n">
        <v>4.22e-208</v>
      </c>
      <c r="I1955" t="inlineStr">
        <is>
          <t>Nr</t>
        </is>
      </c>
      <c r="J1955" t="inlineStr"/>
      <c r="K1955" t="inlineStr"/>
      <c r="L1955" t="inlineStr">
        <is>
          <t>BBJ36131.1 glyceraldehyde-3-phosphate dehydrogenase [Grus japonensis]</t>
        </is>
      </c>
      <c r="M1955" t="n">
        <v>333</v>
      </c>
      <c r="N1955" t="inlineStr">
        <is>
          <t>Grus japonensis</t>
        </is>
      </c>
      <c r="O1955" t="inlineStr">
        <is>
          <t>glyceraldehyde-3-phosphate dehydrogenase</t>
        </is>
      </c>
    </row>
    <row r="1956">
      <c r="A1956" t="inlineStr"/>
      <c r="B1956" t="inlineStr"/>
      <c r="C1956" t="inlineStr"/>
      <c r="D1956" t="inlineStr"/>
      <c r="E1956">
        <f>HYPERLINK("https://www.uniprot.org/uniprotkb/P00355/entry", "P00355")</f>
        <v/>
      </c>
      <c r="F1956" t="n">
        <v>83.09999999999999</v>
      </c>
      <c r="G1956" t="n">
        <v>343</v>
      </c>
      <c r="H1956" t="n">
        <v>4.64e-208</v>
      </c>
      <c r="I1956" t="inlineStr">
        <is>
          <t>Swiss-Prot</t>
        </is>
      </c>
      <c r="J1956" t="inlineStr">
        <is>
          <t>GAPDH</t>
        </is>
      </c>
      <c r="K1956" t="inlineStr">
        <is>
          <t>G3P_PIG</t>
        </is>
      </c>
      <c r="L1956" t="inlineStr">
        <is>
          <t>sp|P00355|G3P_PIG Glyceraldehyde-3-phosphate dehydrogenase OS=Sus scrofa OX=9823 GN=GAPDH PE=1 SV=4</t>
        </is>
      </c>
      <c r="M1956" t="n">
        <v>333</v>
      </c>
      <c r="N1956" t="inlineStr">
        <is>
          <t>Sus scrofa</t>
        </is>
      </c>
      <c r="O1956" t="inlineStr">
        <is>
          <t>Glyceraldehyde-3-phosphate dehydrogenase</t>
        </is>
      </c>
    </row>
    <row r="1957">
      <c r="A1957" t="inlineStr"/>
      <c r="B1957" t="inlineStr"/>
      <c r="C1957" t="inlineStr"/>
      <c r="D1957" t="inlineStr"/>
      <c r="E1957">
        <f>HYPERLINK("https://www.ncbi.nlm.nih.gov/gene/?term=XP_041078043.1", "XP_041078043.1")</f>
        <v/>
      </c>
      <c r="F1957" t="n">
        <v>84.5</v>
      </c>
      <c r="G1957" t="n">
        <v>343</v>
      </c>
      <c r="H1957" t="n">
        <v>5.99e-208</v>
      </c>
      <c r="I1957" t="inlineStr">
        <is>
          <t>Nr</t>
        </is>
      </c>
      <c r="J1957" t="inlineStr"/>
      <c r="K1957" t="inlineStr"/>
      <c r="L1957" t="inlineStr">
        <is>
          <t>XP_041078043.1 glyceraldehyde-3-phosphate dehydrogenase [Polyodon spathula]</t>
        </is>
      </c>
      <c r="M1957" t="n">
        <v>333</v>
      </c>
      <c r="N1957" t="inlineStr">
        <is>
          <t>Polyodon spathula</t>
        </is>
      </c>
      <c r="O1957" t="inlineStr">
        <is>
          <t>glyceraldehyde-3-phosphate dehydrogenase</t>
        </is>
      </c>
    </row>
    <row r="1958">
      <c r="A1958" t="inlineStr"/>
      <c r="B1958" t="inlineStr"/>
      <c r="C1958" t="inlineStr"/>
      <c r="D1958" t="inlineStr"/>
      <c r="E1958">
        <f>HYPERLINK("https://www.ncbi.nlm.nih.gov/gene/?term=XP_027741094.1", "XP_027741094.1")</f>
        <v/>
      </c>
      <c r="F1958" t="n">
        <v>84.3</v>
      </c>
      <c r="G1958" t="n">
        <v>343</v>
      </c>
      <c r="H1958" t="n">
        <v>5.99e-208</v>
      </c>
      <c r="I1958" t="inlineStr">
        <is>
          <t>Nr</t>
        </is>
      </c>
      <c r="J1958" t="inlineStr"/>
      <c r="K1958" t="inlineStr"/>
      <c r="L1958" t="inlineStr">
        <is>
          <t>XP_027741094.1 glyceraldehyde-3-phosphate dehydrogenase [Empidonax traillii]</t>
        </is>
      </c>
      <c r="M1958" t="n">
        <v>333</v>
      </c>
      <c r="N1958" t="inlineStr">
        <is>
          <t>Empidonax traillii</t>
        </is>
      </c>
      <c r="O1958" t="inlineStr">
        <is>
          <t>glyceraldehyde-3-phosphate dehydrogenase</t>
        </is>
      </c>
    </row>
    <row r="1959">
      <c r="A1959" t="inlineStr"/>
      <c r="B1959" t="inlineStr"/>
      <c r="C1959" t="inlineStr"/>
      <c r="D1959" t="inlineStr"/>
      <c r="E1959">
        <f>HYPERLINK("https://www.uniprot.org/uniprotkb/C7DR02/entry", "C7DR02")</f>
        <v/>
      </c>
      <c r="F1959" t="n">
        <v>84.3</v>
      </c>
      <c r="G1959" t="n">
        <v>343</v>
      </c>
      <c r="H1959" t="n">
        <v>6.67e-208</v>
      </c>
      <c r="I1959" t="inlineStr">
        <is>
          <t>TrEMBL</t>
        </is>
      </c>
      <c r="J1959" t="inlineStr"/>
      <c r="K1959" t="inlineStr">
        <is>
          <t>C7DR02_MELGA</t>
        </is>
      </c>
      <c r="L1959" t="inlineStr">
        <is>
          <t>tr|C7DR02|C7DR02_MELGA Glyceraldehyde-3-phosphate dehydrogenase OS=Meleagris gallopavo OX=9103 PE=2 SV=1</t>
        </is>
      </c>
      <c r="M1959" t="n">
        <v>333</v>
      </c>
      <c r="N1959" t="inlineStr">
        <is>
          <t>Meleagris gallopavo</t>
        </is>
      </c>
      <c r="O1959" t="inlineStr">
        <is>
          <t>Glyceraldehyde-3-phosphate dehydrogenase</t>
        </is>
      </c>
    </row>
    <row r="1960">
      <c r="A1960" t="inlineStr"/>
      <c r="B1960" t="inlineStr"/>
      <c r="C1960" t="inlineStr"/>
      <c r="D1960" t="inlineStr"/>
      <c r="E1960">
        <f>HYPERLINK("https://www.uniprot.org/uniprotkb/A0A8C4KG02/entry", "A0A8C4KG02")</f>
        <v/>
      </c>
      <c r="F1960" t="n">
        <v>84</v>
      </c>
      <c r="G1960" t="n">
        <v>343</v>
      </c>
      <c r="H1960" t="n">
        <v>6.67e-208</v>
      </c>
      <c r="I1960" t="inlineStr">
        <is>
          <t>TrEMBL</t>
        </is>
      </c>
      <c r="J1960" t="inlineStr">
        <is>
          <t>GAPDH</t>
        </is>
      </c>
      <c r="K1960" t="inlineStr">
        <is>
          <t>A0A8C4KG02_DRONO</t>
        </is>
      </c>
      <c r="L1960" t="inlineStr">
        <is>
          <t>tr|A0A8C4KG02|A0A8C4KG02_DRONO Glyceraldehyde-3-phosphate dehydrogenase OS=Dromaius novaehollandiae OX=8790 GN=GAPDH PE=3 SV=1</t>
        </is>
      </c>
      <c r="M1960" t="n">
        <v>333</v>
      </c>
      <c r="N1960" t="inlineStr">
        <is>
          <t>Dromaius novaehollandiae</t>
        </is>
      </c>
      <c r="O1960" t="inlineStr">
        <is>
          <t>Glyceraldehyde-3-phosphate dehydrogenase</t>
        </is>
      </c>
    </row>
    <row r="1961">
      <c r="A1961" t="inlineStr"/>
      <c r="B1961" t="inlineStr"/>
      <c r="C1961" t="inlineStr"/>
      <c r="D1961" t="inlineStr"/>
      <c r="E1961">
        <f>HYPERLINK("https://www.ncbi.nlm.nih.gov/gene/?term=XP_030327502.1", "XP_030327502.1")</f>
        <v/>
      </c>
      <c r="F1961" t="n">
        <v>84</v>
      </c>
      <c r="G1961" t="n">
        <v>343</v>
      </c>
      <c r="H1961" t="n">
        <v>8.5e-208</v>
      </c>
      <c r="I1961" t="inlineStr">
        <is>
          <t>Nr</t>
        </is>
      </c>
      <c r="J1961" t="inlineStr"/>
      <c r="K1961" t="inlineStr"/>
      <c r="L1961" t="inlineStr">
        <is>
          <t>XP_030327502.1 glyceraldehyde-3-phosphate dehydrogenase isoform X1 [Strigops habroptila]</t>
        </is>
      </c>
      <c r="M1961" t="n">
        <v>333</v>
      </c>
      <c r="N1961" t="inlineStr">
        <is>
          <t>Strigops habroptila</t>
        </is>
      </c>
      <c r="O1961" t="inlineStr">
        <is>
          <t>glyceraldehyde-3-phosphate dehydrogenase isoform X1</t>
        </is>
      </c>
    </row>
    <row r="1962">
      <c r="A1962" t="inlineStr"/>
      <c r="B1962" t="inlineStr"/>
      <c r="C1962" t="inlineStr"/>
      <c r="D1962" t="inlineStr"/>
      <c r="E1962">
        <f>HYPERLINK("https://www.uniprot.org/uniprotkb/A0A0B8RXN7/entry", "A0A0B8RXN7")</f>
        <v/>
      </c>
      <c r="F1962" t="n">
        <v>84.3</v>
      </c>
      <c r="G1962" t="n">
        <v>343</v>
      </c>
      <c r="H1962" t="n">
        <v>9.480000000000002e-208</v>
      </c>
      <c r="I1962" t="inlineStr">
        <is>
          <t>TrEMBL</t>
        </is>
      </c>
      <c r="J1962" t="inlineStr"/>
      <c r="K1962" t="inlineStr">
        <is>
          <t>A0A0B8RXN7_BOIIR</t>
        </is>
      </c>
      <c r="L1962" t="inlineStr">
        <is>
          <t>tr|A0A0B8RXN7|A0A0B8RXN7_BOIIR Glyceraldehyde-3-phosphate dehydrogenase OS=Boiga irregularis OX=92519 PE=3 SV=1</t>
        </is>
      </c>
      <c r="M1962" t="n">
        <v>333</v>
      </c>
      <c r="N1962" t="inlineStr">
        <is>
          <t>Boiga irregularis</t>
        </is>
      </c>
      <c r="O1962" t="inlineStr">
        <is>
          <t>Glyceraldehyde-3-phosphate dehydrogenase</t>
        </is>
      </c>
    </row>
    <row r="1963">
      <c r="A1963" t="inlineStr"/>
      <c r="B1963" t="inlineStr"/>
      <c r="C1963" t="inlineStr"/>
      <c r="D1963" t="inlineStr"/>
      <c r="E1963">
        <f>HYPERLINK("https://www.uniprot.org/uniprotkb/A0A4D5YGV8/entry", "A0A4D5YGV8")</f>
        <v/>
      </c>
      <c r="F1963" t="n">
        <v>84.5</v>
      </c>
      <c r="G1963" t="n">
        <v>343</v>
      </c>
      <c r="H1963" t="n">
        <v>9.480000000000002e-208</v>
      </c>
      <c r="I1963" t="inlineStr">
        <is>
          <t>TrEMBL</t>
        </is>
      </c>
      <c r="J1963" t="inlineStr"/>
      <c r="K1963" t="inlineStr">
        <is>
          <t>A0A4D5YGV8_ACIDA</t>
        </is>
      </c>
      <c r="L1963" t="inlineStr">
        <is>
          <t>tr|A0A4D5YGV8|A0A4D5YGV8_ACIDA Glyceraldehyde-3-phosphate dehydrogenase OS=Acipenser dabryanus OX=62061 PE=2 SV=1</t>
        </is>
      </c>
      <c r="M1963" t="n">
        <v>333</v>
      </c>
      <c r="N1963" t="inlineStr">
        <is>
          <t>Acipenser dabryanus</t>
        </is>
      </c>
      <c r="O1963" t="inlineStr">
        <is>
          <t>Glyceraldehyde-3-phosphate dehydrogenase</t>
        </is>
      </c>
    </row>
    <row r="1964">
      <c r="A1964" t="inlineStr"/>
      <c r="B1964" t="inlineStr"/>
      <c r="C1964" t="inlineStr"/>
      <c r="D1964" t="inlineStr"/>
      <c r="E1964">
        <f>HYPERLINK("https://www.ncbi.nlm.nih.gov/gene/?term=XP_015728898.1", "XP_015728898.1")</f>
        <v/>
      </c>
      <c r="F1964" t="n">
        <v>84.3</v>
      </c>
      <c r="G1964" t="n">
        <v>343</v>
      </c>
      <c r="H1964" t="n">
        <v>1.21e-207</v>
      </c>
      <c r="I1964" t="inlineStr">
        <is>
          <t>Nr</t>
        </is>
      </c>
      <c r="J1964" t="inlineStr"/>
      <c r="K1964" t="inlineStr"/>
      <c r="L1964" t="inlineStr">
        <is>
          <t>XP_015728898.1 glyceraldehyde-3-phosphate dehydrogenase [Coturnix japonica]</t>
        </is>
      </c>
      <c r="M1964" t="n">
        <v>333</v>
      </c>
      <c r="N1964" t="inlineStr">
        <is>
          <t>Coturnix japonica</t>
        </is>
      </c>
      <c r="O1964" t="inlineStr">
        <is>
          <t>glyceraldehyde-3-phosphate dehydrogenase</t>
        </is>
      </c>
    </row>
    <row r="1965">
      <c r="A1965" t="inlineStr"/>
      <c r="B1965" t="inlineStr"/>
      <c r="C1965" t="inlineStr"/>
      <c r="D1965" t="inlineStr"/>
      <c r="E1965">
        <f>HYPERLINK("https://www.uniprot.org/uniprotkb/P51469/entry", "P51469")</f>
        <v/>
      </c>
      <c r="F1965" t="n">
        <v>84</v>
      </c>
      <c r="G1965" t="n">
        <v>343</v>
      </c>
      <c r="H1965" t="n">
        <v>1.33e-207</v>
      </c>
      <c r="I1965" t="inlineStr">
        <is>
          <t>Swiss-Prot</t>
        </is>
      </c>
      <c r="J1965" t="inlineStr">
        <is>
          <t>gapdh</t>
        </is>
      </c>
      <c r="K1965" t="inlineStr">
        <is>
          <t>G3P_XENLA</t>
        </is>
      </c>
      <c r="L1965" t="inlineStr">
        <is>
          <t>sp|P51469|G3P_XENLA Glyceraldehyde-3-phosphate dehydrogenase OS=Xenopus laevis OX=8355 GN=gapdh PE=2 SV=2</t>
        </is>
      </c>
      <c r="M1965" t="n">
        <v>333</v>
      </c>
      <c r="N1965" t="inlineStr">
        <is>
          <t>Xenopus laevis</t>
        </is>
      </c>
      <c r="O1965" t="inlineStr">
        <is>
          <t>Glyceraldehyde-3-phosphate dehydrogenase</t>
        </is>
      </c>
    </row>
    <row r="1966">
      <c r="A1966" t="inlineStr"/>
      <c r="B1966" t="inlineStr"/>
      <c r="C1966" t="inlineStr"/>
      <c r="D1966" t="inlineStr"/>
      <c r="E1966">
        <f>HYPERLINK("https://www.uniprot.org/uniprotkb/A0A663FFB7/entry", "A0A663FFB7")</f>
        <v/>
      </c>
      <c r="F1966" t="n">
        <v>84</v>
      </c>
      <c r="G1966" t="n">
        <v>343</v>
      </c>
      <c r="H1966" t="n">
        <v>1.35e-207</v>
      </c>
      <c r="I1966" t="inlineStr">
        <is>
          <t>TrEMBL</t>
        </is>
      </c>
      <c r="J1966" t="inlineStr">
        <is>
          <t>GAPDH</t>
        </is>
      </c>
      <c r="K1966" t="inlineStr">
        <is>
          <t>A0A663FFB7_AQUCH</t>
        </is>
      </c>
      <c r="L1966" t="inlineStr">
        <is>
          <t>tr|A0A663FFB7|A0A663FFB7_AQUCH Glyceraldehyde-3-phosphate dehydrogenase OS=Aquila chrysaetos chrysaetos OX=223781 GN=GAPDH PE=3 SV=1</t>
        </is>
      </c>
      <c r="M1966" t="n">
        <v>333</v>
      </c>
      <c r="N1966" t="inlineStr">
        <is>
          <t>Aquila chrysaetos chrysaetos</t>
        </is>
      </c>
      <c r="O1966" t="inlineStr">
        <is>
          <t>Glyceraldehyde-3-phosphate dehydrogenase</t>
        </is>
      </c>
    </row>
    <row r="1967">
      <c r="A1967" t="inlineStr"/>
      <c r="B1967" t="inlineStr"/>
      <c r="C1967" t="inlineStr"/>
      <c r="D1967" t="inlineStr"/>
      <c r="E1967">
        <f>HYPERLINK("https://www.uniprot.org/uniprotkb/A0A8C9NNZ8/entry", "A0A8C9NNZ8")</f>
        <v/>
      </c>
      <c r="F1967" t="n">
        <v>84</v>
      </c>
      <c r="G1967" t="n">
        <v>343</v>
      </c>
      <c r="H1967" t="n">
        <v>1.68e-207</v>
      </c>
      <c r="I1967" t="inlineStr">
        <is>
          <t>TrEMBL</t>
        </is>
      </c>
      <c r="J1967" t="inlineStr">
        <is>
          <t>GAPDH</t>
        </is>
      </c>
      <c r="K1967" t="inlineStr">
        <is>
          <t>A0A8C9NNZ8_SERCA</t>
        </is>
      </c>
      <c r="L1967" t="inlineStr">
        <is>
          <t>tr|A0A8C9NNZ8|A0A8C9NNZ8_SERCA Glyceraldehyde-3-phosphate dehydrogenase OS=Serinus canaria OX=9135 GN=GAPDH PE=3 SV=1</t>
        </is>
      </c>
      <c r="M1967" t="n">
        <v>358</v>
      </c>
      <c r="N1967" t="inlineStr">
        <is>
          <t>Serinus canaria</t>
        </is>
      </c>
      <c r="O1967" t="inlineStr">
        <is>
          <t>Glyceraldehyde-3-phosphate dehydrogenase</t>
        </is>
      </c>
    </row>
    <row r="1968">
      <c r="A1968" t="inlineStr"/>
      <c r="B1968" t="inlineStr"/>
      <c r="C1968" t="inlineStr"/>
      <c r="D1968" t="inlineStr"/>
      <c r="E1968">
        <f>HYPERLINK("https://www.ncbi.nlm.nih.gov/gene/?term=XP_042665911.1", "XP_042665911.1")</f>
        <v/>
      </c>
      <c r="F1968" t="n">
        <v>84</v>
      </c>
      <c r="G1968" t="n">
        <v>343</v>
      </c>
      <c r="H1968" t="n">
        <v>1.71e-207</v>
      </c>
      <c r="I1968" t="inlineStr">
        <is>
          <t>Nr</t>
        </is>
      </c>
      <c r="J1968" t="inlineStr"/>
      <c r="K1968" t="inlineStr"/>
      <c r="L1968" t="inlineStr">
        <is>
          <t>XP_042665911.1 glyceraldehyde-3-phosphate dehydrogenase [Centrocercus urophasianus]</t>
        </is>
      </c>
      <c r="M1968" t="n">
        <v>333</v>
      </c>
      <c r="N1968" t="inlineStr">
        <is>
          <t>Centrocercus urophasianus</t>
        </is>
      </c>
      <c r="O1968" t="inlineStr">
        <is>
          <t>glyceraldehyde-3-phosphate dehydrogenase</t>
        </is>
      </c>
    </row>
    <row r="1969">
      <c r="A1969" t="inlineStr"/>
      <c r="B1969" t="inlineStr"/>
      <c r="C1969" t="inlineStr"/>
      <c r="D1969" t="inlineStr"/>
      <c r="E1969">
        <f>HYPERLINK("https://www.ncbi.nlm.nih.gov/gene/?term=XP_025960643.1", "XP_025960643.1")</f>
        <v/>
      </c>
      <c r="F1969" t="n">
        <v>84</v>
      </c>
      <c r="G1969" t="n">
        <v>343</v>
      </c>
      <c r="H1969" t="n">
        <v>1.71e-207</v>
      </c>
      <c r="I1969" t="inlineStr">
        <is>
          <t>Nr</t>
        </is>
      </c>
      <c r="J1969" t="inlineStr"/>
      <c r="K1969" t="inlineStr"/>
      <c r="L1969" t="inlineStr">
        <is>
          <t>XP_025960643.1 glyceraldehyde-3-phosphate dehydrogenase isoform X1 [Dromaius novaehollandiae]</t>
        </is>
      </c>
      <c r="M1969" t="n">
        <v>333</v>
      </c>
      <c r="N1969" t="inlineStr">
        <is>
          <t>Dromaius novaehollandiae</t>
        </is>
      </c>
      <c r="O1969" t="inlineStr">
        <is>
          <t>glyceraldehyde-3-phosphate dehydrogenase isoform X1</t>
        </is>
      </c>
    </row>
    <row r="1970">
      <c r="A1970" t="inlineStr"/>
      <c r="B1970" t="inlineStr"/>
      <c r="C1970" t="inlineStr"/>
      <c r="D1970" t="inlineStr"/>
      <c r="E1970">
        <f>HYPERLINK("https://www.ncbi.nlm.nih.gov/gene/?term=XP_021252245.1", "XP_021252245.1")</f>
        <v/>
      </c>
      <c r="F1970" t="n">
        <v>84.3</v>
      </c>
      <c r="G1970" t="n">
        <v>343</v>
      </c>
      <c r="H1970" t="n">
        <v>1.71e-207</v>
      </c>
      <c r="I1970" t="inlineStr">
        <is>
          <t>Nr</t>
        </is>
      </c>
      <c r="J1970" t="inlineStr"/>
      <c r="K1970" t="inlineStr"/>
      <c r="L1970" t="inlineStr">
        <is>
          <t>XP_021252245.1 glyceraldehyde-3-phosphate dehydrogenase [Numida meleagris]</t>
        </is>
      </c>
      <c r="M1970" t="n">
        <v>333</v>
      </c>
      <c r="N1970" t="inlineStr">
        <is>
          <t>Numida meleagris</t>
        </is>
      </c>
      <c r="O1970" t="inlineStr">
        <is>
          <t>glyceraldehyde-3-phosphate dehydrogenase</t>
        </is>
      </c>
    </row>
    <row r="1971">
      <c r="A1971" t="inlineStr"/>
      <c r="B1971" t="inlineStr"/>
      <c r="C1971" t="inlineStr"/>
      <c r="D1971" t="inlineStr"/>
      <c r="E1971">
        <f>HYPERLINK("https://www.ncbi.nlm.nih.gov/gene/?term=NP_001290108.1", "NP_001290108.1")</f>
        <v/>
      </c>
      <c r="F1971" t="n">
        <v>84.3</v>
      </c>
      <c r="G1971" t="n">
        <v>343</v>
      </c>
      <c r="H1971" t="n">
        <v>1.71e-207</v>
      </c>
      <c r="I1971" t="inlineStr">
        <is>
          <t>Nr</t>
        </is>
      </c>
      <c r="J1971" t="inlineStr"/>
      <c r="K1971" t="inlineStr"/>
      <c r="L1971" t="inlineStr">
        <is>
          <t>NP_001290108.1 glyceraldehyde-3-phosphate dehydrogenase [Meleagris gallopavo]</t>
        </is>
      </c>
      <c r="M1971" t="n">
        <v>333</v>
      </c>
      <c r="N1971" t="inlineStr">
        <is>
          <t>Meleagris gallopavo</t>
        </is>
      </c>
      <c r="O1971" t="inlineStr">
        <is>
          <t>glyceraldehyde-3-phosphate dehydrogenase</t>
        </is>
      </c>
    </row>
    <row r="1972">
      <c r="A1972" t="inlineStr"/>
      <c r="B1972" t="inlineStr"/>
      <c r="C1972" t="inlineStr"/>
      <c r="D1972" t="inlineStr"/>
      <c r="E1972">
        <f>HYPERLINK("https://www.uniprot.org/uniprotkb/A0A8C4U7T3/entry", "A0A8C4U7T3")</f>
        <v/>
      </c>
      <c r="F1972" t="n">
        <v>83.7</v>
      </c>
      <c r="G1972" t="n">
        <v>343</v>
      </c>
      <c r="H1972" t="n">
        <v>1.91e-207</v>
      </c>
      <c r="I1972" t="inlineStr">
        <is>
          <t>TrEMBL</t>
        </is>
      </c>
      <c r="J1972" t="inlineStr"/>
      <c r="K1972" t="inlineStr">
        <is>
          <t>A0A8C4U7T3_FALTI</t>
        </is>
      </c>
      <c r="L1972" t="inlineStr">
        <is>
          <t>tr|A0A8C4U7T3|A0A8C4U7T3_FALTI Glyceraldehyde-3-phosphate dehydrogenase OS=Falco tinnunculus OX=100819 PE=3 SV=1</t>
        </is>
      </c>
      <c r="M1972" t="n">
        <v>333</v>
      </c>
      <c r="N1972" t="inlineStr">
        <is>
          <t>Falco tinnunculus</t>
        </is>
      </c>
      <c r="O1972" t="inlineStr">
        <is>
          <t>Glyceraldehyde-3-phosphate dehydrogenase</t>
        </is>
      </c>
    </row>
    <row r="1973">
      <c r="A1973" t="inlineStr"/>
      <c r="B1973" t="inlineStr"/>
      <c r="C1973" t="inlineStr"/>
      <c r="D1973" t="inlineStr"/>
      <c r="E1973">
        <f>HYPERLINK("https://www.ncbi.nlm.nih.gov/gene/?term=QBS55194.1", "QBS55194.1")</f>
        <v/>
      </c>
      <c r="F1973" t="n">
        <v>84.5</v>
      </c>
      <c r="G1973" t="n">
        <v>343</v>
      </c>
      <c r="H1973" t="n">
        <v>2.43e-207</v>
      </c>
      <c r="I1973" t="inlineStr">
        <is>
          <t>Nr</t>
        </is>
      </c>
      <c r="J1973" t="inlineStr"/>
      <c r="K1973" t="inlineStr"/>
      <c r="L1973" t="inlineStr">
        <is>
          <t>QBS55194.1 glyceraldehyde-3-phosphate dehydrogenase [Acipenser dabryanus]</t>
        </is>
      </c>
      <c r="M1973" t="n">
        <v>333</v>
      </c>
      <c r="N1973" t="inlineStr">
        <is>
          <t>Acipenser dabryanus</t>
        </is>
      </c>
      <c r="O1973" t="inlineStr">
        <is>
          <t>glyceraldehyde-3-phosphate dehydrogenase</t>
        </is>
      </c>
    </row>
    <row r="1974">
      <c r="A1974" t="inlineStr"/>
      <c r="B1974" t="inlineStr"/>
      <c r="C1974" t="inlineStr"/>
      <c r="D1974" t="inlineStr"/>
      <c r="E1974">
        <f>HYPERLINK("https://www.ncbi.nlm.nih.gov/gene/?term=XP_009565005.1", "XP_009565005.1")</f>
        <v/>
      </c>
      <c r="F1974" t="n">
        <v>84.5</v>
      </c>
      <c r="G1974" t="n">
        <v>343</v>
      </c>
      <c r="H1974" t="n">
        <v>2.43e-207</v>
      </c>
      <c r="I1974" t="inlineStr">
        <is>
          <t>Nr</t>
        </is>
      </c>
      <c r="J1974" t="inlineStr"/>
      <c r="K1974" t="inlineStr"/>
      <c r="L1974" t="inlineStr">
        <is>
          <t>XP_009565005.1 PREDICTED: glyceraldehyde-3-phosphate dehydrogenase [Cuculus canorus]</t>
        </is>
      </c>
      <c r="M1974" t="n">
        <v>333</v>
      </c>
      <c r="N1974" t="inlineStr">
        <is>
          <t>Cuculus canorus</t>
        </is>
      </c>
      <c r="O1974" t="inlineStr">
        <is>
          <t>PREDICTED: glyceraldehyde-3-phosphate dehydrogenase</t>
        </is>
      </c>
    </row>
    <row r="1975">
      <c r="A1975" t="inlineStr"/>
      <c r="B1975" t="inlineStr"/>
      <c r="C1975" t="inlineStr"/>
      <c r="D1975" t="inlineStr"/>
      <c r="E1975">
        <f>HYPERLINK("https://www.uniprot.org/uniprotkb/Q4KYY3/entry", "Q4KYY3")</f>
        <v/>
      </c>
      <c r="F1975" t="n">
        <v>82.5</v>
      </c>
      <c r="G1975" t="n">
        <v>343</v>
      </c>
      <c r="H1975" t="n">
        <v>2.68e-207</v>
      </c>
      <c r="I1975" t="inlineStr">
        <is>
          <t>Swiss-Prot</t>
        </is>
      </c>
      <c r="J1975" t="inlineStr">
        <is>
          <t>GAPDH</t>
        </is>
      </c>
      <c r="K1975" t="inlineStr">
        <is>
          <t>G3P_SPECI</t>
        </is>
      </c>
      <c r="L1975" t="inlineStr">
        <is>
          <t>sp|Q4KYY3|G3P_SPECI Glyceraldehyde-3-phosphate dehydrogenase OS=Spermophilus citellus OX=9997 GN=GAPDH PE=2 SV=3</t>
        </is>
      </c>
      <c r="M1975" t="n">
        <v>333</v>
      </c>
      <c r="N1975" t="inlineStr">
        <is>
          <t>Spermophilus citellus</t>
        </is>
      </c>
      <c r="O1975" t="inlineStr">
        <is>
          <t>Glyceraldehyde-3-phosphate dehydrogenase</t>
        </is>
      </c>
    </row>
    <row r="1976">
      <c r="A1976" t="inlineStr"/>
      <c r="B1976" t="inlineStr"/>
      <c r="C1976" t="inlineStr"/>
      <c r="D1976" t="inlineStr"/>
      <c r="E1976">
        <f>HYPERLINK("https://www.uniprot.org/uniprotkb/A0A098M010/entry", "A0A098M010")</f>
        <v/>
      </c>
      <c r="F1976" t="n">
        <v>83.7</v>
      </c>
      <c r="G1976" t="n">
        <v>343</v>
      </c>
      <c r="H1976" t="n">
        <v>2.71e-207</v>
      </c>
      <c r="I1976" t="inlineStr">
        <is>
          <t>TrEMBL</t>
        </is>
      </c>
      <c r="J1976" t="inlineStr"/>
      <c r="K1976" t="inlineStr">
        <is>
          <t>A0A098M010_9SAUR</t>
        </is>
      </c>
      <c r="L1976" t="inlineStr">
        <is>
          <t>tr|A0A098M010|A0A098M010_9SAUR Glyceraldehyde-3-phosphate dehydrogenase OS=Hypsiglena sp. JMG-2014 OX=1550645 PE=3 SV=1</t>
        </is>
      </c>
      <c r="M1976" t="n">
        <v>333</v>
      </c>
      <c r="N1976" t="inlineStr">
        <is>
          <t>Hypsiglena sp. JMG-2014</t>
        </is>
      </c>
      <c r="O1976" t="inlineStr">
        <is>
          <t>Glyceraldehyde-3-phosphate dehydrogenase</t>
        </is>
      </c>
    </row>
    <row r="1977">
      <c r="A1977" t="inlineStr"/>
      <c r="B1977" t="inlineStr"/>
      <c r="C1977" t="inlineStr"/>
      <c r="D1977" t="inlineStr"/>
      <c r="E1977">
        <f>HYPERLINK("https://www.uniprot.org/uniprotkb/A0A8V5FUU2/entry", "A0A8V5FUU2")</f>
        <v/>
      </c>
      <c r="F1977" t="n">
        <v>83.7</v>
      </c>
      <c r="G1977" t="n">
        <v>343</v>
      </c>
      <c r="H1977" t="n">
        <v>2.71e-207</v>
      </c>
      <c r="I1977" t="inlineStr">
        <is>
          <t>TrEMBL</t>
        </is>
      </c>
      <c r="J1977" t="inlineStr">
        <is>
          <t>LOC101868477</t>
        </is>
      </c>
      <c r="K1977" t="inlineStr">
        <is>
          <t>A0A8V5FUU2_MELUD</t>
        </is>
      </c>
      <c r="L1977" t="inlineStr">
        <is>
          <t>tr|A0A8V5FUU2|A0A8V5FUU2_MELUD Uncharacterized protein OS=Melopsittacus undulatus OX=13146 GN=LOC101868477 PE=4 SV=1</t>
        </is>
      </c>
      <c r="M1977" t="n">
        <v>333</v>
      </c>
      <c r="N1977" t="inlineStr">
        <is>
          <t>Melopsittacus undulatus</t>
        </is>
      </c>
      <c r="O1977" t="inlineStr">
        <is>
          <t>Uncharacterized protein</t>
        </is>
      </c>
    </row>
    <row r="1978">
      <c r="A1978" t="inlineStr"/>
      <c r="B1978" t="inlineStr"/>
      <c r="C1978" t="inlineStr"/>
      <c r="D1978" t="inlineStr"/>
      <c r="E1978">
        <f>HYPERLINK("https://www.ncbi.nlm.nih.gov/gene/?term=AAA48778.1", "AAA48778.1")</f>
        <v/>
      </c>
      <c r="F1978" t="n">
        <v>84.3</v>
      </c>
      <c r="G1978" t="n">
        <v>343</v>
      </c>
      <c r="H1978" t="n">
        <v>3.46e-207</v>
      </c>
      <c r="I1978" t="inlineStr">
        <is>
          <t>Nr</t>
        </is>
      </c>
      <c r="J1978" t="inlineStr"/>
      <c r="K1978" t="inlineStr"/>
      <c r="L1978" t="inlineStr">
        <is>
          <t>AAA48778.1 glceraldehyde-3-phosphate dehydrogenase [Gallus gallus]</t>
        </is>
      </c>
      <c r="M1978" t="n">
        <v>333</v>
      </c>
      <c r="N1978" t="inlineStr">
        <is>
          <t>Gallus gallus</t>
        </is>
      </c>
      <c r="O1978" t="inlineStr">
        <is>
          <t>glceraldehyde-3-phosphate dehydrogenase</t>
        </is>
      </c>
    </row>
    <row r="1979">
      <c r="A1979" t="inlineStr"/>
      <c r="B1979" t="inlineStr"/>
      <c r="C1979" t="inlineStr"/>
      <c r="D1979" t="inlineStr"/>
      <c r="E1979">
        <f>HYPERLINK("https://www.ncbi.nlm.nih.gov/gene/?term=XP_029875884.1", "XP_029875884.1")</f>
        <v/>
      </c>
      <c r="F1979" t="n">
        <v>84</v>
      </c>
      <c r="G1979" t="n">
        <v>343</v>
      </c>
      <c r="H1979" t="n">
        <v>3.46e-207</v>
      </c>
      <c r="I1979" t="inlineStr">
        <is>
          <t>Nr</t>
        </is>
      </c>
      <c r="J1979" t="inlineStr"/>
      <c r="K1979" t="inlineStr"/>
      <c r="L1979" t="inlineStr">
        <is>
          <t>XP_029875884.1 glyceraldehyde-3-phosphate dehydrogenase [Aquila chrysaetos chrysaetos]</t>
        </is>
      </c>
      <c r="M1979" t="n">
        <v>333</v>
      </c>
      <c r="N1979" t="inlineStr">
        <is>
          <t>Aquila chrysaetos chrysaetos</t>
        </is>
      </c>
      <c r="O1979" t="inlineStr">
        <is>
          <t>glyceraldehyde-3-phosphate dehydrogenase</t>
        </is>
      </c>
    </row>
    <row r="1980">
      <c r="A1980" t="inlineStr"/>
      <c r="B1980" t="inlineStr"/>
      <c r="C1980" t="inlineStr"/>
      <c r="D1980" t="inlineStr"/>
      <c r="E1980">
        <f>HYPERLINK("https://www.ncbi.nlm.nih.gov/gene/?term=XP_038623989.1", "XP_038623989.1")</f>
        <v/>
      </c>
      <c r="F1980" t="n">
        <v>83.7</v>
      </c>
      <c r="G1980" t="n">
        <v>343</v>
      </c>
      <c r="H1980" t="n">
        <v>3.46e-207</v>
      </c>
      <c r="I1980" t="inlineStr">
        <is>
          <t>Nr</t>
        </is>
      </c>
      <c r="J1980" t="inlineStr"/>
      <c r="K1980" t="inlineStr"/>
      <c r="L1980" t="inlineStr">
        <is>
          <t>XP_038623989.1 glyceraldehyde-3-phosphate dehydrogenase [Tachyglossus aculeatus]</t>
        </is>
      </c>
      <c r="M1980" t="n">
        <v>333</v>
      </c>
      <c r="N1980" t="inlineStr">
        <is>
          <t>Tachyglossus aculeatus</t>
        </is>
      </c>
      <c r="O1980" t="inlineStr">
        <is>
          <t>glyceraldehyde-3-phosphate dehydrogenase</t>
        </is>
      </c>
    </row>
    <row r="1981">
      <c r="A1981" t="inlineStr"/>
      <c r="B1981" t="inlineStr"/>
      <c r="C1981" t="inlineStr"/>
      <c r="D1981" t="inlineStr"/>
      <c r="E1981">
        <f>HYPERLINK("https://www.uniprot.org/uniprotkb/B8YAC5/entry", "B8YAC5")</f>
        <v/>
      </c>
      <c r="F1981" t="n">
        <v>84</v>
      </c>
      <c r="G1981" t="n">
        <v>343</v>
      </c>
      <c r="H1981" t="n">
        <v>3.85e-207</v>
      </c>
      <c r="I1981" t="inlineStr">
        <is>
          <t>TrEMBL</t>
        </is>
      </c>
      <c r="J1981" t="inlineStr"/>
      <c r="K1981" t="inlineStr">
        <is>
          <t>B8YAC5_TRASE</t>
        </is>
      </c>
      <c r="L1981" t="inlineStr">
        <is>
          <t>tr|B8YAC5|B8YAC5_TRASE Glyceraldehyde-3-phosphate dehydrogenase OS=Trachemys scripta elegans OX=31138 PE=2 SV=1</t>
        </is>
      </c>
      <c r="M1981" t="n">
        <v>333</v>
      </c>
      <c r="N1981" t="inlineStr">
        <is>
          <t>Trachemys scripta elegans</t>
        </is>
      </c>
      <c r="O1981" t="inlineStr">
        <is>
          <t>Glyceraldehyde-3-phosphate dehydrogenase</t>
        </is>
      </c>
    </row>
    <row r="1982">
      <c r="A1982" t="inlineStr"/>
      <c r="B1982" t="inlineStr"/>
      <c r="C1982" t="inlineStr"/>
      <c r="D1982" t="inlineStr"/>
      <c r="E1982">
        <f>HYPERLINK("https://www.uniprot.org/uniprotkb/A0A8C8S2W1/entry", "A0A8C8S2W1")</f>
        <v/>
      </c>
      <c r="F1982" t="n">
        <v>83.09999999999999</v>
      </c>
      <c r="G1982" t="n">
        <v>343</v>
      </c>
      <c r="H1982" t="n">
        <v>3.85e-207</v>
      </c>
      <c r="I1982" t="inlineStr">
        <is>
          <t>TrEMBL</t>
        </is>
      </c>
      <c r="J1982" t="inlineStr"/>
      <c r="K1982" t="inlineStr">
        <is>
          <t>A0A8C8S2W1_9SAUR</t>
        </is>
      </c>
      <c r="L1982" t="inlineStr">
        <is>
          <t>tr|A0A8C8S2W1|A0A8C8S2W1_9SAUR Glyceraldehyde-3-phosphate dehydrogenase OS=Pelusios castaneus OX=367368 PE=3 SV=1</t>
        </is>
      </c>
      <c r="M1982" t="n">
        <v>333</v>
      </c>
      <c r="N1982" t="inlineStr">
        <is>
          <t>Pelusios castaneus</t>
        </is>
      </c>
      <c r="O1982" t="inlineStr">
        <is>
          <t>Glyceraldehyde-3-phosphate dehydrogenase</t>
        </is>
      </c>
    </row>
    <row r="1983">
      <c r="A1983" t="inlineStr"/>
      <c r="B1983" t="inlineStr"/>
      <c r="C1983" t="inlineStr"/>
      <c r="D1983" t="inlineStr"/>
      <c r="E1983">
        <f>HYPERLINK("https://www.uniprot.org/uniprotkb/A0A346M329/entry", "A0A346M329")</f>
        <v/>
      </c>
      <c r="F1983" t="n">
        <v>83.7</v>
      </c>
      <c r="G1983" t="n">
        <v>343</v>
      </c>
      <c r="H1983" t="n">
        <v>3.85e-207</v>
      </c>
      <c r="I1983" t="inlineStr">
        <is>
          <t>TrEMBL</t>
        </is>
      </c>
      <c r="J1983" t="inlineStr">
        <is>
          <t>GAPDH</t>
        </is>
      </c>
      <c r="K1983" t="inlineStr">
        <is>
          <t>A0A346M329_9AVES</t>
        </is>
      </c>
      <c r="L1983" t="inlineStr">
        <is>
          <t>tr|A0A346M329|A0A346M329_9AVES Glyceraldehyde-3-phosphate dehydrogenase OS=Anser anser OX=8843 GN=GAPDH PE=2 SV=1</t>
        </is>
      </c>
      <c r="M1983" t="n">
        <v>333</v>
      </c>
      <c r="N1983" t="inlineStr">
        <is>
          <t>Anser anser</t>
        </is>
      </c>
      <c r="O1983" t="inlineStr">
        <is>
          <t>Glyceraldehyde-3-phosphate dehydrogenase</t>
        </is>
      </c>
    </row>
    <row r="1984">
      <c r="A1984" t="inlineStr"/>
      <c r="B1984" t="inlineStr"/>
      <c r="C1984" t="inlineStr"/>
      <c r="D1984" t="inlineStr"/>
      <c r="E1984">
        <f>HYPERLINK("https://www.uniprot.org/uniprotkb/A0A8T1SA20/entry", "A0A8T1SA20")</f>
        <v/>
      </c>
      <c r="F1984" t="n">
        <v>83.09999999999999</v>
      </c>
      <c r="G1984" t="n">
        <v>343</v>
      </c>
      <c r="H1984" t="n">
        <v>3.85e-207</v>
      </c>
      <c r="I1984" t="inlineStr">
        <is>
          <t>TrEMBL</t>
        </is>
      </c>
      <c r="J1984" t="inlineStr">
        <is>
          <t>GAPDH</t>
        </is>
      </c>
      <c r="K1984" t="inlineStr">
        <is>
          <t>A0A8T1SA20_CHESE</t>
        </is>
      </c>
      <c r="L1984" t="inlineStr">
        <is>
          <t>tr|A0A8T1SA20|A0A8T1SA20_CHESE Glyceraldehyde-3-phosphate dehydrogenase OS=Chelydra serpentina OX=8475 GN=GAPDH PE=3 SV=1</t>
        </is>
      </c>
      <c r="M1984" t="n">
        <v>333</v>
      </c>
      <c r="N1984" t="inlineStr">
        <is>
          <t>Chelydra serpentina</t>
        </is>
      </c>
      <c r="O1984" t="inlineStr">
        <is>
          <t>Glyceraldehyde-3-phosphate dehydrogenase</t>
        </is>
      </c>
    </row>
    <row r="1985">
      <c r="A1985" t="inlineStr"/>
      <c r="B1985" t="inlineStr"/>
      <c r="C1985" t="inlineStr"/>
      <c r="D1985" t="inlineStr"/>
      <c r="E1985">
        <f>HYPERLINK("https://www.uniprot.org/uniprotkb/A0A8B9IJD2/entry", "A0A8B9IJD2")</f>
        <v/>
      </c>
      <c r="F1985" t="n">
        <v>83.7</v>
      </c>
      <c r="G1985" t="n">
        <v>343</v>
      </c>
      <c r="H1985" t="n">
        <v>3.85e-207</v>
      </c>
      <c r="I1985" t="inlineStr">
        <is>
          <t>TrEMBL</t>
        </is>
      </c>
      <c r="J1985" t="inlineStr"/>
      <c r="K1985" t="inlineStr">
        <is>
          <t>A0A8B9IJD2_ANSCY</t>
        </is>
      </c>
      <c r="L1985" t="inlineStr">
        <is>
          <t>tr|A0A8B9IJD2|A0A8B9IJD2_ANSCY Glyceraldehyde-3-phosphate dehydrogenase OS=Anser cygnoid OX=8845 PE=3 SV=1</t>
        </is>
      </c>
      <c r="M1985" t="n">
        <v>333</v>
      </c>
      <c r="N1985" t="inlineStr">
        <is>
          <t>Anser cygnoid</t>
        </is>
      </c>
      <c r="O1985" t="inlineStr">
        <is>
          <t>Glyceraldehyde-3-phosphate dehydrogenase</t>
        </is>
      </c>
    </row>
    <row r="1986">
      <c r="A1986" t="inlineStr"/>
      <c r="B1986" t="inlineStr"/>
      <c r="C1986" t="inlineStr"/>
      <c r="D1986" t="inlineStr"/>
      <c r="E1986">
        <f>HYPERLINK("https://www.ncbi.nlm.nih.gov/gene/?term=XP_040450950.1", "XP_040450950.1")</f>
        <v/>
      </c>
      <c r="F1986" t="n">
        <v>83.7</v>
      </c>
      <c r="G1986" t="n">
        <v>343</v>
      </c>
      <c r="H1986" t="n">
        <v>4.91e-207</v>
      </c>
      <c r="I1986" t="inlineStr">
        <is>
          <t>Nr</t>
        </is>
      </c>
      <c r="J1986" t="inlineStr"/>
      <c r="K1986" t="inlineStr"/>
      <c r="L1986" t="inlineStr">
        <is>
          <t>XP_040450950.1 glyceraldehyde-3-phosphate dehydrogenase isoform X1 [Falco naumanni]</t>
        </is>
      </c>
      <c r="M1986" t="n">
        <v>333</v>
      </c>
      <c r="N1986" t="inlineStr">
        <is>
          <t>Falco naumanni</t>
        </is>
      </c>
      <c r="O1986" t="inlineStr">
        <is>
          <t>glyceraldehyde-3-phosphate dehydrogenase isoform X1</t>
        </is>
      </c>
    </row>
    <row r="1987">
      <c r="A1987" t="inlineStr"/>
      <c r="B1987" t="inlineStr"/>
      <c r="C1987" t="inlineStr"/>
      <c r="D1987" t="inlineStr"/>
      <c r="E1987">
        <f>HYPERLINK("https://www.uniprot.org/uniprotkb/P17244/entry", "P17244")</f>
        <v/>
      </c>
      <c r="F1987" t="n">
        <v>82.8</v>
      </c>
      <c r="G1987" t="n">
        <v>343</v>
      </c>
      <c r="H1987" t="n">
        <v>5.399999999999999e-207</v>
      </c>
      <c r="I1987" t="inlineStr">
        <is>
          <t>Swiss-Prot</t>
        </is>
      </c>
      <c r="J1987" t="inlineStr">
        <is>
          <t>GAPDH</t>
        </is>
      </c>
      <c r="K1987" t="inlineStr">
        <is>
          <t>G3P_CRIGR</t>
        </is>
      </c>
      <c r="L1987" t="inlineStr">
        <is>
          <t>sp|P17244|G3P_CRIGR Glyceraldehyde-3-phosphate dehydrogenase OS=Cricetulus griseus OX=10029 GN=GAPDH PE=2 SV=2</t>
        </is>
      </c>
      <c r="M1987" t="n">
        <v>333</v>
      </c>
      <c r="N1987" t="inlineStr">
        <is>
          <t>Cricetulus griseus</t>
        </is>
      </c>
      <c r="O1987" t="inlineStr">
        <is>
          <t>Glyceraldehyde-3-phosphate dehydrogenase</t>
        </is>
      </c>
    </row>
    <row r="1988">
      <c r="A1988" t="inlineStr"/>
      <c r="B1988" t="inlineStr"/>
      <c r="C1988" t="inlineStr"/>
      <c r="D1988" t="inlineStr"/>
      <c r="E1988">
        <f>HYPERLINK("https://www.uniprot.org/uniprotkb/Q5R2J2/entry", "Q5R2J2")</f>
        <v/>
      </c>
      <c r="F1988" t="n">
        <v>82.2</v>
      </c>
      <c r="G1988" t="n">
        <v>343</v>
      </c>
      <c r="H1988" t="n">
        <v>5.399999999999999e-207</v>
      </c>
      <c r="I1988" t="inlineStr">
        <is>
          <t>Swiss-Prot</t>
        </is>
      </c>
      <c r="J1988" t="inlineStr">
        <is>
          <t>GAPDH</t>
        </is>
      </c>
      <c r="K1988" t="inlineStr">
        <is>
          <t>G3P_PELSI</t>
        </is>
      </c>
      <c r="L1988" t="inlineStr">
        <is>
          <t>sp|Q5R2J2|G3P_PELSI Glyceraldehyde-3-phosphate dehydrogenase OS=Pelodiscus sinensis OX=13735 GN=GAPDH PE=2 SV=1</t>
        </is>
      </c>
      <c r="M1988" t="n">
        <v>333</v>
      </c>
      <c r="N1988" t="inlineStr">
        <is>
          <t>Pelodiscus sinensis</t>
        </is>
      </c>
      <c r="O1988" t="inlineStr">
        <is>
          <t>Glyceraldehyde-3-phosphate dehydrogenase</t>
        </is>
      </c>
    </row>
    <row r="1989">
      <c r="A1989" t="inlineStr"/>
      <c r="B1989" t="inlineStr"/>
      <c r="C1989" t="inlineStr"/>
      <c r="D1989" t="inlineStr"/>
      <c r="E1989">
        <f>HYPERLINK("https://www.ncbi.nlm.nih.gov/gene/?term=XP_033928949.1", "XP_033928949.1")</f>
        <v/>
      </c>
      <c r="F1989" t="n">
        <v>83.7</v>
      </c>
      <c r="G1989" t="n">
        <v>343</v>
      </c>
      <c r="H1989" t="n">
        <v>6.969999999999999e-207</v>
      </c>
      <c r="I1989" t="inlineStr">
        <is>
          <t>Nr</t>
        </is>
      </c>
      <c r="J1989" t="inlineStr"/>
      <c r="K1989" t="inlineStr"/>
      <c r="L1989" t="inlineStr">
        <is>
          <t>XP_033928949.1 glyceraldehyde-3-phosphate dehydrogenase [Melopsittacus undulatus]</t>
        </is>
      </c>
      <c r="M1989" t="n">
        <v>333</v>
      </c>
      <c r="N1989" t="inlineStr">
        <is>
          <t>Melopsittacus undulatus</t>
        </is>
      </c>
      <c r="O1989" t="inlineStr">
        <is>
          <t>glyceraldehyde-3-phosphate dehydrogenase</t>
        </is>
      </c>
    </row>
    <row r="1990">
      <c r="A1990" t="inlineStr"/>
      <c r="B1990" t="inlineStr"/>
      <c r="C1990" t="inlineStr"/>
      <c r="D1990" t="inlineStr"/>
      <c r="E1990">
        <f>HYPERLINK("https://www.ncbi.nlm.nih.gov/gene/?term=XP_028568228.1", "XP_028568228.1")</f>
        <v/>
      </c>
      <c r="F1990" t="n">
        <v>83.09999999999999</v>
      </c>
      <c r="G1990" t="n">
        <v>343</v>
      </c>
      <c r="H1990" t="n">
        <v>9.899999999999999e-207</v>
      </c>
      <c r="I1990" t="inlineStr">
        <is>
          <t>Nr</t>
        </is>
      </c>
      <c r="J1990" t="inlineStr"/>
      <c r="K1990" t="inlineStr"/>
      <c r="L1990" t="inlineStr">
        <is>
          <t>XP_028568228.1 glyceraldehyde-3-phosphate dehydrogenase [Podarcis muralis]</t>
        </is>
      </c>
      <c r="M1990" t="n">
        <v>333</v>
      </c>
      <c r="N1990" t="inlineStr">
        <is>
          <t>Podarcis muralis</t>
        </is>
      </c>
      <c r="O1990" t="inlineStr">
        <is>
          <t>glyceraldehyde-3-phosphate dehydrogenase</t>
        </is>
      </c>
    </row>
    <row r="1991">
      <c r="A1991" t="inlineStr"/>
      <c r="B1991" t="inlineStr"/>
      <c r="C1991" t="inlineStr"/>
      <c r="D1991" t="inlineStr"/>
      <c r="E1991">
        <f>HYPERLINK("https://www.uniprot.org/uniprotkb/A3FKF7/entry", "A3FKF7")</f>
        <v/>
      </c>
      <c r="F1991" t="n">
        <v>82.2</v>
      </c>
      <c r="G1991" t="n">
        <v>343</v>
      </c>
      <c r="H1991" t="n">
        <v>2.2e-206</v>
      </c>
      <c r="I1991" t="inlineStr">
        <is>
          <t>Swiss-Prot</t>
        </is>
      </c>
      <c r="J1991" t="inlineStr">
        <is>
          <t>GAPDH</t>
        </is>
      </c>
      <c r="K1991" t="inlineStr">
        <is>
          <t>G3P_MUSPF</t>
        </is>
      </c>
      <c r="L1991" t="inlineStr">
        <is>
          <t>sp|A3FKF7|G3P_MUSPF Glyceraldehyde-3-phosphate dehydrogenase OS=Mustela putorius furo OX=9669 GN=GAPDH PE=2 SV=1</t>
        </is>
      </c>
      <c r="M1991" t="n">
        <v>333</v>
      </c>
      <c r="N1991" t="inlineStr">
        <is>
          <t>Mustela putorius furo</t>
        </is>
      </c>
      <c r="O1991" t="inlineStr">
        <is>
          <t>Glyceraldehyde-3-phosphate dehydrogenase</t>
        </is>
      </c>
    </row>
    <row r="1992">
      <c r="A1992" t="inlineStr"/>
      <c r="B1992" t="inlineStr"/>
      <c r="C1992" t="inlineStr"/>
      <c r="D1992" t="inlineStr"/>
      <c r="E1992">
        <f>HYPERLINK("https://www.uniprot.org/uniprotkb/Q9N2D5/entry", "Q9N2D5")</f>
        <v/>
      </c>
      <c r="F1992" t="n">
        <v>82.2</v>
      </c>
      <c r="G1992" t="n">
        <v>343</v>
      </c>
      <c r="H1992" t="n">
        <v>3.12e-206</v>
      </c>
      <c r="I1992" t="inlineStr">
        <is>
          <t>Swiss-Prot</t>
        </is>
      </c>
      <c r="J1992" t="inlineStr">
        <is>
          <t>GAPDH</t>
        </is>
      </c>
      <c r="K1992" t="inlineStr">
        <is>
          <t>G3P_FELCA</t>
        </is>
      </c>
      <c r="L1992" t="inlineStr">
        <is>
          <t>sp|Q9N2D5|G3P_FELCA Glyceraldehyde-3-phosphate dehydrogenase OS=Felis catus OX=9685 GN=GAPDH PE=2 SV=3</t>
        </is>
      </c>
      <c r="M1992" t="n">
        <v>333</v>
      </c>
      <c r="N1992" t="inlineStr">
        <is>
          <t>Felis catus</t>
        </is>
      </c>
      <c r="O1992" t="inlineStr">
        <is>
          <t>Glyceraldehyde-3-phosphate dehydrogenase</t>
        </is>
      </c>
    </row>
    <row r="1993">
      <c r="A1993" t="inlineStr"/>
      <c r="B1993" t="inlineStr"/>
      <c r="C1993" t="inlineStr"/>
      <c r="D1993" t="inlineStr"/>
      <c r="E1993">
        <f>HYPERLINK("https://www.uniprot.org/uniprotkb/P46406/entry", "P46406")</f>
        <v/>
      </c>
      <c r="F1993" t="n">
        <v>82.8</v>
      </c>
      <c r="G1993" t="n">
        <v>343</v>
      </c>
      <c r="H1993" t="n">
        <v>3.12e-206</v>
      </c>
      <c r="I1993" t="inlineStr">
        <is>
          <t>Swiss-Prot</t>
        </is>
      </c>
      <c r="J1993" t="inlineStr">
        <is>
          <t>GAPDH</t>
        </is>
      </c>
      <c r="K1993" t="inlineStr">
        <is>
          <t>G3P_RABIT</t>
        </is>
      </c>
      <c r="L1993" t="inlineStr">
        <is>
          <t>sp|P46406|G3P_RABIT Glyceraldehyde-3-phosphate dehydrogenase OS=Oryctolagus cuniculus OX=9986 GN=GAPDH PE=1 SV=3</t>
        </is>
      </c>
      <c r="M1993" t="n">
        <v>333</v>
      </c>
      <c r="N1993" t="inlineStr">
        <is>
          <t>Oryctolagus cuniculus</t>
        </is>
      </c>
      <c r="O1993" t="inlineStr">
        <is>
          <t>Glyceraldehyde-3-phosphate dehydrogenase</t>
        </is>
      </c>
    </row>
    <row r="1994">
      <c r="A1994" t="inlineStr"/>
      <c r="B1994" t="inlineStr"/>
      <c r="C1994" t="inlineStr"/>
      <c r="D1994" t="inlineStr"/>
      <c r="E1994">
        <f>HYPERLINK("https://www.uniprot.org/uniprotkb/Q28259/entry", "Q28259")</f>
        <v/>
      </c>
      <c r="F1994" t="n">
        <v>81.59999999999999</v>
      </c>
      <c r="G1994" t="n">
        <v>343</v>
      </c>
      <c r="H1994" t="n">
        <v>2.56e-205</v>
      </c>
      <c r="I1994" t="inlineStr">
        <is>
          <t>Swiss-Prot</t>
        </is>
      </c>
      <c r="J1994" t="inlineStr">
        <is>
          <t>GAPDH</t>
        </is>
      </c>
      <c r="K1994" t="inlineStr">
        <is>
          <t>G3P_CANLF</t>
        </is>
      </c>
      <c r="L1994" t="inlineStr">
        <is>
          <t>sp|Q28259|G3P_CANLF Glyceraldehyde-3-phosphate dehydrogenase OS=Canis lupus familiaris OX=9615 GN=GAPDH PE=2 SV=3</t>
        </is>
      </c>
      <c r="M1994" t="n">
        <v>333</v>
      </c>
      <c r="N1994" t="inlineStr">
        <is>
          <t>Canis lupus familiaris</t>
        </is>
      </c>
      <c r="O1994" t="inlineStr">
        <is>
          <t>Glyceraldehyde-3-phosphate dehydrogenase</t>
        </is>
      </c>
    </row>
    <row r="1995">
      <c r="A1995" t="inlineStr"/>
      <c r="B1995" t="inlineStr"/>
      <c r="C1995" t="inlineStr"/>
      <c r="D1995" t="inlineStr"/>
      <c r="E1995">
        <f>HYPERLINK("https://www.uniprot.org/uniprotkb/P16858/entry", "P16858")</f>
        <v/>
      </c>
      <c r="F1995" t="n">
        <v>81.3</v>
      </c>
      <c r="G1995" t="n">
        <v>343</v>
      </c>
      <c r="H1995" t="n">
        <v>2.56e-205</v>
      </c>
      <c r="I1995" t="inlineStr">
        <is>
          <t>Swiss-Prot</t>
        </is>
      </c>
      <c r="J1995" t="inlineStr">
        <is>
          <t>Gapdh</t>
        </is>
      </c>
      <c r="K1995" t="inlineStr">
        <is>
          <t>G3P_MOUSE</t>
        </is>
      </c>
      <c r="L1995" t="inlineStr">
        <is>
          <t>sp|P16858|G3P_MOUSE Glyceraldehyde-3-phosphate dehydrogenase OS=Mus musculus OX=10090 GN=Gapdh PE=1 SV=2</t>
        </is>
      </c>
      <c r="M1995" t="n">
        <v>333</v>
      </c>
      <c r="N1995" t="inlineStr">
        <is>
          <t>Mus musculus</t>
        </is>
      </c>
      <c r="O1995" t="inlineStr">
        <is>
          <t>Glyceraldehyde-3-phosphate dehydrogenase</t>
        </is>
      </c>
    </row>
    <row r="1996">
      <c r="A1996" t="inlineStr"/>
      <c r="B1996" t="inlineStr"/>
      <c r="C1996" t="inlineStr"/>
      <c r="D1996" t="inlineStr"/>
      <c r="E1996">
        <f>HYPERLINK("https://www.uniprot.org/uniprotkb/P04406/entry", "P04406")</f>
        <v/>
      </c>
      <c r="F1996" t="n">
        <v>81.90000000000001</v>
      </c>
      <c r="G1996" t="n">
        <v>342</v>
      </c>
      <c r="H1996" t="n">
        <v>3.91e-205</v>
      </c>
      <c r="I1996" t="inlineStr">
        <is>
          <t>Swiss-Prot</t>
        </is>
      </c>
      <c r="J1996" t="inlineStr">
        <is>
          <t>GAPDH</t>
        </is>
      </c>
      <c r="K1996" t="inlineStr">
        <is>
          <t>G3P_HUMAN</t>
        </is>
      </c>
      <c r="L1996" t="inlineStr">
        <is>
          <t>sp|P04406|G3P_HUMAN Glyceraldehyde-3-phosphate dehydrogenase OS=Homo sapiens OX=9606 GN=GAPDH PE=1 SV=3</t>
        </is>
      </c>
      <c r="M1996" t="n">
        <v>335</v>
      </c>
      <c r="N1996" t="inlineStr">
        <is>
          <t>Homo sapiens</t>
        </is>
      </c>
      <c r="O1996" t="inlineStr">
        <is>
          <t>Glyceraldehyde-3-phosphate dehydrogenase</t>
        </is>
      </c>
    </row>
    <row r="1997">
      <c r="A1997" t="inlineStr"/>
      <c r="B1997" t="inlineStr"/>
      <c r="C1997" t="inlineStr"/>
      <c r="D1997" t="inlineStr"/>
      <c r="E1997">
        <f>HYPERLINK("https://www.uniprot.org/uniprotkb/Q5XJ10/entry", "Q5XJ10")</f>
        <v/>
      </c>
      <c r="F1997" t="n">
        <v>83.09999999999999</v>
      </c>
      <c r="G1997" t="n">
        <v>343</v>
      </c>
      <c r="H1997" t="n">
        <v>1.48e-204</v>
      </c>
      <c r="I1997" t="inlineStr">
        <is>
          <t>Swiss-Prot</t>
        </is>
      </c>
      <c r="J1997" t="inlineStr">
        <is>
          <t>gapdh</t>
        </is>
      </c>
      <c r="K1997" t="inlineStr">
        <is>
          <t>G3P_DANRE</t>
        </is>
      </c>
      <c r="L1997" t="inlineStr">
        <is>
          <t>sp|Q5XJ10|G3P_DANRE Glyceraldehyde-3-phosphate dehydrogenase OS=Danio rerio OX=7955 GN=gapdh PE=2 SV=2</t>
        </is>
      </c>
      <c r="M1997" t="n">
        <v>333</v>
      </c>
      <c r="N1997" t="inlineStr">
        <is>
          <t>Danio rerio</t>
        </is>
      </c>
      <c r="O1997" t="inlineStr">
        <is>
          <t>Glyceraldehyde-3-phosphate dehydrogenase</t>
        </is>
      </c>
    </row>
    <row r="1998">
      <c r="A1998" t="inlineStr"/>
      <c r="B1998" t="inlineStr"/>
      <c r="C1998" t="inlineStr"/>
      <c r="D1998" t="inlineStr"/>
      <c r="E1998">
        <f>HYPERLINK("https://www.uniprot.org/uniprotkb/P04797/entry", "P04797")</f>
        <v/>
      </c>
      <c r="F1998" t="n">
        <v>81</v>
      </c>
      <c r="G1998" t="n">
        <v>343</v>
      </c>
      <c r="H1998" t="n">
        <v>2.44e-203</v>
      </c>
      <c r="I1998" t="inlineStr">
        <is>
          <t>Swiss-Prot</t>
        </is>
      </c>
      <c r="J1998" t="inlineStr">
        <is>
          <t>Gapdh</t>
        </is>
      </c>
      <c r="K1998" t="inlineStr">
        <is>
          <t>G3P_RAT</t>
        </is>
      </c>
      <c r="L1998" t="inlineStr">
        <is>
          <t>sp|P04797|G3P_RAT Glyceraldehyde-3-phosphate dehydrogenase OS=Rattus norvegicus OX=10116 GN=Gapdh PE=1 SV=3</t>
        </is>
      </c>
      <c r="M1998" t="n">
        <v>333</v>
      </c>
      <c r="N1998" t="inlineStr">
        <is>
          <t>Rattus norvegicus</t>
        </is>
      </c>
      <c r="O1998" t="inlineStr">
        <is>
          <t>Glyceraldehyde-3-phosphate dehydrogenase</t>
        </is>
      </c>
    </row>
    <row r="1999">
      <c r="A1999" t="inlineStr"/>
      <c r="B1999" t="inlineStr"/>
      <c r="C1999" t="inlineStr"/>
      <c r="D1999" t="inlineStr"/>
      <c r="E1999">
        <f>HYPERLINK("https://www.uniprot.org/uniprotkb/Q5RAB4/entry", "Q5RAB4")</f>
        <v/>
      </c>
      <c r="F1999" t="n">
        <v>81.90000000000001</v>
      </c>
      <c r="G1999" t="n">
        <v>342</v>
      </c>
      <c r="H1999" t="n">
        <v>2.63e-203</v>
      </c>
      <c r="I1999" t="inlineStr">
        <is>
          <t>Swiss-Prot</t>
        </is>
      </c>
      <c r="J1999" t="inlineStr">
        <is>
          <t>GAPDH</t>
        </is>
      </c>
      <c r="K1999" t="inlineStr">
        <is>
          <t>G3P_PONAB</t>
        </is>
      </c>
      <c r="L1999" t="inlineStr">
        <is>
          <t>sp|Q5RAB4|G3P_PONAB Glyceraldehyde-3-phosphate dehydrogenase OS=Pongo abelii OX=9601 GN=GAPDH PE=2 SV=3</t>
        </is>
      </c>
      <c r="M1999" t="n">
        <v>335</v>
      </c>
      <c r="N1999" t="inlineStr">
        <is>
          <t>Pongo abelii</t>
        </is>
      </c>
      <c r="O1999" t="inlineStr">
        <is>
          <t>Glyceraldehyde-3-phosphate dehydrogenase</t>
        </is>
      </c>
    </row>
    <row r="2000">
      <c r="A2000" t="inlineStr"/>
      <c r="B2000" t="inlineStr"/>
      <c r="C2000" t="inlineStr"/>
      <c r="D2000" t="inlineStr"/>
      <c r="E2000">
        <f>HYPERLINK("https://www.uniprot.org/uniprotkb/Q28554/entry", "Q28554")</f>
        <v/>
      </c>
      <c r="F2000" t="n">
        <v>82.2</v>
      </c>
      <c r="G2000" t="n">
        <v>332</v>
      </c>
      <c r="H2000" t="n">
        <v>1.04e-199</v>
      </c>
      <c r="I2000" t="inlineStr">
        <is>
          <t>Swiss-Prot</t>
        </is>
      </c>
      <c r="J2000" t="inlineStr">
        <is>
          <t>GAPDH</t>
        </is>
      </c>
      <c r="K2000" t="inlineStr">
        <is>
          <t>G3P_SHEEP</t>
        </is>
      </c>
      <c r="L2000" t="inlineStr">
        <is>
          <t>sp|Q28554|G3P_SHEEP Glyceraldehyde-3-phosphate dehydrogenase (Fragment) OS=Ovis aries OX=9940 GN=GAPDH PE=2 SV=4</t>
        </is>
      </c>
      <c r="M2000" t="n">
        <v>322</v>
      </c>
      <c r="N2000" t="inlineStr">
        <is>
          <t>Ovis aries</t>
        </is>
      </c>
      <c r="O2000" t="inlineStr">
        <is>
          <t>Glyceraldehyde-3-phosphate dehydrogenase (Fragment)</t>
        </is>
      </c>
    </row>
    <row r="2001">
      <c r="A2001" t="inlineStr"/>
      <c r="B2001" t="inlineStr"/>
      <c r="C2001" t="inlineStr"/>
      <c r="D2001" t="inlineStr"/>
      <c r="E2001">
        <f>HYPERLINK("https://www.uniprot.org/uniprotkb/P80534/entry", "P80534")</f>
        <v/>
      </c>
      <c r="F2001" t="n">
        <v>74.3</v>
      </c>
      <c r="G2001" t="n">
        <v>373</v>
      </c>
      <c r="H2001" t="n">
        <v>1.41e-193</v>
      </c>
      <c r="I2001" t="inlineStr">
        <is>
          <t>Swiss-Prot</t>
        </is>
      </c>
      <c r="J2001" t="inlineStr"/>
      <c r="K2001" t="inlineStr">
        <is>
          <t>G3P_JACOR</t>
        </is>
      </c>
      <c r="L2001" t="inlineStr">
        <is>
          <t>sp|P80534|G3P_JACOR Glyceraldehyde-3-phosphate dehydrogenase, muscle OS=Jaculus orientalis OX=48868 PE=1 SV=2</t>
        </is>
      </c>
      <c r="M2001" t="n">
        <v>363</v>
      </c>
      <c r="N2001" t="inlineStr">
        <is>
          <t>Jaculus orientalis</t>
        </is>
      </c>
      <c r="O2001" t="inlineStr">
        <is>
          <t>Glyceraldehyde-3-phosphate dehydrogenase, muscle</t>
        </is>
      </c>
    </row>
    <row r="2002">
      <c r="A2002" t="inlineStr"/>
      <c r="B2002" t="inlineStr"/>
      <c r="C2002" t="inlineStr"/>
      <c r="D2002" t="inlineStr"/>
      <c r="E2002">
        <f>HYPERLINK("https://www.uniprot.org/uniprotkb/P51640/entry", "P51640")</f>
        <v/>
      </c>
      <c r="F2002" t="n">
        <v>81.40000000000001</v>
      </c>
      <c r="G2002" t="n">
        <v>322</v>
      </c>
      <c r="H2002" t="n">
        <v>6.95e-191</v>
      </c>
      <c r="I2002" t="inlineStr">
        <is>
          <t>Swiss-Prot</t>
        </is>
      </c>
      <c r="J2002" t="inlineStr">
        <is>
          <t>GAPDH</t>
        </is>
      </c>
      <c r="K2002" t="inlineStr">
        <is>
          <t>G3P_MESAU</t>
        </is>
      </c>
      <c r="L2002" t="inlineStr">
        <is>
          <t>sp|P51640|G3P_MESAU Glyceraldehyde-3-phosphate dehydrogenase (Fragment) OS=Mesocricetus auratus OX=10036 GN=GAPDH PE=2 SV=1</t>
        </is>
      </c>
      <c r="M2002" t="n">
        <v>312</v>
      </c>
      <c r="N2002" t="inlineStr">
        <is>
          <t>Mesocricetus auratus</t>
        </is>
      </c>
      <c r="O2002" t="inlineStr">
        <is>
          <t>Glyceraldehyde-3-phosphate dehydrogenase (Fragment)</t>
        </is>
      </c>
    </row>
    <row r="2003">
      <c r="A2003" t="inlineStr"/>
      <c r="B2003" t="inlineStr"/>
      <c r="C2003" t="inlineStr"/>
      <c r="D2003" t="inlineStr"/>
      <c r="E2003">
        <f>HYPERLINK("https://www.uniprot.org/uniprotkb/P07487/entry", "P07487")</f>
        <v/>
      </c>
      <c r="F2003" t="n">
        <v>74.90000000000001</v>
      </c>
      <c r="G2003" t="n">
        <v>343</v>
      </c>
      <c r="H2003" t="n">
        <v>8.34e-183</v>
      </c>
      <c r="I2003" t="inlineStr">
        <is>
          <t>Swiss-Prot</t>
        </is>
      </c>
      <c r="J2003" t="inlineStr">
        <is>
          <t>Gapdh2</t>
        </is>
      </c>
      <c r="K2003" t="inlineStr">
        <is>
          <t>G3P2_DROME</t>
        </is>
      </c>
      <c r="L2003" t="inlineStr">
        <is>
          <t>sp|P07487|G3P2_DROME Glyceraldehyde-3-phosphate dehydrogenase 2 OS=Drosophila melanogaster OX=7227 GN=Gapdh2 PE=1 SV=2</t>
        </is>
      </c>
      <c r="M2003" t="n">
        <v>332</v>
      </c>
      <c r="N2003" t="inlineStr">
        <is>
          <t>Drosophila melanogaster</t>
        </is>
      </c>
      <c r="O2003" t="inlineStr">
        <is>
          <t>Glyceraldehyde-3-phosphate dehydrogenase 2</t>
        </is>
      </c>
    </row>
    <row r="2004">
      <c r="A2004" t="inlineStr"/>
      <c r="B2004" t="inlineStr"/>
      <c r="C2004" t="inlineStr"/>
      <c r="D2004" t="inlineStr"/>
      <c r="E2004">
        <f>HYPERLINK("https://www.uniprot.org/uniprotkb/O44104/entry", "O44104")</f>
        <v/>
      </c>
      <c r="F2004" t="n">
        <v>74.3</v>
      </c>
      <c r="G2004" t="n">
        <v>343</v>
      </c>
      <c r="H2004" t="n">
        <v>9.69e-182</v>
      </c>
      <c r="I2004" t="inlineStr">
        <is>
          <t>Swiss-Prot</t>
        </is>
      </c>
      <c r="J2004" t="inlineStr">
        <is>
          <t>Gapdh2</t>
        </is>
      </c>
      <c r="K2004" t="inlineStr">
        <is>
          <t>G3P2_DROPS</t>
        </is>
      </c>
      <c r="L2004" t="inlineStr">
        <is>
          <t>sp|O44104|G3P2_DROPS Glyceraldehyde-3-phosphate dehydrogenase 2 OS=Drosophila pseudoobscura pseudoobscura OX=46245 GN=Gapdh2 PE=2 SV=2</t>
        </is>
      </c>
      <c r="M2004" t="n">
        <v>332</v>
      </c>
      <c r="N2004" t="inlineStr">
        <is>
          <t>Drosophila pseudoobscura pseudoobscura</t>
        </is>
      </c>
      <c r="O2004" t="inlineStr">
        <is>
          <t>Glyceraldehyde-3-phosphate dehydrogenase 2</t>
        </is>
      </c>
    </row>
    <row r="2005">
      <c r="A2005" t="inlineStr"/>
      <c r="B2005" t="inlineStr"/>
      <c r="C2005" t="inlineStr"/>
      <c r="D2005" t="inlineStr"/>
      <c r="E2005">
        <f>HYPERLINK("https://www.uniprot.org/uniprotkb/P07486/entry", "P07486")</f>
        <v/>
      </c>
      <c r="F2005" t="n">
        <v>74.3</v>
      </c>
      <c r="G2005" t="n">
        <v>343</v>
      </c>
      <c r="H2005" t="n">
        <v>7.93e-181</v>
      </c>
      <c r="I2005" t="inlineStr">
        <is>
          <t>Swiss-Prot</t>
        </is>
      </c>
      <c r="J2005" t="inlineStr">
        <is>
          <t>Gapdh1</t>
        </is>
      </c>
      <c r="K2005" t="inlineStr">
        <is>
          <t>G3P1_DROME</t>
        </is>
      </c>
      <c r="L2005" t="inlineStr">
        <is>
          <t>sp|P07486|G3P1_DROME Glyceraldehyde-3-phosphate dehydrogenase 1 OS=Drosophila melanogaster OX=7227 GN=Gapdh1 PE=2 SV=2</t>
        </is>
      </c>
      <c r="M2005" t="n">
        <v>332</v>
      </c>
      <c r="N2005" t="inlineStr">
        <is>
          <t>Drosophila melanogaster</t>
        </is>
      </c>
      <c r="O2005" t="inlineStr">
        <is>
          <t>Glyceraldehyde-3-phosphate dehydrogenase 1</t>
        </is>
      </c>
    </row>
    <row r="2006">
      <c r="A2006" t="inlineStr"/>
      <c r="B2006" t="inlineStr"/>
      <c r="C2006" t="inlineStr"/>
      <c r="D2006" t="inlineStr"/>
      <c r="E2006">
        <f>HYPERLINK("https://www.uniprot.org/uniprotkb/Q4U3L0/entry", "Q4U3L0")</f>
        <v/>
      </c>
      <c r="F2006" t="n">
        <v>74.09999999999999</v>
      </c>
      <c r="G2006" t="n">
        <v>343</v>
      </c>
      <c r="H2006" t="n">
        <v>3.34e-180</v>
      </c>
      <c r="I2006" t="inlineStr">
        <is>
          <t>Swiss-Prot</t>
        </is>
      </c>
      <c r="J2006" t="inlineStr">
        <is>
          <t>Gapdh</t>
        </is>
      </c>
      <c r="K2006" t="inlineStr">
        <is>
          <t>G3P_GLOMM</t>
        </is>
      </c>
      <c r="L2006" t="inlineStr">
        <is>
          <t>sp|Q4U3L0|G3P_GLOMM Glyceraldehyde-3-phosphate dehydrogenase OS=Glossina morsitans morsitans OX=37546 GN=Gapdh PE=2 SV=1</t>
        </is>
      </c>
      <c r="M2006" t="n">
        <v>333</v>
      </c>
      <c r="N2006" t="inlineStr">
        <is>
          <t>Glossina morsitans morsitans</t>
        </is>
      </c>
      <c r="O2006" t="inlineStr">
        <is>
          <t>Glyceraldehyde-3-phosphate dehydrogenase</t>
        </is>
      </c>
    </row>
    <row r="2007">
      <c r="A2007" t="inlineStr"/>
      <c r="B2007" t="inlineStr"/>
      <c r="C2007" t="inlineStr"/>
      <c r="D2007" t="inlineStr"/>
      <c r="E2007">
        <f>HYPERLINK("https://www.uniprot.org/uniprotkb/K7P5N9/entry", "K7P5N9")</f>
        <v/>
      </c>
      <c r="F2007" t="n">
        <v>90.3</v>
      </c>
      <c r="G2007" t="n">
        <v>113</v>
      </c>
      <c r="H2007" t="n">
        <v>3.3e-66</v>
      </c>
      <c r="I2007" t="inlineStr">
        <is>
          <t>TrEMBL</t>
        </is>
      </c>
      <c r="J2007" t="inlineStr">
        <is>
          <t>gapdh</t>
        </is>
      </c>
      <c r="K2007" t="inlineStr">
        <is>
          <t>K7P5N9_9PIPI</t>
        </is>
      </c>
      <c r="L2007" t="inlineStr">
        <is>
          <t>tr|K7P5N9|K7P5N9_9PIPI Glyceraldehyde-3-phosphate dehydrogenase (Fragment) OS=Pipa carvalhoi OX=191480 GN=gapdh PE=2 SV=1</t>
        </is>
      </c>
      <c r="M2007" t="n">
        <v>182</v>
      </c>
      <c r="N2007" t="inlineStr">
        <is>
          <t>Pipa carvalhoi</t>
        </is>
      </c>
      <c r="O2007" t="inlineStr">
        <is>
          <t>Glyceraldehyde-3-phosphate dehydrogenase (Fragment)</t>
        </is>
      </c>
    </row>
    <row r="2008">
      <c r="A2008" t="inlineStr"/>
      <c r="B2008" t="inlineStr"/>
      <c r="C2008" t="inlineStr"/>
      <c r="D2008" t="inlineStr"/>
      <c r="E2008">
        <f>HYPERLINK("https://www.uniprot.org/uniprotkb/K7P544/entry", "K7P544")</f>
        <v/>
      </c>
      <c r="F2008" t="n">
        <v>90.3</v>
      </c>
      <c r="G2008" t="n">
        <v>113</v>
      </c>
      <c r="H2008" t="n">
        <v>4.69e-66</v>
      </c>
      <c r="I2008" t="inlineStr">
        <is>
          <t>TrEMBL</t>
        </is>
      </c>
      <c r="J2008" t="inlineStr">
        <is>
          <t>gapdh</t>
        </is>
      </c>
      <c r="K2008" t="inlineStr">
        <is>
          <t>K7P544_RHIDO</t>
        </is>
      </c>
      <c r="L2008" t="inlineStr">
        <is>
          <t>tr|K7P544|K7P544_RHIDO Glyceraldehyde-3-phosphate dehydrogenase (Fragment) OS=Rhinophrynus dorsalis OX=43566 GN=gapdh PE=2 SV=1</t>
        </is>
      </c>
      <c r="M2008" t="n">
        <v>182</v>
      </c>
      <c r="N2008" t="inlineStr">
        <is>
          <t>Rhinophrynus dorsalis</t>
        </is>
      </c>
      <c r="O2008" t="inlineStr">
        <is>
          <t>Glyceraldehyde-3-phosphate dehydrogenase (Fragment)</t>
        </is>
      </c>
    </row>
    <row r="2009">
      <c r="A2009" t="inlineStr"/>
      <c r="B2009" t="inlineStr"/>
      <c r="C2009" t="inlineStr"/>
      <c r="D2009" t="inlineStr"/>
      <c r="E2009">
        <f>HYPERLINK("https://www.uniprot.org/uniprotkb/Q5R2J2/entry", "Q5R2J2")</f>
        <v/>
      </c>
      <c r="F2009" t="n">
        <v>90.2</v>
      </c>
      <c r="G2009" t="n">
        <v>112</v>
      </c>
      <c r="H2009" t="n">
        <v>6.87e-66</v>
      </c>
      <c r="I2009" t="inlineStr">
        <is>
          <t>Swiss-Prot</t>
        </is>
      </c>
      <c r="J2009" t="inlineStr">
        <is>
          <t>GAPDH</t>
        </is>
      </c>
      <c r="K2009" t="inlineStr">
        <is>
          <t>G3P_PELSI</t>
        </is>
      </c>
      <c r="L2009" t="inlineStr">
        <is>
          <t>sp|Q5R2J2|G3P_PELSI Glyceraldehyde-3-phosphate dehydrogenase OS=Pelodiscus sinensis OX=13735 GN=GAPDH PE=2 SV=1</t>
        </is>
      </c>
      <c r="M2009" t="n">
        <v>333</v>
      </c>
      <c r="N2009" t="inlineStr">
        <is>
          <t>Pelodiscus sinensis</t>
        </is>
      </c>
      <c r="O2009" t="inlineStr">
        <is>
          <t>Glyceraldehyde-3-phosphate dehydrogenase</t>
        </is>
      </c>
    </row>
    <row r="2010">
      <c r="A2010" t="inlineStr"/>
      <c r="B2010" t="inlineStr"/>
      <c r="C2010" t="inlineStr"/>
      <c r="D2010" t="inlineStr"/>
      <c r="E2010">
        <f>HYPERLINK("https://www.uniprot.org/uniprotkb/P00356/entry", "P00356")</f>
        <v/>
      </c>
      <c r="F2010" t="n">
        <v>90.2</v>
      </c>
      <c r="G2010" t="n">
        <v>112</v>
      </c>
      <c r="H2010" t="n">
        <v>9.730000000000001e-66</v>
      </c>
      <c r="I2010" t="inlineStr">
        <is>
          <t>Swiss-Prot</t>
        </is>
      </c>
      <c r="J2010" t="inlineStr">
        <is>
          <t>GAPDH</t>
        </is>
      </c>
      <c r="K2010" t="inlineStr">
        <is>
          <t>G3P_CHICK</t>
        </is>
      </c>
      <c r="L2010" t="inlineStr">
        <is>
          <t>sp|P00356|G3P_CHICK Glyceraldehyde-3-phosphate dehydrogenase OS=Gallus gallus OX=9031 GN=GAPDH PE=2 SV=3</t>
        </is>
      </c>
      <c r="M2010" t="n">
        <v>333</v>
      </c>
      <c r="N2010" t="inlineStr">
        <is>
          <t>Gallus gallus</t>
        </is>
      </c>
      <c r="O2010" t="inlineStr">
        <is>
          <t>Glyceraldehyde-3-phosphate dehydrogenase</t>
        </is>
      </c>
    </row>
    <row r="2011">
      <c r="A2011" t="inlineStr"/>
      <c r="B2011" t="inlineStr"/>
      <c r="C2011" t="inlineStr"/>
      <c r="D2011" t="inlineStr"/>
      <c r="E2011">
        <f>HYPERLINK("https://www.uniprot.org/uniprotkb/O57672/entry", "O57672")</f>
        <v/>
      </c>
      <c r="F2011" t="n">
        <v>88.40000000000001</v>
      </c>
      <c r="G2011" t="n">
        <v>112</v>
      </c>
      <c r="H2011" t="n">
        <v>2.4e-65</v>
      </c>
      <c r="I2011" t="inlineStr">
        <is>
          <t>Swiss-Prot</t>
        </is>
      </c>
      <c r="J2011" t="inlineStr">
        <is>
          <t>GAPDH</t>
        </is>
      </c>
      <c r="K2011" t="inlineStr">
        <is>
          <t>G3P_MELGA</t>
        </is>
      </c>
      <c r="L2011" t="inlineStr">
        <is>
          <t>sp|O57672|G3P_MELGA Glyceraldehyde-3-phosphate dehydrogenase (Fragment) OS=Meleagris gallopavo OX=9103 GN=GAPDH PE=2 SV=1</t>
        </is>
      </c>
      <c r="M2011" t="n">
        <v>234</v>
      </c>
      <c r="N2011" t="inlineStr">
        <is>
          <t>Meleagris gallopavo</t>
        </is>
      </c>
      <c r="O2011" t="inlineStr">
        <is>
          <t>Glyceraldehyde-3-phosphate dehydrogenase (Fragment)</t>
        </is>
      </c>
    </row>
    <row r="2012">
      <c r="A2012" t="inlineStr"/>
      <c r="B2012" t="inlineStr"/>
      <c r="C2012" t="inlineStr"/>
      <c r="D2012" t="inlineStr"/>
      <c r="E2012">
        <f>HYPERLINK("https://www.uniprot.org/uniprotkb/K7P5A5/entry", "K7P5A5")</f>
        <v/>
      </c>
      <c r="F2012" t="n">
        <v>90.3</v>
      </c>
      <c r="G2012" t="n">
        <v>113</v>
      </c>
      <c r="H2012" t="n">
        <v>2.71e-65</v>
      </c>
      <c r="I2012" t="inlineStr">
        <is>
          <t>TrEMBL</t>
        </is>
      </c>
      <c r="J2012" t="inlineStr">
        <is>
          <t>gapdh</t>
        </is>
      </c>
      <c r="K2012" t="inlineStr">
        <is>
          <t>K7P5A5_9PIPI</t>
        </is>
      </c>
      <c r="L2012" t="inlineStr">
        <is>
          <t>tr|K7P5A5|K7P5A5_9PIPI Glyceraldehyde-3-phosphate dehydrogenase (Fragment) OS=Hymenochirus curtipes OX=8362 GN=gapdh PE=2 SV=1</t>
        </is>
      </c>
      <c r="M2012" t="n">
        <v>182</v>
      </c>
      <c r="N2012" t="inlineStr">
        <is>
          <t>Hymenochirus curtipes</t>
        </is>
      </c>
      <c r="O2012" t="inlineStr">
        <is>
          <t>Glyceraldehyde-3-phosphate dehydrogenase (Fragment)</t>
        </is>
      </c>
    </row>
    <row r="2013">
      <c r="A2013" t="inlineStr"/>
      <c r="B2013" t="inlineStr"/>
      <c r="C2013" t="inlineStr"/>
      <c r="D2013" t="inlineStr"/>
      <c r="E2013">
        <f>HYPERLINK("https://www.uniprot.org/uniprotkb/Q05025/entry", "Q05025")</f>
        <v/>
      </c>
      <c r="F2013" t="n">
        <v>89.3</v>
      </c>
      <c r="G2013" t="n">
        <v>112</v>
      </c>
      <c r="H2013" t="n">
        <v>3.91e-65</v>
      </c>
      <c r="I2013" t="inlineStr">
        <is>
          <t>Swiss-Prot</t>
        </is>
      </c>
      <c r="J2013" t="inlineStr">
        <is>
          <t>GAPDH</t>
        </is>
      </c>
      <c r="K2013" t="inlineStr">
        <is>
          <t>G3P_COTJA</t>
        </is>
      </c>
      <c r="L2013" t="inlineStr">
        <is>
          <t>sp|Q05025|G3P_COTJA Glyceraldehyde-3-phosphate dehydrogenase OS=Coturnix japonica OX=93934 GN=GAPDH PE=2 SV=2</t>
        </is>
      </c>
      <c r="M2013" t="n">
        <v>333</v>
      </c>
      <c r="N2013" t="inlineStr">
        <is>
          <t>Coturnix japonica</t>
        </is>
      </c>
      <c r="O2013" t="inlineStr">
        <is>
          <t>Glyceraldehyde-3-phosphate dehydrogenase</t>
        </is>
      </c>
    </row>
    <row r="2014">
      <c r="A2014" t="inlineStr"/>
      <c r="B2014" t="inlineStr"/>
      <c r="C2014" t="inlineStr"/>
      <c r="D2014" t="inlineStr"/>
      <c r="E2014">
        <f>HYPERLINK("https://www.uniprot.org/uniprotkb/G5DY26/entry", "G5DY26")</f>
        <v/>
      </c>
      <c r="F2014" t="n">
        <v>90.3</v>
      </c>
      <c r="G2014" t="n">
        <v>113</v>
      </c>
      <c r="H2014" t="n">
        <v>4.84e-65</v>
      </c>
      <c r="I2014" t="inlineStr">
        <is>
          <t>TrEMBL</t>
        </is>
      </c>
      <c r="J2014" t="inlineStr"/>
      <c r="K2014" t="inlineStr">
        <is>
          <t>G5DY26_9PIPI</t>
        </is>
      </c>
      <c r="L2014" t="inlineStr">
        <is>
          <t>tr|G5DY26|G5DY26_9PIPI Putative glyceraldehyde-3-phosphate dehydrogenase (Fragment) OS=Pipa carvalhoi OX=191480 PE=2 SV=1</t>
        </is>
      </c>
      <c r="M2014" t="n">
        <v>267</v>
      </c>
      <c r="N2014" t="inlineStr">
        <is>
          <t>Pipa carvalhoi</t>
        </is>
      </c>
      <c r="O2014" t="inlineStr">
        <is>
          <t>Putative glyceraldehyde-3-phosphate dehydrogenase (Fragment)</t>
        </is>
      </c>
    </row>
    <row r="2015">
      <c r="A2015" t="inlineStr"/>
      <c r="B2015" t="inlineStr"/>
      <c r="C2015" t="inlineStr"/>
      <c r="D2015" t="inlineStr"/>
      <c r="E2015">
        <f>HYPERLINK("https://www.uniprot.org/uniprotkb/P51469/entry", "P51469")</f>
        <v/>
      </c>
      <c r="F2015" t="n">
        <v>86.7</v>
      </c>
      <c r="G2015" t="n">
        <v>113</v>
      </c>
      <c r="H2015" t="n">
        <v>5.53e-65</v>
      </c>
      <c r="I2015" t="inlineStr">
        <is>
          <t>Swiss-Prot</t>
        </is>
      </c>
      <c r="J2015" t="inlineStr">
        <is>
          <t>gapdh</t>
        </is>
      </c>
      <c r="K2015" t="inlineStr">
        <is>
          <t>G3P_XENLA</t>
        </is>
      </c>
      <c r="L2015" t="inlineStr">
        <is>
          <t>sp|P51469|G3P_XENLA Glyceraldehyde-3-phosphate dehydrogenase OS=Xenopus laevis OX=8355 GN=gapdh PE=2 SV=2</t>
        </is>
      </c>
      <c r="M2015" t="n">
        <v>333</v>
      </c>
      <c r="N2015" t="inlineStr">
        <is>
          <t>Xenopus laevis</t>
        </is>
      </c>
      <c r="O2015" t="inlineStr">
        <is>
          <t>Glyceraldehyde-3-phosphate dehydrogenase</t>
        </is>
      </c>
    </row>
    <row r="2016">
      <c r="A2016" t="inlineStr"/>
      <c r="B2016" t="inlineStr"/>
      <c r="C2016" t="inlineStr"/>
      <c r="D2016" t="inlineStr"/>
      <c r="E2016">
        <f>HYPERLINK("https://www.uniprot.org/uniprotkb/O57479/entry", "O57479")</f>
        <v/>
      </c>
      <c r="F2016" t="n">
        <v>89.3</v>
      </c>
      <c r="G2016" t="n">
        <v>112</v>
      </c>
      <c r="H2016" t="n">
        <v>7.829999999999999e-65</v>
      </c>
      <c r="I2016" t="inlineStr">
        <is>
          <t>Swiss-Prot</t>
        </is>
      </c>
      <c r="J2016" t="inlineStr">
        <is>
          <t>GAPDH</t>
        </is>
      </c>
      <c r="K2016" t="inlineStr">
        <is>
          <t>G3P_COLLI</t>
        </is>
      </c>
      <c r="L2016" t="inlineStr">
        <is>
          <t>sp|O57479|G3P_COLLI Glyceraldehyde-3-phosphate dehydrogenase OS=Columba livia OX=8932 GN=GAPDH PE=2 SV=3</t>
        </is>
      </c>
      <c r="M2016" t="n">
        <v>333</v>
      </c>
      <c r="N2016" t="inlineStr">
        <is>
          <t>Columba livia</t>
        </is>
      </c>
      <c r="O2016" t="inlineStr">
        <is>
          <t>Glyceraldehyde-3-phosphate dehydrogenase</t>
        </is>
      </c>
    </row>
    <row r="2017">
      <c r="A2017" t="inlineStr"/>
      <c r="B2017" t="inlineStr"/>
      <c r="C2017" t="inlineStr"/>
      <c r="D2017" t="inlineStr"/>
      <c r="E2017">
        <f>HYPERLINK("https://www.uniprot.org/uniprotkb/A0A498NN13/entry", "A0A498NN13")</f>
        <v/>
      </c>
      <c r="F2017" t="n">
        <v>91.09999999999999</v>
      </c>
      <c r="G2017" t="n">
        <v>112</v>
      </c>
      <c r="H2017" t="n">
        <v>8.04e-65</v>
      </c>
      <c r="I2017" t="inlineStr">
        <is>
          <t>TrEMBL</t>
        </is>
      </c>
      <c r="J2017" t="inlineStr">
        <is>
          <t>ROHU_015632</t>
        </is>
      </c>
      <c r="K2017" t="inlineStr">
        <is>
          <t>A0A498NN13_LABRO</t>
        </is>
      </c>
      <c r="L2017" t="inlineStr">
        <is>
          <t>tr|A0A498NN13|A0A498NN13_LABRO Glyceraldehyde-3-phosphate dehydrogenase OS=Labeo rohita OX=84645 GN=ROHU_015632 PE=3 SV=1</t>
        </is>
      </c>
      <c r="M2017" t="n">
        <v>194</v>
      </c>
      <c r="N2017" t="inlineStr">
        <is>
          <t>Labeo rohita</t>
        </is>
      </c>
      <c r="O2017" t="inlineStr">
        <is>
          <t>Glyceraldehyde-3-phosphate dehydrogenase</t>
        </is>
      </c>
    </row>
    <row r="2018">
      <c r="A2018" t="inlineStr"/>
      <c r="B2018" t="inlineStr"/>
      <c r="C2018" t="inlineStr"/>
      <c r="D2018" t="inlineStr"/>
      <c r="E2018">
        <f>HYPERLINK("https://www.uniprot.org/uniprotkb/A0A872TLY1/entry", "A0A872TLY1")</f>
        <v/>
      </c>
      <c r="F2018" t="n">
        <v>90.3</v>
      </c>
      <c r="G2018" t="n">
        <v>113</v>
      </c>
      <c r="H2018" t="n">
        <v>1.29e-64</v>
      </c>
      <c r="I2018" t="inlineStr">
        <is>
          <t>TrEMBL</t>
        </is>
      </c>
      <c r="J2018" t="inlineStr">
        <is>
          <t>gapdh</t>
        </is>
      </c>
      <c r="K2018" t="inlineStr">
        <is>
          <t>A0A872TLY1_9ACTI</t>
        </is>
      </c>
      <c r="L2018" t="inlineStr">
        <is>
          <t>tr|A0A872TLY1|A0A872TLY1_9ACTI Glyceraldehyde 3-phosphate dehydrogenase (Fragment) OS=Lepisosteus platyrhincus OX=27777 GN=gapdh PE=2 SV=1</t>
        </is>
      </c>
      <c r="M2018" t="n">
        <v>242</v>
      </c>
      <c r="N2018" t="inlineStr">
        <is>
          <t>Lepisosteus platyrhincus</t>
        </is>
      </c>
      <c r="O2018" t="inlineStr">
        <is>
          <t>Glyceraldehyde 3-phosphate dehydrogenase (Fragment)</t>
        </is>
      </c>
    </row>
    <row r="2019">
      <c r="A2019" t="inlineStr"/>
      <c r="B2019" t="inlineStr"/>
      <c r="C2019" t="inlineStr"/>
      <c r="D2019" t="inlineStr"/>
      <c r="E2019">
        <f>HYPERLINK("https://www.uniprot.org/uniprotkb/Q9I8L1/entry", "Q9I8L1")</f>
        <v/>
      </c>
      <c r="F2019" t="n">
        <v>89.3</v>
      </c>
      <c r="G2019" t="n">
        <v>112</v>
      </c>
      <c r="H2019" t="n">
        <v>1.44e-64</v>
      </c>
      <c r="I2019" t="inlineStr">
        <is>
          <t>TrEMBL</t>
        </is>
      </c>
      <c r="J2019" t="inlineStr"/>
      <c r="K2019" t="inlineStr">
        <is>
          <t>Q9I8L1_TAEGU</t>
        </is>
      </c>
      <c r="L2019" t="inlineStr">
        <is>
          <t>tr|Q9I8L1|Q9I8L1_TAEGU Glyceraldehyde-3-phosphate dehydrogenase (Fragment) OS=Taeniopygia guttata OX=59729 PE=2 SV=1</t>
        </is>
      </c>
      <c r="M2019" t="n">
        <v>158</v>
      </c>
      <c r="N2019" t="inlineStr">
        <is>
          <t>Taeniopygia guttata</t>
        </is>
      </c>
      <c r="O2019" t="inlineStr">
        <is>
          <t>Glyceraldehyde-3-phosphate dehydrogenase (Fragment)</t>
        </is>
      </c>
    </row>
    <row r="2020">
      <c r="A2020" t="inlineStr"/>
      <c r="B2020" t="inlineStr"/>
      <c r="C2020" t="inlineStr"/>
      <c r="D2020" t="inlineStr"/>
      <c r="E2020">
        <f>HYPERLINK("https://www.uniprot.org/uniprotkb/A0A286S0E5/entry", "A0A286S0E5")</f>
        <v/>
      </c>
      <c r="F2020" t="n">
        <v>92</v>
      </c>
      <c r="G2020" t="n">
        <v>112</v>
      </c>
      <c r="H2020" t="n">
        <v>1.67e-64</v>
      </c>
      <c r="I2020" t="inlineStr">
        <is>
          <t>TrEMBL</t>
        </is>
      </c>
      <c r="J2020" t="inlineStr">
        <is>
          <t>GAPDH</t>
        </is>
      </c>
      <c r="K2020" t="inlineStr">
        <is>
          <t>A0A286S0E5_GLOIT</t>
        </is>
      </c>
      <c r="L2020" t="inlineStr">
        <is>
          <t>tr|A0A286S0E5|A0A286S0E5_GLOIT Glyceraldehyde-3-phosphate dehydrogenase OS=Gloydius intermedius OX=44732 GN=GAPDH PE=2 SV=1</t>
        </is>
      </c>
      <c r="M2020" t="n">
        <v>333</v>
      </c>
      <c r="N2020" t="inlineStr">
        <is>
          <t>Gloydius intermedius</t>
        </is>
      </c>
      <c r="O2020" t="inlineStr">
        <is>
          <t>Glyceraldehyde-3-phosphate dehydrogenase</t>
        </is>
      </c>
    </row>
    <row r="2021">
      <c r="A2021" t="inlineStr"/>
      <c r="B2021" t="inlineStr"/>
      <c r="C2021" t="inlineStr"/>
      <c r="D2021" t="inlineStr"/>
      <c r="E2021">
        <f>HYPERLINK("https://www.ncbi.nlm.nih.gov/gene/?term=XP_041038341.1", "XP_041038341.1")</f>
        <v/>
      </c>
      <c r="F2021" t="n">
        <v>90.3</v>
      </c>
      <c r="G2021" t="n">
        <v>113</v>
      </c>
      <c r="H2021" t="n">
        <v>1.75e-64</v>
      </c>
      <c r="I2021" t="inlineStr">
        <is>
          <t>Nr</t>
        </is>
      </c>
      <c r="J2021" t="inlineStr"/>
      <c r="K2021" t="inlineStr"/>
      <c r="L2021" t="inlineStr">
        <is>
          <t>XP_041038341.1 glyceraldehyde-3-phosphate dehydrogenase [Carcharodon carcharias]</t>
        </is>
      </c>
      <c r="M2021" t="n">
        <v>290</v>
      </c>
      <c r="N2021" t="inlineStr">
        <is>
          <t>Carcharodon carcharias</t>
        </is>
      </c>
      <c r="O2021" t="inlineStr">
        <is>
          <t>glyceraldehyde-3-phosphate dehydrogenase</t>
        </is>
      </c>
    </row>
    <row r="2022">
      <c r="A2022" t="inlineStr"/>
      <c r="B2022" t="inlineStr"/>
      <c r="C2022" t="inlineStr"/>
      <c r="D2022" t="inlineStr"/>
      <c r="E2022">
        <f>HYPERLINK("https://www.uniprot.org/uniprotkb/P70685/entry", "P70685")</f>
        <v/>
      </c>
      <c r="F2022" t="n">
        <v>87.2</v>
      </c>
      <c r="G2022" t="n">
        <v>109</v>
      </c>
      <c r="H2022" t="n">
        <v>1.87e-64</v>
      </c>
      <c r="I2022" t="inlineStr">
        <is>
          <t>Swiss-Prot</t>
        </is>
      </c>
      <c r="J2022" t="inlineStr">
        <is>
          <t>GAPDH</t>
        </is>
      </c>
      <c r="K2022" t="inlineStr">
        <is>
          <t>G3P_CAVPO</t>
        </is>
      </c>
      <c r="L2022" t="inlineStr">
        <is>
          <t>sp|P70685|G3P_CAVPO Glyceraldehyde-3-phosphate dehydrogenase (Fragment) OS=Cavia porcellus OX=10141 GN=GAPDH PE=2 SV=2</t>
        </is>
      </c>
      <c r="M2022" t="n">
        <v>123</v>
      </c>
      <c r="N2022" t="inlineStr">
        <is>
          <t>Cavia porcellus</t>
        </is>
      </c>
      <c r="O2022" t="inlineStr">
        <is>
          <t>Glyceraldehyde-3-phosphate dehydrogenase (Fragment)</t>
        </is>
      </c>
    </row>
    <row r="2023">
      <c r="A2023" t="inlineStr"/>
      <c r="B2023" t="inlineStr"/>
      <c r="C2023" t="inlineStr"/>
      <c r="D2023" t="inlineStr"/>
      <c r="E2023">
        <f>HYPERLINK("https://www.ncbi.nlm.nih.gov/gene/?term=RXN33382.1", "RXN33382.1")</f>
        <v/>
      </c>
      <c r="F2023" t="n">
        <v>91.09999999999999</v>
      </c>
      <c r="G2023" t="n">
        <v>112</v>
      </c>
      <c r="H2023" t="n">
        <v>2.06e-64</v>
      </c>
      <c r="I2023" t="inlineStr">
        <is>
          <t>Nr</t>
        </is>
      </c>
      <c r="J2023" t="inlineStr"/>
      <c r="K2023" t="inlineStr"/>
      <c r="L2023" t="inlineStr">
        <is>
          <t>RXN33382.1 glyceraldehyde-3-phosphate dehydrogenase [Labeo rohita]</t>
        </is>
      </c>
      <c r="M2023" t="n">
        <v>194</v>
      </c>
      <c r="N2023" t="inlineStr">
        <is>
          <t>Labeo rohita</t>
        </is>
      </c>
      <c r="O2023" t="inlineStr">
        <is>
          <t>glyceraldehyde-3-phosphate dehydrogenase</t>
        </is>
      </c>
    </row>
    <row r="2024">
      <c r="A2024" t="inlineStr"/>
      <c r="B2024" t="inlineStr"/>
      <c r="C2024" t="inlineStr"/>
      <c r="D2024" t="inlineStr"/>
      <c r="E2024">
        <f>HYPERLINK("https://www.uniprot.org/uniprotkb/Q5XJ10/entry", "Q5XJ10")</f>
        <v/>
      </c>
      <c r="F2024" t="n">
        <v>90.2</v>
      </c>
      <c r="G2024" t="n">
        <v>112</v>
      </c>
      <c r="H2024" t="n">
        <v>2.22e-64</v>
      </c>
      <c r="I2024" t="inlineStr">
        <is>
          <t>Swiss-Prot</t>
        </is>
      </c>
      <c r="J2024" t="inlineStr">
        <is>
          <t>gapdh</t>
        </is>
      </c>
      <c r="K2024" t="inlineStr">
        <is>
          <t>G3P_DANRE</t>
        </is>
      </c>
      <c r="L2024" t="inlineStr">
        <is>
          <t>sp|Q5XJ10|G3P_DANRE Glyceraldehyde-3-phosphate dehydrogenase OS=Danio rerio OX=7955 GN=gapdh PE=2 SV=2</t>
        </is>
      </c>
      <c r="M2024" t="n">
        <v>333</v>
      </c>
      <c r="N2024" t="inlineStr">
        <is>
          <t>Danio rerio</t>
        </is>
      </c>
      <c r="O2024" t="inlineStr">
        <is>
          <t>Glyceraldehyde-3-phosphate dehydrogenase</t>
        </is>
      </c>
    </row>
    <row r="2025">
      <c r="A2025" t="inlineStr"/>
      <c r="B2025" t="inlineStr"/>
      <c r="C2025" t="inlineStr"/>
      <c r="D2025" t="inlineStr"/>
      <c r="E2025">
        <f>HYPERLINK("https://www.uniprot.org/uniprotkb/A0A7K6B9H5/entry", "A0A7K6B9H5")</f>
        <v/>
      </c>
      <c r="F2025" t="n">
        <v>92</v>
      </c>
      <c r="G2025" t="n">
        <v>112</v>
      </c>
      <c r="H2025" t="n">
        <v>2.67e-64</v>
      </c>
      <c r="I2025" t="inlineStr">
        <is>
          <t>TrEMBL</t>
        </is>
      </c>
      <c r="J2025" t="inlineStr">
        <is>
          <t>Gapdh</t>
        </is>
      </c>
      <c r="K2025" t="inlineStr">
        <is>
          <t>A0A7K6B9H5_UPUEP</t>
        </is>
      </c>
      <c r="L2025" t="inlineStr">
        <is>
          <t>tr|A0A7K6B9H5|A0A7K6B9H5_UPUEP Glyceraldehyde-3-phosphate dehydrogenase (Fragment) OS=Upupa epops OX=57439 GN=Gapdh PE=3 SV=1</t>
        </is>
      </c>
      <c r="M2025" t="n">
        <v>325</v>
      </c>
      <c r="N2025" t="inlineStr">
        <is>
          <t>Upupa epops</t>
        </is>
      </c>
      <c r="O2025" t="inlineStr">
        <is>
          <t>Glyceraldehyde-3-phosphate dehydrogenase (Fragment)</t>
        </is>
      </c>
    </row>
    <row r="2026">
      <c r="A2026" t="inlineStr"/>
      <c r="B2026" t="inlineStr"/>
      <c r="C2026" t="inlineStr"/>
      <c r="D2026" t="inlineStr"/>
      <c r="E2026">
        <f>HYPERLINK("https://www.uniprot.org/uniprotkb/Q28554/entry", "Q28554")</f>
        <v/>
      </c>
      <c r="F2026" t="n">
        <v>88.40000000000001</v>
      </c>
      <c r="G2026" t="n">
        <v>112</v>
      </c>
      <c r="H2026" t="n">
        <v>3.27e-64</v>
      </c>
      <c r="I2026" t="inlineStr">
        <is>
          <t>Swiss-Prot</t>
        </is>
      </c>
      <c r="J2026" t="inlineStr">
        <is>
          <t>GAPDH</t>
        </is>
      </c>
      <c r="K2026" t="inlineStr">
        <is>
          <t>G3P_SHEEP</t>
        </is>
      </c>
      <c r="L2026" t="inlineStr">
        <is>
          <t>sp|Q28554|G3P_SHEEP Glyceraldehyde-3-phosphate dehydrogenase (Fragment) OS=Ovis aries OX=9940 GN=GAPDH PE=2 SV=4</t>
        </is>
      </c>
      <c r="M2026" t="n">
        <v>322</v>
      </c>
      <c r="N2026" t="inlineStr">
        <is>
          <t>Ovis aries</t>
        </is>
      </c>
      <c r="O2026" t="inlineStr">
        <is>
          <t>Glyceraldehyde-3-phosphate dehydrogenase (Fragment)</t>
        </is>
      </c>
    </row>
    <row r="2027">
      <c r="A2027" t="inlineStr"/>
      <c r="B2027" t="inlineStr"/>
      <c r="C2027" t="inlineStr"/>
      <c r="D2027" t="inlineStr"/>
      <c r="E2027">
        <f>HYPERLINK("https://www.ncbi.nlm.nih.gov/gene/?term=QOX59215.1", "QOX59215.1")</f>
        <v/>
      </c>
      <c r="F2027" t="n">
        <v>90.3</v>
      </c>
      <c r="G2027" t="n">
        <v>113</v>
      </c>
      <c r="H2027" t="n">
        <v>3.3e-64</v>
      </c>
      <c r="I2027" t="inlineStr">
        <is>
          <t>Nr</t>
        </is>
      </c>
      <c r="J2027" t="inlineStr"/>
      <c r="K2027" t="inlineStr"/>
      <c r="L2027" t="inlineStr">
        <is>
          <t>QOX59215.1 glyceraldehyde 3-phosphate dehydrogenase, partial [Lepisosteus platyrhincus]</t>
        </is>
      </c>
      <c r="M2027" t="n">
        <v>242</v>
      </c>
      <c r="N2027" t="inlineStr">
        <is>
          <t>Lepisosteus platyrhincus</t>
        </is>
      </c>
      <c r="O2027" t="inlineStr">
        <is>
          <t>glyceraldehyde 3-phosphate dehydrogenase, partial</t>
        </is>
      </c>
    </row>
    <row r="2028">
      <c r="A2028" t="inlineStr"/>
      <c r="B2028" t="inlineStr"/>
      <c r="C2028" t="inlineStr"/>
      <c r="D2028" t="inlineStr"/>
      <c r="E2028">
        <f>HYPERLINK("https://www.uniprot.org/uniprotkb/T1E6G6/entry", "T1E6G6")</f>
        <v/>
      </c>
      <c r="F2028" t="n">
        <v>92</v>
      </c>
      <c r="G2028" t="n">
        <v>112</v>
      </c>
      <c r="H2028" t="n">
        <v>3.35e-64</v>
      </c>
      <c r="I2028" t="inlineStr">
        <is>
          <t>TrEMBL</t>
        </is>
      </c>
      <c r="J2028" t="inlineStr"/>
      <c r="K2028" t="inlineStr">
        <is>
          <t>T1E6G6_CROHD</t>
        </is>
      </c>
      <c r="L2028" t="inlineStr">
        <is>
          <t>tr|T1E6G6|T1E6G6_CROHD Glyceraldehyde-3-phosphate dehydrogenase OS=Crotalus horridus OX=35024 PE=2 SV=1</t>
        </is>
      </c>
      <c r="M2028" t="n">
        <v>333</v>
      </c>
      <c r="N2028" t="inlineStr">
        <is>
          <t>Crotalus horridus</t>
        </is>
      </c>
      <c r="O2028" t="inlineStr">
        <is>
          <t>Glyceraldehyde-3-phosphate dehydrogenase</t>
        </is>
      </c>
    </row>
    <row r="2029">
      <c r="A2029" t="inlineStr"/>
      <c r="B2029" t="inlineStr"/>
      <c r="C2029" t="inlineStr"/>
      <c r="D2029" t="inlineStr"/>
      <c r="E2029">
        <f>HYPERLINK("https://www.ncbi.nlm.nih.gov/gene/?term=AAF78051.1", "AAF78051.1")</f>
        <v/>
      </c>
      <c r="F2029" t="n">
        <v>89.3</v>
      </c>
      <c r="G2029" t="n">
        <v>112</v>
      </c>
      <c r="H2029" t="n">
        <v>3.71e-64</v>
      </c>
      <c r="I2029" t="inlineStr">
        <is>
          <t>Nr</t>
        </is>
      </c>
      <c r="J2029" t="inlineStr"/>
      <c r="K2029" t="inlineStr"/>
      <c r="L2029" t="inlineStr">
        <is>
          <t>AAF78051.1 glyceraldehyde-3-phosphate dehydrogenase, partial [Taeniopygia guttata]</t>
        </is>
      </c>
      <c r="M2029" t="n">
        <v>158</v>
      </c>
      <c r="N2029" t="inlineStr">
        <is>
          <t>Taeniopygia guttata</t>
        </is>
      </c>
      <c r="O2029" t="inlineStr">
        <is>
          <t>glyceraldehyde-3-phosphate dehydrogenase, partial</t>
        </is>
      </c>
    </row>
    <row r="2030">
      <c r="A2030" t="inlineStr"/>
      <c r="B2030" t="inlineStr"/>
      <c r="C2030" t="inlineStr"/>
      <c r="D2030" t="inlineStr"/>
      <c r="E2030">
        <f>HYPERLINK("https://www.uniprot.org/uniprotkb/A0A8J4N387/entry", "A0A8J4N387")</f>
        <v/>
      </c>
      <c r="F2030" t="n">
        <v>89.3</v>
      </c>
      <c r="G2030" t="n">
        <v>112</v>
      </c>
      <c r="H2030" t="n">
        <v>3.82e-64</v>
      </c>
      <c r="I2030" t="inlineStr">
        <is>
          <t>TrEMBL</t>
        </is>
      </c>
      <c r="J2030" t="inlineStr">
        <is>
          <t>GAPDH_0</t>
        </is>
      </c>
      <c r="K2030" t="inlineStr">
        <is>
          <t>A0A8J4N387_EUDMI</t>
        </is>
      </c>
      <c r="L2030" t="inlineStr">
        <is>
          <t>tr|A0A8J4N387|A0A8J4N387_EUDMI Glyceraldehyde-3-phosphate dehydrogenase (Fragment) OS=Eudyptula minor OX=37083 GN=GAPDH_0 PE=3 SV=1</t>
        </is>
      </c>
      <c r="M2030" t="n">
        <v>188</v>
      </c>
      <c r="N2030" t="inlineStr">
        <is>
          <t>Eudyptula minor</t>
        </is>
      </c>
      <c r="O2030" t="inlineStr">
        <is>
          <t>Glyceraldehyde-3-phosphate dehydrogenase (Fragment)</t>
        </is>
      </c>
    </row>
    <row r="2031">
      <c r="A2031" t="inlineStr"/>
      <c r="B2031" t="inlineStr"/>
      <c r="C2031" t="inlineStr"/>
      <c r="D2031" t="inlineStr"/>
      <c r="E2031">
        <f>HYPERLINK("https://www.ncbi.nlm.nih.gov/gene/?term=MBN3274511.1", "MBN3274511.1")</f>
        <v/>
      </c>
      <c r="F2031" t="n">
        <v>90.3</v>
      </c>
      <c r="G2031" t="n">
        <v>113</v>
      </c>
      <c r="H2031" t="n">
        <v>4.000000000000001e-64</v>
      </c>
      <c r="I2031" t="inlineStr">
        <is>
          <t>Nr</t>
        </is>
      </c>
      <c r="J2031" t="inlineStr"/>
      <c r="K2031" t="inlineStr"/>
      <c r="L2031" t="inlineStr">
        <is>
          <t>MBN3274511.1 G3P dehydrogenase [Polyodon spathula]</t>
        </is>
      </c>
      <c r="M2031" t="n">
        <v>271</v>
      </c>
      <c r="N2031" t="inlineStr">
        <is>
          <t>Polyodon spathula</t>
        </is>
      </c>
      <c r="O2031" t="inlineStr">
        <is>
          <t>G3P dehydrogenase</t>
        </is>
      </c>
    </row>
    <row r="2032">
      <c r="A2032" t="inlineStr"/>
      <c r="B2032" t="inlineStr"/>
      <c r="C2032" t="inlineStr"/>
      <c r="D2032" t="inlineStr"/>
      <c r="E2032">
        <f>HYPERLINK("https://www.ncbi.nlm.nih.gov/gene/?term=ASX97884.1", "ASX97884.1")</f>
        <v/>
      </c>
      <c r="F2032" t="n">
        <v>92</v>
      </c>
      <c r="G2032" t="n">
        <v>112</v>
      </c>
      <c r="H2032" t="n">
        <v>4.3e-64</v>
      </c>
      <c r="I2032" t="inlineStr">
        <is>
          <t>Nr</t>
        </is>
      </c>
      <c r="J2032" t="inlineStr"/>
      <c r="K2032" t="inlineStr"/>
      <c r="L2032" t="inlineStr">
        <is>
          <t>ASX97884.1 glyceraldehyde-3-phosphate dehydrogenase [Gloydius intermedius]</t>
        </is>
      </c>
      <c r="M2032" t="n">
        <v>333</v>
      </c>
      <c r="N2032" t="inlineStr">
        <is>
          <t>Gloydius intermedius</t>
        </is>
      </c>
      <c r="O2032" t="inlineStr">
        <is>
          <t>glyceraldehyde-3-phosphate dehydrogenase</t>
        </is>
      </c>
    </row>
    <row r="2033">
      <c r="A2033" t="inlineStr"/>
      <c r="B2033" t="inlineStr"/>
      <c r="C2033" t="inlineStr"/>
      <c r="D2033" t="inlineStr"/>
      <c r="E2033">
        <f>HYPERLINK("https://www.uniprot.org/uniprotkb/P10096/entry", "P10096")</f>
        <v/>
      </c>
      <c r="F2033" t="n">
        <v>88.40000000000001</v>
      </c>
      <c r="G2033" t="n">
        <v>112</v>
      </c>
      <c r="H2033" t="n">
        <v>4.45e-64</v>
      </c>
      <c r="I2033" t="inlineStr">
        <is>
          <t>Swiss-Prot</t>
        </is>
      </c>
      <c r="J2033" t="inlineStr">
        <is>
          <t>GAPDH</t>
        </is>
      </c>
      <c r="K2033" t="inlineStr">
        <is>
          <t>G3P_BOVIN</t>
        </is>
      </c>
      <c r="L2033" t="inlineStr">
        <is>
          <t>sp|P10096|G3P_BOVIN Glyceraldehyde-3-phosphate dehydrogenase OS=Bos taurus OX=9913 GN=GAPDH PE=1 SV=4</t>
        </is>
      </c>
      <c r="M2033" t="n">
        <v>333</v>
      </c>
      <c r="N2033" t="inlineStr">
        <is>
          <t>Bos taurus</t>
        </is>
      </c>
      <c r="O2033" t="inlineStr">
        <is>
          <t>Glyceraldehyde-3-phosphate dehydrogenase</t>
        </is>
      </c>
    </row>
    <row r="2034">
      <c r="A2034" t="inlineStr"/>
      <c r="B2034" t="inlineStr"/>
      <c r="C2034" t="inlineStr"/>
      <c r="D2034" t="inlineStr"/>
      <c r="E2034">
        <f>HYPERLINK("https://www.uniprot.org/uniprotkb/A0A6B2F176/entry", "A0A6B2F176")</f>
        <v/>
      </c>
      <c r="F2034" t="n">
        <v>91.09999999999999</v>
      </c>
      <c r="G2034" t="n">
        <v>112</v>
      </c>
      <c r="H2034" t="n">
        <v>4.75e-64</v>
      </c>
      <c r="I2034" t="inlineStr">
        <is>
          <t>TrEMBL</t>
        </is>
      </c>
      <c r="J2034" t="inlineStr"/>
      <c r="K2034" t="inlineStr">
        <is>
          <t>A0A6B2F176_BOTNI</t>
        </is>
      </c>
      <c r="L2034" t="inlineStr">
        <is>
          <t>tr|A0A6B2F176|A0A6B2F176_BOTNI Glyceraldehyde-3-phosphate dehydrogenase OS=Bothriechis nigroviridis OX=88079 PE=3 SV=1</t>
        </is>
      </c>
      <c r="M2034" t="n">
        <v>333</v>
      </c>
      <c r="N2034" t="inlineStr">
        <is>
          <t>Bothriechis nigroviridis</t>
        </is>
      </c>
      <c r="O2034" t="inlineStr">
        <is>
          <t>Glyceraldehyde-3-phosphate dehydrogenase</t>
        </is>
      </c>
    </row>
    <row r="2035">
      <c r="A2035" t="inlineStr"/>
      <c r="B2035" t="inlineStr"/>
      <c r="C2035" t="inlineStr"/>
      <c r="D2035" t="inlineStr"/>
      <c r="E2035">
        <f>HYPERLINK("https://www.uniprot.org/uniprotkb/A0A6B2F655/entry", "A0A6B2F655")</f>
        <v/>
      </c>
      <c r="F2035" t="n">
        <v>91.09999999999999</v>
      </c>
      <c r="G2035" t="n">
        <v>112</v>
      </c>
      <c r="H2035" t="n">
        <v>4.75e-64</v>
      </c>
      <c r="I2035" t="inlineStr">
        <is>
          <t>TrEMBL</t>
        </is>
      </c>
      <c r="J2035" t="inlineStr"/>
      <c r="K2035" t="inlineStr">
        <is>
          <t>A0A6B2F655_9SAUR</t>
        </is>
      </c>
      <c r="L2035" t="inlineStr">
        <is>
          <t>tr|A0A6B2F655|A0A6B2F655_9SAUR Glyceraldehyde-3-phosphate dehydrogenase OS=Bothriechis nubestris OX=1766655 PE=3 SV=1</t>
        </is>
      </c>
      <c r="M2035" t="n">
        <v>333</v>
      </c>
      <c r="N2035" t="inlineStr">
        <is>
          <t>Bothriechis nubestris</t>
        </is>
      </c>
      <c r="O2035" t="inlineStr">
        <is>
          <t>Glyceraldehyde-3-phosphate dehydrogenase</t>
        </is>
      </c>
    </row>
    <row r="2036">
      <c r="A2036" t="inlineStr"/>
      <c r="B2036" t="inlineStr"/>
      <c r="C2036" t="inlineStr"/>
      <c r="D2036" t="inlineStr"/>
      <c r="E2036">
        <f>HYPERLINK("https://www.ncbi.nlm.nih.gov/gene/?term=XP_038629414.1", "XP_038629414.1")</f>
        <v/>
      </c>
      <c r="F2036" t="n">
        <v>87.59999999999999</v>
      </c>
      <c r="G2036" t="n">
        <v>113</v>
      </c>
      <c r="H2036" t="n">
        <v>5.81e-64</v>
      </c>
      <c r="I2036" t="inlineStr">
        <is>
          <t>Nr</t>
        </is>
      </c>
      <c r="J2036" t="inlineStr"/>
      <c r="K2036" t="inlineStr"/>
      <c r="L2036" t="inlineStr">
        <is>
          <t>XP_038629414.1 glyceraldehyde-3-phosphate dehydrogenase [Scyliorhinus canicula]</t>
        </is>
      </c>
      <c r="M2036" t="n">
        <v>161</v>
      </c>
      <c r="N2036" t="inlineStr">
        <is>
          <t>Scyliorhinus canicula</t>
        </is>
      </c>
      <c r="O2036" t="inlineStr">
        <is>
          <t>glyceraldehyde-3-phosphate dehydrogenase</t>
        </is>
      </c>
    </row>
    <row r="2037">
      <c r="A2037" t="inlineStr"/>
      <c r="B2037" t="inlineStr"/>
      <c r="C2037" t="inlineStr"/>
      <c r="D2037" t="inlineStr"/>
      <c r="E2037">
        <f>HYPERLINK("https://www.uniprot.org/uniprotkb/A0A841TMD6/entry", "A0A841TMD6")</f>
        <v/>
      </c>
      <c r="F2037" t="n">
        <v>90.2</v>
      </c>
      <c r="G2037" t="n">
        <v>112</v>
      </c>
      <c r="H2037" t="n">
        <v>5.99e-64</v>
      </c>
      <c r="I2037" t="inlineStr">
        <is>
          <t>TrEMBL</t>
        </is>
      </c>
      <c r="J2037" t="inlineStr">
        <is>
          <t>H4O20_13215</t>
        </is>
      </c>
      <c r="K2037" t="inlineStr">
        <is>
          <t>A0A841TMD6_9FLAO</t>
        </is>
      </c>
      <c r="L2037" t="inlineStr">
        <is>
          <t>tr|A0A841TMD6|A0A841TMD6_9FLAO Type I glyceraldehyde-3-phosphate dehydrogenase OS=Aequorivita sp. 609 OX=2760087 GN=H4O20_13215 PE=4 SV=1</t>
        </is>
      </c>
      <c r="M2037" t="n">
        <v>213</v>
      </c>
      <c r="N2037" t="inlineStr">
        <is>
          <t>Aequorivita sp. 609</t>
        </is>
      </c>
      <c r="O2037" t="inlineStr">
        <is>
          <t>Type I glyceraldehyde-3-phosphate dehydrogenase</t>
        </is>
      </c>
    </row>
    <row r="2038">
      <c r="A2038" t="inlineStr"/>
      <c r="B2038" t="inlineStr"/>
      <c r="C2038" t="inlineStr"/>
      <c r="D2038" t="inlineStr"/>
      <c r="E2038">
        <f>HYPERLINK("https://www.uniprot.org/uniprotkb/A0A852K7W1/entry", "A0A852K7W1")</f>
        <v/>
      </c>
      <c r="F2038" t="n">
        <v>89.3</v>
      </c>
      <c r="G2038" t="n">
        <v>112</v>
      </c>
      <c r="H2038" t="n">
        <v>6.38e-64</v>
      </c>
      <c r="I2038" t="inlineStr">
        <is>
          <t>TrEMBL</t>
        </is>
      </c>
      <c r="J2038" t="inlineStr">
        <is>
          <t>Gapdh_1</t>
        </is>
      </c>
      <c r="K2038" t="inlineStr">
        <is>
          <t>A0A852K7W1_SPIPA</t>
        </is>
      </c>
      <c r="L2038" t="inlineStr">
        <is>
          <t>tr|A0A852K7W1|A0A852K7W1_SPIPA Peptidyl-cysteine S-nitrosylase GAPDH (Fragment) OS=Spizella passerina OX=40210 GN=Gapdh_1 PE=3 SV=1</t>
        </is>
      </c>
      <c r="M2038" t="n">
        <v>204</v>
      </c>
      <c r="N2038" t="inlineStr">
        <is>
          <t>Spizella passerina</t>
        </is>
      </c>
      <c r="O2038" t="inlineStr">
        <is>
          <t>Peptidyl-cysteine S-nitrosylase GAPDH (Fragment)</t>
        </is>
      </c>
    </row>
    <row r="2039">
      <c r="A2039" t="inlineStr"/>
      <c r="B2039" t="inlineStr"/>
      <c r="C2039" t="inlineStr"/>
      <c r="D2039" t="inlineStr"/>
      <c r="E2039">
        <f>HYPERLINK("https://www.uniprot.org/uniprotkb/A0A098M010/entry", "A0A098M010")</f>
        <v/>
      </c>
      <c r="F2039" t="n">
        <v>91.09999999999999</v>
      </c>
      <c r="G2039" t="n">
        <v>112</v>
      </c>
      <c r="H2039" t="n">
        <v>6.72e-64</v>
      </c>
      <c r="I2039" t="inlineStr">
        <is>
          <t>TrEMBL</t>
        </is>
      </c>
      <c r="J2039" t="inlineStr"/>
      <c r="K2039" t="inlineStr">
        <is>
          <t>A0A098M010_9SAUR</t>
        </is>
      </c>
      <c r="L2039" t="inlineStr">
        <is>
          <t>tr|A0A098M010|A0A098M010_9SAUR Glyceraldehyde-3-phosphate dehydrogenase OS=Hypsiglena sp. JMG-2014 OX=1550645 PE=3 SV=1</t>
        </is>
      </c>
      <c r="M2039" t="n">
        <v>333</v>
      </c>
      <c r="N2039" t="inlineStr">
        <is>
          <t>Hypsiglena sp. JMG-2014</t>
        </is>
      </c>
      <c r="O2039" t="inlineStr">
        <is>
          <t>Glyceraldehyde-3-phosphate dehydrogenase</t>
        </is>
      </c>
    </row>
    <row r="2040">
      <c r="A2040" t="inlineStr"/>
      <c r="B2040" t="inlineStr"/>
      <c r="C2040" t="inlineStr"/>
      <c r="D2040" t="inlineStr"/>
      <c r="E2040">
        <f>HYPERLINK("https://www.uniprot.org/uniprotkb/A0A0B8RXN7/entry", "A0A0B8RXN7")</f>
        <v/>
      </c>
      <c r="F2040" t="n">
        <v>91.09999999999999</v>
      </c>
      <c r="G2040" t="n">
        <v>112</v>
      </c>
      <c r="H2040" t="n">
        <v>6.72e-64</v>
      </c>
      <c r="I2040" t="inlineStr">
        <is>
          <t>TrEMBL</t>
        </is>
      </c>
      <c r="J2040" t="inlineStr"/>
      <c r="K2040" t="inlineStr">
        <is>
          <t>A0A0B8RXN7_BOIIR</t>
        </is>
      </c>
      <c r="L2040" t="inlineStr">
        <is>
          <t>tr|A0A0B8RXN7|A0A0B8RXN7_BOIIR Glyceraldehyde-3-phosphate dehydrogenase OS=Boiga irregularis OX=92519 PE=3 SV=1</t>
        </is>
      </c>
      <c r="M2040" t="n">
        <v>333</v>
      </c>
      <c r="N2040" t="inlineStr">
        <is>
          <t>Boiga irregularis</t>
        </is>
      </c>
      <c r="O2040" t="inlineStr">
        <is>
          <t>Glyceraldehyde-3-phosphate dehydrogenase</t>
        </is>
      </c>
    </row>
    <row r="2041">
      <c r="A2041" t="inlineStr"/>
      <c r="B2041" t="inlineStr"/>
      <c r="C2041" t="inlineStr"/>
      <c r="D2041" t="inlineStr"/>
      <c r="E2041">
        <f>HYPERLINK("https://www.ncbi.nlm.nih.gov/gene/?term=NWU98704.1", "NWU98704.1")</f>
        <v/>
      </c>
      <c r="F2041" t="n">
        <v>92</v>
      </c>
      <c r="G2041" t="n">
        <v>112</v>
      </c>
      <c r="H2041" t="n">
        <v>6.870000000000001e-64</v>
      </c>
      <c r="I2041" t="inlineStr">
        <is>
          <t>Nr</t>
        </is>
      </c>
      <c r="J2041" t="inlineStr"/>
      <c r="K2041" t="inlineStr"/>
      <c r="L2041" t="inlineStr">
        <is>
          <t>NWU98704.1 G3P dehydrogenase [Upupa epops]</t>
        </is>
      </c>
      <c r="M2041" t="n">
        <v>325</v>
      </c>
      <c r="N2041" t="inlineStr">
        <is>
          <t>Upupa epops</t>
        </is>
      </c>
      <c r="O2041" t="inlineStr">
        <is>
          <t>G3P dehydrogenase</t>
        </is>
      </c>
    </row>
    <row r="2042">
      <c r="A2042" t="inlineStr"/>
      <c r="B2042" t="inlineStr"/>
      <c r="C2042" t="inlineStr"/>
      <c r="D2042" t="inlineStr"/>
      <c r="E2042">
        <f>HYPERLINK("https://www.uniprot.org/uniprotkb/A6MHQ9/entry", "A6MHQ9")</f>
        <v/>
      </c>
      <c r="F2042" t="n">
        <v>87.5</v>
      </c>
      <c r="G2042" t="n">
        <v>112</v>
      </c>
      <c r="H2042" t="n">
        <v>7.32e-64</v>
      </c>
      <c r="I2042" t="inlineStr">
        <is>
          <t>TrEMBL</t>
        </is>
      </c>
      <c r="J2042" t="inlineStr">
        <is>
          <t>gapdh</t>
        </is>
      </c>
      <c r="K2042" t="inlineStr">
        <is>
          <t>A6MHQ9_IGUIG</t>
        </is>
      </c>
      <c r="L2042" t="inlineStr">
        <is>
          <t>tr|A6MHQ9|A6MHQ9_IGUIG Glyceraldehyde-3-phosphate dehydrogenase (Fragment) OS=Iguana iguana OX=8517 GN=gapdh PE=2 SV=1</t>
        </is>
      </c>
      <c r="M2042" t="n">
        <v>154</v>
      </c>
      <c r="N2042" t="inlineStr">
        <is>
          <t>Iguana iguana</t>
        </is>
      </c>
      <c r="O2042" t="inlineStr">
        <is>
          <t>Glyceraldehyde-3-phosphate dehydrogenase (Fragment)</t>
        </is>
      </c>
    </row>
    <row r="2043">
      <c r="A2043" t="inlineStr"/>
      <c r="B2043" t="inlineStr"/>
      <c r="C2043" t="inlineStr"/>
      <c r="D2043" t="inlineStr"/>
      <c r="E2043">
        <f>HYPERLINK("https://www.uniprot.org/uniprotkb/G9IJI1/entry", "G9IJI1")</f>
        <v/>
      </c>
      <c r="F2043" t="n">
        <v>86.7</v>
      </c>
      <c r="G2043" t="n">
        <v>113</v>
      </c>
      <c r="H2043" t="n">
        <v>8.180000000000001e-64</v>
      </c>
      <c r="I2043" t="inlineStr">
        <is>
          <t>TrEMBL</t>
        </is>
      </c>
      <c r="J2043" t="inlineStr">
        <is>
          <t>GAPDH</t>
        </is>
      </c>
      <c r="K2043" t="inlineStr">
        <is>
          <t>G9IJI1_9NEOB</t>
        </is>
      </c>
      <c r="L2043" t="inlineStr">
        <is>
          <t>tr|G9IJI1|G9IJI1_9NEOB Glyceraldehyde-3-phosphate dehydrogenase (Fragment) OS=Polypedates maculatus OX=143439 GN=GAPDH PE=3 SV=1</t>
        </is>
      </c>
      <c r="M2043" t="n">
        <v>179</v>
      </c>
      <c r="N2043" t="inlineStr">
        <is>
          <t>Polypedates maculatus</t>
        </is>
      </c>
      <c r="O2043" t="inlineStr">
        <is>
          <t>Glyceraldehyde-3-phosphate dehydrogenase (Fragment)</t>
        </is>
      </c>
    </row>
    <row r="2044">
      <c r="A2044" t="inlineStr"/>
      <c r="B2044" t="inlineStr"/>
      <c r="C2044" t="inlineStr"/>
      <c r="D2044" t="inlineStr"/>
      <c r="E2044">
        <f>HYPERLINK("https://www.uniprot.org/uniprotkb/K7GDM5/entry", "K7GDM5")</f>
        <v/>
      </c>
      <c r="F2044" t="n">
        <v>90.2</v>
      </c>
      <c r="G2044" t="n">
        <v>112</v>
      </c>
      <c r="H2044" t="n">
        <v>8.54e-64</v>
      </c>
      <c r="I2044" t="inlineStr">
        <is>
          <t>TrEMBL</t>
        </is>
      </c>
      <c r="J2044" t="inlineStr">
        <is>
          <t>GAPDH</t>
        </is>
      </c>
      <c r="K2044" t="inlineStr">
        <is>
          <t>K7GDM5_PELSI</t>
        </is>
      </c>
      <c r="L2044" t="inlineStr">
        <is>
          <t>tr|K7GDM5|K7GDM5_PELSI Glyceraldehyde-3-phosphate dehydrogenase OS=Pelodiscus sinensis OX=13735 GN=GAPDH PE=3 SV=1</t>
        </is>
      </c>
      <c r="M2044" t="n">
        <v>293</v>
      </c>
      <c r="N2044" t="inlineStr">
        <is>
          <t>Pelodiscus sinensis</t>
        </is>
      </c>
      <c r="O2044" t="inlineStr">
        <is>
          <t>Glyceraldehyde-3-phosphate dehydrogenase</t>
        </is>
      </c>
    </row>
    <row r="2045">
      <c r="A2045" t="inlineStr"/>
      <c r="B2045" t="inlineStr"/>
      <c r="C2045" t="inlineStr"/>
      <c r="D2045" t="inlineStr"/>
      <c r="E2045">
        <f>HYPERLINK("https://www.ncbi.nlm.nih.gov/gene/?term=XP_033028886.1", "XP_033028886.1")</f>
        <v/>
      </c>
      <c r="F2045" t="n">
        <v>92</v>
      </c>
      <c r="G2045" t="n">
        <v>112</v>
      </c>
      <c r="H2045" t="n">
        <v>8.62e-64</v>
      </c>
      <c r="I2045" t="inlineStr">
        <is>
          <t>Nr</t>
        </is>
      </c>
      <c r="J2045" t="inlineStr"/>
      <c r="K2045" t="inlineStr"/>
      <c r="L2045" t="inlineStr">
        <is>
          <t>XP_033028886.1 glyceraldehyde-3-phosphate dehydrogenase [Lacerta agilis]</t>
        </is>
      </c>
      <c r="M2045" t="n">
        <v>333</v>
      </c>
      <c r="N2045" t="inlineStr">
        <is>
          <t>Lacerta agilis</t>
        </is>
      </c>
      <c r="O2045" t="inlineStr">
        <is>
          <t>glyceraldehyde-3-phosphate dehydrogenase</t>
        </is>
      </c>
    </row>
    <row r="2046">
      <c r="A2046" t="inlineStr"/>
      <c r="B2046" t="inlineStr"/>
      <c r="C2046" t="inlineStr"/>
      <c r="D2046" t="inlineStr"/>
      <c r="E2046">
        <f>HYPERLINK("https://www.uniprot.org/uniprotkb/A0A8D8JSV2/entry", "A0A8D8JSV2")</f>
        <v/>
      </c>
      <c r="F2046" t="n">
        <v>90.2</v>
      </c>
      <c r="G2046" t="n">
        <v>112</v>
      </c>
      <c r="H2046" t="n">
        <v>9.610000000000001e-64</v>
      </c>
      <c r="I2046" t="inlineStr">
        <is>
          <t>TrEMBL</t>
        </is>
      </c>
      <c r="J2046" t="inlineStr"/>
      <c r="K2046" t="inlineStr">
        <is>
          <t>A0A8D8JSV2_CULPI</t>
        </is>
      </c>
      <c r="L2046" t="inlineStr">
        <is>
          <t>tr|A0A8D8JSV2|A0A8D8JSV2_CULPI Glyceraldehyde-3-phosphate dehydrogenase OS=Culex pipiens OX=7175 PE=3 SV=1</t>
        </is>
      </c>
      <c r="M2046" t="n">
        <v>184</v>
      </c>
      <c r="N2046" t="inlineStr">
        <is>
          <t>Culex pipiens</t>
        </is>
      </c>
      <c r="O2046" t="inlineStr">
        <is>
          <t>Glyceraldehyde-3-phosphate dehydrogenase</t>
        </is>
      </c>
    </row>
    <row r="2047">
      <c r="A2047" t="inlineStr"/>
      <c r="B2047" t="inlineStr"/>
      <c r="C2047" t="inlineStr"/>
      <c r="D2047" t="inlineStr"/>
      <c r="E2047">
        <f>HYPERLINK("https://www.ncbi.nlm.nih.gov/gene/?term=KAF1513525.1", "KAF1513525.1")</f>
        <v/>
      </c>
      <c r="F2047" t="n">
        <v>89.3</v>
      </c>
      <c r="G2047" t="n">
        <v>112</v>
      </c>
      <c r="H2047" t="n">
        <v>9.81e-64</v>
      </c>
      <c r="I2047" t="inlineStr">
        <is>
          <t>Nr</t>
        </is>
      </c>
      <c r="J2047" t="inlineStr"/>
      <c r="K2047" t="inlineStr"/>
      <c r="L2047" t="inlineStr">
        <is>
          <t>KAF1513525.1 Glyceraldehyde-3-phosphate dehydrogenase, partial [Eudyptula minor]</t>
        </is>
      </c>
      <c r="M2047" t="n">
        <v>188</v>
      </c>
      <c r="N2047" t="inlineStr">
        <is>
          <t>Eudyptula minor</t>
        </is>
      </c>
      <c r="O2047" t="inlineStr">
        <is>
          <t>Glyceraldehyde-3-phosphate dehydrogenase, partial</t>
        </is>
      </c>
    </row>
    <row r="2048">
      <c r="A2048" t="inlineStr"/>
      <c r="B2048" t="inlineStr"/>
      <c r="C2048" t="inlineStr"/>
      <c r="D2048" t="inlineStr"/>
      <c r="E2048">
        <f>HYPERLINK("https://www.uniprot.org/uniprotkb/A0A7K7A3U8/entry", "A0A7K7A3U8")</f>
        <v/>
      </c>
      <c r="F2048" t="n">
        <v>90.2</v>
      </c>
      <c r="G2048" t="n">
        <v>112</v>
      </c>
      <c r="H2048" t="n">
        <v>1.07e-63</v>
      </c>
      <c r="I2048" t="inlineStr">
        <is>
          <t>TrEMBL</t>
        </is>
      </c>
      <c r="J2048" t="inlineStr">
        <is>
          <t>Gapdh</t>
        </is>
      </c>
      <c r="K2048" t="inlineStr">
        <is>
          <t>A0A7K7A3U8_9AVES</t>
        </is>
      </c>
      <c r="L2048" t="inlineStr">
        <is>
          <t>tr|A0A7K7A3U8|A0A7K7A3U8_9AVES Glyceraldehyde-3-phosphate dehydrogenase (Fragment) OS=Nothoprocta pentlandii OX=2585814 GN=Gapdh PE=3 SV=1</t>
        </is>
      </c>
      <c r="M2048" t="n">
        <v>325</v>
      </c>
      <c r="N2048" t="inlineStr">
        <is>
          <t>Nothoprocta pentlandii</t>
        </is>
      </c>
      <c r="O2048" t="inlineStr">
        <is>
          <t>Glyceraldehyde-3-phosphate dehydrogenase (Fragment)</t>
        </is>
      </c>
    </row>
    <row r="2049">
      <c r="A2049" t="inlineStr"/>
      <c r="B2049" t="inlineStr"/>
      <c r="C2049" t="inlineStr"/>
      <c r="D2049" t="inlineStr"/>
      <c r="E2049">
        <f>HYPERLINK("https://www.uniprot.org/uniprotkb/A0A7K7B3I3/entry", "A0A7K7B3I3")</f>
        <v/>
      </c>
      <c r="F2049" t="n">
        <v>90.2</v>
      </c>
      <c r="G2049" t="n">
        <v>112</v>
      </c>
      <c r="H2049" t="n">
        <v>1.07e-63</v>
      </c>
      <c r="I2049" t="inlineStr">
        <is>
          <t>TrEMBL</t>
        </is>
      </c>
      <c r="J2049" t="inlineStr">
        <is>
          <t>Gapdh</t>
        </is>
      </c>
      <c r="K2049" t="inlineStr">
        <is>
          <t>A0A7K7B3I3_9AVES</t>
        </is>
      </c>
      <c r="L2049" t="inlineStr">
        <is>
          <t>tr|A0A7K7B3I3|A0A7K7B3I3_9AVES Glyceraldehyde-3-phosphate dehydrogenase (Fragment) OS=Nothoprocta ornata OX=83376 GN=Gapdh PE=3 SV=1</t>
        </is>
      </c>
      <c r="M2049" t="n">
        <v>325</v>
      </c>
      <c r="N2049" t="inlineStr">
        <is>
          <t>Nothoprocta ornata</t>
        </is>
      </c>
      <c r="O2049" t="inlineStr">
        <is>
          <t>Glyceraldehyde-3-phosphate dehydrogenase (Fragment)</t>
        </is>
      </c>
    </row>
    <row r="2050">
      <c r="A2050" t="inlineStr"/>
      <c r="B2050" t="inlineStr"/>
      <c r="C2050" t="inlineStr"/>
      <c r="D2050" t="inlineStr"/>
      <c r="E2050">
        <f>HYPERLINK("https://www.ncbi.nlm.nih.gov/gene/?term=NCE88510.1", "NCE88510.1")</f>
        <v/>
      </c>
      <c r="F2050" t="n">
        <v>90.2</v>
      </c>
      <c r="G2050" t="n">
        <v>112</v>
      </c>
      <c r="H2050" t="n">
        <v>1.21e-63</v>
      </c>
      <c r="I2050" t="inlineStr">
        <is>
          <t>Nr</t>
        </is>
      </c>
      <c r="J2050" t="inlineStr"/>
      <c r="K2050" t="inlineStr"/>
      <c r="L2050" t="inlineStr">
        <is>
          <t>NCE88510.1 glyceraldehyde-3-phosphate dehydrogenase [Pseudomonas sp. Q1]</t>
        </is>
      </c>
      <c r="M2050" t="n">
        <v>162</v>
      </c>
      <c r="N2050" t="inlineStr">
        <is>
          <t>Pseudomonas sp. Q1</t>
        </is>
      </c>
      <c r="O2050" t="inlineStr">
        <is>
          <t>glyceraldehyde-3-phosphate dehydrogenase</t>
        </is>
      </c>
    </row>
    <row r="2051">
      <c r="A2051" t="inlineStr"/>
      <c r="B2051" t="inlineStr"/>
      <c r="C2051" t="inlineStr"/>
      <c r="D2051" t="inlineStr"/>
      <c r="E2051">
        <f>HYPERLINK("https://www.uniprot.org/uniprotkb/P00355/entry", "P00355")</f>
        <v/>
      </c>
      <c r="F2051" t="n">
        <v>87.5</v>
      </c>
      <c r="G2051" t="n">
        <v>112</v>
      </c>
      <c r="H2051" t="n">
        <v>1.26e-63</v>
      </c>
      <c r="I2051" t="inlineStr">
        <is>
          <t>Swiss-Prot</t>
        </is>
      </c>
      <c r="J2051" t="inlineStr">
        <is>
          <t>GAPDH</t>
        </is>
      </c>
      <c r="K2051" t="inlineStr">
        <is>
          <t>G3P_PIG</t>
        </is>
      </c>
      <c r="L2051" t="inlineStr">
        <is>
          <t>sp|P00355|G3P_PIG Glyceraldehyde-3-phosphate dehydrogenase OS=Sus scrofa OX=9823 GN=GAPDH PE=1 SV=4</t>
        </is>
      </c>
      <c r="M2051" t="n">
        <v>333</v>
      </c>
      <c r="N2051" t="inlineStr">
        <is>
          <t>Sus scrofa</t>
        </is>
      </c>
      <c r="O2051" t="inlineStr">
        <is>
          <t>Glyceraldehyde-3-phosphate dehydrogenase</t>
        </is>
      </c>
    </row>
    <row r="2052">
      <c r="A2052" t="inlineStr"/>
      <c r="B2052" t="inlineStr"/>
      <c r="C2052" t="inlineStr"/>
      <c r="D2052" t="inlineStr"/>
      <c r="E2052">
        <f>HYPERLINK("https://www.uniprot.org/uniprotkb/A0A7L3MVV8/entry", "A0A7L3MVV8")</f>
        <v/>
      </c>
      <c r="F2052" t="n">
        <v>89.3</v>
      </c>
      <c r="G2052" t="n">
        <v>112</v>
      </c>
      <c r="H2052" t="n">
        <v>1.28e-63</v>
      </c>
      <c r="I2052" t="inlineStr">
        <is>
          <t>TrEMBL</t>
        </is>
      </c>
      <c r="J2052" t="inlineStr">
        <is>
          <t>Gapdh_1</t>
        </is>
      </c>
      <c r="K2052" t="inlineStr">
        <is>
          <t>A0A7L3MVV8_9PASS</t>
        </is>
      </c>
      <c r="L2052" t="inlineStr">
        <is>
          <t>tr|A0A7L3MVV8|A0A7L3MVV8_9PASS Peptidyl-cysteine S-nitrosylase GAPDH (Fragment) OS=Horornis vulcanius OX=2585811 GN=Gapdh_1 PE=3 SV=1</t>
        </is>
      </c>
      <c r="M2052" t="n">
        <v>226</v>
      </c>
      <c r="N2052" t="inlineStr">
        <is>
          <t>Horornis vulcanius</t>
        </is>
      </c>
      <c r="O2052" t="inlineStr">
        <is>
          <t>Peptidyl-cysteine S-nitrosylase GAPDH (Fragment)</t>
        </is>
      </c>
    </row>
    <row r="2053">
      <c r="A2053" t="inlineStr"/>
      <c r="B2053" t="inlineStr"/>
      <c r="C2053" t="inlineStr"/>
      <c r="D2053" t="inlineStr"/>
      <c r="E2053">
        <f>HYPERLINK("https://www.uniprot.org/uniprotkb/A0A2L0CXN7/entry", "A0A2L0CXN7")</f>
        <v/>
      </c>
      <c r="F2053" t="n">
        <v>90.2</v>
      </c>
      <c r="G2053" t="n">
        <v>112</v>
      </c>
      <c r="H2053" t="n">
        <v>1.33e-63</v>
      </c>
      <c r="I2053" t="inlineStr">
        <is>
          <t>TrEMBL</t>
        </is>
      </c>
      <c r="J2053" t="inlineStr">
        <is>
          <t>Gapdh</t>
        </is>
      </c>
      <c r="K2053" t="inlineStr">
        <is>
          <t>A0A2L0CXN7_9COLE</t>
        </is>
      </c>
      <c r="L2053" t="inlineStr">
        <is>
          <t>tr|A0A2L0CXN7|A0A2L0CXN7_9COLE Glyceraldehyde 3 phosphate dehydrogenase (Fragment) OS=Hydraena sp. INB108 OX=2055427 GN=Gapdh PE=3 SV=1</t>
        </is>
      </c>
      <c r="M2053" t="n">
        <v>194</v>
      </c>
      <c r="N2053" t="inlineStr">
        <is>
          <t>Hydraena sp. INB108</t>
        </is>
      </c>
      <c r="O2053" t="inlineStr">
        <is>
          <t>Glyceraldehyde 3 phosphate dehydrogenase (Fragment)</t>
        </is>
      </c>
    </row>
    <row r="2054">
      <c r="A2054" t="inlineStr"/>
      <c r="B2054" t="inlineStr"/>
      <c r="C2054" t="inlineStr"/>
      <c r="D2054" t="inlineStr"/>
      <c r="E2054">
        <f>HYPERLINK("https://www.ncbi.nlm.nih.gov/gene/?term=MBB6682404.1", "MBB6682404.1")</f>
        <v/>
      </c>
      <c r="F2054" t="n">
        <v>90.2</v>
      </c>
      <c r="G2054" t="n">
        <v>112</v>
      </c>
      <c r="H2054" t="n">
        <v>1.54e-63</v>
      </c>
      <c r="I2054" t="inlineStr">
        <is>
          <t>Nr</t>
        </is>
      </c>
      <c r="J2054" t="inlineStr"/>
      <c r="K2054" t="inlineStr"/>
      <c r="L2054" t="inlineStr">
        <is>
          <t>MBB6682404.1 type I glyceraldehyde-3-phosphate dehydrogenase [Aequorivita sp. 609]</t>
        </is>
      </c>
      <c r="M2054" t="n">
        <v>213</v>
      </c>
      <c r="N2054" t="inlineStr">
        <is>
          <t>Aequorivita sp. 609</t>
        </is>
      </c>
      <c r="O2054" t="inlineStr">
        <is>
          <t>type I glyceraldehyde-3-phosphate dehydrogenase</t>
        </is>
      </c>
    </row>
    <row r="2055">
      <c r="A2055" t="inlineStr"/>
      <c r="B2055" t="inlineStr"/>
      <c r="C2055" t="inlineStr"/>
      <c r="D2055" t="inlineStr"/>
      <c r="E2055">
        <f>HYPERLINK("https://www.ncbi.nlm.nih.gov/gene/?term=NXX73180.1", "NXX73180.1")</f>
        <v/>
      </c>
      <c r="F2055" t="n">
        <v>89.3</v>
      </c>
      <c r="G2055" t="n">
        <v>112</v>
      </c>
      <c r="H2055" t="n">
        <v>1.64e-63</v>
      </c>
      <c r="I2055" t="inlineStr">
        <is>
          <t>Nr</t>
        </is>
      </c>
      <c r="J2055" t="inlineStr"/>
      <c r="K2055" t="inlineStr"/>
      <c r="L2055" t="inlineStr">
        <is>
          <t>NXX73180.1 G3P dehydrogenase [Spizella passerina]</t>
        </is>
      </c>
      <c r="M2055" t="n">
        <v>204</v>
      </c>
      <c r="N2055" t="inlineStr">
        <is>
          <t>Spizella passerina</t>
        </is>
      </c>
      <c r="O2055" t="inlineStr">
        <is>
          <t>G3P dehydrogenase</t>
        </is>
      </c>
    </row>
    <row r="2056">
      <c r="A2056" t="inlineStr"/>
      <c r="B2056" t="inlineStr"/>
      <c r="C2056" t="inlineStr"/>
      <c r="D2056" t="inlineStr"/>
      <c r="E2056">
        <f>HYPERLINK("https://www.ncbi.nlm.nih.gov/gene/?term=WP_161550426.1", "WP_161550426.1")</f>
        <v/>
      </c>
      <c r="F2056" t="n">
        <v>90.2</v>
      </c>
      <c r="G2056" t="n">
        <v>112</v>
      </c>
      <c r="H2056" t="n">
        <v>1.69e-63</v>
      </c>
      <c r="I2056" t="inlineStr">
        <is>
          <t>Nr</t>
        </is>
      </c>
      <c r="J2056" t="inlineStr"/>
      <c r="K2056" t="inlineStr"/>
      <c r="L2056" t="inlineStr">
        <is>
          <t>WP_161550426.1 type I glyceraldehyde-3-phosphate dehydrogenase, partial [Pseudomonas sp. Q1]</t>
        </is>
      </c>
      <c r="M2056" t="n">
        <v>227</v>
      </c>
      <c r="N2056" t="inlineStr">
        <is>
          <t>Pseudomonas sp. Q1</t>
        </is>
      </c>
      <c r="O2056" t="inlineStr">
        <is>
          <t>type I glyceraldehyde-3-phosphate dehydrogenase, partial</t>
        </is>
      </c>
    </row>
    <row r="2057">
      <c r="A2057" t="inlineStr"/>
      <c r="B2057" t="inlineStr"/>
      <c r="C2057" t="inlineStr"/>
      <c r="D2057" t="inlineStr"/>
      <c r="E2057">
        <f>HYPERLINK("https://www.ncbi.nlm.nih.gov/gene/?term=XP_053307146.1", "XP_053307146.1")</f>
        <v/>
      </c>
      <c r="F2057" t="n">
        <v>88.5</v>
      </c>
      <c r="G2057" t="n">
        <v>113</v>
      </c>
      <c r="H2057" t="n">
        <v>1.73e-63</v>
      </c>
      <c r="I2057" t="inlineStr">
        <is>
          <t>Nr</t>
        </is>
      </c>
      <c r="J2057" t="inlineStr"/>
      <c r="K2057" t="inlineStr"/>
      <c r="L2057" t="inlineStr">
        <is>
          <t>XP_053307146.1 glyceraldehyde-3-phosphate dehydrogenase [Spea bombifrons]</t>
        </is>
      </c>
      <c r="M2057" t="n">
        <v>333</v>
      </c>
      <c r="N2057" t="inlineStr">
        <is>
          <t>Spea bombifrons</t>
        </is>
      </c>
      <c r="O2057" t="inlineStr">
        <is>
          <t>glyceraldehyde-3-phosphate dehydrogenase</t>
        </is>
      </c>
    </row>
    <row r="2058">
      <c r="A2058" t="inlineStr"/>
      <c r="B2058" t="inlineStr"/>
      <c r="C2058" t="inlineStr"/>
      <c r="D2058" t="inlineStr"/>
      <c r="E2058">
        <f>HYPERLINK("https://www.ncbi.nlm.nih.gov/gene/?term=XP_007429674.1", "XP_007429674.1")</f>
        <v/>
      </c>
      <c r="F2058" t="n">
        <v>91.09999999999999</v>
      </c>
      <c r="G2058" t="n">
        <v>112</v>
      </c>
      <c r="H2058" t="n">
        <v>1.73e-63</v>
      </c>
      <c r="I2058" t="inlineStr">
        <is>
          <t>Nr</t>
        </is>
      </c>
      <c r="J2058" t="inlineStr"/>
      <c r="K2058" t="inlineStr"/>
      <c r="L2058" t="inlineStr">
        <is>
          <t>XP_007429674.1 glyceraldehyde-3-phosphate dehydrogenase [Python bivittatus]</t>
        </is>
      </c>
      <c r="M2058" t="n">
        <v>333</v>
      </c>
      <c r="N2058" t="inlineStr">
        <is>
          <t>Python bivittatus</t>
        </is>
      </c>
      <c r="O2058" t="inlineStr">
        <is>
          <t>glyceraldehyde-3-phosphate dehydrogenase</t>
        </is>
      </c>
    </row>
    <row r="2059">
      <c r="A2059" t="inlineStr"/>
      <c r="B2059" t="inlineStr"/>
      <c r="C2059" t="inlineStr"/>
      <c r="D2059" t="inlineStr"/>
      <c r="E2059">
        <f>HYPERLINK("https://www.ncbi.nlm.nih.gov/gene/?term=ABN71518.1", "ABN71518.1")</f>
        <v/>
      </c>
      <c r="F2059" t="n">
        <v>87.5</v>
      </c>
      <c r="G2059" t="n">
        <v>112</v>
      </c>
      <c r="H2059" t="n">
        <v>1.88e-63</v>
      </c>
      <c r="I2059" t="inlineStr">
        <is>
          <t>Nr</t>
        </is>
      </c>
      <c r="J2059" t="inlineStr"/>
      <c r="K2059" t="inlineStr"/>
      <c r="L2059" t="inlineStr">
        <is>
          <t>ABN71518.1 glyceraldehyde-3-phosphate dehydrogenase, partial [Iguana iguana]</t>
        </is>
      </c>
      <c r="M2059" t="n">
        <v>154</v>
      </c>
      <c r="N2059" t="inlineStr">
        <is>
          <t>Iguana iguana</t>
        </is>
      </c>
      <c r="O2059" t="inlineStr">
        <is>
          <t>glyceraldehyde-3-phosphate dehydrogenase, partial</t>
        </is>
      </c>
    </row>
    <row r="2060">
      <c r="A2060" t="inlineStr"/>
      <c r="B2060" t="inlineStr"/>
      <c r="C2060" t="inlineStr"/>
      <c r="D2060" t="inlineStr"/>
      <c r="E2060">
        <f>HYPERLINK("https://www.ncbi.nlm.nih.gov/gene/?term=AEU04530.1", "AEU04530.1")</f>
        <v/>
      </c>
      <c r="F2060" t="n">
        <v>86.7</v>
      </c>
      <c r="G2060" t="n">
        <v>113</v>
      </c>
      <c r="H2060" t="n">
        <v>2.1e-63</v>
      </c>
      <c r="I2060" t="inlineStr">
        <is>
          <t>Nr</t>
        </is>
      </c>
      <c r="J2060" t="inlineStr"/>
      <c r="K2060" t="inlineStr"/>
      <c r="L2060" t="inlineStr">
        <is>
          <t>AEU04530.1 glyceraldehyde-3-phosphate dehydrogenase, partial [Polypedates maculatus]</t>
        </is>
      </c>
      <c r="M2060" t="n">
        <v>179</v>
      </c>
      <c r="N2060" t="inlineStr">
        <is>
          <t>Polypedates maculatus</t>
        </is>
      </c>
      <c r="O2060" t="inlineStr">
        <is>
          <t>glyceraldehyde-3-phosphate dehydrogenase, partial</t>
        </is>
      </c>
    </row>
    <row r="2061">
      <c r="A2061" t="inlineStr"/>
      <c r="B2061" t="inlineStr"/>
      <c r="C2061" t="inlineStr"/>
      <c r="D2061" t="inlineStr"/>
      <c r="E2061">
        <f>HYPERLINK("https://www.ncbi.nlm.nih.gov/gene/?term=XP_041078043.1", "XP_041078043.1")</f>
        <v/>
      </c>
      <c r="F2061" t="n">
        <v>90.3</v>
      </c>
      <c r="G2061" t="n">
        <v>113</v>
      </c>
      <c r="H2061" t="n">
        <v>2.45e-63</v>
      </c>
      <c r="I2061" t="inlineStr">
        <is>
          <t>Nr</t>
        </is>
      </c>
      <c r="J2061" t="inlineStr"/>
      <c r="K2061" t="inlineStr"/>
      <c r="L2061" t="inlineStr">
        <is>
          <t>XP_041078043.1 glyceraldehyde-3-phosphate dehydrogenase [Polyodon spathula]</t>
        </is>
      </c>
      <c r="M2061" t="n">
        <v>333</v>
      </c>
      <c r="N2061" t="inlineStr">
        <is>
          <t>Polyodon spathula</t>
        </is>
      </c>
      <c r="O2061" t="inlineStr">
        <is>
          <t>glyceraldehyde-3-phosphate dehydrogenase</t>
        </is>
      </c>
    </row>
    <row r="2062">
      <c r="A2062" t="inlineStr"/>
      <c r="B2062" t="inlineStr"/>
      <c r="C2062" t="inlineStr"/>
      <c r="D2062" t="inlineStr"/>
      <c r="E2062">
        <f>HYPERLINK("https://www.uniprot.org/uniprotkb/P04406/entry", "P04406")</f>
        <v/>
      </c>
      <c r="F2062" t="n">
        <v>87.5</v>
      </c>
      <c r="G2062" t="n">
        <v>112</v>
      </c>
      <c r="H2062" t="n">
        <v>2.67e-63</v>
      </c>
      <c r="I2062" t="inlineStr">
        <is>
          <t>Swiss-Prot</t>
        </is>
      </c>
      <c r="J2062" t="inlineStr">
        <is>
          <t>GAPDH</t>
        </is>
      </c>
      <c r="K2062" t="inlineStr">
        <is>
          <t>G3P_HUMAN</t>
        </is>
      </c>
      <c r="L2062" t="inlineStr">
        <is>
          <t>sp|P04406|G3P_HUMAN Glyceraldehyde-3-phosphate dehydrogenase OS=Homo sapiens OX=9606 GN=GAPDH PE=1 SV=3</t>
        </is>
      </c>
      <c r="M2062" t="n">
        <v>335</v>
      </c>
      <c r="N2062" t="inlineStr">
        <is>
          <t>Homo sapiens</t>
        </is>
      </c>
      <c r="O2062" t="inlineStr">
        <is>
          <t>Glyceraldehyde-3-phosphate dehydrogenase</t>
        </is>
      </c>
    </row>
    <row r="2063">
      <c r="A2063" t="inlineStr"/>
      <c r="B2063" t="inlineStr"/>
      <c r="C2063" t="inlineStr"/>
      <c r="D2063" t="inlineStr"/>
      <c r="E2063">
        <f>HYPERLINK("https://www.ncbi.nlm.nih.gov/gene/?term=NWX90840.1", "NWX90840.1")</f>
        <v/>
      </c>
      <c r="F2063" t="n">
        <v>90.2</v>
      </c>
      <c r="G2063" t="n">
        <v>112</v>
      </c>
      <c r="H2063" t="n">
        <v>2.76e-63</v>
      </c>
      <c r="I2063" t="inlineStr">
        <is>
          <t>Nr</t>
        </is>
      </c>
      <c r="J2063" t="inlineStr"/>
      <c r="K2063" t="inlineStr"/>
      <c r="L2063" t="inlineStr">
        <is>
          <t>NWX90840.1 G3P dehydrogenase [Nothoprocta pentlandii]</t>
        </is>
      </c>
      <c r="M2063" t="n">
        <v>325</v>
      </c>
      <c r="N2063" t="inlineStr">
        <is>
          <t>Nothoprocta pentlandii</t>
        </is>
      </c>
      <c r="O2063" t="inlineStr">
        <is>
          <t>G3P dehydrogenase</t>
        </is>
      </c>
    </row>
    <row r="2064">
      <c r="A2064" t="inlineStr"/>
      <c r="B2064" t="inlineStr"/>
      <c r="C2064" t="inlineStr"/>
      <c r="D2064" t="inlineStr"/>
      <c r="E2064">
        <f>HYPERLINK("https://www.ncbi.nlm.nih.gov/gene/?term=NXU68618.1", "NXU68618.1")</f>
        <v/>
      </c>
      <c r="F2064" t="n">
        <v>89.3</v>
      </c>
      <c r="G2064" t="n">
        <v>112</v>
      </c>
      <c r="H2064" t="n">
        <v>3.29e-63</v>
      </c>
      <c r="I2064" t="inlineStr">
        <is>
          <t>Nr</t>
        </is>
      </c>
      <c r="J2064" t="inlineStr"/>
      <c r="K2064" t="inlineStr"/>
      <c r="L2064" t="inlineStr">
        <is>
          <t>NXU68618.1 G3P dehydrogenase [Horornis vulcanius]</t>
        </is>
      </c>
      <c r="M2064" t="n">
        <v>226</v>
      </c>
      <c r="N2064" t="inlineStr">
        <is>
          <t>Horornis vulcanius</t>
        </is>
      </c>
      <c r="O2064" t="inlineStr">
        <is>
          <t>G3P dehydrogenase</t>
        </is>
      </c>
    </row>
    <row r="2065">
      <c r="A2065" t="inlineStr"/>
      <c r="B2065" t="inlineStr"/>
      <c r="C2065" t="inlineStr"/>
      <c r="D2065" t="inlineStr"/>
      <c r="E2065">
        <f>HYPERLINK("https://www.ncbi.nlm.nih.gov/gene/?term=AUW91196.1", "AUW91196.1")</f>
        <v/>
      </c>
      <c r="F2065" t="n">
        <v>90.2</v>
      </c>
      <c r="G2065" t="n">
        <v>112</v>
      </c>
      <c r="H2065" t="n">
        <v>3.4e-63</v>
      </c>
      <c r="I2065" t="inlineStr">
        <is>
          <t>Nr</t>
        </is>
      </c>
      <c r="J2065" t="inlineStr"/>
      <c r="K2065" t="inlineStr"/>
      <c r="L2065" t="inlineStr">
        <is>
          <t>AUW91196.1 glyceraldehyde 3 phosphate dehydrogenase, partial [Hydraena sp. INB108]</t>
        </is>
      </c>
      <c r="M2065" t="n">
        <v>194</v>
      </c>
      <c r="N2065" t="inlineStr">
        <is>
          <t>Hydraena sp. INB108</t>
        </is>
      </c>
      <c r="O2065" t="inlineStr">
        <is>
          <t>glyceraldehyde 3 phosphate dehydrogenase, partial</t>
        </is>
      </c>
    </row>
    <row r="2066">
      <c r="A2066" t="inlineStr"/>
      <c r="B2066" t="inlineStr"/>
      <c r="C2066" t="inlineStr"/>
      <c r="D2066" t="inlineStr"/>
      <c r="E2066">
        <f>HYPERLINK("https://www.ncbi.nlm.nih.gov/gene/?term=XP_009327286.1", "XP_009327286.1")</f>
        <v/>
      </c>
      <c r="F2066" t="n">
        <v>89.3</v>
      </c>
      <c r="G2066" t="n">
        <v>112</v>
      </c>
      <c r="H2066" t="n">
        <v>3.85e-63</v>
      </c>
      <c r="I2066" t="inlineStr">
        <is>
          <t>Nr</t>
        </is>
      </c>
      <c r="J2066" t="inlineStr"/>
      <c r="K2066" t="inlineStr"/>
      <c r="L2066" t="inlineStr">
        <is>
          <t>XP_009327286.1 PREDICTED: glyceraldehyde-3-phosphate dehydrogenase [Pygoscelis adeliae]</t>
        </is>
      </c>
      <c r="M2066" t="n">
        <v>231</v>
      </c>
      <c r="N2066" t="inlineStr">
        <is>
          <t>Pygoscelis adeliae</t>
        </is>
      </c>
      <c r="O2066" t="inlineStr">
        <is>
          <t>PREDICTED: glyceraldehyde-3-phosphate dehydrogenase</t>
        </is>
      </c>
    </row>
    <row r="2067">
      <c r="A2067" t="inlineStr"/>
      <c r="B2067" t="inlineStr"/>
      <c r="C2067" t="inlineStr"/>
      <c r="D2067" t="inlineStr"/>
      <c r="E2067">
        <f>HYPERLINK("https://www.ncbi.nlm.nih.gov/gene/?term=NXI56915.1", "NXI56915.1")</f>
        <v/>
      </c>
      <c r="F2067" t="n">
        <v>91.09999999999999</v>
      </c>
      <c r="G2067" t="n">
        <v>112</v>
      </c>
      <c r="H2067" t="n">
        <v>3.91e-63</v>
      </c>
      <c r="I2067" t="inlineStr">
        <is>
          <t>Nr</t>
        </is>
      </c>
      <c r="J2067" t="inlineStr"/>
      <c r="K2067" t="inlineStr"/>
      <c r="L2067" t="inlineStr">
        <is>
          <t>NXI56915.1 G3P dehydrogenase [Chloroceryle aenea]</t>
        </is>
      </c>
      <c r="M2067" t="n">
        <v>325</v>
      </c>
      <c r="N2067" t="inlineStr">
        <is>
          <t>Chloroceryle aenea</t>
        </is>
      </c>
      <c r="O2067" t="inlineStr">
        <is>
          <t>G3P dehydrogenase</t>
        </is>
      </c>
    </row>
    <row r="2068">
      <c r="A2068" t="inlineStr"/>
      <c r="B2068" t="inlineStr"/>
      <c r="C2068" t="inlineStr"/>
      <c r="D2068" t="inlineStr"/>
      <c r="E2068">
        <f>HYPERLINK("https://www.ncbi.nlm.nih.gov/gene/?term=MBN3279897.1", "MBN3279897.1")</f>
        <v/>
      </c>
      <c r="F2068" t="n">
        <v>89.40000000000001</v>
      </c>
      <c r="G2068" t="n">
        <v>113</v>
      </c>
      <c r="H2068" t="n">
        <v>4.17e-63</v>
      </c>
      <c r="I2068" t="inlineStr">
        <is>
          <t>Nr</t>
        </is>
      </c>
      <c r="J2068" t="inlineStr"/>
      <c r="K2068" t="inlineStr"/>
      <c r="L2068" t="inlineStr">
        <is>
          <t>MBN3279897.1 G3P dehydrogenase [Polyodon spathula]</t>
        </is>
      </c>
      <c r="M2068" t="n">
        <v>303</v>
      </c>
      <c r="N2068" t="inlineStr">
        <is>
          <t>Polyodon spathula</t>
        </is>
      </c>
      <c r="O2068" t="inlineStr">
        <is>
          <t>G3P dehydrogenase</t>
        </is>
      </c>
    </row>
    <row r="2069">
      <c r="A2069" t="inlineStr"/>
      <c r="B2069" t="inlineStr"/>
      <c r="C2069" t="inlineStr"/>
      <c r="D2069" t="inlineStr"/>
      <c r="E2069">
        <f>HYPERLINK("https://www.uniprot.org/uniprotkb/P04797/entry", "P04797")</f>
        <v/>
      </c>
      <c r="F2069" t="n">
        <v>86.59999999999999</v>
      </c>
      <c r="G2069" t="n">
        <v>112</v>
      </c>
      <c r="H2069" t="n">
        <v>1.01e-62</v>
      </c>
      <c r="I2069" t="inlineStr">
        <is>
          <t>Swiss-Prot</t>
        </is>
      </c>
      <c r="J2069" t="inlineStr">
        <is>
          <t>Gapdh</t>
        </is>
      </c>
      <c r="K2069" t="inlineStr">
        <is>
          <t>G3P_RAT</t>
        </is>
      </c>
      <c r="L2069" t="inlineStr">
        <is>
          <t>sp|P04797|G3P_RAT Glyceraldehyde-3-phosphate dehydrogenase OS=Rattus norvegicus OX=10116 GN=Gapdh PE=1 SV=3</t>
        </is>
      </c>
      <c r="M2069" t="n">
        <v>333</v>
      </c>
      <c r="N2069" t="inlineStr">
        <is>
          <t>Rattus norvegicus</t>
        </is>
      </c>
      <c r="O2069" t="inlineStr">
        <is>
          <t>Glyceraldehyde-3-phosphate dehydrogenase</t>
        </is>
      </c>
    </row>
    <row r="2070">
      <c r="A2070" t="inlineStr"/>
      <c r="B2070" t="inlineStr"/>
      <c r="C2070" t="inlineStr"/>
      <c r="D2070" t="inlineStr"/>
      <c r="E2070">
        <f>HYPERLINK("https://www.uniprot.org/uniprotkb/P17244/entry", "P17244")</f>
        <v/>
      </c>
      <c r="F2070" t="n">
        <v>85.7</v>
      </c>
      <c r="G2070" t="n">
        <v>112</v>
      </c>
      <c r="H2070" t="n">
        <v>2.03e-62</v>
      </c>
      <c r="I2070" t="inlineStr">
        <is>
          <t>Swiss-Prot</t>
        </is>
      </c>
      <c r="J2070" t="inlineStr">
        <is>
          <t>GAPDH</t>
        </is>
      </c>
      <c r="K2070" t="inlineStr">
        <is>
          <t>G3P_CRIGR</t>
        </is>
      </c>
      <c r="L2070" t="inlineStr">
        <is>
          <t>sp|P17244|G3P_CRIGR Glyceraldehyde-3-phosphate dehydrogenase OS=Cricetulus griseus OX=10029 GN=GAPDH PE=2 SV=2</t>
        </is>
      </c>
      <c r="M2070" t="n">
        <v>333</v>
      </c>
      <c r="N2070" t="inlineStr">
        <is>
          <t>Cricetulus griseus</t>
        </is>
      </c>
      <c r="O2070" t="inlineStr">
        <is>
          <t>Glyceraldehyde-3-phosphate dehydrogenase</t>
        </is>
      </c>
    </row>
    <row r="2071">
      <c r="A2071" t="inlineStr"/>
      <c r="B2071" t="inlineStr"/>
      <c r="C2071" t="inlineStr"/>
      <c r="D2071" t="inlineStr"/>
      <c r="E2071">
        <f>HYPERLINK("https://www.uniprot.org/uniprotkb/Q9N2D5/entry", "Q9N2D5")</f>
        <v/>
      </c>
      <c r="F2071" t="n">
        <v>86.59999999999999</v>
      </c>
      <c r="G2071" t="n">
        <v>112</v>
      </c>
      <c r="H2071" t="n">
        <v>2.03e-62</v>
      </c>
      <c r="I2071" t="inlineStr">
        <is>
          <t>Swiss-Prot</t>
        </is>
      </c>
      <c r="J2071" t="inlineStr">
        <is>
          <t>GAPDH</t>
        </is>
      </c>
      <c r="K2071" t="inlineStr">
        <is>
          <t>G3P_FELCA</t>
        </is>
      </c>
      <c r="L2071" t="inlineStr">
        <is>
          <t>sp|Q9N2D5|G3P_FELCA Glyceraldehyde-3-phosphate dehydrogenase OS=Felis catus OX=9685 GN=GAPDH PE=2 SV=3</t>
        </is>
      </c>
      <c r="M2071" t="n">
        <v>333</v>
      </c>
      <c r="N2071" t="inlineStr">
        <is>
          <t>Felis catus</t>
        </is>
      </c>
      <c r="O2071" t="inlineStr">
        <is>
          <t>Glyceraldehyde-3-phosphate dehydrogenase</t>
        </is>
      </c>
    </row>
    <row r="2072">
      <c r="A2072" t="inlineStr"/>
      <c r="B2072" t="inlineStr"/>
      <c r="C2072" t="inlineStr"/>
      <c r="D2072" t="inlineStr"/>
      <c r="E2072">
        <f>HYPERLINK("https://www.uniprot.org/uniprotkb/A3FKF7/entry", "A3FKF7")</f>
        <v/>
      </c>
      <c r="F2072" t="n">
        <v>86.59999999999999</v>
      </c>
      <c r="G2072" t="n">
        <v>112</v>
      </c>
      <c r="H2072" t="n">
        <v>2.03e-62</v>
      </c>
      <c r="I2072" t="inlineStr">
        <is>
          <t>Swiss-Prot</t>
        </is>
      </c>
      <c r="J2072" t="inlineStr">
        <is>
          <t>GAPDH</t>
        </is>
      </c>
      <c r="K2072" t="inlineStr">
        <is>
          <t>G3P_MUSPF</t>
        </is>
      </c>
      <c r="L2072" t="inlineStr">
        <is>
          <t>sp|A3FKF7|G3P_MUSPF Glyceraldehyde-3-phosphate dehydrogenase OS=Mustela putorius furo OX=9669 GN=GAPDH PE=2 SV=1</t>
        </is>
      </c>
      <c r="M2072" t="n">
        <v>333</v>
      </c>
      <c r="N2072" t="inlineStr">
        <is>
          <t>Mustela putorius furo</t>
        </is>
      </c>
      <c r="O2072" t="inlineStr">
        <is>
          <t>Glyceraldehyde-3-phosphate dehydrogenase</t>
        </is>
      </c>
    </row>
    <row r="2073">
      <c r="A2073" t="inlineStr"/>
      <c r="B2073" t="inlineStr"/>
      <c r="C2073" t="inlineStr"/>
      <c r="D2073" t="inlineStr"/>
      <c r="E2073">
        <f>HYPERLINK("https://www.uniprot.org/uniprotkb/Q4KYY3/entry", "Q4KYY3")</f>
        <v/>
      </c>
      <c r="F2073" t="n">
        <v>86.59999999999999</v>
      </c>
      <c r="G2073" t="n">
        <v>112</v>
      </c>
      <c r="H2073" t="n">
        <v>2.03e-62</v>
      </c>
      <c r="I2073" t="inlineStr">
        <is>
          <t>Swiss-Prot</t>
        </is>
      </c>
      <c r="J2073" t="inlineStr">
        <is>
          <t>GAPDH</t>
        </is>
      </c>
      <c r="K2073" t="inlineStr">
        <is>
          <t>G3P_SPECI</t>
        </is>
      </c>
      <c r="L2073" t="inlineStr">
        <is>
          <t>sp|Q4KYY3|G3P_SPECI Glyceraldehyde-3-phosphate dehydrogenase OS=Spermophilus citellus OX=9997 GN=GAPDH PE=2 SV=3</t>
        </is>
      </c>
      <c r="M2073" t="n">
        <v>333</v>
      </c>
      <c r="N2073" t="inlineStr">
        <is>
          <t>Spermophilus citellus</t>
        </is>
      </c>
      <c r="O2073" t="inlineStr">
        <is>
          <t>Glyceraldehyde-3-phosphate dehydrogenase</t>
        </is>
      </c>
    </row>
    <row r="2074">
      <c r="A2074" t="inlineStr"/>
      <c r="B2074" t="inlineStr"/>
      <c r="C2074" t="inlineStr"/>
      <c r="D2074" t="inlineStr"/>
      <c r="E2074">
        <f>HYPERLINK("https://www.uniprot.org/uniprotkb/P16858/entry", "P16858")</f>
        <v/>
      </c>
      <c r="F2074" t="n">
        <v>85.7</v>
      </c>
      <c r="G2074" t="n">
        <v>112</v>
      </c>
      <c r="H2074" t="n">
        <v>2.87e-62</v>
      </c>
      <c r="I2074" t="inlineStr">
        <is>
          <t>Swiss-Prot</t>
        </is>
      </c>
      <c r="J2074" t="inlineStr">
        <is>
          <t>Gapdh</t>
        </is>
      </c>
      <c r="K2074" t="inlineStr">
        <is>
          <t>G3P_MOUSE</t>
        </is>
      </c>
      <c r="L2074" t="inlineStr">
        <is>
          <t>sp|P16858|G3P_MOUSE Glyceraldehyde-3-phosphate dehydrogenase OS=Mus musculus OX=10090 GN=Gapdh PE=1 SV=2</t>
        </is>
      </c>
      <c r="M2074" t="n">
        <v>333</v>
      </c>
      <c r="N2074" t="inlineStr">
        <is>
          <t>Mus musculus</t>
        </is>
      </c>
      <c r="O2074" t="inlineStr">
        <is>
          <t>Glyceraldehyde-3-phosphate dehydrogenase</t>
        </is>
      </c>
    </row>
    <row r="2075">
      <c r="A2075" t="inlineStr"/>
      <c r="B2075" t="inlineStr"/>
      <c r="C2075" t="inlineStr"/>
      <c r="D2075" t="inlineStr"/>
      <c r="E2075">
        <f>HYPERLINK("https://www.uniprot.org/uniprotkb/P80534/entry", "P80534")</f>
        <v/>
      </c>
      <c r="F2075" t="n">
        <v>86.59999999999999</v>
      </c>
      <c r="G2075" t="n">
        <v>112</v>
      </c>
      <c r="H2075" t="n">
        <v>3.21e-62</v>
      </c>
      <c r="I2075" t="inlineStr">
        <is>
          <t>Swiss-Prot</t>
        </is>
      </c>
      <c r="J2075" t="inlineStr"/>
      <c r="K2075" t="inlineStr">
        <is>
          <t>G3P_JACOR</t>
        </is>
      </c>
      <c r="L2075" t="inlineStr">
        <is>
          <t>sp|P80534|G3P_JACOR Glyceraldehyde-3-phosphate dehydrogenase, muscle OS=Jaculus orientalis OX=48868 PE=1 SV=2</t>
        </is>
      </c>
      <c r="M2075" t="n">
        <v>363</v>
      </c>
      <c r="N2075" t="inlineStr">
        <is>
          <t>Jaculus orientalis</t>
        </is>
      </c>
      <c r="O2075" t="inlineStr">
        <is>
          <t>Glyceraldehyde-3-phosphate dehydrogenase, muscle</t>
        </is>
      </c>
    </row>
    <row r="2076">
      <c r="A2076" t="inlineStr"/>
      <c r="B2076" t="inlineStr"/>
      <c r="C2076" t="inlineStr"/>
      <c r="D2076" t="inlineStr"/>
      <c r="E2076">
        <f>HYPERLINK("https://www.uniprot.org/uniprotkb/Q28259/entry", "Q28259")</f>
        <v/>
      </c>
      <c r="F2076" t="n">
        <v>85.7</v>
      </c>
      <c r="G2076" t="n">
        <v>112</v>
      </c>
      <c r="H2076" t="n">
        <v>4.06e-62</v>
      </c>
      <c r="I2076" t="inlineStr">
        <is>
          <t>Swiss-Prot</t>
        </is>
      </c>
      <c r="J2076" t="inlineStr">
        <is>
          <t>GAPDH</t>
        </is>
      </c>
      <c r="K2076" t="inlineStr">
        <is>
          <t>G3P_CANLF</t>
        </is>
      </c>
      <c r="L2076" t="inlineStr">
        <is>
          <t>sp|Q28259|G3P_CANLF Glyceraldehyde-3-phosphate dehydrogenase OS=Canis lupus familiaris OX=9615 GN=GAPDH PE=2 SV=3</t>
        </is>
      </c>
      <c r="M2076" t="n">
        <v>333</v>
      </c>
      <c r="N2076" t="inlineStr">
        <is>
          <t>Canis lupus familiaris</t>
        </is>
      </c>
      <c r="O2076" t="inlineStr">
        <is>
          <t>Glyceraldehyde-3-phosphate dehydrogenase</t>
        </is>
      </c>
    </row>
    <row r="2077">
      <c r="A2077" t="inlineStr"/>
      <c r="B2077" t="inlineStr"/>
      <c r="C2077" t="inlineStr"/>
      <c r="D2077" t="inlineStr"/>
      <c r="E2077">
        <f>HYPERLINK("https://www.uniprot.org/uniprotkb/P46406/entry", "P46406")</f>
        <v/>
      </c>
      <c r="F2077" t="n">
        <v>85.7</v>
      </c>
      <c r="G2077" t="n">
        <v>112</v>
      </c>
      <c r="H2077" t="n">
        <v>3.26e-61</v>
      </c>
      <c r="I2077" t="inlineStr">
        <is>
          <t>Swiss-Prot</t>
        </is>
      </c>
      <c r="J2077" t="inlineStr">
        <is>
          <t>GAPDH</t>
        </is>
      </c>
      <c r="K2077" t="inlineStr">
        <is>
          <t>G3P_RABIT</t>
        </is>
      </c>
      <c r="L2077" t="inlineStr">
        <is>
          <t>sp|P46406|G3P_RABIT Glyceraldehyde-3-phosphate dehydrogenase OS=Oryctolagus cuniculus OX=9986 GN=GAPDH PE=1 SV=3</t>
        </is>
      </c>
      <c r="M2077" t="n">
        <v>333</v>
      </c>
      <c r="N2077" t="inlineStr">
        <is>
          <t>Oryctolagus cuniculus</t>
        </is>
      </c>
      <c r="O2077" t="inlineStr">
        <is>
          <t>Glyceraldehyde-3-phosphate dehydrogenase</t>
        </is>
      </c>
    </row>
    <row r="2078">
      <c r="A2078" t="inlineStr"/>
      <c r="B2078" t="inlineStr"/>
      <c r="C2078" t="inlineStr"/>
      <c r="D2078" t="inlineStr"/>
      <c r="E2078">
        <f>HYPERLINK("https://www.uniprot.org/uniprotkb/Q5RAB4/entry", "Q5RAB4")</f>
        <v/>
      </c>
      <c r="F2078" t="n">
        <v>85.7</v>
      </c>
      <c r="G2078" t="n">
        <v>112</v>
      </c>
      <c r="H2078" t="n">
        <v>3.44e-61</v>
      </c>
      <c r="I2078" t="inlineStr">
        <is>
          <t>Swiss-Prot</t>
        </is>
      </c>
      <c r="J2078" t="inlineStr">
        <is>
          <t>GAPDH</t>
        </is>
      </c>
      <c r="K2078" t="inlineStr">
        <is>
          <t>G3P_PONAB</t>
        </is>
      </c>
      <c r="L2078" t="inlineStr">
        <is>
          <t>sp|Q5RAB4|G3P_PONAB Glyceraldehyde-3-phosphate dehydrogenase OS=Pongo abelii OX=9601 GN=GAPDH PE=2 SV=3</t>
        </is>
      </c>
      <c r="M2078" t="n">
        <v>335</v>
      </c>
      <c r="N2078" t="inlineStr">
        <is>
          <t>Pongo abelii</t>
        </is>
      </c>
      <c r="O2078" t="inlineStr">
        <is>
          <t>Glyceraldehyde-3-phosphate dehydrogenase</t>
        </is>
      </c>
    </row>
    <row r="2079">
      <c r="A2079" t="inlineStr"/>
      <c r="B2079" t="inlineStr"/>
      <c r="C2079" t="inlineStr"/>
      <c r="D2079" t="inlineStr"/>
      <c r="E2079">
        <f>HYPERLINK("https://www.uniprot.org/uniprotkb/P51640/entry", "P51640")</f>
        <v/>
      </c>
      <c r="F2079" t="n">
        <v>83.90000000000001</v>
      </c>
      <c r="G2079" t="n">
        <v>112</v>
      </c>
      <c r="H2079" t="n">
        <v>1.47e-60</v>
      </c>
      <c r="I2079" t="inlineStr">
        <is>
          <t>Swiss-Prot</t>
        </is>
      </c>
      <c r="J2079" t="inlineStr">
        <is>
          <t>GAPDH</t>
        </is>
      </c>
      <c r="K2079" t="inlineStr">
        <is>
          <t>G3P_MESAU</t>
        </is>
      </c>
      <c r="L2079" t="inlineStr">
        <is>
          <t>sp|P51640|G3P_MESAU Glyceraldehyde-3-phosphate dehydrogenase (Fragment) OS=Mesocricetus auratus OX=10036 GN=GAPDH PE=2 SV=1</t>
        </is>
      </c>
      <c r="M2079" t="n">
        <v>312</v>
      </c>
      <c r="N2079" t="inlineStr">
        <is>
          <t>Mesocricetus auratus</t>
        </is>
      </c>
      <c r="O2079" t="inlineStr">
        <is>
          <t>Glyceraldehyde-3-phosphate dehydrogenase (Fragment)</t>
        </is>
      </c>
    </row>
    <row r="2080">
      <c r="A2080" t="inlineStr"/>
      <c r="B2080" t="inlineStr"/>
      <c r="C2080" t="inlineStr"/>
      <c r="D2080" t="inlineStr"/>
      <c r="E2080">
        <f>HYPERLINK("https://www.uniprot.org/uniprotkb/P17329/entry", "P17329")</f>
        <v/>
      </c>
      <c r="F2080" t="n">
        <v>85.7</v>
      </c>
      <c r="G2080" t="n">
        <v>112</v>
      </c>
      <c r="H2080" t="n">
        <v>2.59e-59</v>
      </c>
      <c r="I2080" t="inlineStr">
        <is>
          <t>Swiss-Prot</t>
        </is>
      </c>
      <c r="J2080" t="inlineStr">
        <is>
          <t>gpd-2</t>
        </is>
      </c>
      <c r="K2080" t="inlineStr">
        <is>
          <t>G3P2_CAEEL</t>
        </is>
      </c>
      <c r="L2080" t="inlineStr">
        <is>
          <t>sp|P17329|G3P2_CAEEL Glyceraldehyde-3-phosphate dehydrogenase 2 OS=Caenorhabditis elegans OX=6239 GN=gpd-2 PE=3 SV=2</t>
        </is>
      </c>
      <c r="M2080" t="n">
        <v>341</v>
      </c>
      <c r="N2080" t="inlineStr">
        <is>
          <t>Caenorhabditis elegans</t>
        </is>
      </c>
      <c r="O2080" t="inlineStr">
        <is>
          <t>Glyceraldehyde-3-phosphate dehydrogenase 2</t>
        </is>
      </c>
    </row>
    <row r="2081">
      <c r="A2081" t="inlineStr"/>
      <c r="B2081" t="inlineStr"/>
      <c r="C2081" t="inlineStr"/>
      <c r="D2081" t="inlineStr"/>
      <c r="E2081">
        <f>HYPERLINK("https://www.uniprot.org/uniprotkb/P17330/entry", "P17330")</f>
        <v/>
      </c>
      <c r="F2081" t="n">
        <v>85.7</v>
      </c>
      <c r="G2081" t="n">
        <v>112</v>
      </c>
      <c r="H2081" t="n">
        <v>2.59e-59</v>
      </c>
      <c r="I2081" t="inlineStr">
        <is>
          <t>Swiss-Prot</t>
        </is>
      </c>
      <c r="J2081" t="inlineStr">
        <is>
          <t>gpd-3</t>
        </is>
      </c>
      <c r="K2081" t="inlineStr">
        <is>
          <t>G3P3_CAEEL</t>
        </is>
      </c>
      <c r="L2081" t="inlineStr">
        <is>
          <t>sp|P17330|G3P3_CAEEL Glyceraldehyde-3-phosphate dehydrogenase 3 OS=Caenorhabditis elegans OX=6239 GN=gpd-3 PE=3 SV=1</t>
        </is>
      </c>
      <c r="M2081" t="n">
        <v>341</v>
      </c>
      <c r="N2081" t="inlineStr">
        <is>
          <t>Caenorhabditis elegans</t>
        </is>
      </c>
      <c r="O2081" t="inlineStr">
        <is>
          <t>Glyceraldehyde-3-phosphate dehydrogenase 3</t>
        </is>
      </c>
    </row>
    <row r="2082">
      <c r="A2082" t="inlineStr">
        <is>
          <t>NODE_16388_length_5254_cov_204.844419_g2446_i6</t>
        </is>
      </c>
      <c r="B2082" t="inlineStr">
        <is>
          <t>bombina_pachypus_blastx</t>
        </is>
      </c>
      <c r="C2082" t="n">
        <v>2.28297645357436</v>
      </c>
      <c r="D2082" t="n">
        <v>0.0438210633593624</v>
      </c>
      <c r="E2082">
        <f>HYPERLINK("https://www.ncbi.nlm.nih.gov/gene/?term=XP_040216370.1", "XP_040216370.1")</f>
        <v/>
      </c>
      <c r="F2082" t="n">
        <v>72.09999999999999</v>
      </c>
      <c r="G2082" t="n">
        <v>208</v>
      </c>
      <c r="H2082" t="n">
        <v>2.07e-97</v>
      </c>
      <c r="I2082" t="inlineStr">
        <is>
          <t>Nr</t>
        </is>
      </c>
      <c r="J2082" t="inlineStr"/>
      <c r="K2082" t="inlineStr"/>
      <c r="L2082" t="inlineStr">
        <is>
          <t>XP_040216370.1 transcription elongation factor A N-terminal and central domain-containing protein 2 [Rana temporaria]</t>
        </is>
      </c>
      <c r="M2082" t="n">
        <v>208</v>
      </c>
      <c r="N2082" t="inlineStr">
        <is>
          <t>Rana temporaria</t>
        </is>
      </c>
      <c r="O2082" t="inlineStr">
        <is>
          <t>transcription elongation factor A N-terminal and central domain-containing protein 2</t>
        </is>
      </c>
    </row>
    <row r="2083">
      <c r="A2083" t="inlineStr"/>
      <c r="B2083" t="inlineStr"/>
      <c r="C2083" t="inlineStr"/>
      <c r="D2083" t="inlineStr"/>
      <c r="E2083">
        <f>HYPERLINK("https://www.uniprot.org/uniprotkb/A0A8J6BMD2/entry", "A0A8J6BMD2")</f>
        <v/>
      </c>
      <c r="F2083" t="n">
        <v>70.3</v>
      </c>
      <c r="G2083" t="n">
        <v>209</v>
      </c>
      <c r="H2083" t="n">
        <v>5.31e-94</v>
      </c>
      <c r="I2083" t="inlineStr">
        <is>
          <t>TrEMBL</t>
        </is>
      </c>
      <c r="J2083" t="inlineStr">
        <is>
          <t>GDO78_017889</t>
        </is>
      </c>
      <c r="K2083" t="inlineStr">
        <is>
          <t>A0A8J6BMD2_ELECQ</t>
        </is>
      </c>
      <c r="L2083" t="inlineStr">
        <is>
          <t>tr|A0A8J6BMD2|A0A8J6BMD2_ELECQ Transcription elongation factor A N-terminal and central domain-containing protein 2 OS=Eleutherodactylus coqui OX=57060 GN=GDO78_017889 PE=4 SV=1</t>
        </is>
      </c>
      <c r="M2083" t="n">
        <v>209</v>
      </c>
      <c r="N2083" t="inlineStr">
        <is>
          <t>Eleutherodactylus coqui</t>
        </is>
      </c>
      <c r="O2083" t="inlineStr">
        <is>
          <t>Transcription elongation factor A N-terminal and central domain-containing protein 2</t>
        </is>
      </c>
    </row>
    <row r="2084">
      <c r="A2084" t="inlineStr"/>
      <c r="B2084" t="inlineStr"/>
      <c r="C2084" t="inlineStr"/>
      <c r="D2084" t="inlineStr"/>
      <c r="E2084">
        <f>HYPERLINK("https://www.ncbi.nlm.nih.gov/gene/?term=XP_018419497.1", "XP_018419497.1")</f>
        <v/>
      </c>
      <c r="F2084" t="n">
        <v>68.59999999999999</v>
      </c>
      <c r="G2084" t="n">
        <v>210</v>
      </c>
      <c r="H2084" t="n">
        <v>7e-94</v>
      </c>
      <c r="I2084" t="inlineStr">
        <is>
          <t>Nr</t>
        </is>
      </c>
      <c r="J2084" t="inlineStr"/>
      <c r="K2084" t="inlineStr"/>
      <c r="L2084" t="inlineStr">
        <is>
          <t>XP_018419497.1 PREDICTED: transcription elongation factor A N-terminal and central domain-containing protein 2 [Nanorana parkeri]</t>
        </is>
      </c>
      <c r="M2084" t="n">
        <v>210</v>
      </c>
      <c r="N2084" t="inlineStr">
        <is>
          <t>Nanorana parkeri</t>
        </is>
      </c>
      <c r="O2084" t="inlineStr">
        <is>
          <t>PREDICTED: transcription elongation factor A N-terminal and central domain-containing protein 2</t>
        </is>
      </c>
    </row>
    <row r="2085">
      <c r="A2085" t="inlineStr"/>
      <c r="B2085" t="inlineStr"/>
      <c r="C2085" t="inlineStr"/>
      <c r="D2085" t="inlineStr"/>
      <c r="E2085">
        <f>HYPERLINK("https://www.uniprot.org/uniprotkb/A0A822A9B7/entry", "A0A822A9B7")</f>
        <v/>
      </c>
      <c r="F2085" t="n">
        <v>69.59999999999999</v>
      </c>
      <c r="G2085" t="n">
        <v>207</v>
      </c>
      <c r="H2085" t="n">
        <v>9.99e-94</v>
      </c>
      <c r="I2085" t="inlineStr">
        <is>
          <t>TrEMBL</t>
        </is>
      </c>
      <c r="J2085" t="inlineStr">
        <is>
          <t>RIMITATOR_LOCUS6890091</t>
        </is>
      </c>
      <c r="K2085" t="inlineStr">
        <is>
          <t>A0A822A9B7_9NEOB</t>
        </is>
      </c>
      <c r="L2085" t="inlineStr">
        <is>
          <t>tr|A0A822A9B7|A0A822A9B7_9NEOB (mimic poison frog) hypothetical protein OS=Ranitomeya imitator OX=111125 GN=RIMITATOR_LOCUS6890091 PE=4 SV=1</t>
        </is>
      </c>
      <c r="M2085" t="n">
        <v>207</v>
      </c>
      <c r="N2085" t="inlineStr">
        <is>
          <t>Ranitomeya imitator</t>
        </is>
      </c>
      <c r="O2085" t="inlineStr">
        <is>
          <t>(mimic poison frog) hypothetical protein</t>
        </is>
      </c>
    </row>
    <row r="2086">
      <c r="A2086" t="inlineStr"/>
      <c r="B2086" t="inlineStr"/>
      <c r="C2086" t="inlineStr"/>
      <c r="D2086" t="inlineStr"/>
      <c r="E2086">
        <f>HYPERLINK("https://www.ncbi.nlm.nih.gov/gene/?term=KAG9465693.1", "KAG9465693.1")</f>
        <v/>
      </c>
      <c r="F2086" t="n">
        <v>70.3</v>
      </c>
      <c r="G2086" t="n">
        <v>209</v>
      </c>
      <c r="H2086" t="n">
        <v>1.36e-93</v>
      </c>
      <c r="I2086" t="inlineStr">
        <is>
          <t>Nr</t>
        </is>
      </c>
      <c r="J2086" t="inlineStr"/>
      <c r="K2086" t="inlineStr"/>
      <c r="L2086" t="inlineStr">
        <is>
          <t>KAG9465693.1 hypothetical protein GDO78_017889 [Eleutherodactylus coqui]</t>
        </is>
      </c>
      <c r="M2086" t="n">
        <v>209</v>
      </c>
      <c r="N2086" t="inlineStr">
        <is>
          <t>Eleutherodactylus coqui</t>
        </is>
      </c>
      <c r="O2086" t="inlineStr">
        <is>
          <t>hypothetical protein GDO78_017889</t>
        </is>
      </c>
    </row>
    <row r="2087">
      <c r="A2087" t="inlineStr"/>
      <c r="B2087" t="inlineStr"/>
      <c r="C2087" t="inlineStr"/>
      <c r="D2087" t="inlineStr"/>
      <c r="E2087">
        <f>HYPERLINK("https://www.ncbi.nlm.nih.gov/gene/?term=XP_044156546.1", "XP_044156546.1")</f>
        <v/>
      </c>
      <c r="F2087" t="n">
        <v>70.09999999999999</v>
      </c>
      <c r="G2087" t="n">
        <v>211</v>
      </c>
      <c r="H2087" t="n">
        <v>2.94e-93</v>
      </c>
      <c r="I2087" t="inlineStr">
        <is>
          <t>Nr</t>
        </is>
      </c>
      <c r="J2087" t="inlineStr"/>
      <c r="K2087" t="inlineStr"/>
      <c r="L2087" t="inlineStr">
        <is>
          <t>XP_044156546.1 transcription elongation factor A N-terminal and central domain-containing protein 2 [Bufo gargarizans]</t>
        </is>
      </c>
      <c r="M2087" t="n">
        <v>211</v>
      </c>
      <c r="N2087" t="inlineStr">
        <is>
          <t>Bufo gargarizans</t>
        </is>
      </c>
      <c r="O2087" t="inlineStr">
        <is>
          <t>transcription elongation factor A N-terminal and central domain-containing protein 2</t>
        </is>
      </c>
    </row>
    <row r="2088">
      <c r="A2088" t="inlineStr"/>
      <c r="B2088" t="inlineStr"/>
      <c r="C2088" t="inlineStr"/>
      <c r="D2088" t="inlineStr"/>
      <c r="E2088">
        <f>HYPERLINK("https://www.uniprot.org/uniprotkb/B0JZ17/entry", "B0JZ17")</f>
        <v/>
      </c>
      <c r="F2088" t="n">
        <v>67.59999999999999</v>
      </c>
      <c r="G2088" t="n">
        <v>207</v>
      </c>
      <c r="H2088" t="n">
        <v>1.65e-92</v>
      </c>
      <c r="I2088" t="inlineStr">
        <is>
          <t>TrEMBL</t>
        </is>
      </c>
      <c r="J2088" t="inlineStr">
        <is>
          <t>tceanc2</t>
        </is>
      </c>
      <c r="K2088" t="inlineStr">
        <is>
          <t>B0JZ17_XENTR</t>
        </is>
      </c>
      <c r="L2088" t="inlineStr">
        <is>
          <t>tr|B0JZ17|B0JZ17_XENTR Chromosome 16 open reading frame 91 OS=Xenopus tropicalis OX=8364 GN=tceanc2 PE=2 SV=1</t>
        </is>
      </c>
      <c r="M2088" t="n">
        <v>207</v>
      </c>
      <c r="N2088" t="inlineStr">
        <is>
          <t>Xenopus tropicalis</t>
        </is>
      </c>
      <c r="O2088" t="inlineStr">
        <is>
          <t>Chromosome 16 open reading frame 91</t>
        </is>
      </c>
    </row>
    <row r="2089">
      <c r="A2089" t="inlineStr"/>
      <c r="B2089" t="inlineStr"/>
      <c r="C2089" t="inlineStr"/>
      <c r="D2089" t="inlineStr"/>
      <c r="E2089">
        <f>HYPERLINK("https://www.ncbi.nlm.nih.gov/gene/?term=NP_001120119.1", "NP_001120119.1")</f>
        <v/>
      </c>
      <c r="F2089" t="n">
        <v>67.59999999999999</v>
      </c>
      <c r="G2089" t="n">
        <v>207</v>
      </c>
      <c r="H2089" t="n">
        <v>4.23e-92</v>
      </c>
      <c r="I2089" t="inlineStr">
        <is>
          <t>Nr</t>
        </is>
      </c>
      <c r="J2089" t="inlineStr"/>
      <c r="K2089" t="inlineStr"/>
      <c r="L2089" t="inlineStr">
        <is>
          <t>NP_001120119.1 transcription elongation factor A N-terminal and central domain-containing protein 2 [Xenopus tropicalis]</t>
        </is>
      </c>
      <c r="M2089" t="n">
        <v>207</v>
      </c>
      <c r="N2089" t="inlineStr">
        <is>
          <t>Xenopus tropicalis</t>
        </is>
      </c>
      <c r="O2089" t="inlineStr">
        <is>
          <t>transcription elongation factor A N-terminal and central domain-containing protein 2</t>
        </is>
      </c>
    </row>
    <row r="2090">
      <c r="A2090" t="inlineStr"/>
      <c r="B2090" t="inlineStr"/>
      <c r="C2090" t="inlineStr"/>
      <c r="D2090" t="inlineStr"/>
      <c r="E2090">
        <f>HYPERLINK("https://www.ncbi.nlm.nih.gov/gene/?term=XP_040263809.1", "XP_040263809.1")</f>
        <v/>
      </c>
      <c r="F2090" t="n">
        <v>69.2</v>
      </c>
      <c r="G2090" t="n">
        <v>211</v>
      </c>
      <c r="H2090" t="n">
        <v>6.89e-92</v>
      </c>
      <c r="I2090" t="inlineStr">
        <is>
          <t>Nr</t>
        </is>
      </c>
      <c r="J2090" t="inlineStr"/>
      <c r="K2090" t="inlineStr"/>
      <c r="L2090" t="inlineStr">
        <is>
          <t>XP_040263809.1 transcription elongation factor A N-terminal and central domain-containing protein 2 [Bufo bufo]</t>
        </is>
      </c>
      <c r="M2090" t="n">
        <v>211</v>
      </c>
      <c r="N2090" t="inlineStr">
        <is>
          <t>Bufo bufo</t>
        </is>
      </c>
      <c r="O2090" t="inlineStr">
        <is>
          <t>transcription elongation factor A N-terminal and central domain-containing protein 2</t>
        </is>
      </c>
    </row>
    <row r="2091">
      <c r="A2091" t="inlineStr"/>
      <c r="B2091" t="inlineStr"/>
      <c r="C2091" t="inlineStr"/>
      <c r="D2091" t="inlineStr"/>
      <c r="E2091">
        <f>HYPERLINK("https://www.ncbi.nlm.nih.gov/gene/?term=KAG8546734.1", "KAG8546734.1")</f>
        <v/>
      </c>
      <c r="F2091" t="n">
        <v>67</v>
      </c>
      <c r="G2091" t="n">
        <v>212</v>
      </c>
      <c r="H2091" t="n">
        <v>1.21e-90</v>
      </c>
      <c r="I2091" t="inlineStr">
        <is>
          <t>Nr</t>
        </is>
      </c>
      <c r="J2091" t="inlineStr"/>
      <c r="K2091" t="inlineStr"/>
      <c r="L2091" t="inlineStr">
        <is>
          <t>KAG8546734.1 hypothetical protein GDO81_029928 [Engystomops pustulosus]</t>
        </is>
      </c>
      <c r="M2091" t="n">
        <v>213</v>
      </c>
      <c r="N2091" t="inlineStr">
        <is>
          <t>Engystomops pustulosus</t>
        </is>
      </c>
      <c r="O2091" t="inlineStr">
        <is>
          <t>hypothetical protein GDO81_029928</t>
        </is>
      </c>
    </row>
    <row r="2092">
      <c r="A2092" t="inlineStr"/>
      <c r="B2092" t="inlineStr"/>
      <c r="C2092" t="inlineStr"/>
      <c r="D2092" t="inlineStr"/>
      <c r="E2092">
        <f>HYPERLINK("https://www.uniprot.org/uniprotkb/A0A8T2IY42/entry", "A0A8T2IY42")</f>
        <v/>
      </c>
      <c r="F2092" t="n">
        <v>68.3</v>
      </c>
      <c r="G2092" t="n">
        <v>208</v>
      </c>
      <c r="H2092" t="n">
        <v>4.28e-90</v>
      </c>
      <c r="I2092" t="inlineStr">
        <is>
          <t>TrEMBL</t>
        </is>
      </c>
      <c r="J2092" t="inlineStr">
        <is>
          <t>GDO86_007818</t>
        </is>
      </c>
      <c r="K2092" t="inlineStr">
        <is>
          <t>A0A8T2IY42_9PIPI</t>
        </is>
      </c>
      <c r="L2092" t="inlineStr">
        <is>
          <t>tr|A0A8T2IY42|A0A8T2IY42_9PIPI Transcription elongation factor A N-terminal and central domain-containing protein 2 OS=Hymenochirus boettgeri OX=247094 GN=GDO86_007818 PE=4 SV=1</t>
        </is>
      </c>
      <c r="M2092" t="n">
        <v>216</v>
      </c>
      <c r="N2092" t="inlineStr">
        <is>
          <t>Hymenochirus boettgeri</t>
        </is>
      </c>
      <c r="O2092" t="inlineStr">
        <is>
          <t>Transcription elongation factor A N-terminal and central domain-containing protein 2</t>
        </is>
      </c>
    </row>
    <row r="2093">
      <c r="A2093" t="inlineStr"/>
      <c r="B2093" t="inlineStr"/>
      <c r="C2093" t="inlineStr"/>
      <c r="D2093" t="inlineStr"/>
      <c r="E2093">
        <f>HYPERLINK("https://www.ncbi.nlm.nih.gov/gene/?term=KAG8436872.1", "KAG8436872.1")</f>
        <v/>
      </c>
      <c r="F2093" t="n">
        <v>68.3</v>
      </c>
      <c r="G2093" t="n">
        <v>208</v>
      </c>
      <c r="H2093" t="n">
        <v>1.1e-89</v>
      </c>
      <c r="I2093" t="inlineStr">
        <is>
          <t>Nr</t>
        </is>
      </c>
      <c r="J2093" t="inlineStr"/>
      <c r="K2093" t="inlineStr"/>
      <c r="L2093" t="inlineStr">
        <is>
          <t>KAG8436872.1 hypothetical protein GDO86_007818 [Hymenochirus boettgeri]</t>
        </is>
      </c>
      <c r="M2093" t="n">
        <v>216</v>
      </c>
      <c r="N2093" t="inlineStr">
        <is>
          <t>Hymenochirus boettgeri</t>
        </is>
      </c>
      <c r="O2093" t="inlineStr">
        <is>
          <t>hypothetical protein GDO86_007818</t>
        </is>
      </c>
    </row>
    <row r="2094">
      <c r="A2094" t="inlineStr"/>
      <c r="B2094" t="inlineStr"/>
      <c r="C2094" t="inlineStr"/>
      <c r="D2094" t="inlineStr"/>
      <c r="E2094">
        <f>HYPERLINK("https://www.uniprot.org/uniprotkb/A0A8J0PJK7/entry", "A0A8J0PJK7")</f>
        <v/>
      </c>
      <c r="F2094" t="n">
        <v>65.7</v>
      </c>
      <c r="G2094" t="n">
        <v>210</v>
      </c>
      <c r="H2094" t="n">
        <v>8.17e-89</v>
      </c>
      <c r="I2094" t="inlineStr">
        <is>
          <t>TrEMBL</t>
        </is>
      </c>
      <c r="J2094" t="inlineStr">
        <is>
          <t>LOC549866</t>
        </is>
      </c>
      <c r="K2094" t="inlineStr">
        <is>
          <t>A0A8J0PJK7_XENTR</t>
        </is>
      </c>
      <c r="L2094" t="inlineStr">
        <is>
          <t>tr|A0A8J0PJK7|A0A8J0PJK7_XENTR uncharacterized protein LOC549866 OS=Xenopus tropicalis OX=8364 GN=LOC549866 PE=4 SV=1</t>
        </is>
      </c>
      <c r="M2094" t="n">
        <v>210</v>
      </c>
      <c r="N2094" t="inlineStr">
        <is>
          <t>Xenopus tropicalis</t>
        </is>
      </c>
      <c r="O2094" t="inlineStr">
        <is>
          <t>uncharacterized protein LOC549866</t>
        </is>
      </c>
    </row>
    <row r="2095">
      <c r="A2095" t="inlineStr"/>
      <c r="B2095" t="inlineStr"/>
      <c r="C2095" t="inlineStr"/>
      <c r="D2095" t="inlineStr"/>
      <c r="E2095">
        <f>HYPERLINK("https://www.ncbi.nlm.nih.gov/gene/?term=KAE8610296.1", "KAE8610296.1")</f>
        <v/>
      </c>
      <c r="F2095" t="n">
        <v>65.7</v>
      </c>
      <c r="G2095" t="n">
        <v>210</v>
      </c>
      <c r="H2095" t="n">
        <v>1.04e-88</v>
      </c>
      <c r="I2095" t="inlineStr">
        <is>
          <t>Nr</t>
        </is>
      </c>
      <c r="J2095" t="inlineStr"/>
      <c r="K2095" t="inlineStr"/>
      <c r="L2095" t="inlineStr">
        <is>
          <t>KAE8610296.1 hypothetical protein XENTR_v10012073 [Xenopus tropicalis]</t>
        </is>
      </c>
      <c r="M2095" t="n">
        <v>210</v>
      </c>
      <c r="N2095" t="inlineStr">
        <is>
          <t>Xenopus tropicalis</t>
        </is>
      </c>
      <c r="O2095" t="inlineStr">
        <is>
          <t>hypothetical protein XENTR_v10012073</t>
        </is>
      </c>
    </row>
    <row r="2096">
      <c r="A2096" t="inlineStr"/>
      <c r="B2096" t="inlineStr"/>
      <c r="C2096" t="inlineStr"/>
      <c r="D2096" t="inlineStr"/>
      <c r="E2096">
        <f>HYPERLINK("https://www.ncbi.nlm.nih.gov/gene/?term=XP_053325235.1", "XP_053325235.1")</f>
        <v/>
      </c>
      <c r="F2096" t="n">
        <v>67.90000000000001</v>
      </c>
      <c r="G2096" t="n">
        <v>209</v>
      </c>
      <c r="H2096" t="n">
        <v>1.43e-88</v>
      </c>
      <c r="I2096" t="inlineStr">
        <is>
          <t>Nr</t>
        </is>
      </c>
      <c r="J2096" t="inlineStr"/>
      <c r="K2096" t="inlineStr"/>
      <c r="L2096" t="inlineStr">
        <is>
          <t>XP_053325235.1 transcription elongation factor A N-terminal and central domain-containing protein 2 [Spea bombifrons]</t>
        </is>
      </c>
      <c r="M2096" t="n">
        <v>209</v>
      </c>
      <c r="N2096" t="inlineStr">
        <is>
          <t>Spea bombifrons</t>
        </is>
      </c>
      <c r="O2096" t="inlineStr">
        <is>
          <t>transcription elongation factor A N-terminal and central domain-containing protein 2</t>
        </is>
      </c>
    </row>
    <row r="2097">
      <c r="A2097" t="inlineStr"/>
      <c r="B2097" t="inlineStr"/>
      <c r="C2097" t="inlineStr"/>
      <c r="D2097" t="inlineStr"/>
      <c r="E2097">
        <f>HYPERLINK("https://www.ncbi.nlm.nih.gov/gene/?term=NP_001017112.1", "NP_001017112.1")</f>
        <v/>
      </c>
      <c r="F2097" t="n">
        <v>65.7</v>
      </c>
      <c r="G2097" t="n">
        <v>210</v>
      </c>
      <c r="H2097" t="n">
        <v>2.1e-88</v>
      </c>
      <c r="I2097" t="inlineStr">
        <is>
          <t>Nr</t>
        </is>
      </c>
      <c r="J2097" t="inlineStr"/>
      <c r="K2097" t="inlineStr"/>
      <c r="L2097" t="inlineStr">
        <is>
          <t>NP_001017112.1 transcription elongation factor A N-terminal and central domain-containing protein 2 [Xenopus tropicalis]</t>
        </is>
      </c>
      <c r="M2097" t="n">
        <v>210</v>
      </c>
      <c r="N2097" t="inlineStr">
        <is>
          <t>Xenopus tropicalis</t>
        </is>
      </c>
      <c r="O2097" t="inlineStr">
        <is>
          <t>transcription elongation factor A N-terminal and central domain-containing protein 2</t>
        </is>
      </c>
    </row>
    <row r="2098">
      <c r="A2098" t="inlineStr"/>
      <c r="B2098" t="inlineStr"/>
      <c r="C2098" t="inlineStr"/>
      <c r="D2098" t="inlineStr"/>
      <c r="E2098">
        <f>HYPERLINK("https://www.ncbi.nlm.nih.gov/gene/?term=OCT82760.1", "OCT82760.1")</f>
        <v/>
      </c>
      <c r="F2098" t="n">
        <v>66.7</v>
      </c>
      <c r="G2098" t="n">
        <v>210</v>
      </c>
      <c r="H2098" t="n">
        <v>1.21e-87</v>
      </c>
      <c r="I2098" t="inlineStr">
        <is>
          <t>Nr</t>
        </is>
      </c>
      <c r="J2098" t="inlineStr"/>
      <c r="K2098" t="inlineStr"/>
      <c r="L2098" t="inlineStr">
        <is>
          <t>OCT82760.1 hypothetical protein XELAEV_18025294mg [Xenopus laevis]</t>
        </is>
      </c>
      <c r="M2098" t="n">
        <v>210</v>
      </c>
      <c r="N2098" t="inlineStr">
        <is>
          <t>Xenopus laevis</t>
        </is>
      </c>
      <c r="O2098" t="inlineStr">
        <is>
          <t>hypothetical protein XELAEV_18025294mg</t>
        </is>
      </c>
    </row>
    <row r="2099">
      <c r="A2099" t="inlineStr"/>
      <c r="B2099" t="inlineStr"/>
      <c r="C2099" t="inlineStr"/>
      <c r="D2099" t="inlineStr"/>
      <c r="E2099">
        <f>HYPERLINK("https://www.uniprot.org/uniprotkb/Q6GM10/entry", "Q6GM10")</f>
        <v/>
      </c>
      <c r="F2099" t="n">
        <v>66.2</v>
      </c>
      <c r="G2099" t="n">
        <v>210</v>
      </c>
      <c r="H2099" t="n">
        <v>1.35e-87</v>
      </c>
      <c r="I2099" t="inlineStr">
        <is>
          <t>TrEMBL</t>
        </is>
      </c>
      <c r="J2099" t="inlineStr">
        <is>
          <t>tceanc2.S</t>
        </is>
      </c>
      <c r="K2099" t="inlineStr">
        <is>
          <t>Q6GM10_XENLA</t>
        </is>
      </c>
      <c r="L2099" t="inlineStr">
        <is>
          <t>tr|Q6GM10|Q6GM10_XENLA MGC84060 protein OS=Xenopus laevis OX=8355 GN=tceanc2.S PE=2 SV=1</t>
        </is>
      </c>
      <c r="M2099" t="n">
        <v>210</v>
      </c>
      <c r="N2099" t="inlineStr">
        <is>
          <t>Xenopus laevis</t>
        </is>
      </c>
      <c r="O2099" t="inlineStr">
        <is>
          <t>MGC84060 protein</t>
        </is>
      </c>
    </row>
    <row r="2100">
      <c r="A2100" t="inlineStr"/>
      <c r="B2100" t="inlineStr"/>
      <c r="C2100" t="inlineStr"/>
      <c r="D2100" t="inlineStr"/>
      <c r="E2100">
        <f>HYPERLINK("https://www.ncbi.nlm.nih.gov/gene/?term=NP_001086167.1", "NP_001086167.1")</f>
        <v/>
      </c>
      <c r="F2100" t="n">
        <v>66.2</v>
      </c>
      <c r="G2100" t="n">
        <v>210</v>
      </c>
      <c r="H2100" t="n">
        <v>3.46e-87</v>
      </c>
      <c r="I2100" t="inlineStr">
        <is>
          <t>Nr</t>
        </is>
      </c>
      <c r="J2100" t="inlineStr"/>
      <c r="K2100" t="inlineStr"/>
      <c r="L2100" t="inlineStr">
        <is>
          <t>NP_001086167.1 transcription elongation factor A (SII) N-terminal and central domain containing 2 S homeolog [Xenopus laevis]</t>
        </is>
      </c>
      <c r="M2100" t="n">
        <v>210</v>
      </c>
      <c r="N2100" t="inlineStr">
        <is>
          <t>Xenopus laevis</t>
        </is>
      </c>
      <c r="O2100" t="inlineStr">
        <is>
          <t>transcription elongation factor A (SII) N-terminal and central domain containing 2 S homeolog</t>
        </is>
      </c>
    </row>
    <row r="2101">
      <c r="A2101" t="inlineStr"/>
      <c r="B2101" t="inlineStr"/>
      <c r="C2101" t="inlineStr"/>
      <c r="D2101" t="inlineStr"/>
      <c r="E2101">
        <f>HYPERLINK("https://www.uniprot.org/uniprotkb/A0A8C5R7Y0/entry", "A0A8C5R7Y0")</f>
        <v/>
      </c>
      <c r="F2101" t="n">
        <v>66.2</v>
      </c>
      <c r="G2101" t="n">
        <v>207</v>
      </c>
      <c r="H2101" t="n">
        <v>2.25e-85</v>
      </c>
      <c r="I2101" t="inlineStr">
        <is>
          <t>TrEMBL</t>
        </is>
      </c>
      <c r="J2101" t="inlineStr">
        <is>
          <t>TCEANC2</t>
        </is>
      </c>
      <c r="K2101" t="inlineStr">
        <is>
          <t>A0A8C5R7Y0_9ANUR</t>
        </is>
      </c>
      <c r="L2101" t="inlineStr">
        <is>
          <t>tr|A0A8C5R7Y0|A0A8C5R7Y0_9ANUR Transcription elongation factor A N-terminal and central domain containing 2 OS=Leptobrachium leishanense OX=445787 GN=TCEANC2 PE=4 SV=1</t>
        </is>
      </c>
      <c r="M2101" t="n">
        <v>206</v>
      </c>
      <c r="N2101" t="inlineStr">
        <is>
          <t>Leptobrachium leishanense</t>
        </is>
      </c>
      <c r="O2101" t="inlineStr">
        <is>
          <t>Transcription elongation factor A N-terminal and central domain containing 2</t>
        </is>
      </c>
    </row>
    <row r="2102">
      <c r="A2102" t="inlineStr"/>
      <c r="B2102" t="inlineStr"/>
      <c r="C2102" t="inlineStr"/>
      <c r="D2102" t="inlineStr"/>
      <c r="E2102">
        <f>HYPERLINK("https://www.uniprot.org/uniprotkb/A0A803JES5/entry", "A0A803JES5")</f>
        <v/>
      </c>
      <c r="F2102" t="n">
        <v>65.2</v>
      </c>
      <c r="G2102" t="n">
        <v>201</v>
      </c>
      <c r="H2102" t="n">
        <v>8.939999999999999e-83</v>
      </c>
      <c r="I2102" t="inlineStr">
        <is>
          <t>TrEMBL</t>
        </is>
      </c>
      <c r="J2102" t="inlineStr"/>
      <c r="K2102" t="inlineStr">
        <is>
          <t>A0A803JES5_XENTR</t>
        </is>
      </c>
      <c r="L2102" t="inlineStr">
        <is>
          <t>tr|A0A803JES5|A0A803JES5_XENTR TFIIS N-terminal domain-containing protein OS=Xenopus tropicalis OX=8364 PE=4 SV=1</t>
        </is>
      </c>
      <c r="M2102" t="n">
        <v>228</v>
      </c>
      <c r="N2102" t="inlineStr">
        <is>
          <t>Xenopus tropicalis</t>
        </is>
      </c>
      <c r="O2102" t="inlineStr">
        <is>
          <t>TFIIS N-terminal domain-containing protein</t>
        </is>
      </c>
    </row>
    <row r="2103">
      <c r="A2103" t="inlineStr"/>
      <c r="B2103" t="inlineStr"/>
      <c r="C2103" t="inlineStr"/>
      <c r="D2103" t="inlineStr"/>
      <c r="E2103">
        <f>HYPERLINK("https://www.uniprot.org/uniprotkb/A0A803JMG7/entry", "A0A803JMG7")</f>
        <v/>
      </c>
      <c r="F2103" t="n">
        <v>71.5</v>
      </c>
      <c r="G2103" t="n">
        <v>172</v>
      </c>
      <c r="H2103" t="n">
        <v>1.48e-76</v>
      </c>
      <c r="I2103" t="inlineStr">
        <is>
          <t>TrEMBL</t>
        </is>
      </c>
      <c r="J2103" t="inlineStr"/>
      <c r="K2103" t="inlineStr">
        <is>
          <t>A0A803JMG7_XENTR</t>
        </is>
      </c>
      <c r="L2103" t="inlineStr">
        <is>
          <t>tr|A0A803JMG7|A0A803JMG7_XENTR TFIIS N-terminal domain-containing protein OS=Xenopus tropicalis OX=8364 PE=4 SV=1</t>
        </is>
      </c>
      <c r="M2103" t="n">
        <v>487</v>
      </c>
      <c r="N2103" t="inlineStr">
        <is>
          <t>Xenopus tropicalis</t>
        </is>
      </c>
      <c r="O2103" t="inlineStr">
        <is>
          <t>TFIIS N-terminal domain-containing protein</t>
        </is>
      </c>
    </row>
    <row r="2104">
      <c r="A2104" t="inlineStr"/>
      <c r="B2104" t="inlineStr"/>
      <c r="C2104" t="inlineStr"/>
      <c r="D2104" t="inlineStr"/>
      <c r="E2104">
        <f>HYPERLINK("https://www.ncbi.nlm.nih.gov/gene/?term=XP_034634302.1", "XP_034634302.1")</f>
        <v/>
      </c>
      <c r="F2104" t="n">
        <v>59.1</v>
      </c>
      <c r="G2104" t="n">
        <v>208</v>
      </c>
      <c r="H2104" t="n">
        <v>5.73e-76</v>
      </c>
      <c r="I2104" t="inlineStr">
        <is>
          <t>Nr</t>
        </is>
      </c>
      <c r="J2104" t="inlineStr"/>
      <c r="K2104" t="inlineStr"/>
      <c r="L2104" t="inlineStr">
        <is>
          <t>XP_034634302.1 transcription elongation factor A N-terminal and central domain-containing protein 2 [Trachemys scripta elegans]</t>
        </is>
      </c>
      <c r="M2104" t="n">
        <v>208</v>
      </c>
      <c r="N2104" t="inlineStr">
        <is>
          <t>Trachemys scripta elegans</t>
        </is>
      </c>
      <c r="O2104" t="inlineStr">
        <is>
          <t>transcription elongation factor A N-terminal and central domain-containing protein 2</t>
        </is>
      </c>
    </row>
    <row r="2105">
      <c r="A2105" t="inlineStr"/>
      <c r="B2105" t="inlineStr"/>
      <c r="C2105" t="inlineStr"/>
      <c r="D2105" t="inlineStr"/>
      <c r="E2105">
        <f>HYPERLINK("https://www.uniprot.org/uniprotkb/A0A674HXY4/entry", "A0A674HXY4")</f>
        <v/>
      </c>
      <c r="F2105" t="n">
        <v>58.7</v>
      </c>
      <c r="G2105" t="n">
        <v>208</v>
      </c>
      <c r="H2105" t="n">
        <v>9.03e-76</v>
      </c>
      <c r="I2105" t="inlineStr">
        <is>
          <t>TrEMBL</t>
        </is>
      </c>
      <c r="J2105" t="inlineStr">
        <is>
          <t>LOC112120539</t>
        </is>
      </c>
      <c r="K2105" t="inlineStr">
        <is>
          <t>A0A674HXY4_TERCA</t>
        </is>
      </c>
      <c r="L2105" t="inlineStr">
        <is>
          <t>tr|A0A674HXY4|A0A674HXY4_TERCA Transcription elongation factor A N-terminal and central domain containing 2 OS=Terrapene carolina triunguis OX=2587831 GN=LOC112120539 PE=4 SV=1</t>
        </is>
      </c>
      <c r="M2105" t="n">
        <v>208</v>
      </c>
      <c r="N2105" t="inlineStr">
        <is>
          <t>Terrapene carolina triunguis</t>
        </is>
      </c>
      <c r="O2105" t="inlineStr">
        <is>
          <t>Transcription elongation factor A N-terminal and central domain containing 2</t>
        </is>
      </c>
    </row>
    <row r="2106">
      <c r="A2106" t="inlineStr"/>
      <c r="B2106" t="inlineStr"/>
      <c r="C2106" t="inlineStr"/>
      <c r="D2106" t="inlineStr"/>
      <c r="E2106">
        <f>HYPERLINK("https://www.uniprot.org/uniprotkb/A0A8C4Y2T9/entry", "A0A8C4Y2T9")</f>
        <v/>
      </c>
      <c r="F2106" t="n">
        <v>58.7</v>
      </c>
      <c r="G2106" t="n">
        <v>208</v>
      </c>
      <c r="H2106" t="n">
        <v>9.03e-76</v>
      </c>
      <c r="I2106" t="inlineStr">
        <is>
          <t>TrEMBL</t>
        </is>
      </c>
      <c r="J2106" t="inlineStr">
        <is>
          <t>TCEANC2</t>
        </is>
      </c>
      <c r="K2106" t="inlineStr">
        <is>
          <t>A0A8C4Y2T9_9SAUR</t>
        </is>
      </c>
      <c r="L2106" t="inlineStr">
        <is>
          <t>tr|A0A8C4Y2T9|A0A8C4Y2T9_9SAUR Transcription elongation factor A N-terminal and central domain containing 2 OS=Gopherus evgoodei OX=1825980 GN=TCEANC2 PE=4 SV=1</t>
        </is>
      </c>
      <c r="M2106" t="n">
        <v>208</v>
      </c>
      <c r="N2106" t="inlineStr">
        <is>
          <t>Gopherus evgoodei</t>
        </is>
      </c>
      <c r="O2106" t="inlineStr">
        <is>
          <t>Transcription elongation factor A N-terminal and central domain containing 2</t>
        </is>
      </c>
    </row>
    <row r="2107">
      <c r="A2107" t="inlineStr"/>
      <c r="B2107" t="inlineStr"/>
      <c r="C2107" t="inlineStr"/>
      <c r="D2107" t="inlineStr"/>
      <c r="E2107">
        <f>HYPERLINK("https://www.uniprot.org/uniprotkb/A0A8C3F6Y7/entry", "A0A8C3F6Y7")</f>
        <v/>
      </c>
      <c r="F2107" t="n">
        <v>58.7</v>
      </c>
      <c r="G2107" t="n">
        <v>208</v>
      </c>
      <c r="H2107" t="n">
        <v>1.28e-75</v>
      </c>
      <c r="I2107" t="inlineStr">
        <is>
          <t>TrEMBL</t>
        </is>
      </c>
      <c r="J2107" t="inlineStr">
        <is>
          <t>TCEANC2</t>
        </is>
      </c>
      <c r="K2107" t="inlineStr">
        <is>
          <t>A0A8C3F6Y7_CHRPI</t>
        </is>
      </c>
      <c r="L2107" t="inlineStr">
        <is>
          <t>tr|A0A8C3F6Y7|A0A8C3F6Y7_CHRPI Transcription elongation factor A N-terminal and central domain containing 2 OS=Chrysemys picta bellii OX=8478 GN=TCEANC2 PE=4 SV=1</t>
        </is>
      </c>
      <c r="M2107" t="n">
        <v>208</v>
      </c>
      <c r="N2107" t="inlineStr">
        <is>
          <t>Chrysemys picta bellii</t>
        </is>
      </c>
      <c r="O2107" t="inlineStr">
        <is>
          <t>Transcription elongation factor A N-terminal and central domain containing 2</t>
        </is>
      </c>
    </row>
    <row r="2108">
      <c r="A2108" t="inlineStr"/>
      <c r="B2108" t="inlineStr"/>
      <c r="C2108" t="inlineStr"/>
      <c r="D2108" t="inlineStr"/>
      <c r="E2108">
        <f>HYPERLINK("https://www.uniprot.org/uniprotkb/A0A4D9EPN1/entry", "A0A4D9EPN1")</f>
        <v/>
      </c>
      <c r="F2108" t="n">
        <v>58.2</v>
      </c>
      <c r="G2108" t="n">
        <v>208</v>
      </c>
      <c r="H2108" t="n">
        <v>1.82e-75</v>
      </c>
      <c r="I2108" t="inlineStr">
        <is>
          <t>TrEMBL</t>
        </is>
      </c>
      <c r="J2108" t="inlineStr">
        <is>
          <t>DR999_PMT06705</t>
        </is>
      </c>
      <c r="K2108" t="inlineStr">
        <is>
          <t>A0A4D9EPN1_9SAUR</t>
        </is>
      </c>
      <c r="L2108" t="inlineStr">
        <is>
          <t>tr|A0A4D9EPN1|A0A4D9EPN1_9SAUR 39S ribosomal protein L22 OS=Platysternon megacephalum OX=55544 GN=DR999_PMT06705 PE=4 SV=1</t>
        </is>
      </c>
      <c r="M2108" t="n">
        <v>208</v>
      </c>
      <c r="N2108" t="inlineStr">
        <is>
          <t>Platysternon megacephalum</t>
        </is>
      </c>
      <c r="O2108" t="inlineStr">
        <is>
          <t>39S ribosomal protein L22</t>
        </is>
      </c>
    </row>
    <row r="2109">
      <c r="A2109" t="inlineStr"/>
      <c r="B2109" t="inlineStr"/>
      <c r="C2109" t="inlineStr"/>
      <c r="D2109" t="inlineStr"/>
      <c r="E2109">
        <f>HYPERLINK("https://www.ncbi.nlm.nih.gov/gene/?term=XP_026507568.1", "XP_026507568.1")</f>
        <v/>
      </c>
      <c r="F2109" t="n">
        <v>58.7</v>
      </c>
      <c r="G2109" t="n">
        <v>208</v>
      </c>
      <c r="H2109" t="n">
        <v>2.32e-75</v>
      </c>
      <c r="I2109" t="inlineStr">
        <is>
          <t>Nr</t>
        </is>
      </c>
      <c r="J2109" t="inlineStr"/>
      <c r="K2109" t="inlineStr"/>
      <c r="L2109" t="inlineStr">
        <is>
          <t>XP_026507568.1 transcription elongation factor A N-terminal and central domain-containing protein 2 [Terrapene carolina triunguis]</t>
        </is>
      </c>
      <c r="M2109" t="n">
        <v>208</v>
      </c>
      <c r="N2109" t="inlineStr">
        <is>
          <t>Terrapene carolina triunguis</t>
        </is>
      </c>
      <c r="O2109" t="inlineStr">
        <is>
          <t>transcription elongation factor A N-terminal and central domain-containing protein 2</t>
        </is>
      </c>
    </row>
    <row r="2110">
      <c r="A2110" t="inlineStr"/>
      <c r="B2110" t="inlineStr"/>
      <c r="C2110" t="inlineStr"/>
      <c r="D2110" t="inlineStr"/>
      <c r="E2110">
        <f>HYPERLINK("https://www.ncbi.nlm.nih.gov/gene/?term=XP_030427305.1", "XP_030427305.1")</f>
        <v/>
      </c>
      <c r="F2110" t="n">
        <v>58.7</v>
      </c>
      <c r="G2110" t="n">
        <v>208</v>
      </c>
      <c r="H2110" t="n">
        <v>2.32e-75</v>
      </c>
      <c r="I2110" t="inlineStr">
        <is>
          <t>Nr</t>
        </is>
      </c>
      <c r="J2110" t="inlineStr"/>
      <c r="K2110" t="inlineStr"/>
      <c r="L2110" t="inlineStr">
        <is>
          <t>XP_030427305.1 transcription elongation factor A N-terminal and central domain-containing protein 2 [Gopherus evgoodei]</t>
        </is>
      </c>
      <c r="M2110" t="n">
        <v>208</v>
      </c>
      <c r="N2110" t="inlineStr">
        <is>
          <t>Gopherus evgoodei</t>
        </is>
      </c>
      <c r="O2110" t="inlineStr">
        <is>
          <t>transcription elongation factor A N-terminal and central domain-containing protein 2</t>
        </is>
      </c>
    </row>
    <row r="2111">
      <c r="A2111" t="inlineStr"/>
      <c r="B2111" t="inlineStr"/>
      <c r="C2111" t="inlineStr"/>
      <c r="D2111" t="inlineStr"/>
      <c r="E2111">
        <f>HYPERLINK("https://www.uniprot.org/uniprotkb/A0A8C3TGK3/entry", "A0A8C3TGK3")</f>
        <v/>
      </c>
      <c r="F2111" t="n">
        <v>58.7</v>
      </c>
      <c r="G2111" t="n">
        <v>208</v>
      </c>
      <c r="H2111" t="n">
        <v>2.58e-75</v>
      </c>
      <c r="I2111" t="inlineStr">
        <is>
          <t>TrEMBL</t>
        </is>
      </c>
      <c r="J2111" t="inlineStr">
        <is>
          <t>TCEANC2</t>
        </is>
      </c>
      <c r="K2111" t="inlineStr">
        <is>
          <t>A0A8C3TGK3_CHESE</t>
        </is>
      </c>
      <c r="L2111" t="inlineStr">
        <is>
          <t>tr|A0A8C3TGK3|A0A8C3TGK3_CHESE Transcription elongation factor A N-terminal and central domain containing 2 OS=Chelydra serpentina OX=8475 GN=TCEANC2 PE=4 SV=1</t>
        </is>
      </c>
      <c r="M2111" t="n">
        <v>208</v>
      </c>
      <c r="N2111" t="inlineStr">
        <is>
          <t>Chelydra serpentina</t>
        </is>
      </c>
      <c r="O2111" t="inlineStr">
        <is>
          <t>Transcription elongation factor A N-terminal and central domain containing 2</t>
        </is>
      </c>
    </row>
    <row r="2112">
      <c r="A2112" t="inlineStr"/>
      <c r="B2112" t="inlineStr"/>
      <c r="C2112" t="inlineStr"/>
      <c r="D2112" t="inlineStr"/>
      <c r="E2112">
        <f>HYPERLINK("https://www.ncbi.nlm.nih.gov/gene/?term=XP_005284911.1", "XP_005284911.1")</f>
        <v/>
      </c>
      <c r="F2112" t="n">
        <v>58.7</v>
      </c>
      <c r="G2112" t="n">
        <v>208</v>
      </c>
      <c r="H2112" t="n">
        <v>3.29e-75</v>
      </c>
      <c r="I2112" t="inlineStr">
        <is>
          <t>Nr</t>
        </is>
      </c>
      <c r="J2112" t="inlineStr"/>
      <c r="K2112" t="inlineStr"/>
      <c r="L2112" t="inlineStr">
        <is>
          <t>XP_005284911.1 transcription elongation factor A N-terminal and central domain-containing protein 2 [Chrysemys picta bellii]</t>
        </is>
      </c>
      <c r="M2112" t="n">
        <v>208</v>
      </c>
      <c r="N2112" t="inlineStr">
        <is>
          <t>Chrysemys picta bellii</t>
        </is>
      </c>
      <c r="O2112" t="inlineStr">
        <is>
          <t>transcription elongation factor A N-terminal and central domain-containing protein 2</t>
        </is>
      </c>
    </row>
    <row r="2113">
      <c r="A2113" t="inlineStr"/>
      <c r="B2113" t="inlineStr"/>
      <c r="C2113" t="inlineStr"/>
      <c r="D2113" t="inlineStr"/>
      <c r="E2113">
        <f>HYPERLINK("https://www.ncbi.nlm.nih.gov/gene/?term=TFK10133.1", "TFK10133.1")</f>
        <v/>
      </c>
      <c r="F2113" t="n">
        <v>58.2</v>
      </c>
      <c r="G2113" t="n">
        <v>208</v>
      </c>
      <c r="H2113" t="n">
        <v>4.67e-75</v>
      </c>
      <c r="I2113" t="inlineStr">
        <is>
          <t>Nr</t>
        </is>
      </c>
      <c r="J2113" t="inlineStr"/>
      <c r="K2113" t="inlineStr"/>
      <c r="L2113" t="inlineStr">
        <is>
          <t>TFK10133.1 39S ribosomal protein L22 [Platysternon megacephalum]</t>
        </is>
      </c>
      <c r="M2113" t="n">
        <v>208</v>
      </c>
      <c r="N2113" t="inlineStr">
        <is>
          <t>Platysternon megacephalum</t>
        </is>
      </c>
      <c r="O2113" t="inlineStr">
        <is>
          <t>39S ribosomal protein L22</t>
        </is>
      </c>
    </row>
    <row r="2114">
      <c r="A2114" t="inlineStr"/>
      <c r="B2114" t="inlineStr"/>
      <c r="C2114" t="inlineStr"/>
      <c r="D2114" t="inlineStr"/>
      <c r="E2114">
        <f>HYPERLINK("https://www.ncbi.nlm.nih.gov/gene/?term=XP_039339599.1", "XP_039339599.1")</f>
        <v/>
      </c>
      <c r="F2114" t="n">
        <v>58.7</v>
      </c>
      <c r="G2114" t="n">
        <v>208</v>
      </c>
      <c r="H2114" t="n">
        <v>4.67e-75</v>
      </c>
      <c r="I2114" t="inlineStr">
        <is>
          <t>Nr</t>
        </is>
      </c>
      <c r="J2114" t="inlineStr"/>
      <c r="K2114" t="inlineStr"/>
      <c r="L2114" t="inlineStr">
        <is>
          <t>XP_039339599.1 transcription elongation factor A N-terminal and central domain-containing protein 2 isoform X2 [Mauremys reevesii]</t>
        </is>
      </c>
      <c r="M2114" t="n">
        <v>208</v>
      </c>
      <c r="N2114" t="inlineStr">
        <is>
          <t>Mauremys reevesii</t>
        </is>
      </c>
      <c r="O2114" t="inlineStr">
        <is>
          <t>transcription elongation factor A N-terminal and central domain-containing protein 2 isoform X2</t>
        </is>
      </c>
    </row>
    <row r="2115">
      <c r="A2115" t="inlineStr"/>
      <c r="B2115" t="inlineStr"/>
      <c r="C2115" t="inlineStr"/>
      <c r="D2115" t="inlineStr"/>
      <c r="E2115">
        <f>HYPERLINK("https://www.ncbi.nlm.nih.gov/gene/?term=KAG6927879.1", "KAG6927879.1")</f>
        <v/>
      </c>
      <c r="F2115" t="n">
        <v>58.7</v>
      </c>
      <c r="G2115" t="n">
        <v>208</v>
      </c>
      <c r="H2115" t="n">
        <v>6.63e-75</v>
      </c>
      <c r="I2115" t="inlineStr">
        <is>
          <t>Nr</t>
        </is>
      </c>
      <c r="J2115" t="inlineStr"/>
      <c r="K2115" t="inlineStr"/>
      <c r="L2115" t="inlineStr">
        <is>
          <t>KAG6927879.1 transcription elongation factor A N-terminal and central domain containing 2 [Chelydra serpentina]</t>
        </is>
      </c>
      <c r="M2115" t="n">
        <v>208</v>
      </c>
      <c r="N2115" t="inlineStr">
        <is>
          <t>Chelydra serpentina</t>
        </is>
      </c>
      <c r="O2115" t="inlineStr">
        <is>
          <t>transcription elongation factor A N-terminal and central domain containing 2</t>
        </is>
      </c>
    </row>
    <row r="2116">
      <c r="A2116" t="inlineStr"/>
      <c r="B2116" t="inlineStr"/>
      <c r="C2116" t="inlineStr"/>
      <c r="D2116" t="inlineStr"/>
      <c r="E2116">
        <f>HYPERLINK("https://www.ncbi.nlm.nih.gov/gene/?term=XP_050819559.1", "XP_050819559.1")</f>
        <v/>
      </c>
      <c r="F2116" t="n">
        <v>58.2</v>
      </c>
      <c r="G2116" t="n">
        <v>208</v>
      </c>
      <c r="H2116" t="n">
        <v>6.63e-75</v>
      </c>
      <c r="I2116" t="inlineStr">
        <is>
          <t>Nr</t>
        </is>
      </c>
      <c r="J2116" t="inlineStr"/>
      <c r="K2116" t="inlineStr"/>
      <c r="L2116" t="inlineStr">
        <is>
          <t>XP_050819559.1 transcription elongation factor A N-terminal and central domain-containing protein 2 [Gopherus flavomarginatus]</t>
        </is>
      </c>
      <c r="M2116" t="n">
        <v>208</v>
      </c>
      <c r="N2116" t="inlineStr">
        <is>
          <t>Gopherus flavomarginatus</t>
        </is>
      </c>
      <c r="O2116" t="inlineStr">
        <is>
          <t>transcription elongation factor A N-terminal and central domain-containing protein 2</t>
        </is>
      </c>
    </row>
    <row r="2117">
      <c r="A2117" t="inlineStr"/>
      <c r="B2117" t="inlineStr"/>
      <c r="C2117" t="inlineStr"/>
      <c r="D2117" t="inlineStr"/>
      <c r="E2117">
        <f>HYPERLINK("https://www.ncbi.nlm.nih.gov/gene/?term=XP_037763245.1", "XP_037763245.1")</f>
        <v/>
      </c>
      <c r="F2117" t="n">
        <v>58.7</v>
      </c>
      <c r="G2117" t="n">
        <v>208</v>
      </c>
      <c r="H2117" t="n">
        <v>9.399999999999999e-75</v>
      </c>
      <c r="I2117" t="inlineStr">
        <is>
          <t>Nr</t>
        </is>
      </c>
      <c r="J2117" t="inlineStr"/>
      <c r="K2117" t="inlineStr"/>
      <c r="L2117" t="inlineStr">
        <is>
          <t>XP_037763245.1 transcription elongation factor A N-terminal and central domain-containing protein 2 [Chelonia mydas]</t>
        </is>
      </c>
      <c r="M2117" t="n">
        <v>208</v>
      </c>
      <c r="N2117" t="inlineStr">
        <is>
          <t>Chelonia mydas</t>
        </is>
      </c>
      <c r="O2117" t="inlineStr">
        <is>
          <t>transcription elongation factor A N-terminal and central domain-containing protein 2</t>
        </is>
      </c>
    </row>
    <row r="2118">
      <c r="A2118" t="inlineStr"/>
      <c r="B2118" t="inlineStr"/>
      <c r="C2118" t="inlineStr"/>
      <c r="D2118" t="inlineStr"/>
      <c r="E2118">
        <f>HYPERLINK("https://www.uniprot.org/uniprotkb/K7F4W9/entry", "K7F4W9")</f>
        <v/>
      </c>
      <c r="F2118" t="n">
        <v>58.2</v>
      </c>
      <c r="G2118" t="n">
        <v>208</v>
      </c>
      <c r="H2118" t="n">
        <v>1.04e-74</v>
      </c>
      <c r="I2118" t="inlineStr">
        <is>
          <t>TrEMBL</t>
        </is>
      </c>
      <c r="J2118" t="inlineStr">
        <is>
          <t>TCEANC2</t>
        </is>
      </c>
      <c r="K2118" t="inlineStr">
        <is>
          <t>K7F4W9_PELSI</t>
        </is>
      </c>
      <c r="L2118" t="inlineStr">
        <is>
          <t>tr|K7F4W9|K7F4W9_PELSI Transcription elongation factor A N-terminal and central domain containing 2 OS=Pelodiscus sinensis OX=13735 GN=TCEANC2 PE=4 SV=1</t>
        </is>
      </c>
      <c r="M2118" t="n">
        <v>208</v>
      </c>
      <c r="N2118" t="inlineStr">
        <is>
          <t>Pelodiscus sinensis</t>
        </is>
      </c>
      <c r="O2118" t="inlineStr">
        <is>
          <t>Transcription elongation factor A N-terminal and central domain containing 2</t>
        </is>
      </c>
    </row>
    <row r="2119">
      <c r="A2119" t="inlineStr"/>
      <c r="B2119" t="inlineStr"/>
      <c r="C2119" t="inlineStr"/>
      <c r="D2119" t="inlineStr"/>
      <c r="E2119">
        <f>HYPERLINK("https://www.uniprot.org/uniprotkb/H3AFY7/entry", "H3AFY7")</f>
        <v/>
      </c>
      <c r="F2119" t="n">
        <v>59.1</v>
      </c>
      <c r="G2119" t="n">
        <v>208</v>
      </c>
      <c r="H2119" t="n">
        <v>1.48e-74</v>
      </c>
      <c r="I2119" t="inlineStr">
        <is>
          <t>TrEMBL</t>
        </is>
      </c>
      <c r="J2119" t="inlineStr">
        <is>
          <t>TCEANC2</t>
        </is>
      </c>
      <c r="K2119" t="inlineStr">
        <is>
          <t>H3AFY7_LATCH</t>
        </is>
      </c>
      <c r="L2119" t="inlineStr">
        <is>
          <t>tr|H3AFY7|H3AFY7_LATCH Transcription elongation factor A N-terminal and central domain containing 2 OS=Latimeria chalumnae OX=7897 GN=TCEANC2 PE=4 SV=1</t>
        </is>
      </c>
      <c r="M2119" t="n">
        <v>208</v>
      </c>
      <c r="N2119" t="inlineStr">
        <is>
          <t>Latimeria chalumnae</t>
        </is>
      </c>
      <c r="O2119" t="inlineStr">
        <is>
          <t>Transcription elongation factor A N-terminal and central domain containing 2</t>
        </is>
      </c>
    </row>
    <row r="2120">
      <c r="A2120" t="inlineStr"/>
      <c r="B2120" t="inlineStr"/>
      <c r="C2120" t="inlineStr"/>
      <c r="D2120" t="inlineStr"/>
      <c r="E2120">
        <f>HYPERLINK("https://www.uniprot.org/uniprotkb/A0A452HW84/entry", "A0A452HW84")</f>
        <v/>
      </c>
      <c r="F2120" t="n">
        <v>58.2</v>
      </c>
      <c r="G2120" t="n">
        <v>208</v>
      </c>
      <c r="H2120" t="n">
        <v>2.1e-74</v>
      </c>
      <c r="I2120" t="inlineStr">
        <is>
          <t>TrEMBL</t>
        </is>
      </c>
      <c r="J2120" t="inlineStr"/>
      <c r="K2120" t="inlineStr">
        <is>
          <t>A0A452HW84_9SAUR</t>
        </is>
      </c>
      <c r="L2120" t="inlineStr">
        <is>
          <t>tr|A0A452HW84|A0A452HW84_9SAUR Transcription elongation factor A N-terminal and central domain containing 2 OS=Gopherus agassizii OX=38772 PE=4 SV=1</t>
        </is>
      </c>
      <c r="M2120" t="n">
        <v>208</v>
      </c>
      <c r="N2120" t="inlineStr">
        <is>
          <t>Gopherus agassizii</t>
        </is>
      </c>
      <c r="O2120" t="inlineStr">
        <is>
          <t>Transcription elongation factor A N-terminal and central domain containing 2</t>
        </is>
      </c>
    </row>
    <row r="2121">
      <c r="A2121" t="inlineStr"/>
      <c r="B2121" t="inlineStr"/>
      <c r="C2121" t="inlineStr"/>
      <c r="D2121" t="inlineStr"/>
      <c r="E2121">
        <f>HYPERLINK("https://www.ncbi.nlm.nih.gov/gene/?term=XP_006133528.1", "XP_006133528.1")</f>
        <v/>
      </c>
      <c r="F2121" t="n">
        <v>58.2</v>
      </c>
      <c r="G2121" t="n">
        <v>208</v>
      </c>
      <c r="H2121" t="n">
        <v>2.68e-74</v>
      </c>
      <c r="I2121" t="inlineStr">
        <is>
          <t>Nr</t>
        </is>
      </c>
      <c r="J2121" t="inlineStr"/>
      <c r="K2121" t="inlineStr"/>
      <c r="L2121" t="inlineStr">
        <is>
          <t>XP_006133528.1 transcription elongation factor A N-terminal and central domain-containing protein 2 [Pelodiscus sinensis]</t>
        </is>
      </c>
      <c r="M2121" t="n">
        <v>208</v>
      </c>
      <c r="N2121" t="inlineStr">
        <is>
          <t>Pelodiscus sinensis</t>
        </is>
      </c>
      <c r="O2121" t="inlineStr">
        <is>
          <t>transcription elongation factor A N-terminal and central domain-containing protein 2</t>
        </is>
      </c>
    </row>
    <row r="2122">
      <c r="A2122" t="inlineStr"/>
      <c r="B2122" t="inlineStr"/>
      <c r="C2122" t="inlineStr"/>
      <c r="D2122" t="inlineStr"/>
      <c r="E2122">
        <f>HYPERLINK("https://www.uniprot.org/uniprotkb/A0A8C0HH87/entry", "A0A8C0HH87")</f>
        <v/>
      </c>
      <c r="F2122" t="n">
        <v>57.7</v>
      </c>
      <c r="G2122" t="n">
        <v>208</v>
      </c>
      <c r="H2122" t="n">
        <v>2.98e-74</v>
      </c>
      <c r="I2122" t="inlineStr">
        <is>
          <t>TrEMBL</t>
        </is>
      </c>
      <c r="J2122" t="inlineStr">
        <is>
          <t>TCEANC2</t>
        </is>
      </c>
      <c r="K2122" t="inlineStr">
        <is>
          <t>A0A8C0HH87_CHEAB</t>
        </is>
      </c>
      <c r="L2122" t="inlineStr">
        <is>
          <t>tr|A0A8C0HH87|A0A8C0HH87_CHEAB Transcription elongation factor A N-terminal and central domain containing 2 OS=Chelonoidis abingdonii OX=106734 GN=TCEANC2 PE=4 SV=1</t>
        </is>
      </c>
      <c r="M2122" t="n">
        <v>208</v>
      </c>
      <c r="N2122" t="inlineStr">
        <is>
          <t>Chelonoidis abingdonii</t>
        </is>
      </c>
      <c r="O2122" t="inlineStr">
        <is>
          <t>Transcription elongation factor A N-terminal and central domain containing 2</t>
        </is>
      </c>
    </row>
    <row r="2123">
      <c r="A2123" t="inlineStr"/>
      <c r="B2123" t="inlineStr"/>
      <c r="C2123" t="inlineStr"/>
      <c r="D2123" t="inlineStr"/>
      <c r="E2123">
        <f>HYPERLINK("https://www.ncbi.nlm.nih.gov/gene/?term=XP_006002608.1", "XP_006002608.1")</f>
        <v/>
      </c>
      <c r="F2123" t="n">
        <v>59.1</v>
      </c>
      <c r="G2123" t="n">
        <v>208</v>
      </c>
      <c r="H2123" t="n">
        <v>3.81e-74</v>
      </c>
      <c r="I2123" t="inlineStr">
        <is>
          <t>Nr</t>
        </is>
      </c>
      <c r="J2123" t="inlineStr"/>
      <c r="K2123" t="inlineStr"/>
      <c r="L2123" t="inlineStr">
        <is>
          <t>XP_006002608.1 PREDICTED: transcription elongation factor A N-terminal and central domain-containing protein 2 isoform X1 [Latimeria chalumnae]</t>
        </is>
      </c>
      <c r="M2123" t="n">
        <v>208</v>
      </c>
      <c r="N2123" t="inlineStr">
        <is>
          <t>Latimeria chalumnae</t>
        </is>
      </c>
      <c r="O2123" t="inlineStr">
        <is>
          <t>PREDICTED: transcription elongation factor A N-terminal and central domain-containing protein 2 isoform X1</t>
        </is>
      </c>
    </row>
    <row r="2124">
      <c r="A2124" t="inlineStr"/>
      <c r="B2124" t="inlineStr"/>
      <c r="C2124" t="inlineStr"/>
      <c r="D2124" t="inlineStr"/>
      <c r="E2124">
        <f>HYPERLINK("https://www.ncbi.nlm.nih.gov/gene/?term=XP_027554750.1", "XP_027554750.1")</f>
        <v/>
      </c>
      <c r="F2124" t="n">
        <v>57.2</v>
      </c>
      <c r="G2124" t="n">
        <v>208</v>
      </c>
      <c r="H2124" t="n">
        <v>3.81e-74</v>
      </c>
      <c r="I2124" t="inlineStr">
        <is>
          <t>Nr</t>
        </is>
      </c>
      <c r="J2124" t="inlineStr"/>
      <c r="K2124" t="inlineStr"/>
      <c r="L2124" t="inlineStr">
        <is>
          <t>XP_027554750.1 transcription elongation factor A N-terminal and central domain-containing protein 2 [Neopelma chrysocephalum]</t>
        </is>
      </c>
      <c r="M2124" t="n">
        <v>208</v>
      </c>
      <c r="N2124" t="inlineStr">
        <is>
          <t>Neopelma chrysocephalum</t>
        </is>
      </c>
      <c r="O2124" t="inlineStr">
        <is>
          <t>transcription elongation factor A N-terminal and central domain-containing protein 2</t>
        </is>
      </c>
    </row>
    <row r="2125">
      <c r="A2125" t="inlineStr"/>
      <c r="B2125" t="inlineStr"/>
      <c r="C2125" t="inlineStr"/>
      <c r="D2125" t="inlineStr"/>
      <c r="E2125">
        <f>HYPERLINK("https://www.uniprot.org/uniprotkb/A0A7K5ZJE6/entry", "A0A7K5ZJE6")</f>
        <v/>
      </c>
      <c r="F2125" t="n">
        <v>56.3</v>
      </c>
      <c r="G2125" t="n">
        <v>208</v>
      </c>
      <c r="H2125" t="n">
        <v>2.43e-73</v>
      </c>
      <c r="I2125" t="inlineStr">
        <is>
          <t>TrEMBL</t>
        </is>
      </c>
      <c r="J2125" t="inlineStr">
        <is>
          <t>Tceanc2</t>
        </is>
      </c>
      <c r="K2125" t="inlineStr">
        <is>
          <t>A0A7K5ZJE6_ONYCO</t>
        </is>
      </c>
      <c r="L2125" t="inlineStr">
        <is>
          <t>tr|A0A7K5ZJE6|A0A7K5ZJE6_ONYCO TEAN2 protein (Fragment) OS=Onychorhynchus coronatus OX=360224 GN=Tceanc2 PE=4 SV=1</t>
        </is>
      </c>
      <c r="M2125" t="n">
        <v>208</v>
      </c>
      <c r="N2125" t="inlineStr">
        <is>
          <t>Onychorhynchus coronatus</t>
        </is>
      </c>
      <c r="O2125" t="inlineStr">
        <is>
          <t>TEAN2 protein (Fragment)</t>
        </is>
      </c>
    </row>
    <row r="2126">
      <c r="A2126" t="inlineStr"/>
      <c r="B2126" t="inlineStr"/>
      <c r="C2126" t="inlineStr"/>
      <c r="D2126" t="inlineStr"/>
      <c r="E2126">
        <f>HYPERLINK("https://www.uniprot.org/uniprotkb/A0A7L3PHH0/entry", "A0A7L3PHH0")</f>
        <v/>
      </c>
      <c r="F2126" t="n">
        <v>56.7</v>
      </c>
      <c r="G2126" t="n">
        <v>208</v>
      </c>
      <c r="H2126" t="n">
        <v>3.45e-73</v>
      </c>
      <c r="I2126" t="inlineStr">
        <is>
          <t>TrEMBL</t>
        </is>
      </c>
      <c r="J2126" t="inlineStr">
        <is>
          <t>Tceanc2</t>
        </is>
      </c>
      <c r="K2126" t="inlineStr">
        <is>
          <t>A0A7L3PHH0_9DEND</t>
        </is>
      </c>
      <c r="L2126" t="inlineStr">
        <is>
          <t>tr|A0A7L3PHH0|A0A7L3PHH0_9DEND TEAN2 protein (Fragment) OS=Xiphorhynchus elegans OX=269412 GN=Tceanc2 PE=4 SV=1</t>
        </is>
      </c>
      <c r="M2126" t="n">
        <v>208</v>
      </c>
      <c r="N2126" t="inlineStr">
        <is>
          <t>Xiphorhynchus elegans</t>
        </is>
      </c>
      <c r="O2126" t="inlineStr">
        <is>
          <t>TEAN2 protein (Fragment)</t>
        </is>
      </c>
    </row>
    <row r="2127">
      <c r="A2127" t="inlineStr"/>
      <c r="B2127" t="inlineStr"/>
      <c r="C2127" t="inlineStr"/>
      <c r="D2127" t="inlineStr"/>
      <c r="E2127">
        <f>HYPERLINK("https://www.uniprot.org/uniprotkb/M3ZE13/entry", "M3ZE13")</f>
        <v/>
      </c>
      <c r="F2127" t="n">
        <v>57.5</v>
      </c>
      <c r="G2127" t="n">
        <v>207</v>
      </c>
      <c r="H2127" t="n">
        <v>6.72e-73</v>
      </c>
      <c r="I2127" t="inlineStr">
        <is>
          <t>TrEMBL</t>
        </is>
      </c>
      <c r="J2127" t="inlineStr"/>
      <c r="K2127" t="inlineStr">
        <is>
          <t>M3ZE13_XIPMA</t>
        </is>
      </c>
      <c r="L2127" t="inlineStr">
        <is>
          <t>tr|M3ZE13|M3ZE13_XIPMA Transcription elongation factor A N-terminal and central domain containing 2 OS=Xiphophorus maculatus OX=8083 PE=4 SV=1</t>
        </is>
      </c>
      <c r="M2127" t="n">
        <v>207</v>
      </c>
      <c r="N2127" t="inlineStr">
        <is>
          <t>Xiphophorus maculatus</t>
        </is>
      </c>
      <c r="O2127" t="inlineStr">
        <is>
          <t>Transcription elongation factor A N-terminal and central domain containing 2</t>
        </is>
      </c>
    </row>
    <row r="2128">
      <c r="A2128" t="inlineStr"/>
      <c r="B2128" t="inlineStr"/>
      <c r="C2128" t="inlineStr"/>
      <c r="D2128" t="inlineStr"/>
      <c r="E2128">
        <f>HYPERLINK("https://www.uniprot.org/uniprotkb/A0A7K5FHF1/entry", "A0A7K5FHF1")</f>
        <v/>
      </c>
      <c r="F2128" t="n">
        <v>57.2</v>
      </c>
      <c r="G2128" t="n">
        <v>208</v>
      </c>
      <c r="H2128" t="n">
        <v>9.850000000000001e-73</v>
      </c>
      <c r="I2128" t="inlineStr">
        <is>
          <t>TrEMBL</t>
        </is>
      </c>
      <c r="J2128" t="inlineStr">
        <is>
          <t>Tceanc2</t>
        </is>
      </c>
      <c r="K2128" t="inlineStr">
        <is>
          <t>A0A7K5FHF1_PROAR</t>
        </is>
      </c>
      <c r="L2128" t="inlineStr">
        <is>
          <t>tr|A0A7K5FHF1|A0A7K5FHF1_PROAR TEAN2 protein (Fragment) OS=Probosciger aterrimus OX=141839 GN=Tceanc2 PE=4 SV=1</t>
        </is>
      </c>
      <c r="M2128" t="n">
        <v>208</v>
      </c>
      <c r="N2128" t="inlineStr">
        <is>
          <t>Probosciger aterrimus</t>
        </is>
      </c>
      <c r="O2128" t="inlineStr">
        <is>
          <t>TEAN2 protein (Fragment)</t>
        </is>
      </c>
    </row>
    <row r="2129">
      <c r="A2129" t="inlineStr"/>
      <c r="B2129" t="inlineStr"/>
      <c r="C2129" t="inlineStr"/>
      <c r="D2129" t="inlineStr"/>
      <c r="E2129">
        <f>HYPERLINK("https://www.uniprot.org/uniprotkb/A0A7K8VS82/entry", "A0A7K8VS82")</f>
        <v/>
      </c>
      <c r="F2129" t="n">
        <v>56.7</v>
      </c>
      <c r="G2129" t="n">
        <v>208</v>
      </c>
      <c r="H2129" t="n">
        <v>1.4e-72</v>
      </c>
      <c r="I2129" t="inlineStr">
        <is>
          <t>TrEMBL</t>
        </is>
      </c>
      <c r="J2129" t="inlineStr">
        <is>
          <t>Tceanc2</t>
        </is>
      </c>
      <c r="K2129" t="inlineStr">
        <is>
          <t>A0A7K8VS82_9STRI</t>
        </is>
      </c>
      <c r="L2129" t="inlineStr">
        <is>
          <t>tr|A0A7K8VS82|A0A7K8VS82_9STRI TEAN2 protein (Fragment) OS=Ciccaba nigrolineata OX=1118524 GN=Tceanc2 PE=4 SV=1</t>
        </is>
      </c>
      <c r="M2129" t="n">
        <v>208</v>
      </c>
      <c r="N2129" t="inlineStr">
        <is>
          <t>Ciccaba nigrolineata</t>
        </is>
      </c>
      <c r="O2129" t="inlineStr">
        <is>
          <t>TEAN2 protein (Fragment)</t>
        </is>
      </c>
    </row>
    <row r="2130">
      <c r="A2130" t="inlineStr"/>
      <c r="B2130" t="inlineStr"/>
      <c r="C2130" t="inlineStr"/>
      <c r="D2130" t="inlineStr"/>
      <c r="E2130">
        <f>HYPERLINK("https://www.uniprot.org/uniprotkb/A0A7K5AHT0/entry", "A0A7K5AHT0")</f>
        <v/>
      </c>
      <c r="F2130" t="n">
        <v>56.3</v>
      </c>
      <c r="G2130" t="n">
        <v>208</v>
      </c>
      <c r="H2130" t="n">
        <v>1.98e-72</v>
      </c>
      <c r="I2130" t="inlineStr">
        <is>
          <t>TrEMBL</t>
        </is>
      </c>
      <c r="J2130" t="inlineStr">
        <is>
          <t>Tceanc2</t>
        </is>
      </c>
      <c r="K2130" t="inlineStr">
        <is>
          <t>A0A7K5AHT0_9FURN</t>
        </is>
      </c>
      <c r="L2130" t="inlineStr">
        <is>
          <t>tr|A0A7K5AHT0|A0A7K5AHT0_9FURN TEAN2 protein (Fragment) OS=Furnarius figulus OX=463165 GN=Tceanc2 PE=4 SV=1</t>
        </is>
      </c>
      <c r="M2130" t="n">
        <v>208</v>
      </c>
      <c r="N2130" t="inlineStr">
        <is>
          <t>Furnarius figulus</t>
        </is>
      </c>
      <c r="O2130" t="inlineStr">
        <is>
          <t>TEAN2 protein (Fragment)</t>
        </is>
      </c>
    </row>
    <row r="2131">
      <c r="A2131" t="inlineStr"/>
      <c r="B2131" t="inlineStr"/>
      <c r="C2131" t="inlineStr"/>
      <c r="D2131" t="inlineStr"/>
      <c r="E2131">
        <f>HYPERLINK("https://www.uniprot.org/uniprotkb/A0A6J2IXG4/entry", "A0A6J2IXG4")</f>
        <v/>
      </c>
      <c r="F2131" t="n">
        <v>56.3</v>
      </c>
      <c r="G2131" t="n">
        <v>208</v>
      </c>
      <c r="H2131" t="n">
        <v>1.98e-72</v>
      </c>
      <c r="I2131" t="inlineStr">
        <is>
          <t>TrEMBL</t>
        </is>
      </c>
      <c r="J2131" t="inlineStr">
        <is>
          <t>TCEANC2</t>
        </is>
      </c>
      <c r="K2131" t="inlineStr">
        <is>
          <t>A0A6J2IXG4_9PASS</t>
        </is>
      </c>
      <c r="L2131" t="inlineStr">
        <is>
          <t>tr|A0A6J2IXG4|A0A6J2IXG4_9PASS transcription elongation factor A N-terminal and central domain-containing protein 2 OS=Pipra filicauda OX=649802 GN=TCEANC2 PE=4 SV=1</t>
        </is>
      </c>
      <c r="M2131" t="n">
        <v>208</v>
      </c>
      <c r="N2131" t="inlineStr">
        <is>
          <t>Pipra filicauda</t>
        </is>
      </c>
      <c r="O2131" t="inlineStr">
        <is>
          <t>transcription elongation factor A N-terminal and central domain-containing protein 2</t>
        </is>
      </c>
    </row>
    <row r="2132">
      <c r="A2132" t="inlineStr"/>
      <c r="B2132" t="inlineStr"/>
      <c r="C2132" t="inlineStr"/>
      <c r="D2132" t="inlineStr"/>
      <c r="E2132">
        <f>HYPERLINK("https://www.uniprot.org/uniprotkb/A5PKE4/entry", "A5PKE4")</f>
        <v/>
      </c>
      <c r="F2132" t="n">
        <v>56.7</v>
      </c>
      <c r="G2132" t="n">
        <v>208</v>
      </c>
      <c r="H2132" t="n">
        <v>7.770000000000001e-72</v>
      </c>
      <c r="I2132" t="inlineStr">
        <is>
          <t>Swiss-Prot</t>
        </is>
      </c>
      <c r="J2132" t="inlineStr">
        <is>
          <t>TCEANC2</t>
        </is>
      </c>
      <c r="K2132" t="inlineStr">
        <is>
          <t>TEAN2_BOVIN</t>
        </is>
      </c>
      <c r="L2132" t="inlineStr">
        <is>
          <t>sp|A5PKE4|TEAN2_BOVIN Transcription elongation factor A N-terminal and central domain-containing protein 2 OS=Bos taurus OX=9913 GN=TCEANC2 PE=2 SV=1</t>
        </is>
      </c>
      <c r="M2132" t="n">
        <v>208</v>
      </c>
      <c r="N2132" t="inlineStr">
        <is>
          <t>Bos taurus</t>
        </is>
      </c>
      <c r="O2132" t="inlineStr">
        <is>
          <t>Transcription elongation factor A N-terminal and central domain-containing protein 2</t>
        </is>
      </c>
    </row>
    <row r="2133">
      <c r="A2133" t="inlineStr"/>
      <c r="B2133" t="inlineStr"/>
      <c r="C2133" t="inlineStr"/>
      <c r="D2133" t="inlineStr"/>
      <c r="E2133">
        <f>HYPERLINK("https://www.uniprot.org/uniprotkb/Q96MN5/entry", "Q96MN5")</f>
        <v/>
      </c>
      <c r="F2133" t="n">
        <v>56.3</v>
      </c>
      <c r="G2133" t="n">
        <v>208</v>
      </c>
      <c r="H2133" t="n">
        <v>2.22e-71</v>
      </c>
      <c r="I2133" t="inlineStr">
        <is>
          <t>Swiss-Prot</t>
        </is>
      </c>
      <c r="J2133" t="inlineStr">
        <is>
          <t>TCEANC2</t>
        </is>
      </c>
      <c r="K2133" t="inlineStr">
        <is>
          <t>TEAN2_HUMAN</t>
        </is>
      </c>
      <c r="L2133" t="inlineStr">
        <is>
          <t>sp|Q96MN5|TEAN2_HUMAN Transcription elongation factor A N-terminal and central domain-containing protein 2 OS=Homo sapiens OX=9606 GN=TCEANC2 PE=1 SV=1</t>
        </is>
      </c>
      <c r="M2133" t="n">
        <v>208</v>
      </c>
      <c r="N2133" t="inlineStr">
        <is>
          <t>Homo sapiens</t>
        </is>
      </c>
      <c r="O2133" t="inlineStr">
        <is>
          <t>Transcription elongation factor A N-terminal and central domain-containing protein 2</t>
        </is>
      </c>
    </row>
    <row r="2134">
      <c r="A2134" t="inlineStr"/>
      <c r="B2134" t="inlineStr"/>
      <c r="C2134" t="inlineStr"/>
      <c r="D2134" t="inlineStr"/>
      <c r="E2134">
        <f>HYPERLINK("https://www.uniprot.org/uniprotkb/Q5XIC7/entry", "Q5XIC7")</f>
        <v/>
      </c>
      <c r="F2134" t="n">
        <v>56</v>
      </c>
      <c r="G2134" t="n">
        <v>207</v>
      </c>
      <c r="H2134" t="n">
        <v>4.32e-71</v>
      </c>
      <c r="I2134" t="inlineStr">
        <is>
          <t>Swiss-Prot</t>
        </is>
      </c>
      <c r="J2134" t="inlineStr">
        <is>
          <t>Tceanc2</t>
        </is>
      </c>
      <c r="K2134" t="inlineStr">
        <is>
          <t>TEAN2_RAT</t>
        </is>
      </c>
      <c r="L2134" t="inlineStr">
        <is>
          <t>sp|Q5XIC7|TEAN2_RAT Transcription elongation factor A N-terminal and central domain-containing protein 2 OS=Rattus norvegicus OX=10116 GN=Tceanc2 PE=2 SV=1</t>
        </is>
      </c>
      <c r="M2134" t="n">
        <v>207</v>
      </c>
      <c r="N2134" t="inlineStr">
        <is>
          <t>Rattus norvegicus</t>
        </is>
      </c>
      <c r="O2134" t="inlineStr">
        <is>
          <t>Transcription elongation factor A N-terminal and central domain-containing protein 2</t>
        </is>
      </c>
    </row>
    <row r="2135">
      <c r="A2135" t="inlineStr"/>
      <c r="B2135" t="inlineStr"/>
      <c r="C2135" t="inlineStr"/>
      <c r="D2135" t="inlineStr"/>
      <c r="E2135">
        <f>HYPERLINK("https://www.uniprot.org/uniprotkb/B0UYI1/entry", "B0UYI1")</f>
        <v/>
      </c>
      <c r="F2135" t="n">
        <v>54.8</v>
      </c>
      <c r="G2135" t="n">
        <v>208</v>
      </c>
      <c r="H2135" t="n">
        <v>9.57e-71</v>
      </c>
      <c r="I2135" t="inlineStr">
        <is>
          <t>Swiss-Prot</t>
        </is>
      </c>
      <c r="J2135" t="inlineStr">
        <is>
          <t>tceanc2</t>
        </is>
      </c>
      <c r="K2135" t="inlineStr">
        <is>
          <t>TEAN2_DANRE</t>
        </is>
      </c>
      <c r="L2135" t="inlineStr">
        <is>
          <t>sp|B0UYI1|TEAN2_DANRE Transcription elongation factor A N-terminal and central domain-containing protein 2 OS=Danio rerio OX=7955 GN=tceanc2 PE=3 SV=1</t>
        </is>
      </c>
      <c r="M2135" t="n">
        <v>210</v>
      </c>
      <c r="N2135" t="inlineStr">
        <is>
          <t>Danio rerio</t>
        </is>
      </c>
      <c r="O2135" t="inlineStr">
        <is>
          <t>Transcription elongation factor A N-terminal and central domain-containing protein 2</t>
        </is>
      </c>
    </row>
    <row r="2136">
      <c r="A2136" t="inlineStr"/>
      <c r="B2136" t="inlineStr"/>
      <c r="C2136" t="inlineStr"/>
      <c r="D2136" t="inlineStr"/>
      <c r="E2136">
        <f>HYPERLINK("https://www.uniprot.org/uniprotkb/Q8R2M0/entry", "Q8R2M0")</f>
        <v/>
      </c>
      <c r="F2136" t="n">
        <v>56</v>
      </c>
      <c r="G2136" t="n">
        <v>207</v>
      </c>
      <c r="H2136" t="n">
        <v>1.23e-70</v>
      </c>
      <c r="I2136" t="inlineStr">
        <is>
          <t>Swiss-Prot</t>
        </is>
      </c>
      <c r="J2136" t="inlineStr">
        <is>
          <t>Tceanc2</t>
        </is>
      </c>
      <c r="K2136" t="inlineStr">
        <is>
          <t>TEAN2_MOUSE</t>
        </is>
      </c>
      <c r="L2136" t="inlineStr">
        <is>
          <t>sp|Q8R2M0|TEAN2_MOUSE Transcription elongation factor A N-terminal and central domain-containing protein 2 OS=Mus musculus OX=10090 GN=Tceanc2 PE=2 SV=2</t>
        </is>
      </c>
      <c r="M2136" t="n">
        <v>207</v>
      </c>
      <c r="N2136" t="inlineStr">
        <is>
          <t>Mus musculus</t>
        </is>
      </c>
      <c r="O2136" t="inlineStr">
        <is>
          <t>Transcription elongation factor A N-terminal and central domain-containing protein 2</t>
        </is>
      </c>
    </row>
    <row r="2137">
      <c r="A2137" t="inlineStr"/>
      <c r="B2137" t="inlineStr"/>
      <c r="C2137" t="inlineStr"/>
      <c r="D2137" t="inlineStr"/>
      <c r="E2137">
        <f>HYPERLINK("https://www.uniprot.org/uniprotkb/A0A8J6B7W9/entry", "A0A8J6B7W9")</f>
        <v/>
      </c>
      <c r="F2137" t="n">
        <v>67.8</v>
      </c>
      <c r="G2137" t="n">
        <v>115</v>
      </c>
      <c r="H2137" t="n">
        <v>3.49e-48</v>
      </c>
      <c r="I2137" t="inlineStr">
        <is>
          <t>TrEMBL</t>
        </is>
      </c>
      <c r="J2137" t="inlineStr">
        <is>
          <t>GDO78_017888</t>
        </is>
      </c>
      <c r="K2137" t="inlineStr">
        <is>
          <t>A0A8J6B7W9_ELECQ</t>
        </is>
      </c>
      <c r="L2137" t="inlineStr">
        <is>
          <t>tr|A0A8J6B7W9|A0A8J6B7W9_ELECQ Transmembrane protein 59-like OS=Eleutherodactylus coqui OX=57060 GN=GDO78_017888 PE=3 SV=1</t>
        </is>
      </c>
      <c r="M2137" t="n">
        <v>316</v>
      </c>
      <c r="N2137" t="inlineStr">
        <is>
          <t>Eleutherodactylus coqui</t>
        </is>
      </c>
      <c r="O2137" t="inlineStr">
        <is>
          <t>Transmembrane protein 59-like</t>
        </is>
      </c>
    </row>
    <row r="2138">
      <c r="A2138" t="inlineStr"/>
      <c r="B2138" t="inlineStr"/>
      <c r="C2138" t="inlineStr"/>
      <c r="D2138" t="inlineStr"/>
      <c r="E2138">
        <f>HYPERLINK("https://www.uniprot.org/uniprotkb/A0A822ARA3/entry", "A0A822ARA3")</f>
        <v/>
      </c>
      <c r="F2138" t="n">
        <v>68.7</v>
      </c>
      <c r="G2138" t="n">
        <v>115</v>
      </c>
      <c r="H2138" t="n">
        <v>6.97e-48</v>
      </c>
      <c r="I2138" t="inlineStr">
        <is>
          <t>TrEMBL</t>
        </is>
      </c>
      <c r="J2138" t="inlineStr">
        <is>
          <t>RIMITATOR_LOCUS6890084</t>
        </is>
      </c>
      <c r="K2138" t="inlineStr">
        <is>
          <t>A0A822ARA3_9NEOB</t>
        </is>
      </c>
      <c r="L2138" t="inlineStr">
        <is>
          <t>tr|A0A822ARA3|A0A822ARA3_9NEOB (mimic poison frog) hypothetical protein OS=Ranitomeya imitator OX=111125 GN=RIMITATOR_LOCUS6890084 PE=3 SV=1</t>
        </is>
      </c>
      <c r="M2138" t="n">
        <v>316</v>
      </c>
      <c r="N2138" t="inlineStr">
        <is>
          <t>Ranitomeya imitator</t>
        </is>
      </c>
      <c r="O2138" t="inlineStr">
        <is>
          <t>(mimic poison frog) hypothetical protein</t>
        </is>
      </c>
    </row>
    <row r="2139">
      <c r="A2139" t="inlineStr"/>
      <c r="B2139" t="inlineStr"/>
      <c r="C2139" t="inlineStr"/>
      <c r="D2139" t="inlineStr"/>
      <c r="E2139">
        <f>HYPERLINK("https://www.ncbi.nlm.nih.gov/gene/?term=KAG9465692.1", "KAG9465692.1")</f>
        <v/>
      </c>
      <c r="F2139" t="n">
        <v>67.8</v>
      </c>
      <c r="G2139" t="n">
        <v>115</v>
      </c>
      <c r="H2139" t="n">
        <v>8.97e-48</v>
      </c>
      <c r="I2139" t="inlineStr">
        <is>
          <t>Nr</t>
        </is>
      </c>
      <c r="J2139" t="inlineStr"/>
      <c r="K2139" t="inlineStr"/>
      <c r="L2139" t="inlineStr">
        <is>
          <t>KAG9465692.1 hypothetical protein GDO78_017888 [Eleutherodactylus coqui]</t>
        </is>
      </c>
      <c r="M2139" t="n">
        <v>316</v>
      </c>
      <c r="N2139" t="inlineStr">
        <is>
          <t>Eleutherodactylus coqui</t>
        </is>
      </c>
      <c r="O2139" t="inlineStr">
        <is>
          <t>hypothetical protein GDO78_017888</t>
        </is>
      </c>
    </row>
    <row r="2140">
      <c r="A2140" t="inlineStr"/>
      <c r="B2140" t="inlineStr"/>
      <c r="C2140" t="inlineStr"/>
      <c r="D2140" t="inlineStr"/>
      <c r="E2140">
        <f>HYPERLINK("https://www.ncbi.nlm.nih.gov/gene/?term=XP_018419489.1", "XP_018419489.1")</f>
        <v/>
      </c>
      <c r="F2140" t="n">
        <v>69.40000000000001</v>
      </c>
      <c r="G2140" t="n">
        <v>108</v>
      </c>
      <c r="H2140" t="n">
        <v>1.56e-45</v>
      </c>
      <c r="I2140" t="inlineStr">
        <is>
          <t>Nr</t>
        </is>
      </c>
      <c r="J2140" t="inlineStr"/>
      <c r="K2140" t="inlineStr"/>
      <c r="L2140" t="inlineStr">
        <is>
          <t>XP_018419489.1 PREDICTED: transmembrane protein 59 [Nanorana parkeri]</t>
        </is>
      </c>
      <c r="M2140" t="n">
        <v>315</v>
      </c>
      <c r="N2140" t="inlineStr">
        <is>
          <t>Nanorana parkeri</t>
        </is>
      </c>
      <c r="O2140" t="inlineStr">
        <is>
          <t>PREDICTED: transmembrane protein 59</t>
        </is>
      </c>
    </row>
    <row r="2141">
      <c r="A2141" t="inlineStr"/>
      <c r="B2141" t="inlineStr"/>
      <c r="C2141" t="inlineStr"/>
      <c r="D2141" t="inlineStr"/>
      <c r="E2141">
        <f>HYPERLINK("https://www.ncbi.nlm.nih.gov/gene/?term=XP_044156545.1", "XP_044156545.1")</f>
        <v/>
      </c>
      <c r="F2141" t="n">
        <v>66.7</v>
      </c>
      <c r="G2141" t="n">
        <v>117</v>
      </c>
      <c r="H2141" t="n">
        <v>4.27e-45</v>
      </c>
      <c r="I2141" t="inlineStr">
        <is>
          <t>Nr</t>
        </is>
      </c>
      <c r="J2141" t="inlineStr"/>
      <c r="K2141" t="inlineStr"/>
      <c r="L2141" t="inlineStr">
        <is>
          <t>XP_044156545.1 transmembrane protein 59 isoform X2 [Bufo gargarizans]</t>
        </is>
      </c>
      <c r="M2141" t="n">
        <v>314</v>
      </c>
      <c r="N2141" t="inlineStr">
        <is>
          <t>Bufo gargarizans</t>
        </is>
      </c>
      <c r="O2141" t="inlineStr">
        <is>
          <t>transmembrane protein 59 isoform X2</t>
        </is>
      </c>
    </row>
    <row r="2142">
      <c r="A2142" t="inlineStr"/>
      <c r="B2142" t="inlineStr"/>
      <c r="C2142" t="inlineStr"/>
      <c r="D2142" t="inlineStr"/>
      <c r="E2142">
        <f>HYPERLINK("https://www.ncbi.nlm.nih.gov/gene/?term=XP_044156544.1", "XP_044156544.1")</f>
        <v/>
      </c>
      <c r="F2142" t="n">
        <v>66.7</v>
      </c>
      <c r="G2142" t="n">
        <v>117</v>
      </c>
      <c r="H2142" t="n">
        <v>4.38e-45</v>
      </c>
      <c r="I2142" t="inlineStr">
        <is>
          <t>Nr</t>
        </is>
      </c>
      <c r="J2142" t="inlineStr"/>
      <c r="K2142" t="inlineStr"/>
      <c r="L2142" t="inlineStr">
        <is>
          <t>XP_044156544.1 transmembrane protein 59 isoform X1 [Bufo gargarizans]</t>
        </is>
      </c>
      <c r="M2142" t="n">
        <v>315</v>
      </c>
      <c r="N2142" t="inlineStr">
        <is>
          <t>Bufo gargarizans</t>
        </is>
      </c>
      <c r="O2142" t="inlineStr">
        <is>
          <t>transmembrane protein 59 isoform X1</t>
        </is>
      </c>
    </row>
    <row r="2143">
      <c r="A2143" t="inlineStr"/>
      <c r="B2143" t="inlineStr"/>
      <c r="C2143" t="inlineStr"/>
      <c r="D2143" t="inlineStr"/>
      <c r="E2143">
        <f>HYPERLINK("https://www.uniprot.org/uniprotkb/A0A8J0UZN3/entry", "A0A8J0UZN3")</f>
        <v/>
      </c>
      <c r="F2143" t="n">
        <v>67</v>
      </c>
      <c r="G2143" t="n">
        <v>103</v>
      </c>
      <c r="H2143" t="n">
        <v>5.58e-45</v>
      </c>
      <c r="I2143" t="inlineStr">
        <is>
          <t>TrEMBL</t>
        </is>
      </c>
      <c r="J2143" t="inlineStr">
        <is>
          <t>tmem59.L</t>
        </is>
      </c>
      <c r="K2143" t="inlineStr">
        <is>
          <t>A0A8J0UZN3_XENLA</t>
        </is>
      </c>
      <c r="L2143" t="inlineStr">
        <is>
          <t>tr|A0A8J0UZN3|A0A8J0UZN3_XENLA transmembrane protein 59 L homeolog isoform X1 OS=Xenopus laevis OX=8355 GN=tmem59.L PE=3 SV=1</t>
        </is>
      </c>
      <c r="M2143" t="n">
        <v>321</v>
      </c>
      <c r="N2143" t="inlineStr">
        <is>
          <t>Xenopus laevis</t>
        </is>
      </c>
      <c r="O2143" t="inlineStr">
        <is>
          <t>transmembrane protein 59 L homeolog isoform X1</t>
        </is>
      </c>
    </row>
    <row r="2144">
      <c r="A2144" t="inlineStr"/>
      <c r="B2144" t="inlineStr"/>
      <c r="C2144" t="inlineStr"/>
      <c r="D2144" t="inlineStr"/>
      <c r="E2144">
        <f>HYPERLINK("https://www.uniprot.org/uniprotkb/Q5XGQ9/entry", "Q5XGQ9")</f>
        <v/>
      </c>
      <c r="F2144" t="n">
        <v>67</v>
      </c>
      <c r="G2144" t="n">
        <v>103</v>
      </c>
      <c r="H2144" t="n">
        <v>5.72e-45</v>
      </c>
      <c r="I2144" t="inlineStr">
        <is>
          <t>TrEMBL</t>
        </is>
      </c>
      <c r="J2144" t="inlineStr">
        <is>
          <t>tmem59.L</t>
        </is>
      </c>
      <c r="K2144" t="inlineStr">
        <is>
          <t>Q5XGQ9_XENLA</t>
        </is>
      </c>
      <c r="L2144" t="inlineStr">
        <is>
          <t>tr|Q5XGQ9|Q5XGQ9_XENLA LOC495163 protein OS=Xenopus laevis OX=8355 GN=tmem59.L PE=2 SV=1</t>
        </is>
      </c>
      <c r="M2144" t="n">
        <v>322</v>
      </c>
      <c r="N2144" t="inlineStr">
        <is>
          <t>Xenopus laevis</t>
        </is>
      </c>
      <c r="O2144" t="inlineStr">
        <is>
          <t>LOC495163 protein</t>
        </is>
      </c>
    </row>
    <row r="2145">
      <c r="A2145" t="inlineStr"/>
      <c r="B2145" t="inlineStr"/>
      <c r="C2145" t="inlineStr"/>
      <c r="D2145" t="inlineStr"/>
      <c r="E2145">
        <f>HYPERLINK("https://www.ncbi.nlm.nih.gov/gene/?term=XP_040263805.1", "XP_040263805.1")</f>
        <v/>
      </c>
      <c r="F2145" t="n">
        <v>65.8</v>
      </c>
      <c r="G2145" t="n">
        <v>117</v>
      </c>
      <c r="H2145" t="n">
        <v>5.89e-45</v>
      </c>
      <c r="I2145" t="inlineStr">
        <is>
          <t>Nr</t>
        </is>
      </c>
      <c r="J2145" t="inlineStr"/>
      <c r="K2145" t="inlineStr"/>
      <c r="L2145" t="inlineStr">
        <is>
          <t>XP_040263805.1 transmembrane protein 59 isoform X2 [Bufo bufo]</t>
        </is>
      </c>
      <c r="M2145" t="n">
        <v>313</v>
      </c>
      <c r="N2145" t="inlineStr">
        <is>
          <t>Bufo bufo</t>
        </is>
      </c>
      <c r="O2145" t="inlineStr">
        <is>
          <t>transmembrane protein 59 isoform X2</t>
        </is>
      </c>
    </row>
    <row r="2146">
      <c r="A2146" t="inlineStr"/>
      <c r="B2146" t="inlineStr"/>
      <c r="C2146" t="inlineStr"/>
      <c r="D2146" t="inlineStr"/>
      <c r="E2146">
        <f>HYPERLINK("https://www.ncbi.nlm.nih.gov/gene/?term=XP_040263804.1", "XP_040263804.1")</f>
        <v/>
      </c>
      <c r="F2146" t="n">
        <v>65.8</v>
      </c>
      <c r="G2146" t="n">
        <v>117</v>
      </c>
      <c r="H2146" t="n">
        <v>6.039999999999999e-45</v>
      </c>
      <c r="I2146" t="inlineStr">
        <is>
          <t>Nr</t>
        </is>
      </c>
      <c r="J2146" t="inlineStr"/>
      <c r="K2146" t="inlineStr"/>
      <c r="L2146" t="inlineStr">
        <is>
          <t>XP_040263804.1 transmembrane protein 59 isoform X1 [Bufo bufo]</t>
        </is>
      </c>
      <c r="M2146" t="n">
        <v>314</v>
      </c>
      <c r="N2146" t="inlineStr">
        <is>
          <t>Bufo bufo</t>
        </is>
      </c>
      <c r="O2146" t="inlineStr">
        <is>
          <t>transmembrane protein 59 isoform X1</t>
        </is>
      </c>
    </row>
    <row r="2147">
      <c r="A2147" t="inlineStr"/>
      <c r="B2147" t="inlineStr"/>
      <c r="C2147" t="inlineStr"/>
      <c r="D2147" t="inlineStr"/>
      <c r="E2147">
        <f>HYPERLINK("https://www.ncbi.nlm.nih.gov/gene/?term=XP_040216369.1", "XP_040216369.1")</f>
        <v/>
      </c>
      <c r="F2147" t="n">
        <v>68.5</v>
      </c>
      <c r="G2147" t="n">
        <v>108</v>
      </c>
      <c r="H2147" t="n">
        <v>8.279999999999999e-45</v>
      </c>
      <c r="I2147" t="inlineStr">
        <is>
          <t>Nr</t>
        </is>
      </c>
      <c r="J2147" t="inlineStr"/>
      <c r="K2147" t="inlineStr"/>
      <c r="L2147" t="inlineStr">
        <is>
          <t>XP_040216369.1 transmembrane protein 59 [Rana temporaria]</t>
        </is>
      </c>
      <c r="M2147" t="n">
        <v>341</v>
      </c>
      <c r="N2147" t="inlineStr">
        <is>
          <t>Rana temporaria</t>
        </is>
      </c>
      <c r="O2147" t="inlineStr">
        <is>
          <t>transmembrane protein 59</t>
        </is>
      </c>
    </row>
    <row r="2148">
      <c r="A2148" t="inlineStr"/>
      <c r="B2148" t="inlineStr"/>
      <c r="C2148" t="inlineStr"/>
      <c r="D2148" t="inlineStr"/>
      <c r="E2148">
        <f>HYPERLINK("https://www.ncbi.nlm.nih.gov/gene/?term=XP_018112350.2", "XP_018112350.2")</f>
        <v/>
      </c>
      <c r="F2148" t="n">
        <v>67</v>
      </c>
      <c r="G2148" t="n">
        <v>103</v>
      </c>
      <c r="H2148" t="n">
        <v>1.43e-44</v>
      </c>
      <c r="I2148" t="inlineStr">
        <is>
          <t>Nr</t>
        </is>
      </c>
      <c r="J2148" t="inlineStr"/>
      <c r="K2148" t="inlineStr"/>
      <c r="L2148" t="inlineStr">
        <is>
          <t>XP_018112350.2 transmembrane protein 59 L homeolog isoform X1 [Xenopus laevis]</t>
        </is>
      </c>
      <c r="M2148" t="n">
        <v>321</v>
      </c>
      <c r="N2148" t="inlineStr">
        <is>
          <t>Xenopus laevis</t>
        </is>
      </c>
      <c r="O2148" t="inlineStr">
        <is>
          <t>transmembrane protein 59 L homeolog isoform X1</t>
        </is>
      </c>
    </row>
    <row r="2149">
      <c r="A2149" t="inlineStr"/>
      <c r="B2149" t="inlineStr"/>
      <c r="C2149" t="inlineStr"/>
      <c r="D2149" t="inlineStr"/>
      <c r="E2149">
        <f>HYPERLINK("https://www.ncbi.nlm.nih.gov/gene/?term=NP_001088325.1", "NP_001088325.1")</f>
        <v/>
      </c>
      <c r="F2149" t="n">
        <v>67</v>
      </c>
      <c r="G2149" t="n">
        <v>103</v>
      </c>
      <c r="H2149" t="n">
        <v>1.47e-44</v>
      </c>
      <c r="I2149" t="inlineStr">
        <is>
          <t>Nr</t>
        </is>
      </c>
      <c r="J2149" t="inlineStr"/>
      <c r="K2149" t="inlineStr"/>
      <c r="L2149" t="inlineStr">
        <is>
          <t>NP_001088325.1 transmembrane protein 59 L homeolog precursor [Xenopus laevis]</t>
        </is>
      </c>
      <c r="M2149" t="n">
        <v>322</v>
      </c>
      <c r="N2149" t="inlineStr">
        <is>
          <t>Xenopus laevis</t>
        </is>
      </c>
      <c r="O2149" t="inlineStr">
        <is>
          <t>transmembrane protein 59 L homeolog precursor</t>
        </is>
      </c>
    </row>
    <row r="2150">
      <c r="A2150" t="inlineStr"/>
      <c r="B2150" t="inlineStr"/>
      <c r="C2150" t="inlineStr"/>
      <c r="D2150" t="inlineStr"/>
      <c r="E2150">
        <f>HYPERLINK("https://www.ncbi.nlm.nih.gov/gene/?term=OCT85040.1", "OCT85040.1")</f>
        <v/>
      </c>
      <c r="F2150" t="n">
        <v>67</v>
      </c>
      <c r="G2150" t="n">
        <v>103</v>
      </c>
      <c r="H2150" t="n">
        <v>2.38e-44</v>
      </c>
      <c r="I2150" t="inlineStr">
        <is>
          <t>Nr</t>
        </is>
      </c>
      <c r="J2150" t="inlineStr"/>
      <c r="K2150" t="inlineStr"/>
      <c r="L2150" t="inlineStr">
        <is>
          <t>OCT85040.1 hypothetical protein XELAEV_18023203mg [Xenopus laevis]</t>
        </is>
      </c>
      <c r="M2150" t="n">
        <v>342</v>
      </c>
      <c r="N2150" t="inlineStr">
        <is>
          <t>Xenopus laevis</t>
        </is>
      </c>
      <c r="O2150" t="inlineStr">
        <is>
          <t>hypothetical protein XELAEV_18023203mg</t>
        </is>
      </c>
    </row>
    <row r="2151">
      <c r="A2151" t="inlineStr"/>
      <c r="B2151" t="inlineStr"/>
      <c r="C2151" t="inlineStr"/>
      <c r="D2151" t="inlineStr"/>
      <c r="E2151">
        <f>HYPERLINK("https://www.uniprot.org/uniprotkb/Q9QY73/entry", "Q9QY73")</f>
        <v/>
      </c>
      <c r="F2151" t="n">
        <v>61.1</v>
      </c>
      <c r="G2151" t="n">
        <v>113</v>
      </c>
      <c r="H2151" t="n">
        <v>1.27e-42</v>
      </c>
      <c r="I2151" t="inlineStr">
        <is>
          <t>Swiss-Prot</t>
        </is>
      </c>
      <c r="J2151" t="inlineStr">
        <is>
          <t>Tmem59</t>
        </is>
      </c>
      <c r="K2151" t="inlineStr">
        <is>
          <t>TMM59_MOUSE</t>
        </is>
      </c>
      <c r="L2151" t="inlineStr">
        <is>
          <t>sp|Q9QY73|TMM59_MOUSE Transmembrane protein 59 OS=Mus musculus OX=10090 GN=Tmem59 PE=1 SV=2</t>
        </is>
      </c>
      <c r="M2151" t="n">
        <v>323</v>
      </c>
      <c r="N2151" t="inlineStr">
        <is>
          <t>Mus musculus</t>
        </is>
      </c>
      <c r="O2151" t="inlineStr">
        <is>
          <t>Transmembrane protein 59</t>
        </is>
      </c>
    </row>
    <row r="2152">
      <c r="A2152" t="inlineStr"/>
      <c r="B2152" t="inlineStr"/>
      <c r="C2152" t="inlineStr"/>
      <c r="D2152" t="inlineStr"/>
      <c r="E2152">
        <f>HYPERLINK("https://www.uniprot.org/uniprotkb/A0A226PRR1/entry", "A0A226PRR1")</f>
        <v/>
      </c>
      <c r="F2152" t="n">
        <v>55.7</v>
      </c>
      <c r="G2152" t="n">
        <v>131</v>
      </c>
      <c r="H2152" t="n">
        <v>2.34e-42</v>
      </c>
      <c r="I2152" t="inlineStr">
        <is>
          <t>TrEMBL</t>
        </is>
      </c>
      <c r="J2152" t="inlineStr">
        <is>
          <t>H355_008988</t>
        </is>
      </c>
      <c r="K2152" t="inlineStr">
        <is>
          <t>A0A226PRR1_COLVI</t>
        </is>
      </c>
      <c r="L2152" t="inlineStr">
        <is>
          <t>tr|A0A226PRR1|A0A226PRR1_COLVI TMM59 protein OS=Colinus virginianus OX=9014 GN=H355_008988 PE=3 SV=1</t>
        </is>
      </c>
      <c r="M2152" t="n">
        <v>260</v>
      </c>
      <c r="N2152" t="inlineStr">
        <is>
          <t>Colinus virginianus</t>
        </is>
      </c>
      <c r="O2152" t="inlineStr">
        <is>
          <t>TMM59 protein</t>
        </is>
      </c>
    </row>
    <row r="2153">
      <c r="A2153" t="inlineStr"/>
      <c r="B2153" t="inlineStr"/>
      <c r="C2153" t="inlineStr"/>
      <c r="D2153" t="inlineStr"/>
      <c r="E2153">
        <f>HYPERLINK("https://www.ncbi.nlm.nih.gov/gene/?term=OXB82109.1", "OXB82109.1")</f>
        <v/>
      </c>
      <c r="F2153" t="n">
        <v>55.7</v>
      </c>
      <c r="G2153" t="n">
        <v>131</v>
      </c>
      <c r="H2153" t="n">
        <v>5.999999999999999e-42</v>
      </c>
      <c r="I2153" t="inlineStr">
        <is>
          <t>Nr</t>
        </is>
      </c>
      <c r="J2153" t="inlineStr"/>
      <c r="K2153" t="inlineStr"/>
      <c r="L2153" t="inlineStr">
        <is>
          <t>OXB82109.1 hypothetical protein H355_008988 [Colinus virginianus]</t>
        </is>
      </c>
      <c r="M2153" t="n">
        <v>260</v>
      </c>
      <c r="N2153" t="inlineStr">
        <is>
          <t>Colinus virginianus</t>
        </is>
      </c>
      <c r="O2153" t="inlineStr">
        <is>
          <t>hypothetical protein H355_008988</t>
        </is>
      </c>
    </row>
    <row r="2154">
      <c r="A2154" t="inlineStr"/>
      <c r="B2154" t="inlineStr"/>
      <c r="C2154" t="inlineStr"/>
      <c r="D2154" t="inlineStr"/>
      <c r="E2154">
        <f>HYPERLINK("https://www.uniprot.org/uniprotkb/A0A8B9P1X1/entry", "A0A8B9P1X1")</f>
        <v/>
      </c>
      <c r="F2154" t="n">
        <v>61.1</v>
      </c>
      <c r="G2154" t="n">
        <v>108</v>
      </c>
      <c r="H2154" t="n">
        <v>6.16e-42</v>
      </c>
      <c r="I2154" t="inlineStr">
        <is>
          <t>TrEMBL</t>
        </is>
      </c>
      <c r="J2154" t="inlineStr"/>
      <c r="K2154" t="inlineStr">
        <is>
          <t>A0A8B9P1X1_APTOW</t>
        </is>
      </c>
      <c r="L2154" t="inlineStr">
        <is>
          <t>tr|A0A8B9P1X1|A0A8B9P1X1_APTOW Transmembrane protein 59 OS=Apteryx owenii OX=8824 PE=3 SV=1</t>
        </is>
      </c>
      <c r="M2154" t="n">
        <v>326</v>
      </c>
      <c r="N2154" t="inlineStr">
        <is>
          <t>Apteryx owenii</t>
        </is>
      </c>
      <c r="O2154" t="inlineStr">
        <is>
          <t>Transmembrane protein 59</t>
        </is>
      </c>
    </row>
    <row r="2155">
      <c r="A2155" t="inlineStr"/>
      <c r="B2155" t="inlineStr"/>
      <c r="C2155" t="inlineStr"/>
      <c r="D2155" t="inlineStr"/>
      <c r="E2155">
        <f>HYPERLINK("https://www.uniprot.org/uniprotkb/K7F4V9/entry", "K7F4V9")</f>
        <v/>
      </c>
      <c r="F2155" t="n">
        <v>59.3</v>
      </c>
      <c r="G2155" t="n">
        <v>118</v>
      </c>
      <c r="H2155" t="n">
        <v>8.16e-42</v>
      </c>
      <c r="I2155" t="inlineStr">
        <is>
          <t>TrEMBL</t>
        </is>
      </c>
      <c r="J2155" t="inlineStr">
        <is>
          <t>TMEM59</t>
        </is>
      </c>
      <c r="K2155" t="inlineStr">
        <is>
          <t>K7F4V9_PELSI</t>
        </is>
      </c>
      <c r="L2155" t="inlineStr">
        <is>
          <t>tr|K7F4V9|K7F4V9_PELSI Transmembrane protein 59 OS=Pelodiscus sinensis OX=13735 GN=TMEM59 PE=3 SV=1</t>
        </is>
      </c>
      <c r="M2155" t="n">
        <v>309</v>
      </c>
      <c r="N2155" t="inlineStr">
        <is>
          <t>Pelodiscus sinensis</t>
        </is>
      </c>
      <c r="O2155" t="inlineStr">
        <is>
          <t>Transmembrane protein 59</t>
        </is>
      </c>
    </row>
    <row r="2156">
      <c r="A2156" t="inlineStr"/>
      <c r="B2156" t="inlineStr"/>
      <c r="C2156" t="inlineStr"/>
      <c r="D2156" t="inlineStr"/>
      <c r="E2156">
        <f>HYPERLINK("https://www.uniprot.org/uniprotkb/A0A2P4SW83/entry", "A0A2P4SW83")</f>
        <v/>
      </c>
      <c r="F2156" t="n">
        <v>58.9</v>
      </c>
      <c r="G2156" t="n">
        <v>112</v>
      </c>
      <c r="H2156" t="n">
        <v>1.09e-41</v>
      </c>
      <c r="I2156" t="inlineStr">
        <is>
          <t>TrEMBL</t>
        </is>
      </c>
      <c r="J2156" t="inlineStr">
        <is>
          <t>CIB84_007890</t>
        </is>
      </c>
      <c r="K2156" t="inlineStr">
        <is>
          <t>A0A2P4SW83_BAMTH</t>
        </is>
      </c>
      <c r="L2156" t="inlineStr">
        <is>
          <t>tr|A0A2P4SW83|A0A2P4SW83_BAMTH TMM59 protein OS=Bambusicola thoracicus OX=9083 GN=CIB84_007890 PE=3 SV=1</t>
        </is>
      </c>
      <c r="M2156" t="n">
        <v>215</v>
      </c>
      <c r="N2156" t="inlineStr">
        <is>
          <t>Bambusicola thoracicus</t>
        </is>
      </c>
      <c r="O2156" t="inlineStr">
        <is>
          <t>TMM59 protein</t>
        </is>
      </c>
    </row>
    <row r="2157">
      <c r="A2157" t="inlineStr"/>
      <c r="B2157" t="inlineStr"/>
      <c r="C2157" t="inlineStr"/>
      <c r="D2157" t="inlineStr"/>
      <c r="E2157">
        <f>HYPERLINK("https://www.uniprot.org/uniprotkb/A0A8C5YDQ6/entry", "A0A8C5YDQ6")</f>
        <v/>
      </c>
      <c r="F2157" t="n">
        <v>61.1</v>
      </c>
      <c r="G2157" t="n">
        <v>113</v>
      </c>
      <c r="H2157" t="n">
        <v>1.18e-41</v>
      </c>
      <c r="I2157" t="inlineStr">
        <is>
          <t>TrEMBL</t>
        </is>
      </c>
      <c r="J2157" t="inlineStr">
        <is>
          <t>TMEM59</t>
        </is>
      </c>
      <c r="K2157" t="inlineStr">
        <is>
          <t>A0A8C5YDQ6_MICMU</t>
        </is>
      </c>
      <c r="L2157" t="inlineStr">
        <is>
          <t>tr|A0A8C5YDQ6|A0A8C5YDQ6_MICMU Transmembrane protein 59 OS=Microcebus murinus OX=30608 GN=TMEM59 PE=3 SV=1</t>
        </is>
      </c>
      <c r="M2157" t="n">
        <v>147</v>
      </c>
      <c r="N2157" t="inlineStr">
        <is>
          <t>Microcebus murinus</t>
        </is>
      </c>
      <c r="O2157" t="inlineStr">
        <is>
          <t>Transmembrane protein 59</t>
        </is>
      </c>
    </row>
    <row r="2158">
      <c r="A2158" t="inlineStr"/>
      <c r="B2158" t="inlineStr"/>
      <c r="C2158" t="inlineStr"/>
      <c r="D2158" t="inlineStr"/>
      <c r="E2158">
        <f>HYPERLINK("https://www.ncbi.nlm.nih.gov/gene/?term=XP_037354079.1", "XP_037354079.1")</f>
        <v/>
      </c>
      <c r="F2158" t="n">
        <v>61.1</v>
      </c>
      <c r="G2158" t="n">
        <v>113</v>
      </c>
      <c r="H2158" t="n">
        <v>1.3e-41</v>
      </c>
      <c r="I2158" t="inlineStr">
        <is>
          <t>Nr</t>
        </is>
      </c>
      <c r="J2158" t="inlineStr"/>
      <c r="K2158" t="inlineStr"/>
      <c r="L2158" t="inlineStr">
        <is>
          <t>XP_037354079.1 transmembrane protein 59 isoform X5 [Talpa occidentalis]</t>
        </is>
      </c>
      <c r="M2158" t="n">
        <v>131</v>
      </c>
      <c r="N2158" t="inlineStr">
        <is>
          <t>Talpa occidentalis</t>
        </is>
      </c>
      <c r="O2158" t="inlineStr">
        <is>
          <t>transmembrane protein 59 isoform X5</t>
        </is>
      </c>
    </row>
    <row r="2159">
      <c r="A2159" t="inlineStr"/>
      <c r="B2159" t="inlineStr"/>
      <c r="C2159" t="inlineStr"/>
      <c r="D2159" t="inlineStr"/>
      <c r="E2159">
        <f>HYPERLINK("https://www.ncbi.nlm.nih.gov/gene/?term=XP_025942411.1", "XP_025942411.1")</f>
        <v/>
      </c>
      <c r="F2159" t="n">
        <v>61.1</v>
      </c>
      <c r="G2159" t="n">
        <v>108</v>
      </c>
      <c r="H2159" t="n">
        <v>1.55e-41</v>
      </c>
      <c r="I2159" t="inlineStr">
        <is>
          <t>Nr</t>
        </is>
      </c>
      <c r="J2159" t="inlineStr"/>
      <c r="K2159" t="inlineStr"/>
      <c r="L2159" t="inlineStr">
        <is>
          <t>XP_025942411.1 transmembrane protein 59 isoform X2 [Apteryx rowi]</t>
        </is>
      </c>
      <c r="M2159" t="n">
        <v>325</v>
      </c>
      <c r="N2159" t="inlineStr">
        <is>
          <t>Apteryx rowi</t>
        </is>
      </c>
      <c r="O2159" t="inlineStr">
        <is>
          <t>transmembrane protein 59 isoform X2</t>
        </is>
      </c>
    </row>
    <row r="2160">
      <c r="A2160" t="inlineStr"/>
      <c r="B2160" t="inlineStr"/>
      <c r="C2160" t="inlineStr"/>
      <c r="D2160" t="inlineStr"/>
      <c r="E2160">
        <f>HYPERLINK("https://www.ncbi.nlm.nih.gov/gene/?term=XP_025942410.1", "XP_025942410.1")</f>
        <v/>
      </c>
      <c r="F2160" t="n">
        <v>61.1</v>
      </c>
      <c r="G2160" t="n">
        <v>108</v>
      </c>
      <c r="H2160" t="n">
        <v>1.58e-41</v>
      </c>
      <c r="I2160" t="inlineStr">
        <is>
          <t>Nr</t>
        </is>
      </c>
      <c r="J2160" t="inlineStr"/>
      <c r="K2160" t="inlineStr"/>
      <c r="L2160" t="inlineStr">
        <is>
          <t>XP_025942410.1 transmembrane protein 59 isoform X1 [Apteryx rowi]</t>
        </is>
      </c>
      <c r="M2160" t="n">
        <v>326</v>
      </c>
      <c r="N2160" t="inlineStr">
        <is>
          <t>Apteryx rowi</t>
        </is>
      </c>
      <c r="O2160" t="inlineStr">
        <is>
          <t>transmembrane protein 59 isoform X1</t>
        </is>
      </c>
    </row>
    <row r="2161">
      <c r="A2161" t="inlineStr"/>
      <c r="B2161" t="inlineStr"/>
      <c r="C2161" t="inlineStr"/>
      <c r="D2161" t="inlineStr"/>
      <c r="E2161">
        <f>HYPERLINK("https://www.uniprot.org/uniprotkb/A0A7L0KAE6/entry", "A0A7L0KAE6")</f>
        <v/>
      </c>
      <c r="F2161" t="n">
        <v>59.8</v>
      </c>
      <c r="G2161" t="n">
        <v>112</v>
      </c>
      <c r="H2161" t="n">
        <v>1.63e-41</v>
      </c>
      <c r="I2161" t="inlineStr">
        <is>
          <t>TrEMBL</t>
        </is>
      </c>
      <c r="J2161" t="inlineStr">
        <is>
          <t>Tmem59</t>
        </is>
      </c>
      <c r="K2161" t="inlineStr">
        <is>
          <t>A0A7L0KAE6_CHATO</t>
        </is>
      </c>
      <c r="L2161" t="inlineStr">
        <is>
          <t>tr|A0A7L0KAE6|A0A7L0KAE6_CHATO TMM59 protein (Fragment) OS=Chauna torquata OX=30388 GN=Tmem59 PE=3 SV=1</t>
        </is>
      </c>
      <c r="M2161" t="n">
        <v>309</v>
      </c>
      <c r="N2161" t="inlineStr">
        <is>
          <t>Chauna torquata</t>
        </is>
      </c>
      <c r="O2161" t="inlineStr">
        <is>
          <t>TMM59 protein (Fragment)</t>
        </is>
      </c>
    </row>
    <row r="2162">
      <c r="A2162" t="inlineStr"/>
      <c r="B2162" t="inlineStr"/>
      <c r="C2162" t="inlineStr"/>
      <c r="D2162" t="inlineStr"/>
      <c r="E2162">
        <f>HYPERLINK("https://www.uniprot.org/uniprotkb/A0A7K9VND1/entry", "A0A7K9VND1")</f>
        <v/>
      </c>
      <c r="F2162" t="n">
        <v>59.8</v>
      </c>
      <c r="G2162" t="n">
        <v>112</v>
      </c>
      <c r="H2162" t="n">
        <v>1.67e-41</v>
      </c>
      <c r="I2162" t="inlineStr">
        <is>
          <t>TrEMBL</t>
        </is>
      </c>
      <c r="J2162" t="inlineStr">
        <is>
          <t>Tmem59</t>
        </is>
      </c>
      <c r="K2162" t="inlineStr">
        <is>
          <t>A0A7K9VND1_ANSSE</t>
        </is>
      </c>
      <c r="L2162" t="inlineStr">
        <is>
          <t>tr|A0A7K9VND1|A0A7K9VND1_ANSSE TMM59 protein (Fragment) OS=Anseranas semipalmata OX=8851 GN=Tmem59 PE=3 SV=1</t>
        </is>
      </c>
      <c r="M2162" t="n">
        <v>310</v>
      </c>
      <c r="N2162" t="inlineStr">
        <is>
          <t>Anseranas semipalmata</t>
        </is>
      </c>
      <c r="O2162" t="inlineStr">
        <is>
          <t>TMM59 protein (Fragment)</t>
        </is>
      </c>
    </row>
    <row r="2163">
      <c r="A2163" t="inlineStr"/>
      <c r="B2163" t="inlineStr"/>
      <c r="C2163" t="inlineStr"/>
      <c r="D2163" t="inlineStr"/>
      <c r="E2163">
        <f>HYPERLINK("https://www.ncbi.nlm.nih.gov/gene/?term=XP_014434246.1", "XP_014434246.1")</f>
        <v/>
      </c>
      <c r="F2163" t="n">
        <v>59.3</v>
      </c>
      <c r="G2163" t="n">
        <v>118</v>
      </c>
      <c r="H2163" t="n">
        <v>2.05e-41</v>
      </c>
      <c r="I2163" t="inlineStr">
        <is>
          <t>Nr</t>
        </is>
      </c>
      <c r="J2163" t="inlineStr"/>
      <c r="K2163" t="inlineStr"/>
      <c r="L2163" t="inlineStr">
        <is>
          <t>XP_014434246.1 transmembrane protein 59 isoform X2 [Pelodiscus sinensis]</t>
        </is>
      </c>
      <c r="M2163" t="n">
        <v>308</v>
      </c>
      <c r="N2163" t="inlineStr">
        <is>
          <t>Pelodiscus sinensis</t>
        </is>
      </c>
      <c r="O2163" t="inlineStr">
        <is>
          <t>transmembrane protein 59 isoform X2</t>
        </is>
      </c>
    </row>
    <row r="2164">
      <c r="A2164" t="inlineStr"/>
      <c r="B2164" t="inlineStr"/>
      <c r="C2164" t="inlineStr"/>
      <c r="D2164" t="inlineStr"/>
      <c r="E2164">
        <f>HYPERLINK("https://www.uniprot.org/uniprotkb/A0A7J8A2R5/entry", "A0A7J8A2R5")</f>
        <v/>
      </c>
      <c r="F2164" t="n">
        <v>65.3</v>
      </c>
      <c r="G2164" t="n">
        <v>95</v>
      </c>
      <c r="H2164" t="n">
        <v>2.06e-41</v>
      </c>
      <c r="I2164" t="inlineStr">
        <is>
          <t>TrEMBL</t>
        </is>
      </c>
      <c r="J2164" t="inlineStr">
        <is>
          <t>mMyoMyo1_019413</t>
        </is>
      </c>
      <c r="K2164" t="inlineStr">
        <is>
          <t>A0A7J8A2R5_MYOMY</t>
        </is>
      </c>
      <c r="L2164" t="inlineStr">
        <is>
          <t>tr|A0A7J8A2R5|A0A7J8A2R5_MYOMY Transmembrane protein 59 OS=Myotis myotis OX=51298 GN=mMyoMyo1_019413 PE=3 SV=1</t>
        </is>
      </c>
      <c r="M2164" t="n">
        <v>131</v>
      </c>
      <c r="N2164" t="inlineStr">
        <is>
          <t>Myotis myotis</t>
        </is>
      </c>
      <c r="O2164" t="inlineStr">
        <is>
          <t>Transmembrane protein 59</t>
        </is>
      </c>
    </row>
    <row r="2165">
      <c r="A2165" t="inlineStr"/>
      <c r="B2165" t="inlineStr"/>
      <c r="C2165" t="inlineStr"/>
      <c r="D2165" t="inlineStr"/>
      <c r="E2165">
        <f>HYPERLINK("https://www.ncbi.nlm.nih.gov/gene/?term=XP_006133529.1", "XP_006133529.1")</f>
        <v/>
      </c>
      <c r="F2165" t="n">
        <v>59.3</v>
      </c>
      <c r="G2165" t="n">
        <v>118</v>
      </c>
      <c r="H2165" t="n">
        <v>2.1e-41</v>
      </c>
      <c r="I2165" t="inlineStr">
        <is>
          <t>Nr</t>
        </is>
      </c>
      <c r="J2165" t="inlineStr"/>
      <c r="K2165" t="inlineStr"/>
      <c r="L2165" t="inlineStr">
        <is>
          <t>XP_006133529.1 transmembrane protein 59 isoform X1 [Pelodiscus sinensis]</t>
        </is>
      </c>
      <c r="M2165" t="n">
        <v>309</v>
      </c>
      <c r="N2165" t="inlineStr">
        <is>
          <t>Pelodiscus sinensis</t>
        </is>
      </c>
      <c r="O2165" t="inlineStr">
        <is>
          <t>transmembrane protein 59 isoform X1</t>
        </is>
      </c>
    </row>
    <row r="2166">
      <c r="A2166" t="inlineStr"/>
      <c r="B2166" t="inlineStr"/>
      <c r="C2166" t="inlineStr"/>
      <c r="D2166" t="inlineStr"/>
      <c r="E2166">
        <f>HYPERLINK("https://www.uniprot.org/uniprotkb/A0A7K9P3G9/entry", "A0A7K9P3G9")</f>
        <v/>
      </c>
      <c r="F2166" t="n">
        <v>61.5</v>
      </c>
      <c r="G2166" t="n">
        <v>104</v>
      </c>
      <c r="H2166" t="n">
        <v>2.13e-41</v>
      </c>
      <c r="I2166" t="inlineStr">
        <is>
          <t>TrEMBL</t>
        </is>
      </c>
      <c r="J2166" t="inlineStr">
        <is>
          <t>Tmem59</t>
        </is>
      </c>
      <c r="K2166" t="inlineStr">
        <is>
          <t>A0A7K9P3G9_9CORV</t>
        </is>
      </c>
      <c r="L2166" t="inlineStr">
        <is>
          <t>tr|A0A7K9P3G9|A0A7K9P3G9_9CORV TMM59 protein (Fragment) OS=Pachycephala philippinensis OX=449367 GN=Tmem59 PE=3 SV=1</t>
        </is>
      </c>
      <c r="M2166" t="n">
        <v>292</v>
      </c>
      <c r="N2166" t="inlineStr">
        <is>
          <t>Pachycephala philippinensis</t>
        </is>
      </c>
      <c r="O2166" t="inlineStr">
        <is>
          <t>TMM59 protein (Fragment)</t>
        </is>
      </c>
    </row>
    <row r="2167">
      <c r="A2167" t="inlineStr"/>
      <c r="B2167" t="inlineStr"/>
      <c r="C2167" t="inlineStr"/>
      <c r="D2167" t="inlineStr"/>
      <c r="E2167">
        <f>HYPERLINK("https://www.uniprot.org/uniprotkb/A0A7L0W7T3/entry", "A0A7L0W7T3")</f>
        <v/>
      </c>
      <c r="F2167" t="n">
        <v>61.5</v>
      </c>
      <c r="G2167" t="n">
        <v>104</v>
      </c>
      <c r="H2167" t="n">
        <v>2.13e-41</v>
      </c>
      <c r="I2167" t="inlineStr">
        <is>
          <t>TrEMBL</t>
        </is>
      </c>
      <c r="J2167" t="inlineStr">
        <is>
          <t>Tmem59</t>
        </is>
      </c>
      <c r="K2167" t="inlineStr">
        <is>
          <t>A0A7L0W7T3_ALELA</t>
        </is>
      </c>
      <c r="L2167" t="inlineStr">
        <is>
          <t>tr|A0A7L0W7T3|A0A7L0W7T3_ALELA TMM59 protein (Fragment) OS=Alectura lathami OX=81907 GN=Tmem59 PE=3 SV=1</t>
        </is>
      </c>
      <c r="M2167" t="n">
        <v>292</v>
      </c>
      <c r="N2167" t="inlineStr">
        <is>
          <t>Alectura lathami</t>
        </is>
      </c>
      <c r="O2167" t="inlineStr">
        <is>
          <t>TMM59 protein (Fragment)</t>
        </is>
      </c>
    </row>
    <row r="2168">
      <c r="A2168" t="inlineStr"/>
      <c r="B2168" t="inlineStr"/>
      <c r="C2168" t="inlineStr"/>
      <c r="D2168" t="inlineStr"/>
      <c r="E2168">
        <f>HYPERLINK("https://www.uniprot.org/uniprotkb/A0A341AX64/entry", "A0A341AX64")</f>
        <v/>
      </c>
      <c r="F2168" t="n">
        <v>60.2</v>
      </c>
      <c r="G2168" t="n">
        <v>113</v>
      </c>
      <c r="H2168" t="n">
        <v>2.19e-41</v>
      </c>
      <c r="I2168" t="inlineStr">
        <is>
          <t>TrEMBL</t>
        </is>
      </c>
      <c r="J2168" t="inlineStr">
        <is>
          <t>TMEM59</t>
        </is>
      </c>
      <c r="K2168" t="inlineStr">
        <is>
          <t>A0A341AX64_NEOAA</t>
        </is>
      </c>
      <c r="L2168" t="inlineStr">
        <is>
          <t>tr|A0A341AX64|A0A341AX64_NEOAA transmembrane protein 59 isoform X3 OS=Neophocaena asiaeorientalis asiaeorientalis OX=1706337 GN=TMEM59 PE=3 SV=1</t>
        </is>
      </c>
      <c r="M2168" t="n">
        <v>133</v>
      </c>
      <c r="N2168" t="inlineStr">
        <is>
          <t>Neophocaena asiaeorientalis asiaeorientalis</t>
        </is>
      </c>
      <c r="O2168" t="inlineStr">
        <is>
          <t>transmembrane protein 59 isoform X3</t>
        </is>
      </c>
    </row>
    <row r="2169">
      <c r="A2169" t="inlineStr"/>
      <c r="B2169" t="inlineStr"/>
      <c r="C2169" t="inlineStr"/>
      <c r="D2169" t="inlineStr"/>
      <c r="E2169">
        <f>HYPERLINK("https://www.uniprot.org/uniprotkb/A0A835NRD0/entry", "A0A835NRD0")</f>
        <v/>
      </c>
      <c r="F2169" t="n">
        <v>61.5</v>
      </c>
      <c r="G2169" t="n">
        <v>104</v>
      </c>
      <c r="H2169" t="n">
        <v>2.4e-41</v>
      </c>
      <c r="I2169" t="inlineStr">
        <is>
          <t>TrEMBL</t>
        </is>
      </c>
      <c r="J2169" t="inlineStr">
        <is>
          <t>IHE44_012547</t>
        </is>
      </c>
      <c r="K2169" t="inlineStr">
        <is>
          <t>A0A835NRD0_9PASS</t>
        </is>
      </c>
      <c r="L2169" t="inlineStr">
        <is>
          <t>tr|A0A835NRD0|A0A835NRD0_9PASS Transmembrane protein 59 OS=Lamprotornis superbus OX=245042 GN=IHE44_012547 PE=3 SV=1</t>
        </is>
      </c>
      <c r="M2169" t="n">
        <v>283</v>
      </c>
      <c r="N2169" t="inlineStr">
        <is>
          <t>Lamprotornis superbus</t>
        </is>
      </c>
      <c r="O2169" t="inlineStr">
        <is>
          <t>Transmembrane protein 59</t>
        </is>
      </c>
    </row>
    <row r="2170">
      <c r="A2170" t="inlineStr"/>
      <c r="B2170" t="inlineStr"/>
      <c r="C2170" t="inlineStr"/>
      <c r="D2170" t="inlineStr"/>
      <c r="E2170">
        <f>HYPERLINK("https://www.uniprot.org/uniprotkb/A0A851NUM5/entry", "A0A851NUM5")</f>
        <v/>
      </c>
      <c r="F2170" t="n">
        <v>59.8</v>
      </c>
      <c r="G2170" t="n">
        <v>112</v>
      </c>
      <c r="H2170" t="n">
        <v>2.44e-41</v>
      </c>
      <c r="I2170" t="inlineStr">
        <is>
          <t>TrEMBL</t>
        </is>
      </c>
      <c r="J2170" t="inlineStr">
        <is>
          <t>Tmem59</t>
        </is>
      </c>
      <c r="K2170" t="inlineStr">
        <is>
          <t>A0A851NUM5_9GALL</t>
        </is>
      </c>
      <c r="L2170" t="inlineStr">
        <is>
          <t>tr|A0A851NUM5|A0A851NUM5_9GALL TMM59 protein (Fragment) OS=Penelope pileata OX=1118817 GN=Tmem59 PE=3 SV=1</t>
        </is>
      </c>
      <c r="M2170" t="n">
        <v>326</v>
      </c>
      <c r="N2170" t="inlineStr">
        <is>
          <t>Penelope pileata</t>
        </is>
      </c>
      <c r="O2170" t="inlineStr">
        <is>
          <t>TMM59 protein (Fragment)</t>
        </is>
      </c>
    </row>
    <row r="2171">
      <c r="A2171" t="inlineStr"/>
      <c r="B2171" t="inlineStr"/>
      <c r="C2171" t="inlineStr"/>
      <c r="D2171" t="inlineStr"/>
      <c r="E2171">
        <f>HYPERLINK("https://www.uniprot.org/uniprotkb/A0A226NAM5/entry", "A0A226NAM5")</f>
        <v/>
      </c>
      <c r="F2171" t="n">
        <v>60.6</v>
      </c>
      <c r="G2171" t="n">
        <v>109</v>
      </c>
      <c r="H2171" t="n">
        <v>2.71e-41</v>
      </c>
      <c r="I2171" t="inlineStr">
        <is>
          <t>TrEMBL</t>
        </is>
      </c>
      <c r="J2171" t="inlineStr">
        <is>
          <t>ASZ78_016033</t>
        </is>
      </c>
      <c r="K2171" t="inlineStr">
        <is>
          <t>A0A226NAM5_CALSU</t>
        </is>
      </c>
      <c r="L2171" t="inlineStr">
        <is>
          <t>tr|A0A226NAM5|A0A226NAM5_CALSU Transmembrane protein 59 OS=Callipepla squamata OX=9009 GN=ASZ78_016033 PE=3 SV=1</t>
        </is>
      </c>
      <c r="M2171" t="n">
        <v>394</v>
      </c>
      <c r="N2171" t="inlineStr">
        <is>
          <t>Callipepla squamata</t>
        </is>
      </c>
      <c r="O2171" t="inlineStr">
        <is>
          <t>Transmembrane protein 59</t>
        </is>
      </c>
    </row>
    <row r="2172">
      <c r="A2172" t="inlineStr"/>
      <c r="B2172" t="inlineStr"/>
      <c r="C2172" t="inlineStr"/>
      <c r="D2172" t="inlineStr"/>
      <c r="E2172">
        <f>HYPERLINK("https://www.uniprot.org/uniprotkb/A0A6J3DCI7/entry", "A0A6J3DCI7")</f>
        <v/>
      </c>
      <c r="F2172" t="n">
        <v>58.4</v>
      </c>
      <c r="G2172" t="n">
        <v>125</v>
      </c>
      <c r="H2172" t="n">
        <v>2.71e-41</v>
      </c>
      <c r="I2172" t="inlineStr">
        <is>
          <t>TrEMBL</t>
        </is>
      </c>
      <c r="J2172" t="inlineStr">
        <is>
          <t>TMEM59</t>
        </is>
      </c>
      <c r="K2172" t="inlineStr">
        <is>
          <t>A0A6J3DCI7_AYTFU</t>
        </is>
      </c>
      <c r="L2172" t="inlineStr">
        <is>
          <t>tr|A0A6J3DCI7|A0A6J3DCI7_AYTFU transmembrane protein 59 isoform X2 OS=Aythya fuligula OX=219594 GN=TMEM59 PE=3 SV=1</t>
        </is>
      </c>
      <c r="M2172" t="n">
        <v>316</v>
      </c>
      <c r="N2172" t="inlineStr">
        <is>
          <t>Aythya fuligula</t>
        </is>
      </c>
      <c r="O2172" t="inlineStr">
        <is>
          <t>transmembrane protein 59 isoform X2</t>
        </is>
      </c>
    </row>
    <row r="2173">
      <c r="A2173" t="inlineStr"/>
      <c r="B2173" t="inlineStr"/>
      <c r="C2173" t="inlineStr"/>
      <c r="D2173" t="inlineStr"/>
      <c r="E2173">
        <f>HYPERLINK("https://www.uniprot.org/uniprotkb/A0A803KJ36/entry", "A0A803KJ36")</f>
        <v/>
      </c>
      <c r="F2173" t="n">
        <v>57.4</v>
      </c>
      <c r="G2173" t="n">
        <v>136</v>
      </c>
      <c r="H2173" t="n">
        <v>2.74e-41</v>
      </c>
      <c r="I2173" t="inlineStr">
        <is>
          <t>TrEMBL</t>
        </is>
      </c>
      <c r="J2173" t="inlineStr">
        <is>
          <t>tmem59</t>
        </is>
      </c>
      <c r="K2173" t="inlineStr">
        <is>
          <t>A0A803KJ36_XENTR</t>
        </is>
      </c>
      <c r="L2173" t="inlineStr">
        <is>
          <t>tr|A0A803KJ36|A0A803KJ36_XENTR Transmembrane protein 59 OS=Xenopus tropicalis OX=8364 GN=tmem59 PE=3 SV=1</t>
        </is>
      </c>
      <c r="M2173" t="n">
        <v>331</v>
      </c>
      <c r="N2173" t="inlineStr">
        <is>
          <t>Xenopus tropicalis</t>
        </is>
      </c>
      <c r="O2173" t="inlineStr">
        <is>
          <t>Transmembrane protein 59</t>
        </is>
      </c>
    </row>
    <row r="2174">
      <c r="A2174" t="inlineStr"/>
      <c r="B2174" t="inlineStr"/>
      <c r="C2174" t="inlineStr"/>
      <c r="D2174" t="inlineStr"/>
      <c r="E2174">
        <f>HYPERLINK("https://www.uniprot.org/uniprotkb/A0A6J3DFL5/entry", "A0A6J3DFL5")</f>
        <v/>
      </c>
      <c r="F2174" t="n">
        <v>58.4</v>
      </c>
      <c r="G2174" t="n">
        <v>125</v>
      </c>
      <c r="H2174" t="n">
        <v>2.78e-41</v>
      </c>
      <c r="I2174" t="inlineStr">
        <is>
          <t>TrEMBL</t>
        </is>
      </c>
      <c r="J2174" t="inlineStr">
        <is>
          <t>TMEM59</t>
        </is>
      </c>
      <c r="K2174" t="inlineStr">
        <is>
          <t>A0A6J3DFL5_AYTFU</t>
        </is>
      </c>
      <c r="L2174" t="inlineStr">
        <is>
          <t>tr|A0A6J3DFL5|A0A6J3DFL5_AYTFU transmembrane protein 59 isoform X1 OS=Aythya fuligula OX=219594 GN=TMEM59 PE=3 SV=1</t>
        </is>
      </c>
      <c r="M2174" t="n">
        <v>317</v>
      </c>
      <c r="N2174" t="inlineStr">
        <is>
          <t>Aythya fuligula</t>
        </is>
      </c>
      <c r="O2174" t="inlineStr">
        <is>
          <t>transmembrane protein 59 isoform X1</t>
        </is>
      </c>
    </row>
    <row r="2175">
      <c r="A2175" t="inlineStr"/>
      <c r="B2175" t="inlineStr"/>
      <c r="C2175" t="inlineStr"/>
      <c r="D2175" t="inlineStr"/>
      <c r="E2175">
        <f>HYPERLINK("https://www.ncbi.nlm.nih.gov/gene/?term=POI28360.1", "POI28360.1")</f>
        <v/>
      </c>
      <c r="F2175" t="n">
        <v>58.9</v>
      </c>
      <c r="G2175" t="n">
        <v>112</v>
      </c>
      <c r="H2175" t="n">
        <v>2.79e-41</v>
      </c>
      <c r="I2175" t="inlineStr">
        <is>
          <t>Nr</t>
        </is>
      </c>
      <c r="J2175" t="inlineStr"/>
      <c r="K2175" t="inlineStr"/>
      <c r="L2175" t="inlineStr">
        <is>
          <t>POI28360.1 hypothetical protein CIB84_007890 [Bambusicola thoracicus]</t>
        </is>
      </c>
      <c r="M2175" t="n">
        <v>215</v>
      </c>
      <c r="N2175" t="inlineStr">
        <is>
          <t>Bambusicola thoracicus</t>
        </is>
      </c>
      <c r="O2175" t="inlineStr">
        <is>
          <t>hypothetical protein CIB84_007890</t>
        </is>
      </c>
    </row>
    <row r="2176">
      <c r="A2176" t="inlineStr"/>
      <c r="B2176" t="inlineStr"/>
      <c r="C2176" t="inlineStr"/>
      <c r="D2176" t="inlineStr"/>
      <c r="E2176">
        <f>HYPERLINK("https://www.uniprot.org/uniprotkb/Q9BXS4/entry", "Q9BXS4")</f>
        <v/>
      </c>
      <c r="F2176" t="n">
        <v>59.3</v>
      </c>
      <c r="G2176" t="n">
        <v>113</v>
      </c>
      <c r="H2176" t="n">
        <v>2.8e-41</v>
      </c>
      <c r="I2176" t="inlineStr">
        <is>
          <t>Swiss-Prot</t>
        </is>
      </c>
      <c r="J2176" t="inlineStr">
        <is>
          <t>TMEM59</t>
        </is>
      </c>
      <c r="K2176" t="inlineStr">
        <is>
          <t>TMM59_HUMAN</t>
        </is>
      </c>
      <c r="L2176" t="inlineStr">
        <is>
          <t>sp|Q9BXS4|TMM59_HUMAN Transmembrane protein 59 OS=Homo sapiens OX=9606 GN=TMEM59 PE=1 SV=1</t>
        </is>
      </c>
      <c r="M2176" t="n">
        <v>323</v>
      </c>
      <c r="N2176" t="inlineStr">
        <is>
          <t>Homo sapiens</t>
        </is>
      </c>
      <c r="O2176" t="inlineStr">
        <is>
          <t>Transmembrane protein 59</t>
        </is>
      </c>
    </row>
    <row r="2177">
      <c r="A2177" t="inlineStr"/>
      <c r="B2177" t="inlineStr"/>
      <c r="C2177" t="inlineStr"/>
      <c r="D2177" t="inlineStr"/>
      <c r="E2177">
        <f>HYPERLINK("https://www.uniprot.org/uniprotkb/Q4R8C8/entry", "Q4R8C8")</f>
        <v/>
      </c>
      <c r="F2177" t="n">
        <v>59.3</v>
      </c>
      <c r="G2177" t="n">
        <v>113</v>
      </c>
      <c r="H2177" t="n">
        <v>2.8e-41</v>
      </c>
      <c r="I2177" t="inlineStr">
        <is>
          <t>Swiss-Prot</t>
        </is>
      </c>
      <c r="J2177" t="inlineStr">
        <is>
          <t>TMEM59</t>
        </is>
      </c>
      <c r="K2177" t="inlineStr">
        <is>
          <t>TMM59_MACFA</t>
        </is>
      </c>
      <c r="L2177" t="inlineStr">
        <is>
          <t>sp|Q4R8C8|TMM59_MACFA Transmembrane protein 59 OS=Macaca fascicularis OX=9541 GN=TMEM59 PE=2 SV=1</t>
        </is>
      </c>
      <c r="M2177" t="n">
        <v>323</v>
      </c>
      <c r="N2177" t="inlineStr">
        <is>
          <t>Macaca fascicularis</t>
        </is>
      </c>
      <c r="O2177" t="inlineStr">
        <is>
          <t>Transmembrane protein 59</t>
        </is>
      </c>
    </row>
    <row r="2178">
      <c r="A2178" t="inlineStr"/>
      <c r="B2178" t="inlineStr"/>
      <c r="C2178" t="inlineStr"/>
      <c r="D2178" t="inlineStr"/>
      <c r="E2178">
        <f>HYPERLINK("https://www.uniprot.org/uniprotkb/Q2F7Z7/entry", "Q2F7Z7")</f>
        <v/>
      </c>
      <c r="F2178" t="n">
        <v>64.2</v>
      </c>
      <c r="G2178" t="n">
        <v>95</v>
      </c>
      <c r="H2178" t="n">
        <v>2.8e-41</v>
      </c>
      <c r="I2178" t="inlineStr">
        <is>
          <t>Swiss-Prot</t>
        </is>
      </c>
      <c r="J2178" t="inlineStr">
        <is>
          <t>TMEM59</t>
        </is>
      </c>
      <c r="K2178" t="inlineStr">
        <is>
          <t>TMM59_PIG</t>
        </is>
      </c>
      <c r="L2178" t="inlineStr">
        <is>
          <t>sp|Q2F7Z7|TMM59_PIG Transmembrane protein 59 OS=Sus scrofa OX=9823 GN=TMEM59 PE=2 SV=1</t>
        </is>
      </c>
      <c r="M2178" t="n">
        <v>323</v>
      </c>
      <c r="N2178" t="inlineStr">
        <is>
          <t>Sus scrofa</t>
        </is>
      </c>
      <c r="O2178" t="inlineStr">
        <is>
          <t>Transmembrane protein 59</t>
        </is>
      </c>
    </row>
    <row r="2179">
      <c r="A2179" t="inlineStr"/>
      <c r="B2179" t="inlineStr"/>
      <c r="C2179" t="inlineStr"/>
      <c r="D2179" t="inlineStr"/>
      <c r="E2179">
        <f>HYPERLINK("https://www.uniprot.org/uniprotkb/Q5R800/entry", "Q5R800")</f>
        <v/>
      </c>
      <c r="F2179" t="n">
        <v>59.3</v>
      </c>
      <c r="G2179" t="n">
        <v>113</v>
      </c>
      <c r="H2179" t="n">
        <v>2.8e-41</v>
      </c>
      <c r="I2179" t="inlineStr">
        <is>
          <t>Swiss-Prot</t>
        </is>
      </c>
      <c r="J2179" t="inlineStr">
        <is>
          <t>TMEM59</t>
        </is>
      </c>
      <c r="K2179" t="inlineStr">
        <is>
          <t>TMM59_PONAB</t>
        </is>
      </c>
      <c r="L2179" t="inlineStr">
        <is>
          <t>sp|Q5R800|TMM59_PONAB Transmembrane protein 59 OS=Pongo abelii OX=9601 GN=TMEM59 PE=2 SV=1</t>
        </is>
      </c>
      <c r="M2179" t="n">
        <v>323</v>
      </c>
      <c r="N2179" t="inlineStr">
        <is>
          <t>Pongo abelii</t>
        </is>
      </c>
      <c r="O2179" t="inlineStr">
        <is>
          <t>Transmembrane protein 59</t>
        </is>
      </c>
    </row>
    <row r="2180">
      <c r="A2180" t="inlineStr"/>
      <c r="B2180" t="inlineStr"/>
      <c r="C2180" t="inlineStr"/>
      <c r="D2180" t="inlineStr"/>
      <c r="E2180">
        <f>HYPERLINK("https://www.ncbi.nlm.nih.gov/gene/?term=XP_048458020.1", "XP_048458020.1")</f>
        <v/>
      </c>
      <c r="F2180" t="n">
        <v>66.3</v>
      </c>
      <c r="G2180" t="n">
        <v>95</v>
      </c>
      <c r="H2180" t="n">
        <v>2.81e-41</v>
      </c>
      <c r="I2180" t="inlineStr">
        <is>
          <t>Nr</t>
        </is>
      </c>
      <c r="J2180" t="inlineStr"/>
      <c r="K2180" t="inlineStr"/>
      <c r="L2180" t="inlineStr">
        <is>
          <t>XP_048458020.1 transmembrane protein 59 [Rhincodon typus]</t>
        </is>
      </c>
      <c r="M2180" t="n">
        <v>253</v>
      </c>
      <c r="N2180" t="inlineStr">
        <is>
          <t>Rhincodon typus</t>
        </is>
      </c>
      <c r="O2180" t="inlineStr">
        <is>
          <t>transmembrane protein 59</t>
        </is>
      </c>
    </row>
    <row r="2181">
      <c r="A2181" t="inlineStr"/>
      <c r="B2181" t="inlineStr"/>
      <c r="C2181" t="inlineStr"/>
      <c r="D2181" t="inlineStr"/>
      <c r="E2181">
        <f>HYPERLINK("https://www.uniprot.org/uniprotkb/A0A8C8YA35/entry", "A0A8C8YA35")</f>
        <v/>
      </c>
      <c r="F2181" t="n">
        <v>65.3</v>
      </c>
      <c r="G2181" t="n">
        <v>95</v>
      </c>
      <c r="H2181" t="n">
        <v>2.97e-41</v>
      </c>
      <c r="I2181" t="inlineStr">
        <is>
          <t>TrEMBL</t>
        </is>
      </c>
      <c r="J2181" t="inlineStr">
        <is>
          <t>TMEM59</t>
        </is>
      </c>
      <c r="K2181" t="inlineStr">
        <is>
          <t>A0A8C8YA35_PROSS</t>
        </is>
      </c>
      <c r="L2181" t="inlineStr">
        <is>
          <t>tr|A0A8C8YA35|A0A8C8YA35_PROSS Transmembrane protein 59 OS=Prolemur simus OX=1328070 GN=TMEM59 PE=3 SV=1</t>
        </is>
      </c>
      <c r="M2181" t="n">
        <v>143</v>
      </c>
      <c r="N2181" t="inlineStr">
        <is>
          <t>Prolemur simus</t>
        </is>
      </c>
      <c r="O2181" t="inlineStr">
        <is>
          <t>Transmembrane protein 59</t>
        </is>
      </c>
    </row>
    <row r="2182">
      <c r="A2182" t="inlineStr"/>
      <c r="B2182" t="inlineStr"/>
      <c r="C2182" t="inlineStr"/>
      <c r="D2182" t="inlineStr"/>
      <c r="E2182">
        <f>HYPERLINK("https://www.uniprot.org/uniprotkb/A0A4X1WCD8/entry", "A0A4X1WCD8")</f>
        <v/>
      </c>
      <c r="F2182" t="n">
        <v>65.3</v>
      </c>
      <c r="G2182" t="n">
        <v>95</v>
      </c>
      <c r="H2182" t="n">
        <v>3.06e-41</v>
      </c>
      <c r="I2182" t="inlineStr">
        <is>
          <t>TrEMBL</t>
        </is>
      </c>
      <c r="J2182" t="inlineStr">
        <is>
          <t>TMEM59</t>
        </is>
      </c>
      <c r="K2182" t="inlineStr">
        <is>
          <t>A0A4X1WCD8_PIG</t>
        </is>
      </c>
      <c r="L2182" t="inlineStr">
        <is>
          <t>tr|A0A4X1WCD8|A0A4X1WCD8_PIG Transmembrane protein 59 OS=Sus scrofa OX=9823 GN=TMEM59 PE=3 SV=1</t>
        </is>
      </c>
      <c r="M2182" t="n">
        <v>144</v>
      </c>
      <c r="N2182" t="inlineStr">
        <is>
          <t>Sus scrofa</t>
        </is>
      </c>
      <c r="O2182" t="inlineStr">
        <is>
          <t>Transmembrane protein 59</t>
        </is>
      </c>
    </row>
    <row r="2183">
      <c r="A2183" t="inlineStr"/>
      <c r="B2183" t="inlineStr"/>
      <c r="C2183" t="inlineStr"/>
      <c r="D2183" t="inlineStr"/>
      <c r="E2183">
        <f>HYPERLINK("https://www.uniprot.org/uniprotkb/A0A5G2QFB3/entry", "A0A5G2QFB3")</f>
        <v/>
      </c>
      <c r="F2183" t="n">
        <v>65.3</v>
      </c>
      <c r="G2183" t="n">
        <v>95</v>
      </c>
      <c r="H2183" t="n">
        <v>3.06e-41</v>
      </c>
      <c r="I2183" t="inlineStr">
        <is>
          <t>TrEMBL</t>
        </is>
      </c>
      <c r="J2183" t="inlineStr">
        <is>
          <t>TMEM59</t>
        </is>
      </c>
      <c r="K2183" t="inlineStr">
        <is>
          <t>A0A5G2QFB3_PIG</t>
        </is>
      </c>
      <c r="L2183" t="inlineStr">
        <is>
          <t>tr|A0A5G2QFB3|A0A5G2QFB3_PIG Transmembrane protein 59 OS=Sus scrofa OX=9823 GN=TMEM59 PE=3 SV=1</t>
        </is>
      </c>
      <c r="M2183" t="n">
        <v>144</v>
      </c>
      <c r="N2183" t="inlineStr">
        <is>
          <t>Sus scrofa</t>
        </is>
      </c>
      <c r="O2183" t="inlineStr">
        <is>
          <t>Transmembrane protein 59</t>
        </is>
      </c>
    </row>
    <row r="2184">
      <c r="A2184" t="inlineStr"/>
      <c r="B2184" t="inlineStr"/>
      <c r="C2184" t="inlineStr"/>
      <c r="D2184" t="inlineStr"/>
      <c r="E2184">
        <f>HYPERLINK("https://www.uniprot.org/uniprotkb/A0A2K6EGW4/entry", "A0A2K6EGW4")</f>
        <v/>
      </c>
      <c r="F2184" t="n">
        <v>65.3</v>
      </c>
      <c r="G2184" t="n">
        <v>95</v>
      </c>
      <c r="H2184" t="n">
        <v>3.06e-41</v>
      </c>
      <c r="I2184" t="inlineStr">
        <is>
          <t>TrEMBL</t>
        </is>
      </c>
      <c r="J2184" t="inlineStr">
        <is>
          <t>TMEM59</t>
        </is>
      </c>
      <c r="K2184" t="inlineStr">
        <is>
          <t>A0A2K6EGW4_PROCO</t>
        </is>
      </c>
      <c r="L2184" t="inlineStr">
        <is>
          <t>tr|A0A2K6EGW4|A0A2K6EGW4_PROCO Transmembrane protein 59 OS=Propithecus coquereli OX=379532 GN=TMEM59 PE=3 SV=1</t>
        </is>
      </c>
      <c r="M2184" t="n">
        <v>144</v>
      </c>
      <c r="N2184" t="inlineStr">
        <is>
          <t>Propithecus coquereli</t>
        </is>
      </c>
      <c r="O2184" t="inlineStr">
        <is>
          <t>Transmembrane protein 59</t>
        </is>
      </c>
    </row>
    <row r="2185">
      <c r="A2185" t="inlineStr"/>
      <c r="B2185" t="inlineStr"/>
      <c r="C2185" t="inlineStr"/>
      <c r="D2185" t="inlineStr"/>
      <c r="E2185">
        <f>HYPERLINK("https://www.ncbi.nlm.nih.gov/gene/?term=NXK53189.1", "NXK53189.1")</f>
        <v/>
      </c>
      <c r="F2185" t="n">
        <v>59.8</v>
      </c>
      <c r="G2185" t="n">
        <v>112</v>
      </c>
      <c r="H2185" t="n">
        <v>4.18e-41</v>
      </c>
      <c r="I2185" t="inlineStr">
        <is>
          <t>Nr</t>
        </is>
      </c>
      <c r="J2185" t="inlineStr"/>
      <c r="K2185" t="inlineStr"/>
      <c r="L2185" t="inlineStr">
        <is>
          <t>NXK53189.1 TMM59 protein [Chauna torquata]</t>
        </is>
      </c>
      <c r="M2185" t="n">
        <v>309</v>
      </c>
      <c r="N2185" t="inlineStr">
        <is>
          <t>Chauna torquata</t>
        </is>
      </c>
      <c r="O2185" t="inlineStr">
        <is>
          <t>TMM59 protein</t>
        </is>
      </c>
    </row>
    <row r="2186">
      <c r="A2186" t="inlineStr"/>
      <c r="B2186" t="inlineStr"/>
      <c r="C2186" t="inlineStr"/>
      <c r="D2186" t="inlineStr"/>
      <c r="E2186">
        <f>HYPERLINK("https://www.ncbi.nlm.nih.gov/gene/?term=NXI74136.1", "NXI74136.1")</f>
        <v/>
      </c>
      <c r="F2186" t="n">
        <v>59.8</v>
      </c>
      <c r="G2186" t="n">
        <v>112</v>
      </c>
      <c r="H2186" t="n">
        <v>4.28e-41</v>
      </c>
      <c r="I2186" t="inlineStr">
        <is>
          <t>Nr</t>
        </is>
      </c>
      <c r="J2186" t="inlineStr"/>
      <c r="K2186" t="inlineStr"/>
      <c r="L2186" t="inlineStr">
        <is>
          <t>NXI74136.1 TMM59 protein [Anseranas semipalmata]</t>
        </is>
      </c>
      <c r="M2186" t="n">
        <v>310</v>
      </c>
      <c r="N2186" t="inlineStr">
        <is>
          <t>Anseranas semipalmata</t>
        </is>
      </c>
      <c r="O2186" t="inlineStr">
        <is>
          <t>TMM59 protein</t>
        </is>
      </c>
    </row>
    <row r="2187">
      <c r="A2187" t="inlineStr"/>
      <c r="B2187" t="inlineStr"/>
      <c r="C2187" t="inlineStr"/>
      <c r="D2187" t="inlineStr"/>
      <c r="E2187">
        <f>HYPERLINK("https://www.ncbi.nlm.nih.gov/gene/?term=XP_041126236.1", "XP_041126236.1")</f>
        <v/>
      </c>
      <c r="F2187" t="n">
        <v>67.7</v>
      </c>
      <c r="G2187" t="n">
        <v>93</v>
      </c>
      <c r="H2187" t="n">
        <v>4.54e-41</v>
      </c>
      <c r="I2187" t="inlineStr">
        <is>
          <t>Nr</t>
        </is>
      </c>
      <c r="J2187" t="inlineStr"/>
      <c r="K2187" t="inlineStr"/>
      <c r="L2187" t="inlineStr">
        <is>
          <t>XP_041126236.1 transmembrane protein 59 isoform X2 [Polyodon spathula]</t>
        </is>
      </c>
      <c r="M2187" t="n">
        <v>327</v>
      </c>
      <c r="N2187" t="inlineStr">
        <is>
          <t>Polyodon spathula</t>
        </is>
      </c>
      <c r="O2187" t="inlineStr">
        <is>
          <t>transmembrane protein 59 isoform X2</t>
        </is>
      </c>
    </row>
    <row r="2188">
      <c r="A2188" t="inlineStr"/>
      <c r="B2188" t="inlineStr"/>
      <c r="C2188" t="inlineStr"/>
      <c r="D2188" t="inlineStr"/>
      <c r="E2188">
        <f>HYPERLINK("https://www.ncbi.nlm.nih.gov/gene/?term=XP_050819556.1", "XP_050819556.1")</f>
        <v/>
      </c>
      <c r="F2188" t="n">
        <v>60.6</v>
      </c>
      <c r="G2188" t="n">
        <v>109</v>
      </c>
      <c r="H2188" t="n">
        <v>4.6e-41</v>
      </c>
      <c r="I2188" t="inlineStr">
        <is>
          <t>Nr</t>
        </is>
      </c>
      <c r="J2188" t="inlineStr"/>
      <c r="K2188" t="inlineStr"/>
      <c r="L2188" t="inlineStr">
        <is>
          <t>XP_050819556.1 transmembrane protein 59 isoform X2 [Gopherus flavomarginatus]</t>
        </is>
      </c>
      <c r="M2188" t="n">
        <v>313</v>
      </c>
      <c r="N2188" t="inlineStr">
        <is>
          <t>Gopherus flavomarginatus</t>
        </is>
      </c>
      <c r="O2188" t="inlineStr">
        <is>
          <t>transmembrane protein 59 isoform X2</t>
        </is>
      </c>
    </row>
    <row r="2189">
      <c r="A2189" t="inlineStr"/>
      <c r="B2189" t="inlineStr"/>
      <c r="C2189" t="inlineStr"/>
      <c r="D2189" t="inlineStr"/>
      <c r="E2189">
        <f>HYPERLINK("https://www.ncbi.nlm.nih.gov/gene/?term=XP_041126235.1", "XP_041126235.1")</f>
        <v/>
      </c>
      <c r="F2189" t="n">
        <v>67.7</v>
      </c>
      <c r="G2189" t="n">
        <v>93</v>
      </c>
      <c r="H2189" t="n">
        <v>4.65e-41</v>
      </c>
      <c r="I2189" t="inlineStr">
        <is>
          <t>Nr</t>
        </is>
      </c>
      <c r="J2189" t="inlineStr"/>
      <c r="K2189" t="inlineStr"/>
      <c r="L2189" t="inlineStr">
        <is>
          <t>XP_041126235.1 transmembrane protein 59 isoform X1 [Polyodon spathula]</t>
        </is>
      </c>
      <c r="M2189" t="n">
        <v>328</v>
      </c>
      <c r="N2189" t="inlineStr">
        <is>
          <t>Polyodon spathula</t>
        </is>
      </c>
      <c r="O2189" t="inlineStr">
        <is>
          <t>transmembrane protein 59 isoform X1</t>
        </is>
      </c>
    </row>
    <row r="2190">
      <c r="A2190" t="inlineStr"/>
      <c r="B2190" t="inlineStr"/>
      <c r="C2190" t="inlineStr"/>
      <c r="D2190" t="inlineStr"/>
      <c r="E2190">
        <f>HYPERLINK("https://www.ncbi.nlm.nih.gov/gene/?term=XP_050819555.1", "XP_050819555.1")</f>
        <v/>
      </c>
      <c r="F2190" t="n">
        <v>60.6</v>
      </c>
      <c r="G2190" t="n">
        <v>109</v>
      </c>
      <c r="H2190" t="n">
        <v>4.71e-41</v>
      </c>
      <c r="I2190" t="inlineStr">
        <is>
          <t>Nr</t>
        </is>
      </c>
      <c r="J2190" t="inlineStr"/>
      <c r="K2190" t="inlineStr"/>
      <c r="L2190" t="inlineStr">
        <is>
          <t>XP_050819555.1 transmembrane protein 59 isoform X1 [Gopherus flavomarginatus]</t>
        </is>
      </c>
      <c r="M2190" t="n">
        <v>314</v>
      </c>
      <c r="N2190" t="inlineStr">
        <is>
          <t>Gopherus flavomarginatus</t>
        </is>
      </c>
      <c r="O2190" t="inlineStr">
        <is>
          <t>transmembrane protein 59 isoform X1</t>
        </is>
      </c>
    </row>
    <row r="2191">
      <c r="A2191" t="inlineStr"/>
      <c r="B2191" t="inlineStr"/>
      <c r="C2191" t="inlineStr"/>
      <c r="D2191" t="inlineStr"/>
      <c r="E2191">
        <f>HYPERLINK("https://www.ncbi.nlm.nih.gov/gene/?term=KAF6380658.1", "KAF6380658.1")</f>
        <v/>
      </c>
      <c r="F2191" t="n">
        <v>65.3</v>
      </c>
      <c r="G2191" t="n">
        <v>95</v>
      </c>
      <c r="H2191" t="n">
        <v>5.28e-41</v>
      </c>
      <c r="I2191" t="inlineStr">
        <is>
          <t>Nr</t>
        </is>
      </c>
      <c r="J2191" t="inlineStr"/>
      <c r="K2191" t="inlineStr"/>
      <c r="L2191" t="inlineStr">
        <is>
          <t>KAF6380658.1 transmembrane protein 59 [Myotis myotis]</t>
        </is>
      </c>
      <c r="M2191" t="n">
        <v>131</v>
      </c>
      <c r="N2191" t="inlineStr">
        <is>
          <t>Myotis myotis</t>
        </is>
      </c>
      <c r="O2191" t="inlineStr">
        <is>
          <t>transmembrane protein 59</t>
        </is>
      </c>
    </row>
    <row r="2192">
      <c r="A2192" t="inlineStr"/>
      <c r="B2192" t="inlineStr"/>
      <c r="C2192" t="inlineStr"/>
      <c r="D2192" t="inlineStr"/>
      <c r="E2192">
        <f>HYPERLINK("https://www.uniprot.org/uniprotkb/Q3T0Q2/entry", "Q3T0Q2")</f>
        <v/>
      </c>
      <c r="F2192" t="n">
        <v>58.4</v>
      </c>
      <c r="G2192" t="n">
        <v>113</v>
      </c>
      <c r="H2192" t="n">
        <v>7.819999999999999e-41</v>
      </c>
      <c r="I2192" t="inlineStr">
        <is>
          <t>Swiss-Prot</t>
        </is>
      </c>
      <c r="J2192" t="inlineStr">
        <is>
          <t>TMEM59</t>
        </is>
      </c>
      <c r="K2192" t="inlineStr">
        <is>
          <t>TMM59_BOVIN</t>
        </is>
      </c>
      <c r="L2192" t="inlineStr">
        <is>
          <t>sp|Q3T0Q2|TMM59_BOVIN Transmembrane protein 59 OS=Bos taurus OX=9913 GN=TMEM59 PE=2 SV=2</t>
        </is>
      </c>
      <c r="M2192" t="n">
        <v>323</v>
      </c>
      <c r="N2192" t="inlineStr">
        <is>
          <t>Bos taurus</t>
        </is>
      </c>
      <c r="O2192" t="inlineStr">
        <is>
          <t>Transmembrane protein 59</t>
        </is>
      </c>
    </row>
    <row r="2193">
      <c r="A2193" t="inlineStr"/>
      <c r="B2193" t="inlineStr"/>
      <c r="C2193" t="inlineStr"/>
      <c r="D2193" t="inlineStr"/>
      <c r="E2193">
        <f>HYPERLINK("https://www.uniprot.org/uniprotkb/Q5HZE8/entry", "Q5HZE8")</f>
        <v/>
      </c>
      <c r="F2193" t="n">
        <v>50</v>
      </c>
      <c r="G2193" t="n">
        <v>62</v>
      </c>
      <c r="H2193" t="n">
        <v>1.06e-12</v>
      </c>
      <c r="I2193" t="inlineStr">
        <is>
          <t>Swiss-Prot</t>
        </is>
      </c>
      <c r="J2193" t="inlineStr">
        <is>
          <t>Tmem59l</t>
        </is>
      </c>
      <c r="K2193" t="inlineStr">
        <is>
          <t>TM59L_RAT</t>
        </is>
      </c>
      <c r="L2193" t="inlineStr">
        <is>
          <t>sp|Q5HZE8|TM59L_RAT Transmembrane protein 59-like OS=Rattus norvegicus OX=10116 GN=Tmem59l PE=2 SV=2</t>
        </is>
      </c>
      <c r="M2193" t="n">
        <v>331</v>
      </c>
      <c r="N2193" t="inlineStr">
        <is>
          <t>Rattus norvegicus</t>
        </is>
      </c>
      <c r="O2193" t="inlineStr">
        <is>
          <t>Transmembrane protein 59-like</t>
        </is>
      </c>
    </row>
    <row r="2194">
      <c r="A2194" t="inlineStr"/>
      <c r="B2194" t="inlineStr"/>
      <c r="C2194" t="inlineStr"/>
      <c r="D2194" t="inlineStr"/>
      <c r="E2194">
        <f>HYPERLINK("https://www.uniprot.org/uniprotkb/Q0VCT2/entry", "Q0VCT2")</f>
        <v/>
      </c>
      <c r="F2194" t="n">
        <v>37.4</v>
      </c>
      <c r="G2194" t="n">
        <v>99</v>
      </c>
      <c r="H2194" t="n">
        <v>1.14e-12</v>
      </c>
      <c r="I2194" t="inlineStr">
        <is>
          <t>Swiss-Prot</t>
        </is>
      </c>
      <c r="J2194" t="inlineStr">
        <is>
          <t>TMEM59L</t>
        </is>
      </c>
      <c r="K2194" t="inlineStr">
        <is>
          <t>TM59L_BOVIN</t>
        </is>
      </c>
      <c r="L2194" t="inlineStr">
        <is>
          <t>sp|Q0VCT2|TM59L_BOVIN Transmembrane protein 59-like OS=Bos taurus OX=9913 GN=TMEM59L PE=2 SV=1</t>
        </is>
      </c>
      <c r="M2194" t="n">
        <v>349</v>
      </c>
      <c r="N2194" t="inlineStr">
        <is>
          <t>Bos taurus</t>
        </is>
      </c>
      <c r="O2194" t="inlineStr">
        <is>
          <t>Transmembrane protein 59-like</t>
        </is>
      </c>
    </row>
    <row r="2195">
      <c r="A2195" t="inlineStr"/>
      <c r="B2195" t="inlineStr"/>
      <c r="C2195" t="inlineStr"/>
      <c r="D2195" t="inlineStr"/>
      <c r="E2195">
        <f>HYPERLINK("https://www.uniprot.org/uniprotkb/Q7TNI2/entry", "Q7TNI2")</f>
        <v/>
      </c>
      <c r="F2195" t="n">
        <v>50</v>
      </c>
      <c r="G2195" t="n">
        <v>62</v>
      </c>
      <c r="H2195" t="n">
        <v>2.05e-12</v>
      </c>
      <c r="I2195" t="inlineStr">
        <is>
          <t>Swiss-Prot</t>
        </is>
      </c>
      <c r="J2195" t="inlineStr">
        <is>
          <t>Tmem59l</t>
        </is>
      </c>
      <c r="K2195" t="inlineStr">
        <is>
          <t>TM59L_MOUSE</t>
        </is>
      </c>
      <c r="L2195" t="inlineStr">
        <is>
          <t>sp|Q7TNI2|TM59L_MOUSE Transmembrane protein 59-like OS=Mus musculus OX=10090 GN=Tmem59l PE=2 SV=1</t>
        </is>
      </c>
      <c r="M2195" t="n">
        <v>337</v>
      </c>
      <c r="N2195" t="inlineStr">
        <is>
          <t>Mus musculus</t>
        </is>
      </c>
      <c r="O2195" t="inlineStr">
        <is>
          <t>Transmembrane protein 59-like</t>
        </is>
      </c>
    </row>
    <row r="2196">
      <c r="A2196" t="inlineStr"/>
      <c r="B2196" t="inlineStr"/>
      <c r="C2196" t="inlineStr"/>
      <c r="D2196" t="inlineStr"/>
      <c r="E2196">
        <f>HYPERLINK("https://www.uniprot.org/uniprotkb/Q9UK28/entry", "Q9UK28")</f>
        <v/>
      </c>
      <c r="F2196" t="n">
        <v>50.8</v>
      </c>
      <c r="G2196" t="n">
        <v>61</v>
      </c>
      <c r="H2196" t="n">
        <v>7.369999999999999e-12</v>
      </c>
      <c r="I2196" t="inlineStr">
        <is>
          <t>Swiss-Prot</t>
        </is>
      </c>
      <c r="J2196" t="inlineStr">
        <is>
          <t>TMEM59L</t>
        </is>
      </c>
      <c r="K2196" t="inlineStr">
        <is>
          <t>TM59L_HUMAN</t>
        </is>
      </c>
      <c r="L2196" t="inlineStr">
        <is>
          <t>sp|Q9UK28|TM59L_HUMAN Transmembrane protein 59-like OS=Homo sapiens OX=9606 GN=TMEM59L PE=2 SV=1</t>
        </is>
      </c>
      <c r="M2196" t="n">
        <v>342</v>
      </c>
      <c r="N2196" t="inlineStr">
        <is>
          <t>Homo sapiens</t>
        </is>
      </c>
      <c r="O2196" t="inlineStr">
        <is>
          <t>Transmembrane protein 59-like</t>
        </is>
      </c>
    </row>
    <row r="2197">
      <c r="A2197" t="inlineStr"/>
      <c r="B2197" t="inlineStr"/>
      <c r="C2197" t="inlineStr"/>
      <c r="D2197" t="inlineStr"/>
      <c r="E2197">
        <f>HYPERLINK("https://www.uniprot.org/uniprotkb/F4J4Y5/entry", "F4J4Y5")</f>
        <v/>
      </c>
      <c r="F2197" t="n">
        <v>28.1</v>
      </c>
      <c r="G2197" t="n">
        <v>96</v>
      </c>
      <c r="H2197" t="n">
        <v>0.000896</v>
      </c>
      <c r="I2197" t="inlineStr">
        <is>
          <t>Swiss-Prot</t>
        </is>
      </c>
      <c r="J2197" t="inlineStr">
        <is>
          <t>MED26A</t>
        </is>
      </c>
      <c r="K2197" t="inlineStr">
        <is>
          <t>MD26A_ARATH</t>
        </is>
      </c>
      <c r="L2197" t="inlineStr">
        <is>
          <t>sp|F4J4Y5|MD26A_ARATH Probable mediator of RNA polymerase II transcription subunit 26a OS=Arabidopsis thaliana OX=3702 GN=MED26A PE=3 SV=1</t>
        </is>
      </c>
      <c r="M2197" t="n">
        <v>580</v>
      </c>
      <c r="N2197" t="inlineStr">
        <is>
          <t>Arabidopsis thaliana</t>
        </is>
      </c>
      <c r="O2197" t="inlineStr">
        <is>
          <t>Probable mediator of RNA polymerase II transcription subunit 26a</t>
        </is>
      </c>
    </row>
    <row r="2198">
      <c r="A2198" t="inlineStr">
        <is>
          <t>NODE_1662_length_10135_cov_467.332837_g667_i1</t>
        </is>
      </c>
      <c r="B2198" t="inlineStr">
        <is>
          <t>bombina_pachypus_blastx</t>
        </is>
      </c>
      <c r="C2198" t="n">
        <v>3.32605551833566</v>
      </c>
      <c r="D2198" t="n">
        <v>0.0107946278628408</v>
      </c>
      <c r="E2198">
        <f>HYPERLINK("https://www.ncbi.nlm.nih.gov/gene/?term=KAG8561690.1", "KAG8561690.1")</f>
        <v/>
      </c>
      <c r="F2198" t="n">
        <v>95.40000000000001</v>
      </c>
      <c r="G2198" t="n">
        <v>281</v>
      </c>
      <c r="H2198" t="n">
        <v>1.74e-173</v>
      </c>
      <c r="I2198" t="inlineStr">
        <is>
          <t>Nr</t>
        </is>
      </c>
      <c r="J2198" t="inlineStr"/>
      <c r="K2198" t="inlineStr"/>
      <c r="L2198" t="inlineStr">
        <is>
          <t>KAG8561690.1 hypothetical protein GDO81_015442 [Engystomops pustulosus]</t>
        </is>
      </c>
      <c r="M2198" t="n">
        <v>632</v>
      </c>
      <c r="N2198" t="inlineStr">
        <is>
          <t>Engystomops pustulosus</t>
        </is>
      </c>
      <c r="O2198" t="inlineStr">
        <is>
          <t>hypothetical protein GDO81_015442</t>
        </is>
      </c>
    </row>
    <row r="2199">
      <c r="A2199" t="inlineStr"/>
      <c r="B2199" t="inlineStr"/>
      <c r="C2199" t="inlineStr"/>
      <c r="D2199" t="inlineStr"/>
      <c r="E2199">
        <f>HYPERLINK("https://www.uniprot.org/uniprotkb/A0A493SSI2/entry", "A0A493SSI2")</f>
        <v/>
      </c>
      <c r="F2199" t="n">
        <v>93.59999999999999</v>
      </c>
      <c r="G2199" t="n">
        <v>281</v>
      </c>
      <c r="H2199" t="n">
        <v>1.16e-171</v>
      </c>
      <c r="I2199" t="inlineStr">
        <is>
          <t>TrEMBL</t>
        </is>
      </c>
      <c r="J2199" t="inlineStr"/>
      <c r="K2199" t="inlineStr">
        <is>
          <t>A0A493SSI2_ANAPP</t>
        </is>
      </c>
      <c r="L2199" t="inlineStr">
        <is>
          <t>tr|A0A493SSI2|A0A493SSI2_ANAPP Heat shock protein HSP 90-alpha OS=Anas platyrhynchos platyrhynchos OX=8840 PE=3 SV=1</t>
        </is>
      </c>
      <c r="M2199" t="n">
        <v>362</v>
      </c>
      <c r="N2199" t="inlineStr">
        <is>
          <t>Anas platyrhynchos platyrhynchos</t>
        </is>
      </c>
      <c r="O2199" t="inlineStr">
        <is>
          <t>Heat shock protein HSP 90-alpha</t>
        </is>
      </c>
    </row>
    <row r="2200">
      <c r="A2200" t="inlineStr"/>
      <c r="B2200" t="inlineStr"/>
      <c r="C2200" t="inlineStr"/>
      <c r="D2200" t="inlineStr"/>
      <c r="E2200">
        <f>HYPERLINK("https://www.uniprot.org/uniprotkb/Q90Z20/entry", "Q90Z20")</f>
        <v/>
      </c>
      <c r="F2200" t="n">
        <v>93.59999999999999</v>
      </c>
      <c r="G2200" t="n">
        <v>281</v>
      </c>
      <c r="H2200" t="n">
        <v>1.16e-171</v>
      </c>
      <c r="I2200" t="inlineStr">
        <is>
          <t>TrEMBL</t>
        </is>
      </c>
      <c r="J2200" t="inlineStr">
        <is>
          <t>HSP90AA1</t>
        </is>
      </c>
      <c r="K2200" t="inlineStr">
        <is>
          <t>Q90Z20_ANAPL</t>
        </is>
      </c>
      <c r="L2200" t="inlineStr">
        <is>
          <t>tr|Q90Z20|Q90Z20_ANAPL Heat shock protein 90 alpha OS=Anas platyrhynchos OX=8839 GN=HSP90AA1 PE=2 SV=1</t>
        </is>
      </c>
      <c r="M2200" t="n">
        <v>362</v>
      </c>
      <c r="N2200" t="inlineStr">
        <is>
          <t>Anas platyrhynchos</t>
        </is>
      </c>
      <c r="O2200" t="inlineStr">
        <is>
          <t>Heat shock protein 90 alpha</t>
        </is>
      </c>
    </row>
    <row r="2201">
      <c r="A2201" t="inlineStr"/>
      <c r="B2201" t="inlineStr"/>
      <c r="C2201" t="inlineStr"/>
      <c r="D2201" t="inlineStr"/>
      <c r="E2201">
        <f>HYPERLINK("https://www.ncbi.nlm.nih.gov/gene/?term=AAK59281.1", "AAK59281.1")</f>
        <v/>
      </c>
      <c r="F2201" t="n">
        <v>93.59999999999999</v>
      </c>
      <c r="G2201" t="n">
        <v>281</v>
      </c>
      <c r="H2201" t="n">
        <v>2.98e-171</v>
      </c>
      <c r="I2201" t="inlineStr">
        <is>
          <t>Nr</t>
        </is>
      </c>
      <c r="J2201" t="inlineStr"/>
      <c r="K2201" t="inlineStr"/>
      <c r="L2201" t="inlineStr">
        <is>
          <t>AAK59281.1 heat shock protein 90 alpha [Anas platyrhynchos]</t>
        </is>
      </c>
      <c r="M2201" t="n">
        <v>362</v>
      </c>
      <c r="N2201" t="inlineStr">
        <is>
          <t>Anas platyrhynchos</t>
        </is>
      </c>
      <c r="O2201" t="inlineStr">
        <is>
          <t>heat shock protein 90 alpha</t>
        </is>
      </c>
    </row>
    <row r="2202">
      <c r="A2202" t="inlineStr"/>
      <c r="B2202" t="inlineStr"/>
      <c r="C2202" t="inlineStr"/>
      <c r="D2202" t="inlineStr"/>
      <c r="E2202">
        <f>HYPERLINK("https://www.ncbi.nlm.nih.gov/gene/?term=XP_040268709.1", "XP_040268709.1")</f>
        <v/>
      </c>
      <c r="F2202" t="n">
        <v>94.3</v>
      </c>
      <c r="G2202" t="n">
        <v>281</v>
      </c>
      <c r="H2202" t="n">
        <v>3.05e-171</v>
      </c>
      <c r="I2202" t="inlineStr">
        <is>
          <t>Nr</t>
        </is>
      </c>
      <c r="J2202" t="inlineStr"/>
      <c r="K2202" t="inlineStr"/>
      <c r="L2202" t="inlineStr">
        <is>
          <t>XP_040268709.1 LOW QUALITY PROTEIN: heat shock protein HSP 90-alpha-like [Bufo bufo]</t>
        </is>
      </c>
      <c r="M2202" t="n">
        <v>730</v>
      </c>
      <c r="N2202" t="inlineStr">
        <is>
          <t>Bufo bufo</t>
        </is>
      </c>
      <c r="O2202" t="inlineStr">
        <is>
          <t>LOW QUALITY PROTEIN: heat shock protein HSP 90-alpha-like</t>
        </is>
      </c>
    </row>
    <row r="2203">
      <c r="A2203" t="inlineStr"/>
      <c r="B2203" t="inlineStr"/>
      <c r="C2203" t="inlineStr"/>
      <c r="D2203" t="inlineStr"/>
      <c r="E2203">
        <f>HYPERLINK("https://www.uniprot.org/uniprotkb/A0A6I8QAE5/entry", "A0A6I8QAE5")</f>
        <v/>
      </c>
      <c r="F2203" t="n">
        <v>96.40000000000001</v>
      </c>
      <c r="G2203" t="n">
        <v>281</v>
      </c>
      <c r="H2203" t="n">
        <v>3.86e-171</v>
      </c>
      <c r="I2203" t="inlineStr">
        <is>
          <t>TrEMBL</t>
        </is>
      </c>
      <c r="J2203" t="inlineStr">
        <is>
          <t>hsp90aa1.1</t>
        </is>
      </c>
      <c r="K2203" t="inlineStr">
        <is>
          <t>A0A6I8QAE5_XENTR</t>
        </is>
      </c>
      <c r="L2203" t="inlineStr">
        <is>
          <t>tr|A0A6I8QAE5|A0A6I8QAE5_XENTR Heat shock protein 90kDa alpha family class A member 1 OS=Xenopus tropicalis OX=8364 GN=hsp90aa1.1 PE=3 SV=2</t>
        </is>
      </c>
      <c r="M2203" t="n">
        <v>723</v>
      </c>
      <c r="N2203" t="inlineStr">
        <is>
          <t>Xenopus tropicalis</t>
        </is>
      </c>
      <c r="O2203" t="inlineStr">
        <is>
          <t>Heat shock protein 90kDa alpha family class A member 1</t>
        </is>
      </c>
    </row>
    <row r="2204">
      <c r="A2204" t="inlineStr"/>
      <c r="B2204" t="inlineStr"/>
      <c r="C2204" t="inlineStr"/>
      <c r="D2204" t="inlineStr"/>
      <c r="E2204">
        <f>HYPERLINK("https://www.uniprot.org/uniprotkb/A0A6I8Q4N0/entry", "A0A6I8Q4N0")</f>
        <v/>
      </c>
      <c r="F2204" t="n">
        <v>96.40000000000001</v>
      </c>
      <c r="G2204" t="n">
        <v>281</v>
      </c>
      <c r="H2204" t="n">
        <v>4.63e-171</v>
      </c>
      <c r="I2204" t="inlineStr">
        <is>
          <t>TrEMBL</t>
        </is>
      </c>
      <c r="J2204" t="inlineStr">
        <is>
          <t>hsp90aa1.1</t>
        </is>
      </c>
      <c r="K2204" t="inlineStr">
        <is>
          <t>A0A6I8Q4N0_XENTR</t>
        </is>
      </c>
      <c r="L2204" t="inlineStr">
        <is>
          <t>tr|A0A6I8Q4N0|A0A6I8Q4N0_XENTR Heat shock protein 90kDa alpha family class A member 1 OS=Xenopus tropicalis OX=8364 GN=hsp90aa1.1 PE=3 SV=2</t>
        </is>
      </c>
      <c r="M2204" t="n">
        <v>729</v>
      </c>
      <c r="N2204" t="inlineStr">
        <is>
          <t>Xenopus tropicalis</t>
        </is>
      </c>
      <c r="O2204" t="inlineStr">
        <is>
          <t>Heat shock protein 90kDa alpha family class A member 1</t>
        </is>
      </c>
    </row>
    <row r="2205">
      <c r="A2205" t="inlineStr"/>
      <c r="B2205" t="inlineStr"/>
      <c r="C2205" t="inlineStr"/>
      <c r="D2205" t="inlineStr"/>
      <c r="E2205">
        <f>HYPERLINK("https://www.uniprot.org/uniprotkb/A0A493TH95/entry", "A0A493TH95")</f>
        <v/>
      </c>
      <c r="F2205" t="n">
        <v>93.59999999999999</v>
      </c>
      <c r="G2205" t="n">
        <v>280</v>
      </c>
      <c r="H2205" t="n">
        <v>1.02e-170</v>
      </c>
      <c r="I2205" t="inlineStr">
        <is>
          <t>TrEMBL</t>
        </is>
      </c>
      <c r="J2205" t="inlineStr"/>
      <c r="K2205" t="inlineStr">
        <is>
          <t>A0A493TH95_ANAPP</t>
        </is>
      </c>
      <c r="L2205" t="inlineStr">
        <is>
          <t>tr|A0A493TH95|A0A493TH95_ANAPP Heat shock protein HSP 90-alpha OS=Anas platyrhynchos platyrhynchos OX=8840 PE=3 SV=1</t>
        </is>
      </c>
      <c r="M2205" t="n">
        <v>374</v>
      </c>
      <c r="N2205" t="inlineStr">
        <is>
          <t>Anas platyrhynchos platyrhynchos</t>
        </is>
      </c>
      <c r="O2205" t="inlineStr">
        <is>
          <t>Heat shock protein HSP 90-alpha</t>
        </is>
      </c>
    </row>
    <row r="2206">
      <c r="A2206" t="inlineStr"/>
      <c r="B2206" t="inlineStr"/>
      <c r="C2206" t="inlineStr"/>
      <c r="D2206" t="inlineStr"/>
      <c r="E2206">
        <f>HYPERLINK("https://www.ncbi.nlm.nih.gov/gene/?term=NP_001016282.1", "NP_001016282.1")</f>
        <v/>
      </c>
      <c r="F2206" t="n">
        <v>96.40000000000001</v>
      </c>
      <c r="G2206" t="n">
        <v>281</v>
      </c>
      <c r="H2206" t="n">
        <v>1.19e-170</v>
      </c>
      <c r="I2206" t="inlineStr">
        <is>
          <t>Nr</t>
        </is>
      </c>
      <c r="J2206" t="inlineStr"/>
      <c r="K2206" t="inlineStr"/>
      <c r="L2206" t="inlineStr">
        <is>
          <t>NP_001016282.1 heat shock protein 90kDa alpha family class A member 1 [Xenopus tropicalis]</t>
        </is>
      </c>
      <c r="M2206" t="n">
        <v>729</v>
      </c>
      <c r="N2206" t="inlineStr">
        <is>
          <t>Xenopus tropicalis</t>
        </is>
      </c>
      <c r="O2206" t="inlineStr">
        <is>
          <t>heat shock protein 90kDa alpha family class A member 1</t>
        </is>
      </c>
    </row>
    <row r="2207">
      <c r="A2207" t="inlineStr"/>
      <c r="B2207" t="inlineStr"/>
      <c r="C2207" t="inlineStr"/>
      <c r="D2207" t="inlineStr"/>
      <c r="E2207">
        <f>HYPERLINK("https://www.uniprot.org/uniprotkb/A0A8T2K0G4/entry", "A0A8T2K0G4")</f>
        <v/>
      </c>
      <c r="F2207" t="n">
        <v>96.09999999999999</v>
      </c>
      <c r="G2207" t="n">
        <v>281</v>
      </c>
      <c r="H2207" t="n">
        <v>1.24e-170</v>
      </c>
      <c r="I2207" t="inlineStr">
        <is>
          <t>TrEMBL</t>
        </is>
      </c>
      <c r="J2207" t="inlineStr">
        <is>
          <t>GDO86_016068</t>
        </is>
      </c>
      <c r="K2207" t="inlineStr">
        <is>
          <t>A0A8T2K0G4_9PIPI</t>
        </is>
      </c>
      <c r="L2207" t="inlineStr">
        <is>
          <t>tr|A0A8T2K0G4|A0A8T2K0G4_9PIPI HATPase_c domain-containing protein OS=Hymenochirus boettgeri OX=247094 GN=GDO86_016068 PE=3 SV=1</t>
        </is>
      </c>
      <c r="M2207" t="n">
        <v>727</v>
      </c>
      <c r="N2207" t="inlineStr">
        <is>
          <t>Hymenochirus boettgeri</t>
        </is>
      </c>
      <c r="O2207" t="inlineStr">
        <is>
          <t>HATPase_c domain-containing protein</t>
        </is>
      </c>
    </row>
    <row r="2208">
      <c r="A2208" t="inlineStr"/>
      <c r="B2208" t="inlineStr"/>
      <c r="C2208" t="inlineStr"/>
      <c r="D2208" t="inlineStr"/>
      <c r="E2208">
        <f>HYPERLINK("https://www.ncbi.nlm.nih.gov/gene/?term=KAG8449253.1", "KAG8449253.1")</f>
        <v/>
      </c>
      <c r="F2208" t="n">
        <v>96.09999999999999</v>
      </c>
      <c r="G2208" t="n">
        <v>281</v>
      </c>
      <c r="H2208" t="n">
        <v>3.18e-170</v>
      </c>
      <c r="I2208" t="inlineStr">
        <is>
          <t>Nr</t>
        </is>
      </c>
      <c r="J2208" t="inlineStr"/>
      <c r="K2208" t="inlineStr"/>
      <c r="L2208" t="inlineStr">
        <is>
          <t>KAG8449253.1 hypothetical protein GDO86_016068 [Hymenochirus boettgeri]</t>
        </is>
      </c>
      <c r="M2208" t="n">
        <v>727</v>
      </c>
      <c r="N2208" t="inlineStr">
        <is>
          <t>Hymenochirus boettgeri</t>
        </is>
      </c>
      <c r="O2208" t="inlineStr">
        <is>
          <t>hypothetical protein GDO86_016068</t>
        </is>
      </c>
    </row>
    <row r="2209">
      <c r="A2209" t="inlineStr"/>
      <c r="B2209" t="inlineStr"/>
      <c r="C2209" t="inlineStr"/>
      <c r="D2209" t="inlineStr"/>
      <c r="E2209">
        <f>HYPERLINK("https://www.ncbi.nlm.nih.gov/gene/?term=XP_044127638.1", "XP_044127638.1")</f>
        <v/>
      </c>
      <c r="F2209" t="n">
        <v>94</v>
      </c>
      <c r="G2209" t="n">
        <v>281</v>
      </c>
      <c r="H2209" t="n">
        <v>3.479999999999999e-170</v>
      </c>
      <c r="I2209" t="inlineStr">
        <is>
          <t>Nr</t>
        </is>
      </c>
      <c r="J2209" t="inlineStr"/>
      <c r="K2209" t="inlineStr"/>
      <c r="L2209" t="inlineStr">
        <is>
          <t>XP_044127638.1 heat shock protein HSP 90-alpha [Bufo gargarizans]</t>
        </is>
      </c>
      <c r="M2209" t="n">
        <v>730</v>
      </c>
      <c r="N2209" t="inlineStr">
        <is>
          <t>Bufo gargarizans</t>
        </is>
      </c>
      <c r="O2209" t="inlineStr">
        <is>
          <t>heat shock protein HSP 90-alpha</t>
        </is>
      </c>
    </row>
    <row r="2210">
      <c r="A2210" t="inlineStr"/>
      <c r="B2210" t="inlineStr"/>
      <c r="C2210" t="inlineStr"/>
      <c r="D2210" t="inlineStr"/>
      <c r="E2210">
        <f>HYPERLINK("https://www.uniprot.org/uniprotkb/A0A2K5W677/entry", "A0A2K5W677")</f>
        <v/>
      </c>
      <c r="F2210" t="n">
        <v>93.2</v>
      </c>
      <c r="G2210" t="n">
        <v>281</v>
      </c>
      <c r="H2210" t="n">
        <v>5.469999999999999e-170</v>
      </c>
      <c r="I2210" t="inlineStr">
        <is>
          <t>TrEMBL</t>
        </is>
      </c>
      <c r="J2210" t="inlineStr"/>
      <c r="K2210" t="inlineStr">
        <is>
          <t>A0A2K5W677_MACFA</t>
        </is>
      </c>
      <c r="L2210" t="inlineStr">
        <is>
          <t>tr|A0A2K5W677|A0A2K5W677_MACFA Heat shock protein HSP 90-alpha OS=Macaca fascicularis OX=9541 PE=3 SV=2</t>
        </is>
      </c>
      <c r="M2210" t="n">
        <v>362</v>
      </c>
      <c r="N2210" t="inlineStr">
        <is>
          <t>Macaca fascicularis</t>
        </is>
      </c>
      <c r="O2210" t="inlineStr">
        <is>
          <t>Heat shock protein HSP 90-alpha</t>
        </is>
      </c>
    </row>
    <row r="2211">
      <c r="A2211" t="inlineStr"/>
      <c r="B2211" t="inlineStr"/>
      <c r="C2211" t="inlineStr"/>
      <c r="D2211" t="inlineStr"/>
      <c r="E2211">
        <f>HYPERLINK("https://www.uniprot.org/uniprotkb/A0A8D1S8B8/entry", "A0A8D1S8B8")</f>
        <v/>
      </c>
      <c r="F2211" t="n">
        <v>93.2</v>
      </c>
      <c r="G2211" t="n">
        <v>281</v>
      </c>
      <c r="H2211" t="n">
        <v>7.76e-170</v>
      </c>
      <c r="I2211" t="inlineStr">
        <is>
          <t>TrEMBL</t>
        </is>
      </c>
      <c r="J2211" t="inlineStr"/>
      <c r="K2211" t="inlineStr">
        <is>
          <t>A0A8D1S8B8_PIG</t>
        </is>
      </c>
      <c r="L2211" t="inlineStr">
        <is>
          <t>tr|A0A8D1S8B8|A0A8D1S8B8_PIG Heat shock protein HSP 90-alpha OS=Sus scrofa OX=9823 PE=3 SV=1</t>
        </is>
      </c>
      <c r="M2211" t="n">
        <v>362</v>
      </c>
      <c r="N2211" t="inlineStr">
        <is>
          <t>Sus scrofa</t>
        </is>
      </c>
      <c r="O2211" t="inlineStr">
        <is>
          <t>Heat shock protein HSP 90-alpha</t>
        </is>
      </c>
    </row>
    <row r="2212">
      <c r="A2212" t="inlineStr"/>
      <c r="B2212" t="inlineStr"/>
      <c r="C2212" t="inlineStr"/>
      <c r="D2212" t="inlineStr"/>
      <c r="E2212">
        <f>HYPERLINK("https://www.uniprot.org/uniprotkb/A0A8J6K6R2/entry", "A0A8J6K6R2")</f>
        <v/>
      </c>
      <c r="F2212" t="n">
        <v>92.90000000000001</v>
      </c>
      <c r="G2212" t="n">
        <v>282</v>
      </c>
      <c r="H2212" t="n">
        <v>7.959999999999999e-170</v>
      </c>
      <c r="I2212" t="inlineStr">
        <is>
          <t>TrEMBL</t>
        </is>
      </c>
      <c r="J2212" t="inlineStr">
        <is>
          <t>GDO78_010879</t>
        </is>
      </c>
      <c r="K2212" t="inlineStr">
        <is>
          <t>A0A8J6K6R2_ELECQ</t>
        </is>
      </c>
      <c r="L2212" t="inlineStr">
        <is>
          <t>tr|A0A8J6K6R2|A0A8J6K6R2_ELECQ HATPase_c domain-containing protein OS=Eleutherodactylus coqui OX=57060 GN=GDO78_010879 PE=3 SV=1</t>
        </is>
      </c>
      <c r="M2212" t="n">
        <v>731</v>
      </c>
      <c r="N2212" t="inlineStr">
        <is>
          <t>Eleutherodactylus coqui</t>
        </is>
      </c>
      <c r="O2212" t="inlineStr">
        <is>
          <t>HATPase_c domain-containing protein</t>
        </is>
      </c>
    </row>
    <row r="2213">
      <c r="A2213" t="inlineStr"/>
      <c r="B2213" t="inlineStr"/>
      <c r="C2213" t="inlineStr"/>
      <c r="D2213" t="inlineStr"/>
      <c r="E2213">
        <f>HYPERLINK("https://www.ncbi.nlm.nih.gov/gene/?term=XP_037841218.1", "XP_037841218.1")</f>
        <v/>
      </c>
      <c r="F2213" t="n">
        <v>93.2</v>
      </c>
      <c r="G2213" t="n">
        <v>281</v>
      </c>
      <c r="H2213" t="n">
        <v>1.4e-169</v>
      </c>
      <c r="I2213" t="inlineStr">
        <is>
          <t>Nr</t>
        </is>
      </c>
      <c r="J2213" t="inlineStr"/>
      <c r="K2213" t="inlineStr"/>
      <c r="L2213" t="inlineStr">
        <is>
          <t>XP_037841218.1 heat shock protein HSP 90-alpha-like [Chlorocebus sabaeus]</t>
        </is>
      </c>
      <c r="M2213" t="n">
        <v>362</v>
      </c>
      <c r="N2213" t="inlineStr">
        <is>
          <t>Chlorocebus sabaeus</t>
        </is>
      </c>
      <c r="O2213" t="inlineStr">
        <is>
          <t>heat shock protein HSP 90-alpha-like</t>
        </is>
      </c>
    </row>
    <row r="2214">
      <c r="A2214" t="inlineStr"/>
      <c r="B2214" t="inlineStr"/>
      <c r="C2214" t="inlineStr"/>
      <c r="D2214" t="inlineStr"/>
      <c r="E2214">
        <f>HYPERLINK("https://www.ncbi.nlm.nih.gov/gene/?term=KAG9481882.1", "KAG9481882.1")</f>
        <v/>
      </c>
      <c r="F2214" t="n">
        <v>92.90000000000001</v>
      </c>
      <c r="G2214" t="n">
        <v>282</v>
      </c>
      <c r="H2214" t="n">
        <v>2.04e-169</v>
      </c>
      <c r="I2214" t="inlineStr">
        <is>
          <t>Nr</t>
        </is>
      </c>
      <c r="J2214" t="inlineStr"/>
      <c r="K2214" t="inlineStr"/>
      <c r="L2214" t="inlineStr">
        <is>
          <t>KAG9481882.1 hypothetical protein GDO78_010879 [Eleutherodactylus coqui]</t>
        </is>
      </c>
      <c r="M2214" t="n">
        <v>731</v>
      </c>
      <c r="N2214" t="inlineStr">
        <is>
          <t>Eleutherodactylus coqui</t>
        </is>
      </c>
      <c r="O2214" t="inlineStr">
        <is>
          <t>hypothetical protein GDO78_010879</t>
        </is>
      </c>
    </row>
    <row r="2215">
      <c r="A2215" t="inlineStr"/>
      <c r="B2215" t="inlineStr"/>
      <c r="C2215" t="inlineStr"/>
      <c r="D2215" t="inlineStr"/>
      <c r="E2215">
        <f>HYPERLINK("https://www.uniprot.org/uniprotkb/Q96HX7/entry", "Q96HX7")</f>
        <v/>
      </c>
      <c r="F2215" t="n">
        <v>93.2</v>
      </c>
      <c r="G2215" t="n">
        <v>281</v>
      </c>
      <c r="H2215" t="n">
        <v>4.55e-169</v>
      </c>
      <c r="I2215" t="inlineStr">
        <is>
          <t>TrEMBL</t>
        </is>
      </c>
      <c r="J2215" t="inlineStr">
        <is>
          <t>HSP90AA1</t>
        </is>
      </c>
      <c r="K2215" t="inlineStr">
        <is>
          <t>Q96HX7_HUMAN</t>
        </is>
      </c>
      <c r="L2215" t="inlineStr">
        <is>
          <t>tr|Q96HX7|Q96HX7_HUMAN HSP90AA1 protein (Fragment) OS=Homo sapiens OX=9606 GN=HSP90AA1 PE=1 SV=2</t>
        </is>
      </c>
      <c r="M2215" t="n">
        <v>422</v>
      </c>
      <c r="N2215" t="inlineStr">
        <is>
          <t>Homo sapiens</t>
        </is>
      </c>
      <c r="O2215" t="inlineStr">
        <is>
          <t>HSP90AA1 protein (Fragment)</t>
        </is>
      </c>
    </row>
    <row r="2216">
      <c r="A2216" t="inlineStr"/>
      <c r="B2216" t="inlineStr"/>
      <c r="C2216" t="inlineStr"/>
      <c r="D2216" t="inlineStr"/>
      <c r="E2216">
        <f>HYPERLINK("https://www.uniprot.org/uniprotkb/A0A7M4F3J4/entry", "A0A7M4F3J4")</f>
        <v/>
      </c>
      <c r="F2216" t="n">
        <v>94.3</v>
      </c>
      <c r="G2216" t="n">
        <v>281</v>
      </c>
      <c r="H2216" t="n">
        <v>4.82e-169</v>
      </c>
      <c r="I2216" t="inlineStr">
        <is>
          <t>TrEMBL</t>
        </is>
      </c>
      <c r="J2216" t="inlineStr">
        <is>
          <t>HSP90AA1</t>
        </is>
      </c>
      <c r="K2216" t="inlineStr">
        <is>
          <t>A0A7M4F3J4_CROPO</t>
        </is>
      </c>
      <c r="L2216" t="inlineStr">
        <is>
          <t>tr|A0A7M4F3J4|A0A7M4F3J4_CROPO Heat shock protein 90 alpha family class A member 1 OS=Crocodylus porosus OX=8502 GN=HSP90AA1 PE=3 SV=1</t>
        </is>
      </c>
      <c r="M2216" t="n">
        <v>600</v>
      </c>
      <c r="N2216" t="inlineStr">
        <is>
          <t>Crocodylus porosus</t>
        </is>
      </c>
      <c r="O2216" t="inlineStr">
        <is>
          <t>Heat shock protein 90 alpha family class A member 1</t>
        </is>
      </c>
    </row>
    <row r="2217">
      <c r="A2217" t="inlineStr"/>
      <c r="B2217" t="inlineStr"/>
      <c r="C2217" t="inlineStr"/>
      <c r="D2217" t="inlineStr"/>
      <c r="E2217">
        <f>HYPERLINK("https://www.uniprot.org/uniprotkb/P11501/entry", "P11501")</f>
        <v/>
      </c>
      <c r="F2217" t="n">
        <v>93.59999999999999</v>
      </c>
      <c r="G2217" t="n">
        <v>281</v>
      </c>
      <c r="H2217" t="n">
        <v>5.49e-169</v>
      </c>
      <c r="I2217" t="inlineStr">
        <is>
          <t>Swiss-Prot</t>
        </is>
      </c>
      <c r="J2217" t="inlineStr">
        <is>
          <t>HSP90AA1</t>
        </is>
      </c>
      <c r="K2217" t="inlineStr">
        <is>
          <t>HS90A_CHICK</t>
        </is>
      </c>
      <c r="L2217" t="inlineStr">
        <is>
          <t>sp|P11501|HS90A_CHICK Heat shock protein HSP 90-alpha OS=Gallus gallus OX=9031 GN=HSP90AA1 PE=3 SV=3</t>
        </is>
      </c>
      <c r="M2217" t="n">
        <v>728</v>
      </c>
      <c r="N2217" t="inlineStr">
        <is>
          <t>Gallus gallus</t>
        </is>
      </c>
      <c r="O2217" t="inlineStr">
        <is>
          <t>Heat shock protein HSP 90-alpha</t>
        </is>
      </c>
    </row>
    <row r="2218">
      <c r="A2218" t="inlineStr"/>
      <c r="B2218" t="inlineStr"/>
      <c r="C2218" t="inlineStr"/>
      <c r="D2218" t="inlineStr"/>
      <c r="E2218">
        <f>HYPERLINK("https://www.uniprot.org/uniprotkb/A0A226PHY3/entry", "A0A226PHY3")</f>
        <v/>
      </c>
      <c r="F2218" t="n">
        <v>93.59999999999999</v>
      </c>
      <c r="G2218" t="n">
        <v>281</v>
      </c>
      <c r="H2218" t="n">
        <v>5.830000000000001e-169</v>
      </c>
      <c r="I2218" t="inlineStr">
        <is>
          <t>TrEMBL</t>
        </is>
      </c>
      <c r="J2218" t="inlineStr">
        <is>
          <t>H355_004540</t>
        </is>
      </c>
      <c r="K2218" t="inlineStr">
        <is>
          <t>A0A226PHY3_COLVI</t>
        </is>
      </c>
      <c r="L2218" t="inlineStr">
        <is>
          <t>tr|A0A226PHY3|A0A226PHY3_COLVI HATPase_c domain-containing protein OS=Colinus virginianus OX=9014 GN=H355_004540 PE=3 SV=1</t>
        </is>
      </c>
      <c r="M2218" t="n">
        <v>542</v>
      </c>
      <c r="N2218" t="inlineStr">
        <is>
          <t>Colinus virginianus</t>
        </is>
      </c>
      <c r="O2218" t="inlineStr">
        <is>
          <t>HATPase_c domain-containing protein</t>
        </is>
      </c>
    </row>
    <row r="2219">
      <c r="A2219" t="inlineStr"/>
      <c r="B2219" t="inlineStr"/>
      <c r="C2219" t="inlineStr"/>
      <c r="D2219" t="inlineStr"/>
      <c r="E2219">
        <f>HYPERLINK("https://www.ncbi.nlm.nih.gov/gene/?term=XP_047572448.1", "XP_047572448.1")</f>
        <v/>
      </c>
      <c r="F2219" t="n">
        <v>92.90000000000001</v>
      </c>
      <c r="G2219" t="n">
        <v>281</v>
      </c>
      <c r="H2219" t="n">
        <v>8.090000000000001e-169</v>
      </c>
      <c r="I2219" t="inlineStr">
        <is>
          <t>Nr</t>
        </is>
      </c>
      <c r="J2219" t="inlineStr"/>
      <c r="K2219" t="inlineStr"/>
      <c r="L2219" t="inlineStr">
        <is>
          <t>XP_047572448.1 heat shock protein HSP 90-alpha-like [Lutra lutra]</t>
        </is>
      </c>
      <c r="M2219" t="n">
        <v>362</v>
      </c>
      <c r="N2219" t="inlineStr">
        <is>
          <t>Lutra lutra</t>
        </is>
      </c>
      <c r="O2219" t="inlineStr">
        <is>
          <t>heat shock protein HSP 90-alpha-like</t>
        </is>
      </c>
    </row>
    <row r="2220">
      <c r="A2220" t="inlineStr"/>
      <c r="B2220" t="inlineStr"/>
      <c r="C2220" t="inlineStr"/>
      <c r="D2220" t="inlineStr"/>
      <c r="E2220">
        <f>HYPERLINK("https://www.uniprot.org/uniprotkb/A0A0V1KKA0/entry", "A0A0V1KKA0")</f>
        <v/>
      </c>
      <c r="F2220" t="n">
        <v>92.2</v>
      </c>
      <c r="G2220" t="n">
        <v>281</v>
      </c>
      <c r="H2220" t="n">
        <v>8.200000000000001e-169</v>
      </c>
      <c r="I2220" t="inlineStr">
        <is>
          <t>TrEMBL</t>
        </is>
      </c>
      <c r="J2220" t="inlineStr">
        <is>
          <t>Hsp90aa1</t>
        </is>
      </c>
      <c r="K2220" t="inlineStr">
        <is>
          <t>A0A0V1KKA0_9BILA</t>
        </is>
      </c>
      <c r="L2220" t="inlineStr">
        <is>
          <t>tr|A0A0V1KKA0|A0A0V1KKA0_9BILA Heat shock protein HSP 90-alpha (Fragment) OS=Trichinella nativa OX=6335 GN=Hsp90aa1 PE=3 SV=1</t>
        </is>
      </c>
      <c r="M2220" t="n">
        <v>330</v>
      </c>
      <c r="N2220" t="inlineStr">
        <is>
          <t>Trichinella nativa</t>
        </is>
      </c>
      <c r="O2220" t="inlineStr">
        <is>
          <t>Heat shock protein HSP 90-alpha (Fragment)</t>
        </is>
      </c>
    </row>
    <row r="2221">
      <c r="A2221" t="inlineStr"/>
      <c r="B2221" t="inlineStr"/>
      <c r="C2221" t="inlineStr"/>
      <c r="D2221" t="inlineStr"/>
      <c r="E2221">
        <f>HYPERLINK("https://www.uniprot.org/uniprotkb/A0A851SBQ0/entry", "A0A851SBQ0")</f>
        <v/>
      </c>
      <c r="F2221" t="n">
        <v>93.59999999999999</v>
      </c>
      <c r="G2221" t="n">
        <v>281</v>
      </c>
      <c r="H2221" t="n">
        <v>8.390000000000001e-169</v>
      </c>
      <c r="I2221" t="inlineStr">
        <is>
          <t>TrEMBL</t>
        </is>
      </c>
      <c r="J2221" t="inlineStr">
        <is>
          <t>Hsp90aa1_0</t>
        </is>
      </c>
      <c r="K2221" t="inlineStr">
        <is>
          <t>A0A851SBQ0_CERFA</t>
        </is>
      </c>
      <c r="L2221" t="inlineStr">
        <is>
          <t>tr|A0A851SBQ0|A0A851SBQ0_CERFA HS90A protein (Fragment) OS=Certhia familiaris OX=73333 GN=Hsp90aa1_0 PE=3 SV=1</t>
        </is>
      </c>
      <c r="M2221" t="n">
        <v>553</v>
      </c>
      <c r="N2221" t="inlineStr">
        <is>
          <t>Certhia familiaris</t>
        </is>
      </c>
      <c r="O2221" t="inlineStr">
        <is>
          <t>HS90A protein (Fragment)</t>
        </is>
      </c>
    </row>
    <row r="2222">
      <c r="A2222" t="inlineStr"/>
      <c r="B2222" t="inlineStr"/>
      <c r="C2222" t="inlineStr"/>
      <c r="D2222" t="inlineStr"/>
      <c r="E2222">
        <f>HYPERLINK("https://www.ncbi.nlm.nih.gov/gene/?term=AAH07989.2", "AAH07989.2")</f>
        <v/>
      </c>
      <c r="F2222" t="n">
        <v>93.2</v>
      </c>
      <c r="G2222" t="n">
        <v>281</v>
      </c>
      <c r="H2222" t="n">
        <v>1.17e-168</v>
      </c>
      <c r="I2222" t="inlineStr">
        <is>
          <t>Nr</t>
        </is>
      </c>
      <c r="J2222" t="inlineStr"/>
      <c r="K2222" t="inlineStr"/>
      <c r="L2222" t="inlineStr">
        <is>
          <t>AAH07989.2 HSP90AA1 protein, partial [Homo sapiens]</t>
        </is>
      </c>
      <c r="M2222" t="n">
        <v>422</v>
      </c>
      <c r="N2222" t="inlineStr">
        <is>
          <t>Homo sapiens</t>
        </is>
      </c>
      <c r="O2222" t="inlineStr">
        <is>
          <t>HSP90AA1 protein, partial</t>
        </is>
      </c>
    </row>
    <row r="2223">
      <c r="A2223" t="inlineStr"/>
      <c r="B2223" t="inlineStr"/>
      <c r="C2223" t="inlineStr"/>
      <c r="D2223" t="inlineStr"/>
      <c r="E2223">
        <f>HYPERLINK("https://www.ncbi.nlm.nih.gov/gene/?term=OXB78997.1", "OXB78997.1")</f>
        <v/>
      </c>
      <c r="F2223" t="n">
        <v>93.59999999999999</v>
      </c>
      <c r="G2223" t="n">
        <v>281</v>
      </c>
      <c r="H2223" t="n">
        <v>1.5e-168</v>
      </c>
      <c r="I2223" t="inlineStr">
        <is>
          <t>Nr</t>
        </is>
      </c>
      <c r="J2223" t="inlineStr"/>
      <c r="K2223" t="inlineStr"/>
      <c r="L2223" t="inlineStr">
        <is>
          <t>OXB78997.1 hypothetical protein H355_004540 [Colinus virginianus]</t>
        </is>
      </c>
      <c r="M2223" t="n">
        <v>542</v>
      </c>
      <c r="N2223" t="inlineStr">
        <is>
          <t>Colinus virginianus</t>
        </is>
      </c>
      <c r="O2223" t="inlineStr">
        <is>
          <t>hypothetical protein H355_004540</t>
        </is>
      </c>
    </row>
    <row r="2224">
      <c r="A2224" t="inlineStr"/>
      <c r="B2224" t="inlineStr"/>
      <c r="C2224" t="inlineStr"/>
      <c r="D2224" t="inlineStr"/>
      <c r="E2224">
        <f>HYPERLINK("https://www.ncbi.nlm.nih.gov/gene/?term=XP_034374510.1", "XP_034374510.1")</f>
        <v/>
      </c>
      <c r="F2224" t="n">
        <v>89.7</v>
      </c>
      <c r="G2224" t="n">
        <v>281</v>
      </c>
      <c r="H2224" t="n">
        <v>1.54e-168</v>
      </c>
      <c r="I2224" t="inlineStr">
        <is>
          <t>Nr</t>
        </is>
      </c>
      <c r="J2224" t="inlineStr"/>
      <c r="K2224" t="inlineStr"/>
      <c r="L2224" t="inlineStr">
        <is>
          <t>XP_034374510.1 heat shock protein HSP 90-alpha-like, partial [Arvicanthis niloticus]</t>
        </is>
      </c>
      <c r="M2224" t="n">
        <v>331</v>
      </c>
      <c r="N2224" t="inlineStr">
        <is>
          <t>Arvicanthis niloticus</t>
        </is>
      </c>
      <c r="O2224" t="inlineStr">
        <is>
          <t>heat shock protein HSP 90-alpha-like, partial</t>
        </is>
      </c>
    </row>
    <row r="2225">
      <c r="A2225" t="inlineStr"/>
      <c r="B2225" t="inlineStr"/>
      <c r="C2225" t="inlineStr"/>
      <c r="D2225" t="inlineStr"/>
      <c r="E2225">
        <f>HYPERLINK("https://www.uniprot.org/uniprotkb/A0A091MHR2/entry", "A0A091MHR2")</f>
        <v/>
      </c>
      <c r="F2225" t="n">
        <v>93.59999999999999</v>
      </c>
      <c r="G2225" t="n">
        <v>281</v>
      </c>
      <c r="H2225" t="n">
        <v>1.57e-168</v>
      </c>
      <c r="I2225" t="inlineStr">
        <is>
          <t>TrEMBL</t>
        </is>
      </c>
      <c r="J2225" t="inlineStr">
        <is>
          <t>N322_09611</t>
        </is>
      </c>
      <c r="K2225" t="inlineStr">
        <is>
          <t>A0A091MHR2_CARIC</t>
        </is>
      </c>
      <c r="L2225" t="inlineStr">
        <is>
          <t>tr|A0A091MHR2|A0A091MHR2_CARIC Heat shock protein HSP 90-alpha (Fragment) OS=Cariama cristata OX=54380 GN=N322_09611 PE=3 SV=1</t>
        </is>
      </c>
      <c r="M2225" t="n">
        <v>572</v>
      </c>
      <c r="N2225" t="inlineStr">
        <is>
          <t>Cariama cristata</t>
        </is>
      </c>
      <c r="O2225" t="inlineStr">
        <is>
          <t>Heat shock protein HSP 90-alpha (Fragment)</t>
        </is>
      </c>
    </row>
    <row r="2226">
      <c r="A2226" t="inlineStr"/>
      <c r="B2226" t="inlineStr"/>
      <c r="C2226" t="inlineStr"/>
      <c r="D2226" t="inlineStr"/>
      <c r="E2226">
        <f>HYPERLINK("https://www.uniprot.org/uniprotkb/A0A7N5KD10/entry", "A0A7N5KD10")</f>
        <v/>
      </c>
      <c r="F2226" t="n">
        <v>93.2</v>
      </c>
      <c r="G2226" t="n">
        <v>281</v>
      </c>
      <c r="H2226" t="n">
        <v>1.99e-168</v>
      </c>
      <c r="I2226" t="inlineStr">
        <is>
          <t>TrEMBL</t>
        </is>
      </c>
      <c r="J2226" t="inlineStr">
        <is>
          <t>LOC117798678</t>
        </is>
      </c>
      <c r="K2226" t="inlineStr">
        <is>
          <t>A0A7N5KD10_AILME</t>
        </is>
      </c>
      <c r="L2226" t="inlineStr">
        <is>
          <t>tr|A0A7N5KD10|A0A7N5KD10_AILME Heat shock protein HSP 90-alpha OS=Ailuropoda melanoleuca OX=9646 GN=LOC117798678 PE=3 SV=1</t>
        </is>
      </c>
      <c r="M2226" t="n">
        <v>537</v>
      </c>
      <c r="N2226" t="inlineStr">
        <is>
          <t>Ailuropoda melanoleuca</t>
        </is>
      </c>
      <c r="O2226" t="inlineStr">
        <is>
          <t>Heat shock protein HSP 90-alpha</t>
        </is>
      </c>
    </row>
    <row r="2227">
      <c r="A2227" t="inlineStr"/>
      <c r="B2227" t="inlineStr"/>
      <c r="C2227" t="inlineStr"/>
      <c r="D2227" t="inlineStr"/>
      <c r="E2227">
        <f>HYPERLINK("https://www.ncbi.nlm.nih.gov/gene/?term=KAF1451700.1", "KAF1451700.1")</f>
        <v/>
      </c>
      <c r="F2227" t="n">
        <v>93.59999999999999</v>
      </c>
      <c r="G2227" t="n">
        <v>281</v>
      </c>
      <c r="H2227" t="n">
        <v>2.16e-168</v>
      </c>
      <c r="I2227" t="inlineStr">
        <is>
          <t>Nr</t>
        </is>
      </c>
      <c r="J2227" t="inlineStr"/>
      <c r="K2227" t="inlineStr"/>
      <c r="L2227" t="inlineStr">
        <is>
          <t>KAF1451700.1 Heat shock protein HSP 90-alpha, partial [Spheniscus demersus]</t>
        </is>
      </c>
      <c r="M2227" t="n">
        <v>553</v>
      </c>
      <c r="N2227" t="inlineStr">
        <is>
          <t>Spheniscus demersus</t>
        </is>
      </c>
      <c r="O2227" t="inlineStr">
        <is>
          <t>Heat shock protein HSP 90-alpha, partial</t>
        </is>
      </c>
    </row>
    <row r="2228">
      <c r="A2228" t="inlineStr"/>
      <c r="B2228" t="inlineStr"/>
      <c r="C2228" t="inlineStr"/>
      <c r="D2228" t="inlineStr"/>
      <c r="E2228">
        <f>HYPERLINK("https://www.ncbi.nlm.nih.gov/gene/?term=NXD00232.1", "NXD00232.1")</f>
        <v/>
      </c>
      <c r="F2228" t="n">
        <v>93.59999999999999</v>
      </c>
      <c r="G2228" t="n">
        <v>281</v>
      </c>
      <c r="H2228" t="n">
        <v>2.16e-168</v>
      </c>
      <c r="I2228" t="inlineStr">
        <is>
          <t>Nr</t>
        </is>
      </c>
      <c r="J2228" t="inlineStr"/>
      <c r="K2228" t="inlineStr"/>
      <c r="L2228" t="inlineStr">
        <is>
          <t>NXD00232.1 HS90A protein [Certhia familiaris]</t>
        </is>
      </c>
      <c r="M2228" t="n">
        <v>553</v>
      </c>
      <c r="N2228" t="inlineStr">
        <is>
          <t>Certhia familiaris</t>
        </is>
      </c>
      <c r="O2228" t="inlineStr">
        <is>
          <t>HS90A protein</t>
        </is>
      </c>
    </row>
    <row r="2229">
      <c r="A2229" t="inlineStr"/>
      <c r="B2229" t="inlineStr"/>
      <c r="C2229" t="inlineStr"/>
      <c r="D2229" t="inlineStr"/>
      <c r="E2229">
        <f>HYPERLINK("https://www.uniprot.org/uniprotkb/A0A226MNK8/entry", "A0A226MNK8")</f>
        <v/>
      </c>
      <c r="F2229" t="n">
        <v>93.59999999999999</v>
      </c>
      <c r="G2229" t="n">
        <v>281</v>
      </c>
      <c r="H2229" t="n">
        <v>3.69e-168</v>
      </c>
      <c r="I2229" t="inlineStr">
        <is>
          <t>TrEMBL</t>
        </is>
      </c>
      <c r="J2229" t="inlineStr">
        <is>
          <t>ASZ78_007248</t>
        </is>
      </c>
      <c r="K2229" t="inlineStr">
        <is>
          <t>A0A226MNK8_CALSU</t>
        </is>
      </c>
      <c r="L2229" t="inlineStr">
        <is>
          <t>tr|A0A226MNK8|A0A226MNK8_CALSU HATPase_c domain-containing protein (Fragment) OS=Callipepla squamata OX=9009 GN=ASZ78_007248 PE=3 SV=1</t>
        </is>
      </c>
      <c r="M2229" t="n">
        <v>609</v>
      </c>
      <c r="N2229" t="inlineStr">
        <is>
          <t>Callipepla squamata</t>
        </is>
      </c>
      <c r="O2229" t="inlineStr">
        <is>
          <t>HATPase_c domain-containing protein (Fragment)</t>
        </is>
      </c>
    </row>
    <row r="2230">
      <c r="A2230" t="inlineStr"/>
      <c r="B2230" t="inlineStr"/>
      <c r="C2230" t="inlineStr"/>
      <c r="D2230" t="inlineStr"/>
      <c r="E2230">
        <f>HYPERLINK("https://www.ncbi.nlm.nih.gov/gene/?term=XP_009702297.1", "XP_009702297.1")</f>
        <v/>
      </c>
      <c r="F2230" t="n">
        <v>93.59999999999999</v>
      </c>
      <c r="G2230" t="n">
        <v>281</v>
      </c>
      <c r="H2230" t="n">
        <v>3.9e-168</v>
      </c>
      <c r="I2230" t="inlineStr">
        <is>
          <t>Nr</t>
        </is>
      </c>
      <c r="J2230" t="inlineStr"/>
      <c r="K2230" t="inlineStr"/>
      <c r="L2230" t="inlineStr">
        <is>
          <t>XP_009702297.1 PREDICTED: heat shock protein HSP 90-alpha, partial [Cariama cristata]</t>
        </is>
      </c>
      <c r="M2230" t="n">
        <v>571</v>
      </c>
      <c r="N2230" t="inlineStr">
        <is>
          <t>Cariama cristata</t>
        </is>
      </c>
      <c r="O2230" t="inlineStr">
        <is>
          <t>PREDICTED: heat shock protein HSP 90-alpha, partial</t>
        </is>
      </c>
    </row>
    <row r="2231">
      <c r="A2231" t="inlineStr"/>
      <c r="B2231" t="inlineStr"/>
      <c r="C2231" t="inlineStr"/>
      <c r="D2231" t="inlineStr"/>
      <c r="E2231">
        <f>HYPERLINK("https://www.ncbi.nlm.nih.gov/gene/?term=KFP61130.1", "KFP61130.1")</f>
        <v/>
      </c>
      <c r="F2231" t="n">
        <v>93.59999999999999</v>
      </c>
      <c r="G2231" t="n">
        <v>281</v>
      </c>
      <c r="H2231" t="n">
        <v>4.03e-168</v>
      </c>
      <c r="I2231" t="inlineStr">
        <is>
          <t>Nr</t>
        </is>
      </c>
      <c r="J2231" t="inlineStr"/>
      <c r="K2231" t="inlineStr"/>
      <c r="L2231" t="inlineStr">
        <is>
          <t>KFP61130.1 Heat shock protein HSP 90-alpha, partial [Cariama cristata]</t>
        </is>
      </c>
      <c r="M2231" t="n">
        <v>572</v>
      </c>
      <c r="N2231" t="inlineStr">
        <is>
          <t>Cariama cristata</t>
        </is>
      </c>
      <c r="O2231" t="inlineStr">
        <is>
          <t>Heat shock protein HSP 90-alpha, partial</t>
        </is>
      </c>
    </row>
    <row r="2232">
      <c r="A2232" t="inlineStr"/>
      <c r="B2232" t="inlineStr"/>
      <c r="C2232" t="inlineStr"/>
      <c r="D2232" t="inlineStr"/>
      <c r="E2232">
        <f>HYPERLINK("https://www.uniprot.org/uniprotkb/A0A8C9LE14/entry", "A0A8C9LE14")</f>
        <v/>
      </c>
      <c r="F2232" t="n">
        <v>93.59999999999999</v>
      </c>
      <c r="G2232" t="n">
        <v>281</v>
      </c>
      <c r="H2232" t="n">
        <v>8.2e-168</v>
      </c>
      <c r="I2232" t="inlineStr">
        <is>
          <t>TrEMBL</t>
        </is>
      </c>
      <c r="J2232" t="inlineStr"/>
      <c r="K2232" t="inlineStr">
        <is>
          <t>A0A8C9LE14_PAVCR</t>
        </is>
      </c>
      <c r="L2232" t="inlineStr">
        <is>
          <t>tr|A0A8C9LE14|A0A8C9LE14_PAVCR Heat shock protein HSP 90-alpha OS=Pavo cristatus OX=9049 PE=3 SV=1</t>
        </is>
      </c>
      <c r="M2232" t="n">
        <v>623</v>
      </c>
      <c r="N2232" t="inlineStr">
        <is>
          <t>Pavo cristatus</t>
        </is>
      </c>
      <c r="O2232" t="inlineStr">
        <is>
          <t>Heat shock protein HSP 90-alpha</t>
        </is>
      </c>
    </row>
    <row r="2233">
      <c r="A2233" t="inlineStr"/>
      <c r="B2233" t="inlineStr"/>
      <c r="C2233" t="inlineStr"/>
      <c r="D2233" t="inlineStr"/>
      <c r="E2233">
        <f>HYPERLINK("https://www.ncbi.nlm.nih.gov/gene/?term=OXB56875.1", "OXB56875.1")</f>
        <v/>
      </c>
      <c r="F2233" t="n">
        <v>93.59999999999999</v>
      </c>
      <c r="G2233" t="n">
        <v>281</v>
      </c>
      <c r="H2233" t="n">
        <v>9.48e-168</v>
      </c>
      <c r="I2233" t="inlineStr">
        <is>
          <t>Nr</t>
        </is>
      </c>
      <c r="J2233" t="inlineStr"/>
      <c r="K2233" t="inlineStr"/>
      <c r="L2233" t="inlineStr">
        <is>
          <t>OXB56875.1 hypothetical protein ASZ78_007248, partial [Callipepla squamata]</t>
        </is>
      </c>
      <c r="M2233" t="n">
        <v>609</v>
      </c>
      <c r="N2233" t="inlineStr">
        <is>
          <t>Callipepla squamata</t>
        </is>
      </c>
      <c r="O2233" t="inlineStr">
        <is>
          <t>hypothetical protein ASZ78_007248, partial</t>
        </is>
      </c>
    </row>
    <row r="2234">
      <c r="A2234" t="inlineStr"/>
      <c r="B2234" t="inlineStr"/>
      <c r="C2234" t="inlineStr"/>
      <c r="D2234" t="inlineStr"/>
      <c r="E2234">
        <f>HYPERLINK("https://www.uniprot.org/uniprotkb/A0A3L8SVR5/entry", "A0A3L8SVR5")</f>
        <v/>
      </c>
      <c r="F2234" t="n">
        <v>93.59999999999999</v>
      </c>
      <c r="G2234" t="n">
        <v>281</v>
      </c>
      <c r="H2234" t="n">
        <v>1.09e-167</v>
      </c>
      <c r="I2234" t="inlineStr">
        <is>
          <t>TrEMBL</t>
        </is>
      </c>
      <c r="J2234" t="inlineStr">
        <is>
          <t>DV515_00001953</t>
        </is>
      </c>
      <c r="K2234" t="inlineStr">
        <is>
          <t>A0A3L8SVR5_CHLGU</t>
        </is>
      </c>
      <c r="L2234" t="inlineStr">
        <is>
          <t>tr|A0A3L8SVR5|A0A3L8SVR5_CHLGU Heat shock protein HSP 90-alpha OS=Chloebia gouldiae OX=44316 GN=DV515_00001953 PE=3 SV=1</t>
        </is>
      </c>
      <c r="M2234" t="n">
        <v>632</v>
      </c>
      <c r="N2234" t="inlineStr">
        <is>
          <t>Chloebia gouldiae</t>
        </is>
      </c>
      <c r="O2234" t="inlineStr">
        <is>
          <t>Heat shock protein HSP 90-alpha</t>
        </is>
      </c>
    </row>
    <row r="2235">
      <c r="A2235" t="inlineStr"/>
      <c r="B2235" t="inlineStr"/>
      <c r="C2235" t="inlineStr"/>
      <c r="D2235" t="inlineStr"/>
      <c r="E2235">
        <f>HYPERLINK("https://www.uniprot.org/uniprotkb/A0A2I3HR44/entry", "A0A2I3HR44")</f>
        <v/>
      </c>
      <c r="F2235" t="n">
        <v>93.2</v>
      </c>
      <c r="G2235" t="n">
        <v>281</v>
      </c>
      <c r="H2235" t="n">
        <v>1.95e-167</v>
      </c>
      <c r="I2235" t="inlineStr">
        <is>
          <t>TrEMBL</t>
        </is>
      </c>
      <c r="J2235" t="inlineStr">
        <is>
          <t>HSP90AA1</t>
        </is>
      </c>
      <c r="K2235" t="inlineStr">
        <is>
          <t>A0A2I3HR44_NOMLE</t>
        </is>
      </c>
      <c r="L2235" t="inlineStr">
        <is>
          <t>tr|A0A2I3HR44|A0A2I3HR44_NOMLE Heat shock protein 90 alpha family class A member 1 OS=Nomascus leucogenys OX=61853 GN=HSP90AA1 PE=3 SV=1</t>
        </is>
      </c>
      <c r="M2235" t="n">
        <v>532</v>
      </c>
      <c r="N2235" t="inlineStr">
        <is>
          <t>Nomascus leucogenys</t>
        </is>
      </c>
      <c r="O2235" t="inlineStr">
        <is>
          <t>Heat shock protein 90 alpha family class A member 1</t>
        </is>
      </c>
    </row>
    <row r="2236">
      <c r="A2236" t="inlineStr"/>
      <c r="B2236" t="inlineStr"/>
      <c r="C2236" t="inlineStr"/>
      <c r="D2236" t="inlineStr"/>
      <c r="E2236">
        <f>HYPERLINK("https://www.uniprot.org/uniprotkb/A0A2K6CDQ8/entry", "A0A2K6CDQ8")</f>
        <v/>
      </c>
      <c r="F2236" t="n">
        <v>93.2</v>
      </c>
      <c r="G2236" t="n">
        <v>281</v>
      </c>
      <c r="H2236" t="n">
        <v>2.22e-167</v>
      </c>
      <c r="I2236" t="inlineStr">
        <is>
          <t>TrEMBL</t>
        </is>
      </c>
      <c r="J2236" t="inlineStr"/>
      <c r="K2236" t="inlineStr">
        <is>
          <t>A0A2K6CDQ8_MACNE</t>
        </is>
      </c>
      <c r="L2236" t="inlineStr">
        <is>
          <t>tr|A0A2K6CDQ8|A0A2K6CDQ8_MACNE Heat shock protein 90 alpha family class A member 1 OS=Macaca nemestrina OX=9545 PE=3 SV=1</t>
        </is>
      </c>
      <c r="M2236" t="n">
        <v>536</v>
      </c>
      <c r="N2236" t="inlineStr">
        <is>
          <t>Macaca nemestrina</t>
        </is>
      </c>
      <c r="O2236" t="inlineStr">
        <is>
          <t>Heat shock protein 90 alpha family class A member 1</t>
        </is>
      </c>
    </row>
    <row r="2237">
      <c r="A2237" t="inlineStr"/>
      <c r="B2237" t="inlineStr"/>
      <c r="C2237" t="inlineStr"/>
      <c r="D2237" t="inlineStr"/>
      <c r="E2237">
        <f>HYPERLINK("https://www.uniprot.org/uniprotkb/A0A2K5RYG0/entry", "A0A2K5RYG0")</f>
        <v/>
      </c>
      <c r="F2237" t="n">
        <v>93.2</v>
      </c>
      <c r="G2237" t="n">
        <v>281</v>
      </c>
      <c r="H2237" t="n">
        <v>2.3e-167</v>
      </c>
      <c r="I2237" t="inlineStr">
        <is>
          <t>TrEMBL</t>
        </is>
      </c>
      <c r="J2237" t="inlineStr"/>
      <c r="K2237" t="inlineStr">
        <is>
          <t>A0A2K5RYG0_CEBIM</t>
        </is>
      </c>
      <c r="L2237" t="inlineStr">
        <is>
          <t>tr|A0A2K5RYG0|A0A2K5RYG0_CEBIM Heat shock protein 90 alpha family class A member 1 OS=Cebus imitator OX=2715852 PE=3 SV=1</t>
        </is>
      </c>
      <c r="M2237" t="n">
        <v>537</v>
      </c>
      <c r="N2237" t="inlineStr">
        <is>
          <t>Cebus imitator</t>
        </is>
      </c>
      <c r="O2237" t="inlineStr">
        <is>
          <t>Heat shock protein 90 alpha family class A member 1</t>
        </is>
      </c>
    </row>
    <row r="2238">
      <c r="A2238" t="inlineStr"/>
      <c r="B2238" t="inlineStr"/>
      <c r="C2238" t="inlineStr"/>
      <c r="D2238" t="inlineStr"/>
      <c r="E2238">
        <f>HYPERLINK("https://www.uniprot.org/uniprotkb/O75322/entry", "O75322")</f>
        <v/>
      </c>
      <c r="F2238" t="n">
        <v>93.2</v>
      </c>
      <c r="G2238" t="n">
        <v>281</v>
      </c>
      <c r="H2238" t="n">
        <v>2.46e-167</v>
      </c>
      <c r="I2238" t="inlineStr">
        <is>
          <t>TrEMBL</t>
        </is>
      </c>
      <c r="J2238" t="inlineStr"/>
      <c r="K2238" t="inlineStr">
        <is>
          <t>O75322_HUMAN</t>
        </is>
      </c>
      <c r="L2238" t="inlineStr">
        <is>
          <t>tr|O75322|O75322_HUMAN Hsp89-alpha-delta-N OS=Homo sapiens OX=9606 PE=2 SV=1</t>
        </is>
      </c>
      <c r="M2238" t="n">
        <v>539</v>
      </c>
      <c r="N2238" t="inlineStr">
        <is>
          <t>Homo sapiens</t>
        </is>
      </c>
      <c r="O2238" t="inlineStr">
        <is>
          <t>Hsp89-alpha-delta-N</t>
        </is>
      </c>
    </row>
    <row r="2239">
      <c r="A2239" t="inlineStr"/>
      <c r="B2239" t="inlineStr"/>
      <c r="C2239" t="inlineStr"/>
      <c r="D2239" t="inlineStr"/>
      <c r="E2239">
        <f>HYPERLINK("https://www.uniprot.org/uniprotkb/A9CPG1/entry", "A9CPG1")</f>
        <v/>
      </c>
      <c r="F2239" t="n">
        <v>94.3</v>
      </c>
      <c r="G2239" t="n">
        <v>281</v>
      </c>
      <c r="H2239" t="n">
        <v>2.68e-167</v>
      </c>
      <c r="I2239" t="inlineStr">
        <is>
          <t>TrEMBL</t>
        </is>
      </c>
      <c r="J2239" t="inlineStr">
        <is>
          <t>HSP90a</t>
        </is>
      </c>
      <c r="K2239" t="inlineStr">
        <is>
          <t>A9CPG1_ALLMI</t>
        </is>
      </c>
      <c r="L2239" t="inlineStr">
        <is>
          <t>tr|A9CPG1|A9CPG1_ALLMI Heat shock protein 90a OS=Alligator mississippiensis OX=8496 GN=HSP90a PE=2 SV=1</t>
        </is>
      </c>
      <c r="M2239" t="n">
        <v>728</v>
      </c>
      <c r="N2239" t="inlineStr">
        <is>
          <t>Alligator mississippiensis</t>
        </is>
      </c>
      <c r="O2239" t="inlineStr">
        <is>
          <t>Heat shock protein 90a</t>
        </is>
      </c>
    </row>
    <row r="2240">
      <c r="A2240" t="inlineStr"/>
      <c r="B2240" t="inlineStr"/>
      <c r="C2240" t="inlineStr"/>
      <c r="D2240" t="inlineStr"/>
      <c r="E2240">
        <f>HYPERLINK("https://www.uniprot.org/uniprotkb/A0A1U7RSA5/entry", "A0A1U7RSA5")</f>
        <v/>
      </c>
      <c r="F2240" t="n">
        <v>94.3</v>
      </c>
      <c r="G2240" t="n">
        <v>281</v>
      </c>
      <c r="H2240" t="n">
        <v>2.68e-167</v>
      </c>
      <c r="I2240" t="inlineStr">
        <is>
          <t>TrEMBL</t>
        </is>
      </c>
      <c r="J2240" t="inlineStr">
        <is>
          <t>HSP90AA1</t>
        </is>
      </c>
      <c r="K2240" t="inlineStr">
        <is>
          <t>A0A1U7RSA5_ALLSI</t>
        </is>
      </c>
      <c r="L2240" t="inlineStr">
        <is>
          <t>tr|A0A1U7RSA5|A0A1U7RSA5_ALLSI heat shock protein HSP 90-alpha OS=Alligator sinensis OX=38654 GN=HSP90AA1 PE=3 SV=1</t>
        </is>
      </c>
      <c r="M2240" t="n">
        <v>728</v>
      </c>
      <c r="N2240" t="inlineStr">
        <is>
          <t>Alligator sinensis</t>
        </is>
      </c>
      <c r="O2240" t="inlineStr">
        <is>
          <t>heat shock protein HSP 90-alpha</t>
        </is>
      </c>
    </row>
    <row r="2241">
      <c r="A2241" t="inlineStr"/>
      <c r="B2241" t="inlineStr"/>
      <c r="C2241" t="inlineStr"/>
      <c r="D2241" t="inlineStr"/>
      <c r="E2241">
        <f>HYPERLINK("https://www.ncbi.nlm.nih.gov/gene/?term=RLW09878.1", "RLW09878.1")</f>
        <v/>
      </c>
      <c r="F2241" t="n">
        <v>93.59999999999999</v>
      </c>
      <c r="G2241" t="n">
        <v>281</v>
      </c>
      <c r="H2241" t="n">
        <v>2.81e-167</v>
      </c>
      <c r="I2241" t="inlineStr">
        <is>
          <t>Nr</t>
        </is>
      </c>
      <c r="J2241" t="inlineStr"/>
      <c r="K2241" t="inlineStr"/>
      <c r="L2241" t="inlineStr">
        <is>
          <t>RLW09878.1 hypothetical protein DV515_00001953 [Chloebia gouldiae]</t>
        </is>
      </c>
      <c r="M2241" t="n">
        <v>632</v>
      </c>
      <c r="N2241" t="inlineStr">
        <is>
          <t>Chloebia gouldiae</t>
        </is>
      </c>
      <c r="O2241" t="inlineStr">
        <is>
          <t>hypothetical protein DV515_00001953</t>
        </is>
      </c>
    </row>
    <row r="2242">
      <c r="A2242" t="inlineStr"/>
      <c r="B2242" t="inlineStr"/>
      <c r="C2242" t="inlineStr"/>
      <c r="D2242" t="inlineStr"/>
      <c r="E2242">
        <f>HYPERLINK("https://www.uniprot.org/uniprotkb/P07900/entry", "P07900")</f>
        <v/>
      </c>
      <c r="F2242" t="n">
        <v>93.2</v>
      </c>
      <c r="G2242" t="n">
        <v>281</v>
      </c>
      <c r="H2242" t="n">
        <v>2.83e-167</v>
      </c>
      <c r="I2242" t="inlineStr">
        <is>
          <t>Swiss-Prot</t>
        </is>
      </c>
      <c r="J2242" t="inlineStr">
        <is>
          <t>HSP90AA1</t>
        </is>
      </c>
      <c r="K2242" t="inlineStr">
        <is>
          <t>HS90A_HUMAN</t>
        </is>
      </c>
      <c r="L2242" t="inlineStr">
        <is>
          <t>sp|P07900|HS90A_HUMAN Heat shock protein HSP 90-alpha OS=Homo sapiens OX=9606 GN=HSP90AA1 PE=1 SV=5</t>
        </is>
      </c>
      <c r="M2242" t="n">
        <v>732</v>
      </c>
      <c r="N2242" t="inlineStr">
        <is>
          <t>Homo sapiens</t>
        </is>
      </c>
      <c r="O2242" t="inlineStr">
        <is>
          <t>Heat shock protein HSP 90-alpha</t>
        </is>
      </c>
    </row>
    <row r="2243">
      <c r="A2243" t="inlineStr"/>
      <c r="B2243" t="inlineStr"/>
      <c r="C2243" t="inlineStr"/>
      <c r="D2243" t="inlineStr"/>
      <c r="E2243">
        <f>HYPERLINK("https://www.uniprot.org/uniprotkb/Q4R4P1/entry", "Q4R4P1")</f>
        <v/>
      </c>
      <c r="F2243" t="n">
        <v>93.2</v>
      </c>
      <c r="G2243" t="n">
        <v>281</v>
      </c>
      <c r="H2243" t="n">
        <v>2.92e-167</v>
      </c>
      <c r="I2243" t="inlineStr">
        <is>
          <t>Swiss-Prot</t>
        </is>
      </c>
      <c r="J2243" t="inlineStr">
        <is>
          <t>HSP90AA1</t>
        </is>
      </c>
      <c r="K2243" t="inlineStr">
        <is>
          <t>HS90A_MACFA</t>
        </is>
      </c>
      <c r="L2243" t="inlineStr">
        <is>
          <t>sp|Q4R4P1|HS90A_MACFA Heat shock protein HSP 90-alpha OS=Macaca fascicularis OX=9541 GN=HSP90AA1 PE=2 SV=3</t>
        </is>
      </c>
      <c r="M2243" t="n">
        <v>733</v>
      </c>
      <c r="N2243" t="inlineStr">
        <is>
          <t>Macaca fascicularis</t>
        </is>
      </c>
      <c r="O2243" t="inlineStr">
        <is>
          <t>Heat shock protein HSP 90-alpha</t>
        </is>
      </c>
    </row>
    <row r="2244">
      <c r="A2244" t="inlineStr"/>
      <c r="B2244" t="inlineStr"/>
      <c r="C2244" t="inlineStr"/>
      <c r="D2244" t="inlineStr"/>
      <c r="E2244">
        <f>HYPERLINK("https://www.uniprot.org/uniprotkb/A5A6K9/entry", "A5A6K9")</f>
        <v/>
      </c>
      <c r="F2244" t="n">
        <v>93.2</v>
      </c>
      <c r="G2244" t="n">
        <v>281</v>
      </c>
      <c r="H2244" t="n">
        <v>2.92e-167</v>
      </c>
      <c r="I2244" t="inlineStr">
        <is>
          <t>Swiss-Prot</t>
        </is>
      </c>
      <c r="J2244" t="inlineStr">
        <is>
          <t>HSP90AA1</t>
        </is>
      </c>
      <c r="K2244" t="inlineStr">
        <is>
          <t>HS90A_PANTR</t>
        </is>
      </c>
      <c r="L2244" t="inlineStr">
        <is>
          <t>sp|A5A6K9|HS90A_PANTR Heat shock protein HSP 90-alpha OS=Pan troglodytes OX=9598 GN=HSP90AA1 PE=2 SV=1</t>
        </is>
      </c>
      <c r="M2244" t="n">
        <v>733</v>
      </c>
      <c r="N2244" t="inlineStr">
        <is>
          <t>Pan troglodytes</t>
        </is>
      </c>
      <c r="O2244" t="inlineStr">
        <is>
          <t>Heat shock protein HSP 90-alpha</t>
        </is>
      </c>
    </row>
    <row r="2245">
      <c r="A2245" t="inlineStr"/>
      <c r="B2245" t="inlineStr"/>
      <c r="C2245" t="inlineStr"/>
      <c r="D2245" t="inlineStr"/>
      <c r="E2245">
        <f>HYPERLINK("https://www.ncbi.nlm.nih.gov/gene/?term=XP_018413948.1", "XP_018413948.1")</f>
        <v/>
      </c>
      <c r="F2245" t="n">
        <v>92.5</v>
      </c>
      <c r="G2245" t="n">
        <v>281</v>
      </c>
      <c r="H2245" t="n">
        <v>3.04e-167</v>
      </c>
      <c r="I2245" t="inlineStr">
        <is>
          <t>Nr</t>
        </is>
      </c>
      <c r="J2245" t="inlineStr"/>
      <c r="K2245" t="inlineStr"/>
      <c r="L2245" t="inlineStr">
        <is>
          <t>XP_018413948.1 PREDICTED: heat shock protein HSP 90-alpha isoform X2 [Nanorana parkeri]</t>
        </is>
      </c>
      <c r="M2245" t="n">
        <v>690</v>
      </c>
      <c r="N2245" t="inlineStr">
        <is>
          <t>Nanorana parkeri</t>
        </is>
      </c>
      <c r="O2245" t="inlineStr">
        <is>
          <t>PREDICTED: heat shock protein HSP 90-alpha isoform X2</t>
        </is>
      </c>
    </row>
    <row r="2246">
      <c r="A2246" t="inlineStr"/>
      <c r="B2246" t="inlineStr"/>
      <c r="C2246" t="inlineStr"/>
      <c r="D2246" t="inlineStr"/>
      <c r="E2246">
        <f>HYPERLINK("https://www.ncbi.nlm.nih.gov/gene/?term=XP_010198259.1", "XP_010198259.1")</f>
        <v/>
      </c>
      <c r="F2246" t="n">
        <v>94</v>
      </c>
      <c r="G2246" t="n">
        <v>281</v>
      </c>
      <c r="H2246" t="n">
        <v>3.16e-167</v>
      </c>
      <c r="I2246" t="inlineStr">
        <is>
          <t>Nr</t>
        </is>
      </c>
      <c r="J2246" t="inlineStr"/>
      <c r="K2246" t="inlineStr"/>
      <c r="L2246" t="inlineStr">
        <is>
          <t>XP_010198259.1 PREDICTED: heat shock protein HSP 90-alpha isoform X2 [Colius striatus]</t>
        </is>
      </c>
      <c r="M2246" t="n">
        <v>680</v>
      </c>
      <c r="N2246" t="inlineStr">
        <is>
          <t>Colius striatus</t>
        </is>
      </c>
      <c r="O2246" t="inlineStr">
        <is>
          <t>PREDICTED: heat shock protein HSP 90-alpha isoform X2</t>
        </is>
      </c>
    </row>
    <row r="2247">
      <c r="A2247" t="inlineStr"/>
      <c r="B2247" t="inlineStr"/>
      <c r="C2247" t="inlineStr"/>
      <c r="D2247" t="inlineStr"/>
      <c r="E2247">
        <f>HYPERLINK("https://www.ncbi.nlm.nih.gov/gene/?term=XP_019374097.1", "XP_019374097.1")</f>
        <v/>
      </c>
      <c r="F2247" t="n">
        <v>94.3</v>
      </c>
      <c r="G2247" t="n">
        <v>281</v>
      </c>
      <c r="H2247" t="n">
        <v>3.43e-167</v>
      </c>
      <c r="I2247" t="inlineStr">
        <is>
          <t>Nr</t>
        </is>
      </c>
      <c r="J2247" t="inlineStr"/>
      <c r="K2247" t="inlineStr"/>
      <c r="L2247" t="inlineStr">
        <is>
          <t>XP_019374097.1 PREDICTED: heat shock protein HSP 90-alpha [Gavialis gangeticus]</t>
        </is>
      </c>
      <c r="M2247" t="n">
        <v>728</v>
      </c>
      <c r="N2247" t="inlineStr">
        <is>
          <t>Gavialis gangeticus</t>
        </is>
      </c>
      <c r="O2247" t="inlineStr">
        <is>
          <t>PREDICTED: heat shock protein HSP 90-alpha</t>
        </is>
      </c>
    </row>
    <row r="2248">
      <c r="A2248" t="inlineStr"/>
      <c r="B2248" t="inlineStr"/>
      <c r="C2248" t="inlineStr"/>
      <c r="D2248" t="inlineStr"/>
      <c r="E2248">
        <f>HYPERLINK("https://www.uniprot.org/uniprotkb/Q76LV2/entry", "Q76LV2")</f>
        <v/>
      </c>
      <c r="F2248" t="n">
        <v>93.2</v>
      </c>
      <c r="G2248" t="n">
        <v>281</v>
      </c>
      <c r="H2248" t="n">
        <v>4.130000000000001e-167</v>
      </c>
      <c r="I2248" t="inlineStr">
        <is>
          <t>Swiss-Prot</t>
        </is>
      </c>
      <c r="J2248" t="inlineStr">
        <is>
          <t>HSP90AA1</t>
        </is>
      </c>
      <c r="K2248" t="inlineStr">
        <is>
          <t>HS90A_BOVIN</t>
        </is>
      </c>
      <c r="L2248" t="inlineStr">
        <is>
          <t>sp|Q76LV2|HS90A_BOVIN Heat shock protein HSP 90-alpha OS=Bos taurus OX=9913 GN=HSP90AA1 PE=1 SV=3</t>
        </is>
      </c>
      <c r="M2248" t="n">
        <v>733</v>
      </c>
      <c r="N2248" t="inlineStr">
        <is>
          <t>Bos taurus</t>
        </is>
      </c>
      <c r="O2248" t="inlineStr">
        <is>
          <t>Heat shock protein HSP 90-alpha</t>
        </is>
      </c>
    </row>
    <row r="2249">
      <c r="A2249" t="inlineStr"/>
      <c r="B2249" t="inlineStr"/>
      <c r="C2249" t="inlineStr"/>
      <c r="D2249" t="inlineStr"/>
      <c r="E2249">
        <f>HYPERLINK("https://www.uniprot.org/uniprotkb/Q9GKX7/entry", "Q9GKX7")</f>
        <v/>
      </c>
      <c r="F2249" t="n">
        <v>93.2</v>
      </c>
      <c r="G2249" t="n">
        <v>281</v>
      </c>
      <c r="H2249" t="n">
        <v>4.130000000000001e-167</v>
      </c>
      <c r="I2249" t="inlineStr">
        <is>
          <t>Swiss-Prot</t>
        </is>
      </c>
      <c r="J2249" t="inlineStr">
        <is>
          <t>HSP90AA1</t>
        </is>
      </c>
      <c r="K2249" t="inlineStr">
        <is>
          <t>HS90A_HORSE</t>
        </is>
      </c>
      <c r="L2249" t="inlineStr">
        <is>
          <t>sp|Q9GKX7|HS90A_HORSE Heat shock protein HSP 90-alpha OS=Equus caballus OX=9796 GN=HSP90AA1 PE=2 SV=2</t>
        </is>
      </c>
      <c r="M2249" t="n">
        <v>733</v>
      </c>
      <c r="N2249" t="inlineStr">
        <is>
          <t>Equus caballus</t>
        </is>
      </c>
      <c r="O2249" t="inlineStr">
        <is>
          <t>Heat shock protein HSP 90-alpha</t>
        </is>
      </c>
    </row>
    <row r="2250">
      <c r="A2250" t="inlineStr"/>
      <c r="B2250" t="inlineStr"/>
      <c r="C2250" t="inlineStr"/>
      <c r="D2250" t="inlineStr"/>
      <c r="E2250">
        <f>HYPERLINK("https://www.uniprot.org/uniprotkb/O02705/entry", "O02705")</f>
        <v/>
      </c>
      <c r="F2250" t="n">
        <v>93.2</v>
      </c>
      <c r="G2250" t="n">
        <v>281</v>
      </c>
      <c r="H2250" t="n">
        <v>4.130000000000001e-167</v>
      </c>
      <c r="I2250" t="inlineStr">
        <is>
          <t>Swiss-Prot</t>
        </is>
      </c>
      <c r="J2250" t="inlineStr">
        <is>
          <t>HSP90AA1</t>
        </is>
      </c>
      <c r="K2250" t="inlineStr">
        <is>
          <t>HS90A_PIG</t>
        </is>
      </c>
      <c r="L2250" t="inlineStr">
        <is>
          <t>sp|O02705|HS90A_PIG Heat shock protein HSP 90-alpha OS=Sus scrofa OX=9823 GN=HSP90AA1 PE=2 SV=3</t>
        </is>
      </c>
      <c r="M2250" t="n">
        <v>733</v>
      </c>
      <c r="N2250" t="inlineStr">
        <is>
          <t>Sus scrofa</t>
        </is>
      </c>
      <c r="O2250" t="inlineStr">
        <is>
          <t>Heat shock protein HSP 90-alpha</t>
        </is>
      </c>
    </row>
    <row r="2251">
      <c r="A2251" t="inlineStr"/>
      <c r="B2251" t="inlineStr"/>
      <c r="C2251" t="inlineStr"/>
      <c r="D2251" t="inlineStr"/>
      <c r="E2251">
        <f>HYPERLINK("https://www.ncbi.nlm.nih.gov/gene/?term=EDL97505.1", "EDL97505.1")</f>
        <v/>
      </c>
      <c r="F2251" t="n">
        <v>92.5</v>
      </c>
      <c r="G2251" t="n">
        <v>281</v>
      </c>
      <c r="H2251" t="n">
        <v>4.9e-167</v>
      </c>
      <c r="I2251" t="inlineStr">
        <is>
          <t>Nr</t>
        </is>
      </c>
      <c r="J2251" t="inlineStr"/>
      <c r="K2251" t="inlineStr"/>
      <c r="L2251" t="inlineStr">
        <is>
          <t>EDL97505.1 rCG27814, isoform CRA_c [Rattus norvegicus]</t>
        </is>
      </c>
      <c r="M2251" t="n">
        <v>449</v>
      </c>
      <c r="N2251" t="inlineStr">
        <is>
          <t>Rattus norvegicus</t>
        </is>
      </c>
      <c r="O2251" t="inlineStr">
        <is>
          <t>rCG27814, isoform CRA_c</t>
        </is>
      </c>
    </row>
    <row r="2252">
      <c r="A2252" t="inlineStr"/>
      <c r="B2252" t="inlineStr"/>
      <c r="C2252" t="inlineStr"/>
      <c r="D2252" t="inlineStr"/>
      <c r="E2252">
        <f>HYPERLINK("https://www.ncbi.nlm.nih.gov/gene/?term=EDL18665.1", "EDL18665.1")</f>
        <v/>
      </c>
      <c r="F2252" t="n">
        <v>92.5</v>
      </c>
      <c r="G2252" t="n">
        <v>281</v>
      </c>
      <c r="H2252" t="n">
        <v>4.9e-167</v>
      </c>
      <c r="I2252" t="inlineStr">
        <is>
          <t>Nr</t>
        </is>
      </c>
      <c r="J2252" t="inlineStr"/>
      <c r="K2252" t="inlineStr"/>
      <c r="L2252" t="inlineStr">
        <is>
          <t>EDL18665.1 mCG14932, isoform CRA_a [Mus musculus]</t>
        </is>
      </c>
      <c r="M2252" t="n">
        <v>449</v>
      </c>
      <c r="N2252" t="inlineStr">
        <is>
          <t>Mus musculus</t>
        </is>
      </c>
      <c r="O2252" t="inlineStr">
        <is>
          <t>mCG14932, isoform CRA_a</t>
        </is>
      </c>
    </row>
    <row r="2253">
      <c r="A2253" t="inlineStr"/>
      <c r="B2253" t="inlineStr"/>
      <c r="C2253" t="inlineStr"/>
      <c r="D2253" t="inlineStr"/>
      <c r="E2253">
        <f>HYPERLINK("https://www.ncbi.nlm.nih.gov/gene/?term=AAC25497.1", "AAC25497.1")</f>
        <v/>
      </c>
      <c r="F2253" t="n">
        <v>93.2</v>
      </c>
      <c r="G2253" t="n">
        <v>281</v>
      </c>
      <c r="H2253" t="n">
        <v>6.310000000000001e-167</v>
      </c>
      <c r="I2253" t="inlineStr">
        <is>
          <t>Nr</t>
        </is>
      </c>
      <c r="J2253" t="inlineStr"/>
      <c r="K2253" t="inlineStr"/>
      <c r="L2253" t="inlineStr">
        <is>
          <t>AAC25497.1 Hsp89-alpha-delta-N [Homo sapiens]</t>
        </is>
      </c>
      <c r="M2253" t="n">
        <v>539</v>
      </c>
      <c r="N2253" t="inlineStr">
        <is>
          <t>Homo sapiens</t>
        </is>
      </c>
      <c r="O2253" t="inlineStr">
        <is>
          <t>Hsp89-alpha-delta-N</t>
        </is>
      </c>
    </row>
    <row r="2254">
      <c r="A2254" t="inlineStr"/>
      <c r="B2254" t="inlineStr"/>
      <c r="C2254" t="inlineStr"/>
      <c r="D2254" t="inlineStr"/>
      <c r="E2254">
        <f>HYPERLINK("https://www.ncbi.nlm.nih.gov/gene/?term=XP_017584583.1", "XP_017584583.1")</f>
        <v/>
      </c>
      <c r="F2254" t="n">
        <v>93.3</v>
      </c>
      <c r="G2254" t="n">
        <v>282</v>
      </c>
      <c r="H2254" t="n">
        <v>6.540000000000001e-167</v>
      </c>
      <c r="I2254" t="inlineStr">
        <is>
          <t>Nr</t>
        </is>
      </c>
      <c r="J2254" t="inlineStr"/>
      <c r="K2254" t="inlineStr"/>
      <c r="L2254" t="inlineStr">
        <is>
          <t>XP_017584583.1 PREDICTED: LOW QUALITY PROTEIN: heat shock protein HSP 90-alpha [Corvus brachyrhynchos]</t>
        </is>
      </c>
      <c r="M2254" t="n">
        <v>681</v>
      </c>
      <c r="N2254" t="inlineStr">
        <is>
          <t>Corvus brachyrhynchos</t>
        </is>
      </c>
      <c r="O2254" t="inlineStr">
        <is>
          <t>PREDICTED: LOW QUALITY PROTEIN: heat shock protein HSP 90-alpha</t>
        </is>
      </c>
    </row>
    <row r="2255">
      <c r="A2255" t="inlineStr"/>
      <c r="B2255" t="inlineStr"/>
      <c r="C2255" t="inlineStr"/>
      <c r="D2255" t="inlineStr"/>
      <c r="E2255">
        <f>HYPERLINK("https://www.uniprot.org/uniprotkb/P07901/entry", "P07901")</f>
        <v/>
      </c>
      <c r="F2255" t="n">
        <v>92.5</v>
      </c>
      <c r="G2255" t="n">
        <v>281</v>
      </c>
      <c r="H2255" t="n">
        <v>4.7e-166</v>
      </c>
      <c r="I2255" t="inlineStr">
        <is>
          <t>Swiss-Prot</t>
        </is>
      </c>
      <c r="J2255" t="inlineStr">
        <is>
          <t>Hsp90aa1</t>
        </is>
      </c>
      <c r="K2255" t="inlineStr">
        <is>
          <t>HS90A_MOUSE</t>
        </is>
      </c>
      <c r="L2255" t="inlineStr">
        <is>
          <t>sp|P07901|HS90A_MOUSE Heat shock protein HSP 90-alpha OS=Mus musculus OX=10090 GN=Hsp90aa1 PE=1 SV=4</t>
        </is>
      </c>
      <c r="M2255" t="n">
        <v>733</v>
      </c>
      <c r="N2255" t="inlineStr">
        <is>
          <t>Mus musculus</t>
        </is>
      </c>
      <c r="O2255" t="inlineStr">
        <is>
          <t>Heat shock protein HSP 90-alpha</t>
        </is>
      </c>
    </row>
    <row r="2256">
      <c r="A2256" t="inlineStr"/>
      <c r="B2256" t="inlineStr"/>
      <c r="C2256" t="inlineStr"/>
      <c r="D2256" t="inlineStr"/>
      <c r="E2256">
        <f>HYPERLINK("https://www.uniprot.org/uniprotkb/P82995/entry", "P82995")</f>
        <v/>
      </c>
      <c r="F2256" t="n">
        <v>92.5</v>
      </c>
      <c r="G2256" t="n">
        <v>281</v>
      </c>
      <c r="H2256" t="n">
        <v>4.7e-166</v>
      </c>
      <c r="I2256" t="inlineStr">
        <is>
          <t>Swiss-Prot</t>
        </is>
      </c>
      <c r="J2256" t="inlineStr">
        <is>
          <t>Hsp90aa1</t>
        </is>
      </c>
      <c r="K2256" t="inlineStr">
        <is>
          <t>HS90A_RAT</t>
        </is>
      </c>
      <c r="L2256" t="inlineStr">
        <is>
          <t>sp|P82995|HS90A_RAT Heat shock protein HSP 90-alpha OS=Rattus norvegicus OX=10116 GN=Hsp90aa1 PE=1 SV=3</t>
        </is>
      </c>
      <c r="M2256" t="n">
        <v>733</v>
      </c>
      <c r="N2256" t="inlineStr">
        <is>
          <t>Rattus norvegicus</t>
        </is>
      </c>
      <c r="O2256" t="inlineStr">
        <is>
          <t>Heat shock protein HSP 90-alpha</t>
        </is>
      </c>
    </row>
    <row r="2257">
      <c r="A2257" t="inlineStr"/>
      <c r="B2257" t="inlineStr"/>
      <c r="C2257" t="inlineStr"/>
      <c r="D2257" t="inlineStr"/>
      <c r="E2257">
        <f>HYPERLINK("https://www.uniprot.org/uniprotkb/P46633/entry", "P46633")</f>
        <v/>
      </c>
      <c r="F2257" t="n">
        <v>92.2</v>
      </c>
      <c r="G2257" t="n">
        <v>281</v>
      </c>
      <c r="H2257" t="n">
        <v>1.89e-165</v>
      </c>
      <c r="I2257" t="inlineStr">
        <is>
          <t>Swiss-Prot</t>
        </is>
      </c>
      <c r="J2257" t="inlineStr">
        <is>
          <t>HSP90AA1</t>
        </is>
      </c>
      <c r="K2257" t="inlineStr">
        <is>
          <t>HS90A_CRIGR</t>
        </is>
      </c>
      <c r="L2257" t="inlineStr">
        <is>
          <t>sp|P46633|HS90A_CRIGR Heat shock protein HSP 90-alpha OS=Cricetulus griseus OX=10029 GN=HSP90AA1 PE=2 SV=2</t>
        </is>
      </c>
      <c r="M2257" t="n">
        <v>733</v>
      </c>
      <c r="N2257" t="inlineStr">
        <is>
          <t>Cricetulus griseus</t>
        </is>
      </c>
      <c r="O2257" t="inlineStr">
        <is>
          <t>Heat shock protein HSP 90-alpha</t>
        </is>
      </c>
    </row>
    <row r="2258">
      <c r="A2258" t="inlineStr"/>
      <c r="B2258" t="inlineStr"/>
      <c r="C2258" t="inlineStr"/>
      <c r="D2258" t="inlineStr"/>
      <c r="E2258">
        <f>HYPERLINK("https://www.uniprot.org/uniprotkb/P30946/entry", "P30946")</f>
        <v/>
      </c>
      <c r="F2258" t="n">
        <v>88.3</v>
      </c>
      <c r="G2258" t="n">
        <v>281</v>
      </c>
      <c r="H2258" t="n">
        <v>6.93e-162</v>
      </c>
      <c r="I2258" t="inlineStr">
        <is>
          <t>Swiss-Prot</t>
        </is>
      </c>
      <c r="J2258" t="inlineStr">
        <is>
          <t>HSP90AA1</t>
        </is>
      </c>
      <c r="K2258" t="inlineStr">
        <is>
          <t>HS90A_RABIT</t>
        </is>
      </c>
      <c r="L2258" t="inlineStr">
        <is>
          <t>sp|P30946|HS90A_RABIT Heat shock protein HSP 90-alpha OS=Oryctolagus cuniculus OX=9986 GN=HSP90AA1 PE=1 SV=2</t>
        </is>
      </c>
      <c r="M2258" t="n">
        <v>694</v>
      </c>
      <c r="N2258" t="inlineStr">
        <is>
          <t>Oryctolagus cuniculus</t>
        </is>
      </c>
      <c r="O2258" t="inlineStr">
        <is>
          <t>Heat shock protein HSP 90-alpha</t>
        </is>
      </c>
    </row>
    <row r="2259">
      <c r="A2259" t="inlineStr"/>
      <c r="B2259" t="inlineStr"/>
      <c r="C2259" t="inlineStr"/>
      <c r="D2259" t="inlineStr"/>
      <c r="E2259">
        <f>HYPERLINK("https://www.uniprot.org/uniprotkb/Q90474/entry", "Q90474")</f>
        <v/>
      </c>
      <c r="F2259" t="n">
        <v>81.5</v>
      </c>
      <c r="G2259" t="n">
        <v>281</v>
      </c>
      <c r="H2259" t="n">
        <v>2.67e-155</v>
      </c>
      <c r="I2259" t="inlineStr">
        <is>
          <t>Swiss-Prot</t>
        </is>
      </c>
      <c r="J2259" t="inlineStr">
        <is>
          <t>hsp90a.1</t>
        </is>
      </c>
      <c r="K2259" t="inlineStr">
        <is>
          <t>H90A1_DANRE</t>
        </is>
      </c>
      <c r="L2259" t="inlineStr">
        <is>
          <t>sp|Q90474|H90A1_DANRE Heat shock protein HSP 90-alpha 1 OS=Danio rerio OX=7955 GN=hsp90a.1 PE=1 SV=3</t>
        </is>
      </c>
      <c r="M2259" t="n">
        <v>725</v>
      </c>
      <c r="N2259" t="inlineStr">
        <is>
          <t>Danio rerio</t>
        </is>
      </c>
      <c r="O2259" t="inlineStr">
        <is>
          <t>Heat shock protein HSP 90-alpha 1</t>
        </is>
      </c>
    </row>
    <row r="2260">
      <c r="A2260" t="inlineStr"/>
      <c r="B2260" t="inlineStr"/>
      <c r="C2260" t="inlineStr"/>
      <c r="D2260" t="inlineStr"/>
      <c r="E2260">
        <f>HYPERLINK("https://www.uniprot.org/uniprotkb/P30947/entry", "P30947")</f>
        <v/>
      </c>
      <c r="F2260" t="n">
        <v>80.09999999999999</v>
      </c>
      <c r="G2260" t="n">
        <v>281</v>
      </c>
      <c r="H2260" t="n">
        <v>5.81e-149</v>
      </c>
      <c r="I2260" t="inlineStr">
        <is>
          <t>Swiss-Prot</t>
        </is>
      </c>
      <c r="J2260" t="inlineStr">
        <is>
          <t>HSP90AB1</t>
        </is>
      </c>
      <c r="K2260" t="inlineStr">
        <is>
          <t>HS90B_RABIT</t>
        </is>
      </c>
      <c r="L2260" t="inlineStr">
        <is>
          <t>sp|P30947|HS90B_RABIT Heat shock protein HSP 90-beta OS=Oryctolagus cuniculus OX=9986 GN=HSP90AB1 PE=1 SV=2</t>
        </is>
      </c>
      <c r="M2260" t="n">
        <v>726</v>
      </c>
      <c r="N2260" t="inlineStr">
        <is>
          <t>Oryctolagus cuniculus</t>
        </is>
      </c>
      <c r="O2260" t="inlineStr">
        <is>
          <t>Heat shock protein HSP 90-beta</t>
        </is>
      </c>
    </row>
    <row r="2261">
      <c r="A2261" t="inlineStr"/>
      <c r="B2261" t="inlineStr"/>
      <c r="C2261" t="inlineStr"/>
      <c r="D2261" t="inlineStr"/>
      <c r="E2261">
        <f>HYPERLINK("https://www.uniprot.org/uniprotkb/Q9GKX8/entry", "Q9GKX8")</f>
        <v/>
      </c>
      <c r="F2261" t="n">
        <v>79.7</v>
      </c>
      <c r="G2261" t="n">
        <v>281</v>
      </c>
      <c r="H2261" t="n">
        <v>1.55e-148</v>
      </c>
      <c r="I2261" t="inlineStr">
        <is>
          <t>Swiss-Prot</t>
        </is>
      </c>
      <c r="J2261" t="inlineStr">
        <is>
          <t>HSP90AB1</t>
        </is>
      </c>
      <c r="K2261" t="inlineStr">
        <is>
          <t>HS90B_HORSE</t>
        </is>
      </c>
      <c r="L2261" t="inlineStr">
        <is>
          <t>sp|Q9GKX8|HS90B_HORSE Heat shock protein HSP 90-beta OS=Equus caballus OX=9796 GN=HSP90AB1 PE=2 SV=3</t>
        </is>
      </c>
      <c r="M2261" t="n">
        <v>724</v>
      </c>
      <c r="N2261" t="inlineStr">
        <is>
          <t>Equus caballus</t>
        </is>
      </c>
      <c r="O2261" t="inlineStr">
        <is>
          <t>Heat shock protein HSP 90-beta</t>
        </is>
      </c>
    </row>
    <row r="2262">
      <c r="A2262" t="inlineStr"/>
      <c r="B2262" t="inlineStr"/>
      <c r="C2262" t="inlineStr"/>
      <c r="D2262" t="inlineStr"/>
      <c r="E2262">
        <f>HYPERLINK("https://www.uniprot.org/uniprotkb/Q4R4T5/entry", "Q4R4T5")</f>
        <v/>
      </c>
      <c r="F2262" t="n">
        <v>79.7</v>
      </c>
      <c r="G2262" t="n">
        <v>281</v>
      </c>
      <c r="H2262" t="n">
        <v>1.55e-148</v>
      </c>
      <c r="I2262" t="inlineStr">
        <is>
          <t>Swiss-Prot</t>
        </is>
      </c>
      <c r="J2262" t="inlineStr">
        <is>
          <t>HSP90AB1</t>
        </is>
      </c>
      <c r="K2262" t="inlineStr">
        <is>
          <t>HS90B_MACFA</t>
        </is>
      </c>
      <c r="L2262" t="inlineStr">
        <is>
          <t>sp|Q4R4T5|HS90B_MACFA Heat shock protein HSP 90-beta OS=Macaca fascicularis OX=9541 GN=HSP90AB1 PE=2 SV=1</t>
        </is>
      </c>
      <c r="M2262" t="n">
        <v>724</v>
      </c>
      <c r="N2262" t="inlineStr">
        <is>
          <t>Macaca fascicularis</t>
        </is>
      </c>
      <c r="O2262" t="inlineStr">
        <is>
          <t>Heat shock protein HSP 90-beta</t>
        </is>
      </c>
    </row>
    <row r="2263">
      <c r="A2263" t="inlineStr"/>
      <c r="B2263" t="inlineStr"/>
      <c r="C2263" t="inlineStr"/>
      <c r="D2263" t="inlineStr"/>
      <c r="E2263">
        <f>HYPERLINK("https://www.uniprot.org/uniprotkb/Q6AZV1/entry", "Q6AZV1")</f>
        <v/>
      </c>
      <c r="F2263" t="n">
        <v>79</v>
      </c>
      <c r="G2263" t="n">
        <v>281</v>
      </c>
      <c r="H2263" t="n">
        <v>2.07e-148</v>
      </c>
      <c r="I2263" t="inlineStr">
        <is>
          <t>Swiss-Prot</t>
        </is>
      </c>
      <c r="J2263" t="inlineStr">
        <is>
          <t>hsp90ab1</t>
        </is>
      </c>
      <c r="K2263" t="inlineStr">
        <is>
          <t>HS90B_XENLA</t>
        </is>
      </c>
      <c r="L2263" t="inlineStr">
        <is>
          <t>sp|Q6AZV1|HS90B_XENLA Heat shock cognate protein HSP 90-beta OS=Xenopus laevis OX=8355 GN=hsp90ab1 PE=2 SV=1</t>
        </is>
      </c>
      <c r="M2263" t="n">
        <v>722</v>
      </c>
      <c r="N2263" t="inlineStr">
        <is>
          <t>Xenopus laevis</t>
        </is>
      </c>
      <c r="O2263" t="inlineStr">
        <is>
          <t>Heat shock cognate protein HSP 90-beta</t>
        </is>
      </c>
    </row>
    <row r="2264">
      <c r="A2264" t="inlineStr"/>
      <c r="B2264" t="inlineStr"/>
      <c r="C2264" t="inlineStr"/>
      <c r="D2264" t="inlineStr"/>
      <c r="E2264">
        <f>HYPERLINK("https://www.uniprot.org/uniprotkb/P08238/entry", "P08238")</f>
        <v/>
      </c>
      <c r="F2264" t="n">
        <v>79.7</v>
      </c>
      <c r="G2264" t="n">
        <v>281</v>
      </c>
      <c r="H2264" t="n">
        <v>2.2e-148</v>
      </c>
      <c r="I2264" t="inlineStr">
        <is>
          <t>Swiss-Prot</t>
        </is>
      </c>
      <c r="J2264" t="inlineStr">
        <is>
          <t>HSP90AB1</t>
        </is>
      </c>
      <c r="K2264" t="inlineStr">
        <is>
          <t>HS90B_HUMAN</t>
        </is>
      </c>
      <c r="L2264" t="inlineStr">
        <is>
          <t>sp|P08238|HS90B_HUMAN Heat shock protein HSP 90-beta OS=Homo sapiens OX=9606 GN=HSP90AB1 PE=1 SV=4</t>
        </is>
      </c>
      <c r="M2264" t="n">
        <v>724</v>
      </c>
      <c r="N2264" t="inlineStr">
        <is>
          <t>Homo sapiens</t>
        </is>
      </c>
      <c r="O2264" t="inlineStr">
        <is>
          <t>Heat shock protein HSP 90-beta</t>
        </is>
      </c>
    </row>
    <row r="2265">
      <c r="A2265" t="inlineStr"/>
      <c r="B2265" t="inlineStr"/>
      <c r="C2265" t="inlineStr"/>
      <c r="D2265" t="inlineStr"/>
      <c r="E2265">
        <f>HYPERLINK("https://www.uniprot.org/uniprotkb/Q04619/entry", "Q04619")</f>
        <v/>
      </c>
      <c r="F2265" t="n">
        <v>79.40000000000001</v>
      </c>
      <c r="G2265" t="n">
        <v>282</v>
      </c>
      <c r="H2265" t="n">
        <v>4.52e-148</v>
      </c>
      <c r="I2265" t="inlineStr">
        <is>
          <t>Swiss-Prot</t>
        </is>
      </c>
      <c r="J2265" t="inlineStr">
        <is>
          <t>HSP90AB1</t>
        </is>
      </c>
      <c r="K2265" t="inlineStr">
        <is>
          <t>HS90B_CHICK</t>
        </is>
      </c>
      <c r="L2265" t="inlineStr">
        <is>
          <t>sp|Q04619|HS90B_CHICK Heat shock cognate protein HSP 90-beta OS=Gallus gallus OX=9031 GN=HSP90AB1 PE=2 SV=1</t>
        </is>
      </c>
      <c r="M2265" t="n">
        <v>725</v>
      </c>
      <c r="N2265" t="inlineStr">
        <is>
          <t>Gallus gallus</t>
        </is>
      </c>
      <c r="O2265" t="inlineStr">
        <is>
          <t>Heat shock cognate protein HSP 90-beta</t>
        </is>
      </c>
    </row>
    <row r="2266">
      <c r="A2266" t="inlineStr"/>
      <c r="B2266" t="inlineStr"/>
      <c r="C2266" t="inlineStr"/>
      <c r="D2266" t="inlineStr"/>
      <c r="E2266">
        <f>HYPERLINK("https://www.uniprot.org/uniprotkb/Q76LV1/entry", "Q76LV1")</f>
        <v/>
      </c>
      <c r="F2266" t="n">
        <v>79.40000000000001</v>
      </c>
      <c r="G2266" t="n">
        <v>281</v>
      </c>
      <c r="H2266" t="n">
        <v>6.21e-148</v>
      </c>
      <c r="I2266" t="inlineStr">
        <is>
          <t>Swiss-Prot</t>
        </is>
      </c>
      <c r="J2266" t="inlineStr">
        <is>
          <t>HSP90AB1</t>
        </is>
      </c>
      <c r="K2266" t="inlineStr">
        <is>
          <t>HS90B_BOVIN</t>
        </is>
      </c>
      <c r="L2266" t="inlineStr">
        <is>
          <t>sp|Q76LV1|HS90B_BOVIN Heat shock protein HSP 90-beta OS=Bos taurus OX=9913 GN=HSP90AB1 PE=2 SV=3</t>
        </is>
      </c>
      <c r="M2266" t="n">
        <v>724</v>
      </c>
      <c r="N2266" t="inlineStr">
        <is>
          <t>Bos taurus</t>
        </is>
      </c>
      <c r="O2266" t="inlineStr">
        <is>
          <t>Heat shock protein HSP 90-beta</t>
        </is>
      </c>
    </row>
    <row r="2267">
      <c r="A2267" t="inlineStr"/>
      <c r="B2267" t="inlineStr"/>
      <c r="C2267" t="inlineStr"/>
      <c r="D2267" t="inlineStr"/>
      <c r="E2267">
        <f>HYPERLINK("https://www.uniprot.org/uniprotkb/P11499/entry", "P11499")</f>
        <v/>
      </c>
      <c r="F2267" t="n">
        <v>79.40000000000001</v>
      </c>
      <c r="G2267" t="n">
        <v>281</v>
      </c>
      <c r="H2267" t="n">
        <v>6.21e-148</v>
      </c>
      <c r="I2267" t="inlineStr">
        <is>
          <t>Swiss-Prot</t>
        </is>
      </c>
      <c r="J2267" t="inlineStr">
        <is>
          <t>Hsp90ab1</t>
        </is>
      </c>
      <c r="K2267" t="inlineStr">
        <is>
          <t>HS90B_MOUSE</t>
        </is>
      </c>
      <c r="L2267" t="inlineStr">
        <is>
          <t>sp|P11499|HS90B_MOUSE Heat shock protein HSP 90-beta OS=Mus musculus OX=10090 GN=Hsp90ab1 PE=1 SV=3</t>
        </is>
      </c>
      <c r="M2267" t="n">
        <v>724</v>
      </c>
      <c r="N2267" t="inlineStr">
        <is>
          <t>Mus musculus</t>
        </is>
      </c>
      <c r="O2267" t="inlineStr">
        <is>
          <t>Heat shock protein HSP 90-beta</t>
        </is>
      </c>
    </row>
    <row r="2268">
      <c r="A2268" t="inlineStr"/>
      <c r="B2268" t="inlineStr"/>
      <c r="C2268" t="inlineStr"/>
      <c r="D2268" t="inlineStr"/>
      <c r="E2268">
        <f>HYPERLINK("https://www.uniprot.org/uniprotkb/Q5R710/entry", "Q5R710")</f>
        <v/>
      </c>
      <c r="F2268" t="n">
        <v>79.40000000000001</v>
      </c>
      <c r="G2268" t="n">
        <v>281</v>
      </c>
      <c r="H2268" t="n">
        <v>6.21e-148</v>
      </c>
      <c r="I2268" t="inlineStr">
        <is>
          <t>Swiss-Prot</t>
        </is>
      </c>
      <c r="J2268" t="inlineStr">
        <is>
          <t>HSP90AB1</t>
        </is>
      </c>
      <c r="K2268" t="inlineStr">
        <is>
          <t>HS90B_PONAB</t>
        </is>
      </c>
      <c r="L2268" t="inlineStr">
        <is>
          <t>sp|Q5R710|HS90B_PONAB Heat shock protein HSP 90-beta OS=Pongo abelii OX=9601 GN=HSP90AB1 PE=2 SV=1</t>
        </is>
      </c>
      <c r="M2268" t="n">
        <v>724</v>
      </c>
      <c r="N2268" t="inlineStr">
        <is>
          <t>Pongo abelii</t>
        </is>
      </c>
      <c r="O2268" t="inlineStr">
        <is>
          <t>Heat shock protein HSP 90-beta</t>
        </is>
      </c>
    </row>
    <row r="2269">
      <c r="A2269" t="inlineStr"/>
      <c r="B2269" t="inlineStr"/>
      <c r="C2269" t="inlineStr"/>
      <c r="D2269" t="inlineStr"/>
      <c r="E2269">
        <f>HYPERLINK("https://www.uniprot.org/uniprotkb/P34058/entry", "P34058")</f>
        <v/>
      </c>
      <c r="F2269" t="n">
        <v>79.40000000000001</v>
      </c>
      <c r="G2269" t="n">
        <v>281</v>
      </c>
      <c r="H2269" t="n">
        <v>6.21e-148</v>
      </c>
      <c r="I2269" t="inlineStr">
        <is>
          <t>Swiss-Prot</t>
        </is>
      </c>
      <c r="J2269" t="inlineStr">
        <is>
          <t>Hsp90ab1</t>
        </is>
      </c>
      <c r="K2269" t="inlineStr">
        <is>
          <t>HS90B_RAT</t>
        </is>
      </c>
      <c r="L2269" t="inlineStr">
        <is>
          <t>sp|P34058|HS90B_RAT Heat shock protein HSP 90-beta OS=Rattus norvegicus OX=10116 GN=Hsp90ab1 PE=1 SV=4</t>
        </is>
      </c>
      <c r="M2269" t="n">
        <v>724</v>
      </c>
      <c r="N2269" t="inlineStr">
        <is>
          <t>Rattus norvegicus</t>
        </is>
      </c>
      <c r="O2269" t="inlineStr">
        <is>
          <t>Heat shock protein HSP 90-beta</t>
        </is>
      </c>
    </row>
    <row r="2270">
      <c r="A2270" t="inlineStr"/>
      <c r="B2270" t="inlineStr"/>
      <c r="C2270" t="inlineStr"/>
      <c r="D2270" t="inlineStr"/>
      <c r="E2270">
        <f>HYPERLINK("https://www.uniprot.org/uniprotkb/O57521/entry", "O57521")</f>
        <v/>
      </c>
      <c r="F2270" t="n">
        <v>78.40000000000001</v>
      </c>
      <c r="G2270" t="n">
        <v>282</v>
      </c>
      <c r="H2270" t="n">
        <v>1.63e-145</v>
      </c>
      <c r="I2270" t="inlineStr">
        <is>
          <t>Swiss-Prot</t>
        </is>
      </c>
      <c r="J2270" t="inlineStr">
        <is>
          <t>hsp90ab1</t>
        </is>
      </c>
      <c r="K2270" t="inlineStr">
        <is>
          <t>HS90B_DANRE</t>
        </is>
      </c>
      <c r="L2270" t="inlineStr">
        <is>
          <t>sp|O57521|HS90B_DANRE Heat shock protein HSP 90-beta OS=Danio rerio OX=7955 GN=hsp90ab1 PE=1 SV=2</t>
        </is>
      </c>
      <c r="M2270" t="n">
        <v>725</v>
      </c>
      <c r="N2270" t="inlineStr">
        <is>
          <t>Danio rerio</t>
        </is>
      </c>
      <c r="O2270" t="inlineStr">
        <is>
          <t>Heat shock protein HSP 90-beta</t>
        </is>
      </c>
    </row>
    <row r="2271">
      <c r="A2271" t="inlineStr"/>
      <c r="B2271" t="inlineStr"/>
      <c r="C2271" t="inlineStr"/>
      <c r="D2271" t="inlineStr"/>
      <c r="E2271">
        <f>HYPERLINK("https://www.uniprot.org/uniprotkb/Q9BLC5/entry", "Q9BLC5")</f>
        <v/>
      </c>
      <c r="F2271" t="n">
        <v>75.5</v>
      </c>
      <c r="G2271" t="n">
        <v>282</v>
      </c>
      <c r="H2271" t="n">
        <v>2.95e-138</v>
      </c>
      <c r="I2271" t="inlineStr">
        <is>
          <t>Swiss-Prot</t>
        </is>
      </c>
      <c r="J2271" t="inlineStr">
        <is>
          <t>Hsp83</t>
        </is>
      </c>
      <c r="K2271" t="inlineStr">
        <is>
          <t>HSP83_BOMMO</t>
        </is>
      </c>
      <c r="L2271" t="inlineStr">
        <is>
          <t>sp|Q9BLC5|HSP83_BOMMO Heat shock protein 83 OS=Bombyx mori OX=7091 GN=Hsp83 PE=1 SV=1</t>
        </is>
      </c>
      <c r="M2271" t="n">
        <v>716</v>
      </c>
      <c r="N2271" t="inlineStr">
        <is>
          <t>Bombyx mori</t>
        </is>
      </c>
      <c r="O2271" t="inlineStr">
        <is>
          <t>Heat shock protein 83</t>
        </is>
      </c>
    </row>
    <row r="2272">
      <c r="A2272" t="inlineStr"/>
      <c r="B2272" t="inlineStr"/>
      <c r="C2272" t="inlineStr"/>
      <c r="D2272" t="inlineStr"/>
      <c r="E2272">
        <f>HYPERLINK("https://www.uniprot.org/uniprotkb/O61998/entry", "O61998")</f>
        <v/>
      </c>
      <c r="F2272" t="n">
        <v>73.90000000000001</v>
      </c>
      <c r="G2272" t="n">
        <v>283</v>
      </c>
      <c r="H2272" t="n">
        <v>5.48e-133</v>
      </c>
      <c r="I2272" t="inlineStr">
        <is>
          <t>Swiss-Prot</t>
        </is>
      </c>
      <c r="J2272" t="inlineStr">
        <is>
          <t>HSP90</t>
        </is>
      </c>
      <c r="K2272" t="inlineStr">
        <is>
          <t>HSP90_BRUPA</t>
        </is>
      </c>
      <c r="L2272" t="inlineStr">
        <is>
          <t>sp|O61998|HSP90_BRUPA Heat shock protein 90 OS=Brugia pahangi OX=6280 GN=HSP90 PE=2 SV=2</t>
        </is>
      </c>
      <c r="M2272" t="n">
        <v>717</v>
      </c>
      <c r="N2272" t="inlineStr">
        <is>
          <t>Brugia pahangi</t>
        </is>
      </c>
      <c r="O2272" t="inlineStr">
        <is>
          <t>Heat shock protein 90</t>
        </is>
      </c>
    </row>
    <row r="2273">
      <c r="A2273" t="inlineStr">
        <is>
          <t>NODE_17004_length_5183_cov_362.536552_g3371_i6</t>
        </is>
      </c>
      <c r="B2273" t="inlineStr">
        <is>
          <t>bombina_pachypus_blastx</t>
        </is>
      </c>
      <c r="C2273" t="n">
        <v>2.04286864505472</v>
      </c>
      <c r="D2273" t="n">
        <v>0.0201656846677024</v>
      </c>
      <c r="E2273">
        <f>HYPERLINK("https://www.uniprot.org/uniprotkb/A0A8C5P8V9/entry", "A0A8C5P8V9")</f>
        <v/>
      </c>
      <c r="F2273" t="n">
        <v>91.8</v>
      </c>
      <c r="G2273" t="n">
        <v>367</v>
      </c>
      <c r="H2273" t="n">
        <v>7.01e-239</v>
      </c>
      <c r="I2273" t="inlineStr">
        <is>
          <t>TrEMBL</t>
        </is>
      </c>
      <c r="J2273" t="inlineStr">
        <is>
          <t>ATCAY</t>
        </is>
      </c>
      <c r="K2273" t="inlineStr">
        <is>
          <t>A0A8C5P8V9_9ANUR</t>
        </is>
      </c>
      <c r="L2273" t="inlineStr">
        <is>
          <t>tr|A0A8C5P8V9|A0A8C5P8V9_9ANUR ATCAY kinesin light chain interacting caytaxin OS=Leptobrachium leishanense OX=445787 GN=ATCAY PE=4 SV=1</t>
        </is>
      </c>
      <c r="M2273" t="n">
        <v>358</v>
      </c>
      <c r="N2273" t="inlineStr">
        <is>
          <t>Leptobrachium leishanense</t>
        </is>
      </c>
      <c r="O2273" t="inlineStr">
        <is>
          <t>ATCAY kinesin light chain interacting caytaxin</t>
        </is>
      </c>
    </row>
    <row r="2274">
      <c r="A2274" t="inlineStr"/>
      <c r="B2274" t="inlineStr"/>
      <c r="C2274" t="inlineStr"/>
      <c r="D2274" t="inlineStr"/>
      <c r="E2274">
        <f>HYPERLINK("https://www.uniprot.org/uniprotkb/A0A8C5LZS7/entry", "A0A8C5LZS7")</f>
        <v/>
      </c>
      <c r="F2274" t="n">
        <v>91.8</v>
      </c>
      <c r="G2274" t="n">
        <v>367</v>
      </c>
      <c r="H2274" t="n">
        <v>1.37e-238</v>
      </c>
      <c r="I2274" t="inlineStr">
        <is>
          <t>TrEMBL</t>
        </is>
      </c>
      <c r="J2274" t="inlineStr">
        <is>
          <t>ATCAY</t>
        </is>
      </c>
      <c r="K2274" t="inlineStr">
        <is>
          <t>A0A8C5LZS7_9ANUR</t>
        </is>
      </c>
      <c r="L2274" t="inlineStr">
        <is>
          <t>tr|A0A8C5LZS7|A0A8C5LZS7_9ANUR ATCAY kinesin light chain interacting caytaxin OS=Leptobrachium leishanense OX=445787 GN=ATCAY PE=4 SV=1</t>
        </is>
      </c>
      <c r="M2274" t="n">
        <v>376</v>
      </c>
      <c r="N2274" t="inlineStr">
        <is>
          <t>Leptobrachium leishanense</t>
        </is>
      </c>
      <c r="O2274" t="inlineStr">
        <is>
          <t>ATCAY kinesin light chain interacting caytaxin</t>
        </is>
      </c>
    </row>
    <row r="2275">
      <c r="A2275" t="inlineStr"/>
      <c r="B2275" t="inlineStr"/>
      <c r="C2275" t="inlineStr"/>
      <c r="D2275" t="inlineStr"/>
      <c r="E2275">
        <f>HYPERLINK("https://www.ncbi.nlm.nih.gov/gene/?term=XP_044138684.1", "XP_044138684.1")</f>
        <v/>
      </c>
      <c r="F2275" t="n">
        <v>90.8</v>
      </c>
      <c r="G2275" t="n">
        <v>370</v>
      </c>
      <c r="H2275" t="n">
        <v>5.36e-238</v>
      </c>
      <c r="I2275" t="inlineStr">
        <is>
          <t>Nr</t>
        </is>
      </c>
      <c r="J2275" t="inlineStr"/>
      <c r="K2275" t="inlineStr"/>
      <c r="L2275" t="inlineStr">
        <is>
          <t>XP_044138684.1 caytaxin [Bufo gargarizans]</t>
        </is>
      </c>
      <c r="M2275" t="n">
        <v>359</v>
      </c>
      <c r="N2275" t="inlineStr">
        <is>
          <t>Bufo gargarizans</t>
        </is>
      </c>
      <c r="O2275" t="inlineStr">
        <is>
          <t>caytaxin</t>
        </is>
      </c>
    </row>
    <row r="2276">
      <c r="A2276" t="inlineStr"/>
      <c r="B2276" t="inlineStr"/>
      <c r="C2276" t="inlineStr"/>
      <c r="D2276" t="inlineStr"/>
      <c r="E2276">
        <f>HYPERLINK("https://www.ncbi.nlm.nih.gov/gene/?term=XP_040276356.1", "XP_040276356.1")</f>
        <v/>
      </c>
      <c r="F2276" t="n">
        <v>90.5</v>
      </c>
      <c r="G2276" t="n">
        <v>370</v>
      </c>
      <c r="H2276" t="n">
        <v>3.1e-237</v>
      </c>
      <c r="I2276" t="inlineStr">
        <is>
          <t>Nr</t>
        </is>
      </c>
      <c r="J2276" t="inlineStr"/>
      <c r="K2276" t="inlineStr"/>
      <c r="L2276" t="inlineStr">
        <is>
          <t>XP_040276356.1 caytaxin [Bufo bufo]</t>
        </is>
      </c>
      <c r="M2276" t="n">
        <v>359</v>
      </c>
      <c r="N2276" t="inlineStr">
        <is>
          <t>Bufo bufo</t>
        </is>
      </c>
      <c r="O2276" t="inlineStr">
        <is>
          <t>caytaxin</t>
        </is>
      </c>
    </row>
    <row r="2277">
      <c r="A2277" t="inlineStr"/>
      <c r="B2277" t="inlineStr"/>
      <c r="C2277" t="inlineStr"/>
      <c r="D2277" t="inlineStr"/>
      <c r="E2277">
        <f>HYPERLINK("https://www.uniprot.org/uniprotkb/A0A8J6F5U6/entry", "A0A8J6F5U6")</f>
        <v/>
      </c>
      <c r="F2277" t="n">
        <v>90.3</v>
      </c>
      <c r="G2277" t="n">
        <v>370</v>
      </c>
      <c r="H2277" t="n">
        <v>2.08e-235</v>
      </c>
      <c r="I2277" t="inlineStr">
        <is>
          <t>TrEMBL</t>
        </is>
      </c>
      <c r="J2277" t="inlineStr">
        <is>
          <t>GDO78_012244</t>
        </is>
      </c>
      <c r="K2277" t="inlineStr">
        <is>
          <t>A0A8J6F5U6_ELECQ</t>
        </is>
      </c>
      <c r="L2277" t="inlineStr">
        <is>
          <t>tr|A0A8J6F5U6|A0A8J6F5U6_ELECQ CRAL-TRIO domain-containing protein OS=Eleutherodactylus coqui OX=57060 GN=GDO78_012244 PE=4 SV=1</t>
        </is>
      </c>
      <c r="M2277" t="n">
        <v>356</v>
      </c>
      <c r="N2277" t="inlineStr">
        <is>
          <t>Eleutherodactylus coqui</t>
        </is>
      </c>
      <c r="O2277" t="inlineStr">
        <is>
          <t>CRAL-TRIO domain-containing protein</t>
        </is>
      </c>
    </row>
    <row r="2278">
      <c r="A2278" t="inlineStr"/>
      <c r="B2278" t="inlineStr"/>
      <c r="C2278" t="inlineStr"/>
      <c r="D2278" t="inlineStr"/>
      <c r="E2278">
        <f>HYPERLINK("https://www.uniprot.org/uniprotkb/A0A6I8S7U2/entry", "A0A6I8S7U2")</f>
        <v/>
      </c>
      <c r="F2278" t="n">
        <v>89.2</v>
      </c>
      <c r="G2278" t="n">
        <v>370</v>
      </c>
      <c r="H2278" t="n">
        <v>2.41e-235</v>
      </c>
      <c r="I2278" t="inlineStr">
        <is>
          <t>TrEMBL</t>
        </is>
      </c>
      <c r="J2278" t="inlineStr">
        <is>
          <t>atcay</t>
        </is>
      </c>
      <c r="K2278" t="inlineStr">
        <is>
          <t>A0A6I8S7U2_XENTR</t>
        </is>
      </c>
      <c r="L2278" t="inlineStr">
        <is>
          <t>tr|A0A6I8S7U2|A0A6I8S7U2_XENTR Ataxia, cerebellar, Cayman type OS=Xenopus tropicalis OX=8364 GN=atcay PE=4 SV=2</t>
        </is>
      </c>
      <c r="M2278" t="n">
        <v>360</v>
      </c>
      <c r="N2278" t="inlineStr">
        <is>
          <t>Xenopus tropicalis</t>
        </is>
      </c>
      <c r="O2278" t="inlineStr">
        <is>
          <t>Ataxia, cerebellar, Cayman type</t>
        </is>
      </c>
    </row>
    <row r="2279">
      <c r="A2279" t="inlineStr"/>
      <c r="B2279" t="inlineStr"/>
      <c r="C2279" t="inlineStr"/>
      <c r="D2279" t="inlineStr"/>
      <c r="E2279">
        <f>HYPERLINK("https://www.uniprot.org/uniprotkb/A0A8C5LZR7/entry", "A0A8C5LZR7")</f>
        <v/>
      </c>
      <c r="F2279" t="n">
        <v>92</v>
      </c>
      <c r="G2279" t="n">
        <v>361</v>
      </c>
      <c r="H2279" t="n">
        <v>3.89e-235</v>
      </c>
      <c r="I2279" t="inlineStr">
        <is>
          <t>TrEMBL</t>
        </is>
      </c>
      <c r="J2279" t="inlineStr">
        <is>
          <t>ATCAY</t>
        </is>
      </c>
      <c r="K2279" t="inlineStr">
        <is>
          <t>A0A8C5LZR7_9ANUR</t>
        </is>
      </c>
      <c r="L2279" t="inlineStr">
        <is>
          <t>tr|A0A8C5LZR7|A0A8C5LZR7_9ANUR ATCAY kinesin light chain interacting caytaxin OS=Leptobrachium leishanense OX=445787 GN=ATCAY PE=4 SV=1</t>
        </is>
      </c>
      <c r="M2279" t="n">
        <v>354</v>
      </c>
      <c r="N2279" t="inlineStr">
        <is>
          <t>Leptobrachium leishanense</t>
        </is>
      </c>
      <c r="O2279" t="inlineStr">
        <is>
          <t>ATCAY kinesin light chain interacting caytaxin</t>
        </is>
      </c>
    </row>
    <row r="2280">
      <c r="A2280" t="inlineStr"/>
      <c r="B2280" t="inlineStr"/>
      <c r="C2280" t="inlineStr"/>
      <c r="D2280" t="inlineStr"/>
      <c r="E2280">
        <f>HYPERLINK("https://www.ncbi.nlm.nih.gov/gene/?term=KAG9480673.1", "KAG9480673.1")</f>
        <v/>
      </c>
      <c r="F2280" t="n">
        <v>90.3</v>
      </c>
      <c r="G2280" t="n">
        <v>370</v>
      </c>
      <c r="H2280" t="n">
        <v>5.34e-235</v>
      </c>
      <c r="I2280" t="inlineStr">
        <is>
          <t>Nr</t>
        </is>
      </c>
      <c r="J2280" t="inlineStr"/>
      <c r="K2280" t="inlineStr"/>
      <c r="L2280" t="inlineStr">
        <is>
          <t>KAG9480673.1 hypothetical protein GDO78_012244 [Eleutherodactylus coqui]</t>
        </is>
      </c>
      <c r="M2280" t="n">
        <v>356</v>
      </c>
      <c r="N2280" t="inlineStr">
        <is>
          <t>Eleutherodactylus coqui</t>
        </is>
      </c>
      <c r="O2280" t="inlineStr">
        <is>
          <t>hypothetical protein GDO78_012244</t>
        </is>
      </c>
    </row>
    <row r="2281">
      <c r="A2281" t="inlineStr"/>
      <c r="B2281" t="inlineStr"/>
      <c r="C2281" t="inlineStr"/>
      <c r="D2281" t="inlineStr"/>
      <c r="E2281">
        <f>HYPERLINK("https://www.ncbi.nlm.nih.gov/gene/?term=XP_002941432.2", "XP_002941432.2")</f>
        <v/>
      </c>
      <c r="F2281" t="n">
        <v>89.2</v>
      </c>
      <c r="G2281" t="n">
        <v>370</v>
      </c>
      <c r="H2281" t="n">
        <v>6.200000000000001e-235</v>
      </c>
      <c r="I2281" t="inlineStr">
        <is>
          <t>Nr</t>
        </is>
      </c>
      <c r="J2281" t="inlineStr"/>
      <c r="K2281" t="inlineStr"/>
      <c r="L2281" t="inlineStr">
        <is>
          <t>XP_002941432.2 caytaxin isoform X1 [Xenopus tropicalis]</t>
        </is>
      </c>
      <c r="M2281" t="n">
        <v>360</v>
      </c>
      <c r="N2281" t="inlineStr">
        <is>
          <t>Xenopus tropicalis</t>
        </is>
      </c>
      <c r="O2281" t="inlineStr">
        <is>
          <t>caytaxin isoform X1</t>
        </is>
      </c>
    </row>
    <row r="2282">
      <c r="A2282" t="inlineStr"/>
      <c r="B2282" t="inlineStr"/>
      <c r="C2282" t="inlineStr"/>
      <c r="D2282" t="inlineStr"/>
      <c r="E2282">
        <f>HYPERLINK("https://www.ncbi.nlm.nih.gov/gene/?term=XP_053317830.1", "XP_053317830.1")</f>
        <v/>
      </c>
      <c r="F2282" t="n">
        <v>89.7</v>
      </c>
      <c r="G2282" t="n">
        <v>370</v>
      </c>
      <c r="H2282" t="n">
        <v>1.25e-234</v>
      </c>
      <c r="I2282" t="inlineStr">
        <is>
          <t>Nr</t>
        </is>
      </c>
      <c r="J2282" t="inlineStr"/>
      <c r="K2282" t="inlineStr"/>
      <c r="L2282" t="inlineStr">
        <is>
          <t>XP_053317830.1 caytaxin [Spea bombifrons]</t>
        </is>
      </c>
      <c r="M2282" t="n">
        <v>360</v>
      </c>
      <c r="N2282" t="inlineStr">
        <is>
          <t>Spea bombifrons</t>
        </is>
      </c>
      <c r="O2282" t="inlineStr">
        <is>
          <t>caytaxin</t>
        </is>
      </c>
    </row>
    <row r="2283">
      <c r="A2283" t="inlineStr"/>
      <c r="B2283" t="inlineStr"/>
      <c r="C2283" t="inlineStr"/>
      <c r="D2283" t="inlineStr"/>
      <c r="E2283">
        <f>HYPERLINK("https://www.uniprot.org/uniprotkb/A0A1L8HW49/entry", "A0A1L8HW49")</f>
        <v/>
      </c>
      <c r="F2283" t="n">
        <v>87.59999999999999</v>
      </c>
      <c r="G2283" t="n">
        <v>370</v>
      </c>
      <c r="H2283" t="n">
        <v>5.43e-232</v>
      </c>
      <c r="I2283" t="inlineStr">
        <is>
          <t>TrEMBL</t>
        </is>
      </c>
      <c r="J2283" t="inlineStr">
        <is>
          <t>atcay.L</t>
        </is>
      </c>
      <c r="K2283" t="inlineStr">
        <is>
          <t>A0A1L8HW49_XENLA</t>
        </is>
      </c>
      <c r="L2283" t="inlineStr">
        <is>
          <t>tr|A0A1L8HW49|A0A1L8HW49_XENLA caytaxin isoform X1 OS=Xenopus laevis OX=8355 GN=atcay.L PE=4 SV=1</t>
        </is>
      </c>
      <c r="M2283" t="n">
        <v>360</v>
      </c>
      <c r="N2283" t="inlineStr">
        <is>
          <t>Xenopus laevis</t>
        </is>
      </c>
      <c r="O2283" t="inlineStr">
        <is>
          <t>caytaxin isoform X1</t>
        </is>
      </c>
    </row>
    <row r="2284">
      <c r="A2284" t="inlineStr"/>
      <c r="B2284" t="inlineStr"/>
      <c r="C2284" t="inlineStr"/>
      <c r="D2284" t="inlineStr"/>
      <c r="E2284">
        <f>HYPERLINK("https://www.ncbi.nlm.nih.gov/gene/?term=XP_018109465.1", "XP_018109465.1")</f>
        <v/>
      </c>
      <c r="F2284" t="n">
        <v>87.59999999999999</v>
      </c>
      <c r="G2284" t="n">
        <v>370</v>
      </c>
      <c r="H2284" t="n">
        <v>1.39e-231</v>
      </c>
      <c r="I2284" t="inlineStr">
        <is>
          <t>Nr</t>
        </is>
      </c>
      <c r="J2284" t="inlineStr"/>
      <c r="K2284" t="inlineStr"/>
      <c r="L2284" t="inlineStr">
        <is>
          <t>XP_018109465.1 caytaxin isoform X1 [Xenopus laevis]</t>
        </is>
      </c>
      <c r="M2284" t="n">
        <v>360</v>
      </c>
      <c r="N2284" t="inlineStr">
        <is>
          <t>Xenopus laevis</t>
        </is>
      </c>
      <c r="O2284" t="inlineStr">
        <is>
          <t>caytaxin isoform X1</t>
        </is>
      </c>
    </row>
    <row r="2285">
      <c r="A2285" t="inlineStr"/>
      <c r="B2285" t="inlineStr"/>
      <c r="C2285" t="inlineStr"/>
      <c r="D2285" t="inlineStr"/>
      <c r="E2285">
        <f>HYPERLINK("https://www.ncbi.nlm.nih.gov/gene/?term=KAE8631357.1", "KAE8631357.1")</f>
        <v/>
      </c>
      <c r="F2285" t="n">
        <v>91.3</v>
      </c>
      <c r="G2285" t="n">
        <v>355</v>
      </c>
      <c r="H2285" t="n">
        <v>2.75e-231</v>
      </c>
      <c r="I2285" t="inlineStr">
        <is>
          <t>Nr</t>
        </is>
      </c>
      <c r="J2285" t="inlineStr"/>
      <c r="K2285" t="inlineStr"/>
      <c r="L2285" t="inlineStr">
        <is>
          <t>KAE8631357.1 hypothetical protein XENTR_v10001163 [Xenopus tropicalis]</t>
        </is>
      </c>
      <c r="M2285" t="n">
        <v>350</v>
      </c>
      <c r="N2285" t="inlineStr">
        <is>
          <t>Xenopus tropicalis</t>
        </is>
      </c>
      <c r="O2285" t="inlineStr">
        <is>
          <t>hypothetical protein XENTR_v10001163</t>
        </is>
      </c>
    </row>
    <row r="2286">
      <c r="A2286" t="inlineStr"/>
      <c r="B2286" t="inlineStr"/>
      <c r="C2286" t="inlineStr"/>
      <c r="D2286" t="inlineStr"/>
      <c r="E2286">
        <f>HYPERLINK("https://www.uniprot.org/uniprotkb/A0A8C5M1M3/entry", "A0A8C5M1M3")</f>
        <v/>
      </c>
      <c r="F2286" t="n">
        <v>90.59999999999999</v>
      </c>
      <c r="G2286" t="n">
        <v>360</v>
      </c>
      <c r="H2286" t="n">
        <v>2.89e-229</v>
      </c>
      <c r="I2286" t="inlineStr">
        <is>
          <t>TrEMBL</t>
        </is>
      </c>
      <c r="J2286" t="inlineStr">
        <is>
          <t>ATCAY</t>
        </is>
      </c>
      <c r="K2286" t="inlineStr">
        <is>
          <t>A0A8C5M1M3_9ANUR</t>
        </is>
      </c>
      <c r="L2286" t="inlineStr">
        <is>
          <t>tr|A0A8C5M1M3|A0A8C5M1M3_9ANUR ATCAY kinesin light chain interacting caytaxin OS=Leptobrachium leishanense OX=445787 GN=ATCAY PE=4 SV=1</t>
        </is>
      </c>
      <c r="M2286" t="n">
        <v>359</v>
      </c>
      <c r="N2286" t="inlineStr">
        <is>
          <t>Leptobrachium leishanense</t>
        </is>
      </c>
      <c r="O2286" t="inlineStr">
        <is>
          <t>ATCAY kinesin light chain interacting caytaxin</t>
        </is>
      </c>
    </row>
    <row r="2287">
      <c r="A2287" t="inlineStr"/>
      <c r="B2287" t="inlineStr"/>
      <c r="C2287" t="inlineStr"/>
      <c r="D2287" t="inlineStr"/>
      <c r="E2287">
        <f>HYPERLINK("https://www.uniprot.org/uniprotkb/A0A8C5M1N8/entry", "A0A8C5M1N8")</f>
        <v/>
      </c>
      <c r="F2287" t="n">
        <v>92.8</v>
      </c>
      <c r="G2287" t="n">
        <v>347</v>
      </c>
      <c r="H2287" t="n">
        <v>4.88e-228</v>
      </c>
      <c r="I2287" t="inlineStr">
        <is>
          <t>TrEMBL</t>
        </is>
      </c>
      <c r="J2287" t="inlineStr">
        <is>
          <t>ATCAY</t>
        </is>
      </c>
      <c r="K2287" t="inlineStr">
        <is>
          <t>A0A8C5M1N8_9ANUR</t>
        </is>
      </c>
      <c r="L2287" t="inlineStr">
        <is>
          <t>tr|A0A8C5M1N8|A0A8C5M1N8_9ANUR ATCAY kinesin light chain interacting caytaxin OS=Leptobrachium leishanense OX=445787 GN=ATCAY PE=4 SV=1</t>
        </is>
      </c>
      <c r="M2287" t="n">
        <v>369</v>
      </c>
      <c r="N2287" t="inlineStr">
        <is>
          <t>Leptobrachium leishanense</t>
        </is>
      </c>
      <c r="O2287" t="inlineStr">
        <is>
          <t>ATCAY kinesin light chain interacting caytaxin</t>
        </is>
      </c>
    </row>
    <row r="2288">
      <c r="A2288" t="inlineStr"/>
      <c r="B2288" t="inlineStr"/>
      <c r="C2288" t="inlineStr"/>
      <c r="D2288" t="inlineStr"/>
      <c r="E2288">
        <f>HYPERLINK("https://www.ncbi.nlm.nih.gov/gene/?term=KAE8631358.1", "KAE8631358.1")</f>
        <v/>
      </c>
      <c r="F2288" t="n">
        <v>91.40000000000001</v>
      </c>
      <c r="G2288" t="n">
        <v>348</v>
      </c>
      <c r="H2288" t="n">
        <v>1.13e-227</v>
      </c>
      <c r="I2288" t="inlineStr">
        <is>
          <t>Nr</t>
        </is>
      </c>
      <c r="J2288" t="inlineStr"/>
      <c r="K2288" t="inlineStr"/>
      <c r="L2288" t="inlineStr">
        <is>
          <t>KAE8631358.1 hypothetical protein XENTR_v10001163 [Xenopus tropicalis]</t>
        </is>
      </c>
      <c r="M2288" t="n">
        <v>338</v>
      </c>
      <c r="N2288" t="inlineStr">
        <is>
          <t>Xenopus tropicalis</t>
        </is>
      </c>
      <c r="O2288" t="inlineStr">
        <is>
          <t>hypothetical protein XENTR_v10001163</t>
        </is>
      </c>
    </row>
    <row r="2289">
      <c r="A2289" t="inlineStr"/>
      <c r="B2289" t="inlineStr"/>
      <c r="C2289" t="inlineStr"/>
      <c r="D2289" t="inlineStr"/>
      <c r="E2289">
        <f>HYPERLINK("https://www.uniprot.org/uniprotkb/A0A8J1M265/entry", "A0A8J1M265")</f>
        <v/>
      </c>
      <c r="F2289" t="n">
        <v>87</v>
      </c>
      <c r="G2289" t="n">
        <v>369</v>
      </c>
      <c r="H2289" t="n">
        <v>8.21e-227</v>
      </c>
      <c r="I2289" t="inlineStr">
        <is>
          <t>TrEMBL</t>
        </is>
      </c>
      <c r="J2289" t="inlineStr">
        <is>
          <t>LOC121399355</t>
        </is>
      </c>
      <c r="K2289" t="inlineStr">
        <is>
          <t>A0A8J1M265_XENLA</t>
        </is>
      </c>
      <c r="L2289" t="inlineStr">
        <is>
          <t>tr|A0A8J1M265|A0A8J1M265_XENLA caytaxin-like isoform X1 OS=Xenopus laevis OX=8355 GN=LOC121399355 PE=4 SV=1</t>
        </is>
      </c>
      <c r="M2289" t="n">
        <v>360</v>
      </c>
      <c r="N2289" t="inlineStr">
        <is>
          <t>Xenopus laevis</t>
        </is>
      </c>
      <c r="O2289" t="inlineStr">
        <is>
          <t>caytaxin-like isoform X1</t>
        </is>
      </c>
    </row>
    <row r="2290">
      <c r="A2290" t="inlineStr"/>
      <c r="B2290" t="inlineStr"/>
      <c r="C2290" t="inlineStr"/>
      <c r="D2290" t="inlineStr"/>
      <c r="E2290">
        <f>HYPERLINK("https://www.ncbi.nlm.nih.gov/gene/?term=XP_041435774.1", "XP_041435774.1")</f>
        <v/>
      </c>
      <c r="F2290" t="n">
        <v>87</v>
      </c>
      <c r="G2290" t="n">
        <v>369</v>
      </c>
      <c r="H2290" t="n">
        <v>2.11e-226</v>
      </c>
      <c r="I2290" t="inlineStr">
        <is>
          <t>Nr</t>
        </is>
      </c>
      <c r="J2290" t="inlineStr"/>
      <c r="K2290" t="inlineStr"/>
      <c r="L2290" t="inlineStr">
        <is>
          <t>XP_041435774.1 caytaxin-like isoform X1 [Xenopus laevis]</t>
        </is>
      </c>
      <c r="M2290" t="n">
        <v>360</v>
      </c>
      <c r="N2290" t="inlineStr">
        <is>
          <t>Xenopus laevis</t>
        </is>
      </c>
      <c r="O2290" t="inlineStr">
        <is>
          <t>caytaxin-like isoform X1</t>
        </is>
      </c>
    </row>
    <row r="2291">
      <c r="A2291" t="inlineStr"/>
      <c r="B2291" t="inlineStr"/>
      <c r="C2291" t="inlineStr"/>
      <c r="D2291" t="inlineStr"/>
      <c r="E2291">
        <f>HYPERLINK("https://www.uniprot.org/uniprotkb/A0A8J0UTX8/entry", "A0A8J0UTX8")</f>
        <v/>
      </c>
      <c r="F2291" t="n">
        <v>89.90000000000001</v>
      </c>
      <c r="G2291" t="n">
        <v>347</v>
      </c>
      <c r="H2291" t="n">
        <v>1.72e-225</v>
      </c>
      <c r="I2291" t="inlineStr">
        <is>
          <t>TrEMBL</t>
        </is>
      </c>
      <c r="J2291" t="inlineStr">
        <is>
          <t>atcay.L</t>
        </is>
      </c>
      <c r="K2291" t="inlineStr">
        <is>
          <t>A0A8J0UTX8_XENLA</t>
        </is>
      </c>
      <c r="L2291" t="inlineStr">
        <is>
          <t>tr|A0A8J0UTX8|A0A8J0UTX8_XENLA caytaxin isoform X2 OS=Xenopus laevis OX=8355 GN=atcay.L PE=4 SV=1</t>
        </is>
      </c>
      <c r="M2291" t="n">
        <v>338</v>
      </c>
      <c r="N2291" t="inlineStr">
        <is>
          <t>Xenopus laevis</t>
        </is>
      </c>
      <c r="O2291" t="inlineStr">
        <is>
          <t>caytaxin isoform X2</t>
        </is>
      </c>
    </row>
    <row r="2292">
      <c r="A2292" t="inlineStr"/>
      <c r="B2292" t="inlineStr"/>
      <c r="C2292" t="inlineStr"/>
      <c r="D2292" t="inlineStr"/>
      <c r="E2292">
        <f>HYPERLINK("https://www.ncbi.nlm.nih.gov/gene/?term=XP_018109471.1", "XP_018109471.1")</f>
        <v/>
      </c>
      <c r="F2292" t="n">
        <v>89.90000000000001</v>
      </c>
      <c r="G2292" t="n">
        <v>347</v>
      </c>
      <c r="H2292" t="n">
        <v>4.41e-225</v>
      </c>
      <c r="I2292" t="inlineStr">
        <is>
          <t>Nr</t>
        </is>
      </c>
      <c r="J2292" t="inlineStr"/>
      <c r="K2292" t="inlineStr"/>
      <c r="L2292" t="inlineStr">
        <is>
          <t>XP_018109471.1 caytaxin isoform X2 [Xenopus laevis]</t>
        </is>
      </c>
      <c r="M2292" t="n">
        <v>338</v>
      </c>
      <c r="N2292" t="inlineStr">
        <is>
          <t>Xenopus laevis</t>
        </is>
      </c>
      <c r="O2292" t="inlineStr">
        <is>
          <t>caytaxin isoform X2</t>
        </is>
      </c>
    </row>
    <row r="2293">
      <c r="A2293" t="inlineStr"/>
      <c r="B2293" t="inlineStr"/>
      <c r="C2293" t="inlineStr"/>
      <c r="D2293" t="inlineStr"/>
      <c r="E2293">
        <f>HYPERLINK("https://www.uniprot.org/uniprotkb/A0A8C5LXH8/entry", "A0A8C5LXH8")</f>
        <v/>
      </c>
      <c r="F2293" t="n">
        <v>95.7</v>
      </c>
      <c r="G2293" t="n">
        <v>326</v>
      </c>
      <c r="H2293" t="n">
        <v>1.76e-224</v>
      </c>
      <c r="I2293" t="inlineStr">
        <is>
          <t>TrEMBL</t>
        </is>
      </c>
      <c r="J2293" t="inlineStr">
        <is>
          <t>ATCAY</t>
        </is>
      </c>
      <c r="K2293" t="inlineStr">
        <is>
          <t>A0A8C5LXH8_9ANUR</t>
        </is>
      </c>
      <c r="L2293" t="inlineStr">
        <is>
          <t>tr|A0A8C5LXH8|A0A8C5LXH8_9ANUR ATCAY kinesin light chain interacting caytaxin OS=Leptobrachium leishanense OX=445787 GN=ATCAY PE=4 SV=1</t>
        </is>
      </c>
      <c r="M2293" t="n">
        <v>344</v>
      </c>
      <c r="N2293" t="inlineStr">
        <is>
          <t>Leptobrachium leishanense</t>
        </is>
      </c>
      <c r="O2293" t="inlineStr">
        <is>
          <t>ATCAY kinesin light chain interacting caytaxin</t>
        </is>
      </c>
    </row>
    <row r="2294">
      <c r="A2294" t="inlineStr"/>
      <c r="B2294" t="inlineStr"/>
      <c r="C2294" t="inlineStr"/>
      <c r="D2294" t="inlineStr"/>
      <c r="E2294">
        <f>HYPERLINK("https://www.uniprot.org/uniprotkb/A0A7K5M8M0/entry", "A0A7K5M8M0")</f>
        <v/>
      </c>
      <c r="F2294" t="n">
        <v>87.8</v>
      </c>
      <c r="G2294" t="n">
        <v>362</v>
      </c>
      <c r="H2294" t="n">
        <v>6.2e-224</v>
      </c>
      <c r="I2294" t="inlineStr">
        <is>
          <t>TrEMBL</t>
        </is>
      </c>
      <c r="J2294" t="inlineStr">
        <is>
          <t>Atcay</t>
        </is>
      </c>
      <c r="K2294" t="inlineStr">
        <is>
          <t>A0A7K5M8M0_CARCD</t>
        </is>
      </c>
      <c r="L2294" t="inlineStr">
        <is>
          <t>tr|A0A7K5M8M0|A0A7K5M8M0_CARCD ATCAY protein (Fragment) OS=Cardinalis cardinalis OX=98964 GN=Atcay PE=4 SV=1</t>
        </is>
      </c>
      <c r="M2294" t="n">
        <v>359</v>
      </c>
      <c r="N2294" t="inlineStr">
        <is>
          <t>Cardinalis cardinalis</t>
        </is>
      </c>
      <c r="O2294" t="inlineStr">
        <is>
          <t>ATCAY protein (Fragment)</t>
        </is>
      </c>
    </row>
    <row r="2295">
      <c r="A2295" t="inlineStr"/>
      <c r="B2295" t="inlineStr"/>
      <c r="C2295" t="inlineStr"/>
      <c r="D2295" t="inlineStr"/>
      <c r="E2295">
        <f>HYPERLINK("https://www.ncbi.nlm.nih.gov/gene/?term=NWT27085.1", "NWT27085.1")</f>
        <v/>
      </c>
      <c r="F2295" t="n">
        <v>87.8</v>
      </c>
      <c r="G2295" t="n">
        <v>362</v>
      </c>
      <c r="H2295" t="n">
        <v>1.59e-223</v>
      </c>
      <c r="I2295" t="inlineStr">
        <is>
          <t>Nr</t>
        </is>
      </c>
      <c r="J2295" t="inlineStr"/>
      <c r="K2295" t="inlineStr"/>
      <c r="L2295" t="inlineStr">
        <is>
          <t>NWT27085.1 ATCAY protein [Cardinalis cardinalis]</t>
        </is>
      </c>
      <c r="M2295" t="n">
        <v>359</v>
      </c>
      <c r="N2295" t="inlineStr">
        <is>
          <t>Cardinalis cardinalis</t>
        </is>
      </c>
      <c r="O2295" t="inlineStr">
        <is>
          <t>ATCAY protein</t>
        </is>
      </c>
    </row>
    <row r="2296">
      <c r="A2296" t="inlineStr"/>
      <c r="B2296" t="inlineStr"/>
      <c r="C2296" t="inlineStr"/>
      <c r="D2296" t="inlineStr"/>
      <c r="E2296">
        <f>HYPERLINK("https://www.uniprot.org/uniprotkb/F6Z459/entry", "F6Z459")</f>
        <v/>
      </c>
      <c r="F2296" t="n">
        <v>94.5</v>
      </c>
      <c r="G2296" t="n">
        <v>326</v>
      </c>
      <c r="H2296" t="n">
        <v>2.18e-223</v>
      </c>
      <c r="I2296" t="inlineStr">
        <is>
          <t>TrEMBL</t>
        </is>
      </c>
      <c r="J2296" t="inlineStr">
        <is>
          <t>atcay</t>
        </is>
      </c>
      <c r="K2296" t="inlineStr">
        <is>
          <t>F6Z459_XENTR</t>
        </is>
      </c>
      <c r="L2296" t="inlineStr">
        <is>
          <t>tr|F6Z459|F6Z459_XENTR Ataxia, cerebellar, Cayman type OS=Xenopus tropicalis OX=8364 GN=atcay PE=4 SV=4</t>
        </is>
      </c>
      <c r="M2296" t="n">
        <v>374</v>
      </c>
      <c r="N2296" t="inlineStr">
        <is>
          <t>Xenopus tropicalis</t>
        </is>
      </c>
      <c r="O2296" t="inlineStr">
        <is>
          <t>Ataxia, cerebellar, Cayman type</t>
        </is>
      </c>
    </row>
    <row r="2297">
      <c r="A2297" t="inlineStr"/>
      <c r="B2297" t="inlineStr"/>
      <c r="C2297" t="inlineStr"/>
      <c r="D2297" t="inlineStr"/>
      <c r="E2297">
        <f>HYPERLINK("https://www.uniprot.org/uniprotkb/A0A6I8SKB4/entry", "A0A6I8SKB4")</f>
        <v/>
      </c>
      <c r="F2297" t="n">
        <v>94.5</v>
      </c>
      <c r="G2297" t="n">
        <v>326</v>
      </c>
      <c r="H2297" t="n">
        <v>3.27e-223</v>
      </c>
      <c r="I2297" t="inlineStr">
        <is>
          <t>TrEMBL</t>
        </is>
      </c>
      <c r="J2297" t="inlineStr">
        <is>
          <t>atcay</t>
        </is>
      </c>
      <c r="K2297" t="inlineStr">
        <is>
          <t>A0A6I8SKB4_XENTR</t>
        </is>
      </c>
      <c r="L2297" t="inlineStr">
        <is>
          <t>tr|A0A6I8SKB4|A0A6I8SKB4_XENTR Ataxia, cerebellar, Cayman type OS=Xenopus tropicalis OX=8364 GN=atcay PE=4 SV=2</t>
        </is>
      </c>
      <c r="M2297" t="n">
        <v>385</v>
      </c>
      <c r="N2297" t="inlineStr">
        <is>
          <t>Xenopus tropicalis</t>
        </is>
      </c>
      <c r="O2297" t="inlineStr">
        <is>
          <t>Ataxia, cerebellar, Cayman type</t>
        </is>
      </c>
    </row>
    <row r="2298">
      <c r="A2298" t="inlineStr"/>
      <c r="B2298" t="inlineStr"/>
      <c r="C2298" t="inlineStr"/>
      <c r="D2298" t="inlineStr"/>
      <c r="E2298">
        <f>HYPERLINK("https://www.ncbi.nlm.nih.gov/gene/?term=OCT97420.1", "OCT97420.1")</f>
        <v/>
      </c>
      <c r="F2298" t="n">
        <v>89</v>
      </c>
      <c r="G2298" t="n">
        <v>354</v>
      </c>
      <c r="H2298" t="n">
        <v>4.64e-223</v>
      </c>
      <c r="I2298" t="inlineStr">
        <is>
          <t>Nr</t>
        </is>
      </c>
      <c r="J2298" t="inlineStr"/>
      <c r="K2298" t="inlineStr"/>
      <c r="L2298" t="inlineStr">
        <is>
          <t>OCT97420.1 hypothetical protein XELAEV_18009642mg [Xenopus laevis]</t>
        </is>
      </c>
      <c r="M2298" t="n">
        <v>350</v>
      </c>
      <c r="N2298" t="inlineStr">
        <is>
          <t>Xenopus laevis</t>
        </is>
      </c>
      <c r="O2298" t="inlineStr">
        <is>
          <t>hypothetical protein XELAEV_18009642mg</t>
        </is>
      </c>
    </row>
    <row r="2299">
      <c r="A2299" t="inlineStr"/>
      <c r="B2299" t="inlineStr"/>
      <c r="C2299" t="inlineStr"/>
      <c r="D2299" t="inlineStr"/>
      <c r="E2299">
        <f>HYPERLINK("https://www.ncbi.nlm.nih.gov/gene/?term=XP_029470158.1", "XP_029470158.1")</f>
        <v/>
      </c>
      <c r="F2299" t="n">
        <v>89.59999999999999</v>
      </c>
      <c r="G2299" t="n">
        <v>356</v>
      </c>
      <c r="H2299" t="n">
        <v>4.81e-223</v>
      </c>
      <c r="I2299" t="inlineStr">
        <is>
          <t>Nr</t>
        </is>
      </c>
      <c r="J2299" t="inlineStr"/>
      <c r="K2299" t="inlineStr"/>
      <c r="L2299" t="inlineStr">
        <is>
          <t>XP_029470158.1 caytaxin [Rhinatrema bivittatum]</t>
        </is>
      </c>
      <c r="M2299" t="n">
        <v>351</v>
      </c>
      <c r="N2299" t="inlineStr">
        <is>
          <t>Rhinatrema bivittatum</t>
        </is>
      </c>
      <c r="O2299" t="inlineStr">
        <is>
          <t>caytaxin</t>
        </is>
      </c>
    </row>
    <row r="2300">
      <c r="A2300" t="inlineStr"/>
      <c r="B2300" t="inlineStr"/>
      <c r="C2300" t="inlineStr"/>
      <c r="D2300" t="inlineStr"/>
      <c r="E2300">
        <f>HYPERLINK("https://www.uniprot.org/uniprotkb/A0A8C3MBK1/entry", "A0A8C3MBK1")</f>
        <v/>
      </c>
      <c r="F2300" t="n">
        <v>87.59999999999999</v>
      </c>
      <c r="G2300" t="n">
        <v>362</v>
      </c>
      <c r="H2300" t="n">
        <v>5.680000000000001e-223</v>
      </c>
      <c r="I2300" t="inlineStr">
        <is>
          <t>TrEMBL</t>
        </is>
      </c>
      <c r="J2300" t="inlineStr">
        <is>
          <t>ATCAY</t>
        </is>
      </c>
      <c r="K2300" t="inlineStr">
        <is>
          <t>A0A8C3MBK1_GEOPR</t>
        </is>
      </c>
      <c r="L2300" t="inlineStr">
        <is>
          <t>tr|A0A8C3MBK1|A0A8C3MBK1_GEOPR ATCAY kinesin light chain interacting caytaxin OS=Geospiza parvula OX=87175 GN=ATCAY PE=4 SV=1</t>
        </is>
      </c>
      <c r="M2300" t="n">
        <v>362</v>
      </c>
      <c r="N2300" t="inlineStr">
        <is>
          <t>Geospiza parvula</t>
        </is>
      </c>
      <c r="O2300" t="inlineStr">
        <is>
          <t>ATCAY kinesin light chain interacting caytaxin</t>
        </is>
      </c>
    </row>
    <row r="2301">
      <c r="A2301" t="inlineStr"/>
      <c r="B2301" t="inlineStr"/>
      <c r="C2301" t="inlineStr"/>
      <c r="D2301" t="inlineStr"/>
      <c r="E2301">
        <f>HYPERLINK("https://www.ncbi.nlm.nih.gov/gene/?term=XP_030822698.1", "XP_030822698.1")</f>
        <v/>
      </c>
      <c r="F2301" t="n">
        <v>87.59999999999999</v>
      </c>
      <c r="G2301" t="n">
        <v>362</v>
      </c>
      <c r="H2301" t="n">
        <v>1.46e-222</v>
      </c>
      <c r="I2301" t="inlineStr">
        <is>
          <t>Nr</t>
        </is>
      </c>
      <c r="J2301" t="inlineStr"/>
      <c r="K2301" t="inlineStr"/>
      <c r="L2301" t="inlineStr">
        <is>
          <t>XP_030822698.1 caytaxin isoform X1 [Camarhynchus parvulus]</t>
        </is>
      </c>
      <c r="M2301" t="n">
        <v>362</v>
      </c>
      <c r="N2301" t="inlineStr">
        <is>
          <t>Camarhynchus parvulus</t>
        </is>
      </c>
      <c r="O2301" t="inlineStr">
        <is>
          <t>caytaxin isoform X1</t>
        </is>
      </c>
    </row>
    <row r="2302">
      <c r="A2302" t="inlineStr"/>
      <c r="B2302" t="inlineStr"/>
      <c r="C2302" t="inlineStr"/>
      <c r="D2302" t="inlineStr"/>
      <c r="E2302">
        <f>HYPERLINK("https://www.uniprot.org/uniprotkb/A0A7L1N131/entry", "A0A7L1N131")</f>
        <v/>
      </c>
      <c r="F2302" t="n">
        <v>87.59999999999999</v>
      </c>
      <c r="G2302" t="n">
        <v>362</v>
      </c>
      <c r="H2302" t="n">
        <v>1.46e-222</v>
      </c>
      <c r="I2302" t="inlineStr">
        <is>
          <t>TrEMBL</t>
        </is>
      </c>
      <c r="J2302" t="inlineStr">
        <is>
          <t>Atcay</t>
        </is>
      </c>
      <c r="K2302" t="inlineStr">
        <is>
          <t>A0A7L1N131_RHICY</t>
        </is>
      </c>
      <c r="L2302" t="inlineStr">
        <is>
          <t>tr|A0A7L1N131|A0A7L1N131_RHICY ATCAY protein (Fragment) OS=Rhinopomastus cyanomelas OX=113115 GN=Atcay PE=4 SV=1</t>
        </is>
      </c>
      <c r="M2302" t="n">
        <v>359</v>
      </c>
      <c r="N2302" t="inlineStr">
        <is>
          <t>Rhinopomastus cyanomelas</t>
        </is>
      </c>
      <c r="O2302" t="inlineStr">
        <is>
          <t>ATCAY protein (Fragment)</t>
        </is>
      </c>
    </row>
    <row r="2303">
      <c r="A2303" t="inlineStr"/>
      <c r="B2303" t="inlineStr"/>
      <c r="C2303" t="inlineStr"/>
      <c r="D2303" t="inlineStr"/>
      <c r="E2303">
        <f>HYPERLINK("https://www.uniprot.org/uniprotkb/A0A8B7JBX3/entry", "A0A8B7JBX3")</f>
        <v/>
      </c>
      <c r="F2303" t="n">
        <v>87.59999999999999</v>
      </c>
      <c r="G2303" t="n">
        <v>362</v>
      </c>
      <c r="H2303" t="n">
        <v>2.31e-222</v>
      </c>
      <c r="I2303" t="inlineStr">
        <is>
          <t>TrEMBL</t>
        </is>
      </c>
      <c r="J2303" t="inlineStr">
        <is>
          <t>ATCAY</t>
        </is>
      </c>
      <c r="K2303" t="inlineStr">
        <is>
          <t>A0A8B7JBX3_9AVES</t>
        </is>
      </c>
      <c r="L2303" t="inlineStr">
        <is>
          <t>tr|A0A8B7JBX3|A0A8B7JBX3_9AVES caytaxin OS=Apteryx mantelli mantelli OX=202946 GN=ATCAY PE=4 SV=1</t>
        </is>
      </c>
      <c r="M2303" t="n">
        <v>362</v>
      </c>
      <c r="N2303" t="inlineStr">
        <is>
          <t>Apteryx mantelli mantelli</t>
        </is>
      </c>
      <c r="O2303" t="inlineStr">
        <is>
          <t>caytaxin</t>
        </is>
      </c>
    </row>
    <row r="2304">
      <c r="A2304" t="inlineStr"/>
      <c r="B2304" t="inlineStr"/>
      <c r="C2304" t="inlineStr"/>
      <c r="D2304" t="inlineStr"/>
      <c r="E2304">
        <f>HYPERLINK("https://www.uniprot.org/uniprotkb/A0A7K5BWP5/entry", "A0A7K5BWP5")</f>
        <v/>
      </c>
      <c r="F2304" t="n">
        <v>87.3</v>
      </c>
      <c r="G2304" t="n">
        <v>362</v>
      </c>
      <c r="H2304" t="n">
        <v>2.94e-222</v>
      </c>
      <c r="I2304" t="inlineStr">
        <is>
          <t>TrEMBL</t>
        </is>
      </c>
      <c r="J2304" t="inlineStr">
        <is>
          <t>Atcay</t>
        </is>
      </c>
      <c r="K2304" t="inlineStr">
        <is>
          <t>A0A7K5BWP5_MOTAL</t>
        </is>
      </c>
      <c r="L2304" t="inlineStr">
        <is>
          <t>tr|A0A7K5BWP5|A0A7K5BWP5_MOTAL ATCAY protein (Fragment) OS=Motacilla alba OX=45807 GN=Atcay PE=4 SV=1</t>
        </is>
      </c>
      <c r="M2304" t="n">
        <v>359</v>
      </c>
      <c r="N2304" t="inlineStr">
        <is>
          <t>Motacilla alba</t>
        </is>
      </c>
      <c r="O2304" t="inlineStr">
        <is>
          <t>ATCAY protein (Fragment)</t>
        </is>
      </c>
    </row>
    <row r="2305">
      <c r="A2305" t="inlineStr"/>
      <c r="B2305" t="inlineStr"/>
      <c r="C2305" t="inlineStr"/>
      <c r="D2305" t="inlineStr"/>
      <c r="E2305">
        <f>HYPERLINK("https://www.ncbi.nlm.nih.gov/gene/?term=NXN92523.1", "NXN92523.1")</f>
        <v/>
      </c>
      <c r="F2305" t="n">
        <v>87.59999999999999</v>
      </c>
      <c r="G2305" t="n">
        <v>362</v>
      </c>
      <c r="H2305" t="n">
        <v>3.74e-222</v>
      </c>
      <c r="I2305" t="inlineStr">
        <is>
          <t>Nr</t>
        </is>
      </c>
      <c r="J2305" t="inlineStr"/>
      <c r="K2305" t="inlineStr"/>
      <c r="L2305" t="inlineStr">
        <is>
          <t>NXN92523.1 ATCAY protein [Rhinopomastus cyanomelas]</t>
        </is>
      </c>
      <c r="M2305" t="n">
        <v>359</v>
      </c>
      <c r="N2305" t="inlineStr">
        <is>
          <t>Rhinopomastus cyanomelas</t>
        </is>
      </c>
      <c r="O2305" t="inlineStr">
        <is>
          <t>ATCAY protein</t>
        </is>
      </c>
    </row>
    <row r="2306">
      <c r="A2306" t="inlineStr"/>
      <c r="B2306" t="inlineStr"/>
      <c r="C2306" t="inlineStr"/>
      <c r="D2306" t="inlineStr"/>
      <c r="E2306">
        <f>HYPERLINK("https://www.uniprot.org/uniprotkb/A0A7L2XA19/entry", "A0A7L2XA19")</f>
        <v/>
      </c>
      <c r="F2306" t="n">
        <v>87.3</v>
      </c>
      <c r="G2306" t="n">
        <v>362</v>
      </c>
      <c r="H2306" t="n">
        <v>4.17e-222</v>
      </c>
      <c r="I2306" t="inlineStr">
        <is>
          <t>TrEMBL</t>
        </is>
      </c>
      <c r="J2306" t="inlineStr">
        <is>
          <t>Atcay</t>
        </is>
      </c>
      <c r="K2306" t="inlineStr">
        <is>
          <t>A0A7L2XA19_9PASS</t>
        </is>
      </c>
      <c r="L2306" t="inlineStr">
        <is>
          <t>tr|A0A7L2XA19|A0A7L2XA19_9PASS ATCAY protein (Fragment) OS=Erpornis zantholeuca OX=1112836 GN=Atcay PE=4 SV=1</t>
        </is>
      </c>
      <c r="M2306" t="n">
        <v>359</v>
      </c>
      <c r="N2306" t="inlineStr">
        <is>
          <t>Erpornis zantholeuca</t>
        </is>
      </c>
      <c r="O2306" t="inlineStr">
        <is>
          <t>ATCAY protein (Fragment)</t>
        </is>
      </c>
    </row>
    <row r="2307">
      <c r="A2307" t="inlineStr"/>
      <c r="B2307" t="inlineStr"/>
      <c r="C2307" t="inlineStr"/>
      <c r="D2307" t="inlineStr"/>
      <c r="E2307">
        <f>HYPERLINK("https://www.ncbi.nlm.nih.gov/gene/?term=XP_013807443.1", "XP_013807443.1")</f>
        <v/>
      </c>
      <c r="F2307" t="n">
        <v>87.59999999999999</v>
      </c>
      <c r="G2307" t="n">
        <v>362</v>
      </c>
      <c r="H2307" t="n">
        <v>5.94e-222</v>
      </c>
      <c r="I2307" t="inlineStr">
        <is>
          <t>Nr</t>
        </is>
      </c>
      <c r="J2307" t="inlineStr"/>
      <c r="K2307" t="inlineStr"/>
      <c r="L2307" t="inlineStr">
        <is>
          <t>XP_013807443.1 PREDICTED: caytaxin [Apteryx mantelli mantelli]</t>
        </is>
      </c>
      <c r="M2307" t="n">
        <v>362</v>
      </c>
      <c r="N2307" t="inlineStr">
        <is>
          <t>Apteryx mantelli mantelli</t>
        </is>
      </c>
      <c r="O2307" t="inlineStr">
        <is>
          <t>PREDICTED: caytaxin</t>
        </is>
      </c>
    </row>
    <row r="2308">
      <c r="A2308" t="inlineStr"/>
      <c r="B2308" t="inlineStr"/>
      <c r="C2308" t="inlineStr"/>
      <c r="D2308" t="inlineStr"/>
      <c r="E2308">
        <f>HYPERLINK("https://www.ncbi.nlm.nih.gov/gene/?term=NWS00436.1", "NWS00436.1")</f>
        <v/>
      </c>
      <c r="F2308" t="n">
        <v>87.3</v>
      </c>
      <c r="G2308" t="n">
        <v>362</v>
      </c>
      <c r="H2308" t="n">
        <v>7.550000000000001e-222</v>
      </c>
      <c r="I2308" t="inlineStr">
        <is>
          <t>Nr</t>
        </is>
      </c>
      <c r="J2308" t="inlineStr"/>
      <c r="K2308" t="inlineStr"/>
      <c r="L2308" t="inlineStr">
        <is>
          <t>NWS00436.1 ATCAY protein [Motacilla alba]</t>
        </is>
      </c>
      <c r="M2308" t="n">
        <v>359</v>
      </c>
      <c r="N2308" t="inlineStr">
        <is>
          <t>Motacilla alba</t>
        </is>
      </c>
      <c r="O2308" t="inlineStr">
        <is>
          <t>ATCAY protein</t>
        </is>
      </c>
    </row>
    <row r="2309">
      <c r="A2309" t="inlineStr"/>
      <c r="B2309" t="inlineStr"/>
      <c r="C2309" t="inlineStr"/>
      <c r="D2309" t="inlineStr"/>
      <c r="E2309">
        <f>HYPERLINK("https://www.uniprot.org/uniprotkb/A0A7K8FTI3/entry", "A0A7K8FTI3")</f>
        <v/>
      </c>
      <c r="F2309" t="n">
        <v>86.8</v>
      </c>
      <c r="G2309" t="n">
        <v>363</v>
      </c>
      <c r="H2309" t="n">
        <v>8.41e-222</v>
      </c>
      <c r="I2309" t="inlineStr">
        <is>
          <t>TrEMBL</t>
        </is>
      </c>
      <c r="J2309" t="inlineStr">
        <is>
          <t>Atcay</t>
        </is>
      </c>
      <c r="K2309" t="inlineStr">
        <is>
          <t>A0A7K8FTI3_9CORV</t>
        </is>
      </c>
      <c r="L2309" t="inlineStr">
        <is>
          <t>tr|A0A7K8FTI3|A0A7K8FTI3_9CORV ATCAY protein (Fragment) OS=Struthidea cinerea OX=181839 GN=Atcay PE=4 SV=1</t>
        </is>
      </c>
      <c r="M2309" t="n">
        <v>359</v>
      </c>
      <c r="N2309" t="inlineStr">
        <is>
          <t>Struthidea cinerea</t>
        </is>
      </c>
      <c r="O2309" t="inlineStr">
        <is>
          <t>ATCAY protein (Fragment)</t>
        </is>
      </c>
    </row>
    <row r="2310">
      <c r="A2310" t="inlineStr"/>
      <c r="B2310" t="inlineStr"/>
      <c r="C2310" t="inlineStr"/>
      <c r="D2310" t="inlineStr"/>
      <c r="E2310">
        <f>HYPERLINK("https://www.uniprot.org/uniprotkb/A0A7K5E483/entry", "A0A7K5E483")</f>
        <v/>
      </c>
      <c r="F2310" t="n">
        <v>87</v>
      </c>
      <c r="G2310" t="n">
        <v>362</v>
      </c>
      <c r="H2310" t="n">
        <v>8.41e-222</v>
      </c>
      <c r="I2310" t="inlineStr">
        <is>
          <t>TrEMBL</t>
        </is>
      </c>
      <c r="J2310" t="inlineStr">
        <is>
          <t>Atcay</t>
        </is>
      </c>
      <c r="K2310" t="inlineStr">
        <is>
          <t>A0A7K5E483_POLCE</t>
        </is>
      </c>
      <c r="L2310" t="inlineStr">
        <is>
          <t>tr|A0A7K5E483|A0A7K5E483_POLCE ATCAY protein (Fragment) OS=Polioptila caerulea OX=66707 GN=Atcay PE=4 SV=1</t>
        </is>
      </c>
      <c r="M2310" t="n">
        <v>359</v>
      </c>
      <c r="N2310" t="inlineStr">
        <is>
          <t>Polioptila caerulea</t>
        </is>
      </c>
      <c r="O2310" t="inlineStr">
        <is>
          <t>ATCAY protein (Fragment)</t>
        </is>
      </c>
    </row>
    <row r="2311">
      <c r="A2311" t="inlineStr"/>
      <c r="B2311" t="inlineStr"/>
      <c r="C2311" t="inlineStr"/>
      <c r="D2311" t="inlineStr"/>
      <c r="E2311">
        <f>HYPERLINK("https://www.uniprot.org/uniprotkb/A0A7K6MUD7/entry", "A0A7K6MUD7")</f>
        <v/>
      </c>
      <c r="F2311" t="n">
        <v>86.8</v>
      </c>
      <c r="G2311" t="n">
        <v>363</v>
      </c>
      <c r="H2311" t="n">
        <v>8.41e-222</v>
      </c>
      <c r="I2311" t="inlineStr">
        <is>
          <t>TrEMBL</t>
        </is>
      </c>
      <c r="J2311" t="inlineStr">
        <is>
          <t>Atcay</t>
        </is>
      </c>
      <c r="K2311" t="inlineStr">
        <is>
          <t>A0A7K6MUD7_PANBI</t>
        </is>
      </c>
      <c r="L2311" t="inlineStr">
        <is>
          <t>tr|A0A7K6MUD7|A0A7K6MUD7_PANBI ATCAY protein (Fragment) OS=Panurus biarmicus OX=181101 GN=Atcay PE=4 SV=1</t>
        </is>
      </c>
      <c r="M2311" t="n">
        <v>359</v>
      </c>
      <c r="N2311" t="inlineStr">
        <is>
          <t>Panurus biarmicus</t>
        </is>
      </c>
      <c r="O2311" t="inlineStr">
        <is>
          <t>ATCAY protein (Fragment)</t>
        </is>
      </c>
    </row>
    <row r="2312">
      <c r="A2312" t="inlineStr"/>
      <c r="B2312" t="inlineStr"/>
      <c r="C2312" t="inlineStr"/>
      <c r="D2312" t="inlineStr"/>
      <c r="E2312">
        <f>HYPERLINK("https://www.ncbi.nlm.nih.gov/gene/?term=XP_032937848.1", "XP_032937848.1")</f>
        <v/>
      </c>
      <c r="F2312" t="n">
        <v>87.3</v>
      </c>
      <c r="G2312" t="n">
        <v>362</v>
      </c>
      <c r="H2312" t="n">
        <v>8.43e-222</v>
      </c>
      <c r="I2312" t="inlineStr">
        <is>
          <t>Nr</t>
        </is>
      </c>
      <c r="J2312" t="inlineStr"/>
      <c r="K2312" t="inlineStr"/>
      <c r="L2312" t="inlineStr">
        <is>
          <t>XP_032937848.1 caytaxin isoform X1 [Catharus ustulatus]</t>
        </is>
      </c>
      <c r="M2312" t="n">
        <v>362</v>
      </c>
      <c r="N2312" t="inlineStr">
        <is>
          <t>Catharus ustulatus</t>
        </is>
      </c>
      <c r="O2312" t="inlineStr">
        <is>
          <t>caytaxin isoform X1</t>
        </is>
      </c>
    </row>
    <row r="2313">
      <c r="A2313" t="inlineStr"/>
      <c r="B2313" t="inlineStr"/>
      <c r="C2313" t="inlineStr"/>
      <c r="D2313" t="inlineStr"/>
      <c r="E2313">
        <f>HYPERLINK("https://www.ncbi.nlm.nih.gov/gene/?term=XP_038019889.1", "XP_038019889.1")</f>
        <v/>
      </c>
      <c r="F2313" t="n">
        <v>87.3</v>
      </c>
      <c r="G2313" t="n">
        <v>362</v>
      </c>
      <c r="H2313" t="n">
        <v>8.43e-222</v>
      </c>
      <c r="I2313" t="inlineStr">
        <is>
          <t>Nr</t>
        </is>
      </c>
      <c r="J2313" t="inlineStr"/>
      <c r="K2313" t="inlineStr"/>
      <c r="L2313" t="inlineStr">
        <is>
          <t>XP_038019889.1 caytaxin isoform X3 [Motacilla alba alba]</t>
        </is>
      </c>
      <c r="M2313" t="n">
        <v>362</v>
      </c>
      <c r="N2313" t="inlineStr">
        <is>
          <t>Motacilla alba alba</t>
        </is>
      </c>
      <c r="O2313" t="inlineStr">
        <is>
          <t>caytaxin isoform X3</t>
        </is>
      </c>
    </row>
    <row r="2314">
      <c r="A2314" t="inlineStr"/>
      <c r="B2314" t="inlineStr"/>
      <c r="C2314" t="inlineStr"/>
      <c r="D2314" t="inlineStr"/>
      <c r="E2314">
        <f>HYPERLINK("https://www.ncbi.nlm.nih.gov/gene/?term=NXS79536.1", "NXS79536.1")</f>
        <v/>
      </c>
      <c r="F2314" t="n">
        <v>87.3</v>
      </c>
      <c r="G2314" t="n">
        <v>362</v>
      </c>
      <c r="H2314" t="n">
        <v>1.07e-221</v>
      </c>
      <c r="I2314" t="inlineStr">
        <is>
          <t>Nr</t>
        </is>
      </c>
      <c r="J2314" t="inlineStr"/>
      <c r="K2314" t="inlineStr"/>
      <c r="L2314" t="inlineStr">
        <is>
          <t>NXS79536.1 ATCAY protein [Erpornis zantholeuca]</t>
        </is>
      </c>
      <c r="M2314" t="n">
        <v>359</v>
      </c>
      <c r="N2314" t="inlineStr">
        <is>
          <t>Erpornis zantholeuca</t>
        </is>
      </c>
      <c r="O2314" t="inlineStr">
        <is>
          <t>ATCAY protein</t>
        </is>
      </c>
    </row>
    <row r="2315">
      <c r="A2315" t="inlineStr"/>
      <c r="B2315" t="inlineStr"/>
      <c r="C2315" t="inlineStr"/>
      <c r="D2315" t="inlineStr"/>
      <c r="E2315">
        <f>HYPERLINK("https://www.ncbi.nlm.nih.gov/gene/?term=XP_030822699.1", "XP_030822699.1")</f>
        <v/>
      </c>
      <c r="F2315" t="n">
        <v>87.5</v>
      </c>
      <c r="G2315" t="n">
        <v>361</v>
      </c>
      <c r="H2315" t="n">
        <v>1.09e-221</v>
      </c>
      <c r="I2315" t="inlineStr">
        <is>
          <t>Nr</t>
        </is>
      </c>
      <c r="J2315" t="inlineStr"/>
      <c r="K2315" t="inlineStr"/>
      <c r="L2315" t="inlineStr">
        <is>
          <t>XP_030822699.1 caytaxin isoform X2 [Camarhynchus parvulus]</t>
        </is>
      </c>
      <c r="M2315" t="n">
        <v>350</v>
      </c>
      <c r="N2315" t="inlineStr">
        <is>
          <t>Camarhynchus parvulus</t>
        </is>
      </c>
      <c r="O2315" t="inlineStr">
        <is>
          <t>caytaxin isoform X2</t>
        </is>
      </c>
    </row>
    <row r="2316">
      <c r="A2316" t="inlineStr"/>
      <c r="B2316" t="inlineStr"/>
      <c r="C2316" t="inlineStr"/>
      <c r="D2316" t="inlineStr"/>
      <c r="E2316">
        <f>HYPERLINK("https://www.uniprot.org/uniprotkb/A0A7K5SLY1/entry", "A0A7K5SLY1")</f>
        <v/>
      </c>
      <c r="F2316" t="n">
        <v>87</v>
      </c>
      <c r="G2316" t="n">
        <v>362</v>
      </c>
      <c r="H2316" t="n">
        <v>1.19e-221</v>
      </c>
      <c r="I2316" t="inlineStr">
        <is>
          <t>TrEMBL</t>
        </is>
      </c>
      <c r="J2316" t="inlineStr">
        <is>
          <t>Atcay</t>
        </is>
      </c>
      <c r="K2316" t="inlineStr">
        <is>
          <t>A0A7K5SLY1_9FRIN</t>
        </is>
      </c>
      <c r="L2316" t="inlineStr">
        <is>
          <t>tr|A0A7K5SLY1|A0A7K5SLY1_9FRIN ATCAY protein (Fragment) OS=Urocynchramus pylzowi OX=571890 GN=Atcay PE=4 SV=1</t>
        </is>
      </c>
      <c r="M2316" t="n">
        <v>359</v>
      </c>
      <c r="N2316" t="inlineStr">
        <is>
          <t>Urocynchramus pylzowi</t>
        </is>
      </c>
      <c r="O2316" t="inlineStr">
        <is>
          <t>ATCAY protein (Fragment)</t>
        </is>
      </c>
    </row>
    <row r="2317">
      <c r="A2317" t="inlineStr"/>
      <c r="B2317" t="inlineStr"/>
      <c r="C2317" t="inlineStr"/>
      <c r="D2317" t="inlineStr"/>
      <c r="E2317">
        <f>HYPERLINK("https://www.uniprot.org/uniprotkb/A0A7K8DB08/entry", "A0A7K8DB08")</f>
        <v/>
      </c>
      <c r="F2317" t="n">
        <v>87</v>
      </c>
      <c r="G2317" t="n">
        <v>362</v>
      </c>
      <c r="H2317" t="n">
        <v>1.19e-221</v>
      </c>
      <c r="I2317" t="inlineStr">
        <is>
          <t>TrEMBL</t>
        </is>
      </c>
      <c r="J2317" t="inlineStr">
        <is>
          <t>Atcay</t>
        </is>
      </c>
      <c r="K2317" t="inlineStr">
        <is>
          <t>A0A7K8DB08_9CORV</t>
        </is>
      </c>
      <c r="L2317" t="inlineStr">
        <is>
          <t>tr|A0A7K8DB08|A0A7K8DB08_9CORV ATCAY protein (Fragment) OS=Eulacestoma nigropectus OX=461239 GN=Atcay PE=4 SV=1</t>
        </is>
      </c>
      <c r="M2317" t="n">
        <v>359</v>
      </c>
      <c r="N2317" t="inlineStr">
        <is>
          <t>Eulacestoma nigropectus</t>
        </is>
      </c>
      <c r="O2317" t="inlineStr">
        <is>
          <t>ATCAY protein (Fragment)</t>
        </is>
      </c>
    </row>
    <row r="2318">
      <c r="A2318" t="inlineStr"/>
      <c r="B2318" t="inlineStr"/>
      <c r="C2318" t="inlineStr"/>
      <c r="D2318" t="inlineStr"/>
      <c r="E2318">
        <f>HYPERLINK("https://www.uniprot.org/uniprotkb/A0A7K9LEV2/entry", "A0A7K9LEV2")</f>
        <v/>
      </c>
      <c r="F2318" t="n">
        <v>87</v>
      </c>
      <c r="G2318" t="n">
        <v>362</v>
      </c>
      <c r="H2318" t="n">
        <v>1.19e-221</v>
      </c>
      <c r="I2318" t="inlineStr">
        <is>
          <t>TrEMBL</t>
        </is>
      </c>
      <c r="J2318" t="inlineStr">
        <is>
          <t>Atcay</t>
        </is>
      </c>
      <c r="K2318" t="inlineStr">
        <is>
          <t>A0A7K9LEV2_9PASS</t>
        </is>
      </c>
      <c r="L2318" t="inlineStr">
        <is>
          <t>tr|A0A7K9LEV2|A0A7K9LEV2_9PASS ATCAY protein (Fragment) OS=Rhabdornis inornatus OX=237438 GN=Atcay PE=4 SV=1</t>
        </is>
      </c>
      <c r="M2318" t="n">
        <v>359</v>
      </c>
      <c r="N2318" t="inlineStr">
        <is>
          <t>Rhabdornis inornatus</t>
        </is>
      </c>
      <c r="O2318" t="inlineStr">
        <is>
          <t>ATCAY protein (Fragment)</t>
        </is>
      </c>
    </row>
    <row r="2319">
      <c r="A2319" t="inlineStr"/>
      <c r="B2319" t="inlineStr"/>
      <c r="C2319" t="inlineStr"/>
      <c r="D2319" t="inlineStr"/>
      <c r="E2319">
        <f>HYPERLINK("https://www.ncbi.nlm.nih.gov/gene/?term=XP_039942729.1", "XP_039942729.1")</f>
        <v/>
      </c>
      <c r="F2319" t="n">
        <v>87.3</v>
      </c>
      <c r="G2319" t="n">
        <v>362</v>
      </c>
      <c r="H2319" t="n">
        <v>1.2e-221</v>
      </c>
      <c r="I2319" t="inlineStr">
        <is>
          <t>Nr</t>
        </is>
      </c>
      <c r="J2319" t="inlineStr"/>
      <c r="K2319" t="inlineStr"/>
      <c r="L2319" t="inlineStr">
        <is>
          <t>XP_039942729.1 caytaxin isoform X6 [Hirundo rustica]</t>
        </is>
      </c>
      <c r="M2319" t="n">
        <v>362</v>
      </c>
      <c r="N2319" t="inlineStr">
        <is>
          <t>Hirundo rustica</t>
        </is>
      </c>
      <c r="O2319" t="inlineStr">
        <is>
          <t>caytaxin isoform X6</t>
        </is>
      </c>
    </row>
    <row r="2320">
      <c r="A2320" t="inlineStr"/>
      <c r="B2320" t="inlineStr"/>
      <c r="C2320" t="inlineStr"/>
      <c r="D2320" t="inlineStr"/>
      <c r="E2320">
        <f>HYPERLINK("https://www.ncbi.nlm.nih.gov/gene/?term=XP_014742638.1", "XP_014742638.1")</f>
        <v/>
      </c>
      <c r="F2320" t="n">
        <v>87.3</v>
      </c>
      <c r="G2320" t="n">
        <v>362</v>
      </c>
      <c r="H2320" t="n">
        <v>1.41e-221</v>
      </c>
      <c r="I2320" t="inlineStr">
        <is>
          <t>Nr</t>
        </is>
      </c>
      <c r="J2320" t="inlineStr"/>
      <c r="K2320" t="inlineStr"/>
      <c r="L2320" t="inlineStr">
        <is>
          <t>XP_014742638.1 PREDICTED: caytaxin [Sturnus vulgaris]</t>
        </is>
      </c>
      <c r="M2320" t="n">
        <v>376</v>
      </c>
      <c r="N2320" t="inlineStr">
        <is>
          <t>Sturnus vulgaris</t>
        </is>
      </c>
      <c r="O2320" t="inlineStr">
        <is>
          <t>PREDICTED: caytaxin</t>
        </is>
      </c>
    </row>
    <row r="2321">
      <c r="A2321" t="inlineStr"/>
      <c r="B2321" t="inlineStr"/>
      <c r="C2321" t="inlineStr"/>
      <c r="D2321" t="inlineStr"/>
      <c r="E2321">
        <f>HYPERLINK("https://www.ncbi.nlm.nih.gov/gene/?term=XP_039942728.1", "XP_039942728.1")</f>
        <v/>
      </c>
      <c r="F2321" t="n">
        <v>87.3</v>
      </c>
      <c r="G2321" t="n">
        <v>362</v>
      </c>
      <c r="H2321" t="n">
        <v>1.87e-221</v>
      </c>
      <c r="I2321" t="inlineStr">
        <is>
          <t>Nr</t>
        </is>
      </c>
      <c r="J2321" t="inlineStr"/>
      <c r="K2321" t="inlineStr"/>
      <c r="L2321" t="inlineStr">
        <is>
          <t>XP_039942728.1 caytaxin isoform X5 [Hirundo rustica]</t>
        </is>
      </c>
      <c r="M2321" t="n">
        <v>374</v>
      </c>
      <c r="N2321" t="inlineStr">
        <is>
          <t>Hirundo rustica</t>
        </is>
      </c>
      <c r="O2321" t="inlineStr">
        <is>
          <t>caytaxin isoform X5</t>
        </is>
      </c>
    </row>
    <row r="2322">
      <c r="A2322" t="inlineStr"/>
      <c r="B2322" t="inlineStr"/>
      <c r="C2322" t="inlineStr"/>
      <c r="D2322" t="inlineStr"/>
      <c r="E2322">
        <f>HYPERLINK("https://www.ncbi.nlm.nih.gov/gene/?term=NWS27538.1", "NWS27538.1")</f>
        <v/>
      </c>
      <c r="F2322" t="n">
        <v>87</v>
      </c>
      <c r="G2322" t="n">
        <v>362</v>
      </c>
      <c r="H2322" t="n">
        <v>2.16e-221</v>
      </c>
      <c r="I2322" t="inlineStr">
        <is>
          <t>Nr</t>
        </is>
      </c>
      <c r="J2322" t="inlineStr"/>
      <c r="K2322" t="inlineStr"/>
      <c r="L2322" t="inlineStr">
        <is>
          <t>NWS27538.1 ATCAY protein [Polioptila caerulea]</t>
        </is>
      </c>
      <c r="M2322" t="n">
        <v>359</v>
      </c>
      <c r="N2322" t="inlineStr">
        <is>
          <t>Polioptila caerulea</t>
        </is>
      </c>
      <c r="O2322" t="inlineStr">
        <is>
          <t>ATCAY protein</t>
        </is>
      </c>
    </row>
    <row r="2323">
      <c r="A2323" t="inlineStr"/>
      <c r="B2323" t="inlineStr"/>
      <c r="C2323" t="inlineStr"/>
      <c r="D2323" t="inlineStr"/>
      <c r="E2323">
        <f>HYPERLINK("https://www.uniprot.org/uniprotkb/Q86WG3/entry", "Q86WG3")</f>
        <v/>
      </c>
      <c r="F2323" t="n">
        <v>84.3</v>
      </c>
      <c r="G2323" t="n">
        <v>369</v>
      </c>
      <c r="H2323" t="n">
        <v>6.5e-215</v>
      </c>
      <c r="I2323" t="inlineStr">
        <is>
          <t>Swiss-Prot</t>
        </is>
      </c>
      <c r="J2323" t="inlineStr">
        <is>
          <t>ATCAY</t>
        </is>
      </c>
      <c r="K2323" t="inlineStr">
        <is>
          <t>ATCAY_HUMAN</t>
        </is>
      </c>
      <c r="L2323" t="inlineStr">
        <is>
          <t>sp|Q86WG3|ATCAY_HUMAN Caytaxin OS=Homo sapiens OX=9606 GN=ATCAY PE=1 SV=2</t>
        </is>
      </c>
      <c r="M2323" t="n">
        <v>371</v>
      </c>
      <c r="N2323" t="inlineStr">
        <is>
          <t>Homo sapiens</t>
        </is>
      </c>
      <c r="O2323" t="inlineStr">
        <is>
          <t>Caytaxin</t>
        </is>
      </c>
    </row>
    <row r="2324">
      <c r="A2324" t="inlineStr"/>
      <c r="B2324" t="inlineStr"/>
      <c r="C2324" t="inlineStr"/>
      <c r="D2324" t="inlineStr"/>
      <c r="E2324">
        <f>HYPERLINK("https://www.uniprot.org/uniprotkb/Q9GKT0/entry", "Q9GKT0")</f>
        <v/>
      </c>
      <c r="F2324" t="n">
        <v>84</v>
      </c>
      <c r="G2324" t="n">
        <v>369</v>
      </c>
      <c r="H2324" t="n">
        <v>2.64e-214</v>
      </c>
      <c r="I2324" t="inlineStr">
        <is>
          <t>Swiss-Prot</t>
        </is>
      </c>
      <c r="J2324" t="inlineStr">
        <is>
          <t>ATCAY</t>
        </is>
      </c>
      <c r="K2324" t="inlineStr">
        <is>
          <t>ATCAY_MACFA</t>
        </is>
      </c>
      <c r="L2324" t="inlineStr">
        <is>
          <t>sp|Q9GKT0|ATCAY_MACFA Caytaxin OS=Macaca fascicularis OX=9541 GN=ATCAY PE=2 SV=1</t>
        </is>
      </c>
      <c r="M2324" t="n">
        <v>371</v>
      </c>
      <c r="N2324" t="inlineStr">
        <is>
          <t>Macaca fascicularis</t>
        </is>
      </c>
      <c r="O2324" t="inlineStr">
        <is>
          <t>Caytaxin</t>
        </is>
      </c>
    </row>
    <row r="2325">
      <c r="A2325" t="inlineStr"/>
      <c r="B2325" t="inlineStr"/>
      <c r="C2325" t="inlineStr"/>
      <c r="D2325" t="inlineStr"/>
      <c r="E2325">
        <f>HYPERLINK("https://www.uniprot.org/uniprotkb/Q8BHE3/entry", "Q8BHE3")</f>
        <v/>
      </c>
      <c r="F2325" t="n">
        <v>81.59999999999999</v>
      </c>
      <c r="G2325" t="n">
        <v>369</v>
      </c>
      <c r="H2325" t="n">
        <v>7.13e-210</v>
      </c>
      <c r="I2325" t="inlineStr">
        <is>
          <t>Swiss-Prot</t>
        </is>
      </c>
      <c r="J2325" t="inlineStr">
        <is>
          <t>Atcay</t>
        </is>
      </c>
      <c r="K2325" t="inlineStr">
        <is>
          <t>ATCAY_MOUSE</t>
        </is>
      </c>
      <c r="L2325" t="inlineStr">
        <is>
          <t>sp|Q8BHE3|ATCAY_MOUSE Caytaxin OS=Mus musculus OX=10090 GN=Atcay PE=1 SV=1</t>
        </is>
      </c>
      <c r="M2325" t="n">
        <v>372</v>
      </c>
      <c r="N2325" t="inlineStr">
        <is>
          <t>Mus musculus</t>
        </is>
      </c>
      <c r="O2325" t="inlineStr">
        <is>
          <t>Caytaxin</t>
        </is>
      </c>
    </row>
    <row r="2326">
      <c r="A2326" t="inlineStr"/>
      <c r="B2326" t="inlineStr"/>
      <c r="C2326" t="inlineStr"/>
      <c r="D2326" t="inlineStr"/>
      <c r="E2326">
        <f>HYPERLINK("https://www.uniprot.org/uniprotkb/Q1M168/entry", "Q1M168")</f>
        <v/>
      </c>
      <c r="F2326" t="n">
        <v>82.09999999999999</v>
      </c>
      <c r="G2326" t="n">
        <v>369</v>
      </c>
      <c r="H2326" t="n">
        <v>1.44e-209</v>
      </c>
      <c r="I2326" t="inlineStr">
        <is>
          <t>Swiss-Prot</t>
        </is>
      </c>
      <c r="J2326" t="inlineStr">
        <is>
          <t>Atcay</t>
        </is>
      </c>
      <c r="K2326" t="inlineStr">
        <is>
          <t>ATCAY_RAT</t>
        </is>
      </c>
      <c r="L2326" t="inlineStr">
        <is>
          <t>sp|Q1M168|ATCAY_RAT Caytaxin OS=Rattus norvegicus OX=10116 GN=Atcay PE=1 SV=1</t>
        </is>
      </c>
      <c r="M2326" t="n">
        <v>372</v>
      </c>
      <c r="N2326" t="inlineStr">
        <is>
          <t>Rattus norvegicus</t>
        </is>
      </c>
      <c r="O2326" t="inlineStr">
        <is>
          <t>Caytaxin</t>
        </is>
      </c>
    </row>
    <row r="2327">
      <c r="A2327" t="inlineStr"/>
      <c r="B2327" t="inlineStr"/>
      <c r="C2327" t="inlineStr"/>
      <c r="D2327" t="inlineStr"/>
      <c r="E2327">
        <f>HYPERLINK("https://www.uniprot.org/uniprotkb/Q5BJR4/entry", "Q5BJR4")</f>
        <v/>
      </c>
      <c r="F2327" t="n">
        <v>59.5</v>
      </c>
      <c r="G2327" t="n">
        <v>301</v>
      </c>
      <c r="H2327" t="n">
        <v>2.42e-117</v>
      </c>
      <c r="I2327" t="inlineStr">
        <is>
          <t>Swiss-Prot</t>
        </is>
      </c>
      <c r="J2327" t="inlineStr">
        <is>
          <t>Prune2</t>
        </is>
      </c>
      <c r="K2327" t="inlineStr">
        <is>
          <t>PRUN2_RAT</t>
        </is>
      </c>
      <c r="L2327" t="inlineStr">
        <is>
          <t>sp|Q5BJR4|PRUN2_RAT Protein prune homolog 2 OS=Rattus norvegicus OX=10116 GN=Prune2 PE=1 SV=1</t>
        </is>
      </c>
      <c r="M2327" t="n">
        <v>322</v>
      </c>
      <c r="N2327" t="inlineStr">
        <is>
          <t>Rattus norvegicus</t>
        </is>
      </c>
      <c r="O2327" t="inlineStr">
        <is>
          <t>Protein prune homolog 2</t>
        </is>
      </c>
    </row>
    <row r="2328">
      <c r="A2328" t="inlineStr"/>
      <c r="B2328" t="inlineStr"/>
      <c r="C2328" t="inlineStr"/>
      <c r="D2328" t="inlineStr"/>
      <c r="E2328">
        <f>HYPERLINK("https://www.uniprot.org/uniprotkb/Q5R4Q8/entry", "Q5R4Q8")</f>
        <v/>
      </c>
      <c r="F2328" t="n">
        <v>61.8</v>
      </c>
      <c r="G2328" t="n">
        <v>285</v>
      </c>
      <c r="H2328" t="n">
        <v>1.16e-115</v>
      </c>
      <c r="I2328" t="inlineStr">
        <is>
          <t>Swiss-Prot</t>
        </is>
      </c>
      <c r="J2328" t="inlineStr">
        <is>
          <t>PRUNE2</t>
        </is>
      </c>
      <c r="K2328" t="inlineStr">
        <is>
          <t>PRUN2_PONAB</t>
        </is>
      </c>
      <c r="L2328" t="inlineStr">
        <is>
          <t>sp|Q5R4Q8|PRUN2_PONAB Protein prune homolog 2 OS=Pongo abelii OX=9601 GN=PRUNE2 PE=2 SV=1</t>
        </is>
      </c>
      <c r="M2328" t="n">
        <v>323</v>
      </c>
      <c r="N2328" t="inlineStr">
        <is>
          <t>Pongo abelii</t>
        </is>
      </c>
      <c r="O2328" t="inlineStr">
        <is>
          <t>Protein prune homolog 2</t>
        </is>
      </c>
    </row>
    <row r="2329">
      <c r="A2329" t="inlineStr"/>
      <c r="B2329" t="inlineStr"/>
      <c r="C2329" t="inlineStr"/>
      <c r="D2329" t="inlineStr"/>
      <c r="E2329">
        <f>HYPERLINK("https://www.uniprot.org/uniprotkb/Q0IHU9/entry", "Q0IHU9")</f>
        <v/>
      </c>
      <c r="F2329" t="n">
        <v>62.3</v>
      </c>
      <c r="G2329" t="n">
        <v>281</v>
      </c>
      <c r="H2329" t="n">
        <v>1.05e-114</v>
      </c>
      <c r="I2329" t="inlineStr">
        <is>
          <t>Swiss-Prot</t>
        </is>
      </c>
      <c r="J2329" t="inlineStr">
        <is>
          <t>Prune2</t>
        </is>
      </c>
      <c r="K2329" t="inlineStr">
        <is>
          <t>PRUN2_XENTR</t>
        </is>
      </c>
      <c r="L2329" t="inlineStr">
        <is>
          <t>sp|Q0IHU9|PRUN2_XENTR Protein prune homolog 2 OS=Xenopus tropicalis OX=8364 GN=Prune2 PE=2 SV=1</t>
        </is>
      </c>
      <c r="M2329" t="n">
        <v>316</v>
      </c>
      <c r="N2329" t="inlineStr">
        <is>
          <t>Xenopus tropicalis</t>
        </is>
      </c>
      <c r="O2329" t="inlineStr">
        <is>
          <t>Protein prune homolog 2</t>
        </is>
      </c>
    </row>
    <row r="2330">
      <c r="A2330" t="inlineStr"/>
      <c r="B2330" t="inlineStr"/>
      <c r="C2330" t="inlineStr"/>
      <c r="D2330" t="inlineStr"/>
      <c r="E2330">
        <f>HYPERLINK("https://www.uniprot.org/uniprotkb/Q12982/entry", "Q12982")</f>
        <v/>
      </c>
      <c r="F2330" t="n">
        <v>54.4</v>
      </c>
      <c r="G2330" t="n">
        <v>318</v>
      </c>
      <c r="H2330" t="n">
        <v>2.78e-109</v>
      </c>
      <c r="I2330" t="inlineStr">
        <is>
          <t>Swiss-Prot</t>
        </is>
      </c>
      <c r="J2330" t="inlineStr">
        <is>
          <t>BNIP2</t>
        </is>
      </c>
      <c r="K2330" t="inlineStr">
        <is>
          <t>BNIP2_HUMAN</t>
        </is>
      </c>
      <c r="L2330" t="inlineStr">
        <is>
          <t>sp|Q12982|BNIP2_HUMAN BCL2/adenovirus E1B 19 kDa protein-interacting protein 2 OS=Homo sapiens OX=9606 GN=BNIP2 PE=1 SV=1</t>
        </is>
      </c>
      <c r="M2330" t="n">
        <v>314</v>
      </c>
      <c r="N2330" t="inlineStr">
        <is>
          <t>Homo sapiens</t>
        </is>
      </c>
      <c r="O2330" t="inlineStr">
        <is>
          <t>BCL2/adenovirus E1B 19 kDa protein-interacting protein 2</t>
        </is>
      </c>
    </row>
    <row r="2331">
      <c r="A2331" t="inlineStr"/>
      <c r="B2331" t="inlineStr"/>
      <c r="C2331" t="inlineStr"/>
      <c r="D2331" t="inlineStr"/>
      <c r="E2331">
        <f>HYPERLINK("https://www.uniprot.org/uniprotkb/O54940/entry", "O54940")</f>
        <v/>
      </c>
      <c r="F2331" t="n">
        <v>52.4</v>
      </c>
      <c r="G2331" t="n">
        <v>340</v>
      </c>
      <c r="H2331" t="n">
        <v>3.35e-108</v>
      </c>
      <c r="I2331" t="inlineStr">
        <is>
          <t>Swiss-Prot</t>
        </is>
      </c>
      <c r="J2331" t="inlineStr">
        <is>
          <t>Bnip2</t>
        </is>
      </c>
      <c r="K2331" t="inlineStr">
        <is>
          <t>BNIP2_MOUSE</t>
        </is>
      </c>
      <c r="L2331" t="inlineStr">
        <is>
          <t>sp|O54940|BNIP2_MOUSE BCL2/adenovirus E1B 19 kDa protein-interacting protein 2 OS=Mus musculus OX=10090 GN=Bnip2 PE=1 SV=2</t>
        </is>
      </c>
      <c r="M2331" t="n">
        <v>326</v>
      </c>
      <c r="N2331" t="inlineStr">
        <is>
          <t>Mus musculus</t>
        </is>
      </c>
      <c r="O2331" t="inlineStr">
        <is>
          <t>BCL2/adenovirus E1B 19 kDa protein-interacting protein 2</t>
        </is>
      </c>
    </row>
    <row r="2332">
      <c r="A2332" t="inlineStr"/>
      <c r="B2332" t="inlineStr"/>
      <c r="C2332" t="inlineStr"/>
      <c r="D2332" t="inlineStr"/>
      <c r="E2332">
        <f>HYPERLINK("https://www.uniprot.org/uniprotkb/Q52KR3/entry", "Q52KR3")</f>
        <v/>
      </c>
      <c r="F2332" t="n">
        <v>58.6</v>
      </c>
      <c r="G2332" t="n">
        <v>319</v>
      </c>
      <c r="H2332" t="n">
        <v>2.52e-107</v>
      </c>
      <c r="I2332" t="inlineStr">
        <is>
          <t>Swiss-Prot</t>
        </is>
      </c>
      <c r="J2332" t="inlineStr">
        <is>
          <t>Prune2</t>
        </is>
      </c>
      <c r="K2332" t="inlineStr">
        <is>
          <t>PRUN2_MOUSE</t>
        </is>
      </c>
      <c r="L2332" t="inlineStr">
        <is>
          <t>sp|Q52KR3|PRUN2_MOUSE Protein prune homolog 2 OS=Mus musculus OX=10090 GN=Prune2 PE=1 SV=2</t>
        </is>
      </c>
      <c r="M2332" t="n">
        <v>3084</v>
      </c>
      <c r="N2332" t="inlineStr">
        <is>
          <t>Mus musculus</t>
        </is>
      </c>
      <c r="O2332" t="inlineStr">
        <is>
          <t>Protein prune homolog 2</t>
        </is>
      </c>
    </row>
    <row r="2333">
      <c r="A2333" t="inlineStr"/>
      <c r="B2333" t="inlineStr"/>
      <c r="C2333" t="inlineStr"/>
      <c r="D2333" t="inlineStr"/>
      <c r="E2333">
        <f>HYPERLINK("https://www.uniprot.org/uniprotkb/Q8WUY3/entry", "Q8WUY3")</f>
        <v/>
      </c>
      <c r="F2333" t="n">
        <v>59.8</v>
      </c>
      <c r="G2333" t="n">
        <v>301</v>
      </c>
      <c r="H2333" t="n">
        <v>2.97e-106</v>
      </c>
      <c r="I2333" t="inlineStr">
        <is>
          <t>Swiss-Prot</t>
        </is>
      </c>
      <c r="J2333" t="inlineStr">
        <is>
          <t>PRUNE2</t>
        </is>
      </c>
      <c r="K2333" t="inlineStr">
        <is>
          <t>PRUN2_HUMAN</t>
        </is>
      </c>
      <c r="L2333" t="inlineStr">
        <is>
          <t>sp|Q8WUY3|PRUN2_HUMAN Protein prune homolog 2 OS=Homo sapiens OX=9606 GN=PRUNE2 PE=1 SV=3</t>
        </is>
      </c>
      <c r="M2333" t="n">
        <v>3088</v>
      </c>
      <c r="N2333" t="inlineStr">
        <is>
          <t>Homo sapiens</t>
        </is>
      </c>
      <c r="O2333" t="inlineStr">
        <is>
          <t>Protein prune homolog 2</t>
        </is>
      </c>
    </row>
    <row r="2334">
      <c r="A2334" t="inlineStr"/>
      <c r="B2334" t="inlineStr"/>
      <c r="C2334" t="inlineStr"/>
      <c r="D2334" t="inlineStr"/>
      <c r="E2334">
        <f>HYPERLINK("https://www.uniprot.org/uniprotkb/Q99JU7/entry", "Q99JU7")</f>
        <v/>
      </c>
      <c r="F2334" t="n">
        <v>43.8</v>
      </c>
      <c r="G2334" t="n">
        <v>317</v>
      </c>
      <c r="H2334" t="n">
        <v>4.31e-88</v>
      </c>
      <c r="I2334" t="inlineStr">
        <is>
          <t>Swiss-Prot</t>
        </is>
      </c>
      <c r="J2334" t="inlineStr">
        <is>
          <t>Bnipl</t>
        </is>
      </c>
      <c r="K2334" t="inlineStr">
        <is>
          <t>BNIPL_MOUSE</t>
        </is>
      </c>
      <c r="L2334" t="inlineStr">
        <is>
          <t>sp|Q99JU7|BNIPL_MOUSE Bcl-2/adenovirus E1B 19 kDa-interacting protein 2-like protein OS=Mus musculus OX=10090 GN=Bnipl PE=2 SV=1</t>
        </is>
      </c>
      <c r="M2334" t="n">
        <v>328</v>
      </c>
      <c r="N2334" t="inlineStr">
        <is>
          <t>Mus musculus</t>
        </is>
      </c>
      <c r="O2334" t="inlineStr">
        <is>
          <t>Bcl-2/adenovirus E1B 19 kDa-interacting protein 2-like protein</t>
        </is>
      </c>
    </row>
    <row r="2335">
      <c r="A2335" t="inlineStr"/>
      <c r="B2335" t="inlineStr"/>
      <c r="C2335" t="inlineStr"/>
      <c r="D2335" t="inlineStr"/>
      <c r="E2335">
        <f>HYPERLINK("https://www.uniprot.org/uniprotkb/Q7Z465/entry", "Q7Z465")</f>
        <v/>
      </c>
      <c r="F2335" t="n">
        <v>42.8</v>
      </c>
      <c r="G2335" t="n">
        <v>327</v>
      </c>
      <c r="H2335" t="n">
        <v>4.26e-87</v>
      </c>
      <c r="I2335" t="inlineStr">
        <is>
          <t>Swiss-Prot</t>
        </is>
      </c>
      <c r="J2335" t="inlineStr">
        <is>
          <t>BNIPL</t>
        </is>
      </c>
      <c r="K2335" t="inlineStr">
        <is>
          <t>BNIPL_HUMAN</t>
        </is>
      </c>
      <c r="L2335" t="inlineStr">
        <is>
          <t>sp|Q7Z465|BNIPL_HUMAN Bcl-2/adenovirus E1B 19 kDa-interacting protein 2-like protein OS=Homo sapiens OX=9606 GN=BNIPL PE=1 SV=1</t>
        </is>
      </c>
      <c r="M2335" t="n">
        <v>357</v>
      </c>
      <c r="N2335" t="inlineStr">
        <is>
          <t>Homo sapiens</t>
        </is>
      </c>
      <c r="O2335" t="inlineStr">
        <is>
          <t>Bcl-2/adenovirus E1B 19 kDa-interacting protein 2-like protein</t>
        </is>
      </c>
    </row>
    <row r="2336">
      <c r="A2336" t="inlineStr"/>
      <c r="B2336" t="inlineStr"/>
      <c r="C2336" t="inlineStr"/>
      <c r="D2336" t="inlineStr"/>
      <c r="E2336">
        <f>HYPERLINK("https://www.uniprot.org/uniprotkb/Q07960/entry", "Q07960")</f>
        <v/>
      </c>
      <c r="F2336" t="n">
        <v>39.7</v>
      </c>
      <c r="G2336" t="n">
        <v>131</v>
      </c>
      <c r="H2336" t="n">
        <v>3.25e-21</v>
      </c>
      <c r="I2336" t="inlineStr">
        <is>
          <t>Swiss-Prot</t>
        </is>
      </c>
      <c r="J2336" t="inlineStr">
        <is>
          <t>ARHGAP1</t>
        </is>
      </c>
      <c r="K2336" t="inlineStr">
        <is>
          <t>RHG01_HUMAN</t>
        </is>
      </c>
      <c r="L2336" t="inlineStr">
        <is>
          <t>sp|Q07960|RHG01_HUMAN Rho GTPase-activating protein 1 OS=Homo sapiens OX=9606 GN=ARHGAP1 PE=1 SV=1</t>
        </is>
      </c>
      <c r="M2336" t="n">
        <v>439</v>
      </c>
      <c r="N2336" t="inlineStr">
        <is>
          <t>Homo sapiens</t>
        </is>
      </c>
      <c r="O2336" t="inlineStr">
        <is>
          <t>Rho GTPase-activating protein 1</t>
        </is>
      </c>
    </row>
    <row r="2337">
      <c r="A2337" t="inlineStr"/>
      <c r="B2337" t="inlineStr"/>
      <c r="C2337" t="inlineStr"/>
      <c r="D2337" t="inlineStr"/>
      <c r="E2337">
        <f>HYPERLINK("https://www.uniprot.org/uniprotkb/Q5FWK3/entry", "Q5FWK3")</f>
        <v/>
      </c>
      <c r="F2337" t="n">
        <v>39.7</v>
      </c>
      <c r="G2337" t="n">
        <v>131</v>
      </c>
      <c r="H2337" t="n">
        <v>3.25e-21</v>
      </c>
      <c r="I2337" t="inlineStr">
        <is>
          <t>Swiss-Prot</t>
        </is>
      </c>
      <c r="J2337" t="inlineStr">
        <is>
          <t>Arhgap1</t>
        </is>
      </c>
      <c r="K2337" t="inlineStr">
        <is>
          <t>RHG01_MOUSE</t>
        </is>
      </c>
      <c r="L2337" t="inlineStr">
        <is>
          <t>sp|Q5FWK3|RHG01_MOUSE Rho GTPase-activating protein 1 OS=Mus musculus OX=10090 GN=Arhgap1 PE=1 SV=1</t>
        </is>
      </c>
      <c r="M2337" t="n">
        <v>439</v>
      </c>
      <c r="N2337" t="inlineStr">
        <is>
          <t>Mus musculus</t>
        </is>
      </c>
      <c r="O2337" t="inlineStr">
        <is>
          <t>Rho GTPase-activating protein 1</t>
        </is>
      </c>
    </row>
    <row r="2338">
      <c r="A2338" t="inlineStr"/>
      <c r="B2338" t="inlineStr"/>
      <c r="C2338" t="inlineStr"/>
      <c r="D2338" t="inlineStr"/>
      <c r="E2338">
        <f>HYPERLINK("https://www.uniprot.org/uniprotkb/Q54TH9/entry", "Q54TH9")</f>
        <v/>
      </c>
      <c r="F2338" t="n">
        <v>35</v>
      </c>
      <c r="G2338" t="n">
        <v>120</v>
      </c>
      <c r="H2338" t="n">
        <v>8.18e-18</v>
      </c>
      <c r="I2338" t="inlineStr">
        <is>
          <t>Swiss-Prot</t>
        </is>
      </c>
      <c r="J2338" t="inlineStr">
        <is>
          <t>gacY</t>
        </is>
      </c>
      <c r="K2338" t="inlineStr">
        <is>
          <t>GACY_DICDI</t>
        </is>
      </c>
      <c r="L2338" t="inlineStr">
        <is>
          <t>sp|Q54TH9|GACY_DICDI Rho GTPase-activating protein gacY OS=Dictyostelium discoideum OX=44689 GN=gacY PE=3 SV=1</t>
        </is>
      </c>
      <c r="M2338" t="n">
        <v>721</v>
      </c>
      <c r="N2338" t="inlineStr">
        <is>
          <t>Dictyostelium discoideum</t>
        </is>
      </c>
      <c r="O2338" t="inlineStr">
        <is>
          <t>Rho GTPase-activating protein gacY</t>
        </is>
      </c>
    </row>
    <row r="2339">
      <c r="A2339" t="inlineStr"/>
      <c r="B2339" t="inlineStr"/>
      <c r="C2339" t="inlineStr"/>
      <c r="D2339" t="inlineStr"/>
      <c r="E2339">
        <f>HYPERLINK("https://www.uniprot.org/uniprotkb/Q9VTU3/entry", "Q9VTU3")</f>
        <v/>
      </c>
      <c r="F2339" t="n">
        <v>35.5</v>
      </c>
      <c r="G2339" t="n">
        <v>110</v>
      </c>
      <c r="H2339" t="n">
        <v>1.9e-16</v>
      </c>
      <c r="I2339" t="inlineStr">
        <is>
          <t>Swiss-Prot</t>
        </is>
      </c>
      <c r="J2339" t="inlineStr">
        <is>
          <t>RhoGAP68F</t>
        </is>
      </c>
      <c r="K2339" t="inlineStr">
        <is>
          <t>RG68F_DROME</t>
        </is>
      </c>
      <c r="L2339" t="inlineStr">
        <is>
          <t>sp|Q9VTU3|RG68F_DROME Rho GTPase-activating protein 68F OS=Drosophila melanogaster OX=7227 GN=RhoGAP68F PE=1 SV=1</t>
        </is>
      </c>
      <c r="M2339" t="n">
        <v>476</v>
      </c>
      <c r="N2339" t="inlineStr">
        <is>
          <t>Drosophila melanogaster</t>
        </is>
      </c>
      <c r="O2339" t="inlineStr">
        <is>
          <t>Rho GTPase-activating protein 68F</t>
        </is>
      </c>
    </row>
    <row r="2340">
      <c r="A2340" t="inlineStr"/>
      <c r="B2340" t="inlineStr"/>
      <c r="C2340" t="inlineStr"/>
      <c r="D2340" t="inlineStr"/>
      <c r="E2340">
        <f>HYPERLINK("https://www.uniprot.org/uniprotkb/Q9CXP4/entry", "Q9CXP4")</f>
        <v/>
      </c>
      <c r="F2340" t="n">
        <v>32.2</v>
      </c>
      <c r="G2340" t="n">
        <v>149</v>
      </c>
      <c r="H2340" t="n">
        <v>6.85e-16</v>
      </c>
      <c r="I2340" t="inlineStr">
        <is>
          <t>Swiss-Prot</t>
        </is>
      </c>
      <c r="J2340" t="inlineStr">
        <is>
          <t>Arhgap8</t>
        </is>
      </c>
      <c r="K2340" t="inlineStr">
        <is>
          <t>RHG08_MOUSE</t>
        </is>
      </c>
      <c r="L2340" t="inlineStr">
        <is>
          <t>sp|Q9CXP4|RHG08_MOUSE Rho GTPase-activating protein 8 OS=Mus musculus OX=10090 GN=Arhgap8 PE=2 SV=3</t>
        </is>
      </c>
      <c r="M2340" t="n">
        <v>425</v>
      </c>
      <c r="N2340" t="inlineStr">
        <is>
          <t>Mus musculus</t>
        </is>
      </c>
      <c r="O2340" t="inlineStr">
        <is>
          <t>Rho GTPase-activating protein 8</t>
        </is>
      </c>
    </row>
    <row r="2341">
      <c r="A2341" t="inlineStr"/>
      <c r="B2341" t="inlineStr"/>
      <c r="C2341" t="inlineStr"/>
      <c r="D2341" t="inlineStr"/>
      <c r="E2341">
        <f>HYPERLINK("https://www.uniprot.org/uniprotkb/P85298/entry", "P85298")</f>
        <v/>
      </c>
      <c r="F2341" t="n">
        <v>28.8</v>
      </c>
      <c r="G2341" t="n">
        <v>184</v>
      </c>
      <c r="H2341" t="n">
        <v>1.16e-13</v>
      </c>
      <c r="I2341" t="inlineStr">
        <is>
          <t>Swiss-Prot</t>
        </is>
      </c>
      <c r="J2341" t="inlineStr">
        <is>
          <t>ARHGAP8</t>
        </is>
      </c>
      <c r="K2341" t="inlineStr">
        <is>
          <t>RHG08_HUMAN</t>
        </is>
      </c>
      <c r="L2341" t="inlineStr">
        <is>
          <t>sp|P85298|RHG08_HUMAN Rho GTPase-activating protein 8 OS=Homo sapiens OX=9606 GN=ARHGAP8 PE=1 SV=1</t>
        </is>
      </c>
      <c r="M2341" t="n">
        <v>464</v>
      </c>
      <c r="N2341" t="inlineStr">
        <is>
          <t>Homo sapiens</t>
        </is>
      </c>
      <c r="O2341" t="inlineStr">
        <is>
          <t>Rho GTPase-activating protein 8</t>
        </is>
      </c>
    </row>
    <row r="2342">
      <c r="A2342" t="inlineStr"/>
      <c r="B2342" t="inlineStr"/>
      <c r="C2342" t="inlineStr"/>
      <c r="D2342" t="inlineStr"/>
      <c r="E2342">
        <f>HYPERLINK("https://www.uniprot.org/uniprotkb/Q5CZL1/entry", "Q5CZL1")</f>
        <v/>
      </c>
      <c r="F2342" t="n">
        <v>33.1</v>
      </c>
      <c r="G2342" t="n">
        <v>118</v>
      </c>
      <c r="H2342" t="n">
        <v>2.26e-10</v>
      </c>
      <c r="I2342" t="inlineStr">
        <is>
          <t>Swiss-Prot</t>
        </is>
      </c>
      <c r="J2342" t="inlineStr"/>
      <c r="K2342" t="inlineStr">
        <is>
          <t>GDAP2_XENTR</t>
        </is>
      </c>
      <c r="L2342" t="inlineStr">
        <is>
          <t>sp|Q5CZL1|GDAP2_XENTR Ganglioside-induced differentiation-associated protein 2 OS=Xenopus tropicalis OX=8364 PE=2 SV=1</t>
        </is>
      </c>
      <c r="M2342" t="n">
        <v>496</v>
      </c>
      <c r="N2342" t="inlineStr">
        <is>
          <t>Xenopus tropicalis</t>
        </is>
      </c>
      <c r="O2342" t="inlineStr">
        <is>
          <t>Ganglioside-induced differentiation-associated protein 2</t>
        </is>
      </c>
    </row>
    <row r="2343">
      <c r="A2343" t="inlineStr"/>
      <c r="B2343" t="inlineStr"/>
      <c r="C2343" t="inlineStr"/>
      <c r="D2343" t="inlineStr"/>
      <c r="E2343">
        <f>HYPERLINK("https://www.uniprot.org/uniprotkb/Q7JUR6/entry", "Q7JUR6")</f>
        <v/>
      </c>
      <c r="F2343" t="n">
        <v>27.2</v>
      </c>
      <c r="G2343" t="n">
        <v>136</v>
      </c>
      <c r="H2343" t="n">
        <v>7.55e-10</v>
      </c>
      <c r="I2343" t="inlineStr">
        <is>
          <t>Swiss-Prot</t>
        </is>
      </c>
      <c r="J2343" t="inlineStr">
        <is>
          <t>Gdap2</t>
        </is>
      </c>
      <c r="K2343" t="inlineStr">
        <is>
          <t>GDAP2_DROME</t>
        </is>
      </c>
      <c r="L2343" t="inlineStr">
        <is>
          <t>sp|Q7JUR6|GDAP2_DROME Protein GDAP2 homolog OS=Drosophila melanogaster OX=7227 GN=Gdap2 PE=2 SV=1</t>
        </is>
      </c>
      <c r="M2343" t="n">
        <v>540</v>
      </c>
      <c r="N2343" t="inlineStr">
        <is>
          <t>Drosophila melanogaster</t>
        </is>
      </c>
      <c r="O2343" t="inlineStr">
        <is>
          <t>Protein GDAP2 homolog</t>
        </is>
      </c>
    </row>
    <row r="2344">
      <c r="A2344" t="inlineStr"/>
      <c r="B2344" t="inlineStr"/>
      <c r="C2344" t="inlineStr"/>
      <c r="D2344" t="inlineStr"/>
      <c r="E2344">
        <f>HYPERLINK("https://www.uniprot.org/uniprotkb/Q292F9/entry", "Q292F9")</f>
        <v/>
      </c>
      <c r="F2344" t="n">
        <v>27.2</v>
      </c>
      <c r="G2344" t="n">
        <v>136</v>
      </c>
      <c r="H2344" t="n">
        <v>7.57e-10</v>
      </c>
      <c r="I2344" t="inlineStr">
        <is>
          <t>Swiss-Prot</t>
        </is>
      </c>
      <c r="J2344" t="inlineStr">
        <is>
          <t>GA15091</t>
        </is>
      </c>
      <c r="K2344" t="inlineStr">
        <is>
          <t>GDAP2_DROPS</t>
        </is>
      </c>
      <c r="L2344" t="inlineStr">
        <is>
          <t>sp|Q292F9|GDAP2_DROPS Protein GDAP2 homolog OS=Drosophila pseudoobscura pseudoobscura OX=46245 GN=GA15091 PE=3 SV=1</t>
        </is>
      </c>
      <c r="M2344" t="n">
        <v>542</v>
      </c>
      <c r="N2344" t="inlineStr">
        <is>
          <t>Drosophila pseudoobscura pseudoobscura</t>
        </is>
      </c>
      <c r="O2344" t="inlineStr">
        <is>
          <t>Protein GDAP2 homolog</t>
        </is>
      </c>
    </row>
    <row r="2345">
      <c r="A2345" t="inlineStr"/>
      <c r="B2345" t="inlineStr"/>
      <c r="C2345" t="inlineStr"/>
      <c r="D2345" t="inlineStr"/>
      <c r="E2345">
        <f>HYPERLINK("https://www.uniprot.org/uniprotkb/Q5XGM5/entry", "Q5XGM5")</f>
        <v/>
      </c>
      <c r="F2345" t="n">
        <v>33.3</v>
      </c>
      <c r="G2345" t="n">
        <v>111</v>
      </c>
      <c r="H2345" t="n">
        <v>1.26e-09</v>
      </c>
      <c r="I2345" t="inlineStr">
        <is>
          <t>Swiss-Prot</t>
        </is>
      </c>
      <c r="J2345" t="inlineStr"/>
      <c r="K2345" t="inlineStr">
        <is>
          <t>GDAP2_XENLA</t>
        </is>
      </c>
      <c r="L2345" t="inlineStr">
        <is>
          <t>sp|Q5XGM5|GDAP2_XENLA Ganglioside-induced differentiation-associated protein 2 OS=Xenopus laevis OX=8355 PE=2 SV=1</t>
        </is>
      </c>
      <c r="M2345" t="n">
        <v>496</v>
      </c>
      <c r="N2345" t="inlineStr">
        <is>
          <t>Xenopus laevis</t>
        </is>
      </c>
      <c r="O2345" t="inlineStr">
        <is>
          <t>Ganglioside-induced differentiation-associated protein 2</t>
        </is>
      </c>
    </row>
    <row r="2346">
      <c r="A2346" t="inlineStr"/>
      <c r="B2346" t="inlineStr"/>
      <c r="C2346" t="inlineStr"/>
      <c r="D2346" t="inlineStr"/>
      <c r="E2346">
        <f>HYPERLINK("https://www.uniprot.org/uniprotkb/A7T167/entry", "A7T167")</f>
        <v/>
      </c>
      <c r="F2346" t="n">
        <v>29.3</v>
      </c>
      <c r="G2346" t="n">
        <v>123</v>
      </c>
      <c r="H2346" t="n">
        <v>1.27e-09</v>
      </c>
      <c r="I2346" t="inlineStr">
        <is>
          <t>Swiss-Prot</t>
        </is>
      </c>
      <c r="J2346" t="inlineStr">
        <is>
          <t>gdap2</t>
        </is>
      </c>
      <c r="K2346" t="inlineStr">
        <is>
          <t>GDAP2_NEMVE</t>
        </is>
      </c>
      <c r="L2346" t="inlineStr">
        <is>
          <t>sp|A7T167|GDAP2_NEMVE Protein GDAP2 homolog OS=Nematostella vectensis OX=45351 GN=gdap2 PE=3 SV=1</t>
        </is>
      </c>
      <c r="M2346" t="n">
        <v>502</v>
      </c>
      <c r="N2346" t="inlineStr">
        <is>
          <t>Nematostella vectensis</t>
        </is>
      </c>
      <c r="O2346" t="inlineStr">
        <is>
          <t>Protein GDAP2 homolog</t>
        </is>
      </c>
    </row>
    <row r="2347">
      <c r="A2347" t="inlineStr"/>
      <c r="B2347" t="inlineStr"/>
      <c r="C2347" t="inlineStr"/>
      <c r="D2347" t="inlineStr"/>
      <c r="E2347">
        <f>HYPERLINK("https://www.uniprot.org/uniprotkb/Q66HX8/entry", "Q66HX8")</f>
        <v/>
      </c>
      <c r="F2347" t="n">
        <v>25.9</v>
      </c>
      <c r="G2347" t="n">
        <v>112</v>
      </c>
      <c r="H2347" t="n">
        <v>2.86e-07</v>
      </c>
      <c r="I2347" t="inlineStr">
        <is>
          <t>Swiss-Prot</t>
        </is>
      </c>
      <c r="J2347" t="inlineStr">
        <is>
          <t>gdap2</t>
        </is>
      </c>
      <c r="K2347" t="inlineStr">
        <is>
          <t>GDAP2_DANRE</t>
        </is>
      </c>
      <c r="L2347" t="inlineStr">
        <is>
          <t>sp|Q66HX8|GDAP2_DANRE Ganglioside-induced differentiation-associated protein 2 OS=Danio rerio OX=7955 GN=gdap2 PE=2 SV=1</t>
        </is>
      </c>
      <c r="M2347" t="n">
        <v>504</v>
      </c>
      <c r="N2347" t="inlineStr">
        <is>
          <t>Danio rerio</t>
        </is>
      </c>
      <c r="O2347" t="inlineStr">
        <is>
          <t>Ganglioside-induced differentiation-associated protein 2</t>
        </is>
      </c>
    </row>
    <row r="2348">
      <c r="A2348" t="inlineStr">
        <is>
          <t>NODE_17213_length_5160_cov_6.151188_g5985_i0</t>
        </is>
      </c>
      <c r="B2348" t="inlineStr">
        <is>
          <t>bombina_pachypus_blastx</t>
        </is>
      </c>
      <c r="C2348" t="n">
        <v>2.47429517598263</v>
      </c>
      <c r="D2348" t="n">
        <v>0.048581487196</v>
      </c>
      <c r="E2348">
        <f>HYPERLINK("https://www.uniprot.org/uniprotkb/A0A8C5PBN8/entry", "A0A8C5PBN8")</f>
        <v/>
      </c>
      <c r="F2348" t="n">
        <v>48.8</v>
      </c>
      <c r="G2348" t="n">
        <v>424</v>
      </c>
      <c r="H2348" t="n">
        <v>1.82e-125</v>
      </c>
      <c r="I2348" t="inlineStr">
        <is>
          <t>TrEMBL</t>
        </is>
      </c>
      <c r="J2348" t="inlineStr"/>
      <c r="K2348" t="inlineStr">
        <is>
          <t>A0A8C5PBN8_9ANUR</t>
        </is>
      </c>
      <c r="L2348" t="inlineStr">
        <is>
          <t>tr|A0A8C5PBN8|A0A8C5PBN8_9ANUR Reverse transcriptase domain-containing protein OS=Leptobrachium leishanense OX=445787 PE=4 SV=1</t>
        </is>
      </c>
      <c r="M2348" t="n">
        <v>699</v>
      </c>
      <c r="N2348" t="inlineStr">
        <is>
          <t>Leptobrachium leishanense</t>
        </is>
      </c>
      <c r="O2348" t="inlineStr">
        <is>
          <t>Reverse transcriptase domain-containing protein</t>
        </is>
      </c>
    </row>
    <row r="2349">
      <c r="A2349" t="inlineStr"/>
      <c r="B2349" t="inlineStr"/>
      <c r="C2349" t="inlineStr"/>
      <c r="D2349" t="inlineStr"/>
      <c r="E2349">
        <f>HYPERLINK("https://www.uniprot.org/uniprotkb/A0A8C5QLY9/entry", "A0A8C5QLY9")</f>
        <v/>
      </c>
      <c r="F2349" t="n">
        <v>48.1</v>
      </c>
      <c r="G2349" t="n">
        <v>424</v>
      </c>
      <c r="H2349" t="n">
        <v>1.62e-123</v>
      </c>
      <c r="I2349" t="inlineStr">
        <is>
          <t>TrEMBL</t>
        </is>
      </c>
      <c r="J2349" t="inlineStr"/>
      <c r="K2349" t="inlineStr">
        <is>
          <t>A0A8C5QLY9_9ANUR</t>
        </is>
      </c>
      <c r="L2349" t="inlineStr">
        <is>
          <t>tr|A0A8C5QLY9|A0A8C5QLY9_9ANUR Reverse transcriptase domain-containing protein OS=Leptobrachium leishanense OX=445787 PE=4 SV=1</t>
        </is>
      </c>
      <c r="M2349" t="n">
        <v>662</v>
      </c>
      <c r="N2349" t="inlineStr">
        <is>
          <t>Leptobrachium leishanense</t>
        </is>
      </c>
      <c r="O2349" t="inlineStr">
        <is>
          <t>Reverse transcriptase domain-containing protein</t>
        </is>
      </c>
    </row>
    <row r="2350">
      <c r="A2350" t="inlineStr"/>
      <c r="B2350" t="inlineStr"/>
      <c r="C2350" t="inlineStr"/>
      <c r="D2350" t="inlineStr"/>
      <c r="E2350">
        <f>HYPERLINK("https://www.uniprot.org/uniprotkb/A0A803JQ76/entry", "A0A803JQ76")</f>
        <v/>
      </c>
      <c r="F2350" t="n">
        <v>47.2</v>
      </c>
      <c r="G2350" t="n">
        <v>436</v>
      </c>
      <c r="H2350" t="n">
        <v>1.18e-120</v>
      </c>
      <c r="I2350" t="inlineStr">
        <is>
          <t>TrEMBL</t>
        </is>
      </c>
      <c r="J2350" t="inlineStr"/>
      <c r="K2350" t="inlineStr">
        <is>
          <t>A0A803JQ76_XENTR</t>
        </is>
      </c>
      <c r="L2350" t="inlineStr">
        <is>
          <t>tr|A0A803JQ76|A0A803JQ76_XENTR Reverse transcriptase domain-containing protein OS=Xenopus tropicalis OX=8364 PE=4 SV=1</t>
        </is>
      </c>
      <c r="M2350" t="n">
        <v>714</v>
      </c>
      <c r="N2350" t="inlineStr">
        <is>
          <t>Xenopus tropicalis</t>
        </is>
      </c>
      <c r="O2350" t="inlineStr">
        <is>
          <t>Reverse transcriptase domain-containing protein</t>
        </is>
      </c>
    </row>
    <row r="2351">
      <c r="A2351" t="inlineStr"/>
      <c r="B2351" t="inlineStr"/>
      <c r="C2351" t="inlineStr"/>
      <c r="D2351" t="inlineStr"/>
      <c r="E2351">
        <f>HYPERLINK("https://www.uniprot.org/uniprotkb/A0A8C5WC79/entry", "A0A8C5WC79")</f>
        <v/>
      </c>
      <c r="F2351" t="n">
        <v>48.1</v>
      </c>
      <c r="G2351" t="n">
        <v>424</v>
      </c>
      <c r="H2351" t="n">
        <v>1.48e-120</v>
      </c>
      <c r="I2351" t="inlineStr">
        <is>
          <t>TrEMBL</t>
        </is>
      </c>
      <c r="J2351" t="inlineStr"/>
      <c r="K2351" t="inlineStr">
        <is>
          <t>A0A8C5WC79_9ANUR</t>
        </is>
      </c>
      <c r="L2351" t="inlineStr">
        <is>
          <t>tr|A0A8C5WC79|A0A8C5WC79_9ANUR Reverse transcriptase domain-containing protein OS=Leptobrachium leishanense OX=445787 PE=4 SV=1</t>
        </is>
      </c>
      <c r="M2351" t="n">
        <v>949</v>
      </c>
      <c r="N2351" t="inlineStr">
        <is>
          <t>Leptobrachium leishanense</t>
        </is>
      </c>
      <c r="O2351" t="inlineStr">
        <is>
          <t>Reverse transcriptase domain-containing protein</t>
        </is>
      </c>
    </row>
    <row r="2352">
      <c r="A2352" t="inlineStr"/>
      <c r="B2352" t="inlineStr"/>
      <c r="C2352" t="inlineStr"/>
      <c r="D2352" t="inlineStr"/>
      <c r="E2352">
        <f>HYPERLINK("https://www.uniprot.org/uniprotkb/A0A8C5PXM4/entry", "A0A8C5PXM4")</f>
        <v/>
      </c>
      <c r="F2352" t="n">
        <v>49.2</v>
      </c>
      <c r="G2352" t="n">
        <v>413</v>
      </c>
      <c r="H2352" t="n">
        <v>1.97e-120</v>
      </c>
      <c r="I2352" t="inlineStr">
        <is>
          <t>TrEMBL</t>
        </is>
      </c>
      <c r="J2352" t="inlineStr"/>
      <c r="K2352" t="inlineStr">
        <is>
          <t>A0A8C5PXM4_9ANUR</t>
        </is>
      </c>
      <c r="L2352" t="inlineStr">
        <is>
          <t>tr|A0A8C5PXM4|A0A8C5PXM4_9ANUR Reverse transcriptase domain-containing protein OS=Leptobrachium leishanense OX=445787 PE=4 SV=1</t>
        </is>
      </c>
      <c r="M2352" t="n">
        <v>886</v>
      </c>
      <c r="N2352" t="inlineStr">
        <is>
          <t>Leptobrachium leishanense</t>
        </is>
      </c>
      <c r="O2352" t="inlineStr">
        <is>
          <t>Reverse transcriptase domain-containing protein</t>
        </is>
      </c>
    </row>
    <row r="2353">
      <c r="A2353" t="inlineStr"/>
      <c r="B2353" t="inlineStr"/>
      <c r="C2353" t="inlineStr"/>
      <c r="D2353" t="inlineStr"/>
      <c r="E2353">
        <f>HYPERLINK("https://www.uniprot.org/uniprotkb/A0A8C5QVD2/entry", "A0A8C5QVD2")</f>
        <v/>
      </c>
      <c r="F2353" t="n">
        <v>48.8</v>
      </c>
      <c r="G2353" t="n">
        <v>408</v>
      </c>
      <c r="H2353" t="n">
        <v>1.61e-118</v>
      </c>
      <c r="I2353" t="inlineStr">
        <is>
          <t>TrEMBL</t>
        </is>
      </c>
      <c r="J2353" t="inlineStr"/>
      <c r="K2353" t="inlineStr">
        <is>
          <t>A0A8C5QVD2_9ANUR</t>
        </is>
      </c>
      <c r="L2353" t="inlineStr">
        <is>
          <t>tr|A0A8C5QVD2|A0A8C5QVD2_9ANUR Reverse transcriptase domain-containing protein OS=Leptobrachium leishanense OX=445787 PE=4 SV=1</t>
        </is>
      </c>
      <c r="M2353" t="n">
        <v>771</v>
      </c>
      <c r="N2353" t="inlineStr">
        <is>
          <t>Leptobrachium leishanense</t>
        </is>
      </c>
      <c r="O2353" t="inlineStr">
        <is>
          <t>Reverse transcriptase domain-containing protein</t>
        </is>
      </c>
    </row>
    <row r="2354">
      <c r="A2354" t="inlineStr"/>
      <c r="B2354" t="inlineStr"/>
      <c r="C2354" t="inlineStr"/>
      <c r="D2354" t="inlineStr"/>
      <c r="E2354">
        <f>HYPERLINK("https://www.uniprot.org/uniprotkb/A0A8C5LQ71/entry", "A0A8C5LQ71")</f>
        <v/>
      </c>
      <c r="F2354" t="n">
        <v>48.6</v>
      </c>
      <c r="G2354" t="n">
        <v>424</v>
      </c>
      <c r="H2354" t="n">
        <v>2.23e-118</v>
      </c>
      <c r="I2354" t="inlineStr">
        <is>
          <t>TrEMBL</t>
        </is>
      </c>
      <c r="J2354" t="inlineStr"/>
      <c r="K2354" t="inlineStr">
        <is>
          <t>A0A8C5LQ71_9ANUR</t>
        </is>
      </c>
      <c r="L2354" t="inlineStr">
        <is>
          <t>tr|A0A8C5LQ71|A0A8C5LQ71_9ANUR Reverse transcriptase domain-containing protein OS=Leptobrachium leishanense OX=445787 PE=4 SV=1</t>
        </is>
      </c>
      <c r="M2354" t="n">
        <v>1259</v>
      </c>
      <c r="N2354" t="inlineStr">
        <is>
          <t>Leptobrachium leishanense</t>
        </is>
      </c>
      <c r="O2354" t="inlineStr">
        <is>
          <t>Reverse transcriptase domain-containing protein</t>
        </is>
      </c>
    </row>
    <row r="2355">
      <c r="A2355" t="inlineStr"/>
      <c r="B2355" t="inlineStr"/>
      <c r="C2355" t="inlineStr"/>
      <c r="D2355" t="inlineStr"/>
      <c r="E2355">
        <f>HYPERLINK("https://www.uniprot.org/uniprotkb/A0A8C5MJT9/entry", "A0A8C5MJT9")</f>
        <v/>
      </c>
      <c r="F2355" t="n">
        <v>43.8</v>
      </c>
      <c r="G2355" t="n">
        <v>425</v>
      </c>
      <c r="H2355" t="n">
        <v>1.7e-111</v>
      </c>
      <c r="I2355" t="inlineStr">
        <is>
          <t>TrEMBL</t>
        </is>
      </c>
      <c r="J2355" t="inlineStr"/>
      <c r="K2355" t="inlineStr">
        <is>
          <t>A0A8C5MJT9_9ANUR</t>
        </is>
      </c>
      <c r="L2355" t="inlineStr">
        <is>
          <t>tr|A0A8C5MJT9|A0A8C5MJT9_9ANUR Reverse transcriptase domain-containing protein OS=Leptobrachium leishanense OX=445787 PE=4 SV=1</t>
        </is>
      </c>
      <c r="M2355" t="n">
        <v>1028</v>
      </c>
      <c r="N2355" t="inlineStr">
        <is>
          <t>Leptobrachium leishanense</t>
        </is>
      </c>
      <c r="O2355" t="inlineStr">
        <is>
          <t>Reverse transcriptase domain-containing protein</t>
        </is>
      </c>
    </row>
    <row r="2356">
      <c r="A2356" t="inlineStr"/>
      <c r="B2356" t="inlineStr"/>
      <c r="C2356" t="inlineStr"/>
      <c r="D2356" t="inlineStr"/>
      <c r="E2356">
        <f>HYPERLINK("https://www.uniprot.org/uniprotkb/A0A803JC69/entry", "A0A803JC69")</f>
        <v/>
      </c>
      <c r="F2356" t="n">
        <v>44.3</v>
      </c>
      <c r="G2356" t="n">
        <v>436</v>
      </c>
      <c r="H2356" t="n">
        <v>2.91e-111</v>
      </c>
      <c r="I2356" t="inlineStr">
        <is>
          <t>TrEMBL</t>
        </is>
      </c>
      <c r="J2356" t="inlineStr"/>
      <c r="K2356" t="inlineStr">
        <is>
          <t>A0A803JC69_XENTR</t>
        </is>
      </c>
      <c r="L2356" t="inlineStr">
        <is>
          <t>tr|A0A803JC69|A0A803JC69_XENTR Reverse transcriptase domain-containing protein OS=Xenopus tropicalis OX=8364 PE=4 SV=1</t>
        </is>
      </c>
      <c r="M2356" t="n">
        <v>1271</v>
      </c>
      <c r="N2356" t="inlineStr">
        <is>
          <t>Xenopus tropicalis</t>
        </is>
      </c>
      <c r="O2356" t="inlineStr">
        <is>
          <t>Reverse transcriptase domain-containing protein</t>
        </is>
      </c>
    </row>
    <row r="2357">
      <c r="A2357" t="inlineStr"/>
      <c r="B2357" t="inlineStr"/>
      <c r="C2357" t="inlineStr"/>
      <c r="D2357" t="inlineStr"/>
      <c r="E2357">
        <f>HYPERLINK("https://www.uniprot.org/uniprotkb/A0A8C5R857/entry", "A0A8C5R857")</f>
        <v/>
      </c>
      <c r="F2357" t="n">
        <v>52.9</v>
      </c>
      <c r="G2357" t="n">
        <v>344</v>
      </c>
      <c r="H2357" t="n">
        <v>1.32e-110</v>
      </c>
      <c r="I2357" t="inlineStr">
        <is>
          <t>TrEMBL</t>
        </is>
      </c>
      <c r="J2357" t="inlineStr"/>
      <c r="K2357" t="inlineStr">
        <is>
          <t>A0A8C5R857_9ANUR</t>
        </is>
      </c>
      <c r="L2357" t="inlineStr">
        <is>
          <t>tr|A0A8C5R857|A0A8C5R857_9ANUR Reverse transcriptase domain-containing protein OS=Leptobrachium leishanense OX=445787 PE=4 SV=1</t>
        </is>
      </c>
      <c r="M2357" t="n">
        <v>818</v>
      </c>
      <c r="N2357" t="inlineStr">
        <is>
          <t>Leptobrachium leishanense</t>
        </is>
      </c>
      <c r="O2357" t="inlineStr">
        <is>
          <t>Reverse transcriptase domain-containing protein</t>
        </is>
      </c>
    </row>
    <row r="2358">
      <c r="A2358" t="inlineStr"/>
      <c r="B2358" t="inlineStr"/>
      <c r="C2358" t="inlineStr"/>
      <c r="D2358" t="inlineStr"/>
      <c r="E2358">
        <f>HYPERLINK("https://www.uniprot.org/uniprotkb/A0A803K6G7/entry", "A0A803K6G7")</f>
        <v/>
      </c>
      <c r="F2358" t="n">
        <v>44</v>
      </c>
      <c r="G2358" t="n">
        <v>436</v>
      </c>
      <c r="H2358" t="n">
        <v>2.1e-110</v>
      </c>
      <c r="I2358" t="inlineStr">
        <is>
          <t>TrEMBL</t>
        </is>
      </c>
      <c r="J2358" t="inlineStr"/>
      <c r="K2358" t="inlineStr">
        <is>
          <t>A0A803K6G7_XENTR</t>
        </is>
      </c>
      <c r="L2358" t="inlineStr">
        <is>
          <t>tr|A0A803K6G7|A0A803K6G7_XENTR Reverse transcriptase domain-containing protein OS=Xenopus tropicalis OX=8364 PE=4 SV=1</t>
        </is>
      </c>
      <c r="M2358" t="n">
        <v>1271</v>
      </c>
      <c r="N2358" t="inlineStr">
        <is>
          <t>Xenopus tropicalis</t>
        </is>
      </c>
      <c r="O2358" t="inlineStr">
        <is>
          <t>Reverse transcriptase domain-containing protein</t>
        </is>
      </c>
    </row>
    <row r="2359">
      <c r="A2359" t="inlineStr"/>
      <c r="B2359" t="inlineStr"/>
      <c r="C2359" t="inlineStr"/>
      <c r="D2359" t="inlineStr"/>
      <c r="E2359">
        <f>HYPERLINK("https://www.uniprot.org/uniprotkb/A0A8C5QIU9/entry", "A0A8C5QIU9")</f>
        <v/>
      </c>
      <c r="F2359" t="n">
        <v>43.5</v>
      </c>
      <c r="G2359" t="n">
        <v>425</v>
      </c>
      <c r="H2359" t="n">
        <v>5.48e-110</v>
      </c>
      <c r="I2359" t="inlineStr">
        <is>
          <t>TrEMBL</t>
        </is>
      </c>
      <c r="J2359" t="inlineStr"/>
      <c r="K2359" t="inlineStr">
        <is>
          <t>A0A8C5QIU9_9ANUR</t>
        </is>
      </c>
      <c r="L2359" t="inlineStr">
        <is>
          <t>tr|A0A8C5QIU9|A0A8C5QIU9_9ANUR Reverse transcriptase domain-containing protein OS=Leptobrachium leishanense OX=445787 PE=4 SV=1</t>
        </is>
      </c>
      <c r="M2359" t="n">
        <v>998</v>
      </c>
      <c r="N2359" t="inlineStr">
        <is>
          <t>Leptobrachium leishanense</t>
        </is>
      </c>
      <c r="O2359" t="inlineStr">
        <is>
          <t>Reverse transcriptase domain-containing protein</t>
        </is>
      </c>
    </row>
    <row r="2360">
      <c r="A2360" t="inlineStr"/>
      <c r="B2360" t="inlineStr"/>
      <c r="C2360" t="inlineStr"/>
      <c r="D2360" t="inlineStr"/>
      <c r="E2360">
        <f>HYPERLINK("https://www.uniprot.org/uniprotkb/A0A803K153/entry", "A0A803K153")</f>
        <v/>
      </c>
      <c r="F2360" t="n">
        <v>44.6</v>
      </c>
      <c r="G2360" t="n">
        <v>435</v>
      </c>
      <c r="H2360" t="n">
        <v>1.48e-109</v>
      </c>
      <c r="I2360" t="inlineStr">
        <is>
          <t>TrEMBL</t>
        </is>
      </c>
      <c r="J2360" t="inlineStr"/>
      <c r="K2360" t="inlineStr">
        <is>
          <t>A0A803K153_XENTR</t>
        </is>
      </c>
      <c r="L2360" t="inlineStr">
        <is>
          <t>tr|A0A803K153|A0A803K153_XENTR Reverse transcriptase domain-containing protein OS=Xenopus tropicalis OX=8364 PE=4 SV=1</t>
        </is>
      </c>
      <c r="M2360" t="n">
        <v>1269</v>
      </c>
      <c r="N2360" t="inlineStr">
        <is>
          <t>Xenopus tropicalis</t>
        </is>
      </c>
      <c r="O2360" t="inlineStr">
        <is>
          <t>Reverse transcriptase domain-containing protein</t>
        </is>
      </c>
    </row>
    <row r="2361">
      <c r="A2361" t="inlineStr"/>
      <c r="B2361" t="inlineStr"/>
      <c r="C2361" t="inlineStr"/>
      <c r="D2361" t="inlineStr"/>
      <c r="E2361">
        <f>HYPERLINK("https://www.uniprot.org/uniprotkb/A0A8C5LM59/entry", "A0A8C5LM59")</f>
        <v/>
      </c>
      <c r="F2361" t="n">
        <v>42.8</v>
      </c>
      <c r="G2361" t="n">
        <v>425</v>
      </c>
      <c r="H2361" t="n">
        <v>1.28e-108</v>
      </c>
      <c r="I2361" t="inlineStr">
        <is>
          <t>TrEMBL</t>
        </is>
      </c>
      <c r="J2361" t="inlineStr"/>
      <c r="K2361" t="inlineStr">
        <is>
          <t>A0A8C5LM59_9ANUR</t>
        </is>
      </c>
      <c r="L2361" t="inlineStr">
        <is>
          <t>tr|A0A8C5LM59|A0A8C5LM59_9ANUR Reverse transcriptase domain-containing protein OS=Leptobrachium leishanense OX=445787 PE=4 SV=1</t>
        </is>
      </c>
      <c r="M2361" t="n">
        <v>724</v>
      </c>
      <c r="N2361" t="inlineStr">
        <is>
          <t>Leptobrachium leishanense</t>
        </is>
      </c>
      <c r="O2361" t="inlineStr">
        <is>
          <t>Reverse transcriptase domain-containing protein</t>
        </is>
      </c>
    </row>
    <row r="2362">
      <c r="A2362" t="inlineStr"/>
      <c r="B2362" t="inlineStr"/>
      <c r="C2362" t="inlineStr"/>
      <c r="D2362" t="inlineStr"/>
      <c r="E2362">
        <f>HYPERLINK("https://www.uniprot.org/uniprotkb/A0A8C5PWR8/entry", "A0A8C5PWR8")</f>
        <v/>
      </c>
      <c r="F2362" t="n">
        <v>43.5</v>
      </c>
      <c r="G2362" t="n">
        <v>425</v>
      </c>
      <c r="H2362" t="n">
        <v>4.44e-108</v>
      </c>
      <c r="I2362" t="inlineStr">
        <is>
          <t>TrEMBL</t>
        </is>
      </c>
      <c r="J2362" t="inlineStr"/>
      <c r="K2362" t="inlineStr">
        <is>
          <t>A0A8C5PWR8_9ANUR</t>
        </is>
      </c>
      <c r="L2362" t="inlineStr">
        <is>
          <t>tr|A0A8C5PWR8|A0A8C5PWR8_9ANUR Reverse transcriptase domain-containing protein OS=Leptobrachium leishanense OX=445787 PE=4 SV=1</t>
        </is>
      </c>
      <c r="M2362" t="n">
        <v>1278</v>
      </c>
      <c r="N2362" t="inlineStr">
        <is>
          <t>Leptobrachium leishanense</t>
        </is>
      </c>
      <c r="O2362" t="inlineStr">
        <is>
          <t>Reverse transcriptase domain-containing protein</t>
        </is>
      </c>
    </row>
    <row r="2363">
      <c r="A2363" t="inlineStr"/>
      <c r="B2363" t="inlineStr"/>
      <c r="C2363" t="inlineStr"/>
      <c r="D2363" t="inlineStr"/>
      <c r="E2363">
        <f>HYPERLINK("https://www.uniprot.org/uniprotkb/A0A8C5LVW1/entry", "A0A8C5LVW1")</f>
        <v/>
      </c>
      <c r="F2363" t="n">
        <v>44.5</v>
      </c>
      <c r="G2363" t="n">
        <v>434</v>
      </c>
      <c r="H2363" t="n">
        <v>2.85e-107</v>
      </c>
      <c r="I2363" t="inlineStr">
        <is>
          <t>TrEMBL</t>
        </is>
      </c>
      <c r="J2363" t="inlineStr"/>
      <c r="K2363" t="inlineStr">
        <is>
          <t>A0A8C5LVW1_9ANUR</t>
        </is>
      </c>
      <c r="L2363" t="inlineStr">
        <is>
          <t>tr|A0A8C5LVW1|A0A8C5LVW1_9ANUR Reverse transcriptase domain-containing protein OS=Leptobrachium leishanense OX=445787 PE=4 SV=1</t>
        </is>
      </c>
      <c r="M2363" t="n">
        <v>857</v>
      </c>
      <c r="N2363" t="inlineStr">
        <is>
          <t>Leptobrachium leishanense</t>
        </is>
      </c>
      <c r="O2363" t="inlineStr">
        <is>
          <t>Reverse transcriptase domain-containing protein</t>
        </is>
      </c>
    </row>
    <row r="2364">
      <c r="A2364" t="inlineStr"/>
      <c r="B2364" t="inlineStr"/>
      <c r="C2364" t="inlineStr"/>
      <c r="D2364" t="inlineStr"/>
      <c r="E2364">
        <f>HYPERLINK("https://www.uniprot.org/uniprotkb/A0A803J873/entry", "A0A803J873")</f>
        <v/>
      </c>
      <c r="F2364" t="n">
        <v>41.9</v>
      </c>
      <c r="G2364" t="n">
        <v>437</v>
      </c>
      <c r="H2364" t="n">
        <v>8.56e-107</v>
      </c>
      <c r="I2364" t="inlineStr">
        <is>
          <t>TrEMBL</t>
        </is>
      </c>
      <c r="J2364" t="inlineStr"/>
      <c r="K2364" t="inlineStr">
        <is>
          <t>A0A803J873_XENTR</t>
        </is>
      </c>
      <c r="L2364" t="inlineStr">
        <is>
          <t>tr|A0A803J873|A0A803J873_XENTR Reverse transcriptase domain-containing protein OS=Xenopus tropicalis OX=8364 PE=4 SV=1</t>
        </is>
      </c>
      <c r="M2364" t="n">
        <v>785</v>
      </c>
      <c r="N2364" t="inlineStr">
        <is>
          <t>Xenopus tropicalis</t>
        </is>
      </c>
      <c r="O2364" t="inlineStr">
        <is>
          <t>Reverse transcriptase domain-containing protein</t>
        </is>
      </c>
    </row>
    <row r="2365">
      <c r="A2365" t="inlineStr"/>
      <c r="B2365" t="inlineStr"/>
      <c r="C2365" t="inlineStr"/>
      <c r="D2365" t="inlineStr"/>
      <c r="E2365">
        <f>HYPERLINK("https://www.uniprot.org/uniprotkb/A0A6I8RW77/entry", "A0A6I8RW77")</f>
        <v/>
      </c>
      <c r="F2365" t="n">
        <v>44.1</v>
      </c>
      <c r="G2365" t="n">
        <v>429</v>
      </c>
      <c r="H2365" t="n">
        <v>5.55e-106</v>
      </c>
      <c r="I2365" t="inlineStr">
        <is>
          <t>TrEMBL</t>
        </is>
      </c>
      <c r="J2365" t="inlineStr"/>
      <c r="K2365" t="inlineStr">
        <is>
          <t>A0A6I8RW77_XENTR</t>
        </is>
      </c>
      <c r="L2365" t="inlineStr">
        <is>
          <t>tr|A0A6I8RW77|A0A6I8RW77_XENTR Reverse transcriptase domain-containing protein OS=Xenopus tropicalis OX=8364 PE=4 SV=2</t>
        </is>
      </c>
      <c r="M2365" t="n">
        <v>1148</v>
      </c>
      <c r="N2365" t="inlineStr">
        <is>
          <t>Xenopus tropicalis</t>
        </is>
      </c>
      <c r="O2365" t="inlineStr">
        <is>
          <t>Reverse transcriptase domain-containing protein</t>
        </is>
      </c>
    </row>
    <row r="2366">
      <c r="A2366" t="inlineStr"/>
      <c r="B2366" t="inlineStr"/>
      <c r="C2366" t="inlineStr"/>
      <c r="D2366" t="inlineStr"/>
      <c r="E2366">
        <f>HYPERLINK("https://www.uniprot.org/uniprotkb/A0A803KD43/entry", "A0A803KD43")</f>
        <v/>
      </c>
      <c r="F2366" t="n">
        <v>44.6</v>
      </c>
      <c r="G2366" t="n">
        <v>433</v>
      </c>
      <c r="H2366" t="n">
        <v>8.92e-106</v>
      </c>
      <c r="I2366" t="inlineStr">
        <is>
          <t>TrEMBL</t>
        </is>
      </c>
      <c r="J2366" t="inlineStr"/>
      <c r="K2366" t="inlineStr">
        <is>
          <t>A0A803KD43_XENTR</t>
        </is>
      </c>
      <c r="L2366" t="inlineStr">
        <is>
          <t>tr|A0A803KD43|A0A803KD43_XENTR Reverse transcriptase domain-containing protein OS=Xenopus tropicalis OX=8364 PE=4 SV=1</t>
        </is>
      </c>
      <c r="M2366" t="n">
        <v>908</v>
      </c>
      <c r="N2366" t="inlineStr">
        <is>
          <t>Xenopus tropicalis</t>
        </is>
      </c>
      <c r="O2366" t="inlineStr">
        <is>
          <t>Reverse transcriptase domain-containing protein</t>
        </is>
      </c>
    </row>
    <row r="2367">
      <c r="A2367" t="inlineStr"/>
      <c r="B2367" t="inlineStr"/>
      <c r="C2367" t="inlineStr"/>
      <c r="D2367" t="inlineStr"/>
      <c r="E2367">
        <f>HYPERLINK("https://www.uniprot.org/uniprotkb/A0A8C5MWH4/entry", "A0A8C5MWH4")</f>
        <v/>
      </c>
      <c r="F2367" t="n">
        <v>43.8</v>
      </c>
      <c r="G2367" t="n">
        <v>436</v>
      </c>
      <c r="H2367" t="n">
        <v>1.95e-105</v>
      </c>
      <c r="I2367" t="inlineStr">
        <is>
          <t>TrEMBL</t>
        </is>
      </c>
      <c r="J2367" t="inlineStr"/>
      <c r="K2367" t="inlineStr">
        <is>
          <t>A0A8C5MWH4_9ANUR</t>
        </is>
      </c>
      <c r="L2367" t="inlineStr">
        <is>
          <t>tr|A0A8C5MWH4|A0A8C5MWH4_9ANUR Reverse transcriptase domain-containing protein OS=Leptobrachium leishanense OX=445787 PE=4 SV=1</t>
        </is>
      </c>
      <c r="M2367" t="n">
        <v>833</v>
      </c>
      <c r="N2367" t="inlineStr">
        <is>
          <t>Leptobrachium leishanense</t>
        </is>
      </c>
      <c r="O2367" t="inlineStr">
        <is>
          <t>Reverse transcriptase domain-containing protein</t>
        </is>
      </c>
    </row>
    <row r="2368">
      <c r="A2368" t="inlineStr"/>
      <c r="B2368" t="inlineStr"/>
      <c r="C2368" t="inlineStr"/>
      <c r="D2368" t="inlineStr"/>
      <c r="E2368">
        <f>HYPERLINK("https://www.uniprot.org/uniprotkb/A0A8C5R7Q0/entry", "A0A8C5R7Q0")</f>
        <v/>
      </c>
      <c r="F2368" t="n">
        <v>42.2</v>
      </c>
      <c r="G2368" t="n">
        <v>434</v>
      </c>
      <c r="H2368" t="n">
        <v>2.8e-105</v>
      </c>
      <c r="I2368" t="inlineStr">
        <is>
          <t>TrEMBL</t>
        </is>
      </c>
      <c r="J2368" t="inlineStr"/>
      <c r="K2368" t="inlineStr">
        <is>
          <t>A0A8C5R7Q0_9ANUR</t>
        </is>
      </c>
      <c r="L2368" t="inlineStr">
        <is>
          <t>tr|A0A8C5R7Q0|A0A8C5R7Q0_9ANUR Reverse transcriptase domain-containing protein OS=Leptobrachium leishanense OX=445787 PE=4 SV=1</t>
        </is>
      </c>
      <c r="M2368" t="n">
        <v>717</v>
      </c>
      <c r="N2368" t="inlineStr">
        <is>
          <t>Leptobrachium leishanense</t>
        </is>
      </c>
      <c r="O2368" t="inlineStr">
        <is>
          <t>Reverse transcriptase domain-containing protein</t>
        </is>
      </c>
    </row>
    <row r="2369">
      <c r="A2369" t="inlineStr"/>
      <c r="B2369" t="inlineStr"/>
      <c r="C2369" t="inlineStr"/>
      <c r="D2369" t="inlineStr"/>
      <c r="E2369">
        <f>HYPERLINK("https://www.uniprot.org/uniprotkb/A0A8C5Q5N5/entry", "A0A8C5Q5N5")</f>
        <v/>
      </c>
      <c r="F2369" t="n">
        <v>43.6</v>
      </c>
      <c r="G2369" t="n">
        <v>436</v>
      </c>
      <c r="H2369" t="n">
        <v>7.52e-105</v>
      </c>
      <c r="I2369" t="inlineStr">
        <is>
          <t>TrEMBL</t>
        </is>
      </c>
      <c r="J2369" t="inlineStr"/>
      <c r="K2369" t="inlineStr">
        <is>
          <t>A0A8C5Q5N5_9ANUR</t>
        </is>
      </c>
      <c r="L2369" t="inlineStr">
        <is>
          <t>tr|A0A8C5Q5N5|A0A8C5Q5N5_9ANUR Reverse transcriptase domain-containing protein OS=Leptobrachium leishanense OX=445787 PE=4 SV=1</t>
        </is>
      </c>
      <c r="M2369" t="n">
        <v>802</v>
      </c>
      <c r="N2369" t="inlineStr">
        <is>
          <t>Leptobrachium leishanense</t>
        </is>
      </c>
      <c r="O2369" t="inlineStr">
        <is>
          <t>Reverse transcriptase domain-containing protein</t>
        </is>
      </c>
    </row>
    <row r="2370">
      <c r="A2370" t="inlineStr"/>
      <c r="B2370" t="inlineStr"/>
      <c r="C2370" t="inlineStr"/>
      <c r="D2370" t="inlineStr"/>
      <c r="E2370">
        <f>HYPERLINK("https://www.uniprot.org/uniprotkb/A0A822GMG0/entry", "A0A822GMG0")</f>
        <v/>
      </c>
      <c r="F2370" t="n">
        <v>43.5</v>
      </c>
      <c r="G2370" t="n">
        <v>421</v>
      </c>
      <c r="H2370" t="n">
        <v>1.84e-104</v>
      </c>
      <c r="I2370" t="inlineStr">
        <is>
          <t>TrEMBL</t>
        </is>
      </c>
      <c r="J2370" t="inlineStr">
        <is>
          <t>RIMITATOR_LOCUS11250381</t>
        </is>
      </c>
      <c r="K2370" t="inlineStr">
        <is>
          <t>A0A822GMG0_9NEOB</t>
        </is>
      </c>
      <c r="L2370" t="inlineStr">
        <is>
          <t>tr|A0A822GMG0|A0A822GMG0_9NEOB (mimic poison frog) hypothetical protein OS=Ranitomeya imitator OX=111125 GN=RIMITATOR_LOCUS11250381 PE=4 SV=1</t>
        </is>
      </c>
      <c r="M2370" t="n">
        <v>507</v>
      </c>
      <c r="N2370" t="inlineStr">
        <is>
          <t>Ranitomeya imitator</t>
        </is>
      </c>
      <c r="O2370" t="inlineStr">
        <is>
          <t>(mimic poison frog) hypothetical protein</t>
        </is>
      </c>
    </row>
    <row r="2371">
      <c r="A2371" t="inlineStr"/>
      <c r="B2371" t="inlineStr"/>
      <c r="C2371" t="inlineStr"/>
      <c r="D2371" t="inlineStr"/>
      <c r="E2371">
        <f>HYPERLINK("https://www.uniprot.org/uniprotkb/A0A8C5WD07/entry", "A0A8C5WD07")</f>
        <v/>
      </c>
      <c r="F2371" t="n">
        <v>42.7</v>
      </c>
      <c r="G2371" t="n">
        <v>440</v>
      </c>
      <c r="H2371" t="n">
        <v>5.529999999999999e-104</v>
      </c>
      <c r="I2371" t="inlineStr">
        <is>
          <t>TrEMBL</t>
        </is>
      </c>
      <c r="J2371" t="inlineStr"/>
      <c r="K2371" t="inlineStr">
        <is>
          <t>A0A8C5WD07_9ANUR</t>
        </is>
      </c>
      <c r="L2371" t="inlineStr">
        <is>
          <t>tr|A0A8C5WD07|A0A8C5WD07_9ANUR Reverse transcriptase domain-containing protein OS=Leptobrachium leishanense OX=445787 PE=4 SV=1</t>
        </is>
      </c>
      <c r="M2371" t="n">
        <v>895</v>
      </c>
      <c r="N2371" t="inlineStr">
        <is>
          <t>Leptobrachium leishanense</t>
        </is>
      </c>
      <c r="O2371" t="inlineStr">
        <is>
          <t>Reverse transcriptase domain-containing protein</t>
        </is>
      </c>
    </row>
    <row r="2372">
      <c r="A2372" t="inlineStr"/>
      <c r="B2372" t="inlineStr"/>
      <c r="C2372" t="inlineStr"/>
      <c r="D2372" t="inlineStr"/>
      <c r="E2372">
        <f>HYPERLINK("https://www.uniprot.org/uniprotkb/A0A803K2M0/entry", "A0A803K2M0")</f>
        <v/>
      </c>
      <c r="F2372" t="n">
        <v>42.6</v>
      </c>
      <c r="G2372" t="n">
        <v>432</v>
      </c>
      <c r="H2372" t="n">
        <v>5.64e-104</v>
      </c>
      <c r="I2372" t="inlineStr">
        <is>
          <t>TrEMBL</t>
        </is>
      </c>
      <c r="J2372" t="inlineStr"/>
      <c r="K2372" t="inlineStr">
        <is>
          <t>A0A803K2M0_XENTR</t>
        </is>
      </c>
      <c r="L2372" t="inlineStr">
        <is>
          <t>tr|A0A803K2M0|A0A803K2M0_XENTR Reverse transcriptase domain-containing protein OS=Xenopus tropicalis OX=8364 PE=4 SV=1</t>
        </is>
      </c>
      <c r="M2372" t="n">
        <v>1273</v>
      </c>
      <c r="N2372" t="inlineStr">
        <is>
          <t>Xenopus tropicalis</t>
        </is>
      </c>
      <c r="O2372" t="inlineStr">
        <is>
          <t>Reverse transcriptase domain-containing protein</t>
        </is>
      </c>
    </row>
    <row r="2373">
      <c r="A2373" t="inlineStr"/>
      <c r="B2373" t="inlineStr"/>
      <c r="C2373" t="inlineStr"/>
      <c r="D2373" t="inlineStr"/>
      <c r="E2373">
        <f>HYPERLINK("https://www.ncbi.nlm.nih.gov/gene/?term=XP_041436982.1", "XP_041436982.1")</f>
        <v/>
      </c>
      <c r="F2373" t="n">
        <v>40.5</v>
      </c>
      <c r="G2373" t="n">
        <v>435</v>
      </c>
      <c r="H2373" t="n">
        <v>1.46e-95</v>
      </c>
      <c r="I2373" t="inlineStr">
        <is>
          <t>Nr</t>
        </is>
      </c>
      <c r="J2373" t="inlineStr"/>
      <c r="K2373" t="inlineStr"/>
      <c r="L2373" t="inlineStr">
        <is>
          <t>XP_041436982.1 TRAF3 interacting protein 2 L homeolog isoform X1 [Xenopus laevis]</t>
        </is>
      </c>
      <c r="M2373" t="n">
        <v>946</v>
      </c>
      <c r="N2373" t="inlineStr">
        <is>
          <t>Xenopus laevis</t>
        </is>
      </c>
      <c r="O2373" t="inlineStr">
        <is>
          <t>TRAF3 interacting protein 2 L homeolog isoform X1</t>
        </is>
      </c>
    </row>
    <row r="2374">
      <c r="A2374" t="inlineStr"/>
      <c r="B2374" t="inlineStr"/>
      <c r="C2374" t="inlineStr"/>
      <c r="D2374" t="inlineStr"/>
      <c r="E2374">
        <f>HYPERLINK("https://www.ncbi.nlm.nih.gov/gene/?term=XP_030046348.1", "XP_030046348.1")</f>
        <v/>
      </c>
      <c r="F2374" t="n">
        <v>40.9</v>
      </c>
      <c r="G2374" t="n">
        <v>430</v>
      </c>
      <c r="H2374" t="n">
        <v>6.549999999999999e-89</v>
      </c>
      <c r="I2374" t="inlineStr">
        <is>
          <t>Nr</t>
        </is>
      </c>
      <c r="J2374" t="inlineStr"/>
      <c r="K2374" t="inlineStr"/>
      <c r="L2374" t="inlineStr">
        <is>
          <t>XP_030046348.1 zinc finger protein 721-like [Microcaecilia unicolor]</t>
        </is>
      </c>
      <c r="M2374" t="n">
        <v>1367</v>
      </c>
      <c r="N2374" t="inlineStr">
        <is>
          <t>Microcaecilia unicolor</t>
        </is>
      </c>
      <c r="O2374" t="inlineStr">
        <is>
          <t>zinc finger protein 721-like</t>
        </is>
      </c>
    </row>
    <row r="2375">
      <c r="A2375" t="inlineStr"/>
      <c r="B2375" t="inlineStr"/>
      <c r="C2375" t="inlineStr"/>
      <c r="D2375" t="inlineStr"/>
      <c r="E2375">
        <f>HYPERLINK("https://www.ncbi.nlm.nih.gov/gene/?term=OCT93828.1", "OCT93828.1")</f>
        <v/>
      </c>
      <c r="F2375" t="n">
        <v>39.7</v>
      </c>
      <c r="G2375" t="n">
        <v>431</v>
      </c>
      <c r="H2375" t="n">
        <v>8.379999999999999e-89</v>
      </c>
      <c r="I2375" t="inlineStr">
        <is>
          <t>Nr</t>
        </is>
      </c>
      <c r="J2375" t="inlineStr"/>
      <c r="K2375" t="inlineStr"/>
      <c r="L2375" t="inlineStr">
        <is>
          <t>OCT93828.1 hypothetical protein XELAEV_18011499mg [Xenopus laevis]</t>
        </is>
      </c>
      <c r="M2375" t="n">
        <v>2634</v>
      </c>
      <c r="N2375" t="inlineStr">
        <is>
          <t>Xenopus laevis</t>
        </is>
      </c>
      <c r="O2375" t="inlineStr">
        <is>
          <t>hypothetical protein XELAEV_18011499mg</t>
        </is>
      </c>
    </row>
    <row r="2376">
      <c r="A2376" t="inlineStr"/>
      <c r="B2376" t="inlineStr"/>
      <c r="C2376" t="inlineStr"/>
      <c r="D2376" t="inlineStr"/>
      <c r="E2376">
        <f>HYPERLINK("https://www.ncbi.nlm.nih.gov/gene/?term=KAF7655941.1", "KAF7655941.1")</f>
        <v/>
      </c>
      <c r="F2376" t="n">
        <v>38.5</v>
      </c>
      <c r="G2376" t="n">
        <v>431</v>
      </c>
      <c r="H2376" t="n">
        <v>1.42e-86</v>
      </c>
      <c r="I2376" t="inlineStr">
        <is>
          <t>Nr</t>
        </is>
      </c>
      <c r="J2376" t="inlineStr"/>
      <c r="K2376" t="inlineStr"/>
      <c r="L2376" t="inlineStr">
        <is>
          <t>KAF7655941.1 hypothetical protein LDENG_00048150 [Lucifuga dentata]</t>
        </is>
      </c>
      <c r="M2376" t="n">
        <v>831</v>
      </c>
      <c r="N2376" t="inlineStr">
        <is>
          <t>Lucifuga dentata</t>
        </is>
      </c>
      <c r="O2376" t="inlineStr">
        <is>
          <t>hypothetical protein LDENG_00048150</t>
        </is>
      </c>
    </row>
    <row r="2377">
      <c r="A2377" t="inlineStr"/>
      <c r="B2377" t="inlineStr"/>
      <c r="C2377" t="inlineStr"/>
      <c r="D2377" t="inlineStr"/>
      <c r="E2377">
        <f>HYPERLINK("https://www.ncbi.nlm.nih.gov/gene/?term=XP_040178291.1", "XP_040178291.1")</f>
        <v/>
      </c>
      <c r="F2377" t="n">
        <v>37.3</v>
      </c>
      <c r="G2377" t="n">
        <v>434</v>
      </c>
      <c r="H2377" t="n">
        <v>2.15e-84</v>
      </c>
      <c r="I2377" t="inlineStr">
        <is>
          <t>Nr</t>
        </is>
      </c>
      <c r="J2377" t="inlineStr"/>
      <c r="K2377" t="inlineStr"/>
      <c r="L2377" t="inlineStr">
        <is>
          <t>XP_040178291.1 uncharacterized protein LOC120910599, partial [Rana temporaria]</t>
        </is>
      </c>
      <c r="M2377" t="n">
        <v>2918</v>
      </c>
      <c r="N2377" t="inlineStr">
        <is>
          <t>Rana temporaria</t>
        </is>
      </c>
      <c r="O2377" t="inlineStr">
        <is>
          <t>uncharacterized protein LOC120910599, partial</t>
        </is>
      </c>
    </row>
    <row r="2378">
      <c r="A2378" t="inlineStr"/>
      <c r="B2378" t="inlineStr"/>
      <c r="C2378" t="inlineStr"/>
      <c r="D2378" t="inlineStr"/>
      <c r="E2378">
        <f>HYPERLINK("https://www.ncbi.nlm.nih.gov/gene/?term=KAI9999450.1", "KAI9999450.1")</f>
        <v/>
      </c>
      <c r="F2378" t="n">
        <v>38.3</v>
      </c>
      <c r="G2378" t="n">
        <v>433</v>
      </c>
      <c r="H2378" t="n">
        <v>4.29e-84</v>
      </c>
      <c r="I2378" t="inlineStr">
        <is>
          <t>Nr</t>
        </is>
      </c>
      <c r="J2378" t="inlineStr"/>
      <c r="K2378" t="inlineStr"/>
      <c r="L2378" t="inlineStr">
        <is>
          <t>KAI9999450.1 hypothetical protein NQD34_018194 [Periophthalmus magnuspinnatus]</t>
        </is>
      </c>
      <c r="M2378" t="n">
        <v>501</v>
      </c>
      <c r="N2378" t="inlineStr">
        <is>
          <t>Periophthalmus magnuspinnatus</t>
        </is>
      </c>
      <c r="O2378" t="inlineStr">
        <is>
          <t>hypothetical protein NQD34_018194</t>
        </is>
      </c>
    </row>
    <row r="2379">
      <c r="A2379" t="inlineStr"/>
      <c r="B2379" t="inlineStr"/>
      <c r="C2379" t="inlineStr"/>
      <c r="D2379" t="inlineStr"/>
      <c r="E2379">
        <f>HYPERLINK("https://www.ncbi.nlm.nih.gov/gene/?term=CAI5669518.1", "CAI5669518.1")</f>
        <v/>
      </c>
      <c r="F2379" t="n">
        <v>38.7</v>
      </c>
      <c r="G2379" t="n">
        <v>434</v>
      </c>
      <c r="H2379" t="n">
        <v>4.53e-84</v>
      </c>
      <c r="I2379" t="inlineStr">
        <is>
          <t>Nr</t>
        </is>
      </c>
      <c r="J2379" t="inlineStr"/>
      <c r="K2379" t="inlineStr"/>
      <c r="L2379" t="inlineStr">
        <is>
          <t>CAI5669518.1 unnamed protein product [Mustela putorius furo]</t>
        </is>
      </c>
      <c r="M2379" t="n">
        <v>1266</v>
      </c>
      <c r="N2379" t="inlineStr">
        <is>
          <t>Mustela putorius furo</t>
        </is>
      </c>
      <c r="O2379" t="inlineStr">
        <is>
          <t>unnamed protein product</t>
        </is>
      </c>
    </row>
    <row r="2380">
      <c r="A2380" t="inlineStr"/>
      <c r="B2380" t="inlineStr"/>
      <c r="C2380" t="inlineStr"/>
      <c r="D2380" t="inlineStr"/>
      <c r="E2380">
        <f>HYPERLINK("https://www.ncbi.nlm.nih.gov/gene/?term=CAI5686128.1", "CAI5686128.1")</f>
        <v/>
      </c>
      <c r="F2380" t="n">
        <v>39.4</v>
      </c>
      <c r="G2380" t="n">
        <v>429</v>
      </c>
      <c r="H2380" t="n">
        <v>1.58e-83</v>
      </c>
      <c r="I2380" t="inlineStr">
        <is>
          <t>Nr</t>
        </is>
      </c>
      <c r="J2380" t="inlineStr"/>
      <c r="K2380" t="inlineStr"/>
      <c r="L2380" t="inlineStr">
        <is>
          <t>CAI5686128.1 unnamed protein product [Mustela putorius furo]</t>
        </is>
      </c>
      <c r="M2380" t="n">
        <v>931</v>
      </c>
      <c r="N2380" t="inlineStr">
        <is>
          <t>Mustela putorius furo</t>
        </is>
      </c>
      <c r="O2380" t="inlineStr">
        <is>
          <t>unnamed protein product</t>
        </is>
      </c>
    </row>
    <row r="2381">
      <c r="A2381" t="inlineStr"/>
      <c r="B2381" t="inlineStr"/>
      <c r="C2381" t="inlineStr"/>
      <c r="D2381" t="inlineStr"/>
      <c r="E2381">
        <f>HYPERLINK("https://www.ncbi.nlm.nih.gov/gene/?term=AGO18322.1", "AGO18322.1")</f>
        <v/>
      </c>
      <c r="F2381" t="n">
        <v>38.2</v>
      </c>
      <c r="G2381" t="n">
        <v>434</v>
      </c>
      <c r="H2381" t="n">
        <v>1.87e-82</v>
      </c>
      <c r="I2381" t="inlineStr">
        <is>
          <t>Nr</t>
        </is>
      </c>
      <c r="J2381" t="inlineStr"/>
      <c r="K2381" t="inlineStr"/>
      <c r="L2381" t="inlineStr">
        <is>
          <t>AGO18322.1 reverse transcriptase, partial [Clarias batrachus]</t>
        </is>
      </c>
      <c r="M2381" t="n">
        <v>1250</v>
      </c>
      <c r="N2381" t="inlineStr">
        <is>
          <t>Clarias batrachus</t>
        </is>
      </c>
      <c r="O2381" t="inlineStr">
        <is>
          <t>reverse transcriptase, partial</t>
        </is>
      </c>
    </row>
    <row r="2382">
      <c r="A2382" t="inlineStr"/>
      <c r="B2382" t="inlineStr"/>
      <c r="C2382" t="inlineStr"/>
      <c r="D2382" t="inlineStr"/>
      <c r="E2382">
        <f>HYPERLINK("https://www.ncbi.nlm.nih.gov/gene/?term=CDQ98837.1", "CDQ98837.1")</f>
        <v/>
      </c>
      <c r="F2382" t="n">
        <v>38.1</v>
      </c>
      <c r="G2382" t="n">
        <v>423</v>
      </c>
      <c r="H2382" t="n">
        <v>2.09e-82</v>
      </c>
      <c r="I2382" t="inlineStr">
        <is>
          <t>Nr</t>
        </is>
      </c>
      <c r="J2382" t="inlineStr"/>
      <c r="K2382" t="inlineStr"/>
      <c r="L2382" t="inlineStr">
        <is>
          <t>CDQ98837.1 unnamed protein product [Oncorhynchus mykiss]</t>
        </is>
      </c>
      <c r="M2382" t="n">
        <v>628</v>
      </c>
      <c r="N2382" t="inlineStr">
        <is>
          <t>Oncorhynchus mykiss</t>
        </is>
      </c>
      <c r="O2382" t="inlineStr">
        <is>
          <t>unnamed protein product</t>
        </is>
      </c>
    </row>
    <row r="2383">
      <c r="A2383" t="inlineStr"/>
      <c r="B2383" t="inlineStr"/>
      <c r="C2383" t="inlineStr"/>
      <c r="D2383" t="inlineStr"/>
      <c r="E2383">
        <f>HYPERLINK("https://www.ncbi.nlm.nih.gov/gene/?term=KAI5085203.1", "KAI5085203.1")</f>
        <v/>
      </c>
      <c r="F2383" t="n">
        <v>43.5</v>
      </c>
      <c r="G2383" t="n">
        <v>345</v>
      </c>
      <c r="H2383" t="n">
        <v>5.959999999999999e-82</v>
      </c>
      <c r="I2383" t="inlineStr">
        <is>
          <t>Nr</t>
        </is>
      </c>
      <c r="J2383" t="inlineStr"/>
      <c r="K2383" t="inlineStr"/>
      <c r="L2383" t="inlineStr">
        <is>
          <t>KAI5085203.1 hypothetical protein C0J45_3278, partial [Silurus meridionalis]</t>
        </is>
      </c>
      <c r="M2383" t="n">
        <v>644</v>
      </c>
      <c r="N2383" t="inlineStr">
        <is>
          <t>Silurus meridionalis</t>
        </is>
      </c>
      <c r="O2383" t="inlineStr">
        <is>
          <t>hypothetical protein C0J45_3278, partial</t>
        </is>
      </c>
    </row>
    <row r="2384">
      <c r="A2384" t="inlineStr"/>
      <c r="B2384" t="inlineStr"/>
      <c r="C2384" t="inlineStr"/>
      <c r="D2384" t="inlineStr"/>
      <c r="E2384">
        <f>HYPERLINK("https://www.ncbi.nlm.nih.gov/gene/?term=KAF7704191.1", "KAF7704191.1")</f>
        <v/>
      </c>
      <c r="F2384" t="n">
        <v>43.5</v>
      </c>
      <c r="G2384" t="n">
        <v>345</v>
      </c>
      <c r="H2384" t="n">
        <v>5.959999999999999e-82</v>
      </c>
      <c r="I2384" t="inlineStr">
        <is>
          <t>Nr</t>
        </is>
      </c>
      <c r="J2384" t="inlineStr"/>
      <c r="K2384" t="inlineStr"/>
      <c r="L2384" t="inlineStr">
        <is>
          <t>KAF7704191.1 hypothetical protein HF521_021263, partial [Silurus meridionalis]</t>
        </is>
      </c>
      <c r="M2384" t="n">
        <v>644</v>
      </c>
      <c r="N2384" t="inlineStr">
        <is>
          <t>Silurus meridionalis</t>
        </is>
      </c>
      <c r="O2384" t="inlineStr">
        <is>
          <t>hypothetical protein HF521_021263, partial</t>
        </is>
      </c>
    </row>
    <row r="2385">
      <c r="A2385" t="inlineStr"/>
      <c r="B2385" t="inlineStr"/>
      <c r="C2385" t="inlineStr"/>
      <c r="D2385" t="inlineStr"/>
      <c r="E2385">
        <f>HYPERLINK("https://www.ncbi.nlm.nih.gov/gene/?term=PIO23924.1", "PIO23924.1")</f>
        <v/>
      </c>
      <c r="F2385" t="n">
        <v>37.4</v>
      </c>
      <c r="G2385" t="n">
        <v>433</v>
      </c>
      <c r="H2385" t="n">
        <v>1e-81</v>
      </c>
      <c r="I2385" t="inlineStr">
        <is>
          <t>Nr</t>
        </is>
      </c>
      <c r="J2385" t="inlineStr"/>
      <c r="K2385" t="inlineStr"/>
      <c r="L2385" t="inlineStr">
        <is>
          <t>PIO23924.1 hypothetical protein AB205_0061220 [Lithobates catesbeianus]</t>
        </is>
      </c>
      <c r="M2385" t="n">
        <v>652</v>
      </c>
      <c r="N2385" t="inlineStr">
        <is>
          <t>Lithobates catesbeianus</t>
        </is>
      </c>
      <c r="O2385" t="inlineStr">
        <is>
          <t>hypothetical protein AB205_0061220</t>
        </is>
      </c>
    </row>
    <row r="2386">
      <c r="A2386" t="inlineStr"/>
      <c r="B2386" t="inlineStr"/>
      <c r="C2386" t="inlineStr"/>
      <c r="D2386" t="inlineStr"/>
      <c r="E2386">
        <f>HYPERLINK("https://www.ncbi.nlm.nih.gov/gene/?term=CAI5669672.1", "CAI5669672.1")</f>
        <v/>
      </c>
      <c r="F2386" t="n">
        <v>39.8</v>
      </c>
      <c r="G2386" t="n">
        <v>432</v>
      </c>
      <c r="H2386" t="n">
        <v>3.74e-81</v>
      </c>
      <c r="I2386" t="inlineStr">
        <is>
          <t>Nr</t>
        </is>
      </c>
      <c r="J2386" t="inlineStr"/>
      <c r="K2386" t="inlineStr"/>
      <c r="L2386" t="inlineStr">
        <is>
          <t>CAI5669672.1 unnamed protein product [Mustela putorius furo]</t>
        </is>
      </c>
      <c r="M2386" t="n">
        <v>1271</v>
      </c>
      <c r="N2386" t="inlineStr">
        <is>
          <t>Mustela putorius furo</t>
        </is>
      </c>
      <c r="O2386" t="inlineStr">
        <is>
          <t>unnamed protein product</t>
        </is>
      </c>
    </row>
    <row r="2387">
      <c r="A2387" t="inlineStr"/>
      <c r="B2387" t="inlineStr"/>
      <c r="C2387" t="inlineStr"/>
      <c r="D2387" t="inlineStr"/>
      <c r="E2387">
        <f>HYPERLINK("https://www.ncbi.nlm.nih.gov/gene/?term=CAI5680952.1", "CAI5680952.1")</f>
        <v/>
      </c>
      <c r="F2387" t="n">
        <v>39.8</v>
      </c>
      <c r="G2387" t="n">
        <v>432</v>
      </c>
      <c r="H2387" t="n">
        <v>3.74e-81</v>
      </c>
      <c r="I2387" t="inlineStr">
        <is>
          <t>Nr</t>
        </is>
      </c>
      <c r="J2387" t="inlineStr"/>
      <c r="K2387" t="inlineStr"/>
      <c r="L2387" t="inlineStr">
        <is>
          <t>CAI5680952.1 unnamed protein product [Mustela putorius furo]</t>
        </is>
      </c>
      <c r="M2387" t="n">
        <v>1271</v>
      </c>
      <c r="N2387" t="inlineStr">
        <is>
          <t>Mustela putorius furo</t>
        </is>
      </c>
      <c r="O2387" t="inlineStr">
        <is>
          <t>unnamed protein product</t>
        </is>
      </c>
    </row>
    <row r="2388">
      <c r="A2388" t="inlineStr"/>
      <c r="B2388" t="inlineStr"/>
      <c r="C2388" t="inlineStr"/>
      <c r="D2388" t="inlineStr"/>
      <c r="E2388">
        <f>HYPERLINK("https://www.ncbi.nlm.nih.gov/gene/?term=MCI4381688.1", "MCI4381688.1")</f>
        <v/>
      </c>
      <c r="F2388" t="n">
        <v>37.6</v>
      </c>
      <c r="G2388" t="n">
        <v>431</v>
      </c>
      <c r="H2388" t="n">
        <v>5.58e-81</v>
      </c>
      <c r="I2388" t="inlineStr">
        <is>
          <t>Nr</t>
        </is>
      </c>
      <c r="J2388" t="inlineStr"/>
      <c r="K2388" t="inlineStr"/>
      <c r="L2388" t="inlineStr">
        <is>
          <t>MCI4381688.1 hypothetical protein [Pangasianodon gigas]</t>
        </is>
      </c>
      <c r="M2388" t="n">
        <v>638</v>
      </c>
      <c r="N2388" t="inlineStr">
        <is>
          <t>Pangasianodon gigas</t>
        </is>
      </c>
      <c r="O2388" t="inlineStr">
        <is>
          <t>hypothetical protein</t>
        </is>
      </c>
    </row>
    <row r="2389">
      <c r="A2389" t="inlineStr"/>
      <c r="B2389" t="inlineStr"/>
      <c r="C2389" t="inlineStr"/>
      <c r="D2389" t="inlineStr"/>
      <c r="E2389">
        <f>HYPERLINK("https://www.ncbi.nlm.nih.gov/gene/?term=CAI5681002.1", "CAI5681002.1")</f>
        <v/>
      </c>
      <c r="F2389" t="n">
        <v>39.4</v>
      </c>
      <c r="G2389" t="n">
        <v>431</v>
      </c>
      <c r="H2389" t="n">
        <v>9.7e-81</v>
      </c>
      <c r="I2389" t="inlineStr">
        <is>
          <t>Nr</t>
        </is>
      </c>
      <c r="J2389" t="inlineStr"/>
      <c r="K2389" t="inlineStr"/>
      <c r="L2389" t="inlineStr">
        <is>
          <t>CAI5681002.1 unnamed protein product [Mustela putorius furo]</t>
        </is>
      </c>
      <c r="M2389" t="n">
        <v>1271</v>
      </c>
      <c r="N2389" t="inlineStr">
        <is>
          <t>Mustela putorius furo</t>
        </is>
      </c>
      <c r="O2389" t="inlineStr">
        <is>
          <t>unnamed protein product</t>
        </is>
      </c>
    </row>
    <row r="2390">
      <c r="A2390" t="inlineStr"/>
      <c r="B2390" t="inlineStr"/>
      <c r="C2390" t="inlineStr"/>
      <c r="D2390" t="inlineStr"/>
      <c r="E2390">
        <f>HYPERLINK("https://www.ncbi.nlm.nih.gov/gene/?term=WP_206600888.1", "WP_206600888.1")</f>
        <v/>
      </c>
      <c r="F2390" t="n">
        <v>35.2</v>
      </c>
      <c r="G2390" t="n">
        <v>435</v>
      </c>
      <c r="H2390" t="n">
        <v>1.7e-80</v>
      </c>
      <c r="I2390" t="inlineStr">
        <is>
          <t>Nr</t>
        </is>
      </c>
      <c r="J2390" t="inlineStr"/>
      <c r="K2390" t="inlineStr"/>
      <c r="L2390" t="inlineStr">
        <is>
          <t>WP_206600888.1 reverse transcriptase family protein, partial [Chlamydia abortus]</t>
        </is>
      </c>
      <c r="M2390" t="n">
        <v>673</v>
      </c>
      <c r="N2390" t="inlineStr">
        <is>
          <t>Chlamydia abortus</t>
        </is>
      </c>
      <c r="O2390" t="inlineStr">
        <is>
          <t>reverse transcriptase family protein, partial</t>
        </is>
      </c>
    </row>
    <row r="2391">
      <c r="A2391" t="inlineStr"/>
      <c r="B2391" t="inlineStr"/>
      <c r="C2391" t="inlineStr"/>
      <c r="D2391" t="inlineStr"/>
      <c r="E2391">
        <f>HYPERLINK("https://www.ncbi.nlm.nih.gov/gene/?term=SGA27146.1", "SGA27146.1")</f>
        <v/>
      </c>
      <c r="F2391" t="n">
        <v>35.2</v>
      </c>
      <c r="G2391" t="n">
        <v>435</v>
      </c>
      <c r="H2391" t="n">
        <v>2.07e-80</v>
      </c>
      <c r="I2391" t="inlineStr">
        <is>
          <t>Nr</t>
        </is>
      </c>
      <c r="J2391" t="inlineStr"/>
      <c r="K2391" t="inlineStr"/>
      <c r="L2391" t="inlineStr">
        <is>
          <t>SGA27146.1 Retron-type reverse transcriptase [Chlamydia abortus]</t>
        </is>
      </c>
      <c r="M2391" t="n">
        <v>682</v>
      </c>
      <c r="N2391" t="inlineStr">
        <is>
          <t>Chlamydia abortus</t>
        </is>
      </c>
      <c r="O2391" t="inlineStr">
        <is>
          <t>Retron-type reverse transcriptase</t>
        </is>
      </c>
    </row>
    <row r="2392">
      <c r="A2392" t="inlineStr"/>
      <c r="B2392" t="inlineStr"/>
      <c r="C2392" t="inlineStr"/>
      <c r="D2392" t="inlineStr"/>
      <c r="E2392">
        <f>HYPERLINK("https://www.ncbi.nlm.nih.gov/gene/?term=WP_214028793.1", "WP_214028793.1")</f>
        <v/>
      </c>
      <c r="F2392" t="n">
        <v>35.2</v>
      </c>
      <c r="G2392" t="n">
        <v>435</v>
      </c>
      <c r="H2392" t="n">
        <v>5.11e-80</v>
      </c>
      <c r="I2392" t="inlineStr">
        <is>
          <t>Nr</t>
        </is>
      </c>
      <c r="J2392" t="inlineStr"/>
      <c r="K2392" t="inlineStr"/>
      <c r="L2392" t="inlineStr">
        <is>
          <t>WP_214028793.1 reverse transcriptase family protein, partial [Escherichia coli]</t>
        </is>
      </c>
      <c r="M2392" t="n">
        <v>646</v>
      </c>
      <c r="N2392" t="inlineStr">
        <is>
          <t>Escherichia coli</t>
        </is>
      </c>
      <c r="O2392" t="inlineStr">
        <is>
          <t>reverse transcriptase family protein, partial</t>
        </is>
      </c>
    </row>
    <row r="2393">
      <c r="A2393" t="inlineStr"/>
      <c r="B2393" t="inlineStr"/>
      <c r="C2393" t="inlineStr"/>
      <c r="D2393" t="inlineStr"/>
      <c r="E2393">
        <f>HYPERLINK("https://www.uniprot.org/uniprotkb/P08548/entry", "P08548")</f>
        <v/>
      </c>
      <c r="F2393" t="n">
        <v>36.8</v>
      </c>
      <c r="G2393" t="n">
        <v>435</v>
      </c>
      <c r="H2393" t="n">
        <v>6.38e-80</v>
      </c>
      <c r="I2393" t="inlineStr">
        <is>
          <t>Swiss-Prot</t>
        </is>
      </c>
      <c r="J2393" t="inlineStr"/>
      <c r="K2393" t="inlineStr">
        <is>
          <t>LIN1_NYCCO</t>
        </is>
      </c>
      <c r="L2393" t="inlineStr">
        <is>
          <t>sp|P08548|LIN1_NYCCO LINE-1 reverse transcriptase homolog OS=Nycticebus coucang OX=9470 PE=4 SV=1</t>
        </is>
      </c>
      <c r="M2393" t="n">
        <v>1260</v>
      </c>
      <c r="N2393" t="inlineStr">
        <is>
          <t>Nycticebus coucang</t>
        </is>
      </c>
      <c r="O2393" t="inlineStr">
        <is>
          <t>LINE-1 reverse transcriptase homolog</t>
        </is>
      </c>
    </row>
    <row r="2394">
      <c r="A2394" t="inlineStr"/>
      <c r="B2394" t="inlineStr"/>
      <c r="C2394" t="inlineStr"/>
      <c r="D2394" t="inlineStr"/>
      <c r="E2394">
        <f>HYPERLINK("https://www.ncbi.nlm.nih.gov/gene/?term=WP_214505071.1", "WP_214505071.1")</f>
        <v/>
      </c>
      <c r="F2394" t="n">
        <v>35.2</v>
      </c>
      <c r="G2394" t="n">
        <v>435</v>
      </c>
      <c r="H2394" t="n">
        <v>9.400000000000001e-80</v>
      </c>
      <c r="I2394" t="inlineStr">
        <is>
          <t>Nr</t>
        </is>
      </c>
      <c r="J2394" t="inlineStr"/>
      <c r="K2394" t="inlineStr"/>
      <c r="L2394" t="inlineStr">
        <is>
          <t>WP_214505071.1 reverse transcriptase family protein, partial [Mycobacterium tuberculosis]</t>
        </is>
      </c>
      <c r="M2394" t="n">
        <v>628</v>
      </c>
      <c r="N2394" t="inlineStr">
        <is>
          <t>Mycobacterium tuberculosis</t>
        </is>
      </c>
      <c r="O2394" t="inlineStr">
        <is>
          <t>reverse transcriptase family protein, partial</t>
        </is>
      </c>
    </row>
    <row r="2395">
      <c r="A2395" t="inlineStr"/>
      <c r="B2395" t="inlineStr"/>
      <c r="C2395" t="inlineStr"/>
      <c r="D2395" t="inlineStr"/>
      <c r="E2395">
        <f>HYPERLINK("https://www.ncbi.nlm.nih.gov/gene/?term=WP_202613288.1", "WP_202613288.1")</f>
        <v/>
      </c>
      <c r="F2395" t="n">
        <v>35.2</v>
      </c>
      <c r="G2395" t="n">
        <v>435</v>
      </c>
      <c r="H2395" t="n">
        <v>1.41e-79</v>
      </c>
      <c r="I2395" t="inlineStr">
        <is>
          <t>Nr</t>
        </is>
      </c>
      <c r="J2395" t="inlineStr"/>
      <c r="K2395" t="inlineStr"/>
      <c r="L2395" t="inlineStr">
        <is>
          <t>WP_202613288.1 reverse transcriptase family protein, partial [Bifidobacterium tibiigranuli]</t>
        </is>
      </c>
      <c r="M2395" t="n">
        <v>616</v>
      </c>
      <c r="N2395" t="inlineStr">
        <is>
          <t>Bifidobacterium tibiigranuli</t>
        </is>
      </c>
      <c r="O2395" t="inlineStr">
        <is>
          <t>reverse transcriptase family protein, partial</t>
        </is>
      </c>
    </row>
    <row r="2396">
      <c r="A2396" t="inlineStr"/>
      <c r="B2396" t="inlineStr"/>
      <c r="C2396" t="inlineStr"/>
      <c r="D2396" t="inlineStr"/>
      <c r="E2396">
        <f>HYPERLINK("https://www.ncbi.nlm.nih.gov/gene/?term=MBN3292304.1", "MBN3292304.1")</f>
        <v/>
      </c>
      <c r="F2396" t="n">
        <v>36</v>
      </c>
      <c r="G2396" t="n">
        <v>431</v>
      </c>
      <c r="H2396" t="n">
        <v>1.49e-79</v>
      </c>
      <c r="I2396" t="inlineStr">
        <is>
          <t>Nr</t>
        </is>
      </c>
      <c r="J2396" t="inlineStr"/>
      <c r="K2396" t="inlineStr"/>
      <c r="L2396" t="inlineStr">
        <is>
          <t>MBN3292304.1 LORF2 protein [Polypterus senegalus]</t>
        </is>
      </c>
      <c r="M2396" t="n">
        <v>521</v>
      </c>
      <c r="N2396" t="inlineStr">
        <is>
          <t>Polypterus senegalus</t>
        </is>
      </c>
      <c r="O2396" t="inlineStr">
        <is>
          <t>LORF2 protein</t>
        </is>
      </c>
    </row>
    <row r="2397">
      <c r="A2397" t="inlineStr"/>
      <c r="B2397" t="inlineStr"/>
      <c r="C2397" t="inlineStr"/>
      <c r="D2397" t="inlineStr"/>
      <c r="E2397">
        <f>HYPERLINK("https://www.ncbi.nlm.nih.gov/gene/?term=KAJ0061406.1", "KAJ0061406.1")</f>
        <v/>
      </c>
      <c r="F2397" t="n">
        <v>37.6</v>
      </c>
      <c r="G2397" t="n">
        <v>428</v>
      </c>
      <c r="H2397" t="n">
        <v>2.15e-79</v>
      </c>
      <c r="I2397" t="inlineStr">
        <is>
          <t>Nr</t>
        </is>
      </c>
      <c r="J2397" t="inlineStr"/>
      <c r="K2397" t="inlineStr"/>
      <c r="L2397" t="inlineStr">
        <is>
          <t>KAJ0061406.1 hypothetical protein NL108_018634 [Boleophthalmus pectinirostris]</t>
        </is>
      </c>
      <c r="M2397" t="n">
        <v>1258</v>
      </c>
      <c r="N2397" t="inlineStr">
        <is>
          <t>Boleophthalmus pectinirostris</t>
        </is>
      </c>
      <c r="O2397" t="inlineStr">
        <is>
          <t>hypothetical protein NL108_018634</t>
        </is>
      </c>
    </row>
    <row r="2398">
      <c r="A2398" t="inlineStr"/>
      <c r="B2398" t="inlineStr"/>
      <c r="C2398" t="inlineStr"/>
      <c r="D2398" t="inlineStr"/>
      <c r="E2398">
        <f>HYPERLINK("https://www.ncbi.nlm.nih.gov/gene/?term=KAI5628117.1", "KAI5628117.1")</f>
        <v/>
      </c>
      <c r="F2398" t="n">
        <v>36.9</v>
      </c>
      <c r="G2398" t="n">
        <v>423</v>
      </c>
      <c r="H2398" t="n">
        <v>2.19e-79</v>
      </c>
      <c r="I2398" t="inlineStr">
        <is>
          <t>Nr</t>
        </is>
      </c>
      <c r="J2398" t="inlineStr"/>
      <c r="K2398" t="inlineStr"/>
      <c r="L2398" t="inlineStr">
        <is>
          <t>KAI5628117.1 hypothetical protein C0J50_8261, partial [Silurus asotus]</t>
        </is>
      </c>
      <c r="M2398" t="n">
        <v>1003</v>
      </c>
      <c r="N2398" t="inlineStr">
        <is>
          <t>Silurus asotus</t>
        </is>
      </c>
      <c r="O2398" t="inlineStr">
        <is>
          <t>hypothetical protein C0J50_8261, partial</t>
        </is>
      </c>
    </row>
    <row r="2399">
      <c r="A2399" t="inlineStr"/>
      <c r="B2399" t="inlineStr"/>
      <c r="C2399" t="inlineStr"/>
      <c r="D2399" t="inlineStr"/>
      <c r="E2399">
        <f>HYPERLINK("https://www.uniprot.org/uniprotkb/O00370/entry", "O00370")</f>
        <v/>
      </c>
      <c r="F2399" t="n">
        <v>35.4</v>
      </c>
      <c r="G2399" t="n">
        <v>435</v>
      </c>
      <c r="H2399" t="n">
        <v>2.42e-79</v>
      </c>
      <c r="I2399" t="inlineStr">
        <is>
          <t>Swiss-Prot</t>
        </is>
      </c>
      <c r="J2399" t="inlineStr"/>
      <c r="K2399" t="inlineStr">
        <is>
          <t>LORF2_HUMAN</t>
        </is>
      </c>
      <c r="L2399" t="inlineStr">
        <is>
          <t>sp|O00370|LORF2_HUMAN LINE-1 retrotransposable element ORF2 protein OS=Homo sapiens OX=9606 PE=1 SV=1</t>
        </is>
      </c>
      <c r="M2399" t="n">
        <v>1275</v>
      </c>
      <c r="N2399" t="inlineStr">
        <is>
          <t>Homo sapiens</t>
        </is>
      </c>
      <c r="O2399" t="inlineStr">
        <is>
          <t>LINE-1 retrotransposable element ORF2 protein</t>
        </is>
      </c>
    </row>
    <row r="2400">
      <c r="A2400" t="inlineStr"/>
      <c r="B2400" t="inlineStr"/>
      <c r="C2400" t="inlineStr"/>
      <c r="D2400" t="inlineStr"/>
      <c r="E2400">
        <f>HYPERLINK("https://www.uniprot.org/uniprotkb/P11369/entry", "P11369")</f>
        <v/>
      </c>
      <c r="F2400" t="n">
        <v>34.9</v>
      </c>
      <c r="G2400" t="n">
        <v>435</v>
      </c>
      <c r="H2400" t="n">
        <v>1.61e-75</v>
      </c>
      <c r="I2400" t="inlineStr">
        <is>
          <t>Swiss-Prot</t>
        </is>
      </c>
      <c r="J2400" t="inlineStr">
        <is>
          <t>Pol</t>
        </is>
      </c>
      <c r="K2400" t="inlineStr">
        <is>
          <t>LORF2_MOUSE</t>
        </is>
      </c>
      <c r="L2400" t="inlineStr">
        <is>
          <t>sp|P11369|LORF2_MOUSE LINE-1 retrotransposable element ORF2 protein OS=Mus musculus OX=10090 GN=Pol PE=1 SV=2</t>
        </is>
      </c>
      <c r="M2400" t="n">
        <v>1281</v>
      </c>
      <c r="N2400" t="inlineStr">
        <is>
          <t>Mus musculus</t>
        </is>
      </c>
      <c r="O2400" t="inlineStr">
        <is>
          <t>LINE-1 retrotransposable element ORF2 protein</t>
        </is>
      </c>
    </row>
    <row r="2401">
      <c r="A2401" t="inlineStr"/>
      <c r="B2401" t="inlineStr"/>
      <c r="C2401" t="inlineStr"/>
      <c r="D2401" t="inlineStr"/>
      <c r="E2401">
        <f>HYPERLINK("https://www.uniprot.org/uniprotkb/P14381/entry", "P14381")</f>
        <v/>
      </c>
      <c r="F2401" t="n">
        <v>32</v>
      </c>
      <c r="G2401" t="n">
        <v>338</v>
      </c>
      <c r="H2401" t="n">
        <v>2.62e-45</v>
      </c>
      <c r="I2401" t="inlineStr">
        <is>
          <t>Swiss-Prot</t>
        </is>
      </c>
      <c r="J2401" t="inlineStr"/>
      <c r="K2401" t="inlineStr">
        <is>
          <t>YTX2_XENLA</t>
        </is>
      </c>
      <c r="L2401" t="inlineStr">
        <is>
          <t>sp|P14381|YTX2_XENLA Transposon TX1 uncharacterized 149 kDa protein OS=Xenopus laevis OX=8355 PE=4 SV=1</t>
        </is>
      </c>
      <c r="M2401" t="n">
        <v>1308</v>
      </c>
      <c r="N2401" t="inlineStr">
        <is>
          <t>Xenopus laevis</t>
        </is>
      </c>
      <c r="O2401" t="inlineStr">
        <is>
          <t>Transposon TX1 uncharacterized 149 kDa protein</t>
        </is>
      </c>
    </row>
    <row r="2402">
      <c r="A2402" t="inlineStr"/>
      <c r="B2402" t="inlineStr"/>
      <c r="C2402" t="inlineStr"/>
      <c r="D2402" t="inlineStr"/>
      <c r="E2402">
        <f>HYPERLINK("https://www.uniprot.org/uniprotkb/A0A8C5MIZ2/entry", "A0A8C5MIZ2")</f>
        <v/>
      </c>
      <c r="F2402" t="n">
        <v>30.2</v>
      </c>
      <c r="G2402" t="n">
        <v>275</v>
      </c>
      <c r="H2402" t="n">
        <v>2.4e-36</v>
      </c>
      <c r="I2402" t="inlineStr">
        <is>
          <t>TrEMBL</t>
        </is>
      </c>
      <c r="J2402" t="inlineStr"/>
      <c r="K2402" t="inlineStr">
        <is>
          <t>A0A8C5MIZ2_9ANUR</t>
        </is>
      </c>
      <c r="L2402" t="inlineStr">
        <is>
          <t>tr|A0A8C5MIZ2|A0A8C5MIZ2_9ANUR Transposase OS=Leptobrachium leishanense OX=445787 PE=4 SV=1</t>
        </is>
      </c>
      <c r="M2402" t="n">
        <v>329</v>
      </c>
      <c r="N2402" t="inlineStr">
        <is>
          <t>Leptobrachium leishanense</t>
        </is>
      </c>
      <c r="O2402" t="inlineStr">
        <is>
          <t>Transposase</t>
        </is>
      </c>
    </row>
    <row r="2403">
      <c r="A2403" t="inlineStr"/>
      <c r="B2403" t="inlineStr"/>
      <c r="C2403" t="inlineStr"/>
      <c r="D2403" t="inlineStr"/>
      <c r="E2403">
        <f>HYPERLINK("https://www.ncbi.nlm.nih.gov/gene/?term=KAG8566310.1", "KAG8566310.1")</f>
        <v/>
      </c>
      <c r="F2403" t="n">
        <v>44.1</v>
      </c>
      <c r="G2403" t="n">
        <v>170</v>
      </c>
      <c r="H2403" t="n">
        <v>5.77e-36</v>
      </c>
      <c r="I2403" t="inlineStr">
        <is>
          <t>Nr</t>
        </is>
      </c>
      <c r="J2403" t="inlineStr"/>
      <c r="K2403" t="inlineStr"/>
      <c r="L2403" t="inlineStr">
        <is>
          <t>KAG8566310.1 hypothetical protein GDO81_013181 [Engystomops pustulosus]</t>
        </is>
      </c>
      <c r="M2403" t="n">
        <v>911</v>
      </c>
      <c r="N2403" t="inlineStr">
        <is>
          <t>Engystomops pustulosus</t>
        </is>
      </c>
      <c r="O2403" t="inlineStr">
        <is>
          <t>hypothetical protein GDO81_013181</t>
        </is>
      </c>
    </row>
    <row r="2404">
      <c r="A2404" t="inlineStr"/>
      <c r="B2404" t="inlineStr"/>
      <c r="C2404" t="inlineStr"/>
      <c r="D2404" t="inlineStr"/>
      <c r="E2404">
        <f>HYPERLINK("https://www.uniprot.org/uniprotkb/A0A8C5PV76/entry", "A0A8C5PV76")</f>
        <v/>
      </c>
      <c r="F2404" t="n">
        <v>29.9</v>
      </c>
      <c r="G2404" t="n">
        <v>274</v>
      </c>
      <c r="H2404" t="n">
        <v>2.52e-35</v>
      </c>
      <c r="I2404" t="inlineStr">
        <is>
          <t>TrEMBL</t>
        </is>
      </c>
      <c r="J2404" t="inlineStr"/>
      <c r="K2404" t="inlineStr">
        <is>
          <t>A0A8C5PV76_9ANUR</t>
        </is>
      </c>
      <c r="L2404" t="inlineStr">
        <is>
          <t>tr|A0A8C5PV76|A0A8C5PV76_9ANUR LINE-1 type transposase domain-containing 1 OS=Leptobrachium leishanense OX=445787 PE=4 SV=1</t>
        </is>
      </c>
      <c r="M2404" t="n">
        <v>329</v>
      </c>
      <c r="N2404" t="inlineStr">
        <is>
          <t>Leptobrachium leishanense</t>
        </is>
      </c>
      <c r="O2404" t="inlineStr">
        <is>
          <t>LINE-1 type transposase domain-containing 1</t>
        </is>
      </c>
    </row>
    <row r="2405">
      <c r="A2405" t="inlineStr"/>
      <c r="B2405" t="inlineStr"/>
      <c r="C2405" t="inlineStr"/>
      <c r="D2405" t="inlineStr"/>
      <c r="E2405">
        <f>HYPERLINK("https://www.ncbi.nlm.nih.gov/gene/?term=KAE8589170.1", "KAE8589170.1")</f>
        <v/>
      </c>
      <c r="F2405" t="n">
        <v>38.5</v>
      </c>
      <c r="G2405" t="n">
        <v>260</v>
      </c>
      <c r="H2405" t="n">
        <v>3.41e-35</v>
      </c>
      <c r="I2405" t="inlineStr">
        <is>
          <t>Nr</t>
        </is>
      </c>
      <c r="J2405" t="inlineStr"/>
      <c r="K2405" t="inlineStr"/>
      <c r="L2405" t="inlineStr">
        <is>
          <t>KAE8589170.1 hypothetical protein XENTR_v10022906 [Xenopus tropicalis]</t>
        </is>
      </c>
      <c r="M2405" t="n">
        <v>273</v>
      </c>
      <c r="N2405" t="inlineStr">
        <is>
          <t>Xenopus tropicalis</t>
        </is>
      </c>
      <c r="O2405" t="inlineStr">
        <is>
          <t>hypothetical protein XENTR_v10022906</t>
        </is>
      </c>
    </row>
    <row r="2406">
      <c r="A2406" t="inlineStr"/>
      <c r="B2406" t="inlineStr"/>
      <c r="C2406" t="inlineStr"/>
      <c r="D2406" t="inlineStr"/>
      <c r="E2406">
        <f>HYPERLINK("https://www.uniprot.org/uniprotkb/A0A8C5MJD9/entry", "A0A8C5MJD9")</f>
        <v/>
      </c>
      <c r="F2406" t="n">
        <v>30.3</v>
      </c>
      <c r="G2406" t="n">
        <v>274</v>
      </c>
      <c r="H2406" t="n">
        <v>6.18e-35</v>
      </c>
      <c r="I2406" t="inlineStr">
        <is>
          <t>TrEMBL</t>
        </is>
      </c>
      <c r="J2406" t="inlineStr"/>
      <c r="K2406" t="inlineStr">
        <is>
          <t>A0A8C5MJD9_9ANUR</t>
        </is>
      </c>
      <c r="L2406" t="inlineStr">
        <is>
          <t>tr|A0A8C5MJD9|A0A8C5MJD9_9ANUR Transposase element L1Md-A101/L1Md-A102/L1Md-A2 OS=Leptobrachium leishanense OX=445787 PE=4 SV=1</t>
        </is>
      </c>
      <c r="M2406" t="n">
        <v>372</v>
      </c>
      <c r="N2406" t="inlineStr">
        <is>
          <t>Leptobrachium leishanense</t>
        </is>
      </c>
      <c r="O2406" t="inlineStr">
        <is>
          <t>Transposase element L1Md-A101/L1Md-A102/L1Md-A2</t>
        </is>
      </c>
    </row>
    <row r="2407">
      <c r="A2407" t="inlineStr"/>
      <c r="B2407" t="inlineStr"/>
      <c r="C2407" t="inlineStr"/>
      <c r="D2407" t="inlineStr"/>
      <c r="E2407">
        <f>HYPERLINK("https://www.uniprot.org/uniprotkb/A0A8C5LL35/entry", "A0A8C5LL35")</f>
        <v/>
      </c>
      <c r="F2407" t="n">
        <v>30.3</v>
      </c>
      <c r="G2407" t="n">
        <v>274</v>
      </c>
      <c r="H2407" t="n">
        <v>6.95e-35</v>
      </c>
      <c r="I2407" t="inlineStr">
        <is>
          <t>TrEMBL</t>
        </is>
      </c>
      <c r="J2407" t="inlineStr"/>
      <c r="K2407" t="inlineStr">
        <is>
          <t>A0A8C5LL35_9ANUR</t>
        </is>
      </c>
      <c r="L2407" t="inlineStr">
        <is>
          <t>tr|A0A8C5LL35|A0A8C5LL35_9ANUR Transposase element L1Md-A101/L1Md-A102/L1Md-A2 OS=Leptobrachium leishanense OX=445787 PE=4 SV=1</t>
        </is>
      </c>
      <c r="M2407" t="n">
        <v>378</v>
      </c>
      <c r="N2407" t="inlineStr">
        <is>
          <t>Leptobrachium leishanense</t>
        </is>
      </c>
      <c r="O2407" t="inlineStr">
        <is>
          <t>Transposase element L1Md-A101/L1Md-A102/L1Md-A2</t>
        </is>
      </c>
    </row>
    <row r="2408">
      <c r="A2408" t="inlineStr"/>
      <c r="B2408" t="inlineStr"/>
      <c r="C2408" t="inlineStr"/>
      <c r="D2408" t="inlineStr"/>
      <c r="E2408">
        <f>HYPERLINK("https://www.uniprot.org/uniprotkb/A0A8C5PC04/entry", "A0A8C5PC04")</f>
        <v/>
      </c>
      <c r="F2408" t="n">
        <v>29.9</v>
      </c>
      <c r="G2408" t="n">
        <v>274</v>
      </c>
      <c r="H2408" t="n">
        <v>9.890000000000001e-35</v>
      </c>
      <c r="I2408" t="inlineStr">
        <is>
          <t>TrEMBL</t>
        </is>
      </c>
      <c r="J2408" t="inlineStr"/>
      <c r="K2408" t="inlineStr">
        <is>
          <t>A0A8C5PC04_9ANUR</t>
        </is>
      </c>
      <c r="L2408" t="inlineStr">
        <is>
          <t>tr|A0A8C5PC04|A0A8C5PC04_9ANUR Transposase OS=Leptobrachium leishanense OX=445787 PE=4 SV=1</t>
        </is>
      </c>
      <c r="M2408" t="n">
        <v>435</v>
      </c>
      <c r="N2408" t="inlineStr">
        <is>
          <t>Leptobrachium leishanense</t>
        </is>
      </c>
      <c r="O2408" t="inlineStr">
        <is>
          <t>Transposase</t>
        </is>
      </c>
    </row>
    <row r="2409">
      <c r="A2409" t="inlineStr"/>
      <c r="B2409" t="inlineStr"/>
      <c r="C2409" t="inlineStr"/>
      <c r="D2409" t="inlineStr"/>
      <c r="E2409">
        <f>HYPERLINK("https://www.ncbi.nlm.nih.gov/gene/?term=XP_040194428.1", "XP_040194428.1")</f>
        <v/>
      </c>
      <c r="F2409" t="n">
        <v>41.7</v>
      </c>
      <c r="G2409" t="n">
        <v>168</v>
      </c>
      <c r="H2409" t="n">
        <v>1.83e-34</v>
      </c>
      <c r="I2409" t="inlineStr">
        <is>
          <t>Nr</t>
        </is>
      </c>
      <c r="J2409" t="inlineStr"/>
      <c r="K2409" t="inlineStr"/>
      <c r="L2409" t="inlineStr">
        <is>
          <t>XP_040194428.1 uncharacterized protein LOC120927670 [Rana temporaria]</t>
        </is>
      </c>
      <c r="M2409" t="n">
        <v>346</v>
      </c>
      <c r="N2409" t="inlineStr">
        <is>
          <t>Rana temporaria</t>
        </is>
      </c>
      <c r="O2409" t="inlineStr">
        <is>
          <t>uncharacterized protein LOC120927670</t>
        </is>
      </c>
    </row>
    <row r="2410">
      <c r="A2410" t="inlineStr"/>
      <c r="B2410" t="inlineStr"/>
      <c r="C2410" t="inlineStr"/>
      <c r="D2410" t="inlineStr"/>
      <c r="E2410">
        <f>HYPERLINK("https://www.uniprot.org/uniprotkb/A0A8C5LL14/entry", "A0A8C5LL14")</f>
        <v/>
      </c>
      <c r="F2410" t="n">
        <v>30.2</v>
      </c>
      <c r="G2410" t="n">
        <v>262</v>
      </c>
      <c r="H2410" t="n">
        <v>2.65e-34</v>
      </c>
      <c r="I2410" t="inlineStr">
        <is>
          <t>TrEMBL</t>
        </is>
      </c>
      <c r="J2410" t="inlineStr"/>
      <c r="K2410" t="inlineStr">
        <is>
          <t>A0A8C5LL14_9ANUR</t>
        </is>
      </c>
      <c r="L2410" t="inlineStr">
        <is>
          <t>tr|A0A8C5LL14|A0A8C5LL14_9ANUR LINE-1 type transposase domain-containing protein 1 OS=Leptobrachium leishanense OX=445787 PE=4 SV=1</t>
        </is>
      </c>
      <c r="M2410" t="n">
        <v>314</v>
      </c>
      <c r="N2410" t="inlineStr">
        <is>
          <t>Leptobrachium leishanense</t>
        </is>
      </c>
      <c r="O2410" t="inlineStr">
        <is>
          <t>LINE-1 type transposase domain-containing protein 1</t>
        </is>
      </c>
    </row>
    <row r="2411">
      <c r="A2411" t="inlineStr"/>
      <c r="B2411" t="inlineStr"/>
      <c r="C2411" t="inlineStr"/>
      <c r="D2411" t="inlineStr"/>
      <c r="E2411">
        <f>HYPERLINK("https://www.uniprot.org/uniprotkb/A0A8C5P9X2/entry", "A0A8C5P9X2")</f>
        <v/>
      </c>
      <c r="F2411" t="n">
        <v>32.7</v>
      </c>
      <c r="G2411" t="n">
        <v>257</v>
      </c>
      <c r="H2411" t="n">
        <v>2.9e-34</v>
      </c>
      <c r="I2411" t="inlineStr">
        <is>
          <t>TrEMBL</t>
        </is>
      </c>
      <c r="J2411" t="inlineStr"/>
      <c r="K2411" t="inlineStr">
        <is>
          <t>A0A8C5P9X2_9ANUR</t>
        </is>
      </c>
      <c r="L2411" t="inlineStr">
        <is>
          <t>tr|A0A8C5P9X2|A0A8C5P9X2_9ANUR LINE-1 type transposase domain-containing protein 1 OS=Leptobrachium leishanense OX=445787 PE=4 SV=1</t>
        </is>
      </c>
      <c r="M2411" t="n">
        <v>318</v>
      </c>
      <c r="N2411" t="inlineStr">
        <is>
          <t>Leptobrachium leishanense</t>
        </is>
      </c>
      <c r="O2411" t="inlineStr">
        <is>
          <t>LINE-1 type transposase domain-containing protein 1</t>
        </is>
      </c>
    </row>
    <row r="2412">
      <c r="A2412" t="inlineStr"/>
      <c r="B2412" t="inlineStr"/>
      <c r="C2412" t="inlineStr"/>
      <c r="D2412" t="inlineStr"/>
      <c r="E2412">
        <f>HYPERLINK("https://www.ncbi.nlm.nih.gov/gene/?term=XP_044146854.1", "XP_044146854.1")</f>
        <v/>
      </c>
      <c r="F2412" t="n">
        <v>34.9</v>
      </c>
      <c r="G2412" t="n">
        <v>218</v>
      </c>
      <c r="H2412" t="n">
        <v>4.819999999999999e-34</v>
      </c>
      <c r="I2412" t="inlineStr">
        <is>
          <t>Nr</t>
        </is>
      </c>
      <c r="J2412" t="inlineStr"/>
      <c r="K2412" t="inlineStr"/>
      <c r="L2412" t="inlineStr">
        <is>
          <t>XP_044146854.1 uncharacterized protein LOC122935155 [Bufo gargarizans]</t>
        </is>
      </c>
      <c r="M2412" t="n">
        <v>1479</v>
      </c>
      <c r="N2412" t="inlineStr">
        <is>
          <t>Bufo gargarizans</t>
        </is>
      </c>
      <c r="O2412" t="inlineStr">
        <is>
          <t>uncharacterized protein LOC122935155</t>
        </is>
      </c>
    </row>
    <row r="2413">
      <c r="A2413" t="inlineStr"/>
      <c r="B2413" t="inlineStr"/>
      <c r="C2413" t="inlineStr"/>
      <c r="D2413" t="inlineStr"/>
      <c r="E2413">
        <f>HYPERLINK("https://www.uniprot.org/uniprotkb/A0A8C5PEG4/entry", "A0A8C5PEG4")</f>
        <v/>
      </c>
      <c r="F2413" t="n">
        <v>42.9</v>
      </c>
      <c r="G2413" t="n">
        <v>168</v>
      </c>
      <c r="H2413" t="n">
        <v>5.98e-34</v>
      </c>
      <c r="I2413" t="inlineStr">
        <is>
          <t>TrEMBL</t>
        </is>
      </c>
      <c r="J2413" t="inlineStr"/>
      <c r="K2413" t="inlineStr">
        <is>
          <t>A0A8C5PEG4_9ANUR</t>
        </is>
      </c>
      <c r="L2413" t="inlineStr">
        <is>
          <t>tr|A0A8C5PEG4|A0A8C5PEG4_9ANUR LUD_dom domain-containing protein OS=Leptobrachium leishanense OX=445787 PE=4 SV=1</t>
        </is>
      </c>
      <c r="M2413" t="n">
        <v>352</v>
      </c>
      <c r="N2413" t="inlineStr">
        <is>
          <t>Leptobrachium leishanense</t>
        </is>
      </c>
      <c r="O2413" t="inlineStr">
        <is>
          <t>LUD_dom domain-containing protein</t>
        </is>
      </c>
    </row>
    <row r="2414">
      <c r="A2414" t="inlineStr"/>
      <c r="B2414" t="inlineStr"/>
      <c r="C2414" t="inlineStr"/>
      <c r="D2414" t="inlineStr"/>
      <c r="E2414">
        <f>HYPERLINK("https://www.uniprot.org/uniprotkb/A0A8C5PTB3/entry", "A0A8C5PTB3")</f>
        <v/>
      </c>
      <c r="F2414" t="n">
        <v>42.6</v>
      </c>
      <c r="G2414" t="n">
        <v>162</v>
      </c>
      <c r="H2414" t="n">
        <v>1.14e-33</v>
      </c>
      <c r="I2414" t="inlineStr">
        <is>
          <t>TrEMBL</t>
        </is>
      </c>
      <c r="J2414" t="inlineStr"/>
      <c r="K2414" t="inlineStr">
        <is>
          <t>A0A8C5PTB3_9ANUR</t>
        </is>
      </c>
      <c r="L2414" t="inlineStr">
        <is>
          <t>tr|A0A8C5PTB3|A0A8C5PTB3_9ANUR LINE-1 type transposase domain-containing protein 1 OS=Leptobrachium leishanense OX=445787 PE=4 SV=1</t>
        </is>
      </c>
      <c r="M2414" t="n">
        <v>351</v>
      </c>
      <c r="N2414" t="inlineStr">
        <is>
          <t>Leptobrachium leishanense</t>
        </is>
      </c>
      <c r="O2414" t="inlineStr">
        <is>
          <t>LINE-1 type transposase domain-containing protein 1</t>
        </is>
      </c>
    </row>
    <row r="2415">
      <c r="A2415" t="inlineStr"/>
      <c r="B2415" t="inlineStr"/>
      <c r="C2415" t="inlineStr"/>
      <c r="D2415" t="inlineStr"/>
      <c r="E2415">
        <f>HYPERLINK("https://www.uniprot.org/uniprotkb/A0A8C5LPA7/entry", "A0A8C5LPA7")</f>
        <v/>
      </c>
      <c r="F2415" t="n">
        <v>39.8</v>
      </c>
      <c r="G2415" t="n">
        <v>161</v>
      </c>
      <c r="H2415" t="n">
        <v>5.93e-33</v>
      </c>
      <c r="I2415" t="inlineStr">
        <is>
          <t>TrEMBL</t>
        </is>
      </c>
      <c r="J2415" t="inlineStr"/>
      <c r="K2415" t="inlineStr">
        <is>
          <t>A0A8C5LPA7_9ANUR</t>
        </is>
      </c>
      <c r="L2415" t="inlineStr">
        <is>
          <t>tr|A0A8C5LPA7|A0A8C5LPA7_9ANUR Dna2 domain-containing protein OS=Leptobrachium leishanense OX=445787 PE=4 SV=1</t>
        </is>
      </c>
      <c r="M2415" t="n">
        <v>350</v>
      </c>
      <c r="N2415" t="inlineStr">
        <is>
          <t>Leptobrachium leishanense</t>
        </is>
      </c>
      <c r="O2415" t="inlineStr">
        <is>
          <t>Dna2 domain-containing protein</t>
        </is>
      </c>
    </row>
    <row r="2416">
      <c r="A2416" t="inlineStr"/>
      <c r="B2416" t="inlineStr"/>
      <c r="C2416" t="inlineStr"/>
      <c r="D2416" t="inlineStr"/>
      <c r="E2416">
        <f>HYPERLINK("https://www.ncbi.nlm.nih.gov/gene/?term=XP_044146862.1", "XP_044146862.1")</f>
        <v/>
      </c>
      <c r="F2416" t="n">
        <v>40.1</v>
      </c>
      <c r="G2416" t="n">
        <v>182</v>
      </c>
      <c r="H2416" t="n">
        <v>6.4e-33</v>
      </c>
      <c r="I2416" t="inlineStr">
        <is>
          <t>Nr</t>
        </is>
      </c>
      <c r="J2416" t="inlineStr"/>
      <c r="K2416" t="inlineStr"/>
      <c r="L2416" t="inlineStr">
        <is>
          <t>XP_044146862.1 vomeronasal type-2 receptor 1-like [Bufo gargarizans]</t>
        </is>
      </c>
      <c r="M2416" t="n">
        <v>886</v>
      </c>
      <c r="N2416" t="inlineStr">
        <is>
          <t>Bufo gargarizans</t>
        </is>
      </c>
      <c r="O2416" t="inlineStr">
        <is>
          <t>vomeronasal type-2 receptor 1-like</t>
        </is>
      </c>
    </row>
    <row r="2417">
      <c r="A2417" t="inlineStr"/>
      <c r="B2417" t="inlineStr"/>
      <c r="C2417" t="inlineStr"/>
      <c r="D2417" t="inlineStr"/>
      <c r="E2417">
        <f>HYPERLINK("https://www.uniprot.org/uniprotkb/A0A803J9X1/entry", "A0A803J9X1")</f>
        <v/>
      </c>
      <c r="F2417" t="n">
        <v>29.9</v>
      </c>
      <c r="G2417" t="n">
        <v>278</v>
      </c>
      <c r="H2417" t="n">
        <v>7.35e-33</v>
      </c>
      <c r="I2417" t="inlineStr">
        <is>
          <t>TrEMBL</t>
        </is>
      </c>
      <c r="J2417" t="inlineStr"/>
      <c r="K2417" t="inlineStr">
        <is>
          <t>A0A803J9X1_XENTR</t>
        </is>
      </c>
      <c r="L2417" t="inlineStr">
        <is>
          <t>tr|A0A803J9X1|A0A803J9X1_XENTR Reverse transcriptase domain-containing protein OS=Xenopus tropicalis OX=8364 PE=4 SV=1</t>
        </is>
      </c>
      <c r="M2417" t="n">
        <v>328</v>
      </c>
      <c r="N2417" t="inlineStr">
        <is>
          <t>Xenopus tropicalis</t>
        </is>
      </c>
      <c r="O2417" t="inlineStr">
        <is>
          <t>Reverse transcriptase domain-containing protein</t>
        </is>
      </c>
    </row>
    <row r="2418">
      <c r="A2418" t="inlineStr"/>
      <c r="B2418" t="inlineStr"/>
      <c r="C2418" t="inlineStr"/>
      <c r="D2418" t="inlineStr"/>
      <c r="E2418">
        <f>HYPERLINK("https://www.ncbi.nlm.nih.gov/gene/?term=OCU01584.1", "OCU01584.1")</f>
        <v/>
      </c>
      <c r="F2418" t="n">
        <v>47.8</v>
      </c>
      <c r="G2418" t="n">
        <v>245</v>
      </c>
      <c r="H2418" t="n">
        <v>1.08e-32</v>
      </c>
      <c r="I2418" t="inlineStr">
        <is>
          <t>Nr</t>
        </is>
      </c>
      <c r="J2418" t="inlineStr"/>
      <c r="K2418" t="inlineStr"/>
      <c r="L2418" t="inlineStr">
        <is>
          <t>OCU01584.1 hypothetical protein XELAEV_18007375mg [Xenopus laevis]</t>
        </is>
      </c>
      <c r="M2418" t="n">
        <v>288</v>
      </c>
      <c r="N2418" t="inlineStr">
        <is>
          <t>Xenopus laevis</t>
        </is>
      </c>
      <c r="O2418" t="inlineStr">
        <is>
          <t>hypothetical protein XELAEV_18007375mg</t>
        </is>
      </c>
    </row>
    <row r="2419">
      <c r="A2419" t="inlineStr"/>
      <c r="B2419" t="inlineStr"/>
      <c r="C2419" t="inlineStr"/>
      <c r="D2419" t="inlineStr"/>
      <c r="E2419">
        <f>HYPERLINK("https://www.uniprot.org/uniprotkb/A0A8C5LK86/entry", "A0A8C5LK86")</f>
        <v/>
      </c>
      <c r="F2419" t="n">
        <v>41.9</v>
      </c>
      <c r="G2419" t="n">
        <v>167</v>
      </c>
      <c r="H2419" t="n">
        <v>1.13e-32</v>
      </c>
      <c r="I2419" t="inlineStr">
        <is>
          <t>TrEMBL</t>
        </is>
      </c>
      <c r="J2419" t="inlineStr"/>
      <c r="K2419" t="inlineStr">
        <is>
          <t>A0A8C5LK86_9ANUR</t>
        </is>
      </c>
      <c r="L2419" t="inlineStr">
        <is>
          <t>tr|A0A8C5LK86|A0A8C5LK86_9ANUR LINE-1 retrotransposable element ORF2 protein OS=Leptobrachium leishanense OX=445787 PE=4 SV=1</t>
        </is>
      </c>
      <c r="M2419" t="n">
        <v>349</v>
      </c>
      <c r="N2419" t="inlineStr">
        <is>
          <t>Leptobrachium leishanense</t>
        </is>
      </c>
      <c r="O2419" t="inlineStr">
        <is>
          <t>LINE-1 retrotransposable element ORF2 protein</t>
        </is>
      </c>
    </row>
    <row r="2420">
      <c r="A2420" t="inlineStr"/>
      <c r="B2420" t="inlineStr"/>
      <c r="C2420" t="inlineStr"/>
      <c r="D2420" t="inlineStr"/>
      <c r="E2420">
        <f>HYPERLINK("https://www.uniprot.org/uniprotkb/A0A8C5M6Z7/entry", "A0A8C5M6Z7")</f>
        <v/>
      </c>
      <c r="F2420" t="n">
        <v>42</v>
      </c>
      <c r="G2420" t="n">
        <v>162</v>
      </c>
      <c r="H2420" t="n">
        <v>1.23e-32</v>
      </c>
      <c r="I2420" t="inlineStr">
        <is>
          <t>TrEMBL</t>
        </is>
      </c>
      <c r="J2420" t="inlineStr"/>
      <c r="K2420" t="inlineStr">
        <is>
          <t>A0A8C5M6Z7_9ANUR</t>
        </is>
      </c>
      <c r="L2420" t="inlineStr">
        <is>
          <t>tr|A0A8C5M6Z7|A0A8C5M6Z7_9ANUR LINE-1 type transposase domain-containing protein 1 OS=Leptobrachium leishanense OX=445787 PE=4 SV=1</t>
        </is>
      </c>
      <c r="M2420" t="n">
        <v>353</v>
      </c>
      <c r="N2420" t="inlineStr">
        <is>
          <t>Leptobrachium leishanense</t>
        </is>
      </c>
      <c r="O2420" t="inlineStr">
        <is>
          <t>LINE-1 type transposase domain-containing protein 1</t>
        </is>
      </c>
    </row>
    <row r="2421">
      <c r="A2421" t="inlineStr"/>
      <c r="B2421" t="inlineStr"/>
      <c r="C2421" t="inlineStr"/>
      <c r="D2421" t="inlineStr"/>
      <c r="E2421">
        <f>HYPERLINK("https://www.uniprot.org/uniprotkb/A0A8C5M4F6/entry", "A0A8C5M4F6")</f>
        <v/>
      </c>
      <c r="F2421" t="n">
        <v>41.1</v>
      </c>
      <c r="G2421" t="n">
        <v>168</v>
      </c>
      <c r="H2421" t="n">
        <v>1.38e-32</v>
      </c>
      <c r="I2421" t="inlineStr">
        <is>
          <t>TrEMBL</t>
        </is>
      </c>
      <c r="J2421" t="inlineStr"/>
      <c r="K2421" t="inlineStr">
        <is>
          <t>A0A8C5M4F6_9ANUR</t>
        </is>
      </c>
      <c r="L2421" t="inlineStr">
        <is>
          <t>tr|A0A8C5M4F6|A0A8C5M4F6_9ANUR Transposase OS=Leptobrachium leishanense OX=445787 PE=4 SV=1</t>
        </is>
      </c>
      <c r="M2421" t="n">
        <v>267</v>
      </c>
      <c r="N2421" t="inlineStr">
        <is>
          <t>Leptobrachium leishanense</t>
        </is>
      </c>
      <c r="O2421" t="inlineStr">
        <is>
          <t>Transposase</t>
        </is>
      </c>
    </row>
    <row r="2422">
      <c r="A2422" t="inlineStr"/>
      <c r="B2422" t="inlineStr"/>
      <c r="C2422" t="inlineStr"/>
      <c r="D2422" t="inlineStr"/>
      <c r="E2422">
        <f>HYPERLINK("https://www.uniprot.org/uniprotkb/A0A8C5MA00/entry", "A0A8C5MA00")</f>
        <v/>
      </c>
      <c r="F2422" t="n">
        <v>43.3</v>
      </c>
      <c r="G2422" t="n">
        <v>164</v>
      </c>
      <c r="H2422" t="n">
        <v>1.46e-32</v>
      </c>
      <c r="I2422" t="inlineStr">
        <is>
          <t>TrEMBL</t>
        </is>
      </c>
      <c r="J2422" t="inlineStr"/>
      <c r="K2422" t="inlineStr">
        <is>
          <t>A0A8C5MA00_9ANUR</t>
        </is>
      </c>
      <c r="L2422" t="inlineStr">
        <is>
          <t>tr|A0A8C5MA00|A0A8C5MA00_9ANUR Uncharacterized protein OS=Leptobrachium leishanense OX=445787 PE=4 SV=1</t>
        </is>
      </c>
      <c r="M2422" t="n">
        <v>329</v>
      </c>
      <c r="N2422" t="inlineStr">
        <is>
          <t>Leptobrachium leishanense</t>
        </is>
      </c>
      <c r="O2422" t="inlineStr">
        <is>
          <t>Uncharacterized protein</t>
        </is>
      </c>
    </row>
    <row r="2423">
      <c r="A2423" t="inlineStr"/>
      <c r="B2423" t="inlineStr"/>
      <c r="C2423" t="inlineStr"/>
      <c r="D2423" t="inlineStr"/>
      <c r="E2423">
        <f>HYPERLINK("https://www.uniprot.org/uniprotkb/A0A8C5Q7H7/entry", "A0A8C5Q7H7")</f>
        <v/>
      </c>
      <c r="F2423" t="n">
        <v>37.5</v>
      </c>
      <c r="G2423" t="n">
        <v>168</v>
      </c>
      <c r="H2423" t="n">
        <v>1.55e-32</v>
      </c>
      <c r="I2423" t="inlineStr">
        <is>
          <t>TrEMBL</t>
        </is>
      </c>
      <c r="J2423" t="inlineStr"/>
      <c r="K2423" t="inlineStr">
        <is>
          <t>A0A8C5Q7H7_9ANUR</t>
        </is>
      </c>
      <c r="L2423" t="inlineStr">
        <is>
          <t>tr|A0A8C5Q7H7|A0A8C5Q7H7_9ANUR LINE-1 type transposase domain-containing protein 1 OS=Leptobrachium leishanense OX=445787 PE=4 SV=1</t>
        </is>
      </c>
      <c r="M2423" t="n">
        <v>348</v>
      </c>
      <c r="N2423" t="inlineStr">
        <is>
          <t>Leptobrachium leishanense</t>
        </is>
      </c>
      <c r="O2423" t="inlineStr">
        <is>
          <t>LINE-1 type transposase domain-containing protein 1</t>
        </is>
      </c>
    </row>
    <row r="2424">
      <c r="A2424" t="inlineStr"/>
      <c r="B2424" t="inlineStr"/>
      <c r="C2424" t="inlineStr"/>
      <c r="D2424" t="inlineStr"/>
      <c r="E2424">
        <f>HYPERLINK("https://www.uniprot.org/uniprotkb/A0A803K9I3/entry", "A0A803K9I3")</f>
        <v/>
      </c>
      <c r="F2424" t="n">
        <v>29.1</v>
      </c>
      <c r="G2424" t="n">
        <v>251</v>
      </c>
      <c r="H2424" t="n">
        <v>3.09e-32</v>
      </c>
      <c r="I2424" t="inlineStr">
        <is>
          <t>TrEMBL</t>
        </is>
      </c>
      <c r="J2424" t="inlineStr"/>
      <c r="K2424" t="inlineStr">
        <is>
          <t>A0A803K9I3_XENTR</t>
        </is>
      </c>
      <c r="L2424" t="inlineStr">
        <is>
          <t>tr|A0A803K9I3|A0A803K9I3_XENTR LINE-1 type transposase domain-containing protein 1 OS=Xenopus tropicalis OX=8364 PE=4 SV=1</t>
        </is>
      </c>
      <c r="M2424" t="n">
        <v>424</v>
      </c>
      <c r="N2424" t="inlineStr">
        <is>
          <t>Xenopus tropicalis</t>
        </is>
      </c>
      <c r="O2424" t="inlineStr">
        <is>
          <t>LINE-1 type transposase domain-containing protein 1</t>
        </is>
      </c>
    </row>
    <row r="2425">
      <c r="A2425" t="inlineStr"/>
      <c r="B2425" t="inlineStr"/>
      <c r="C2425" t="inlineStr"/>
      <c r="D2425" t="inlineStr"/>
      <c r="E2425">
        <f>HYPERLINK("https://www.uniprot.org/uniprotkb/A0A8C5M280/entry", "A0A8C5M280")</f>
        <v/>
      </c>
      <c r="F2425" t="n">
        <v>32.2</v>
      </c>
      <c r="G2425" t="n">
        <v>304</v>
      </c>
      <c r="H2425" t="n">
        <v>8.750000000000001e-32</v>
      </c>
      <c r="I2425" t="inlineStr">
        <is>
          <t>TrEMBL</t>
        </is>
      </c>
      <c r="J2425" t="inlineStr"/>
      <c r="K2425" t="inlineStr">
        <is>
          <t>A0A8C5M280_9ANUR</t>
        </is>
      </c>
      <c r="L2425" t="inlineStr">
        <is>
          <t>tr|A0A8C5M280|A0A8C5M280_9ANUR Transposase_22 domain-containing protein OS=Leptobrachium leishanense OX=445787 PE=4 SV=1</t>
        </is>
      </c>
      <c r="M2425" t="n">
        <v>369</v>
      </c>
      <c r="N2425" t="inlineStr">
        <is>
          <t>Leptobrachium leishanense</t>
        </is>
      </c>
      <c r="O2425" t="inlineStr">
        <is>
          <t>Transposase_22 domain-containing protein</t>
        </is>
      </c>
    </row>
    <row r="2426">
      <c r="A2426" t="inlineStr"/>
      <c r="B2426" t="inlineStr"/>
      <c r="C2426" t="inlineStr"/>
      <c r="D2426" t="inlineStr"/>
      <c r="E2426">
        <f>HYPERLINK("https://www.uniprot.org/uniprotkb/A0A8C5MY19/entry", "A0A8C5MY19")</f>
        <v/>
      </c>
      <c r="F2426" t="n">
        <v>32.3</v>
      </c>
      <c r="G2426" t="n">
        <v>303</v>
      </c>
      <c r="H2426" t="n">
        <v>9.92e-32</v>
      </c>
      <c r="I2426" t="inlineStr">
        <is>
          <t>TrEMBL</t>
        </is>
      </c>
      <c r="J2426" t="inlineStr"/>
      <c r="K2426" t="inlineStr">
        <is>
          <t>A0A8C5MY19_9ANUR</t>
        </is>
      </c>
      <c r="L2426" t="inlineStr">
        <is>
          <t>tr|A0A8C5MY19|A0A8C5MY19_9ANUR Transposase_22 domain-containing protein OS=Leptobrachium leishanense OX=445787 PE=4 SV=1</t>
        </is>
      </c>
      <c r="M2426" t="n">
        <v>309</v>
      </c>
      <c r="N2426" t="inlineStr">
        <is>
          <t>Leptobrachium leishanense</t>
        </is>
      </c>
      <c r="O2426" t="inlineStr">
        <is>
          <t>Transposase_22 domain-containing protein</t>
        </is>
      </c>
    </row>
    <row r="2427">
      <c r="A2427" t="inlineStr"/>
      <c r="B2427" t="inlineStr"/>
      <c r="C2427" t="inlineStr"/>
      <c r="D2427" t="inlineStr"/>
      <c r="E2427">
        <f>HYPERLINK("https://www.uniprot.org/uniprotkb/A0A8C5PU82/entry", "A0A8C5PU82")</f>
        <v/>
      </c>
      <c r="F2427" t="n">
        <v>39.8</v>
      </c>
      <c r="G2427" t="n">
        <v>161</v>
      </c>
      <c r="H2427" t="n">
        <v>1.56e-31</v>
      </c>
      <c r="I2427" t="inlineStr">
        <is>
          <t>TrEMBL</t>
        </is>
      </c>
      <c r="J2427" t="inlineStr"/>
      <c r="K2427" t="inlineStr">
        <is>
          <t>A0A8C5PU82_9ANUR</t>
        </is>
      </c>
      <c r="L2427" t="inlineStr">
        <is>
          <t>tr|A0A8C5PU82|A0A8C5PU82_9ANUR Transposase_22 domain-containing protein OS=Leptobrachium leishanense OX=445787 PE=4 SV=1</t>
        </is>
      </c>
      <c r="M2427" t="n">
        <v>347</v>
      </c>
      <c r="N2427" t="inlineStr">
        <is>
          <t>Leptobrachium leishanense</t>
        </is>
      </c>
      <c r="O2427" t="inlineStr">
        <is>
          <t>Transposase_22 domain-containing protein</t>
        </is>
      </c>
    </row>
    <row r="2428">
      <c r="A2428" t="inlineStr"/>
      <c r="B2428" t="inlineStr"/>
      <c r="C2428" t="inlineStr"/>
      <c r="D2428" t="inlineStr"/>
      <c r="E2428">
        <f>HYPERLINK("https://www.uniprot.org/uniprotkb/A0A8J1MKH4/entry", "A0A8J1MKH4")</f>
        <v/>
      </c>
      <c r="F2428" t="n">
        <v>35.8</v>
      </c>
      <c r="G2428" t="n">
        <v>176</v>
      </c>
      <c r="H2428" t="n">
        <v>1.67e-31</v>
      </c>
      <c r="I2428" t="inlineStr">
        <is>
          <t>TrEMBL</t>
        </is>
      </c>
      <c r="J2428" t="inlineStr">
        <is>
          <t>LOC108704571</t>
        </is>
      </c>
      <c r="K2428" t="inlineStr">
        <is>
          <t>A0A8J1MKH4_XENLA</t>
        </is>
      </c>
      <c r="L2428" t="inlineStr">
        <is>
          <t>tr|A0A8J1MKH4|A0A8J1MKH4_XENLA golgin subfamily A member 6-like protein 22 isoform X1 OS=Xenopus laevis OX=8355 GN=LOC108704571 PE=4 SV=1</t>
        </is>
      </c>
      <c r="M2428" t="n">
        <v>368</v>
      </c>
      <c r="N2428" t="inlineStr">
        <is>
          <t>Xenopus laevis</t>
        </is>
      </c>
      <c r="O2428" t="inlineStr">
        <is>
          <t>golgin subfamily A member 6-like protein 22 isoform X1</t>
        </is>
      </c>
    </row>
    <row r="2429">
      <c r="A2429" t="inlineStr"/>
      <c r="B2429" t="inlineStr"/>
      <c r="C2429" t="inlineStr"/>
      <c r="D2429" t="inlineStr"/>
      <c r="E2429">
        <f>HYPERLINK("https://www.uniprot.org/uniprotkb/A0A8C5PEK9/entry", "A0A8C5PEK9")</f>
        <v/>
      </c>
      <c r="F2429" t="n">
        <v>38.6</v>
      </c>
      <c r="G2429" t="n">
        <v>166</v>
      </c>
      <c r="H2429" t="n">
        <v>1.7e-31</v>
      </c>
      <c r="I2429" t="inlineStr">
        <is>
          <t>TrEMBL</t>
        </is>
      </c>
      <c r="J2429" t="inlineStr"/>
      <c r="K2429" t="inlineStr">
        <is>
          <t>A0A8C5PEK9_9ANUR</t>
        </is>
      </c>
      <c r="L2429" t="inlineStr">
        <is>
          <t>tr|A0A8C5PEK9|A0A8C5PEK9_9ANUR Transposase element L1Md-A101/L1Md-A102/L1Md-A2 OS=Leptobrachium leishanense OX=445787 PE=4 SV=1</t>
        </is>
      </c>
      <c r="M2429" t="n">
        <v>246</v>
      </c>
      <c r="N2429" t="inlineStr">
        <is>
          <t>Leptobrachium leishanense</t>
        </is>
      </c>
      <c r="O2429" t="inlineStr">
        <is>
          <t>Transposase element L1Md-A101/L1Md-A102/L1Md-A2</t>
        </is>
      </c>
    </row>
    <row r="2430">
      <c r="A2430" t="inlineStr"/>
      <c r="B2430" t="inlineStr"/>
      <c r="C2430" t="inlineStr"/>
      <c r="D2430" t="inlineStr"/>
      <c r="E2430">
        <f>HYPERLINK("https://www.uniprot.org/uniprotkb/A0A3S5ABT3/entry", "A0A3S5ABT3")</f>
        <v/>
      </c>
      <c r="F2430" t="n">
        <v>30.4</v>
      </c>
      <c r="G2430" t="n">
        <v>230</v>
      </c>
      <c r="H2430" t="n">
        <v>1.8e-31</v>
      </c>
      <c r="I2430" t="inlineStr">
        <is>
          <t>TrEMBL</t>
        </is>
      </c>
      <c r="J2430" t="inlineStr">
        <is>
          <t>PXEA_LOCUS10203</t>
        </is>
      </c>
      <c r="K2430" t="inlineStr">
        <is>
          <t>A0A3S5ABT3_9PLAT</t>
        </is>
      </c>
      <c r="L2430" t="inlineStr">
        <is>
          <t>tr|A0A3S5ABT3|A0A3S5ABT3_9PLAT LINE-1 type transposase domain-containing protein 1 OS=Protopolystoma xenopodis OX=117903 GN=PXEA_LOCUS10203 PE=4 SV=1</t>
        </is>
      </c>
      <c r="M2430" t="n">
        <v>391</v>
      </c>
      <c r="N2430" t="inlineStr">
        <is>
          <t>Protopolystoma xenopodis</t>
        </is>
      </c>
      <c r="O2430" t="inlineStr">
        <is>
          <t>LINE-1 type transposase domain-containing protein 1</t>
        </is>
      </c>
    </row>
    <row r="2431">
      <c r="A2431" t="inlineStr"/>
      <c r="B2431" t="inlineStr"/>
      <c r="C2431" t="inlineStr"/>
      <c r="D2431" t="inlineStr"/>
      <c r="E2431">
        <f>HYPERLINK("https://www.uniprot.org/uniprotkb/A0A8C5R2A2/entry", "A0A8C5R2A2")</f>
        <v/>
      </c>
      <c r="F2431" t="n">
        <v>40.5</v>
      </c>
      <c r="G2431" t="n">
        <v>168</v>
      </c>
      <c r="H2431" t="n">
        <v>2.04e-31</v>
      </c>
      <c r="I2431" t="inlineStr">
        <is>
          <t>TrEMBL</t>
        </is>
      </c>
      <c r="J2431" t="inlineStr"/>
      <c r="K2431" t="inlineStr">
        <is>
          <t>A0A8C5R2A2_9ANUR</t>
        </is>
      </c>
      <c r="L2431" t="inlineStr">
        <is>
          <t>tr|A0A8C5R2A2|A0A8C5R2A2_9ANUR LINE-1 retrotransposable element ORF1 protein OS=Leptobrachium leishanense OX=445787 PE=4 SV=1</t>
        </is>
      </c>
      <c r="M2431" t="n">
        <v>361</v>
      </c>
      <c r="N2431" t="inlineStr">
        <is>
          <t>Leptobrachium leishanense</t>
        </is>
      </c>
      <c r="O2431" t="inlineStr">
        <is>
          <t>LINE-1 retrotransposable element ORF1 protein</t>
        </is>
      </c>
    </row>
    <row r="2432">
      <c r="A2432" t="inlineStr"/>
      <c r="B2432" t="inlineStr"/>
      <c r="C2432" t="inlineStr"/>
      <c r="D2432" t="inlineStr"/>
      <c r="E2432">
        <f>HYPERLINK("https://www.uniprot.org/uniprotkb/A0A803J6A6/entry", "A0A803J6A6")</f>
        <v/>
      </c>
      <c r="F2432" t="n">
        <v>38.6</v>
      </c>
      <c r="G2432" t="n">
        <v>166</v>
      </c>
      <c r="H2432" t="n">
        <v>2.12e-31</v>
      </c>
      <c r="I2432" t="inlineStr">
        <is>
          <t>TrEMBL</t>
        </is>
      </c>
      <c r="J2432" t="inlineStr"/>
      <c r="K2432" t="inlineStr">
        <is>
          <t>A0A803J6A6_XENTR</t>
        </is>
      </c>
      <c r="L2432" t="inlineStr">
        <is>
          <t>tr|A0A803J6A6|A0A803J6A6_XENTR Transposase_22 domain-containing protein OS=Xenopus tropicalis OX=8364 PE=4 SV=1</t>
        </is>
      </c>
      <c r="M2432" t="n">
        <v>363</v>
      </c>
      <c r="N2432" t="inlineStr">
        <is>
          <t>Xenopus tropicalis</t>
        </is>
      </c>
      <c r="O2432" t="inlineStr">
        <is>
          <t>Transposase_22 domain-containing protein</t>
        </is>
      </c>
    </row>
    <row r="2433">
      <c r="A2433" t="inlineStr"/>
      <c r="B2433" t="inlineStr"/>
      <c r="C2433" t="inlineStr"/>
      <c r="D2433" t="inlineStr"/>
      <c r="E2433">
        <f>HYPERLINK("https://www.ncbi.nlm.nih.gov/gene/?term=XP_041441901.1", "XP_041441901.1")</f>
        <v/>
      </c>
      <c r="F2433" t="n">
        <v>35.8</v>
      </c>
      <c r="G2433" t="n">
        <v>176</v>
      </c>
      <c r="H2433" t="n">
        <v>4.28e-31</v>
      </c>
      <c r="I2433" t="inlineStr">
        <is>
          <t>Nr</t>
        </is>
      </c>
      <c r="J2433" t="inlineStr"/>
      <c r="K2433" t="inlineStr"/>
      <c r="L2433" t="inlineStr">
        <is>
          <t>XP_041441901.1 golgin subfamily A member 6-like protein 22 isoform X1 [Xenopus laevis]</t>
        </is>
      </c>
      <c r="M2433" t="n">
        <v>368</v>
      </c>
      <c r="N2433" t="inlineStr">
        <is>
          <t>Xenopus laevis</t>
        </is>
      </c>
      <c r="O2433" t="inlineStr">
        <is>
          <t>golgin subfamily A member 6-like protein 22 isoform X1</t>
        </is>
      </c>
    </row>
    <row r="2434">
      <c r="A2434" t="inlineStr"/>
      <c r="B2434" t="inlineStr"/>
      <c r="C2434" t="inlineStr"/>
      <c r="D2434" t="inlineStr"/>
      <c r="E2434">
        <f>HYPERLINK("https://www.ncbi.nlm.nih.gov/gene/?term=VEL16763.1", "VEL16763.1")</f>
        <v/>
      </c>
      <c r="F2434" t="n">
        <v>30.4</v>
      </c>
      <c r="G2434" t="n">
        <v>230</v>
      </c>
      <c r="H2434" t="n">
        <v>4.630000000000001e-31</v>
      </c>
      <c r="I2434" t="inlineStr">
        <is>
          <t>Nr</t>
        </is>
      </c>
      <c r="J2434" t="inlineStr"/>
      <c r="K2434" t="inlineStr"/>
      <c r="L2434" t="inlineStr">
        <is>
          <t>VEL16763.1 unnamed protein product [Protopolystoma xenopodis]</t>
        </is>
      </c>
      <c r="M2434" t="n">
        <v>391</v>
      </c>
      <c r="N2434" t="inlineStr">
        <is>
          <t>Protopolystoma xenopodis</t>
        </is>
      </c>
      <c r="O2434" t="inlineStr">
        <is>
          <t>unnamed protein product</t>
        </is>
      </c>
    </row>
    <row r="2435">
      <c r="A2435" t="inlineStr"/>
      <c r="B2435" t="inlineStr"/>
      <c r="C2435" t="inlineStr"/>
      <c r="D2435" t="inlineStr"/>
      <c r="E2435">
        <f>HYPERLINK("https://www.ncbi.nlm.nih.gov/gene/?term=XP_040275957.1", "XP_040275957.1")</f>
        <v/>
      </c>
      <c r="F2435" t="n">
        <v>39.4</v>
      </c>
      <c r="G2435" t="n">
        <v>160</v>
      </c>
      <c r="H2435" t="n">
        <v>1.38e-30</v>
      </c>
      <c r="I2435" t="inlineStr">
        <is>
          <t>Nr</t>
        </is>
      </c>
      <c r="J2435" t="inlineStr"/>
      <c r="K2435" t="inlineStr"/>
      <c r="L2435" t="inlineStr">
        <is>
          <t>XP_040275957.1 uncharacterized protein LOC120991127 [Bufo bufo]</t>
        </is>
      </c>
      <c r="M2435" t="n">
        <v>418</v>
      </c>
      <c r="N2435" t="inlineStr">
        <is>
          <t>Bufo bufo</t>
        </is>
      </c>
      <c r="O2435" t="inlineStr">
        <is>
          <t>uncharacterized protein LOC120991127</t>
        </is>
      </c>
    </row>
    <row r="2436">
      <c r="A2436" t="inlineStr"/>
      <c r="B2436" t="inlineStr"/>
      <c r="C2436" t="inlineStr"/>
      <c r="D2436" t="inlineStr"/>
      <c r="E2436">
        <f>HYPERLINK("https://www.ncbi.nlm.nih.gov/gene/?term=XP_031762377.1", "XP_031762377.1")</f>
        <v/>
      </c>
      <c r="F2436" t="n">
        <v>29.1</v>
      </c>
      <c r="G2436" t="n">
        <v>251</v>
      </c>
      <c r="H2436" t="n">
        <v>1.63e-30</v>
      </c>
      <c r="I2436" t="inlineStr">
        <is>
          <t>Nr</t>
        </is>
      </c>
      <c r="J2436" t="inlineStr"/>
      <c r="K2436" t="inlineStr"/>
      <c r="L2436" t="inlineStr">
        <is>
          <t>XP_031762377.1 LOW QUALITY PROTEIN: nephrocystin-4 [Xenopus tropicalis]</t>
        </is>
      </c>
      <c r="M2436" t="n">
        <v>1030</v>
      </c>
      <c r="N2436" t="inlineStr">
        <is>
          <t>Xenopus tropicalis</t>
        </is>
      </c>
      <c r="O2436" t="inlineStr">
        <is>
          <t>LOW QUALITY PROTEIN: nephrocystin-4</t>
        </is>
      </c>
    </row>
    <row r="2437">
      <c r="A2437" t="inlineStr"/>
      <c r="B2437" t="inlineStr"/>
      <c r="C2437" t="inlineStr"/>
      <c r="D2437" t="inlineStr"/>
      <c r="E2437">
        <f>HYPERLINK("https://www.ncbi.nlm.nih.gov/gene/?term=KAG8451976.1", "KAG8451976.1")</f>
        <v/>
      </c>
      <c r="F2437" t="n">
        <v>39.9</v>
      </c>
      <c r="G2437" t="n">
        <v>168</v>
      </c>
      <c r="H2437" t="n">
        <v>1.65e-29</v>
      </c>
      <c r="I2437" t="inlineStr">
        <is>
          <t>Nr</t>
        </is>
      </c>
      <c r="J2437" t="inlineStr"/>
      <c r="K2437" t="inlineStr"/>
      <c r="L2437" t="inlineStr">
        <is>
          <t>KAG8451976.1 hypothetical protein GDO86_003963 [Hymenochirus boettgeri]</t>
        </is>
      </c>
      <c r="M2437" t="n">
        <v>431</v>
      </c>
      <c r="N2437" t="inlineStr">
        <is>
          <t>Hymenochirus boettgeri</t>
        </is>
      </c>
      <c r="O2437" t="inlineStr">
        <is>
          <t>hypothetical protein GDO86_003963</t>
        </is>
      </c>
    </row>
    <row r="2438">
      <c r="A2438" t="inlineStr"/>
      <c r="B2438" t="inlineStr"/>
      <c r="C2438" t="inlineStr"/>
      <c r="D2438" t="inlineStr"/>
      <c r="E2438">
        <f>HYPERLINK("https://www.ncbi.nlm.nih.gov/gene/?term=XP_040297463.1", "XP_040297463.1")</f>
        <v/>
      </c>
      <c r="F2438" t="n">
        <v>31.4</v>
      </c>
      <c r="G2438" t="n">
        <v>223</v>
      </c>
      <c r="H2438" t="n">
        <v>5.590000000000001e-29</v>
      </c>
      <c r="I2438" t="inlineStr">
        <is>
          <t>Nr</t>
        </is>
      </c>
      <c r="J2438" t="inlineStr"/>
      <c r="K2438" t="inlineStr"/>
      <c r="L2438" t="inlineStr">
        <is>
          <t>XP_040297463.1 lactase-phlorizin hydrolase-like [Bufo bufo]</t>
        </is>
      </c>
      <c r="M2438" t="n">
        <v>3165</v>
      </c>
      <c r="N2438" t="inlineStr">
        <is>
          <t>Bufo bufo</t>
        </is>
      </c>
      <c r="O2438" t="inlineStr">
        <is>
          <t>lactase-phlorizin hydrolase-like</t>
        </is>
      </c>
    </row>
    <row r="2439">
      <c r="A2439" t="inlineStr"/>
      <c r="B2439" t="inlineStr"/>
      <c r="C2439" t="inlineStr"/>
      <c r="D2439" t="inlineStr"/>
      <c r="E2439">
        <f>HYPERLINK("https://www.ncbi.nlm.nih.gov/gene/?term=OCT78055.1", "OCT78055.1")</f>
        <v/>
      </c>
      <c r="F2439" t="n">
        <v>39.2</v>
      </c>
      <c r="G2439" t="n">
        <v>166</v>
      </c>
      <c r="H2439" t="n">
        <v>1.41e-28</v>
      </c>
      <c r="I2439" t="inlineStr">
        <is>
          <t>Nr</t>
        </is>
      </c>
      <c r="J2439" t="inlineStr"/>
      <c r="K2439" t="inlineStr"/>
      <c r="L2439" t="inlineStr">
        <is>
          <t>OCT78055.1 hypothetical protein XELAEV_18029152mg [Xenopus laevis]</t>
        </is>
      </c>
      <c r="M2439" t="n">
        <v>308</v>
      </c>
      <c r="N2439" t="inlineStr">
        <is>
          <t>Xenopus laevis</t>
        </is>
      </c>
      <c r="O2439" t="inlineStr">
        <is>
          <t>hypothetical protein XELAEV_18029152mg</t>
        </is>
      </c>
    </row>
    <row r="2440">
      <c r="A2440" t="inlineStr"/>
      <c r="B2440" t="inlineStr"/>
      <c r="C2440" t="inlineStr"/>
      <c r="D2440" t="inlineStr"/>
      <c r="E2440">
        <f>HYPERLINK("https://www.ncbi.nlm.nih.gov/gene/?term=OCT86463.1", "OCT86463.1")</f>
        <v/>
      </c>
      <c r="F2440" t="n">
        <v>36.4</v>
      </c>
      <c r="G2440" t="n">
        <v>253</v>
      </c>
      <c r="H2440" t="n">
        <v>1.93e-28</v>
      </c>
      <c r="I2440" t="inlineStr">
        <is>
          <t>Nr</t>
        </is>
      </c>
      <c r="J2440" t="inlineStr"/>
      <c r="K2440" t="inlineStr"/>
      <c r="L2440" t="inlineStr">
        <is>
          <t>OCT86463.1 hypothetical protein XELAEV_18020146mg [Xenopus laevis]</t>
        </is>
      </c>
      <c r="M2440" t="n">
        <v>822</v>
      </c>
      <c r="N2440" t="inlineStr">
        <is>
          <t>Xenopus laevis</t>
        </is>
      </c>
      <c r="O2440" t="inlineStr">
        <is>
          <t>hypothetical protein XELAEV_18020146mg</t>
        </is>
      </c>
    </row>
    <row r="2441">
      <c r="A2441" t="inlineStr"/>
      <c r="B2441" t="inlineStr"/>
      <c r="C2441" t="inlineStr"/>
      <c r="D2441" t="inlineStr"/>
      <c r="E2441">
        <f>HYPERLINK("https://www.ncbi.nlm.nih.gov/gene/?term=XP_040272583.1", "XP_040272583.1")</f>
        <v/>
      </c>
      <c r="F2441" t="n">
        <v>34.1</v>
      </c>
      <c r="G2441" t="n">
        <v>170</v>
      </c>
      <c r="H2441" t="n">
        <v>3.37e-28</v>
      </c>
      <c r="I2441" t="inlineStr">
        <is>
          <t>Nr</t>
        </is>
      </c>
      <c r="J2441" t="inlineStr"/>
      <c r="K2441" t="inlineStr"/>
      <c r="L2441" t="inlineStr">
        <is>
          <t>XP_040272583.1 uncharacterized protein LOC120988885 [Bufo bufo]</t>
        </is>
      </c>
      <c r="M2441" t="n">
        <v>229</v>
      </c>
      <c r="N2441" t="inlineStr">
        <is>
          <t>Bufo bufo</t>
        </is>
      </c>
      <c r="O2441" t="inlineStr">
        <is>
          <t>uncharacterized protein LOC120988885</t>
        </is>
      </c>
    </row>
    <row r="2442">
      <c r="A2442" t="inlineStr"/>
      <c r="B2442" t="inlineStr"/>
      <c r="C2442" t="inlineStr"/>
      <c r="D2442" t="inlineStr"/>
      <c r="E2442">
        <f>HYPERLINK("https://www.ncbi.nlm.nih.gov/gene/?term=OCT92681.1", "OCT92681.1")</f>
        <v/>
      </c>
      <c r="F2442" t="n">
        <v>37.5</v>
      </c>
      <c r="G2442" t="n">
        <v>160</v>
      </c>
      <c r="H2442" t="n">
        <v>5.13e-28</v>
      </c>
      <c r="I2442" t="inlineStr">
        <is>
          <t>Nr</t>
        </is>
      </c>
      <c r="J2442" t="inlineStr"/>
      <c r="K2442" t="inlineStr"/>
      <c r="L2442" t="inlineStr">
        <is>
          <t>OCT92681.1 hypothetical protein XELAEV_18015743mg [Xenopus laevis]</t>
        </is>
      </c>
      <c r="M2442" t="n">
        <v>340</v>
      </c>
      <c r="N2442" t="inlineStr">
        <is>
          <t>Xenopus laevis</t>
        </is>
      </c>
      <c r="O2442" t="inlineStr">
        <is>
          <t>hypothetical protein XELAEV_18015743mg</t>
        </is>
      </c>
    </row>
    <row r="2443">
      <c r="A2443" t="inlineStr"/>
      <c r="B2443" t="inlineStr"/>
      <c r="C2443" t="inlineStr"/>
      <c r="D2443" t="inlineStr"/>
      <c r="E2443">
        <f>HYPERLINK("https://www.ncbi.nlm.nih.gov/gene/?term=KAG8584414.1", "KAG8584414.1")</f>
        <v/>
      </c>
      <c r="F2443" t="n">
        <v>41.1</v>
      </c>
      <c r="G2443" t="n">
        <v>168</v>
      </c>
      <c r="H2443" t="n">
        <v>1.03e-27</v>
      </c>
      <c r="I2443" t="inlineStr">
        <is>
          <t>Nr</t>
        </is>
      </c>
      <c r="J2443" t="inlineStr"/>
      <c r="K2443" t="inlineStr"/>
      <c r="L2443" t="inlineStr">
        <is>
          <t>KAG8584414.1 hypothetical protein GDO81_008823 [Engystomops pustulosus]</t>
        </is>
      </c>
      <c r="M2443" t="n">
        <v>478</v>
      </c>
      <c r="N2443" t="inlineStr">
        <is>
          <t>Engystomops pustulosus</t>
        </is>
      </c>
      <c r="O2443" t="inlineStr">
        <is>
          <t>hypothetical protein GDO81_008823</t>
        </is>
      </c>
    </row>
    <row r="2444">
      <c r="A2444" t="inlineStr"/>
      <c r="B2444" t="inlineStr"/>
      <c r="C2444" t="inlineStr"/>
      <c r="D2444" t="inlineStr"/>
      <c r="E2444">
        <f>HYPERLINK("https://www.ncbi.nlm.nih.gov/gene/?term=KAG8551096.1", "KAG8551096.1")</f>
        <v/>
      </c>
      <c r="F2444" t="n">
        <v>36.3</v>
      </c>
      <c r="G2444" t="n">
        <v>160</v>
      </c>
      <c r="H2444" t="n">
        <v>1.36e-27</v>
      </c>
      <c r="I2444" t="inlineStr">
        <is>
          <t>Nr</t>
        </is>
      </c>
      <c r="J2444" t="inlineStr"/>
      <c r="K2444" t="inlineStr"/>
      <c r="L2444" t="inlineStr">
        <is>
          <t>KAG8551096.1 hypothetical protein GDO81_018459 [Engystomops pustulosus]</t>
        </is>
      </c>
      <c r="M2444" t="n">
        <v>305</v>
      </c>
      <c r="N2444" t="inlineStr">
        <is>
          <t>Engystomops pustulosus</t>
        </is>
      </c>
      <c r="O2444" t="inlineStr">
        <is>
          <t>hypothetical protein GDO81_018459</t>
        </is>
      </c>
    </row>
    <row r="2445">
      <c r="A2445" t="inlineStr"/>
      <c r="B2445" t="inlineStr"/>
      <c r="C2445" t="inlineStr"/>
      <c r="D2445" t="inlineStr"/>
      <c r="E2445">
        <f>HYPERLINK("https://www.ncbi.nlm.nih.gov/gene/?term=XP_018409373.1", "XP_018409373.1")</f>
        <v/>
      </c>
      <c r="F2445" t="n">
        <v>37.6</v>
      </c>
      <c r="G2445" t="n">
        <v>165</v>
      </c>
      <c r="H2445" t="n">
        <v>3.990000000000001e-27</v>
      </c>
      <c r="I2445" t="inlineStr">
        <is>
          <t>Nr</t>
        </is>
      </c>
      <c r="J2445" t="inlineStr"/>
      <c r="K2445" t="inlineStr"/>
      <c r="L2445" t="inlineStr">
        <is>
          <t>XP_018409373.1 PREDICTED: dynein heavy chain 3, axonemal-like [Nanorana parkeri]</t>
        </is>
      </c>
      <c r="M2445" t="n">
        <v>4416</v>
      </c>
      <c r="N2445" t="inlineStr">
        <is>
          <t>Nanorana parkeri</t>
        </is>
      </c>
      <c r="O2445" t="inlineStr">
        <is>
          <t>PREDICTED: dynein heavy chain 3, axonemal-like</t>
        </is>
      </c>
    </row>
    <row r="2446">
      <c r="A2446" t="inlineStr"/>
      <c r="B2446" t="inlineStr"/>
      <c r="C2446" t="inlineStr"/>
      <c r="D2446" t="inlineStr"/>
      <c r="E2446">
        <f>HYPERLINK("https://www.ncbi.nlm.nih.gov/gene/?term=KAG8580053.1", "KAG8580053.1")</f>
        <v/>
      </c>
      <c r="F2446" t="n">
        <v>36</v>
      </c>
      <c r="G2446" t="n">
        <v>161</v>
      </c>
      <c r="H2446" t="n">
        <v>5.470000000000001e-26</v>
      </c>
      <c r="I2446" t="inlineStr">
        <is>
          <t>Nr</t>
        </is>
      </c>
      <c r="J2446" t="inlineStr"/>
      <c r="K2446" t="inlineStr"/>
      <c r="L2446" t="inlineStr">
        <is>
          <t>KAG8580053.1 hypothetical protein GDO81_007107 [Engystomops pustulosus]</t>
        </is>
      </c>
      <c r="M2446" t="n">
        <v>494</v>
      </c>
      <c r="N2446" t="inlineStr">
        <is>
          <t>Engystomops pustulosus</t>
        </is>
      </c>
      <c r="O2446" t="inlineStr">
        <is>
          <t>hypothetical protein GDO81_007107</t>
        </is>
      </c>
    </row>
    <row r="2447">
      <c r="A2447" t="inlineStr"/>
      <c r="B2447" t="inlineStr"/>
      <c r="C2447" t="inlineStr"/>
      <c r="D2447" t="inlineStr"/>
      <c r="E2447">
        <f>HYPERLINK("https://www.ncbi.nlm.nih.gov/gene/?term=PIO33322.1", "PIO33322.1")</f>
        <v/>
      </c>
      <c r="F2447" t="n">
        <v>31.7</v>
      </c>
      <c r="G2447" t="n">
        <v>249</v>
      </c>
      <c r="H2447" t="n">
        <v>9.420000000000001e-26</v>
      </c>
      <c r="I2447" t="inlineStr">
        <is>
          <t>Nr</t>
        </is>
      </c>
      <c r="J2447" t="inlineStr"/>
      <c r="K2447" t="inlineStr"/>
      <c r="L2447" t="inlineStr">
        <is>
          <t>PIO33322.1 hypothetical protein AB205_0214660 [Lithobates catesbeianus]</t>
        </is>
      </c>
      <c r="M2447" t="n">
        <v>377</v>
      </c>
      <c r="N2447" t="inlineStr">
        <is>
          <t>Lithobates catesbeianus</t>
        </is>
      </c>
      <c r="O2447" t="inlineStr">
        <is>
          <t>hypothetical protein AB205_0214660</t>
        </is>
      </c>
    </row>
    <row r="2448">
      <c r="A2448" t="inlineStr"/>
      <c r="B2448" t="inlineStr"/>
      <c r="C2448" t="inlineStr"/>
      <c r="D2448" t="inlineStr"/>
      <c r="E2448">
        <f>HYPERLINK("https://www.ncbi.nlm.nih.gov/gene/?term=PIO31496.1", "PIO31496.1")</f>
        <v/>
      </c>
      <c r="F2448" t="n">
        <v>36.5</v>
      </c>
      <c r="G2448" t="n">
        <v>167</v>
      </c>
      <c r="H2448" t="n">
        <v>1.04e-25</v>
      </c>
      <c r="I2448" t="inlineStr">
        <is>
          <t>Nr</t>
        </is>
      </c>
      <c r="J2448" t="inlineStr"/>
      <c r="K2448" t="inlineStr"/>
      <c r="L2448" t="inlineStr">
        <is>
          <t>PIO31496.1 hypothetical protein AB205_0176850, partial [Lithobates catesbeianus]</t>
        </is>
      </c>
      <c r="M2448" t="n">
        <v>307</v>
      </c>
      <c r="N2448" t="inlineStr">
        <is>
          <t>Lithobates catesbeianus</t>
        </is>
      </c>
      <c r="O2448" t="inlineStr">
        <is>
          <t>hypothetical protein AB205_0176850, partial</t>
        </is>
      </c>
    </row>
    <row r="2449">
      <c r="A2449" t="inlineStr"/>
      <c r="B2449" t="inlineStr"/>
      <c r="C2449" t="inlineStr"/>
      <c r="D2449" t="inlineStr"/>
      <c r="E2449">
        <f>HYPERLINK("https://www.ncbi.nlm.nih.gov/gene/?term=XP_040181316.1", "XP_040181316.1")</f>
        <v/>
      </c>
      <c r="F2449" t="n">
        <v>29.9</v>
      </c>
      <c r="G2449" t="n">
        <v>254</v>
      </c>
      <c r="H2449" t="n">
        <v>3.48e-25</v>
      </c>
      <c r="I2449" t="inlineStr">
        <is>
          <t>Nr</t>
        </is>
      </c>
      <c r="J2449" t="inlineStr"/>
      <c r="K2449" t="inlineStr"/>
      <c r="L2449" t="inlineStr">
        <is>
          <t>XP_040181316.1 uncharacterized protein LOC120915124 [Rana temporaria]</t>
        </is>
      </c>
      <c r="M2449" t="n">
        <v>301</v>
      </c>
      <c r="N2449" t="inlineStr">
        <is>
          <t>Rana temporaria</t>
        </is>
      </c>
      <c r="O2449" t="inlineStr">
        <is>
          <t>uncharacterized protein LOC120915124</t>
        </is>
      </c>
    </row>
    <row r="2450">
      <c r="A2450" t="inlineStr"/>
      <c r="B2450" t="inlineStr"/>
      <c r="C2450" t="inlineStr"/>
      <c r="D2450" t="inlineStr"/>
      <c r="E2450">
        <f>HYPERLINK("https://www.ncbi.nlm.nih.gov/gene/?term=CAH2330124.1", "CAH2330124.1")</f>
        <v/>
      </c>
      <c r="F2450" t="n">
        <v>38.3</v>
      </c>
      <c r="G2450" t="n">
        <v>167</v>
      </c>
      <c r="H2450" t="n">
        <v>5.95e-25</v>
      </c>
      <c r="I2450" t="inlineStr">
        <is>
          <t>Nr</t>
        </is>
      </c>
      <c r="J2450" t="inlineStr"/>
      <c r="K2450" t="inlineStr"/>
      <c r="L2450" t="inlineStr">
        <is>
          <t>CAH2330124.1 Hypothetical predicted protein [Pelobates cultripes]</t>
        </is>
      </c>
      <c r="M2450" t="n">
        <v>330</v>
      </c>
      <c r="N2450" t="inlineStr">
        <is>
          <t>Pelobates cultripes</t>
        </is>
      </c>
      <c r="O2450" t="inlineStr">
        <is>
          <t>Hypothetical predicted protein</t>
        </is>
      </c>
    </row>
    <row r="2451">
      <c r="A2451" t="inlineStr"/>
      <c r="B2451" t="inlineStr"/>
      <c r="C2451" t="inlineStr"/>
      <c r="D2451" t="inlineStr"/>
      <c r="E2451">
        <f>HYPERLINK("https://www.ncbi.nlm.nih.gov/gene/?term=PIO26594.1", "PIO26594.1")</f>
        <v/>
      </c>
      <c r="F2451" t="n">
        <v>38.4</v>
      </c>
      <c r="G2451" t="n">
        <v>159</v>
      </c>
      <c r="H2451" t="n">
        <v>1.48e-24</v>
      </c>
      <c r="I2451" t="inlineStr">
        <is>
          <t>Nr</t>
        </is>
      </c>
      <c r="J2451" t="inlineStr"/>
      <c r="K2451" t="inlineStr"/>
      <c r="L2451" t="inlineStr">
        <is>
          <t>PIO26594.1 hypothetical protein AB205_0195780 [Lithobates catesbeianus]</t>
        </is>
      </c>
      <c r="M2451" t="n">
        <v>345</v>
      </c>
      <c r="N2451" t="inlineStr">
        <is>
          <t>Lithobates catesbeianus</t>
        </is>
      </c>
      <c r="O2451" t="inlineStr">
        <is>
          <t>hypothetical protein AB205_0195780</t>
        </is>
      </c>
    </row>
    <row r="2452">
      <c r="A2452" t="inlineStr"/>
      <c r="B2452" t="inlineStr"/>
      <c r="C2452" t="inlineStr"/>
      <c r="D2452" t="inlineStr"/>
      <c r="E2452">
        <f>HYPERLINK("https://www.uniprot.org/uniprotkb/Q03274/entry", "Q03274")</f>
        <v/>
      </c>
      <c r="F2452" t="n">
        <v>29.3</v>
      </c>
      <c r="G2452" t="n">
        <v>222</v>
      </c>
      <c r="H2452" t="n">
        <v>3.93e-16</v>
      </c>
      <c r="I2452" t="inlineStr">
        <is>
          <t>Swiss-Prot</t>
        </is>
      </c>
      <c r="J2452" t="inlineStr"/>
      <c r="K2452" t="inlineStr">
        <is>
          <t>PO22_POPJA</t>
        </is>
      </c>
      <c r="L2452" t="inlineStr">
        <is>
          <t>sp|Q03274|PO22_POPJA Retrovirus-related Pol polyprotein from type-1 retrotransposable element R2 (Fragment) OS=Popillia japonica OX=7064 PE=4 SV=1</t>
        </is>
      </c>
      <c r="M2452" t="n">
        <v>711</v>
      </c>
      <c r="N2452" t="inlineStr">
        <is>
          <t>Popillia japonica</t>
        </is>
      </c>
      <c r="O2452" t="inlineStr">
        <is>
          <t>Retrovirus-related Pol polyprotein from type-1 retrotransposable element R2 (Fragment)</t>
        </is>
      </c>
    </row>
    <row r="2453">
      <c r="A2453" t="inlineStr"/>
      <c r="B2453" t="inlineStr"/>
      <c r="C2453" t="inlineStr"/>
      <c r="D2453" t="inlineStr"/>
      <c r="E2453">
        <f>HYPERLINK("https://www.uniprot.org/uniprotkb/P16423/entry", "P16423")</f>
        <v/>
      </c>
      <c r="F2453" t="n">
        <v>25.3</v>
      </c>
      <c r="G2453" t="n">
        <v>332</v>
      </c>
      <c r="H2453" t="n">
        <v>6.4e-16</v>
      </c>
      <c r="I2453" t="inlineStr">
        <is>
          <t>Swiss-Prot</t>
        </is>
      </c>
      <c r="J2453" t="inlineStr">
        <is>
          <t>pol</t>
        </is>
      </c>
      <c r="K2453" t="inlineStr">
        <is>
          <t>POLR_DROME</t>
        </is>
      </c>
      <c r="L2453" t="inlineStr">
        <is>
          <t>sp|P16423|POLR_DROME Retrovirus-related Pol polyprotein from type-2 retrotransposable element R2DM OS=Drosophila melanogaster OX=7227 GN=pol PE=4 SV=1</t>
        </is>
      </c>
      <c r="M2453" t="n">
        <v>1057</v>
      </c>
      <c r="N2453" t="inlineStr">
        <is>
          <t>Drosophila melanogaster</t>
        </is>
      </c>
      <c r="O2453" t="inlineStr">
        <is>
          <t>Retrovirus-related Pol polyprotein from type-2 retrotransposable element R2DM</t>
        </is>
      </c>
    </row>
    <row r="2454">
      <c r="A2454" t="inlineStr"/>
      <c r="B2454" t="inlineStr"/>
      <c r="C2454" t="inlineStr"/>
      <c r="D2454" t="inlineStr"/>
      <c r="E2454">
        <f>HYPERLINK("https://www.uniprot.org/uniprotkb/Q03278/entry", "Q03278")</f>
        <v/>
      </c>
      <c r="F2454" t="n">
        <v>26.6</v>
      </c>
      <c r="G2454" t="n">
        <v>304</v>
      </c>
      <c r="H2454" t="n">
        <v>2.57e-14</v>
      </c>
      <c r="I2454" t="inlineStr">
        <is>
          <t>Swiss-Prot</t>
        </is>
      </c>
      <c r="J2454" t="inlineStr"/>
      <c r="K2454" t="inlineStr">
        <is>
          <t>PO21_NASVI</t>
        </is>
      </c>
      <c r="L2454" t="inlineStr">
        <is>
          <t>sp|Q03278|PO21_NASVI Retrovirus-related Pol polyprotein from type-1 retrotransposable element R2 (Fragment) OS=Nasonia vitripennis OX=7425 PE=4 SV=2</t>
        </is>
      </c>
      <c r="M2454" t="n">
        <v>1025</v>
      </c>
      <c r="N2454" t="inlineStr">
        <is>
          <t>Nasonia vitripennis</t>
        </is>
      </c>
      <c r="O2454" t="inlineStr">
        <is>
          <t>Retrovirus-related Pol polyprotein from type-1 retrotransposable element R2 (Fragment)</t>
        </is>
      </c>
    </row>
    <row r="2455">
      <c r="A2455" t="inlineStr"/>
      <c r="B2455" t="inlineStr"/>
      <c r="C2455" t="inlineStr"/>
      <c r="D2455" t="inlineStr"/>
      <c r="E2455">
        <f>HYPERLINK("https://www.ncbi.nlm.nih.gov/gene/?term=OCT91749.1", "OCT91749.1")</f>
        <v/>
      </c>
      <c r="F2455" t="n">
        <v>35.8</v>
      </c>
      <c r="G2455" t="n">
        <v>120</v>
      </c>
      <c r="H2455" t="n">
        <v>3.42e-14</v>
      </c>
      <c r="I2455" t="inlineStr">
        <is>
          <t>Nr</t>
        </is>
      </c>
      <c r="J2455" t="inlineStr"/>
      <c r="K2455" t="inlineStr"/>
      <c r="L2455" t="inlineStr">
        <is>
          <t>OCT91749.1 hypothetical protein XELAEV_18014814mg [Xenopus laevis]</t>
        </is>
      </c>
      <c r="M2455" t="n">
        <v>418</v>
      </c>
      <c r="N2455" t="inlineStr">
        <is>
          <t>Xenopus laevis</t>
        </is>
      </c>
      <c r="O2455" t="inlineStr">
        <is>
          <t>hypothetical protein XELAEV_18014814mg</t>
        </is>
      </c>
    </row>
    <row r="2456">
      <c r="A2456" t="inlineStr"/>
      <c r="B2456" t="inlineStr"/>
      <c r="C2456" t="inlineStr"/>
      <c r="D2456" t="inlineStr"/>
      <c r="E2456">
        <f>HYPERLINK("https://www.uniprot.org/uniprotkb/P21329/entry", "P21329")</f>
        <v/>
      </c>
      <c r="F2456" t="n">
        <v>25.6</v>
      </c>
      <c r="G2456" t="n">
        <v>332</v>
      </c>
      <c r="H2456" t="n">
        <v>4.33e-14</v>
      </c>
      <c r="I2456" t="inlineStr">
        <is>
          <t>Swiss-Prot</t>
        </is>
      </c>
      <c r="J2456" t="inlineStr">
        <is>
          <t>jockey\pol</t>
        </is>
      </c>
      <c r="K2456" t="inlineStr">
        <is>
          <t>RTJK_DROFU</t>
        </is>
      </c>
      <c r="L2456" t="inlineStr">
        <is>
          <t>sp|P21329|RTJK_DROFU RNA-directed DNA polymerase from mobile element jockey OS=Drosophila funebris OX=7221 GN=jockey\pol PE=1 SV=1</t>
        </is>
      </c>
      <c r="M2456" t="n">
        <v>916</v>
      </c>
      <c r="N2456" t="inlineStr">
        <is>
          <t>Drosophila funebris</t>
        </is>
      </c>
      <c r="O2456" t="inlineStr">
        <is>
          <t>RNA-directed DNA polymerase from mobile element jockey</t>
        </is>
      </c>
    </row>
    <row r="2457">
      <c r="A2457" t="inlineStr"/>
      <c r="B2457" t="inlineStr"/>
      <c r="C2457" t="inlineStr"/>
      <c r="D2457" t="inlineStr"/>
      <c r="E2457">
        <f>HYPERLINK("https://www.uniprot.org/uniprotkb/A0A8C5MEF9/entry", "A0A8C5MEF9")</f>
        <v/>
      </c>
      <c r="F2457" t="n">
        <v>35.6</v>
      </c>
      <c r="G2457" t="n">
        <v>135</v>
      </c>
      <c r="H2457" t="n">
        <v>5.87e-14</v>
      </c>
      <c r="I2457" t="inlineStr">
        <is>
          <t>TrEMBL</t>
        </is>
      </c>
      <c r="J2457" t="inlineStr"/>
      <c r="K2457" t="inlineStr">
        <is>
          <t>A0A8C5MEF9_9ANUR</t>
        </is>
      </c>
      <c r="L2457" t="inlineStr">
        <is>
          <t>tr|A0A8C5MEF9|A0A8C5MEF9_9ANUR RNA-directed DNA polymerase from transposon BS OS=Leptobrachium leishanense OX=445787 PE=4 SV=1</t>
        </is>
      </c>
      <c r="M2457" t="n">
        <v>268</v>
      </c>
      <c r="N2457" t="inlineStr">
        <is>
          <t>Leptobrachium leishanense</t>
        </is>
      </c>
      <c r="O2457" t="inlineStr">
        <is>
          <t>RNA-directed DNA polymerase from transposon BS</t>
        </is>
      </c>
    </row>
    <row r="2458">
      <c r="A2458" t="inlineStr"/>
      <c r="B2458" t="inlineStr"/>
      <c r="C2458" t="inlineStr"/>
      <c r="D2458" t="inlineStr"/>
      <c r="E2458">
        <f>HYPERLINK("https://www.uniprot.org/uniprotkb/A0A8C5R4K1/entry", "A0A8C5R4K1")</f>
        <v/>
      </c>
      <c r="F2458" t="n">
        <v>31.9</v>
      </c>
      <c r="G2458" t="n">
        <v>135</v>
      </c>
      <c r="H2458" t="n">
        <v>1.12e-13</v>
      </c>
      <c r="I2458" t="inlineStr">
        <is>
          <t>TrEMBL</t>
        </is>
      </c>
      <c r="J2458" t="inlineStr"/>
      <c r="K2458" t="inlineStr">
        <is>
          <t>A0A8C5R4K1_9ANUR</t>
        </is>
      </c>
      <c r="L2458" t="inlineStr">
        <is>
          <t>tr|A0A8C5R4K1|A0A8C5R4K1_9ANUR Reverse transcriptase domain-containing protein OS=Leptobrachium leishanense OX=445787 PE=4 SV=1</t>
        </is>
      </c>
      <c r="M2458" t="n">
        <v>1223</v>
      </c>
      <c r="N2458" t="inlineStr">
        <is>
          <t>Leptobrachium leishanense</t>
        </is>
      </c>
      <c r="O2458" t="inlineStr">
        <is>
          <t>Reverse transcriptase domain-containing protein</t>
        </is>
      </c>
    </row>
    <row r="2459">
      <c r="A2459" t="inlineStr"/>
      <c r="B2459" t="inlineStr"/>
      <c r="C2459" t="inlineStr"/>
      <c r="D2459" t="inlineStr"/>
      <c r="E2459">
        <f>HYPERLINK("https://www.uniprot.org/uniprotkb/P21328/entry", "P21328")</f>
        <v/>
      </c>
      <c r="F2459" t="n">
        <v>25.5</v>
      </c>
      <c r="G2459" t="n">
        <v>325</v>
      </c>
      <c r="H2459" t="n">
        <v>3.16e-13</v>
      </c>
      <c r="I2459" t="inlineStr">
        <is>
          <t>Swiss-Prot</t>
        </is>
      </c>
      <c r="J2459" t="inlineStr">
        <is>
          <t>pol</t>
        </is>
      </c>
      <c r="K2459" t="inlineStr">
        <is>
          <t>RTJK_DROME</t>
        </is>
      </c>
      <c r="L2459" t="inlineStr">
        <is>
          <t>sp|P21328|RTJK_DROME RNA-directed DNA polymerase from mobile element jockey OS=Drosophila melanogaster OX=7227 GN=pol PE=1 SV=1</t>
        </is>
      </c>
      <c r="M2459" t="n">
        <v>916</v>
      </c>
      <c r="N2459" t="inlineStr">
        <is>
          <t>Drosophila melanogaster</t>
        </is>
      </c>
      <c r="O2459" t="inlineStr">
        <is>
          <t>RNA-directed DNA polymerase from mobile element jockey</t>
        </is>
      </c>
    </row>
    <row r="2460">
      <c r="A2460" t="inlineStr"/>
      <c r="B2460" t="inlineStr"/>
      <c r="C2460" t="inlineStr"/>
      <c r="D2460" t="inlineStr"/>
      <c r="E2460">
        <f>HYPERLINK("https://www.uniprot.org/uniprotkb/A0A8C5MQM8/entry", "A0A8C5MQM8")</f>
        <v/>
      </c>
      <c r="F2460" t="n">
        <v>31.9</v>
      </c>
      <c r="G2460" t="n">
        <v>135</v>
      </c>
      <c r="H2460" t="n">
        <v>3.84e-13</v>
      </c>
      <c r="I2460" t="inlineStr">
        <is>
          <t>TrEMBL</t>
        </is>
      </c>
      <c r="J2460" t="inlineStr"/>
      <c r="K2460" t="inlineStr">
        <is>
          <t>A0A8C5MQM8_9ANUR</t>
        </is>
      </c>
      <c r="L2460" t="inlineStr">
        <is>
          <t>tr|A0A8C5MQM8|A0A8C5MQM8_9ANUR Reverse transcriptase domain-containing protein OS=Leptobrachium leishanense OX=445787 PE=4 SV=1</t>
        </is>
      </c>
      <c r="M2460" t="n">
        <v>1048</v>
      </c>
      <c r="N2460" t="inlineStr">
        <is>
          <t>Leptobrachium leishanense</t>
        </is>
      </c>
      <c r="O2460" t="inlineStr">
        <is>
          <t>Reverse transcriptase domain-containing protein</t>
        </is>
      </c>
    </row>
    <row r="2461">
      <c r="A2461" t="inlineStr"/>
      <c r="B2461" t="inlineStr"/>
      <c r="C2461" t="inlineStr"/>
      <c r="D2461" t="inlineStr"/>
      <c r="E2461">
        <f>HYPERLINK("https://www.uniprot.org/uniprotkb/Q95SX7/entry", "Q95SX7")</f>
        <v/>
      </c>
      <c r="F2461" t="n">
        <v>26.1</v>
      </c>
      <c r="G2461" t="n">
        <v>306</v>
      </c>
      <c r="H2461" t="n">
        <v>5.54e-13</v>
      </c>
      <c r="I2461" t="inlineStr">
        <is>
          <t>Swiss-Prot</t>
        </is>
      </c>
      <c r="J2461" t="inlineStr">
        <is>
          <t>RTase</t>
        </is>
      </c>
      <c r="K2461" t="inlineStr">
        <is>
          <t>RTBS_DROME</t>
        </is>
      </c>
      <c r="L2461" t="inlineStr">
        <is>
          <t>sp|Q95SX7|RTBS_DROME Probable RNA-directed DNA polymerase from transposon BS OS=Drosophila melanogaster OX=7227 GN=RTase PE=2 SV=1</t>
        </is>
      </c>
      <c r="M2461" t="n">
        <v>906</v>
      </c>
      <c r="N2461" t="inlineStr">
        <is>
          <t>Drosophila melanogaster</t>
        </is>
      </c>
      <c r="O2461" t="inlineStr">
        <is>
          <t>Probable RNA-directed DNA polymerase from transposon BS</t>
        </is>
      </c>
    </row>
    <row r="2462">
      <c r="A2462" t="inlineStr"/>
      <c r="B2462" t="inlineStr"/>
      <c r="C2462" t="inlineStr"/>
      <c r="D2462" t="inlineStr"/>
      <c r="E2462">
        <f>HYPERLINK("https://www.uniprot.org/uniprotkb/A0A8J6ER20/entry", "A0A8J6ER20")</f>
        <v/>
      </c>
      <c r="F2462" t="n">
        <v>32.8</v>
      </c>
      <c r="G2462" t="n">
        <v>134</v>
      </c>
      <c r="H2462" t="n">
        <v>6.989999999999999e-13</v>
      </c>
      <c r="I2462" t="inlineStr">
        <is>
          <t>TrEMBL</t>
        </is>
      </c>
      <c r="J2462" t="inlineStr">
        <is>
          <t>GDO78_018283</t>
        </is>
      </c>
      <c r="K2462" t="inlineStr">
        <is>
          <t>A0A8J6ER20_ELECQ</t>
        </is>
      </c>
      <c r="L2462" t="inlineStr">
        <is>
          <t>tr|A0A8J6ER20|A0A8J6ER20_ELECQ Endo/exonuclease/phosphatase domain-containing protein OS=Eleutherodactylus coqui OX=57060 GN=GDO78_018283 PE=4 SV=1</t>
        </is>
      </c>
      <c r="M2462" t="n">
        <v>840</v>
      </c>
      <c r="N2462" t="inlineStr">
        <is>
          <t>Eleutherodactylus coqui</t>
        </is>
      </c>
      <c r="O2462" t="inlineStr">
        <is>
          <t>Endo/exonuclease/phosphatase domain-containing protein</t>
        </is>
      </c>
    </row>
    <row r="2463">
      <c r="A2463" t="inlineStr"/>
      <c r="B2463" t="inlineStr"/>
      <c r="C2463" t="inlineStr"/>
      <c r="D2463" t="inlineStr"/>
      <c r="E2463">
        <f>HYPERLINK("https://www.uniprot.org/uniprotkb/A0A8J0V907/entry", "A0A8J0V907")</f>
        <v/>
      </c>
      <c r="F2463" t="n">
        <v>37.5</v>
      </c>
      <c r="G2463" t="n">
        <v>104</v>
      </c>
      <c r="H2463" t="n">
        <v>1.22e-12</v>
      </c>
      <c r="I2463" t="inlineStr">
        <is>
          <t>TrEMBL</t>
        </is>
      </c>
      <c r="J2463" t="inlineStr">
        <is>
          <t>LOC108716019</t>
        </is>
      </c>
      <c r="K2463" t="inlineStr">
        <is>
          <t>A0A8J0V907_XENLA</t>
        </is>
      </c>
      <c r="L2463" t="inlineStr">
        <is>
          <t>tr|A0A8J0V907|A0A8J0V907_XENLA uncharacterized protein LOC108716019 OS=Xenopus laevis OX=8355 GN=LOC108716019 PE=4 SV=1</t>
        </is>
      </c>
      <c r="M2463" t="n">
        <v>358</v>
      </c>
      <c r="N2463" t="inlineStr">
        <is>
          <t>Xenopus laevis</t>
        </is>
      </c>
      <c r="O2463" t="inlineStr">
        <is>
          <t>uncharacterized protein LOC108716019</t>
        </is>
      </c>
    </row>
    <row r="2464">
      <c r="A2464" t="inlineStr"/>
      <c r="B2464" t="inlineStr"/>
      <c r="C2464" t="inlineStr"/>
      <c r="D2464" t="inlineStr"/>
      <c r="E2464">
        <f>HYPERLINK("https://www.uniprot.org/uniprotkb/A0A8C5QB91/entry", "A0A8C5QB91")</f>
        <v/>
      </c>
      <c r="F2464" t="n">
        <v>31.1</v>
      </c>
      <c r="G2464" t="n">
        <v>135</v>
      </c>
      <c r="H2464" t="n">
        <v>1.29e-12</v>
      </c>
      <c r="I2464" t="inlineStr">
        <is>
          <t>TrEMBL</t>
        </is>
      </c>
      <c r="J2464" t="inlineStr"/>
      <c r="K2464" t="inlineStr">
        <is>
          <t>A0A8C5QB91_9ANUR</t>
        </is>
      </c>
      <c r="L2464" t="inlineStr">
        <is>
          <t>tr|A0A8C5QB91|A0A8C5QB91_9ANUR Reverse transcriptase domain-containing protein OS=Leptobrachium leishanense OX=445787 PE=4 SV=1</t>
        </is>
      </c>
      <c r="M2464" t="n">
        <v>786</v>
      </c>
      <c r="N2464" t="inlineStr">
        <is>
          <t>Leptobrachium leishanense</t>
        </is>
      </c>
      <c r="O2464" t="inlineStr">
        <is>
          <t>Reverse transcriptase domain-containing protein</t>
        </is>
      </c>
    </row>
    <row r="2465">
      <c r="A2465" t="inlineStr"/>
      <c r="B2465" t="inlineStr"/>
      <c r="C2465" t="inlineStr"/>
      <c r="D2465" t="inlineStr"/>
      <c r="E2465">
        <f>HYPERLINK("https://www.uniprot.org/uniprotkb/A0A8C5Q6U5/entry", "A0A8C5Q6U5")</f>
        <v/>
      </c>
      <c r="F2465" t="n">
        <v>34.8</v>
      </c>
      <c r="G2465" t="n">
        <v>135</v>
      </c>
      <c r="H2465" t="n">
        <v>1.29e-12</v>
      </c>
      <c r="I2465" t="inlineStr">
        <is>
          <t>TrEMBL</t>
        </is>
      </c>
      <c r="J2465" t="inlineStr"/>
      <c r="K2465" t="inlineStr">
        <is>
          <t>A0A8C5Q6U5_9ANUR</t>
        </is>
      </c>
      <c r="L2465" t="inlineStr">
        <is>
          <t>tr|A0A8C5Q6U5|A0A8C5Q6U5_9ANUR Endo/exonuclease/phosphatase domain-containing protein OS=Leptobrachium leishanense OX=445787 PE=4 SV=1</t>
        </is>
      </c>
      <c r="M2465" t="n">
        <v>315</v>
      </c>
      <c r="N2465" t="inlineStr">
        <is>
          <t>Leptobrachium leishanense</t>
        </is>
      </c>
      <c r="O2465" t="inlineStr">
        <is>
          <t>Endo/exonuclease/phosphatase domain-containing protein</t>
        </is>
      </c>
    </row>
    <row r="2466">
      <c r="A2466" t="inlineStr"/>
      <c r="B2466" t="inlineStr"/>
      <c r="C2466" t="inlineStr"/>
      <c r="D2466" t="inlineStr"/>
      <c r="E2466">
        <f>HYPERLINK("https://www.ncbi.nlm.nih.gov/gene/?term=OCT65754.1", "OCT65754.1")</f>
        <v/>
      </c>
      <c r="F2466" t="n">
        <v>35</v>
      </c>
      <c r="G2466" t="n">
        <v>137</v>
      </c>
      <c r="H2466" t="n">
        <v>1.64e-12</v>
      </c>
      <c r="I2466" t="inlineStr">
        <is>
          <t>Nr</t>
        </is>
      </c>
      <c r="J2466" t="inlineStr"/>
      <c r="K2466" t="inlineStr"/>
      <c r="L2466" t="inlineStr">
        <is>
          <t>OCT65754.1 hypothetical protein XELAEV_18041997mg [Xenopus laevis]</t>
        </is>
      </c>
      <c r="M2466" t="n">
        <v>308</v>
      </c>
      <c r="N2466" t="inlineStr">
        <is>
          <t>Xenopus laevis</t>
        </is>
      </c>
      <c r="O2466" t="inlineStr">
        <is>
          <t>hypothetical protein XELAEV_18041997mg</t>
        </is>
      </c>
    </row>
    <row r="2467">
      <c r="A2467" t="inlineStr"/>
      <c r="B2467" t="inlineStr"/>
      <c r="C2467" t="inlineStr"/>
      <c r="D2467" t="inlineStr"/>
      <c r="E2467">
        <f>HYPERLINK("https://www.uniprot.org/uniprotkb/A0A8C5QP47/entry", "A0A8C5QP47")</f>
        <v/>
      </c>
      <c r="F2467" t="n">
        <v>34.6</v>
      </c>
      <c r="G2467" t="n">
        <v>136</v>
      </c>
      <c r="H2467" t="n">
        <v>1.75e-12</v>
      </c>
      <c r="I2467" t="inlineStr">
        <is>
          <t>TrEMBL</t>
        </is>
      </c>
      <c r="J2467" t="inlineStr"/>
      <c r="K2467" t="inlineStr">
        <is>
          <t>A0A8C5QP47_9ANUR</t>
        </is>
      </c>
      <c r="L2467" t="inlineStr">
        <is>
          <t>tr|A0A8C5QP47|A0A8C5QP47_9ANUR Reverse transcriptase domain-containing protein OS=Leptobrachium leishanense OX=445787 PE=4 SV=1</t>
        </is>
      </c>
      <c r="M2467" t="n">
        <v>751</v>
      </c>
      <c r="N2467" t="inlineStr">
        <is>
          <t>Leptobrachium leishanense</t>
        </is>
      </c>
      <c r="O2467" t="inlineStr">
        <is>
          <t>Reverse transcriptase domain-containing protein</t>
        </is>
      </c>
    </row>
    <row r="2468">
      <c r="A2468" t="inlineStr"/>
      <c r="B2468" t="inlineStr"/>
      <c r="C2468" t="inlineStr"/>
      <c r="D2468" t="inlineStr"/>
      <c r="E2468">
        <f>HYPERLINK("https://www.ncbi.nlm.nih.gov/gene/?term=KAG9473336.1", "KAG9473336.1")</f>
        <v/>
      </c>
      <c r="F2468" t="n">
        <v>32.8</v>
      </c>
      <c r="G2468" t="n">
        <v>134</v>
      </c>
      <c r="H2468" t="n">
        <v>1.8e-12</v>
      </c>
      <c r="I2468" t="inlineStr">
        <is>
          <t>Nr</t>
        </is>
      </c>
      <c r="J2468" t="inlineStr"/>
      <c r="K2468" t="inlineStr"/>
      <c r="L2468" t="inlineStr">
        <is>
          <t>KAG9473336.1 hypothetical protein GDO78_018283 [Eleutherodactylus coqui]</t>
        </is>
      </c>
      <c r="M2468" t="n">
        <v>840</v>
      </c>
      <c r="N2468" t="inlineStr">
        <is>
          <t>Eleutherodactylus coqui</t>
        </is>
      </c>
      <c r="O2468" t="inlineStr">
        <is>
          <t>hypothetical protein GDO78_018283</t>
        </is>
      </c>
    </row>
    <row r="2469">
      <c r="A2469" t="inlineStr"/>
      <c r="B2469" t="inlineStr"/>
      <c r="C2469" t="inlineStr"/>
      <c r="D2469" t="inlineStr"/>
      <c r="E2469">
        <f>HYPERLINK("https://www.uniprot.org/uniprotkb/A0A8C5MXA6/entry", "A0A8C5MXA6")</f>
        <v/>
      </c>
      <c r="F2469" t="n">
        <v>34.8</v>
      </c>
      <c r="G2469" t="n">
        <v>135</v>
      </c>
      <c r="H2469" t="n">
        <v>1.97e-12</v>
      </c>
      <c r="I2469" t="inlineStr">
        <is>
          <t>TrEMBL</t>
        </is>
      </c>
      <c r="J2469" t="inlineStr"/>
      <c r="K2469" t="inlineStr">
        <is>
          <t>A0A8C5MXA6_9ANUR</t>
        </is>
      </c>
      <c r="L2469" t="inlineStr">
        <is>
          <t>tr|A0A8C5MXA6|A0A8C5MXA6_9ANUR Endo/exonuclease/phosphatase domain-containing protein OS=Leptobrachium leishanense OX=445787 PE=4 SV=1</t>
        </is>
      </c>
      <c r="M2469" t="n">
        <v>404</v>
      </c>
      <c r="N2469" t="inlineStr">
        <is>
          <t>Leptobrachium leishanense</t>
        </is>
      </c>
      <c r="O2469" t="inlineStr">
        <is>
          <t>Endo/exonuclease/phosphatase domain-containing protein</t>
        </is>
      </c>
    </row>
    <row r="2470">
      <c r="A2470" t="inlineStr"/>
      <c r="B2470" t="inlineStr"/>
      <c r="C2470" t="inlineStr"/>
      <c r="D2470" t="inlineStr"/>
      <c r="E2470">
        <f>HYPERLINK("https://www.uniprot.org/uniprotkb/A0A803K396/entry", "A0A803K396")</f>
        <v/>
      </c>
      <c r="F2470" t="n">
        <v>32.3</v>
      </c>
      <c r="G2470" t="n">
        <v>133</v>
      </c>
      <c r="H2470" t="n">
        <v>2.5e-12</v>
      </c>
      <c r="I2470" t="inlineStr">
        <is>
          <t>TrEMBL</t>
        </is>
      </c>
      <c r="J2470" t="inlineStr"/>
      <c r="K2470" t="inlineStr">
        <is>
          <t>A0A803K396_XENTR</t>
        </is>
      </c>
      <c r="L2470" t="inlineStr">
        <is>
          <t>tr|A0A803K396|A0A803K396_XENTR Reverse transcriptase domain-containing protein OS=Xenopus tropicalis OX=8364 PE=4 SV=1</t>
        </is>
      </c>
      <c r="M2470" t="n">
        <v>1283</v>
      </c>
      <c r="N2470" t="inlineStr">
        <is>
          <t>Xenopus tropicalis</t>
        </is>
      </c>
      <c r="O2470" t="inlineStr">
        <is>
          <t>Reverse transcriptase domain-containing protein</t>
        </is>
      </c>
    </row>
    <row r="2471">
      <c r="A2471" t="inlineStr"/>
      <c r="B2471" t="inlineStr"/>
      <c r="C2471" t="inlineStr"/>
      <c r="D2471" t="inlineStr"/>
      <c r="E2471">
        <f>HYPERLINK("https://www.uniprot.org/uniprotkb/A0A6I8PWE2/entry", "A0A6I8PWE2")</f>
        <v/>
      </c>
      <c r="F2471" t="n">
        <v>34.6</v>
      </c>
      <c r="G2471" t="n">
        <v>133</v>
      </c>
      <c r="H2471" t="n">
        <v>2.9e-12</v>
      </c>
      <c r="I2471" t="inlineStr">
        <is>
          <t>TrEMBL</t>
        </is>
      </c>
      <c r="J2471" t="inlineStr"/>
      <c r="K2471" t="inlineStr">
        <is>
          <t>A0A6I8PWE2_XENTR</t>
        </is>
      </c>
      <c r="L2471" t="inlineStr">
        <is>
          <t>tr|A0A6I8PWE2|A0A6I8PWE2_XENTR Endo/exonuclease/phosphatase domain-containing protein OS=Xenopus tropicalis OX=8364 PE=4 SV=2</t>
        </is>
      </c>
      <c r="M2471" t="n">
        <v>444</v>
      </c>
      <c r="N2471" t="inlineStr">
        <is>
          <t>Xenopus tropicalis</t>
        </is>
      </c>
      <c r="O2471" t="inlineStr">
        <is>
          <t>Endo/exonuclease/phosphatase domain-containing protein</t>
        </is>
      </c>
    </row>
    <row r="2472">
      <c r="A2472" t="inlineStr"/>
      <c r="B2472" t="inlineStr"/>
      <c r="C2472" t="inlineStr"/>
      <c r="D2472" t="inlineStr"/>
      <c r="E2472">
        <f>HYPERLINK("https://www.ncbi.nlm.nih.gov/gene/?term=XP_018117081.1", "XP_018117081.1")</f>
        <v/>
      </c>
      <c r="F2472" t="n">
        <v>37.5</v>
      </c>
      <c r="G2472" t="n">
        <v>104</v>
      </c>
      <c r="H2472" t="n">
        <v>3.14e-12</v>
      </c>
      <c r="I2472" t="inlineStr">
        <is>
          <t>Nr</t>
        </is>
      </c>
      <c r="J2472" t="inlineStr"/>
      <c r="K2472" t="inlineStr"/>
      <c r="L2472" t="inlineStr">
        <is>
          <t>XP_018117081.1 uncharacterized protein LOC108716019 [Xenopus laevis]</t>
        </is>
      </c>
      <c r="M2472" t="n">
        <v>358</v>
      </c>
      <c r="N2472" t="inlineStr">
        <is>
          <t>Xenopus laevis</t>
        </is>
      </c>
      <c r="O2472" t="inlineStr">
        <is>
          <t>uncharacterized protein LOC108716019</t>
        </is>
      </c>
    </row>
    <row r="2473">
      <c r="A2473" t="inlineStr"/>
      <c r="B2473" t="inlineStr"/>
      <c r="C2473" t="inlineStr"/>
      <c r="D2473" t="inlineStr"/>
      <c r="E2473">
        <f>HYPERLINK("https://www.uniprot.org/uniprotkb/A0A8C5QS89/entry", "A0A8C5QS89")</f>
        <v/>
      </c>
      <c r="F2473" t="n">
        <v>35.2</v>
      </c>
      <c r="G2473" t="n">
        <v>128</v>
      </c>
      <c r="H2473" t="n">
        <v>4.61e-12</v>
      </c>
      <c r="I2473" t="inlineStr">
        <is>
          <t>TrEMBL</t>
        </is>
      </c>
      <c r="J2473" t="inlineStr"/>
      <c r="K2473" t="inlineStr">
        <is>
          <t>A0A8C5QS89_9ANUR</t>
        </is>
      </c>
      <c r="L2473" t="inlineStr">
        <is>
          <t>tr|A0A8C5QS89|A0A8C5QS89_9ANUR Reverse transcriptase domain-containing protein OS=Leptobrachium leishanense OX=445787 PE=4 SV=1</t>
        </is>
      </c>
      <c r="M2473" t="n">
        <v>1150</v>
      </c>
      <c r="N2473" t="inlineStr">
        <is>
          <t>Leptobrachium leishanense</t>
        </is>
      </c>
      <c r="O2473" t="inlineStr">
        <is>
          <t>Reverse transcriptase domain-containing protein</t>
        </is>
      </c>
    </row>
    <row r="2474">
      <c r="A2474" t="inlineStr"/>
      <c r="B2474" t="inlineStr"/>
      <c r="C2474" t="inlineStr"/>
      <c r="D2474" t="inlineStr"/>
      <c r="E2474">
        <f>HYPERLINK("https://www.uniprot.org/uniprotkb/A0A803K064/entry", "A0A803K064")</f>
        <v/>
      </c>
      <c r="F2474" t="n">
        <v>31.6</v>
      </c>
      <c r="G2474" t="n">
        <v>133</v>
      </c>
      <c r="H2474" t="n">
        <v>5.42e-12</v>
      </c>
      <c r="I2474" t="inlineStr">
        <is>
          <t>TrEMBL</t>
        </is>
      </c>
      <c r="J2474" t="inlineStr"/>
      <c r="K2474" t="inlineStr">
        <is>
          <t>A0A803K064_XENTR</t>
        </is>
      </c>
      <c r="L2474" t="inlineStr">
        <is>
          <t>tr|A0A803K064|A0A803K064_XENTR Endo/exonuclease/phosphatase domain-containing protein OS=Xenopus tropicalis OX=8364 PE=4 SV=1</t>
        </is>
      </c>
      <c r="M2474" t="n">
        <v>445</v>
      </c>
      <c r="N2474" t="inlineStr">
        <is>
          <t>Xenopus tropicalis</t>
        </is>
      </c>
      <c r="O2474" t="inlineStr">
        <is>
          <t>Endo/exonuclease/phosphatase domain-containing protein</t>
        </is>
      </c>
    </row>
    <row r="2475">
      <c r="A2475" t="inlineStr"/>
      <c r="B2475" t="inlineStr"/>
      <c r="C2475" t="inlineStr"/>
      <c r="D2475" t="inlineStr"/>
      <c r="E2475">
        <f>HYPERLINK("https://www.uniprot.org/uniprotkb/A0A8C5WD07/entry", "A0A8C5WD07")</f>
        <v/>
      </c>
      <c r="F2475" t="n">
        <v>32.6</v>
      </c>
      <c r="G2475" t="n">
        <v>135</v>
      </c>
      <c r="H2475" t="n">
        <v>8.379999999999999e-12</v>
      </c>
      <c r="I2475" t="inlineStr">
        <is>
          <t>TrEMBL</t>
        </is>
      </c>
      <c r="J2475" t="inlineStr"/>
      <c r="K2475" t="inlineStr">
        <is>
          <t>A0A8C5WD07_9ANUR</t>
        </is>
      </c>
      <c r="L2475" t="inlineStr">
        <is>
          <t>tr|A0A8C5WD07|A0A8C5WD07_9ANUR Reverse transcriptase domain-containing protein OS=Leptobrachium leishanense OX=445787 PE=4 SV=1</t>
        </is>
      </c>
      <c r="M2475" t="n">
        <v>895</v>
      </c>
      <c r="N2475" t="inlineStr">
        <is>
          <t>Leptobrachium leishanense</t>
        </is>
      </c>
      <c r="O2475" t="inlineStr">
        <is>
          <t>Reverse transcriptase domain-containing protein</t>
        </is>
      </c>
    </row>
    <row r="2476">
      <c r="A2476" t="inlineStr"/>
      <c r="B2476" t="inlineStr"/>
      <c r="C2476" t="inlineStr"/>
      <c r="D2476" t="inlineStr"/>
      <c r="E2476">
        <f>HYPERLINK("https://www.uniprot.org/uniprotkb/A0A8C5N4A0/entry", "A0A8C5N4A0")</f>
        <v/>
      </c>
      <c r="F2476" t="n">
        <v>33.8</v>
      </c>
      <c r="G2476" t="n">
        <v>130</v>
      </c>
      <c r="H2476" t="n">
        <v>3.38e-11</v>
      </c>
      <c r="I2476" t="inlineStr">
        <is>
          <t>TrEMBL</t>
        </is>
      </c>
      <c r="J2476" t="inlineStr"/>
      <c r="K2476" t="inlineStr">
        <is>
          <t>A0A8C5N4A0_9ANUR</t>
        </is>
      </c>
      <c r="L2476" t="inlineStr">
        <is>
          <t>tr|A0A8C5N4A0|A0A8C5N4A0_9ANUR Endo/exonuclease/phosphatase domain-containing protein OS=Leptobrachium leishanense OX=445787 PE=4 SV=1</t>
        </is>
      </c>
      <c r="M2476" t="n">
        <v>322</v>
      </c>
      <c r="N2476" t="inlineStr">
        <is>
          <t>Leptobrachium leishanense</t>
        </is>
      </c>
      <c r="O2476" t="inlineStr">
        <is>
          <t>Endo/exonuclease/phosphatase domain-containing protein</t>
        </is>
      </c>
    </row>
    <row r="2477">
      <c r="A2477" t="inlineStr"/>
      <c r="B2477" t="inlineStr"/>
      <c r="C2477" t="inlineStr"/>
      <c r="D2477" t="inlineStr"/>
      <c r="E2477">
        <f>HYPERLINK("https://www.uniprot.org/uniprotkb/A0A803JEZ2/entry", "A0A803JEZ2")</f>
        <v/>
      </c>
      <c r="F2477" t="n">
        <v>36.7</v>
      </c>
      <c r="G2477" t="n">
        <v>128</v>
      </c>
      <c r="H2477" t="n">
        <v>3.86e-11</v>
      </c>
      <c r="I2477" t="inlineStr">
        <is>
          <t>TrEMBL</t>
        </is>
      </c>
      <c r="J2477" t="inlineStr"/>
      <c r="K2477" t="inlineStr">
        <is>
          <t>A0A803JEZ2_XENTR</t>
        </is>
      </c>
      <c r="L2477" t="inlineStr">
        <is>
          <t>tr|A0A803JEZ2|A0A803JEZ2_XENTR Reverse transcriptase domain-containing protein OS=Xenopus tropicalis OX=8364 PE=4 SV=1</t>
        </is>
      </c>
      <c r="M2477" t="n">
        <v>732</v>
      </c>
      <c r="N2477" t="inlineStr">
        <is>
          <t>Xenopus tropicalis</t>
        </is>
      </c>
      <c r="O2477" t="inlineStr">
        <is>
          <t>Reverse transcriptase domain-containing protein</t>
        </is>
      </c>
    </row>
    <row r="2478">
      <c r="A2478" t="inlineStr"/>
      <c r="B2478" t="inlineStr"/>
      <c r="C2478" t="inlineStr"/>
      <c r="D2478" t="inlineStr"/>
      <c r="E2478">
        <f>HYPERLINK("https://www.uniprot.org/uniprotkb/A0A803JI77/entry", "A0A803JI77")</f>
        <v/>
      </c>
      <c r="F2478" t="n">
        <v>33.9</v>
      </c>
      <c r="G2478" t="n">
        <v>127</v>
      </c>
      <c r="H2478" t="n">
        <v>4.33e-11</v>
      </c>
      <c r="I2478" t="inlineStr">
        <is>
          <t>TrEMBL</t>
        </is>
      </c>
      <c r="J2478" t="inlineStr"/>
      <c r="K2478" t="inlineStr">
        <is>
          <t>A0A803JI77_XENTR</t>
        </is>
      </c>
      <c r="L2478" t="inlineStr">
        <is>
          <t>tr|A0A803JI77|A0A803JI77_XENTR Endo/exonuclease/phosphatase domain-containing protein OS=Xenopus tropicalis OX=8364 PE=4 SV=1</t>
        </is>
      </c>
      <c r="M2478" t="n">
        <v>383</v>
      </c>
      <c r="N2478" t="inlineStr">
        <is>
          <t>Xenopus tropicalis</t>
        </is>
      </c>
      <c r="O2478" t="inlineStr">
        <is>
          <t>Endo/exonuclease/phosphatase domain-containing protein</t>
        </is>
      </c>
    </row>
    <row r="2479">
      <c r="A2479" t="inlineStr"/>
      <c r="B2479" t="inlineStr"/>
      <c r="C2479" t="inlineStr"/>
      <c r="D2479" t="inlineStr"/>
      <c r="E2479">
        <f>HYPERLINK("https://www.uniprot.org/uniprotkb/Q6GN73/entry", "Q6GN73")</f>
        <v/>
      </c>
      <c r="F2479" t="n">
        <v>29.3</v>
      </c>
      <c r="G2479" t="n">
        <v>133</v>
      </c>
      <c r="H2479" t="n">
        <v>6.5e-11</v>
      </c>
      <c r="I2479" t="inlineStr">
        <is>
          <t>TrEMBL</t>
        </is>
      </c>
      <c r="J2479" t="inlineStr">
        <is>
          <t>MGC82982</t>
        </is>
      </c>
      <c r="K2479" t="inlineStr">
        <is>
          <t>Q6GN73_XENLA</t>
        </is>
      </c>
      <c r="L2479" t="inlineStr">
        <is>
          <t>tr|Q6GN73|Q6GN73_XENLA MGC82982 protein OS=Xenopus laevis OX=8355 GN=MGC82982 PE=2 SV=1</t>
        </is>
      </c>
      <c r="M2479" t="n">
        <v>441</v>
      </c>
      <c r="N2479" t="inlineStr">
        <is>
          <t>Xenopus laevis</t>
        </is>
      </c>
      <c r="O2479" t="inlineStr">
        <is>
          <t>MGC82982 protein</t>
        </is>
      </c>
    </row>
    <row r="2480">
      <c r="A2480" t="inlineStr"/>
      <c r="B2480" t="inlineStr"/>
      <c r="C2480" t="inlineStr"/>
      <c r="D2480" t="inlineStr"/>
      <c r="E2480">
        <f>HYPERLINK("https://www.uniprot.org/uniprotkb/A0A8C5N1X9/entry", "A0A8C5N1X9")</f>
        <v/>
      </c>
      <c r="F2480" t="n">
        <v>32.8</v>
      </c>
      <c r="G2480" t="n">
        <v>128</v>
      </c>
      <c r="H2480" t="n">
        <v>7.31e-11</v>
      </c>
      <c r="I2480" t="inlineStr">
        <is>
          <t>TrEMBL</t>
        </is>
      </c>
      <c r="J2480" t="inlineStr"/>
      <c r="K2480" t="inlineStr">
        <is>
          <t>A0A8C5N1X9_9ANUR</t>
        </is>
      </c>
      <c r="L2480" t="inlineStr">
        <is>
          <t>tr|A0A8C5N1X9|A0A8C5N1X9_9ANUR Reverse transcriptase domain-containing protein OS=Leptobrachium leishanense OX=445787 PE=4 SV=1</t>
        </is>
      </c>
      <c r="M2480" t="n">
        <v>884</v>
      </c>
      <c r="N2480" t="inlineStr">
        <is>
          <t>Leptobrachium leishanense</t>
        </is>
      </c>
      <c r="O2480" t="inlineStr">
        <is>
          <t>Reverse transcriptase domain-containing protein</t>
        </is>
      </c>
    </row>
    <row r="2481">
      <c r="A2481" t="inlineStr"/>
      <c r="B2481" t="inlineStr"/>
      <c r="C2481" t="inlineStr"/>
      <c r="D2481" t="inlineStr"/>
      <c r="E2481">
        <f>HYPERLINK("https://www.ncbi.nlm.nih.gov/gene/?term=NP_001085982.1", "NP_001085982.1")</f>
        <v/>
      </c>
      <c r="F2481" t="n">
        <v>29.3</v>
      </c>
      <c r="G2481" t="n">
        <v>133</v>
      </c>
      <c r="H2481" t="n">
        <v>1.67e-10</v>
      </c>
      <c r="I2481" t="inlineStr">
        <is>
          <t>Nr</t>
        </is>
      </c>
      <c r="J2481" t="inlineStr"/>
      <c r="K2481" t="inlineStr"/>
      <c r="L2481" t="inlineStr">
        <is>
          <t>NP_001085982.1 uncharacterized protein LOC444411 [Xenopus laevis]</t>
        </is>
      </c>
      <c r="M2481" t="n">
        <v>441</v>
      </c>
      <c r="N2481" t="inlineStr">
        <is>
          <t>Xenopus laevis</t>
        </is>
      </c>
      <c r="O2481" t="inlineStr">
        <is>
          <t>uncharacterized protein LOC444411</t>
        </is>
      </c>
    </row>
    <row r="2482">
      <c r="A2482" t="inlineStr"/>
      <c r="B2482" t="inlineStr"/>
      <c r="C2482" t="inlineStr"/>
      <c r="D2482" t="inlineStr"/>
      <c r="E2482">
        <f>HYPERLINK("https://www.uniprot.org/uniprotkb/A0A8C5P6I5/entry", "A0A8C5P6I5")</f>
        <v/>
      </c>
      <c r="F2482" t="n">
        <v>33.1</v>
      </c>
      <c r="G2482" t="n">
        <v>130</v>
      </c>
      <c r="H2482" t="n">
        <v>1.79e-10</v>
      </c>
      <c r="I2482" t="inlineStr">
        <is>
          <t>TrEMBL</t>
        </is>
      </c>
      <c r="J2482" t="inlineStr"/>
      <c r="K2482" t="inlineStr">
        <is>
          <t>A0A8C5P6I5_9ANUR</t>
        </is>
      </c>
      <c r="L2482" t="inlineStr">
        <is>
          <t>tr|A0A8C5P6I5|A0A8C5P6I5_9ANUR Reverse transcriptase domain-containing protein OS=Leptobrachium leishanense OX=445787 PE=4 SV=1</t>
        </is>
      </c>
      <c r="M2482" t="n">
        <v>659</v>
      </c>
      <c r="N2482" t="inlineStr">
        <is>
          <t>Leptobrachium leishanense</t>
        </is>
      </c>
      <c r="O2482" t="inlineStr">
        <is>
          <t>Reverse transcriptase domain-containing protein</t>
        </is>
      </c>
    </row>
    <row r="2483">
      <c r="A2483" t="inlineStr"/>
      <c r="B2483" t="inlineStr"/>
      <c r="C2483" t="inlineStr"/>
      <c r="D2483" t="inlineStr"/>
      <c r="E2483">
        <f>HYPERLINK("https://www.uniprot.org/uniprotkb/A0A8C5LQ17/entry", "A0A8C5LQ17")</f>
        <v/>
      </c>
      <c r="F2483" t="n">
        <v>32.8</v>
      </c>
      <c r="G2483" t="n">
        <v>131</v>
      </c>
      <c r="H2483" t="n">
        <v>1.89e-10</v>
      </c>
      <c r="I2483" t="inlineStr">
        <is>
          <t>TrEMBL</t>
        </is>
      </c>
      <c r="J2483" t="inlineStr"/>
      <c r="K2483" t="inlineStr">
        <is>
          <t>A0A8C5LQ17_9ANUR</t>
        </is>
      </c>
      <c r="L2483" t="inlineStr">
        <is>
          <t>tr|A0A8C5LQ17|A0A8C5LQ17_9ANUR Reverse transcriptase domain-containing protein OS=Leptobrachium leishanense OX=445787 PE=4 SV=1</t>
        </is>
      </c>
      <c r="M2483" t="n">
        <v>1134</v>
      </c>
      <c r="N2483" t="inlineStr">
        <is>
          <t>Leptobrachium leishanense</t>
        </is>
      </c>
      <c r="O2483" t="inlineStr">
        <is>
          <t>Reverse transcriptase domain-containing protein</t>
        </is>
      </c>
    </row>
    <row r="2484">
      <c r="A2484" t="inlineStr"/>
      <c r="B2484" t="inlineStr"/>
      <c r="C2484" t="inlineStr"/>
      <c r="D2484" t="inlineStr"/>
      <c r="E2484">
        <f>HYPERLINK("https://www.uniprot.org/uniprotkb/A0A8C5Q3X7/entry", "A0A8C5Q3X7")</f>
        <v/>
      </c>
      <c r="F2484" t="n">
        <v>31.6</v>
      </c>
      <c r="G2484" t="n">
        <v>133</v>
      </c>
      <c r="H2484" t="n">
        <v>2.6e-10</v>
      </c>
      <c r="I2484" t="inlineStr">
        <is>
          <t>TrEMBL</t>
        </is>
      </c>
      <c r="J2484" t="inlineStr"/>
      <c r="K2484" t="inlineStr">
        <is>
          <t>A0A8C5Q3X7_9ANUR</t>
        </is>
      </c>
      <c r="L2484" t="inlineStr">
        <is>
          <t>tr|A0A8C5Q3X7|A0A8C5Q3X7_9ANUR Reverse transcriptase domain-containing protein OS=Leptobrachium leishanense OX=445787 PE=4 SV=1</t>
        </is>
      </c>
      <c r="M2484" t="n">
        <v>1279</v>
      </c>
      <c r="N2484" t="inlineStr">
        <is>
          <t>Leptobrachium leishanense</t>
        </is>
      </c>
      <c r="O2484" t="inlineStr">
        <is>
          <t>Reverse transcriptase domain-containing protein</t>
        </is>
      </c>
    </row>
    <row r="2485">
      <c r="A2485" t="inlineStr"/>
      <c r="B2485" t="inlineStr"/>
      <c r="C2485" t="inlineStr"/>
      <c r="D2485" t="inlineStr"/>
      <c r="E2485">
        <f>HYPERLINK("https://www.uniprot.org/uniprotkb/A0A8C5QKB6/entry", "A0A8C5QKB6")</f>
        <v/>
      </c>
      <c r="F2485" t="n">
        <v>33.3</v>
      </c>
      <c r="G2485" t="n">
        <v>126</v>
      </c>
      <c r="H2485" t="n">
        <v>3.49e-10</v>
      </c>
      <c r="I2485" t="inlineStr">
        <is>
          <t>TrEMBL</t>
        </is>
      </c>
      <c r="J2485" t="inlineStr"/>
      <c r="K2485" t="inlineStr">
        <is>
          <t>A0A8C5QKB6_9ANUR</t>
        </is>
      </c>
      <c r="L2485" t="inlineStr">
        <is>
          <t>tr|A0A8C5QKB6|A0A8C5QKB6_9ANUR Reverse transcriptase domain-containing protein OS=Leptobrachium leishanense OX=445787 PE=4 SV=1</t>
        </is>
      </c>
      <c r="M2485" t="n">
        <v>1065</v>
      </c>
      <c r="N2485" t="inlineStr">
        <is>
          <t>Leptobrachium leishanense</t>
        </is>
      </c>
      <c r="O2485" t="inlineStr">
        <is>
          <t>Reverse transcriptase domain-containing protein</t>
        </is>
      </c>
    </row>
    <row r="2486">
      <c r="A2486" t="inlineStr"/>
      <c r="B2486" t="inlineStr"/>
      <c r="C2486" t="inlineStr"/>
      <c r="D2486" t="inlineStr"/>
      <c r="E2486">
        <f>HYPERLINK("https://www.uniprot.org/uniprotkb/A0A8C5WG81/entry", "A0A8C5WG81")</f>
        <v/>
      </c>
      <c r="F2486" t="n">
        <v>32.3</v>
      </c>
      <c r="G2486" t="n">
        <v>130</v>
      </c>
      <c r="H2486" t="n">
        <v>3.54e-10</v>
      </c>
      <c r="I2486" t="inlineStr">
        <is>
          <t>TrEMBL</t>
        </is>
      </c>
      <c r="J2486" t="inlineStr"/>
      <c r="K2486" t="inlineStr">
        <is>
          <t>A0A8C5WG81_9ANUR</t>
        </is>
      </c>
      <c r="L2486" t="inlineStr">
        <is>
          <t>tr|A0A8C5WG81|A0A8C5WG81_9ANUR Reverse transcriptase domain-containing protein OS=Leptobrachium leishanense OX=445787 PE=4 SV=1</t>
        </is>
      </c>
      <c r="M2486" t="n">
        <v>1263</v>
      </c>
      <c r="N2486" t="inlineStr">
        <is>
          <t>Leptobrachium leishanense</t>
        </is>
      </c>
      <c r="O2486" t="inlineStr">
        <is>
          <t>Reverse transcriptase domain-containing protein</t>
        </is>
      </c>
    </row>
    <row r="2487">
      <c r="A2487" t="inlineStr"/>
      <c r="B2487" t="inlineStr"/>
      <c r="C2487" t="inlineStr"/>
      <c r="D2487" t="inlineStr"/>
      <c r="E2487">
        <f>HYPERLINK("https://www.uniprot.org/uniprotkb/A0A803JT41/entry", "A0A803JT41")</f>
        <v/>
      </c>
      <c r="F2487" t="n">
        <v>31.2</v>
      </c>
      <c r="G2487" t="n">
        <v>125</v>
      </c>
      <c r="H2487" t="n">
        <v>4.02e-10</v>
      </c>
      <c r="I2487" t="inlineStr">
        <is>
          <t>TrEMBL</t>
        </is>
      </c>
      <c r="J2487" t="inlineStr"/>
      <c r="K2487" t="inlineStr">
        <is>
          <t>A0A803JT41_XENTR</t>
        </is>
      </c>
      <c r="L2487" t="inlineStr">
        <is>
          <t>tr|A0A803JT41|A0A803JT41_XENTR Endo/exonuclease/phosphatase domain-containing protein OS=Xenopus tropicalis OX=8364 PE=4 SV=1</t>
        </is>
      </c>
      <c r="M2487" t="n">
        <v>403</v>
      </c>
      <c r="N2487" t="inlineStr">
        <is>
          <t>Xenopus tropicalis</t>
        </is>
      </c>
      <c r="O2487" t="inlineStr">
        <is>
          <t>Endo/exonuclease/phosphatase domain-containing protein</t>
        </is>
      </c>
    </row>
    <row r="2488">
      <c r="A2488" t="inlineStr"/>
      <c r="B2488" t="inlineStr"/>
      <c r="C2488" t="inlineStr"/>
      <c r="D2488" t="inlineStr"/>
      <c r="E2488">
        <f>HYPERLINK("https://www.uniprot.org/uniprotkb/Q9UN81/entry", "Q9UN81")</f>
        <v/>
      </c>
      <c r="F2488" t="n">
        <v>27</v>
      </c>
      <c r="G2488" t="n">
        <v>148</v>
      </c>
      <c r="H2488" t="n">
        <v>4.37e-09</v>
      </c>
      <c r="I2488" t="inlineStr">
        <is>
          <t>Swiss-Prot</t>
        </is>
      </c>
      <c r="J2488" t="inlineStr">
        <is>
          <t>L1RE1</t>
        </is>
      </c>
      <c r="K2488" t="inlineStr">
        <is>
          <t>LORF1_HUMAN</t>
        </is>
      </c>
      <c r="L2488" t="inlineStr">
        <is>
          <t>sp|Q9UN81|LORF1_HUMAN LINE-1 retrotransposable element ORF1 protein OS=Homo sapiens OX=9606 GN=L1RE1 PE=1 SV=1</t>
        </is>
      </c>
      <c r="M2488" t="n">
        <v>338</v>
      </c>
      <c r="N2488" t="inlineStr">
        <is>
          <t>Homo sapiens</t>
        </is>
      </c>
      <c r="O2488" t="inlineStr">
        <is>
          <t>LINE-1 retrotransposable element ORF1 protein</t>
        </is>
      </c>
    </row>
    <row r="2489">
      <c r="A2489" t="inlineStr"/>
      <c r="B2489" t="inlineStr"/>
      <c r="C2489" t="inlineStr"/>
      <c r="D2489" t="inlineStr"/>
      <c r="E2489">
        <f>HYPERLINK("https://www.uniprot.org/uniprotkb/P0CV25/entry", "P0CV25")</f>
        <v/>
      </c>
      <c r="F2489" t="n">
        <v>34.9</v>
      </c>
      <c r="G2489" t="n">
        <v>86</v>
      </c>
      <c r="H2489" t="n">
        <v>6.11e-09</v>
      </c>
      <c r="I2489" t="inlineStr">
        <is>
          <t>Swiss-Prot</t>
        </is>
      </c>
      <c r="J2489" t="inlineStr">
        <is>
          <t>RXLR78</t>
        </is>
      </c>
      <c r="K2489" t="inlineStr">
        <is>
          <t>RLR78_PLAVT</t>
        </is>
      </c>
      <c r="L2489" t="inlineStr">
        <is>
          <t>sp|P0CV25|RLR78_PLAVT Secreted RxLR effector protein 78 OS=Plasmopara viticola OX=143451 GN=RXLR78 PE=3 SV=1</t>
        </is>
      </c>
      <c r="M2489" t="n">
        <v>113</v>
      </c>
      <c r="N2489" t="inlineStr">
        <is>
          <t>Plasmopara viticola</t>
        </is>
      </c>
      <c r="O2489" t="inlineStr">
        <is>
          <t>Secreted RxLR effector protein 78</t>
        </is>
      </c>
    </row>
    <row r="2490">
      <c r="A2490" t="inlineStr"/>
      <c r="B2490" t="inlineStr"/>
      <c r="C2490" t="inlineStr"/>
      <c r="D2490" t="inlineStr"/>
      <c r="E2490">
        <f>HYPERLINK("https://www.uniprot.org/uniprotkb/Q9NBX4/entry", "Q9NBX4")</f>
        <v/>
      </c>
      <c r="F2490" t="n">
        <v>24.6</v>
      </c>
      <c r="G2490" t="n">
        <v>252</v>
      </c>
      <c r="H2490" t="n">
        <v>1.82e-08</v>
      </c>
      <c r="I2490" t="inlineStr">
        <is>
          <t>Swiss-Prot</t>
        </is>
      </c>
      <c r="J2490" t="inlineStr">
        <is>
          <t>X-element\ORF2</t>
        </is>
      </c>
      <c r="K2490" t="inlineStr">
        <is>
          <t>RTXE_DROME</t>
        </is>
      </c>
      <c r="L2490" t="inlineStr">
        <is>
          <t>sp|Q9NBX4|RTXE_DROME Probable RNA-directed DNA polymerase from transposon X-element OS=Drosophila melanogaster OX=7227 GN=X-element\ORF2 PE=3 SV=1</t>
        </is>
      </c>
      <c r="M2490" t="n">
        <v>908</v>
      </c>
      <c r="N2490" t="inlineStr">
        <is>
          <t>Drosophila melanogaster</t>
        </is>
      </c>
      <c r="O2490" t="inlineStr">
        <is>
          <t>Probable RNA-directed DNA polymerase from transposon X-element</t>
        </is>
      </c>
    </row>
    <row r="2491">
      <c r="A2491" t="inlineStr"/>
      <c r="B2491" t="inlineStr"/>
      <c r="C2491" t="inlineStr"/>
      <c r="D2491" t="inlineStr"/>
      <c r="E2491">
        <f>HYPERLINK("https://www.ncbi.nlm.nih.gov/gene/?term=XP_040214168.1", "XP_040214168.1")</f>
        <v/>
      </c>
      <c r="F2491" t="n">
        <v>36.4</v>
      </c>
      <c r="G2491" t="n">
        <v>88</v>
      </c>
      <c r="H2491" t="n">
        <v>1.18e-07</v>
      </c>
      <c r="I2491" t="inlineStr">
        <is>
          <t>Nr</t>
        </is>
      </c>
      <c r="J2491" t="inlineStr"/>
      <c r="K2491" t="inlineStr"/>
      <c r="L2491" t="inlineStr">
        <is>
          <t>XP_040214168.1 vomeronasal type-2 receptor 26-like [Rana temporaria]</t>
        </is>
      </c>
      <c r="M2491" t="n">
        <v>570</v>
      </c>
      <c r="N2491" t="inlineStr">
        <is>
          <t>Rana temporaria</t>
        </is>
      </c>
      <c r="O2491" t="inlineStr">
        <is>
          <t>vomeronasal type-2 receptor 26-like</t>
        </is>
      </c>
    </row>
    <row r="2492">
      <c r="A2492" t="inlineStr"/>
      <c r="B2492" t="inlineStr"/>
      <c r="C2492" t="inlineStr"/>
      <c r="D2492" t="inlineStr"/>
      <c r="E2492">
        <f>HYPERLINK("https://www.ncbi.nlm.nih.gov/gene/?term=PIO40409.1", "PIO40409.1")</f>
        <v/>
      </c>
      <c r="F2492" t="n">
        <v>31</v>
      </c>
      <c r="G2492" t="n">
        <v>116</v>
      </c>
      <c r="H2492" t="n">
        <v>2.79e-07</v>
      </c>
      <c r="I2492" t="inlineStr">
        <is>
          <t>Nr</t>
        </is>
      </c>
      <c r="J2492" t="inlineStr"/>
      <c r="K2492" t="inlineStr"/>
      <c r="L2492" t="inlineStr">
        <is>
          <t>PIO40409.1 hypothetical protein AB205_0134110 [Lithobates catesbeianus]</t>
        </is>
      </c>
      <c r="M2492" t="n">
        <v>411</v>
      </c>
      <c r="N2492" t="inlineStr">
        <is>
          <t>Lithobates catesbeianus</t>
        </is>
      </c>
      <c r="O2492" t="inlineStr">
        <is>
          <t>hypothetical protein AB205_0134110</t>
        </is>
      </c>
    </row>
    <row r="2493">
      <c r="A2493" t="inlineStr"/>
      <c r="B2493" t="inlineStr"/>
      <c r="C2493" t="inlineStr"/>
      <c r="D2493" t="inlineStr"/>
      <c r="E2493">
        <f>HYPERLINK("https://www.ncbi.nlm.nih.gov/gene/?term=CAH2330759.1", "CAH2330759.1")</f>
        <v/>
      </c>
      <c r="F2493" t="n">
        <v>29.6</v>
      </c>
      <c r="G2493" t="n">
        <v>125</v>
      </c>
      <c r="H2493" t="n">
        <v>3.79e-07</v>
      </c>
      <c r="I2493" t="inlineStr">
        <is>
          <t>Nr</t>
        </is>
      </c>
      <c r="J2493" t="inlineStr"/>
      <c r="K2493" t="inlineStr"/>
      <c r="L2493" t="inlineStr">
        <is>
          <t>CAH2330759.1 Hypothetical predicted protein, partial [Pelobates cultripes]</t>
        </is>
      </c>
      <c r="M2493" t="n">
        <v>205</v>
      </c>
      <c r="N2493" t="inlineStr">
        <is>
          <t>Pelobates cultripes</t>
        </is>
      </c>
      <c r="O2493" t="inlineStr">
        <is>
          <t>Hypothetical predicted protein, partial</t>
        </is>
      </c>
    </row>
    <row r="2494">
      <c r="A2494" t="inlineStr"/>
      <c r="B2494" t="inlineStr"/>
      <c r="C2494" t="inlineStr"/>
      <c r="D2494" t="inlineStr"/>
      <c r="E2494">
        <f>HYPERLINK("https://www.ncbi.nlm.nih.gov/gene/?term=OCT60780.1", "OCT60780.1")</f>
        <v/>
      </c>
      <c r="F2494" t="n">
        <v>34</v>
      </c>
      <c r="G2494" t="n">
        <v>103</v>
      </c>
      <c r="H2494" t="n">
        <v>3.89e-07</v>
      </c>
      <c r="I2494" t="inlineStr">
        <is>
          <t>Nr</t>
        </is>
      </c>
      <c r="J2494" t="inlineStr"/>
      <c r="K2494" t="inlineStr"/>
      <c r="L2494" t="inlineStr">
        <is>
          <t>OCT60780.1 hypothetical protein XELAEV_18046802mg [Xenopus laevis]</t>
        </is>
      </c>
      <c r="M2494" t="n">
        <v>452</v>
      </c>
      <c r="N2494" t="inlineStr">
        <is>
          <t>Xenopus laevis</t>
        </is>
      </c>
      <c r="O2494" t="inlineStr">
        <is>
          <t>hypothetical protein XELAEV_18046802mg</t>
        </is>
      </c>
    </row>
    <row r="2495">
      <c r="A2495" t="inlineStr"/>
      <c r="B2495" t="inlineStr"/>
      <c r="C2495" t="inlineStr"/>
      <c r="D2495" t="inlineStr"/>
      <c r="E2495">
        <f>HYPERLINK("https://www.ncbi.nlm.nih.gov/gene/?term=XP_044141482.1", "XP_044141482.1")</f>
        <v/>
      </c>
      <c r="F2495" t="n">
        <v>33.3</v>
      </c>
      <c r="G2495" t="n">
        <v>111</v>
      </c>
      <c r="H2495" t="n">
        <v>6.14e-07</v>
      </c>
      <c r="I2495" t="inlineStr">
        <is>
          <t>Nr</t>
        </is>
      </c>
      <c r="J2495" t="inlineStr"/>
      <c r="K2495" t="inlineStr"/>
      <c r="L2495" t="inlineStr">
        <is>
          <t>XP_044141482.1 uncharacterized protein LOC122931482 [Bufo gargarizans]</t>
        </is>
      </c>
      <c r="M2495" t="n">
        <v>1888</v>
      </c>
      <c r="N2495" t="inlineStr">
        <is>
          <t>Bufo gargarizans</t>
        </is>
      </c>
      <c r="O2495" t="inlineStr">
        <is>
          <t>uncharacterized protein LOC122931482</t>
        </is>
      </c>
    </row>
    <row r="2496">
      <c r="A2496" t="inlineStr"/>
      <c r="B2496" t="inlineStr"/>
      <c r="C2496" t="inlineStr"/>
      <c r="D2496" t="inlineStr"/>
      <c r="E2496">
        <f>HYPERLINK("https://www.ncbi.nlm.nih.gov/gene/?term=OCT72159.1", "OCT72159.1")</f>
        <v/>
      </c>
      <c r="F2496" t="n">
        <v>29</v>
      </c>
      <c r="G2496" t="n">
        <v>107</v>
      </c>
      <c r="H2496" t="n">
        <v>6.799999999999999e-07</v>
      </c>
      <c r="I2496" t="inlineStr">
        <is>
          <t>Nr</t>
        </is>
      </c>
      <c r="J2496" t="inlineStr"/>
      <c r="K2496" t="inlineStr"/>
      <c r="L2496" t="inlineStr">
        <is>
          <t>OCT72159.1 hypothetical protein XELAEV_18035126mg [Xenopus laevis]</t>
        </is>
      </c>
      <c r="M2496" t="n">
        <v>371</v>
      </c>
      <c r="N2496" t="inlineStr">
        <is>
          <t>Xenopus laevis</t>
        </is>
      </c>
      <c r="O2496" t="inlineStr">
        <is>
          <t>hypothetical protein XELAEV_18035126mg</t>
        </is>
      </c>
    </row>
    <row r="2497">
      <c r="A2497" t="inlineStr"/>
      <c r="B2497" t="inlineStr"/>
      <c r="C2497" t="inlineStr"/>
      <c r="D2497" t="inlineStr"/>
      <c r="E2497">
        <f>HYPERLINK("https://www.uniprot.org/uniprotkb/Q05118/entry", "Q05118")</f>
        <v/>
      </c>
      <c r="F2497" t="n">
        <v>27.2</v>
      </c>
      <c r="G2497" t="n">
        <v>147</v>
      </c>
      <c r="H2497" t="n">
        <v>7.72e-07</v>
      </c>
      <c r="I2497" t="inlineStr">
        <is>
          <t>Swiss-Prot</t>
        </is>
      </c>
      <c r="J2497" t="inlineStr"/>
      <c r="K2497" t="inlineStr">
        <is>
          <t>PO23_POPJA</t>
        </is>
      </c>
      <c r="L2497" t="inlineStr">
        <is>
          <t>sp|Q05118|PO23_POPJA Retrovirus-related Pol polyprotein from type-1 retrotransposable element R2 (Fragment) OS=Popillia japonica OX=7064 PE=4 SV=1</t>
        </is>
      </c>
      <c r="M2497" t="n">
        <v>606</v>
      </c>
      <c r="N2497" t="inlineStr">
        <is>
          <t>Popillia japonica</t>
        </is>
      </c>
      <c r="O2497" t="inlineStr">
        <is>
          <t>Retrovirus-related Pol polyprotein from type-1 retrotransposable element R2 (Fragment)</t>
        </is>
      </c>
    </row>
    <row r="2498">
      <c r="A2498" t="inlineStr"/>
      <c r="B2498" t="inlineStr"/>
      <c r="C2498" t="inlineStr"/>
      <c r="D2498" t="inlineStr"/>
      <c r="E2498">
        <f>HYPERLINK("https://www.ncbi.nlm.nih.gov/gene/?term=OCT61236.1", "OCT61236.1")</f>
        <v/>
      </c>
      <c r="F2498" t="n">
        <v>35</v>
      </c>
      <c r="G2498" t="n">
        <v>103</v>
      </c>
      <c r="H2498" t="n">
        <v>9.01e-07</v>
      </c>
      <c r="I2498" t="inlineStr">
        <is>
          <t>Nr</t>
        </is>
      </c>
      <c r="J2498" t="inlineStr"/>
      <c r="K2498" t="inlineStr"/>
      <c r="L2498" t="inlineStr">
        <is>
          <t>OCT61236.1 hypothetical protein XELAEV_18047260mg [Xenopus laevis]</t>
        </is>
      </c>
      <c r="M2498" t="n">
        <v>351</v>
      </c>
      <c r="N2498" t="inlineStr">
        <is>
          <t>Xenopus laevis</t>
        </is>
      </c>
      <c r="O2498" t="inlineStr">
        <is>
          <t>hypothetical protein XELAEV_18047260mg</t>
        </is>
      </c>
    </row>
    <row r="2499">
      <c r="A2499" t="inlineStr"/>
      <c r="B2499" t="inlineStr"/>
      <c r="C2499" t="inlineStr"/>
      <c r="D2499" t="inlineStr"/>
      <c r="E2499">
        <f>HYPERLINK("https://www.ncbi.nlm.nih.gov/gene/?term=XP_044132767.1", "XP_044132767.1")</f>
        <v/>
      </c>
      <c r="F2499" t="n">
        <v>26.7</v>
      </c>
      <c r="G2499" t="n">
        <v>120</v>
      </c>
      <c r="H2499" t="n">
        <v>1.02e-06</v>
      </c>
      <c r="I2499" t="inlineStr">
        <is>
          <t>Nr</t>
        </is>
      </c>
      <c r="J2499" t="inlineStr"/>
      <c r="K2499" t="inlineStr"/>
      <c r="L2499" t="inlineStr">
        <is>
          <t>XP_044132767.1 olfactory receptor 6N1-like [Bufo gargarizans]</t>
        </is>
      </c>
      <c r="M2499" t="n">
        <v>548</v>
      </c>
      <c r="N2499" t="inlineStr">
        <is>
          <t>Bufo gargarizans</t>
        </is>
      </c>
      <c r="O2499" t="inlineStr">
        <is>
          <t>olfactory receptor 6N1-like</t>
        </is>
      </c>
    </row>
    <row r="2500">
      <c r="A2500" t="inlineStr"/>
      <c r="B2500" t="inlineStr"/>
      <c r="C2500" t="inlineStr"/>
      <c r="D2500" t="inlineStr"/>
      <c r="E2500">
        <f>HYPERLINK("https://www.ncbi.nlm.nih.gov/gene/?term=XP_044151336.1", "XP_044151336.1")</f>
        <v/>
      </c>
      <c r="F2500" t="n">
        <v>31.8</v>
      </c>
      <c r="G2500" t="n">
        <v>129</v>
      </c>
      <c r="H2500" t="n">
        <v>1.44e-06</v>
      </c>
      <c r="I2500" t="inlineStr">
        <is>
          <t>Nr</t>
        </is>
      </c>
      <c r="J2500" t="inlineStr"/>
      <c r="K2500" t="inlineStr"/>
      <c r="L2500" t="inlineStr">
        <is>
          <t>XP_044151336.1 ethanolaminephosphotransferase 1-like [Bufo gargarizans]</t>
        </is>
      </c>
      <c r="M2500" t="n">
        <v>702</v>
      </c>
      <c r="N2500" t="inlineStr">
        <is>
          <t>Bufo gargarizans</t>
        </is>
      </c>
      <c r="O2500" t="inlineStr">
        <is>
          <t>ethanolaminephosphotransferase 1-like</t>
        </is>
      </c>
    </row>
    <row r="2501">
      <c r="A2501" t="inlineStr"/>
      <c r="B2501" t="inlineStr"/>
      <c r="C2501" t="inlineStr"/>
      <c r="D2501" t="inlineStr"/>
      <c r="E2501">
        <f>HYPERLINK("https://www.ncbi.nlm.nih.gov/gene/?term=OCT72366.1", "OCT72366.1")</f>
        <v/>
      </c>
      <c r="F2501" t="n">
        <v>34.9</v>
      </c>
      <c r="G2501" t="n">
        <v>86</v>
      </c>
      <c r="H2501" t="n">
        <v>1.44e-06</v>
      </c>
      <c r="I2501" t="inlineStr">
        <is>
          <t>Nr</t>
        </is>
      </c>
      <c r="J2501" t="inlineStr"/>
      <c r="K2501" t="inlineStr"/>
      <c r="L2501" t="inlineStr">
        <is>
          <t>OCT72366.1 hypothetical protein XELAEV_18035344mg [Xenopus laevis]</t>
        </is>
      </c>
      <c r="M2501" t="n">
        <v>724</v>
      </c>
      <c r="N2501" t="inlineStr">
        <is>
          <t>Xenopus laevis</t>
        </is>
      </c>
      <c r="O2501" t="inlineStr">
        <is>
          <t>hypothetical protein XELAEV_18035344mg</t>
        </is>
      </c>
    </row>
    <row r="2502">
      <c r="A2502" t="inlineStr"/>
      <c r="B2502" t="inlineStr"/>
      <c r="C2502" t="inlineStr"/>
      <c r="D2502" t="inlineStr"/>
      <c r="E2502">
        <f>HYPERLINK("https://www.ncbi.nlm.nih.gov/gene/?term=XP_044151381.1", "XP_044151381.1")</f>
        <v/>
      </c>
      <c r="F2502" t="n">
        <v>32.2</v>
      </c>
      <c r="G2502" t="n">
        <v>115</v>
      </c>
      <c r="H2502" t="n">
        <v>1.52e-06</v>
      </c>
      <c r="I2502" t="inlineStr">
        <is>
          <t>Nr</t>
        </is>
      </c>
      <c r="J2502" t="inlineStr"/>
      <c r="K2502" t="inlineStr"/>
      <c r="L2502" t="inlineStr">
        <is>
          <t>XP_044151381.1 transmembrane channel-like protein 2 [Bufo gargarizans]</t>
        </is>
      </c>
      <c r="M2502" t="n">
        <v>1358</v>
      </c>
      <c r="N2502" t="inlineStr">
        <is>
          <t>Bufo gargarizans</t>
        </is>
      </c>
      <c r="O2502" t="inlineStr">
        <is>
          <t>transmembrane channel-like protein 2</t>
        </is>
      </c>
    </row>
    <row r="2503">
      <c r="A2503" t="inlineStr"/>
      <c r="B2503" t="inlineStr"/>
      <c r="C2503" t="inlineStr"/>
      <c r="D2503" t="inlineStr"/>
      <c r="E2503">
        <f>HYPERLINK("https://www.uniprot.org/uniprotkb/Q5T7N2/entry", "Q5T7N2")</f>
        <v/>
      </c>
      <c r="F2503" t="n">
        <v>27.3</v>
      </c>
      <c r="G2503" t="n">
        <v>143</v>
      </c>
      <c r="H2503" t="n">
        <v>1.83e-06</v>
      </c>
      <c r="I2503" t="inlineStr">
        <is>
          <t>Swiss-Prot</t>
        </is>
      </c>
      <c r="J2503" t="inlineStr">
        <is>
          <t>L1TD1</t>
        </is>
      </c>
      <c r="K2503" t="inlineStr">
        <is>
          <t>LITD1_HUMAN</t>
        </is>
      </c>
      <c r="L2503" t="inlineStr">
        <is>
          <t>sp|Q5T7N2|LITD1_HUMAN LINE-1 type transposase domain-containing protein 1 OS=Homo sapiens OX=9606 GN=L1TD1 PE=1 SV=1</t>
        </is>
      </c>
      <c r="M2503" t="n">
        <v>865</v>
      </c>
      <c r="N2503" t="inlineStr">
        <is>
          <t>Homo sapiens</t>
        </is>
      </c>
      <c r="O2503" t="inlineStr">
        <is>
          <t>LINE-1 type transposase domain-containing protein 1</t>
        </is>
      </c>
    </row>
    <row r="2504">
      <c r="A2504" t="inlineStr"/>
      <c r="B2504" t="inlineStr"/>
      <c r="C2504" t="inlineStr"/>
      <c r="D2504" t="inlineStr"/>
      <c r="E2504">
        <f>HYPERLINK("https://www.ncbi.nlm.nih.gov/gene/?term=OCT62698.1", "OCT62698.1")</f>
        <v/>
      </c>
      <c r="F2504" t="n">
        <v>33.3</v>
      </c>
      <c r="G2504" t="n">
        <v>120</v>
      </c>
      <c r="H2504" t="n">
        <v>2.32e-06</v>
      </c>
      <c r="I2504" t="inlineStr">
        <is>
          <t>Nr</t>
        </is>
      </c>
      <c r="J2504" t="inlineStr"/>
      <c r="K2504" t="inlineStr"/>
      <c r="L2504" t="inlineStr">
        <is>
          <t>OCT62698.1 hypothetical protein XELAEV_18043786mg [Xenopus laevis]</t>
        </is>
      </c>
      <c r="M2504" t="n">
        <v>361</v>
      </c>
      <c r="N2504" t="inlineStr">
        <is>
          <t>Xenopus laevis</t>
        </is>
      </c>
      <c r="O2504" t="inlineStr">
        <is>
          <t>hypothetical protein XELAEV_18043786mg</t>
        </is>
      </c>
    </row>
    <row r="2505">
      <c r="A2505" t="inlineStr"/>
      <c r="B2505" t="inlineStr"/>
      <c r="C2505" t="inlineStr"/>
      <c r="D2505" t="inlineStr"/>
      <c r="E2505">
        <f>HYPERLINK("https://www.uniprot.org/uniprotkb/P16425/entry", "P16425")</f>
        <v/>
      </c>
      <c r="F2505" t="n">
        <v>23.4</v>
      </c>
      <c r="G2505" t="n">
        <v>252</v>
      </c>
      <c r="H2505" t="n">
        <v>2.81e-06</v>
      </c>
      <c r="I2505" t="inlineStr">
        <is>
          <t>Swiss-Prot</t>
        </is>
      </c>
      <c r="J2505" t="inlineStr">
        <is>
          <t>R1A1-element\ORF2</t>
        </is>
      </c>
      <c r="K2505" t="inlineStr">
        <is>
          <t>Y2R2_DROME</t>
        </is>
      </c>
      <c r="L2505" t="inlineStr">
        <is>
          <t>sp|P16425|Y2R2_DROME Putative 115 kDa protein in type-1 retrotransposable element R1DM OS=Drosophila melanogaster OX=7227 GN=R1A1-element\ORF2 PE=4 SV=1</t>
        </is>
      </c>
      <c r="M2505" t="n">
        <v>1021</v>
      </c>
      <c r="N2505" t="inlineStr">
        <is>
          <t>Drosophila melanogaster</t>
        </is>
      </c>
      <c r="O2505" t="inlineStr">
        <is>
          <t>Putative 115 kDa protein in type-1 retrotransposable element R1DM</t>
        </is>
      </c>
    </row>
    <row r="2506">
      <c r="A2506" t="inlineStr"/>
      <c r="B2506" t="inlineStr"/>
      <c r="C2506" t="inlineStr"/>
      <c r="D2506" t="inlineStr"/>
      <c r="E2506">
        <f>HYPERLINK("https://www.uniprot.org/uniprotkb/Q587J6/entry", "Q587J6")</f>
        <v/>
      </c>
      <c r="F2506" t="n">
        <v>26.4</v>
      </c>
      <c r="G2506" t="n">
        <v>148</v>
      </c>
      <c r="H2506" t="n">
        <v>3.14e-06</v>
      </c>
      <c r="I2506" t="inlineStr">
        <is>
          <t>Swiss-Prot</t>
        </is>
      </c>
      <c r="J2506" t="inlineStr">
        <is>
          <t>L1td1</t>
        </is>
      </c>
      <c r="K2506" t="inlineStr">
        <is>
          <t>LITD1_MOUSE</t>
        </is>
      </c>
      <c r="L2506" t="inlineStr">
        <is>
          <t>sp|Q587J6|LITD1_MOUSE LINE-1 type transposase domain-containing protein 1 OS=Mus musculus OX=10090 GN=L1td1 PE=2 SV=1</t>
        </is>
      </c>
      <c r="M2506" t="n">
        <v>782</v>
      </c>
      <c r="N2506" t="inlineStr">
        <is>
          <t>Mus musculus</t>
        </is>
      </c>
      <c r="O2506" t="inlineStr">
        <is>
          <t>LINE-1 type transposase domain-containing protein 1</t>
        </is>
      </c>
    </row>
    <row r="2507">
      <c r="A2507" t="inlineStr"/>
      <c r="B2507" t="inlineStr"/>
      <c r="C2507" t="inlineStr"/>
      <c r="D2507" t="inlineStr"/>
      <c r="E2507">
        <f>HYPERLINK("https://www.ncbi.nlm.nih.gov/gene/?term=KAJ0061406.1", "KAJ0061406.1")</f>
        <v/>
      </c>
      <c r="F2507" t="n">
        <v>29.4</v>
      </c>
      <c r="G2507" t="n">
        <v>136</v>
      </c>
      <c r="H2507" t="n">
        <v>3.83e-06</v>
      </c>
      <c r="I2507" t="inlineStr">
        <is>
          <t>Nr</t>
        </is>
      </c>
      <c r="J2507" t="inlineStr"/>
      <c r="K2507" t="inlineStr"/>
      <c r="L2507" t="inlineStr">
        <is>
          <t>KAJ0061406.1 hypothetical protein NL108_018634 [Boleophthalmus pectinirostris]</t>
        </is>
      </c>
      <c r="M2507" t="n">
        <v>1258</v>
      </c>
      <c r="N2507" t="inlineStr">
        <is>
          <t>Boleophthalmus pectinirostris</t>
        </is>
      </c>
      <c r="O2507" t="inlineStr">
        <is>
          <t>hypothetical protein NL108_018634</t>
        </is>
      </c>
    </row>
    <row r="2508">
      <c r="A2508" t="inlineStr"/>
      <c r="B2508" t="inlineStr"/>
      <c r="C2508" t="inlineStr"/>
      <c r="D2508" t="inlineStr"/>
      <c r="E2508">
        <f>HYPERLINK("https://www.ncbi.nlm.nih.gov/gene/?term=XP_040178291.1", "XP_040178291.1")</f>
        <v/>
      </c>
      <c r="F2508" t="n">
        <v>30.4</v>
      </c>
      <c r="G2508" t="n">
        <v>135</v>
      </c>
      <c r="H2508" t="n">
        <v>3.97e-06</v>
      </c>
      <c r="I2508" t="inlineStr">
        <is>
          <t>Nr</t>
        </is>
      </c>
      <c r="J2508" t="inlineStr"/>
      <c r="K2508" t="inlineStr"/>
      <c r="L2508" t="inlineStr">
        <is>
          <t>XP_040178291.1 uncharacterized protein LOC120910599, partial [Rana temporaria]</t>
        </is>
      </c>
      <c r="M2508" t="n">
        <v>2918</v>
      </c>
      <c r="N2508" t="inlineStr">
        <is>
          <t>Rana temporaria</t>
        </is>
      </c>
      <c r="O2508" t="inlineStr">
        <is>
          <t>uncharacterized protein LOC120910599, partial</t>
        </is>
      </c>
    </row>
    <row r="2509">
      <c r="A2509" t="inlineStr"/>
      <c r="B2509" t="inlineStr"/>
      <c r="C2509" t="inlineStr"/>
      <c r="D2509" t="inlineStr"/>
      <c r="E2509">
        <f>HYPERLINK("https://www.ncbi.nlm.nih.gov/gene/?term=OCT70302.1", "OCT70302.1")</f>
        <v/>
      </c>
      <c r="F2509" t="n">
        <v>33</v>
      </c>
      <c r="G2509" t="n">
        <v>88</v>
      </c>
      <c r="H2509" t="n">
        <v>4.82e-06</v>
      </c>
      <c r="I2509" t="inlineStr">
        <is>
          <t>Nr</t>
        </is>
      </c>
      <c r="J2509" t="inlineStr"/>
      <c r="K2509" t="inlineStr"/>
      <c r="L2509" t="inlineStr">
        <is>
          <t>OCT70302.1 hypothetical protein XELAEV_18037225mg [Xenopus laevis]</t>
        </is>
      </c>
      <c r="M2509" t="n">
        <v>280</v>
      </c>
      <c r="N2509" t="inlineStr">
        <is>
          <t>Xenopus laevis</t>
        </is>
      </c>
      <c r="O2509" t="inlineStr">
        <is>
          <t>hypothetical protein XELAEV_18037225mg</t>
        </is>
      </c>
    </row>
    <row r="2510">
      <c r="A2510" t="inlineStr"/>
      <c r="B2510" t="inlineStr"/>
      <c r="C2510" t="inlineStr"/>
      <c r="D2510" t="inlineStr"/>
      <c r="E2510">
        <f>HYPERLINK("https://www.ncbi.nlm.nih.gov/gene/?term=XP_034983760.1", "XP_034983760.1")</f>
        <v/>
      </c>
      <c r="F2510" t="n">
        <v>31.6</v>
      </c>
      <c r="G2510" t="n">
        <v>98</v>
      </c>
      <c r="H2510" t="n">
        <v>5.12e-06</v>
      </c>
      <c r="I2510" t="inlineStr">
        <is>
          <t>Nr</t>
        </is>
      </c>
      <c r="J2510" t="inlineStr"/>
      <c r="K2510" t="inlineStr"/>
      <c r="L2510" t="inlineStr">
        <is>
          <t>XP_034983760.1 1-phosphatidylinositol 4,5-bisphosphate phosphodiesterase zeta-1-like [Zootoca vivipara]</t>
        </is>
      </c>
      <c r="M2510" t="n">
        <v>966</v>
      </c>
      <c r="N2510" t="inlineStr">
        <is>
          <t>Zootoca vivipara</t>
        </is>
      </c>
      <c r="O2510" t="inlineStr">
        <is>
          <t>1-phosphatidylinositol 4,5-bisphosphate phosphodiesterase zeta-1-like</t>
        </is>
      </c>
    </row>
    <row r="2511">
      <c r="A2511" t="inlineStr"/>
      <c r="B2511" t="inlineStr"/>
      <c r="C2511" t="inlineStr"/>
      <c r="D2511" t="inlineStr"/>
      <c r="E2511">
        <f>HYPERLINK("https://www.ncbi.nlm.nih.gov/gene/?term=XP_040203579.1", "XP_040203579.1")</f>
        <v/>
      </c>
      <c r="F2511" t="n">
        <v>28.7</v>
      </c>
      <c r="G2511" t="n">
        <v>101</v>
      </c>
      <c r="H2511" t="n">
        <v>6.7e-06</v>
      </c>
      <c r="I2511" t="inlineStr">
        <is>
          <t>Nr</t>
        </is>
      </c>
      <c r="J2511" t="inlineStr"/>
      <c r="K2511" t="inlineStr"/>
      <c r="L2511" t="inlineStr">
        <is>
          <t>XP_040203579.1 adhesion G-protein coupled receptor F3-like [Rana temporaria]</t>
        </is>
      </c>
      <c r="M2511" t="n">
        <v>669</v>
      </c>
      <c r="N2511" t="inlineStr">
        <is>
          <t>Rana temporaria</t>
        </is>
      </c>
      <c r="O2511" t="inlineStr">
        <is>
          <t>adhesion G-protein coupled receptor F3-like</t>
        </is>
      </c>
    </row>
    <row r="2512">
      <c r="A2512" t="inlineStr"/>
      <c r="B2512" t="inlineStr"/>
      <c r="C2512" t="inlineStr"/>
      <c r="D2512" t="inlineStr"/>
      <c r="E2512">
        <f>HYPERLINK("https://www.uniprot.org/uniprotkb/Q03277/entry", "Q03277")</f>
        <v/>
      </c>
      <c r="F2512" t="n">
        <v>21.3</v>
      </c>
      <c r="G2512" t="n">
        <v>239</v>
      </c>
      <c r="H2512" t="n">
        <v>8.49e-06</v>
      </c>
      <c r="I2512" t="inlineStr">
        <is>
          <t>Swiss-Prot</t>
        </is>
      </c>
      <c r="J2512" t="inlineStr"/>
      <c r="K2512" t="inlineStr">
        <is>
          <t>PO11_BRACO</t>
        </is>
      </c>
      <c r="L2512" t="inlineStr">
        <is>
          <t>sp|Q03277|PO11_BRACO Retrovirus-related Pol polyprotein from type-1 retrotransposable element R1 (Fragment) OS=Bradysia coprophila OX=38358 PE=4 SV=1</t>
        </is>
      </c>
      <c r="M2512" t="n">
        <v>1004</v>
      </c>
      <c r="N2512" t="inlineStr">
        <is>
          <t>Bradysia coprophila</t>
        </is>
      </c>
      <c r="O2512" t="inlineStr">
        <is>
          <t>Retrovirus-related Pol polyprotein from type-1 retrotransposable element R1 (Fragment)</t>
        </is>
      </c>
    </row>
    <row r="2513">
      <c r="A2513" t="inlineStr"/>
      <c r="B2513" t="inlineStr"/>
      <c r="C2513" t="inlineStr"/>
      <c r="D2513" t="inlineStr"/>
      <c r="E2513">
        <f>HYPERLINK("https://www.ncbi.nlm.nih.gov/gene/?term=XP_040197552.1", "XP_040197552.1")</f>
        <v/>
      </c>
      <c r="F2513" t="n">
        <v>30.4</v>
      </c>
      <c r="G2513" t="n">
        <v>125</v>
      </c>
      <c r="H2513" t="n">
        <v>9.69e-06</v>
      </c>
      <c r="I2513" t="inlineStr">
        <is>
          <t>Nr</t>
        </is>
      </c>
      <c r="J2513" t="inlineStr"/>
      <c r="K2513" t="inlineStr"/>
      <c r="L2513" t="inlineStr">
        <is>
          <t>XP_040197552.1 sulfate transporter-like [Rana temporaria]</t>
        </is>
      </c>
      <c r="M2513" t="n">
        <v>1289</v>
      </c>
      <c r="N2513" t="inlineStr">
        <is>
          <t>Rana temporaria</t>
        </is>
      </c>
      <c r="O2513" t="inlineStr">
        <is>
          <t>sulfate transporter-like</t>
        </is>
      </c>
    </row>
    <row r="2514">
      <c r="A2514" t="inlineStr"/>
      <c r="B2514" t="inlineStr"/>
      <c r="C2514" t="inlineStr"/>
      <c r="D2514" t="inlineStr"/>
      <c r="E2514">
        <f>HYPERLINK("https://www.ncbi.nlm.nih.gov/gene/?term=OCT93828.1", "OCT93828.1")</f>
        <v/>
      </c>
      <c r="F2514" t="n">
        <v>30.2</v>
      </c>
      <c r="G2514" t="n">
        <v>129</v>
      </c>
      <c r="H2514" t="n">
        <v>1.36e-05</v>
      </c>
      <c r="I2514" t="inlineStr">
        <is>
          <t>Nr</t>
        </is>
      </c>
      <c r="J2514" t="inlineStr"/>
      <c r="K2514" t="inlineStr"/>
      <c r="L2514" t="inlineStr">
        <is>
          <t>OCT93828.1 hypothetical protein XELAEV_18011499mg [Xenopus laevis]</t>
        </is>
      </c>
      <c r="M2514" t="n">
        <v>2634</v>
      </c>
      <c r="N2514" t="inlineStr">
        <is>
          <t>Xenopus laevis</t>
        </is>
      </c>
      <c r="O2514" t="inlineStr">
        <is>
          <t>hypothetical protein XELAEV_18011499mg</t>
        </is>
      </c>
    </row>
    <row r="2515">
      <c r="A2515" t="inlineStr"/>
      <c r="B2515" t="inlineStr"/>
      <c r="C2515" t="inlineStr"/>
      <c r="D2515" t="inlineStr"/>
      <c r="E2515">
        <f>HYPERLINK("https://www.ncbi.nlm.nih.gov/gene/?term=XP_040269675.1", "XP_040269675.1")</f>
        <v/>
      </c>
      <c r="F2515" t="n">
        <v>26</v>
      </c>
      <c r="G2515" t="n">
        <v>123</v>
      </c>
      <c r="H2515" t="n">
        <v>1.47e-05</v>
      </c>
      <c r="I2515" t="inlineStr">
        <is>
          <t>Nr</t>
        </is>
      </c>
      <c r="J2515" t="inlineStr"/>
      <c r="K2515" t="inlineStr"/>
      <c r="L2515" t="inlineStr">
        <is>
          <t>XP_040269675.1 serine/threonine-protein kinase sck2-like [Bufo bufo]</t>
        </is>
      </c>
      <c r="M2515" t="n">
        <v>349</v>
      </c>
      <c r="N2515" t="inlineStr">
        <is>
          <t>Bufo bufo</t>
        </is>
      </c>
      <c r="O2515" t="inlineStr">
        <is>
          <t>serine/threonine-protein kinase sck2-like</t>
        </is>
      </c>
    </row>
    <row r="2516">
      <c r="A2516" t="inlineStr">
        <is>
          <t>NODE_178298_length_890_cov_18470.752126_g92054_i0</t>
        </is>
      </c>
      <c r="B2516" t="inlineStr">
        <is>
          <t>bombina_pachypus_blastx</t>
        </is>
      </c>
      <c r="C2516" t="n">
        <v>1.29886225730402</v>
      </c>
      <c r="D2516" t="n">
        <v>0.0308790758128238</v>
      </c>
      <c r="E2516">
        <f>HYPERLINK("https://www.ncbi.nlm.nih.gov/gene/?term=KAE8586429.1", "KAE8586429.1")</f>
        <v/>
      </c>
      <c r="F2516" t="n">
        <v>60.3</v>
      </c>
      <c r="G2516" t="n">
        <v>224</v>
      </c>
      <c r="H2516" t="n">
        <v>1.06e-84</v>
      </c>
      <c r="I2516" t="inlineStr">
        <is>
          <t>Nr</t>
        </is>
      </c>
      <c r="J2516" t="inlineStr"/>
      <c r="K2516" t="inlineStr"/>
      <c r="L2516" t="inlineStr">
        <is>
          <t>KAE8586429.1 hypothetical protein XENTR_v10021668 [Xenopus tropicalis]</t>
        </is>
      </c>
      <c r="M2516" t="n">
        <v>648</v>
      </c>
      <c r="N2516" t="inlineStr">
        <is>
          <t>Xenopus tropicalis</t>
        </is>
      </c>
      <c r="O2516" t="inlineStr">
        <is>
          <t>hypothetical protein XENTR_v10021668</t>
        </is>
      </c>
    </row>
    <row r="2517">
      <c r="A2517" t="inlineStr"/>
      <c r="B2517" t="inlineStr"/>
      <c r="C2517" t="inlineStr"/>
      <c r="D2517" t="inlineStr"/>
      <c r="E2517">
        <f>HYPERLINK("https://www.uniprot.org/uniprotkb/A0A6I8QMF2/entry", "A0A6I8QMF2")</f>
        <v/>
      </c>
      <c r="F2517" t="n">
        <v>57.1</v>
      </c>
      <c r="G2517" t="n">
        <v>224</v>
      </c>
      <c r="H2517" t="n">
        <v>5.95e-84</v>
      </c>
      <c r="I2517" t="inlineStr">
        <is>
          <t>TrEMBL</t>
        </is>
      </c>
      <c r="J2517" t="inlineStr"/>
      <c r="K2517" t="inlineStr">
        <is>
          <t>A0A6I8QMF2_XENTR</t>
        </is>
      </c>
      <c r="L2517" t="inlineStr">
        <is>
          <t>tr|A0A6I8QMF2|A0A6I8QMF2_XENTR Tyr recombinase domain-containing protein OS=Xenopus tropicalis OX=8364 PE=4 SV=1</t>
        </is>
      </c>
      <c r="M2517" t="n">
        <v>417</v>
      </c>
      <c r="N2517" t="inlineStr">
        <is>
          <t>Xenopus tropicalis</t>
        </is>
      </c>
      <c r="O2517" t="inlineStr">
        <is>
          <t>Tyr recombinase domain-containing protein</t>
        </is>
      </c>
    </row>
    <row r="2518">
      <c r="A2518" t="inlineStr"/>
      <c r="B2518" t="inlineStr"/>
      <c r="C2518" t="inlineStr"/>
      <c r="D2518" t="inlineStr"/>
      <c r="E2518">
        <f>HYPERLINK("https://www.uniprot.org/uniprotkb/A0A8J1LJD0/entry", "A0A8J1LJD0")</f>
        <v/>
      </c>
      <c r="F2518" t="n">
        <v>58.9</v>
      </c>
      <c r="G2518" t="n">
        <v>224</v>
      </c>
      <c r="H2518" t="n">
        <v>1.1e-83</v>
      </c>
      <c r="I2518" t="inlineStr">
        <is>
          <t>TrEMBL</t>
        </is>
      </c>
      <c r="J2518" t="inlineStr">
        <is>
          <t>LOC121397238</t>
        </is>
      </c>
      <c r="K2518" t="inlineStr">
        <is>
          <t>A0A8J1LJD0_XENLA</t>
        </is>
      </c>
      <c r="L2518" t="inlineStr">
        <is>
          <t>tr|A0A8J1LJD0|A0A8J1LJD0_XENLA uncharacterized protein LOC121397238 OS=Xenopus laevis OX=8355 GN=LOC121397238 PE=4 SV=1</t>
        </is>
      </c>
      <c r="M2518" t="n">
        <v>642</v>
      </c>
      <c r="N2518" t="inlineStr">
        <is>
          <t>Xenopus laevis</t>
        </is>
      </c>
      <c r="O2518" t="inlineStr">
        <is>
          <t>uncharacterized protein LOC121397238</t>
        </is>
      </c>
    </row>
    <row r="2519">
      <c r="A2519" t="inlineStr"/>
      <c r="B2519" t="inlineStr"/>
      <c r="C2519" t="inlineStr"/>
      <c r="D2519" t="inlineStr"/>
      <c r="E2519">
        <f>HYPERLINK("https://www.ncbi.nlm.nih.gov/gene/?term=XP_041429632.1", "XP_041429632.1")</f>
        <v/>
      </c>
      <c r="F2519" t="n">
        <v>58.9</v>
      </c>
      <c r="G2519" t="n">
        <v>224</v>
      </c>
      <c r="H2519" t="n">
        <v>2.82e-83</v>
      </c>
      <c r="I2519" t="inlineStr">
        <is>
          <t>Nr</t>
        </is>
      </c>
      <c r="J2519" t="inlineStr"/>
      <c r="K2519" t="inlineStr"/>
      <c r="L2519" t="inlineStr">
        <is>
          <t>XP_041429632.1 uncharacterized protein LOC121397238 [Xenopus laevis]</t>
        </is>
      </c>
      <c r="M2519" t="n">
        <v>642</v>
      </c>
      <c r="N2519" t="inlineStr">
        <is>
          <t>Xenopus laevis</t>
        </is>
      </c>
      <c r="O2519" t="inlineStr">
        <is>
          <t>uncharacterized protein LOC121397238</t>
        </is>
      </c>
    </row>
    <row r="2520">
      <c r="A2520" t="inlineStr"/>
      <c r="B2520" t="inlineStr"/>
      <c r="C2520" t="inlineStr"/>
      <c r="D2520" t="inlineStr"/>
      <c r="E2520">
        <f>HYPERLINK("https://www.ncbi.nlm.nih.gov/gene/?term=KAE8598289.1", "KAE8598289.1")</f>
        <v/>
      </c>
      <c r="F2520" t="n">
        <v>58</v>
      </c>
      <c r="G2520" t="n">
        <v>224</v>
      </c>
      <c r="H2520" t="n">
        <v>8.86e-83</v>
      </c>
      <c r="I2520" t="inlineStr">
        <is>
          <t>Nr</t>
        </is>
      </c>
      <c r="J2520" t="inlineStr"/>
      <c r="K2520" t="inlineStr"/>
      <c r="L2520" t="inlineStr">
        <is>
          <t>KAE8598289.1 hypothetical protein XENTR_v10016787 [Xenopus tropicalis]</t>
        </is>
      </c>
      <c r="M2520" t="n">
        <v>325</v>
      </c>
      <c r="N2520" t="inlineStr">
        <is>
          <t>Xenopus tropicalis</t>
        </is>
      </c>
      <c r="O2520" t="inlineStr">
        <is>
          <t>hypothetical protein XENTR_v10016787</t>
        </is>
      </c>
    </row>
    <row r="2521">
      <c r="A2521" t="inlineStr"/>
      <c r="B2521" t="inlineStr"/>
      <c r="C2521" t="inlineStr"/>
      <c r="D2521" t="inlineStr"/>
      <c r="E2521">
        <f>HYPERLINK("https://www.ncbi.nlm.nih.gov/gene/?term=KAE8603543.1", "KAE8603543.1")</f>
        <v/>
      </c>
      <c r="F2521" t="n">
        <v>57.6</v>
      </c>
      <c r="G2521" t="n">
        <v>224</v>
      </c>
      <c r="H2521" t="n">
        <v>2.52e-82</v>
      </c>
      <c r="I2521" t="inlineStr">
        <is>
          <t>Nr</t>
        </is>
      </c>
      <c r="J2521" t="inlineStr"/>
      <c r="K2521" t="inlineStr"/>
      <c r="L2521" t="inlineStr">
        <is>
          <t>KAE8603543.1 hypothetical protein XENTR_v10014362 [Xenopus tropicalis]</t>
        </is>
      </c>
      <c r="M2521" t="n">
        <v>325</v>
      </c>
      <c r="N2521" t="inlineStr">
        <is>
          <t>Xenopus tropicalis</t>
        </is>
      </c>
      <c r="O2521" t="inlineStr">
        <is>
          <t>hypothetical protein XENTR_v10014362</t>
        </is>
      </c>
    </row>
    <row r="2522">
      <c r="A2522" t="inlineStr"/>
      <c r="B2522" t="inlineStr"/>
      <c r="C2522" t="inlineStr"/>
      <c r="D2522" t="inlineStr"/>
      <c r="E2522">
        <f>HYPERLINK("https://www.ncbi.nlm.nih.gov/gene/?term=KAE8585753.1", "KAE8585753.1")</f>
        <v/>
      </c>
      <c r="F2522" t="n">
        <v>57.6</v>
      </c>
      <c r="G2522" t="n">
        <v>224</v>
      </c>
      <c r="H2522" t="n">
        <v>5.08e-82</v>
      </c>
      <c r="I2522" t="inlineStr">
        <is>
          <t>Nr</t>
        </is>
      </c>
      <c r="J2522" t="inlineStr"/>
      <c r="K2522" t="inlineStr"/>
      <c r="L2522" t="inlineStr">
        <is>
          <t>KAE8585753.1 hypothetical protein XENTR_v10021442 [Xenopus tropicalis]</t>
        </is>
      </c>
      <c r="M2522" t="n">
        <v>731</v>
      </c>
      <c r="N2522" t="inlineStr">
        <is>
          <t>Xenopus tropicalis</t>
        </is>
      </c>
      <c r="O2522" t="inlineStr">
        <is>
          <t>hypothetical protein XENTR_v10021442</t>
        </is>
      </c>
    </row>
    <row r="2523">
      <c r="A2523" t="inlineStr"/>
      <c r="B2523" t="inlineStr"/>
      <c r="C2523" t="inlineStr"/>
      <c r="D2523" t="inlineStr"/>
      <c r="E2523">
        <f>HYPERLINK("https://www.uniprot.org/uniprotkb/A0A803JGC4/entry", "A0A803JGC4")</f>
        <v/>
      </c>
      <c r="F2523" t="n">
        <v>59.4</v>
      </c>
      <c r="G2523" t="n">
        <v>224</v>
      </c>
      <c r="H2523" t="n">
        <v>3.75e-81</v>
      </c>
      <c r="I2523" t="inlineStr">
        <is>
          <t>TrEMBL</t>
        </is>
      </c>
      <c r="J2523" t="inlineStr"/>
      <c r="K2523" t="inlineStr">
        <is>
          <t>A0A803JGC4_XENTR</t>
        </is>
      </c>
      <c r="L2523" t="inlineStr">
        <is>
          <t>tr|A0A803JGC4|A0A803JGC4_XENTR Core-binding (CB) domain-containing protein OS=Xenopus tropicalis OX=8364 PE=4 SV=1</t>
        </is>
      </c>
      <c r="M2523" t="n">
        <v>743</v>
      </c>
      <c r="N2523" t="inlineStr">
        <is>
          <t>Xenopus tropicalis</t>
        </is>
      </c>
      <c r="O2523" t="inlineStr">
        <is>
          <t>Core-binding (CB) domain-containing protein</t>
        </is>
      </c>
    </row>
    <row r="2524">
      <c r="A2524" t="inlineStr"/>
      <c r="B2524" t="inlineStr"/>
      <c r="C2524" t="inlineStr"/>
      <c r="D2524" t="inlineStr"/>
      <c r="E2524">
        <f>HYPERLINK("https://www.uniprot.org/uniprotkb/A0A6I8RCF9/entry", "A0A6I8RCF9")</f>
        <v/>
      </c>
      <c r="F2524" t="n">
        <v>58.5</v>
      </c>
      <c r="G2524" t="n">
        <v>224</v>
      </c>
      <c r="H2524" t="n">
        <v>4.46e-81</v>
      </c>
      <c r="I2524" t="inlineStr">
        <is>
          <t>TrEMBL</t>
        </is>
      </c>
      <c r="J2524" t="inlineStr"/>
      <c r="K2524" t="inlineStr">
        <is>
          <t>A0A6I8RCF9_XENTR</t>
        </is>
      </c>
      <c r="L2524" t="inlineStr">
        <is>
          <t>tr|A0A6I8RCF9|A0A6I8RCF9_XENTR Tyr recombinase domain-containing protein OS=Xenopus tropicalis OX=8364 PE=4 SV=2</t>
        </is>
      </c>
      <c r="M2524" t="n">
        <v>917</v>
      </c>
      <c r="N2524" t="inlineStr">
        <is>
          <t>Xenopus tropicalis</t>
        </is>
      </c>
      <c r="O2524" t="inlineStr">
        <is>
          <t>Tyr recombinase domain-containing protein</t>
        </is>
      </c>
    </row>
    <row r="2525">
      <c r="A2525" t="inlineStr"/>
      <c r="B2525" t="inlineStr"/>
      <c r="C2525" t="inlineStr"/>
      <c r="D2525" t="inlineStr"/>
      <c r="E2525">
        <f>HYPERLINK("https://www.uniprot.org/uniprotkb/A0A8J1LQ31/entry", "A0A8J1LQ31")</f>
        <v/>
      </c>
      <c r="F2525" t="n">
        <v>61.2</v>
      </c>
      <c r="G2525" t="n">
        <v>224</v>
      </c>
      <c r="H2525" t="n">
        <v>7.21e-81</v>
      </c>
      <c r="I2525" t="inlineStr">
        <is>
          <t>TrEMBL</t>
        </is>
      </c>
      <c r="J2525" t="inlineStr">
        <is>
          <t>LOC121397804</t>
        </is>
      </c>
      <c r="K2525" t="inlineStr">
        <is>
          <t>A0A8J1LQ31_XENLA</t>
        </is>
      </c>
      <c r="L2525" t="inlineStr">
        <is>
          <t>tr|A0A8J1LQ31|A0A8J1LQ31_XENLA uncharacterized protein LOC121397804 OS=Xenopus laevis OX=8355 GN=LOC121397804 PE=4 SV=1</t>
        </is>
      </c>
      <c r="M2525" t="n">
        <v>1421</v>
      </c>
      <c r="N2525" t="inlineStr">
        <is>
          <t>Xenopus laevis</t>
        </is>
      </c>
      <c r="O2525" t="inlineStr">
        <is>
          <t>uncharacterized protein LOC121397804</t>
        </is>
      </c>
    </row>
    <row r="2526">
      <c r="A2526" t="inlineStr"/>
      <c r="B2526" t="inlineStr"/>
      <c r="C2526" t="inlineStr"/>
      <c r="D2526" t="inlineStr"/>
      <c r="E2526">
        <f>HYPERLINK("https://www.uniprot.org/uniprotkb/A0A6I8RMS6/entry", "A0A6I8RMS6")</f>
        <v/>
      </c>
      <c r="F2526" t="n">
        <v>57.6</v>
      </c>
      <c r="G2526" t="n">
        <v>224</v>
      </c>
      <c r="H2526" t="n">
        <v>7.81e-81</v>
      </c>
      <c r="I2526" t="inlineStr">
        <is>
          <t>TrEMBL</t>
        </is>
      </c>
      <c r="J2526" t="inlineStr"/>
      <c r="K2526" t="inlineStr">
        <is>
          <t>A0A6I8RMS6_XENTR</t>
        </is>
      </c>
      <c r="L2526" t="inlineStr">
        <is>
          <t>tr|A0A6I8RMS6|A0A6I8RMS6_XENTR Core-binding (CB) domain-containing protein OS=Xenopus tropicalis OX=8364 PE=4 SV=1</t>
        </is>
      </c>
      <c r="M2526" t="n">
        <v>463</v>
      </c>
      <c r="N2526" t="inlineStr">
        <is>
          <t>Xenopus tropicalis</t>
        </is>
      </c>
      <c r="O2526" t="inlineStr">
        <is>
          <t>Core-binding (CB) domain-containing protein</t>
        </is>
      </c>
    </row>
    <row r="2527">
      <c r="A2527" t="inlineStr"/>
      <c r="B2527" t="inlineStr"/>
      <c r="C2527" t="inlineStr"/>
      <c r="D2527" t="inlineStr"/>
      <c r="E2527">
        <f>HYPERLINK("https://www.uniprot.org/uniprotkb/A0A6I8RZ83/entry", "A0A6I8RZ83")</f>
        <v/>
      </c>
      <c r="F2527" t="n">
        <v>61.2</v>
      </c>
      <c r="G2527" t="n">
        <v>224</v>
      </c>
      <c r="H2527" t="n">
        <v>1.02e-80</v>
      </c>
      <c r="I2527" t="inlineStr">
        <is>
          <t>TrEMBL</t>
        </is>
      </c>
      <c r="J2527" t="inlineStr"/>
      <c r="K2527" t="inlineStr">
        <is>
          <t>A0A6I8RZ83_XENTR</t>
        </is>
      </c>
      <c r="L2527" t="inlineStr">
        <is>
          <t>tr|A0A6I8RZ83|A0A6I8RZ83_XENTR Tyr recombinase domain-containing protein OS=Xenopus tropicalis OX=8364 PE=4 SV=2</t>
        </is>
      </c>
      <c r="M2527" t="n">
        <v>642</v>
      </c>
      <c r="N2527" t="inlineStr">
        <is>
          <t>Xenopus tropicalis</t>
        </is>
      </c>
      <c r="O2527" t="inlineStr">
        <is>
          <t>Tyr recombinase domain-containing protein</t>
        </is>
      </c>
    </row>
    <row r="2528">
      <c r="A2528" t="inlineStr"/>
      <c r="B2528" t="inlineStr"/>
      <c r="C2528" t="inlineStr"/>
      <c r="D2528" t="inlineStr"/>
      <c r="E2528">
        <f>HYPERLINK("https://www.uniprot.org/uniprotkb/A0A8J1LT71/entry", "A0A8J1LT71")</f>
        <v/>
      </c>
      <c r="F2528" t="n">
        <v>58.9</v>
      </c>
      <c r="G2528" t="n">
        <v>224</v>
      </c>
      <c r="H2528" t="n">
        <v>1.82e-80</v>
      </c>
      <c r="I2528" t="inlineStr">
        <is>
          <t>TrEMBL</t>
        </is>
      </c>
      <c r="J2528" t="inlineStr">
        <is>
          <t>LOC121398141</t>
        </is>
      </c>
      <c r="K2528" t="inlineStr">
        <is>
          <t>A0A8J1LT71_XENLA</t>
        </is>
      </c>
      <c r="L2528" t="inlineStr">
        <is>
          <t>tr|A0A8J1LT71|A0A8J1LT71_XENLA uncharacterized protein LOC121398141 OS=Xenopus laevis OX=8355 GN=LOC121398141 PE=4 SV=1</t>
        </is>
      </c>
      <c r="M2528" t="n">
        <v>948</v>
      </c>
      <c r="N2528" t="inlineStr">
        <is>
          <t>Xenopus laevis</t>
        </is>
      </c>
      <c r="O2528" t="inlineStr">
        <is>
          <t>uncharacterized protein LOC121398141</t>
        </is>
      </c>
    </row>
    <row r="2529">
      <c r="A2529" t="inlineStr"/>
      <c r="B2529" t="inlineStr"/>
      <c r="C2529" t="inlineStr"/>
      <c r="D2529" t="inlineStr"/>
      <c r="E2529">
        <f>HYPERLINK("https://www.ncbi.nlm.nih.gov/gene/?term=XP_041431344.1", "XP_041431344.1")</f>
        <v/>
      </c>
      <c r="F2529" t="n">
        <v>61.2</v>
      </c>
      <c r="G2529" t="n">
        <v>224</v>
      </c>
      <c r="H2529" t="n">
        <v>1.85e-80</v>
      </c>
      <c r="I2529" t="inlineStr">
        <is>
          <t>Nr</t>
        </is>
      </c>
      <c r="J2529" t="inlineStr"/>
      <c r="K2529" t="inlineStr"/>
      <c r="L2529" t="inlineStr">
        <is>
          <t>XP_041431344.1 uncharacterized protein LOC121397804 [Xenopus laevis]</t>
        </is>
      </c>
      <c r="M2529" t="n">
        <v>1421</v>
      </c>
      <c r="N2529" t="inlineStr">
        <is>
          <t>Xenopus laevis</t>
        </is>
      </c>
      <c r="O2529" t="inlineStr">
        <is>
          <t>uncharacterized protein LOC121397804</t>
        </is>
      </c>
    </row>
    <row r="2530">
      <c r="A2530" t="inlineStr"/>
      <c r="B2530" t="inlineStr"/>
      <c r="C2530" t="inlineStr"/>
      <c r="D2530" t="inlineStr"/>
      <c r="E2530">
        <f>HYPERLINK("https://www.uniprot.org/uniprotkb/A0A6I8RND0/entry", "A0A6I8RND0")</f>
        <v/>
      </c>
      <c r="F2530" t="n">
        <v>60.2</v>
      </c>
      <c r="G2530" t="n">
        <v>226</v>
      </c>
      <c r="H2530" t="n">
        <v>2.64e-80</v>
      </c>
      <c r="I2530" t="inlineStr">
        <is>
          <t>TrEMBL</t>
        </is>
      </c>
      <c r="J2530" t="inlineStr"/>
      <c r="K2530" t="inlineStr">
        <is>
          <t>A0A6I8RND0_XENTR</t>
        </is>
      </c>
      <c r="L2530" t="inlineStr">
        <is>
          <t>tr|A0A6I8RND0|A0A6I8RND0_XENTR Movement protein OS=Xenopus tropicalis OX=8364 PE=4 SV=2</t>
        </is>
      </c>
      <c r="M2530" t="n">
        <v>951</v>
      </c>
      <c r="N2530" t="inlineStr">
        <is>
          <t>Xenopus tropicalis</t>
        </is>
      </c>
      <c r="O2530" t="inlineStr">
        <is>
          <t>Movement protein</t>
        </is>
      </c>
    </row>
    <row r="2531">
      <c r="A2531" t="inlineStr"/>
      <c r="B2531" t="inlineStr"/>
      <c r="C2531" t="inlineStr"/>
      <c r="D2531" t="inlineStr"/>
      <c r="E2531">
        <f>HYPERLINK("https://www.uniprot.org/uniprotkb/A0A8J1L8U5/entry", "A0A8J1L8U5")</f>
        <v/>
      </c>
      <c r="F2531" t="n">
        <v>61.2</v>
      </c>
      <c r="G2531" t="n">
        <v>214</v>
      </c>
      <c r="H2531" t="n">
        <v>4.14e-80</v>
      </c>
      <c r="I2531" t="inlineStr">
        <is>
          <t>TrEMBL</t>
        </is>
      </c>
      <c r="J2531" t="inlineStr">
        <is>
          <t>LOC121395599</t>
        </is>
      </c>
      <c r="K2531" t="inlineStr">
        <is>
          <t>A0A8J1L8U5_XENLA</t>
        </is>
      </c>
      <c r="L2531" t="inlineStr">
        <is>
          <t>tr|A0A8J1L8U5|A0A8J1L8U5_XENLA ribonuclease H OS=Xenopus laevis OX=8355 GN=LOC121395599 PE=3 SV=1</t>
        </is>
      </c>
      <c r="M2531" t="n">
        <v>910</v>
      </c>
      <c r="N2531" t="inlineStr">
        <is>
          <t>Xenopus laevis</t>
        </is>
      </c>
      <c r="O2531" t="inlineStr">
        <is>
          <t>ribonuclease H</t>
        </is>
      </c>
    </row>
    <row r="2532">
      <c r="A2532" t="inlineStr"/>
      <c r="B2532" t="inlineStr"/>
      <c r="C2532" t="inlineStr"/>
      <c r="D2532" t="inlineStr"/>
      <c r="E2532">
        <f>HYPERLINK("https://www.ncbi.nlm.nih.gov/gene/?term=XP_041432732.1", "XP_041432732.1")</f>
        <v/>
      </c>
      <c r="F2532" t="n">
        <v>58.9</v>
      </c>
      <c r="G2532" t="n">
        <v>224</v>
      </c>
      <c r="H2532" t="n">
        <v>4.69e-80</v>
      </c>
      <c r="I2532" t="inlineStr">
        <is>
          <t>Nr</t>
        </is>
      </c>
      <c r="J2532" t="inlineStr"/>
      <c r="K2532" t="inlineStr"/>
      <c r="L2532" t="inlineStr">
        <is>
          <t>XP_041432732.1 uncharacterized protein LOC121398141 [Xenopus laevis]</t>
        </is>
      </c>
      <c r="M2532" t="n">
        <v>948</v>
      </c>
      <c r="N2532" t="inlineStr">
        <is>
          <t>Xenopus laevis</t>
        </is>
      </c>
      <c r="O2532" t="inlineStr">
        <is>
          <t>uncharacterized protein LOC121398141</t>
        </is>
      </c>
    </row>
    <row r="2533">
      <c r="A2533" t="inlineStr"/>
      <c r="B2533" t="inlineStr"/>
      <c r="C2533" t="inlineStr"/>
      <c r="D2533" t="inlineStr"/>
      <c r="E2533">
        <f>HYPERLINK("https://www.uniprot.org/uniprotkb/A0A8J1KY38/entry", "A0A8J1KY38")</f>
        <v/>
      </c>
      <c r="F2533" t="n">
        <v>59.8</v>
      </c>
      <c r="G2533" t="n">
        <v>224</v>
      </c>
      <c r="H2533" t="n">
        <v>9.530000000000001e-80</v>
      </c>
      <c r="I2533" t="inlineStr">
        <is>
          <t>TrEMBL</t>
        </is>
      </c>
      <c r="J2533" t="inlineStr">
        <is>
          <t>LOC121394688</t>
        </is>
      </c>
      <c r="K2533" t="inlineStr">
        <is>
          <t>A0A8J1KY38_XENLA</t>
        </is>
      </c>
      <c r="L2533" t="inlineStr">
        <is>
          <t>tr|A0A8J1KY38|A0A8J1KY38_XENLA uncharacterized protein LOC121394688 isoform X1 OS=Xenopus laevis OX=8355 GN=LOC121394688 PE=4 SV=1</t>
        </is>
      </c>
      <c r="M2533" t="n">
        <v>948</v>
      </c>
      <c r="N2533" t="inlineStr">
        <is>
          <t>Xenopus laevis</t>
        </is>
      </c>
      <c r="O2533" t="inlineStr">
        <is>
          <t>uncharacterized protein LOC121394688 isoform X1</t>
        </is>
      </c>
    </row>
    <row r="2534">
      <c r="A2534" t="inlineStr"/>
      <c r="B2534" t="inlineStr"/>
      <c r="C2534" t="inlineStr"/>
      <c r="D2534" t="inlineStr"/>
      <c r="E2534">
        <f>HYPERLINK("https://www.ncbi.nlm.nih.gov/gene/?term=KAE8579987.1", "KAE8579987.1")</f>
        <v/>
      </c>
      <c r="F2534" t="n">
        <v>61.4</v>
      </c>
      <c r="G2534" t="n">
        <v>210</v>
      </c>
      <c r="H2534" t="n">
        <v>9.830000000000001e-80</v>
      </c>
      <c r="I2534" t="inlineStr">
        <is>
          <t>Nr</t>
        </is>
      </c>
      <c r="J2534" t="inlineStr"/>
      <c r="K2534" t="inlineStr"/>
      <c r="L2534" t="inlineStr">
        <is>
          <t>KAE8579987.1 hypothetical protein XENTR_v10024262 [Xenopus tropicalis]</t>
        </is>
      </c>
      <c r="M2534" t="n">
        <v>797</v>
      </c>
      <c r="N2534" t="inlineStr">
        <is>
          <t>Xenopus tropicalis</t>
        </is>
      </c>
      <c r="O2534" t="inlineStr">
        <is>
          <t>hypothetical protein XENTR_v10024262</t>
        </is>
      </c>
    </row>
    <row r="2535">
      <c r="A2535" t="inlineStr"/>
      <c r="B2535" t="inlineStr"/>
      <c r="C2535" t="inlineStr"/>
      <c r="D2535" t="inlineStr"/>
      <c r="E2535">
        <f>HYPERLINK("https://www.uniprot.org/uniprotkb/A0A8J1MXN8/entry", "A0A8J1MXN8")</f>
        <v/>
      </c>
      <c r="F2535" t="n">
        <v>59.3</v>
      </c>
      <c r="G2535" t="n">
        <v>214</v>
      </c>
      <c r="H2535" t="n">
        <v>1.04e-79</v>
      </c>
      <c r="I2535" t="inlineStr">
        <is>
          <t>TrEMBL</t>
        </is>
      </c>
      <c r="J2535" t="inlineStr">
        <is>
          <t>LOC121403002</t>
        </is>
      </c>
      <c r="K2535" t="inlineStr">
        <is>
          <t>A0A8J1MXN8_XENLA</t>
        </is>
      </c>
      <c r="L2535" t="inlineStr">
        <is>
          <t>tr|A0A8J1MXN8|A0A8J1MXN8_XENLA uncharacterized protein LOC121403002 OS=Xenopus laevis OX=8355 GN=LOC121403002 PE=4 SV=1</t>
        </is>
      </c>
      <c r="M2535" t="n">
        <v>325</v>
      </c>
      <c r="N2535" t="inlineStr">
        <is>
          <t>Xenopus laevis</t>
        </is>
      </c>
      <c r="O2535" t="inlineStr">
        <is>
          <t>uncharacterized protein LOC121403002</t>
        </is>
      </c>
    </row>
    <row r="2536">
      <c r="A2536" t="inlineStr"/>
      <c r="B2536" t="inlineStr"/>
      <c r="C2536" t="inlineStr"/>
      <c r="D2536" t="inlineStr"/>
      <c r="E2536">
        <f>HYPERLINK("https://www.ncbi.nlm.nih.gov/gene/?term=XP_041425389.1", "XP_041425389.1")</f>
        <v/>
      </c>
      <c r="F2536" t="n">
        <v>61.2</v>
      </c>
      <c r="G2536" t="n">
        <v>214</v>
      </c>
      <c r="H2536" t="n">
        <v>1.06e-79</v>
      </c>
      <c r="I2536" t="inlineStr">
        <is>
          <t>Nr</t>
        </is>
      </c>
      <c r="J2536" t="inlineStr"/>
      <c r="K2536" t="inlineStr"/>
      <c r="L2536" t="inlineStr">
        <is>
          <t>XP_041425389.1 uncharacterized protein LOC121395599 [Xenopus laevis]</t>
        </is>
      </c>
      <c r="M2536" t="n">
        <v>910</v>
      </c>
      <c r="N2536" t="inlineStr">
        <is>
          <t>Xenopus laevis</t>
        </is>
      </c>
      <c r="O2536" t="inlineStr">
        <is>
          <t>uncharacterized protein LOC121395599</t>
        </is>
      </c>
    </row>
    <row r="2537">
      <c r="A2537" t="inlineStr"/>
      <c r="B2537" t="inlineStr"/>
      <c r="C2537" t="inlineStr"/>
      <c r="D2537" t="inlineStr"/>
      <c r="E2537">
        <f>HYPERLINK("https://www.ncbi.nlm.nih.gov/gene/?term=KAE8636869.1", "KAE8636869.1")</f>
        <v/>
      </c>
      <c r="F2537" t="n">
        <v>59.5</v>
      </c>
      <c r="G2537" t="n">
        <v>210</v>
      </c>
      <c r="H2537" t="n">
        <v>1.22e-79</v>
      </c>
      <c r="I2537" t="inlineStr">
        <is>
          <t>Nr</t>
        </is>
      </c>
      <c r="J2537" t="inlineStr"/>
      <c r="K2537" t="inlineStr"/>
      <c r="L2537" t="inlineStr">
        <is>
          <t>KAE8636869.1 hypothetical protein XENTR_v10003178 [Xenopus tropicalis]</t>
        </is>
      </c>
      <c r="M2537" t="n">
        <v>830</v>
      </c>
      <c r="N2537" t="inlineStr">
        <is>
          <t>Xenopus tropicalis</t>
        </is>
      </c>
      <c r="O2537" t="inlineStr">
        <is>
          <t>hypothetical protein XENTR_v10003178</t>
        </is>
      </c>
    </row>
    <row r="2538">
      <c r="A2538" t="inlineStr"/>
      <c r="B2538" t="inlineStr"/>
      <c r="C2538" t="inlineStr"/>
      <c r="D2538" t="inlineStr"/>
      <c r="E2538">
        <f>HYPERLINK("https://www.ncbi.nlm.nih.gov/gene/?term=KAE8610918.1", "KAE8610918.1")</f>
        <v/>
      </c>
      <c r="F2538" t="n">
        <v>57.6</v>
      </c>
      <c r="G2538" t="n">
        <v>224</v>
      </c>
      <c r="H2538" t="n">
        <v>1.6e-79</v>
      </c>
      <c r="I2538" t="inlineStr">
        <is>
          <t>Nr</t>
        </is>
      </c>
      <c r="J2538" t="inlineStr"/>
      <c r="K2538" t="inlineStr"/>
      <c r="L2538" t="inlineStr">
        <is>
          <t>KAE8610918.1 hypothetical protein XENTR_v10012279 [Xenopus tropicalis]</t>
        </is>
      </c>
      <c r="M2538" t="n">
        <v>463</v>
      </c>
      <c r="N2538" t="inlineStr">
        <is>
          <t>Xenopus tropicalis</t>
        </is>
      </c>
      <c r="O2538" t="inlineStr">
        <is>
          <t>hypothetical protein XENTR_v10012279</t>
        </is>
      </c>
    </row>
    <row r="2539">
      <c r="A2539" t="inlineStr"/>
      <c r="B2539" t="inlineStr"/>
      <c r="C2539" t="inlineStr"/>
      <c r="D2539" t="inlineStr"/>
      <c r="E2539">
        <f>HYPERLINK("https://www.ncbi.nlm.nih.gov/gene/?term=XP_041422215.1", "XP_041422215.1")</f>
        <v/>
      </c>
      <c r="F2539" t="n">
        <v>59.8</v>
      </c>
      <c r="G2539" t="n">
        <v>224</v>
      </c>
      <c r="H2539" t="n">
        <v>2.45e-79</v>
      </c>
      <c r="I2539" t="inlineStr">
        <is>
          <t>Nr</t>
        </is>
      </c>
      <c r="J2539" t="inlineStr"/>
      <c r="K2539" t="inlineStr"/>
      <c r="L2539" t="inlineStr">
        <is>
          <t>XP_041422215.1 uncharacterized protein LOC121394688 isoform X1 [Xenopus laevis]</t>
        </is>
      </c>
      <c r="M2539" t="n">
        <v>948</v>
      </c>
      <c r="N2539" t="inlineStr">
        <is>
          <t>Xenopus laevis</t>
        </is>
      </c>
      <c r="O2539" t="inlineStr">
        <is>
          <t>uncharacterized protein LOC121394688 isoform X1</t>
        </is>
      </c>
    </row>
    <row r="2540">
      <c r="A2540" t="inlineStr"/>
      <c r="B2540" t="inlineStr"/>
      <c r="C2540" t="inlineStr"/>
      <c r="D2540" t="inlineStr"/>
      <c r="E2540">
        <f>HYPERLINK("https://www.ncbi.nlm.nih.gov/gene/?term=XP_041446068.1", "XP_041446068.1")</f>
        <v/>
      </c>
      <c r="F2540" t="n">
        <v>59.3</v>
      </c>
      <c r="G2540" t="n">
        <v>214</v>
      </c>
      <c r="H2540" t="n">
        <v>2.68e-79</v>
      </c>
      <c r="I2540" t="inlineStr">
        <is>
          <t>Nr</t>
        </is>
      </c>
      <c r="J2540" t="inlineStr"/>
      <c r="K2540" t="inlineStr"/>
      <c r="L2540" t="inlineStr">
        <is>
          <t>XP_041446068.1 uncharacterized protein LOC121403002 [Xenopus laevis]</t>
        </is>
      </c>
      <c r="M2540" t="n">
        <v>325</v>
      </c>
      <c r="N2540" t="inlineStr">
        <is>
          <t>Xenopus laevis</t>
        </is>
      </c>
      <c r="O2540" t="inlineStr">
        <is>
          <t>uncharacterized protein LOC121403002</t>
        </is>
      </c>
    </row>
    <row r="2541">
      <c r="A2541" t="inlineStr"/>
      <c r="B2541" t="inlineStr"/>
      <c r="C2541" t="inlineStr"/>
      <c r="D2541" t="inlineStr"/>
      <c r="E2541">
        <f>HYPERLINK("https://www.uniprot.org/uniprotkb/A0A803K4V5/entry", "A0A803K4V5")</f>
        <v/>
      </c>
      <c r="F2541" t="n">
        <v>54.4</v>
      </c>
      <c r="G2541" t="n">
        <v>226</v>
      </c>
      <c r="H2541" t="n">
        <v>9.41e-79</v>
      </c>
      <c r="I2541" t="inlineStr">
        <is>
          <t>TrEMBL</t>
        </is>
      </c>
      <c r="J2541" t="inlineStr"/>
      <c r="K2541" t="inlineStr">
        <is>
          <t>A0A803K4V5_XENTR</t>
        </is>
      </c>
      <c r="L2541" t="inlineStr">
        <is>
          <t>tr|A0A803K4V5|A0A803K4V5_XENTR Tyr recombinase domain-containing protein OS=Xenopus tropicalis OX=8364 PE=4 SV=1</t>
        </is>
      </c>
      <c r="M2541" t="n">
        <v>585</v>
      </c>
      <c r="N2541" t="inlineStr">
        <is>
          <t>Xenopus tropicalis</t>
        </is>
      </c>
      <c r="O2541" t="inlineStr">
        <is>
          <t>Tyr recombinase domain-containing protein</t>
        </is>
      </c>
    </row>
    <row r="2542">
      <c r="A2542" t="inlineStr"/>
      <c r="B2542" t="inlineStr"/>
      <c r="C2542" t="inlineStr"/>
      <c r="D2542" t="inlineStr"/>
      <c r="E2542">
        <f>HYPERLINK("https://www.ncbi.nlm.nih.gov/gene/?term=KAE8584967.1", "KAE8584967.1")</f>
        <v/>
      </c>
      <c r="F2542" t="n">
        <v>57.6</v>
      </c>
      <c r="G2542" t="n">
        <v>224</v>
      </c>
      <c r="H2542" t="n">
        <v>9.890000000000001e-79</v>
      </c>
      <c r="I2542" t="inlineStr">
        <is>
          <t>Nr</t>
        </is>
      </c>
      <c r="J2542" t="inlineStr"/>
      <c r="K2542" t="inlineStr"/>
      <c r="L2542" t="inlineStr">
        <is>
          <t>KAE8584967.1 hypothetical protein XENTR_v10021175 [Xenopus tropicalis]</t>
        </is>
      </c>
      <c r="M2542" t="n">
        <v>345</v>
      </c>
      <c r="N2542" t="inlineStr">
        <is>
          <t>Xenopus tropicalis</t>
        </is>
      </c>
      <c r="O2542" t="inlineStr">
        <is>
          <t>hypothetical protein XENTR_v10021175</t>
        </is>
      </c>
    </row>
    <row r="2543">
      <c r="A2543" t="inlineStr"/>
      <c r="B2543" t="inlineStr"/>
      <c r="C2543" t="inlineStr"/>
      <c r="D2543" t="inlineStr"/>
      <c r="E2543">
        <f>HYPERLINK("https://www.uniprot.org/uniprotkb/A0A6I8SVV8/entry", "A0A6I8SVV8")</f>
        <v/>
      </c>
      <c r="F2543" t="n">
        <v>57.6</v>
      </c>
      <c r="G2543" t="n">
        <v>224</v>
      </c>
      <c r="H2543" t="n">
        <v>1.03e-78</v>
      </c>
      <c r="I2543" t="inlineStr">
        <is>
          <t>TrEMBL</t>
        </is>
      </c>
      <c r="J2543" t="inlineStr"/>
      <c r="K2543" t="inlineStr">
        <is>
          <t>A0A6I8SVV8_XENTR</t>
        </is>
      </c>
      <c r="L2543" t="inlineStr">
        <is>
          <t>tr|A0A6I8SVV8|A0A6I8SVV8_XENTR Core-binding (CB) domain-containing protein OS=Xenopus tropicalis OX=8364 PE=4 SV=2</t>
        </is>
      </c>
      <c r="M2543" t="n">
        <v>667</v>
      </c>
      <c r="N2543" t="inlineStr">
        <is>
          <t>Xenopus tropicalis</t>
        </is>
      </c>
      <c r="O2543" t="inlineStr">
        <is>
          <t>Core-binding (CB) domain-containing protein</t>
        </is>
      </c>
    </row>
    <row r="2544">
      <c r="A2544" t="inlineStr"/>
      <c r="B2544" t="inlineStr"/>
      <c r="C2544" t="inlineStr"/>
      <c r="D2544" t="inlineStr"/>
      <c r="E2544">
        <f>HYPERLINK("https://www.uniprot.org/uniprotkb/A0A8J1JP68/entry", "A0A8J1JP68")</f>
        <v/>
      </c>
      <c r="F2544" t="n">
        <v>57.6</v>
      </c>
      <c r="G2544" t="n">
        <v>224</v>
      </c>
      <c r="H2544" t="n">
        <v>1.86e-78</v>
      </c>
      <c r="I2544" t="inlineStr">
        <is>
          <t>TrEMBL</t>
        </is>
      </c>
      <c r="J2544" t="inlineStr">
        <is>
          <t>LOC116410921</t>
        </is>
      </c>
      <c r="K2544" t="inlineStr">
        <is>
          <t>A0A8J1JP68_XENTR</t>
        </is>
      </c>
      <c r="L2544" t="inlineStr">
        <is>
          <t>tr|A0A8J1JP68|A0A8J1JP68_XENTR uncharacterized protein LOC116410921 OS=Xenopus tropicalis OX=8364 GN=LOC116410921 PE=4 SV=1</t>
        </is>
      </c>
      <c r="M2544" t="n">
        <v>423</v>
      </c>
      <c r="N2544" t="inlineStr">
        <is>
          <t>Xenopus tropicalis</t>
        </is>
      </c>
      <c r="O2544" t="inlineStr">
        <is>
          <t>uncharacterized protein LOC116410921</t>
        </is>
      </c>
    </row>
    <row r="2545">
      <c r="A2545" t="inlineStr"/>
      <c r="B2545" t="inlineStr"/>
      <c r="C2545" t="inlineStr"/>
      <c r="D2545" t="inlineStr"/>
      <c r="E2545">
        <f>HYPERLINK("https://www.uniprot.org/uniprotkb/A0A803JVB7/entry", "A0A803JVB7")</f>
        <v/>
      </c>
      <c r="F2545" t="n">
        <v>58.9</v>
      </c>
      <c r="G2545" t="n">
        <v>214</v>
      </c>
      <c r="H2545" t="n">
        <v>2.72e-78</v>
      </c>
      <c r="I2545" t="inlineStr">
        <is>
          <t>TrEMBL</t>
        </is>
      </c>
      <c r="J2545" t="inlineStr"/>
      <c r="K2545" t="inlineStr">
        <is>
          <t>A0A803JVB7_XENTR</t>
        </is>
      </c>
      <c r="L2545" t="inlineStr">
        <is>
          <t>tr|A0A803JVB7|A0A803JVB7_XENTR RING-type domain-containing protein OS=Xenopus tropicalis OX=8364 PE=4 SV=1</t>
        </is>
      </c>
      <c r="M2545" t="n">
        <v>854</v>
      </c>
      <c r="N2545" t="inlineStr">
        <is>
          <t>Xenopus tropicalis</t>
        </is>
      </c>
      <c r="O2545" t="inlineStr">
        <is>
          <t>RING-type domain-containing protein</t>
        </is>
      </c>
    </row>
    <row r="2546">
      <c r="A2546" t="inlineStr"/>
      <c r="B2546" t="inlineStr"/>
      <c r="C2546" t="inlineStr"/>
      <c r="D2546" t="inlineStr"/>
      <c r="E2546">
        <f>HYPERLINK("https://www.uniprot.org/uniprotkb/A0A803JI75/entry", "A0A803JI75")</f>
        <v/>
      </c>
      <c r="F2546" t="n">
        <v>57.6</v>
      </c>
      <c r="G2546" t="n">
        <v>224</v>
      </c>
      <c r="H2546" t="n">
        <v>2.99e-78</v>
      </c>
      <c r="I2546" t="inlineStr">
        <is>
          <t>TrEMBL</t>
        </is>
      </c>
      <c r="J2546" t="inlineStr"/>
      <c r="K2546" t="inlineStr">
        <is>
          <t>A0A803JI75_XENTR</t>
        </is>
      </c>
      <c r="L2546" t="inlineStr">
        <is>
          <t>tr|A0A803JI75|A0A803JI75_XENTR Core-binding (CB) domain-containing protein OS=Xenopus tropicalis OX=8364 PE=4 SV=1</t>
        </is>
      </c>
      <c r="M2546" t="n">
        <v>621</v>
      </c>
      <c r="N2546" t="inlineStr">
        <is>
          <t>Xenopus tropicalis</t>
        </is>
      </c>
      <c r="O2546" t="inlineStr">
        <is>
          <t>Core-binding (CB) domain-containing protein</t>
        </is>
      </c>
    </row>
    <row r="2547">
      <c r="A2547" t="inlineStr"/>
      <c r="B2547" t="inlineStr"/>
      <c r="C2547" t="inlineStr"/>
      <c r="D2547" t="inlineStr"/>
      <c r="E2547">
        <f>HYPERLINK("https://www.ncbi.nlm.nih.gov/gene/?term=KAE8636279.1", "KAE8636279.1")</f>
        <v/>
      </c>
      <c r="F2547" t="n">
        <v>54.9</v>
      </c>
      <c r="G2547" t="n">
        <v>226</v>
      </c>
      <c r="H2547" t="n">
        <v>3.25e-78</v>
      </c>
      <c r="I2547" t="inlineStr">
        <is>
          <t>Nr</t>
        </is>
      </c>
      <c r="J2547" t="inlineStr"/>
      <c r="K2547" t="inlineStr"/>
      <c r="L2547" t="inlineStr">
        <is>
          <t>KAE8636279.1 hypothetical protein XENTR_v10002921 [Xenopus tropicalis]</t>
        </is>
      </c>
      <c r="M2547" t="n">
        <v>677</v>
      </c>
      <c r="N2547" t="inlineStr">
        <is>
          <t>Xenopus tropicalis</t>
        </is>
      </c>
      <c r="O2547" t="inlineStr">
        <is>
          <t>hypothetical protein XENTR_v10002921</t>
        </is>
      </c>
    </row>
    <row r="2548">
      <c r="A2548" t="inlineStr"/>
      <c r="B2548" t="inlineStr"/>
      <c r="C2548" t="inlineStr"/>
      <c r="D2548" t="inlineStr"/>
      <c r="E2548">
        <f>HYPERLINK("https://www.uniprot.org/uniprotkb/A0A803JUY8/entry", "A0A803JUY8")</f>
        <v/>
      </c>
      <c r="F2548" t="n">
        <v>56.3</v>
      </c>
      <c r="G2548" t="n">
        <v>224</v>
      </c>
      <c r="H2548" t="n">
        <v>3.56e-78</v>
      </c>
      <c r="I2548" t="inlineStr">
        <is>
          <t>TrEMBL</t>
        </is>
      </c>
      <c r="J2548" t="inlineStr"/>
      <c r="K2548" t="inlineStr">
        <is>
          <t>A0A803JUY8_XENTR</t>
        </is>
      </c>
      <c r="L2548" t="inlineStr">
        <is>
          <t>tr|A0A803JUY8|A0A803JUY8_XENTR Tyr recombinase domain-containing protein OS=Xenopus tropicalis OX=8364 PE=4 SV=1</t>
        </is>
      </c>
      <c r="M2548" t="n">
        <v>540</v>
      </c>
      <c r="N2548" t="inlineStr">
        <is>
          <t>Xenopus tropicalis</t>
        </is>
      </c>
      <c r="O2548" t="inlineStr">
        <is>
          <t>Tyr recombinase domain-containing protein</t>
        </is>
      </c>
    </row>
    <row r="2549">
      <c r="A2549" t="inlineStr"/>
      <c r="B2549" t="inlineStr"/>
      <c r="C2549" t="inlineStr"/>
      <c r="D2549" t="inlineStr"/>
      <c r="E2549">
        <f>HYPERLINK("https://www.ncbi.nlm.nih.gov/gene/?term=XP_031758406.1", "XP_031758406.1")</f>
        <v/>
      </c>
      <c r="F2549" t="n">
        <v>57.6</v>
      </c>
      <c r="G2549" t="n">
        <v>224</v>
      </c>
      <c r="H2549" t="n">
        <v>4.78e-78</v>
      </c>
      <c r="I2549" t="inlineStr">
        <is>
          <t>Nr</t>
        </is>
      </c>
      <c r="J2549" t="inlineStr"/>
      <c r="K2549" t="inlineStr"/>
      <c r="L2549" t="inlineStr">
        <is>
          <t>XP_031758406.1 uncharacterized protein LOC116410921 [Xenopus tropicalis]</t>
        </is>
      </c>
      <c r="M2549" t="n">
        <v>423</v>
      </c>
      <c r="N2549" t="inlineStr">
        <is>
          <t>Xenopus tropicalis</t>
        </is>
      </c>
      <c r="O2549" t="inlineStr">
        <is>
          <t>uncharacterized protein LOC116410921</t>
        </is>
      </c>
    </row>
    <row r="2550">
      <c r="A2550" t="inlineStr"/>
      <c r="B2550" t="inlineStr"/>
      <c r="C2550" t="inlineStr"/>
      <c r="D2550" t="inlineStr"/>
      <c r="E2550">
        <f>HYPERLINK("https://www.uniprot.org/uniprotkb/A0A8J1ISA0/entry", "A0A8J1ISA0")</f>
        <v/>
      </c>
      <c r="F2550" t="n">
        <v>57.1</v>
      </c>
      <c r="G2550" t="n">
        <v>224</v>
      </c>
      <c r="H2550" t="n">
        <v>1.45e-77</v>
      </c>
      <c r="I2550" t="inlineStr">
        <is>
          <t>TrEMBL</t>
        </is>
      </c>
      <c r="J2550" t="inlineStr">
        <is>
          <t>LOC116406738</t>
        </is>
      </c>
      <c r="K2550" t="inlineStr">
        <is>
          <t>A0A8J1ISA0_XENTR</t>
        </is>
      </c>
      <c r="L2550" t="inlineStr">
        <is>
          <t>tr|A0A8J1ISA0|A0A8J1ISA0_XENTR uncharacterized protein LOC116406738 OS=Xenopus tropicalis OX=8364 GN=LOC116406738 PE=4 SV=1</t>
        </is>
      </c>
      <c r="M2550" t="n">
        <v>460</v>
      </c>
      <c r="N2550" t="inlineStr">
        <is>
          <t>Xenopus tropicalis</t>
        </is>
      </c>
      <c r="O2550" t="inlineStr">
        <is>
          <t>uncharacterized protein LOC116406738</t>
        </is>
      </c>
    </row>
    <row r="2551">
      <c r="A2551" t="inlineStr"/>
      <c r="B2551" t="inlineStr"/>
      <c r="C2551" t="inlineStr"/>
      <c r="D2551" t="inlineStr"/>
      <c r="E2551">
        <f>HYPERLINK("https://www.uniprot.org/uniprotkb/A0A803K875/entry", "A0A803K875")</f>
        <v/>
      </c>
      <c r="F2551" t="n">
        <v>58</v>
      </c>
      <c r="G2551" t="n">
        <v>224</v>
      </c>
      <c r="H2551" t="n">
        <v>1.79e-77</v>
      </c>
      <c r="I2551" t="inlineStr">
        <is>
          <t>TrEMBL</t>
        </is>
      </c>
      <c r="J2551" t="inlineStr"/>
      <c r="K2551" t="inlineStr">
        <is>
          <t>A0A803K875_XENTR</t>
        </is>
      </c>
      <c r="L2551" t="inlineStr">
        <is>
          <t>tr|A0A803K875|A0A803K875_XENTR Core-binding (CB) domain-containing protein OS=Xenopus tropicalis OX=8364 PE=4 SV=1</t>
        </is>
      </c>
      <c r="M2551" t="n">
        <v>869</v>
      </c>
      <c r="N2551" t="inlineStr">
        <is>
          <t>Xenopus tropicalis</t>
        </is>
      </c>
      <c r="O2551" t="inlineStr">
        <is>
          <t>Core-binding (CB) domain-containing protein</t>
        </is>
      </c>
    </row>
    <row r="2552">
      <c r="A2552" t="inlineStr"/>
      <c r="B2552" t="inlineStr"/>
      <c r="C2552" t="inlineStr"/>
      <c r="D2552" t="inlineStr"/>
      <c r="E2552">
        <f>HYPERLINK("https://www.uniprot.org/uniprotkb/A0A803JZG3/entry", "A0A803JZG3")</f>
        <v/>
      </c>
      <c r="F2552" t="n">
        <v>58</v>
      </c>
      <c r="G2552" t="n">
        <v>224</v>
      </c>
      <c r="H2552" t="n">
        <v>2.01e-77</v>
      </c>
      <c r="I2552" t="inlineStr">
        <is>
          <t>TrEMBL</t>
        </is>
      </c>
      <c r="J2552" t="inlineStr"/>
      <c r="K2552" t="inlineStr">
        <is>
          <t>A0A803JZG3_XENTR</t>
        </is>
      </c>
      <c r="L2552" t="inlineStr">
        <is>
          <t>tr|A0A803JZG3|A0A803JZG3_XENTR Tyr recombinase domain-containing protein OS=Xenopus tropicalis OX=8364 PE=4 SV=1</t>
        </is>
      </c>
      <c r="M2552" t="n">
        <v>854</v>
      </c>
      <c r="N2552" t="inlineStr">
        <is>
          <t>Xenopus tropicalis</t>
        </is>
      </c>
      <c r="O2552" t="inlineStr">
        <is>
          <t>Tyr recombinase domain-containing protein</t>
        </is>
      </c>
    </row>
    <row r="2553">
      <c r="A2553" t="inlineStr"/>
      <c r="B2553" t="inlineStr"/>
      <c r="C2553" t="inlineStr"/>
      <c r="D2553" t="inlineStr"/>
      <c r="E2553">
        <f>HYPERLINK("https://www.uniprot.org/uniprotkb/A0A803JKH4/entry", "A0A803JKH4")</f>
        <v/>
      </c>
      <c r="F2553" t="n">
        <v>55.9</v>
      </c>
      <c r="G2553" t="n">
        <v>227</v>
      </c>
      <c r="H2553" t="n">
        <v>2.36e-77</v>
      </c>
      <c r="I2553" t="inlineStr">
        <is>
          <t>TrEMBL</t>
        </is>
      </c>
      <c r="J2553" t="inlineStr"/>
      <c r="K2553" t="inlineStr">
        <is>
          <t>A0A803JKH4_XENTR</t>
        </is>
      </c>
      <c r="L2553" t="inlineStr">
        <is>
          <t>tr|A0A803JKH4|A0A803JKH4_XENTR Core-binding (CB) domain-containing protein OS=Xenopus tropicalis OX=8364 PE=4 SV=1</t>
        </is>
      </c>
      <c r="M2553" t="n">
        <v>705</v>
      </c>
      <c r="N2553" t="inlineStr">
        <is>
          <t>Xenopus tropicalis</t>
        </is>
      </c>
      <c r="O2553" t="inlineStr">
        <is>
          <t>Core-binding (CB) domain-containing protein</t>
        </is>
      </c>
    </row>
    <row r="2554">
      <c r="A2554" t="inlineStr"/>
      <c r="B2554" t="inlineStr"/>
      <c r="C2554" t="inlineStr"/>
      <c r="D2554" t="inlineStr"/>
      <c r="E2554">
        <f>HYPERLINK("https://www.ncbi.nlm.nih.gov/gene/?term=XP_031747366.1", "XP_031747366.1")</f>
        <v/>
      </c>
      <c r="F2554" t="n">
        <v>57.1</v>
      </c>
      <c r="G2554" t="n">
        <v>224</v>
      </c>
      <c r="H2554" t="n">
        <v>3.71e-77</v>
      </c>
      <c r="I2554" t="inlineStr">
        <is>
          <t>Nr</t>
        </is>
      </c>
      <c r="J2554" t="inlineStr"/>
      <c r="K2554" t="inlineStr"/>
      <c r="L2554" t="inlineStr">
        <is>
          <t>XP_031747366.1 uncharacterized protein LOC116406738 [Xenopus tropicalis]</t>
        </is>
      </c>
      <c r="M2554" t="n">
        <v>460</v>
      </c>
      <c r="N2554" t="inlineStr">
        <is>
          <t>Xenopus tropicalis</t>
        </is>
      </c>
      <c r="O2554" t="inlineStr">
        <is>
          <t>uncharacterized protein LOC116406738</t>
        </is>
      </c>
    </row>
    <row r="2555">
      <c r="A2555" t="inlineStr"/>
      <c r="B2555" t="inlineStr"/>
      <c r="C2555" t="inlineStr"/>
      <c r="D2555" t="inlineStr"/>
      <c r="E2555">
        <f>HYPERLINK("https://www.ncbi.nlm.nih.gov/gene/?term=KAE8606559.1", "KAE8606559.1")</f>
        <v/>
      </c>
      <c r="F2555" t="n">
        <v>58</v>
      </c>
      <c r="G2555" t="n">
        <v>224</v>
      </c>
      <c r="H2555" t="n">
        <v>5.52e-77</v>
      </c>
      <c r="I2555" t="inlineStr">
        <is>
          <t>Nr</t>
        </is>
      </c>
      <c r="J2555" t="inlineStr"/>
      <c r="K2555" t="inlineStr"/>
      <c r="L2555" t="inlineStr">
        <is>
          <t>KAE8606559.1 hypothetical protein XENTR_v10010779 [Xenopus tropicalis]</t>
        </is>
      </c>
      <c r="M2555" t="n">
        <v>736</v>
      </c>
      <c r="N2555" t="inlineStr">
        <is>
          <t>Xenopus tropicalis</t>
        </is>
      </c>
      <c r="O2555" t="inlineStr">
        <is>
          <t>hypothetical protein XENTR_v10010779</t>
        </is>
      </c>
    </row>
    <row r="2556">
      <c r="A2556" t="inlineStr"/>
      <c r="B2556" t="inlineStr"/>
      <c r="C2556" t="inlineStr"/>
      <c r="D2556" t="inlineStr"/>
      <c r="E2556">
        <f>HYPERLINK("https://www.uniprot.org/uniprotkb/A0A803J3K6/entry", "A0A803J3K6")</f>
        <v/>
      </c>
      <c r="F2556" t="n">
        <v>54.9</v>
      </c>
      <c r="G2556" t="n">
        <v>226</v>
      </c>
      <c r="H2556" t="n">
        <v>6.95e-77</v>
      </c>
      <c r="I2556" t="inlineStr">
        <is>
          <t>TrEMBL</t>
        </is>
      </c>
      <c r="J2556" t="inlineStr"/>
      <c r="K2556" t="inlineStr">
        <is>
          <t>A0A803J3K6_XENTR</t>
        </is>
      </c>
      <c r="L2556" t="inlineStr">
        <is>
          <t>tr|A0A803J3K6|A0A803J3K6_XENTR Reverse transcriptase domain-containing protein OS=Xenopus tropicalis OX=8364 PE=4 SV=1</t>
        </is>
      </c>
      <c r="M2556" t="n">
        <v>895</v>
      </c>
      <c r="N2556" t="inlineStr">
        <is>
          <t>Xenopus tropicalis</t>
        </is>
      </c>
      <c r="O2556" t="inlineStr">
        <is>
          <t>Reverse transcriptase domain-containing protein</t>
        </is>
      </c>
    </row>
    <row r="2557">
      <c r="A2557" t="inlineStr"/>
      <c r="B2557" t="inlineStr"/>
      <c r="C2557" t="inlineStr"/>
      <c r="D2557" t="inlineStr"/>
      <c r="E2557">
        <f>HYPERLINK("https://www.uniprot.org/uniprotkb/A0A803JH33/entry", "A0A803JH33")</f>
        <v/>
      </c>
      <c r="F2557" t="n">
        <v>54.9</v>
      </c>
      <c r="G2557" t="n">
        <v>226</v>
      </c>
      <c r="H2557" t="n">
        <v>8.63e-77</v>
      </c>
      <c r="I2557" t="inlineStr">
        <is>
          <t>TrEMBL</t>
        </is>
      </c>
      <c r="J2557" t="inlineStr"/>
      <c r="K2557" t="inlineStr">
        <is>
          <t>A0A803JH33_XENTR</t>
        </is>
      </c>
      <c r="L2557" t="inlineStr">
        <is>
          <t>tr|A0A803JH33|A0A803JH33_XENTR Tyr recombinase domain-containing protein OS=Xenopus tropicalis OX=8364 PE=4 SV=1</t>
        </is>
      </c>
      <c r="M2557" t="n">
        <v>938</v>
      </c>
      <c r="N2557" t="inlineStr">
        <is>
          <t>Xenopus tropicalis</t>
        </is>
      </c>
      <c r="O2557" t="inlineStr">
        <is>
          <t>Tyr recombinase domain-containing protein</t>
        </is>
      </c>
    </row>
    <row r="2558">
      <c r="A2558" t="inlineStr"/>
      <c r="B2558" t="inlineStr"/>
      <c r="C2558" t="inlineStr"/>
      <c r="D2558" t="inlineStr"/>
      <c r="E2558">
        <f>HYPERLINK("https://www.uniprot.org/uniprotkb/A0A803J2D4/entry", "A0A803J2D4")</f>
        <v/>
      </c>
      <c r="F2558" t="n">
        <v>59.3</v>
      </c>
      <c r="G2558" t="n">
        <v>214</v>
      </c>
      <c r="H2558" t="n">
        <v>1.4e-76</v>
      </c>
      <c r="I2558" t="inlineStr">
        <is>
          <t>TrEMBL</t>
        </is>
      </c>
      <c r="J2558" t="inlineStr"/>
      <c r="K2558" t="inlineStr">
        <is>
          <t>A0A803J2D4_XENTR</t>
        </is>
      </c>
      <c r="L2558" t="inlineStr">
        <is>
          <t>tr|A0A803J2D4|A0A803J2D4_XENTR Core-binding (CB) domain-containing protein OS=Xenopus tropicalis OX=8364 PE=4 SV=1</t>
        </is>
      </c>
      <c r="M2558" t="n">
        <v>951</v>
      </c>
      <c r="N2558" t="inlineStr">
        <is>
          <t>Xenopus tropicalis</t>
        </is>
      </c>
      <c r="O2558" t="inlineStr">
        <is>
          <t>Core-binding (CB) domain-containing protein</t>
        </is>
      </c>
    </row>
    <row r="2559">
      <c r="A2559" t="inlineStr"/>
      <c r="B2559" t="inlineStr"/>
      <c r="C2559" t="inlineStr"/>
      <c r="D2559" t="inlineStr"/>
      <c r="E2559">
        <f>HYPERLINK("https://www.ncbi.nlm.nih.gov/gene/?term=XP_041417586.1", "XP_041417586.1")</f>
        <v/>
      </c>
      <c r="F2559" t="n">
        <v>54.9</v>
      </c>
      <c r="G2559" t="n">
        <v>226</v>
      </c>
      <c r="H2559" t="n">
        <v>1.38e-75</v>
      </c>
      <c r="I2559" t="inlineStr">
        <is>
          <t>Nr</t>
        </is>
      </c>
      <c r="J2559" t="inlineStr"/>
      <c r="K2559" t="inlineStr"/>
      <c r="L2559" t="inlineStr">
        <is>
          <t>XP_041417586.1 uncharacterized protein LOC121393347 [Xenopus laevis]</t>
        </is>
      </c>
      <c r="M2559" t="n">
        <v>466</v>
      </c>
      <c r="N2559" t="inlineStr">
        <is>
          <t>Xenopus laevis</t>
        </is>
      </c>
      <c r="O2559" t="inlineStr">
        <is>
          <t>uncharacterized protein LOC121393347</t>
        </is>
      </c>
    </row>
    <row r="2560">
      <c r="A2560" t="inlineStr"/>
      <c r="B2560" t="inlineStr"/>
      <c r="C2560" t="inlineStr"/>
      <c r="D2560" t="inlineStr"/>
      <c r="E2560">
        <f>HYPERLINK("https://www.ncbi.nlm.nih.gov/gene/?term=KAE8590612.1", "KAE8590612.1")</f>
        <v/>
      </c>
      <c r="F2560" t="n">
        <v>56.3</v>
      </c>
      <c r="G2560" t="n">
        <v>224</v>
      </c>
      <c r="H2560" t="n">
        <v>1.94e-75</v>
      </c>
      <c r="I2560" t="inlineStr">
        <is>
          <t>Nr</t>
        </is>
      </c>
      <c r="J2560" t="inlineStr"/>
      <c r="K2560" t="inlineStr"/>
      <c r="L2560" t="inlineStr">
        <is>
          <t>KAE8590612.1 hypothetical protein XENTR_v10018130 [Xenopus tropicalis]</t>
        </is>
      </c>
      <c r="M2560" t="n">
        <v>674</v>
      </c>
      <c r="N2560" t="inlineStr">
        <is>
          <t>Xenopus tropicalis</t>
        </is>
      </c>
      <c r="O2560" t="inlineStr">
        <is>
          <t>hypothetical protein XENTR_v10018130</t>
        </is>
      </c>
    </row>
    <row r="2561">
      <c r="A2561" t="inlineStr"/>
      <c r="B2561" t="inlineStr"/>
      <c r="C2561" t="inlineStr"/>
      <c r="D2561" t="inlineStr"/>
      <c r="E2561">
        <f>HYPERLINK("https://www.ncbi.nlm.nih.gov/gene/?term=XP_031752878.1", "XP_031752878.1")</f>
        <v/>
      </c>
      <c r="F2561" t="n">
        <v>57.6</v>
      </c>
      <c r="G2561" t="n">
        <v>224</v>
      </c>
      <c r="H2561" t="n">
        <v>4.16e-75</v>
      </c>
      <c r="I2561" t="inlineStr">
        <is>
          <t>Nr</t>
        </is>
      </c>
      <c r="J2561" t="inlineStr"/>
      <c r="K2561" t="inlineStr"/>
      <c r="L2561" t="inlineStr">
        <is>
          <t>XP_031752878.1 filaggrin-2-like [Xenopus tropicalis]</t>
        </is>
      </c>
      <c r="M2561" t="n">
        <v>714</v>
      </c>
      <c r="N2561" t="inlineStr">
        <is>
          <t>Xenopus tropicalis</t>
        </is>
      </c>
      <c r="O2561" t="inlineStr">
        <is>
          <t>filaggrin-2-like</t>
        </is>
      </c>
    </row>
    <row r="2562">
      <c r="A2562" t="inlineStr"/>
      <c r="B2562" t="inlineStr"/>
      <c r="C2562" t="inlineStr"/>
      <c r="D2562" t="inlineStr"/>
      <c r="E2562">
        <f>HYPERLINK("https://www.ncbi.nlm.nih.gov/gene/?term=XP_041420858.1", "XP_041420858.1")</f>
        <v/>
      </c>
      <c r="F2562" t="n">
        <v>56.7</v>
      </c>
      <c r="G2562" t="n">
        <v>224</v>
      </c>
      <c r="H2562" t="n">
        <v>7.26e-75</v>
      </c>
      <c r="I2562" t="inlineStr">
        <is>
          <t>Nr</t>
        </is>
      </c>
      <c r="J2562" t="inlineStr"/>
      <c r="K2562" t="inlineStr"/>
      <c r="L2562" t="inlineStr">
        <is>
          <t>XP_041420858.1 ATP-dependent DNA/RNA helicase DHX36 isoform X2 [Xenopus laevis]</t>
        </is>
      </c>
      <c r="M2562" t="n">
        <v>1056</v>
      </c>
      <c r="N2562" t="inlineStr">
        <is>
          <t>Xenopus laevis</t>
        </is>
      </c>
      <c r="O2562" t="inlineStr">
        <is>
          <t>ATP-dependent DNA/RNA helicase DHX36 isoform X2</t>
        </is>
      </c>
    </row>
    <row r="2563">
      <c r="A2563" t="inlineStr"/>
      <c r="B2563" t="inlineStr"/>
      <c r="C2563" t="inlineStr"/>
      <c r="D2563" t="inlineStr"/>
      <c r="E2563">
        <f>HYPERLINK("https://www.ncbi.nlm.nih.gov/gene/?term=XP_018121238.1", "XP_018121238.1")</f>
        <v/>
      </c>
      <c r="F2563" t="n">
        <v>56.7</v>
      </c>
      <c r="G2563" t="n">
        <v>224</v>
      </c>
      <c r="H2563" t="n">
        <v>1.21e-74</v>
      </c>
      <c r="I2563" t="inlineStr">
        <is>
          <t>Nr</t>
        </is>
      </c>
      <c r="J2563" t="inlineStr"/>
      <c r="K2563" t="inlineStr"/>
      <c r="L2563" t="inlineStr">
        <is>
          <t>XP_018121238.1 ATP-dependent DNA/RNA helicase DHX36 isoform X1 [Xenopus laevis]</t>
        </is>
      </c>
      <c r="M2563" t="n">
        <v>1125</v>
      </c>
      <c r="N2563" t="inlineStr">
        <is>
          <t>Xenopus laevis</t>
        </is>
      </c>
      <c r="O2563" t="inlineStr">
        <is>
          <t>ATP-dependent DNA/RNA helicase DHX36 isoform X1</t>
        </is>
      </c>
    </row>
    <row r="2564">
      <c r="A2564" t="inlineStr"/>
      <c r="B2564" t="inlineStr"/>
      <c r="C2564" t="inlineStr"/>
      <c r="D2564" t="inlineStr"/>
      <c r="E2564">
        <f>HYPERLINK("https://www.ncbi.nlm.nih.gov/gene/?term=KAE8576050.1", "KAE8576050.1")</f>
        <v/>
      </c>
      <c r="F2564" t="n">
        <v>55.8</v>
      </c>
      <c r="G2564" t="n">
        <v>224</v>
      </c>
      <c r="H2564" t="n">
        <v>1.41e-73</v>
      </c>
      <c r="I2564" t="inlineStr">
        <is>
          <t>Nr</t>
        </is>
      </c>
      <c r="J2564" t="inlineStr"/>
      <c r="K2564" t="inlineStr"/>
      <c r="L2564" t="inlineStr">
        <is>
          <t>KAE8576050.1 hypothetical protein XENTR_v10004031 [Xenopus tropicalis]</t>
        </is>
      </c>
      <c r="M2564" t="n">
        <v>668</v>
      </c>
      <c r="N2564" t="inlineStr">
        <is>
          <t>Xenopus tropicalis</t>
        </is>
      </c>
      <c r="O2564" t="inlineStr">
        <is>
          <t>hypothetical protein XENTR_v10004031</t>
        </is>
      </c>
    </row>
    <row r="2565">
      <c r="A2565" t="inlineStr"/>
      <c r="B2565" t="inlineStr"/>
      <c r="C2565" t="inlineStr"/>
      <c r="D2565" t="inlineStr"/>
      <c r="E2565">
        <f>HYPERLINK("https://www.ncbi.nlm.nih.gov/gene/?term=XP_041427211.1", "XP_041427211.1")</f>
        <v/>
      </c>
      <c r="F2565" t="n">
        <v>55.4</v>
      </c>
      <c r="G2565" t="n">
        <v>224</v>
      </c>
      <c r="H2565" t="n">
        <v>3.41e-71</v>
      </c>
      <c r="I2565" t="inlineStr">
        <is>
          <t>Nr</t>
        </is>
      </c>
      <c r="J2565" t="inlineStr"/>
      <c r="K2565" t="inlineStr"/>
      <c r="L2565" t="inlineStr">
        <is>
          <t>XP_041427211.1 uncharacterized protein LOC121396402 [Xenopus laevis]</t>
        </is>
      </c>
      <c r="M2565" t="n">
        <v>949</v>
      </c>
      <c r="N2565" t="inlineStr">
        <is>
          <t>Xenopus laevis</t>
        </is>
      </c>
      <c r="O2565" t="inlineStr">
        <is>
          <t>uncharacterized protein LOC121396402</t>
        </is>
      </c>
    </row>
    <row r="2566">
      <c r="A2566" t="inlineStr">
        <is>
          <t>NODE_185360_length_851_cov_136.528061_g97973_i0</t>
        </is>
      </c>
      <c r="B2566" t="inlineStr">
        <is>
          <t>bombina_pachypus_blastx</t>
        </is>
      </c>
      <c r="C2566" t="n">
        <v>3.30160434233049</v>
      </c>
      <c r="D2566" t="n">
        <v>5.73029423882221e-05</v>
      </c>
      <c r="E2566">
        <f>HYPERLINK("https://www.uniprot.org/uniprotkb/P83057/entry", "P83057")</f>
        <v/>
      </c>
      <c r="F2566" t="n">
        <v>75.5</v>
      </c>
      <c r="G2566" t="n">
        <v>94</v>
      </c>
      <c r="H2566" t="n">
        <v>4.760000000000001e-43</v>
      </c>
      <c r="I2566" t="inlineStr">
        <is>
          <t>Swiss-Prot</t>
        </is>
      </c>
      <c r="J2566" t="inlineStr"/>
      <c r="K2566" t="inlineStr">
        <is>
          <t>BRK2_BOMVA</t>
        </is>
      </c>
      <c r="L2566" t="inlineStr">
        <is>
          <t>sp|P83057|BRK2_BOMVA Kininogen-2 OS=Bombina variegata OX=8348 PE=1 SV=2</t>
        </is>
      </c>
      <c r="M2566" t="n">
        <v>96</v>
      </c>
      <c r="N2566" t="inlineStr">
        <is>
          <t>Bombina variegata</t>
        </is>
      </c>
      <c r="O2566" t="inlineStr">
        <is>
          <t>Kininogen-2</t>
        </is>
      </c>
    </row>
    <row r="2567">
      <c r="A2567" t="inlineStr"/>
      <c r="B2567" t="inlineStr"/>
      <c r="C2567" t="inlineStr"/>
      <c r="D2567" t="inlineStr"/>
      <c r="E2567">
        <f>HYPERLINK("https://www.uniprot.org/uniprotkb/P83056/entry", "P83056")</f>
        <v/>
      </c>
      <c r="F2567" t="n">
        <v>75.3</v>
      </c>
      <c r="G2567" t="n">
        <v>97</v>
      </c>
      <c r="H2567" t="n">
        <v>2.31e-41</v>
      </c>
      <c r="I2567" t="inlineStr">
        <is>
          <t>Swiss-Prot</t>
        </is>
      </c>
      <c r="J2567" t="inlineStr"/>
      <c r="K2567" t="inlineStr">
        <is>
          <t>BRK1_BOMVA</t>
        </is>
      </c>
      <c r="L2567" t="inlineStr">
        <is>
          <t>sp|P83056|BRK1_BOMVA Kininogen-1 OS=Bombina variegata OX=8348 PE=1 SV=2</t>
        </is>
      </c>
      <c r="M2567" t="n">
        <v>97</v>
      </c>
      <c r="N2567" t="inlineStr">
        <is>
          <t>Bombina variegata</t>
        </is>
      </c>
      <c r="O2567" t="inlineStr">
        <is>
          <t>Kininogen-1</t>
        </is>
      </c>
    </row>
    <row r="2568">
      <c r="A2568" t="inlineStr"/>
      <c r="B2568" t="inlineStr"/>
      <c r="C2568" t="inlineStr"/>
      <c r="D2568" t="inlineStr"/>
      <c r="E2568">
        <f>HYPERLINK("https://www.ncbi.nlm.nih.gov/gene/?term=P83057.2", "P83057.2")</f>
        <v/>
      </c>
      <c r="F2568" t="n">
        <v>75.5</v>
      </c>
      <c r="G2568" t="n">
        <v>94</v>
      </c>
      <c r="H2568" t="n">
        <v>4.8e-40</v>
      </c>
      <c r="I2568" t="inlineStr">
        <is>
          <t>Nr</t>
        </is>
      </c>
      <c r="J2568" t="inlineStr"/>
      <c r="K2568" t="inlineStr"/>
      <c r="L2568" t="inlineStr">
        <is>
          <t>P83057.2 RecName: Full=Kininogen-2; AltName: Full=BVK-2; Contains: RecName: Full=[Val1,Thr3,Thr6]-bradykinin; Contains: RecName: Full=Kininogen-2-associated peptide; Flags: Precursor [Bombina variegata]</t>
        </is>
      </c>
      <c r="M2568" t="n">
        <v>96</v>
      </c>
      <c r="N2568" t="inlineStr">
        <is>
          <t>Bombina variegata</t>
        </is>
      </c>
      <c r="O2568" t="inlineStr">
        <is>
          <t>RecName: Full=Kininogen-2; AltName: Full=BVK-2; Contains: RecName: Full=[Val1,Thr3,Thr6]-bradykinin; Contains: RecName: Full=Kininogen-2-associated peptide; Flags: Precursor</t>
        </is>
      </c>
    </row>
    <row r="2569">
      <c r="A2569" t="inlineStr"/>
      <c r="B2569" t="inlineStr"/>
      <c r="C2569" t="inlineStr"/>
      <c r="D2569" t="inlineStr"/>
      <c r="E2569">
        <f>HYPERLINK("https://www.ncbi.nlm.nih.gov/gene/?term=P83056.2", "P83056.2")</f>
        <v/>
      </c>
      <c r="F2569" t="n">
        <v>75.3</v>
      </c>
      <c r="G2569" t="n">
        <v>97</v>
      </c>
      <c r="H2569" t="n">
        <v>2.33e-38</v>
      </c>
      <c r="I2569" t="inlineStr">
        <is>
          <t>Nr</t>
        </is>
      </c>
      <c r="J2569" t="inlineStr"/>
      <c r="K2569" t="inlineStr"/>
      <c r="L2569" t="inlineStr">
        <is>
          <t>P83056.2 RecName: Full=Kininogen-1; AltName: Full=BVK-1; Contains: RecName: Full=[Ala3,Thr6]-bradykinin; Contains: RecName: Full=Kininogen-1-associated peptide; Flags: Precursor [Bombina variegata]</t>
        </is>
      </c>
      <c r="M2569" t="n">
        <v>97</v>
      </c>
      <c r="N2569" t="inlineStr">
        <is>
          <t>Bombina variegata</t>
        </is>
      </c>
      <c r="O2569" t="inlineStr">
        <is>
          <t>RecName: Full=Kininogen-1; AltName: Full=BVK-1; Contains: RecName: Full=[Ala3,Thr6]-bradykinin; Contains: RecName: Full=Kininogen-1-associated peptide; Flags: Precursor</t>
        </is>
      </c>
    </row>
    <row r="2570">
      <c r="A2570" t="inlineStr"/>
      <c r="B2570" t="inlineStr"/>
      <c r="C2570" t="inlineStr"/>
      <c r="D2570" t="inlineStr"/>
      <c r="E2570">
        <f>HYPERLINK("https://www.uniprot.org/uniprotkb/P83060/entry", "P83060")</f>
        <v/>
      </c>
      <c r="F2570" t="n">
        <v>92.40000000000001</v>
      </c>
      <c r="G2570" t="n">
        <v>66</v>
      </c>
      <c r="H2570" t="n">
        <v>1.32e-35</v>
      </c>
      <c r="I2570" t="inlineStr">
        <is>
          <t>Swiss-Prot</t>
        </is>
      </c>
      <c r="J2570" t="inlineStr"/>
      <c r="K2570" t="inlineStr">
        <is>
          <t>BRK1_BOMOR</t>
        </is>
      </c>
      <c r="L2570" t="inlineStr">
        <is>
          <t>sp|P83060|BRK1_BOMOR Kininogen-1 OS=Bombina orientalis OX=8346 PE=1 SV=2</t>
        </is>
      </c>
      <c r="M2570" t="n">
        <v>167</v>
      </c>
      <c r="N2570" t="inlineStr">
        <is>
          <t>Bombina orientalis</t>
        </is>
      </c>
      <c r="O2570" t="inlineStr">
        <is>
          <t>Kininogen-1</t>
        </is>
      </c>
    </row>
    <row r="2571">
      <c r="A2571" t="inlineStr"/>
      <c r="B2571" t="inlineStr"/>
      <c r="C2571" t="inlineStr"/>
      <c r="D2571" t="inlineStr"/>
      <c r="E2571">
        <f>HYPERLINK("https://www.ncbi.nlm.nih.gov/gene/?term=P83060.2", "P83060.2")</f>
        <v/>
      </c>
      <c r="F2571" t="n">
        <v>92.40000000000001</v>
      </c>
      <c r="G2571" t="n">
        <v>66</v>
      </c>
      <c r="H2571" t="n">
        <v>1.34e-32</v>
      </c>
      <c r="I2571" t="inlineStr">
        <is>
          <t>Nr</t>
        </is>
      </c>
      <c r="J2571" t="inlineStr"/>
      <c r="K2571" t="inlineStr"/>
      <c r="L2571" t="inlineStr">
        <is>
          <t>P83060.2 RecName: Full=Kininogen-1; AltName: Full=BOK-1; Contains: RecName: Full=Bradykinin; Flags: Precursor [Bombina orientalis]</t>
        </is>
      </c>
      <c r="M2571" t="n">
        <v>167</v>
      </c>
      <c r="N2571" t="inlineStr">
        <is>
          <t>Bombina orientalis</t>
        </is>
      </c>
      <c r="O2571" t="inlineStr">
        <is>
          <t>RecName: Full=Kininogen-1; AltName: Full=BOK-1; Contains: RecName: Full=Bradykinin; Flags: Precursor</t>
        </is>
      </c>
    </row>
    <row r="2572">
      <c r="A2572" t="inlineStr"/>
      <c r="B2572" t="inlineStr"/>
      <c r="C2572" t="inlineStr"/>
      <c r="D2572" t="inlineStr"/>
      <c r="E2572">
        <f>HYPERLINK("https://www.uniprot.org/uniprotkb/Q90W88/entry", "Q90W88")</f>
        <v/>
      </c>
      <c r="F2572" t="n">
        <v>78.8</v>
      </c>
      <c r="G2572" t="n">
        <v>66</v>
      </c>
      <c r="H2572" t="n">
        <v>1.93e-29</v>
      </c>
      <c r="I2572" t="inlineStr">
        <is>
          <t>Swiss-Prot</t>
        </is>
      </c>
      <c r="J2572" t="inlineStr"/>
      <c r="K2572" t="inlineStr">
        <is>
          <t>BRK1C_BOMMX</t>
        </is>
      </c>
      <c r="L2572" t="inlineStr">
        <is>
          <t>sp|Q90W88|BRK1C_BOMMX Kininogen-1c OS=Bombina maxima OX=161274 PE=1 SV=2</t>
        </is>
      </c>
      <c r="M2572" t="n">
        <v>152</v>
      </c>
      <c r="N2572" t="inlineStr">
        <is>
          <t>Bombina maxima</t>
        </is>
      </c>
      <c r="O2572" t="inlineStr">
        <is>
          <t>Kininogen-1c</t>
        </is>
      </c>
    </row>
    <row r="2573">
      <c r="A2573" t="inlineStr"/>
      <c r="B2573" t="inlineStr"/>
      <c r="C2573" t="inlineStr"/>
      <c r="D2573" t="inlineStr"/>
      <c r="E2573">
        <f>HYPERLINK("https://www.uniprot.org/uniprotkb/Q90WZ1/entry", "Q90WZ1")</f>
        <v/>
      </c>
      <c r="F2573" t="n">
        <v>80.3</v>
      </c>
      <c r="G2573" t="n">
        <v>66</v>
      </c>
      <c r="H2573" t="n">
        <v>5.88e-29</v>
      </c>
      <c r="I2573" t="inlineStr">
        <is>
          <t>Swiss-Prot</t>
        </is>
      </c>
      <c r="J2573" t="inlineStr"/>
      <c r="K2573" t="inlineStr">
        <is>
          <t>BRK1B_BOMMX</t>
        </is>
      </c>
      <c r="L2573" t="inlineStr">
        <is>
          <t>sp|Q90WZ1|BRK1B_BOMMX Kininogen-1b OS=Bombina maxima OX=161274 PE=1 SV=1</t>
        </is>
      </c>
      <c r="M2573" t="n">
        <v>208</v>
      </c>
      <c r="N2573" t="inlineStr">
        <is>
          <t>Bombina maxima</t>
        </is>
      </c>
      <c r="O2573" t="inlineStr">
        <is>
          <t>Kininogen-1b</t>
        </is>
      </c>
    </row>
    <row r="2574">
      <c r="A2574" t="inlineStr"/>
      <c r="B2574" t="inlineStr"/>
      <c r="C2574" t="inlineStr"/>
      <c r="D2574" t="inlineStr"/>
      <c r="E2574">
        <f>HYPERLINK("https://www.uniprot.org/uniprotkb/P83059/entry", "P83059")</f>
        <v/>
      </c>
      <c r="F2574" t="n">
        <v>58.8</v>
      </c>
      <c r="G2574" t="n">
        <v>102</v>
      </c>
      <c r="H2574" t="n">
        <v>6.98e-29</v>
      </c>
      <c r="I2574" t="inlineStr">
        <is>
          <t>Swiss-Prot</t>
        </is>
      </c>
      <c r="J2574" t="inlineStr"/>
      <c r="K2574" t="inlineStr">
        <is>
          <t>BRK2_BOMOR</t>
        </is>
      </c>
      <c r="L2574" t="inlineStr">
        <is>
          <t>sp|P83059|BRK2_BOMOR Kininogen-2 OS=Bombina orientalis OX=8346 PE=1 SV=2</t>
        </is>
      </c>
      <c r="M2574" t="n">
        <v>161</v>
      </c>
      <c r="N2574" t="inlineStr">
        <is>
          <t>Bombina orientalis</t>
        </is>
      </c>
      <c r="O2574" t="inlineStr">
        <is>
          <t>Kininogen-2</t>
        </is>
      </c>
    </row>
    <row r="2575">
      <c r="A2575" t="inlineStr"/>
      <c r="B2575" t="inlineStr"/>
      <c r="C2575" t="inlineStr"/>
      <c r="D2575" t="inlineStr"/>
      <c r="E2575">
        <f>HYPERLINK("https://www.uniprot.org/uniprotkb/Q7T3L1/entry", "Q7T3L1")</f>
        <v/>
      </c>
      <c r="F2575" t="n">
        <v>80.3</v>
      </c>
      <c r="G2575" t="n">
        <v>66</v>
      </c>
      <c r="H2575" t="n">
        <v>3.78e-28</v>
      </c>
      <c r="I2575" t="inlineStr">
        <is>
          <t>Swiss-Prot</t>
        </is>
      </c>
      <c r="J2575" t="inlineStr"/>
      <c r="K2575" t="inlineStr">
        <is>
          <t>BRK1A_BOMMX</t>
        </is>
      </c>
      <c r="L2575" t="inlineStr">
        <is>
          <t>sp|Q7T3L1|BRK1A_BOMMX Kininogen-1a OS=Bombina maxima OX=161274 PE=1 SV=1</t>
        </is>
      </c>
      <c r="M2575" t="n">
        <v>294</v>
      </c>
      <c r="N2575" t="inlineStr">
        <is>
          <t>Bombina maxima</t>
        </is>
      </c>
      <c r="O2575" t="inlineStr">
        <is>
          <t>Kininogen-1a</t>
        </is>
      </c>
    </row>
    <row r="2576">
      <c r="A2576" t="inlineStr"/>
      <c r="B2576" t="inlineStr"/>
      <c r="C2576" t="inlineStr"/>
      <c r="D2576" t="inlineStr"/>
      <c r="E2576">
        <f>HYPERLINK("https://www.ncbi.nlm.nih.gov/gene/?term=Q90W88.2", "Q90W88.2")</f>
        <v/>
      </c>
      <c r="F2576" t="n">
        <v>78.8</v>
      </c>
      <c r="G2576" t="n">
        <v>66</v>
      </c>
      <c r="H2576" t="n">
        <v>1.94e-26</v>
      </c>
      <c r="I2576" t="inlineStr">
        <is>
          <t>Nr</t>
        </is>
      </c>
      <c r="J2576" t="inlineStr"/>
      <c r="K2576" t="inlineStr"/>
      <c r="L2576" t="inlineStr">
        <is>
          <t>Q90W88.2 RecName: Full=Kininogen-1c; AltName: Full=BMK-1; Contains: RecName: Full=Maximakinin; AltName: Full=Bombinakinin M; Contains: RecName: Full=Bradykinin; Flags: Precursor [Bombina maxima]</t>
        </is>
      </c>
      <c r="M2576" t="n">
        <v>152</v>
      </c>
      <c r="N2576" t="inlineStr">
        <is>
          <t>Bombina maxima</t>
        </is>
      </c>
      <c r="O2576" t="inlineStr">
        <is>
          <t>RecName: Full=Kininogen-1c; AltName: Full=BMK-1; Contains: RecName: Full=Maximakinin; AltName: Full=Bombinakinin M; Contains: RecName: Full=Bradykinin; Flags: Precursor</t>
        </is>
      </c>
    </row>
    <row r="2577">
      <c r="A2577" t="inlineStr"/>
      <c r="B2577" t="inlineStr"/>
      <c r="C2577" t="inlineStr"/>
      <c r="D2577" t="inlineStr"/>
      <c r="E2577">
        <f>HYPERLINK("https://www.ncbi.nlm.nih.gov/gene/?term=Q90WZ1.1", "Q90WZ1.1")</f>
        <v/>
      </c>
      <c r="F2577" t="n">
        <v>80.3</v>
      </c>
      <c r="G2577" t="n">
        <v>66</v>
      </c>
      <c r="H2577" t="n">
        <v>5.94e-26</v>
      </c>
      <c r="I2577" t="inlineStr">
        <is>
          <t>Nr</t>
        </is>
      </c>
      <c r="J2577" t="inlineStr"/>
      <c r="K2577" t="inlineStr"/>
      <c r="L2577" t="inlineStr">
        <is>
          <t>Q90WZ1.1 RecName: Full=Kininogen-1b; Contains: RecName: Full=Maximakinin; AltName: Full=Bombinakinin M; Contains: RecName: Full=Bradykinin; Flags: Precursor [Bombina maxima]</t>
        </is>
      </c>
      <c r="M2577" t="n">
        <v>208</v>
      </c>
      <c r="N2577" t="inlineStr">
        <is>
          <t>Bombina maxima</t>
        </is>
      </c>
      <c r="O2577" t="inlineStr">
        <is>
          <t>RecName: Full=Kininogen-1b; Contains: RecName: Full=Maximakinin; AltName: Full=Bombinakinin M; Contains: RecName: Full=Bradykinin; Flags: Precursor</t>
        </is>
      </c>
    </row>
    <row r="2578">
      <c r="A2578" t="inlineStr"/>
      <c r="B2578" t="inlineStr"/>
      <c r="C2578" t="inlineStr"/>
      <c r="D2578" t="inlineStr"/>
      <c r="E2578">
        <f>HYPERLINK("https://www.ncbi.nlm.nih.gov/gene/?term=P83059.2", "P83059.2")</f>
        <v/>
      </c>
      <c r="F2578" t="n">
        <v>58.8</v>
      </c>
      <c r="G2578" t="n">
        <v>102</v>
      </c>
      <c r="H2578" t="n">
        <v>7.050000000000001e-26</v>
      </c>
      <c r="I2578" t="inlineStr">
        <is>
          <t>Nr</t>
        </is>
      </c>
      <c r="J2578" t="inlineStr"/>
      <c r="K2578" t="inlineStr"/>
      <c r="L2578" t="inlineStr">
        <is>
          <t>P83059.2 RecName: Full=Kininogen-2; AltName: Full=BOK-2; Contains: RecName: Full=[Thr6]-bradykinin; Contains: RecName: Full=Bradykinin inhibitor peptide DV-28; Short=DV-28 amide; Flags: Precursor [Bombina orientalis]</t>
        </is>
      </c>
      <c r="M2578" t="n">
        <v>161</v>
      </c>
      <c r="N2578" t="inlineStr">
        <is>
          <t>Bombina orientalis</t>
        </is>
      </c>
      <c r="O2578" t="inlineStr">
        <is>
          <t>RecName: Full=Kininogen-2; AltName: Full=BOK-2; Contains: RecName: Full=[Thr6]-bradykinin; Contains: RecName: Full=Bradykinin inhibitor peptide DV-28; Short=DV-28 amide; Flags: Precursor</t>
        </is>
      </c>
    </row>
    <row r="2579">
      <c r="A2579" t="inlineStr"/>
      <c r="B2579" t="inlineStr"/>
      <c r="C2579" t="inlineStr"/>
      <c r="D2579" t="inlineStr"/>
      <c r="E2579">
        <f>HYPERLINK("https://www.uniprot.org/uniprotkb/P83055/entry", "P83055")</f>
        <v/>
      </c>
      <c r="F2579" t="n">
        <v>53.8</v>
      </c>
      <c r="G2579" t="n">
        <v>104</v>
      </c>
      <c r="H2579" t="n">
        <v>2.28e-25</v>
      </c>
      <c r="I2579" t="inlineStr">
        <is>
          <t>Swiss-Prot</t>
        </is>
      </c>
      <c r="J2579" t="inlineStr"/>
      <c r="K2579" t="inlineStr">
        <is>
          <t>BRK2_BOMMX</t>
        </is>
      </c>
      <c r="L2579" t="inlineStr">
        <is>
          <t>sp|P83055|BRK2_BOMMX Kininogen-2 OS=Bombina maxima OX=161274 PE=1 SV=2</t>
        </is>
      </c>
      <c r="M2579" t="n">
        <v>114</v>
      </c>
      <c r="N2579" t="inlineStr">
        <is>
          <t>Bombina maxima</t>
        </is>
      </c>
      <c r="O2579" t="inlineStr">
        <is>
          <t>Kininogen-2</t>
        </is>
      </c>
    </row>
    <row r="2580">
      <c r="A2580" t="inlineStr"/>
      <c r="B2580" t="inlineStr"/>
      <c r="C2580" t="inlineStr"/>
      <c r="D2580" t="inlineStr"/>
      <c r="E2580">
        <f>HYPERLINK("https://www.ncbi.nlm.nih.gov/gene/?term=Q7T3L1.1", "Q7T3L1.1")</f>
        <v/>
      </c>
      <c r="F2580" t="n">
        <v>80.3</v>
      </c>
      <c r="G2580" t="n">
        <v>66</v>
      </c>
      <c r="H2580" t="n">
        <v>3.81e-25</v>
      </c>
      <c r="I2580" t="inlineStr">
        <is>
          <t>Nr</t>
        </is>
      </c>
      <c r="J2580" t="inlineStr"/>
      <c r="K2580" t="inlineStr"/>
      <c r="L2580" t="inlineStr">
        <is>
          <t>Q7T3L1.1 RecName: Full=Kininogen-1a; Contains: RecName: Full=Maximakinin; AltName: Full=Bombinakinin M; Contains: RecName: Full=Bradykinin; Contains: RecName: Full=Bombinakinin-GAP; AltName: Full=Bombinakinin M gene-associated protein; Flags: Precursor [Bombina maxima]</t>
        </is>
      </c>
      <c r="M2580" t="n">
        <v>294</v>
      </c>
      <c r="N2580" t="inlineStr">
        <is>
          <t>Bombina maxima</t>
        </is>
      </c>
      <c r="O2580" t="inlineStr">
        <is>
          <t>RecName: Full=Kininogen-1a; Contains: RecName: Full=Maximakinin; AltName: Full=Bombinakinin M; Contains: RecName: Full=Bradykinin; Contains: RecName: Full=Bombinakinin-GAP; AltName: Full=Bombinakinin M gene-associated protein; Flags: Precursor</t>
        </is>
      </c>
    </row>
    <row r="2581">
      <c r="A2581" t="inlineStr"/>
      <c r="B2581" t="inlineStr"/>
      <c r="C2581" t="inlineStr"/>
      <c r="D2581" t="inlineStr"/>
      <c r="E2581">
        <f>HYPERLINK("https://www.ncbi.nlm.nih.gov/gene/?term=P83055.2", "P83055.2")</f>
        <v/>
      </c>
      <c r="F2581" t="n">
        <v>53.8</v>
      </c>
      <c r="G2581" t="n">
        <v>104</v>
      </c>
      <c r="H2581" t="n">
        <v>2.3e-22</v>
      </c>
      <c r="I2581" t="inlineStr">
        <is>
          <t>Nr</t>
        </is>
      </c>
      <c r="J2581" t="inlineStr"/>
      <c r="K2581" t="inlineStr"/>
      <c r="L2581" t="inlineStr">
        <is>
          <t>P83055.2 RecName: Full=Kininogen-2; AltName: Full=BMK-2; Contains: RecName: Full=Maximakinin; Contains: RecName: Full=Bradykinin; Contains: RecName: Full=Maximakinin-associated peptide; Flags: Precursor [Bombina maxima]</t>
        </is>
      </c>
      <c r="M2581" t="n">
        <v>114</v>
      </c>
      <c r="N2581" t="inlineStr">
        <is>
          <t>Bombina maxima</t>
        </is>
      </c>
      <c r="O2581" t="inlineStr">
        <is>
          <t>RecName: Full=Kininogen-2; AltName: Full=BMK-2; Contains: RecName: Full=Maximakinin; Contains: RecName: Full=Bradykinin; Contains: RecName: Full=Maximakinin-associated peptide; Flags: Precursor</t>
        </is>
      </c>
    </row>
    <row r="2582">
      <c r="A2582" t="inlineStr"/>
      <c r="B2582" t="inlineStr"/>
      <c r="C2582" t="inlineStr"/>
      <c r="D2582" t="inlineStr"/>
      <c r="E2582">
        <f>HYPERLINK("https://www.uniprot.org/uniprotkb/Q5GC95/entry", "Q5GC95")</f>
        <v/>
      </c>
      <c r="F2582" t="n">
        <v>44.5</v>
      </c>
      <c r="G2582" t="n">
        <v>119</v>
      </c>
      <c r="H2582" t="n">
        <v>9.740000000000001e-18</v>
      </c>
      <c r="I2582" t="inlineStr">
        <is>
          <t>TrEMBL</t>
        </is>
      </c>
      <c r="J2582" t="inlineStr"/>
      <c r="K2582" t="inlineStr">
        <is>
          <t>Q5GC95_BOMMX</t>
        </is>
      </c>
      <c r="L2582" t="inlineStr">
        <is>
          <t>tr|Q5GC95|Q5GC95_BOMMX Bombinakinin M variant OS=Bombina maxima OX=161274 PE=2 SV=1</t>
        </is>
      </c>
      <c r="M2582" t="n">
        <v>160</v>
      </c>
      <c r="N2582" t="inlineStr">
        <is>
          <t>Bombina maxima</t>
        </is>
      </c>
      <c r="O2582" t="inlineStr">
        <is>
          <t>Bombinakinin M variant</t>
        </is>
      </c>
    </row>
    <row r="2583">
      <c r="A2583" t="inlineStr"/>
      <c r="B2583" t="inlineStr"/>
      <c r="C2583" t="inlineStr"/>
      <c r="D2583" t="inlineStr"/>
      <c r="E2583">
        <f>HYPERLINK("https://www.ncbi.nlm.nih.gov/gene/?term=AAV74392.1", "AAV74392.1")</f>
        <v/>
      </c>
      <c r="F2583" t="n">
        <v>44.5</v>
      </c>
      <c r="G2583" t="n">
        <v>119</v>
      </c>
      <c r="H2583" t="n">
        <v>2.5e-17</v>
      </c>
      <c r="I2583" t="inlineStr">
        <is>
          <t>Nr</t>
        </is>
      </c>
      <c r="J2583" t="inlineStr"/>
      <c r="K2583" t="inlineStr"/>
      <c r="L2583" t="inlineStr">
        <is>
          <t>AAV74392.1 bombinakinin M variant precursor [Bombina maxima]</t>
        </is>
      </c>
      <c r="M2583" t="n">
        <v>160</v>
      </c>
      <c r="N2583" t="inlineStr">
        <is>
          <t>Bombina maxima</t>
        </is>
      </c>
      <c r="O2583" t="inlineStr">
        <is>
          <t>bombinakinin M variant precursor</t>
        </is>
      </c>
    </row>
    <row r="2584">
      <c r="A2584" t="inlineStr"/>
      <c r="B2584" t="inlineStr"/>
      <c r="C2584" t="inlineStr"/>
      <c r="D2584" t="inlineStr"/>
      <c r="E2584">
        <f>HYPERLINK("https://www.uniprot.org/uniprotkb/Q5GC96/entry", "Q5GC96")</f>
        <v/>
      </c>
      <c r="F2584" t="n">
        <v>42.6</v>
      </c>
      <c r="G2584" t="n">
        <v>122</v>
      </c>
      <c r="H2584" t="n">
        <v>8.63e-16</v>
      </c>
      <c r="I2584" t="inlineStr">
        <is>
          <t>TrEMBL</t>
        </is>
      </c>
      <c r="J2584" t="inlineStr"/>
      <c r="K2584" t="inlineStr">
        <is>
          <t>Q5GC96_BOMMX</t>
        </is>
      </c>
      <c r="L2584" t="inlineStr">
        <is>
          <t>tr|Q5GC96|Q5GC96_BOMMX Bombinakinin M variant OS=Bombina maxima OX=161274 PE=2 SV=1</t>
        </is>
      </c>
      <c r="M2584" t="n">
        <v>132</v>
      </c>
      <c r="N2584" t="inlineStr">
        <is>
          <t>Bombina maxima</t>
        </is>
      </c>
      <c r="O2584" t="inlineStr">
        <is>
          <t>Bombinakinin M variant</t>
        </is>
      </c>
    </row>
    <row r="2585">
      <c r="A2585" t="inlineStr"/>
      <c r="B2585" t="inlineStr"/>
      <c r="C2585" t="inlineStr"/>
      <c r="D2585" t="inlineStr"/>
      <c r="E2585">
        <f>HYPERLINK("https://www.ncbi.nlm.nih.gov/gene/?term=AAV74391.1", "AAV74391.1")</f>
        <v/>
      </c>
      <c r="F2585" t="n">
        <v>42.6</v>
      </c>
      <c r="G2585" t="n">
        <v>122</v>
      </c>
      <c r="H2585" t="n">
        <v>2.22e-15</v>
      </c>
      <c r="I2585" t="inlineStr">
        <is>
          <t>Nr</t>
        </is>
      </c>
      <c r="J2585" t="inlineStr"/>
      <c r="K2585" t="inlineStr"/>
      <c r="L2585" t="inlineStr">
        <is>
          <t>AAV74391.1 bombinakinin M variant precursor [Bombina maxima]</t>
        </is>
      </c>
      <c r="M2585" t="n">
        <v>132</v>
      </c>
      <c r="N2585" t="inlineStr">
        <is>
          <t>Bombina maxima</t>
        </is>
      </c>
      <c r="O2585" t="inlineStr">
        <is>
          <t>bombinakinin M variant precursor</t>
        </is>
      </c>
    </row>
    <row r="2586">
      <c r="A2586" t="inlineStr">
        <is>
          <t>NODE_191828_length_819_cov_125.304521_g103460_i0</t>
        </is>
      </c>
      <c r="B2586" t="inlineStr">
        <is>
          <t>bombina_pachypus_blastx</t>
        </is>
      </c>
      <c r="C2586" t="n">
        <v>6.63520589798604</v>
      </c>
      <c r="D2586" t="n">
        <v>0.0059845074241716</v>
      </c>
      <c r="E2586">
        <f>HYPERLINK("https://www.ncbi.nlm.nih.gov/gene/?term=OCT55666.1", "OCT55666.1")</f>
        <v/>
      </c>
      <c r="F2586" t="n">
        <v>65.5</v>
      </c>
      <c r="G2586" t="n">
        <v>84</v>
      </c>
      <c r="H2586" t="n">
        <v>1.76e-33</v>
      </c>
      <c r="I2586" t="inlineStr">
        <is>
          <t>Nr</t>
        </is>
      </c>
      <c r="J2586" t="inlineStr"/>
      <c r="K2586" t="inlineStr"/>
      <c r="L2586" t="inlineStr">
        <is>
          <t>OCT55666.1 hypothetical protein XELAEV_18000201mg [Xenopus laevis]</t>
        </is>
      </c>
      <c r="M2586" t="n">
        <v>190</v>
      </c>
      <c r="N2586" t="inlineStr">
        <is>
          <t>Xenopus laevis</t>
        </is>
      </c>
      <c r="O2586" t="inlineStr">
        <is>
          <t>hypothetical protein XELAEV_18000201mg</t>
        </is>
      </c>
    </row>
    <row r="2587">
      <c r="A2587" t="inlineStr"/>
      <c r="B2587" t="inlineStr"/>
      <c r="C2587" t="inlineStr"/>
      <c r="D2587" t="inlineStr"/>
      <c r="E2587">
        <f>HYPERLINK("https://www.ncbi.nlm.nih.gov/gene/?term=OCT55785.1", "OCT55785.1")</f>
        <v/>
      </c>
      <c r="F2587" t="n">
        <v>64.3</v>
      </c>
      <c r="G2587" t="n">
        <v>84</v>
      </c>
      <c r="H2587" t="n">
        <v>3.62e-33</v>
      </c>
      <c r="I2587" t="inlineStr">
        <is>
          <t>Nr</t>
        </is>
      </c>
      <c r="J2587" t="inlineStr"/>
      <c r="K2587" t="inlineStr"/>
      <c r="L2587" t="inlineStr">
        <is>
          <t>OCT55785.1 hypothetical protein XELAEV_18003946mg [Xenopus laevis]</t>
        </is>
      </c>
      <c r="M2587" t="n">
        <v>95</v>
      </c>
      <c r="N2587" t="inlineStr">
        <is>
          <t>Xenopus laevis</t>
        </is>
      </c>
      <c r="O2587" t="inlineStr">
        <is>
          <t>hypothetical protein XELAEV_18003946mg</t>
        </is>
      </c>
    </row>
    <row r="2588">
      <c r="A2588" t="inlineStr"/>
      <c r="B2588" t="inlineStr"/>
      <c r="C2588" t="inlineStr"/>
      <c r="D2588" t="inlineStr"/>
      <c r="E2588">
        <f>HYPERLINK("https://www.ncbi.nlm.nih.gov/gene/?term=OCT55656.1", "OCT55656.1")</f>
        <v/>
      </c>
      <c r="F2588" t="n">
        <v>64.3</v>
      </c>
      <c r="G2588" t="n">
        <v>84</v>
      </c>
      <c r="H2588" t="n">
        <v>3.19e-32</v>
      </c>
      <c r="I2588" t="inlineStr">
        <is>
          <t>Nr</t>
        </is>
      </c>
      <c r="J2588" t="inlineStr"/>
      <c r="K2588" t="inlineStr"/>
      <c r="L2588" t="inlineStr">
        <is>
          <t>OCT55656.1 hypothetical protein XELAEV_18000259mg [Xenopus laevis]</t>
        </is>
      </c>
      <c r="M2588" t="n">
        <v>145</v>
      </c>
      <c r="N2588" t="inlineStr">
        <is>
          <t>Xenopus laevis</t>
        </is>
      </c>
      <c r="O2588" t="inlineStr">
        <is>
          <t>hypothetical protein XELAEV_18000259mg</t>
        </is>
      </c>
    </row>
    <row r="2589">
      <c r="A2589" t="inlineStr"/>
      <c r="B2589" t="inlineStr"/>
      <c r="C2589" t="inlineStr"/>
      <c r="D2589" t="inlineStr"/>
      <c r="E2589">
        <f>HYPERLINK("https://www.ncbi.nlm.nih.gov/gene/?term=OCT58485.1", "OCT58485.1")</f>
        <v/>
      </c>
      <c r="F2589" t="n">
        <v>60.7</v>
      </c>
      <c r="G2589" t="n">
        <v>84</v>
      </c>
      <c r="H2589" t="n">
        <v>4.08e-32</v>
      </c>
      <c r="I2589" t="inlineStr">
        <is>
          <t>Nr</t>
        </is>
      </c>
      <c r="J2589" t="inlineStr"/>
      <c r="K2589" t="inlineStr"/>
      <c r="L2589" t="inlineStr">
        <is>
          <t>OCT58485.1 hypothetical protein XELAEV_18002044mg [Xenopus laevis]</t>
        </is>
      </c>
      <c r="M2589" t="n">
        <v>106</v>
      </c>
      <c r="N2589" t="inlineStr">
        <is>
          <t>Xenopus laevis</t>
        </is>
      </c>
      <c r="O2589" t="inlineStr">
        <is>
          <t>hypothetical protein XELAEV_18002044mg</t>
        </is>
      </c>
    </row>
    <row r="2590">
      <c r="A2590" t="inlineStr"/>
      <c r="B2590" t="inlineStr"/>
      <c r="C2590" t="inlineStr"/>
      <c r="D2590" t="inlineStr"/>
      <c r="E2590">
        <f>HYPERLINK("https://www.ncbi.nlm.nih.gov/gene/?term=OCT92402.1", "OCT92402.1")</f>
        <v/>
      </c>
      <c r="F2590" t="n">
        <v>59.5</v>
      </c>
      <c r="G2590" t="n">
        <v>84</v>
      </c>
      <c r="H2590" t="n">
        <v>2.02e-31</v>
      </c>
      <c r="I2590" t="inlineStr">
        <is>
          <t>Nr</t>
        </is>
      </c>
      <c r="J2590" t="inlineStr"/>
      <c r="K2590" t="inlineStr"/>
      <c r="L2590" t="inlineStr">
        <is>
          <t>OCT92402.1 hypothetical protein XELAEV_18015461mg, partial [Xenopus laevis]</t>
        </is>
      </c>
      <c r="M2590" t="n">
        <v>89</v>
      </c>
      <c r="N2590" t="inlineStr">
        <is>
          <t>Xenopus laevis</t>
        </is>
      </c>
      <c r="O2590" t="inlineStr">
        <is>
          <t>hypothetical protein XELAEV_18015461mg, partial</t>
        </is>
      </c>
    </row>
    <row r="2591">
      <c r="A2591" t="inlineStr"/>
      <c r="B2591" t="inlineStr"/>
      <c r="C2591" t="inlineStr"/>
      <c r="D2591" t="inlineStr"/>
      <c r="E2591">
        <f>HYPERLINK("https://www.ncbi.nlm.nih.gov/gene/?term=OCT55617.1", "OCT55617.1")</f>
        <v/>
      </c>
      <c r="F2591" t="n">
        <v>62.4</v>
      </c>
      <c r="G2591" t="n">
        <v>85</v>
      </c>
      <c r="H2591" t="n">
        <v>3.72e-31</v>
      </c>
      <c r="I2591" t="inlineStr">
        <is>
          <t>Nr</t>
        </is>
      </c>
      <c r="J2591" t="inlineStr"/>
      <c r="K2591" t="inlineStr"/>
      <c r="L2591" t="inlineStr">
        <is>
          <t>OCT55617.1 hypothetical protein XELAEV_18000404mg, partial [Xenopus laevis]</t>
        </is>
      </c>
      <c r="M2591" t="n">
        <v>170</v>
      </c>
      <c r="N2591" t="inlineStr">
        <is>
          <t>Xenopus laevis</t>
        </is>
      </c>
      <c r="O2591" t="inlineStr">
        <is>
          <t>hypothetical protein XELAEV_18000404mg, partial</t>
        </is>
      </c>
    </row>
    <row r="2592">
      <c r="A2592" t="inlineStr"/>
      <c r="B2592" t="inlineStr"/>
      <c r="C2592" t="inlineStr"/>
      <c r="D2592" t="inlineStr"/>
      <c r="E2592">
        <f>HYPERLINK("https://www.ncbi.nlm.nih.gov/gene/?term=OCT87604.1", "OCT87604.1")</f>
        <v/>
      </c>
      <c r="F2592" t="n">
        <v>61.9</v>
      </c>
      <c r="G2592" t="n">
        <v>84</v>
      </c>
      <c r="H2592" t="n">
        <v>8.560000000000001e-31</v>
      </c>
      <c r="I2592" t="inlineStr">
        <is>
          <t>Nr</t>
        </is>
      </c>
      <c r="J2592" t="inlineStr"/>
      <c r="K2592" t="inlineStr"/>
      <c r="L2592" t="inlineStr">
        <is>
          <t>OCT87604.1 hypothetical protein XELAEV_18021301mg, partial [Xenopus laevis]</t>
        </is>
      </c>
      <c r="M2592" t="n">
        <v>175</v>
      </c>
      <c r="N2592" t="inlineStr">
        <is>
          <t>Xenopus laevis</t>
        </is>
      </c>
      <c r="O2592" t="inlineStr">
        <is>
          <t>hypothetical protein XELAEV_18021301mg, partial</t>
        </is>
      </c>
    </row>
    <row r="2593">
      <c r="A2593" t="inlineStr"/>
      <c r="B2593" t="inlineStr"/>
      <c r="C2593" t="inlineStr"/>
      <c r="D2593" t="inlineStr"/>
      <c r="E2593">
        <f>HYPERLINK("https://www.ncbi.nlm.nih.gov/gene/?term=OCT68210.1", "OCT68210.1")</f>
        <v/>
      </c>
      <c r="F2593" t="n">
        <v>59.5</v>
      </c>
      <c r="G2593" t="n">
        <v>84</v>
      </c>
      <c r="H2593" t="n">
        <v>8.97e-31</v>
      </c>
      <c r="I2593" t="inlineStr">
        <is>
          <t>Nr</t>
        </is>
      </c>
      <c r="J2593" t="inlineStr"/>
      <c r="K2593" t="inlineStr"/>
      <c r="L2593" t="inlineStr">
        <is>
          <t>OCT68210.1 hypothetical protein XELAEV_18039507mg [Xenopus laevis]</t>
        </is>
      </c>
      <c r="M2593" t="n">
        <v>116</v>
      </c>
      <c r="N2593" t="inlineStr">
        <is>
          <t>Xenopus laevis</t>
        </is>
      </c>
      <c r="O2593" t="inlineStr">
        <is>
          <t>hypothetical protein XELAEV_18039507mg</t>
        </is>
      </c>
    </row>
    <row r="2594">
      <c r="A2594" t="inlineStr"/>
      <c r="B2594" t="inlineStr"/>
      <c r="C2594" t="inlineStr"/>
      <c r="D2594" t="inlineStr"/>
      <c r="E2594">
        <f>HYPERLINK("https://www.ncbi.nlm.nih.gov/gene/?term=OCT70260.1", "OCT70260.1")</f>
        <v/>
      </c>
      <c r="F2594" t="n">
        <v>64.3</v>
      </c>
      <c r="G2594" t="n">
        <v>84</v>
      </c>
      <c r="H2594" t="n">
        <v>2.31e-30</v>
      </c>
      <c r="I2594" t="inlineStr">
        <is>
          <t>Nr</t>
        </is>
      </c>
      <c r="J2594" t="inlineStr"/>
      <c r="K2594" t="inlineStr"/>
      <c r="L2594" t="inlineStr">
        <is>
          <t>OCT70260.1 hypothetical protein XELAEV_18037182mg [Xenopus laevis]</t>
        </is>
      </c>
      <c r="M2594" t="n">
        <v>254</v>
      </c>
      <c r="N2594" t="inlineStr">
        <is>
          <t>Xenopus laevis</t>
        </is>
      </c>
      <c r="O2594" t="inlineStr">
        <is>
          <t>hypothetical protein XELAEV_18037182mg</t>
        </is>
      </c>
    </row>
    <row r="2595">
      <c r="A2595" t="inlineStr"/>
      <c r="B2595" t="inlineStr"/>
      <c r="C2595" t="inlineStr"/>
      <c r="D2595" t="inlineStr"/>
      <c r="E2595">
        <f>HYPERLINK("https://www.ncbi.nlm.nih.gov/gene/?term=OCT93705.1", "OCT93705.1")</f>
        <v/>
      </c>
      <c r="F2595" t="n">
        <v>60.7</v>
      </c>
      <c r="G2595" t="n">
        <v>84</v>
      </c>
      <c r="H2595" t="n">
        <v>6.87e-30</v>
      </c>
      <c r="I2595" t="inlineStr">
        <is>
          <t>Nr</t>
        </is>
      </c>
      <c r="J2595" t="inlineStr"/>
      <c r="K2595" t="inlineStr"/>
      <c r="L2595" t="inlineStr">
        <is>
          <t>OCT93705.1 hypothetical protein XELAEV_18011381mg, partial [Xenopus laevis]</t>
        </is>
      </c>
      <c r="M2595" t="n">
        <v>114</v>
      </c>
      <c r="N2595" t="inlineStr">
        <is>
          <t>Xenopus laevis</t>
        </is>
      </c>
      <c r="O2595" t="inlineStr">
        <is>
          <t>hypothetical protein XELAEV_18011381mg, partial</t>
        </is>
      </c>
    </row>
    <row r="2596">
      <c r="A2596" t="inlineStr"/>
      <c r="B2596" t="inlineStr"/>
      <c r="C2596" t="inlineStr"/>
      <c r="D2596" t="inlineStr"/>
      <c r="E2596">
        <f>HYPERLINK("https://www.ncbi.nlm.nih.gov/gene/?term=OCU00267.1", "OCU00267.1")</f>
        <v/>
      </c>
      <c r="F2596" t="n">
        <v>59.5</v>
      </c>
      <c r="G2596" t="n">
        <v>84</v>
      </c>
      <c r="H2596" t="n">
        <v>1.19e-29</v>
      </c>
      <c r="I2596" t="inlineStr">
        <is>
          <t>Nr</t>
        </is>
      </c>
      <c r="J2596" t="inlineStr"/>
      <c r="K2596" t="inlineStr"/>
      <c r="L2596" t="inlineStr">
        <is>
          <t>OCU00267.1 hypothetical protein XELAEV_18006038mg [Xenopus laevis]</t>
        </is>
      </c>
      <c r="M2596" t="n">
        <v>145</v>
      </c>
      <c r="N2596" t="inlineStr">
        <is>
          <t>Xenopus laevis</t>
        </is>
      </c>
      <c r="O2596" t="inlineStr">
        <is>
          <t>hypothetical protein XELAEV_18006038mg</t>
        </is>
      </c>
    </row>
    <row r="2597">
      <c r="A2597" t="inlineStr"/>
      <c r="B2597" t="inlineStr"/>
      <c r="C2597" t="inlineStr"/>
      <c r="D2597" t="inlineStr"/>
      <c r="E2597">
        <f>HYPERLINK("https://www.ncbi.nlm.nih.gov/gene/?term=OCT59747.1", "OCT59747.1")</f>
        <v/>
      </c>
      <c r="F2597" t="n">
        <v>59.5</v>
      </c>
      <c r="G2597" t="n">
        <v>84</v>
      </c>
      <c r="H2597" t="n">
        <v>2.18e-29</v>
      </c>
      <c r="I2597" t="inlineStr">
        <is>
          <t>Nr</t>
        </is>
      </c>
      <c r="J2597" t="inlineStr"/>
      <c r="K2597" t="inlineStr"/>
      <c r="L2597" t="inlineStr">
        <is>
          <t>OCT59747.1 hypothetical protein XELAEV_18000617mg, partial [Xenopus laevis]</t>
        </is>
      </c>
      <c r="M2597" t="n">
        <v>154</v>
      </c>
      <c r="N2597" t="inlineStr">
        <is>
          <t>Xenopus laevis</t>
        </is>
      </c>
      <c r="O2597" t="inlineStr">
        <is>
          <t>hypothetical protein XELAEV_18000617mg, partial</t>
        </is>
      </c>
    </row>
    <row r="2598">
      <c r="A2598" t="inlineStr"/>
      <c r="B2598" t="inlineStr"/>
      <c r="C2598" t="inlineStr"/>
      <c r="D2598" t="inlineStr"/>
      <c r="E2598">
        <f>HYPERLINK("https://www.ncbi.nlm.nih.gov/gene/?term=OCU02079.1", "OCU02079.1")</f>
        <v/>
      </c>
      <c r="F2598" t="n">
        <v>61.9</v>
      </c>
      <c r="G2598" t="n">
        <v>84</v>
      </c>
      <c r="H2598" t="n">
        <v>2.47e-29</v>
      </c>
      <c r="I2598" t="inlineStr">
        <is>
          <t>Nr</t>
        </is>
      </c>
      <c r="J2598" t="inlineStr"/>
      <c r="K2598" t="inlineStr"/>
      <c r="L2598" t="inlineStr">
        <is>
          <t>OCU02079.1 hypothetical protein XELAEV_18007838mg [Xenopus laevis]</t>
        </is>
      </c>
      <c r="M2598" t="n">
        <v>86</v>
      </c>
      <c r="N2598" t="inlineStr">
        <is>
          <t>Xenopus laevis</t>
        </is>
      </c>
      <c r="O2598" t="inlineStr">
        <is>
          <t>hypothetical protein XELAEV_18007838mg</t>
        </is>
      </c>
    </row>
    <row r="2599">
      <c r="A2599" t="inlineStr"/>
      <c r="B2599" t="inlineStr"/>
      <c r="C2599" t="inlineStr"/>
      <c r="D2599" t="inlineStr"/>
      <c r="E2599">
        <f>HYPERLINK("https://www.ncbi.nlm.nih.gov/gene/?term=OCT72918.1", "OCT72918.1")</f>
        <v/>
      </c>
      <c r="F2599" t="n">
        <v>63.1</v>
      </c>
      <c r="G2599" t="n">
        <v>84</v>
      </c>
      <c r="H2599" t="n">
        <v>2.47e-29</v>
      </c>
      <c r="I2599" t="inlineStr">
        <is>
          <t>Nr</t>
        </is>
      </c>
      <c r="J2599" t="inlineStr"/>
      <c r="K2599" t="inlineStr"/>
      <c r="L2599" t="inlineStr">
        <is>
          <t>OCT72918.1 hypothetical protein XELAEV_18035900mg [Xenopus laevis]</t>
        </is>
      </c>
      <c r="M2599" t="n">
        <v>86</v>
      </c>
      <c r="N2599" t="inlineStr">
        <is>
          <t>Xenopus laevis</t>
        </is>
      </c>
      <c r="O2599" t="inlineStr">
        <is>
          <t>hypothetical protein XELAEV_18035900mg</t>
        </is>
      </c>
    </row>
    <row r="2600">
      <c r="A2600" t="inlineStr"/>
      <c r="B2600" t="inlineStr"/>
      <c r="C2600" t="inlineStr"/>
      <c r="D2600" t="inlineStr"/>
      <c r="E2600">
        <f>HYPERLINK("https://www.ncbi.nlm.nih.gov/gene/?term=OCT94650.1", "OCT94650.1")</f>
        <v/>
      </c>
      <c r="F2600" t="n">
        <v>59.5</v>
      </c>
      <c r="G2600" t="n">
        <v>84</v>
      </c>
      <c r="H2600" t="n">
        <v>4.8e-29</v>
      </c>
      <c r="I2600" t="inlineStr">
        <is>
          <t>Nr</t>
        </is>
      </c>
      <c r="J2600" t="inlineStr"/>
      <c r="K2600" t="inlineStr"/>
      <c r="L2600" t="inlineStr">
        <is>
          <t>OCT94650.1 hypothetical protein XELAEV_18012333mg [Xenopus laevis]</t>
        </is>
      </c>
      <c r="M2600" t="n">
        <v>145</v>
      </c>
      <c r="N2600" t="inlineStr">
        <is>
          <t>Xenopus laevis</t>
        </is>
      </c>
      <c r="O2600" t="inlineStr">
        <is>
          <t>hypothetical protein XELAEV_18012333mg</t>
        </is>
      </c>
    </row>
    <row r="2601">
      <c r="A2601" t="inlineStr"/>
      <c r="B2601" t="inlineStr"/>
      <c r="C2601" t="inlineStr"/>
      <c r="D2601" t="inlineStr"/>
      <c r="E2601">
        <f>HYPERLINK("https://www.ncbi.nlm.nih.gov/gene/?term=OCT96797.1", "OCT96797.1")</f>
        <v/>
      </c>
      <c r="F2601" t="n">
        <v>58.3</v>
      </c>
      <c r="G2601" t="n">
        <v>84</v>
      </c>
      <c r="H2601" t="n">
        <v>1e-28</v>
      </c>
      <c r="I2601" t="inlineStr">
        <is>
          <t>Nr</t>
        </is>
      </c>
      <c r="J2601" t="inlineStr"/>
      <c r="K2601" t="inlineStr"/>
      <c r="L2601" t="inlineStr">
        <is>
          <t>OCT96797.1 hypothetical protein XELAEV_18009013mg [Xenopus laevis]</t>
        </is>
      </c>
      <c r="M2601" t="n">
        <v>86</v>
      </c>
      <c r="N2601" t="inlineStr">
        <is>
          <t>Xenopus laevis</t>
        </is>
      </c>
      <c r="O2601" t="inlineStr">
        <is>
          <t>hypothetical protein XELAEV_18009013mg</t>
        </is>
      </c>
    </row>
    <row r="2602">
      <c r="A2602" t="inlineStr"/>
      <c r="B2602" t="inlineStr"/>
      <c r="C2602" t="inlineStr"/>
      <c r="D2602" t="inlineStr"/>
      <c r="E2602">
        <f>HYPERLINK("https://www.ncbi.nlm.nih.gov/gene/?term=OCT55250.1", "OCT55250.1")</f>
        <v/>
      </c>
      <c r="F2602" t="n">
        <v>47</v>
      </c>
      <c r="G2602" t="n">
        <v>115</v>
      </c>
      <c r="H2602" t="n">
        <v>1.15e-28</v>
      </c>
      <c r="I2602" t="inlineStr">
        <is>
          <t>Nr</t>
        </is>
      </c>
      <c r="J2602" t="inlineStr"/>
      <c r="K2602" t="inlineStr"/>
      <c r="L2602" t="inlineStr">
        <is>
          <t>OCT55250.1 hypothetical protein XELAEV_18003530mg, partial [Xenopus laevis]</t>
        </is>
      </c>
      <c r="M2602" t="n">
        <v>115</v>
      </c>
      <c r="N2602" t="inlineStr">
        <is>
          <t>Xenopus laevis</t>
        </is>
      </c>
      <c r="O2602" t="inlineStr">
        <is>
          <t>hypothetical protein XELAEV_18003530mg, partial</t>
        </is>
      </c>
    </row>
    <row r="2603">
      <c r="A2603" t="inlineStr"/>
      <c r="B2603" t="inlineStr"/>
      <c r="C2603" t="inlineStr"/>
      <c r="D2603" t="inlineStr"/>
      <c r="E2603">
        <f>HYPERLINK("https://www.ncbi.nlm.nih.gov/gene/?term=OCT55496.1", "OCT55496.1")</f>
        <v/>
      </c>
      <c r="F2603" t="n">
        <v>57.1</v>
      </c>
      <c r="G2603" t="n">
        <v>84</v>
      </c>
      <c r="H2603" t="n">
        <v>1.19e-28</v>
      </c>
      <c r="I2603" t="inlineStr">
        <is>
          <t>Nr</t>
        </is>
      </c>
      <c r="J2603" t="inlineStr"/>
      <c r="K2603" t="inlineStr"/>
      <c r="L2603" t="inlineStr">
        <is>
          <t>OCT55496.1 hypothetical protein XELAEV_18001762mg [Xenopus laevis]</t>
        </is>
      </c>
      <c r="M2603" t="n">
        <v>116</v>
      </c>
      <c r="N2603" t="inlineStr">
        <is>
          <t>Xenopus laevis</t>
        </is>
      </c>
      <c r="O2603" t="inlineStr">
        <is>
          <t>hypothetical protein XELAEV_18001762mg</t>
        </is>
      </c>
    </row>
    <row r="2604">
      <c r="A2604" t="inlineStr"/>
      <c r="B2604" t="inlineStr"/>
      <c r="C2604" t="inlineStr"/>
      <c r="D2604" t="inlineStr"/>
      <c r="E2604">
        <f>HYPERLINK("https://www.ncbi.nlm.nih.gov/gene/?term=OCT95838.1", "OCT95838.1")</f>
        <v/>
      </c>
      <c r="F2604" t="n">
        <v>58.3</v>
      </c>
      <c r="G2604" t="n">
        <v>84</v>
      </c>
      <c r="H2604" t="n">
        <v>1.29e-28</v>
      </c>
      <c r="I2604" t="inlineStr">
        <is>
          <t>Nr</t>
        </is>
      </c>
      <c r="J2604" t="inlineStr"/>
      <c r="K2604" t="inlineStr"/>
      <c r="L2604" t="inlineStr">
        <is>
          <t>OCT95838.1 hypothetical protein XELAEV_18013528mg [Xenopus laevis]</t>
        </is>
      </c>
      <c r="M2604" t="n">
        <v>131</v>
      </c>
      <c r="N2604" t="inlineStr">
        <is>
          <t>Xenopus laevis</t>
        </is>
      </c>
      <c r="O2604" t="inlineStr">
        <is>
          <t>hypothetical protein XELAEV_18013528mg</t>
        </is>
      </c>
    </row>
    <row r="2605">
      <c r="A2605" t="inlineStr"/>
      <c r="B2605" t="inlineStr"/>
      <c r="C2605" t="inlineStr"/>
      <c r="D2605" t="inlineStr"/>
      <c r="E2605">
        <f>HYPERLINK("https://www.ncbi.nlm.nih.gov/gene/?term=OCT79951.1", "OCT79951.1")</f>
        <v/>
      </c>
      <c r="F2605" t="n">
        <v>61.3</v>
      </c>
      <c r="G2605" t="n">
        <v>80</v>
      </c>
      <c r="H2605" t="n">
        <v>1.64e-28</v>
      </c>
      <c r="I2605" t="inlineStr">
        <is>
          <t>Nr</t>
        </is>
      </c>
      <c r="J2605" t="inlineStr"/>
      <c r="K2605" t="inlineStr"/>
      <c r="L2605" t="inlineStr">
        <is>
          <t>OCT79951.1 hypothetical protein XELAEV_18026767mg [Xenopus laevis]</t>
        </is>
      </c>
      <c r="M2605" t="n">
        <v>164</v>
      </c>
      <c r="N2605" t="inlineStr">
        <is>
          <t>Xenopus laevis</t>
        </is>
      </c>
      <c r="O2605" t="inlineStr">
        <is>
          <t>hypothetical protein XELAEV_18026767mg</t>
        </is>
      </c>
    </row>
    <row r="2606">
      <c r="A2606" t="inlineStr"/>
      <c r="B2606" t="inlineStr"/>
      <c r="C2606" t="inlineStr"/>
      <c r="D2606" t="inlineStr"/>
      <c r="E2606">
        <f>HYPERLINK("https://www.ncbi.nlm.nih.gov/gene/?term=OCT92880.1", "OCT92880.1")</f>
        <v/>
      </c>
      <c r="F2606" t="n">
        <v>60.8</v>
      </c>
      <c r="G2606" t="n">
        <v>79</v>
      </c>
      <c r="H2606" t="n">
        <v>2.22e-28</v>
      </c>
      <c r="I2606" t="inlineStr">
        <is>
          <t>Nr</t>
        </is>
      </c>
      <c r="J2606" t="inlineStr"/>
      <c r="K2606" t="inlineStr"/>
      <c r="L2606" t="inlineStr">
        <is>
          <t>OCT92880.1 hypothetical protein XELAEV_18015946mg [Xenopus laevis]</t>
        </is>
      </c>
      <c r="M2606" t="n">
        <v>188</v>
      </c>
      <c r="N2606" t="inlineStr">
        <is>
          <t>Xenopus laevis</t>
        </is>
      </c>
      <c r="O2606" t="inlineStr">
        <is>
          <t>hypothetical protein XELAEV_18015946mg</t>
        </is>
      </c>
    </row>
    <row r="2607">
      <c r="A2607" t="inlineStr"/>
      <c r="B2607" t="inlineStr"/>
      <c r="C2607" t="inlineStr"/>
      <c r="D2607" t="inlineStr"/>
      <c r="E2607">
        <f>HYPERLINK("https://www.ncbi.nlm.nih.gov/gene/?term=OCT98587.1", "OCT98587.1")</f>
        <v/>
      </c>
      <c r="F2607" t="n">
        <v>58.3</v>
      </c>
      <c r="G2607" t="n">
        <v>84</v>
      </c>
      <c r="H2607" t="n">
        <v>2.57e-28</v>
      </c>
      <c r="I2607" t="inlineStr">
        <is>
          <t>Nr</t>
        </is>
      </c>
      <c r="J2607" t="inlineStr"/>
      <c r="K2607" t="inlineStr"/>
      <c r="L2607" t="inlineStr">
        <is>
          <t>OCT98587.1 hypothetical protein XELAEV_18010820mg [Xenopus laevis]</t>
        </is>
      </c>
      <c r="M2607" t="n">
        <v>207</v>
      </c>
      <c r="N2607" t="inlineStr">
        <is>
          <t>Xenopus laevis</t>
        </is>
      </c>
      <c r="O2607" t="inlineStr">
        <is>
          <t>hypothetical protein XELAEV_18010820mg</t>
        </is>
      </c>
    </row>
    <row r="2608">
      <c r="A2608" t="inlineStr"/>
      <c r="B2608" t="inlineStr"/>
      <c r="C2608" t="inlineStr"/>
      <c r="D2608" t="inlineStr"/>
      <c r="E2608">
        <f>HYPERLINK("https://www.ncbi.nlm.nih.gov/gene/?term=OCT55392.1", "OCT55392.1")</f>
        <v/>
      </c>
      <c r="F2608" t="n">
        <v>59.5</v>
      </c>
      <c r="G2608" t="n">
        <v>84</v>
      </c>
      <c r="H2608" t="n">
        <v>2.86e-28</v>
      </c>
      <c r="I2608" t="inlineStr">
        <is>
          <t>Nr</t>
        </is>
      </c>
      <c r="J2608" t="inlineStr"/>
      <c r="K2608" t="inlineStr"/>
      <c r="L2608" t="inlineStr">
        <is>
          <t>OCT55392.1 hypothetical protein XELAEV_18002551mg [Xenopus laevis]</t>
        </is>
      </c>
      <c r="M2608" t="n">
        <v>86</v>
      </c>
      <c r="N2608" t="inlineStr">
        <is>
          <t>Xenopus laevis</t>
        </is>
      </c>
      <c r="O2608" t="inlineStr">
        <is>
          <t>hypothetical protein XELAEV_18002551mg</t>
        </is>
      </c>
    </row>
    <row r="2609">
      <c r="A2609" t="inlineStr"/>
      <c r="B2609" t="inlineStr"/>
      <c r="C2609" t="inlineStr"/>
      <c r="D2609" t="inlineStr"/>
      <c r="E2609">
        <f>HYPERLINK("https://www.ncbi.nlm.nih.gov/gene/?term=OCT74039.1", "OCT74039.1")</f>
        <v/>
      </c>
      <c r="F2609" t="n">
        <v>56</v>
      </c>
      <c r="G2609" t="n">
        <v>84</v>
      </c>
      <c r="H2609" t="n">
        <v>3.39e-28</v>
      </c>
      <c r="I2609" t="inlineStr">
        <is>
          <t>Nr</t>
        </is>
      </c>
      <c r="J2609" t="inlineStr"/>
      <c r="K2609" t="inlineStr"/>
      <c r="L2609" t="inlineStr">
        <is>
          <t>OCT74039.1 hypothetical protein XELAEV_18033002mg [Xenopus laevis]</t>
        </is>
      </c>
      <c r="M2609" t="n">
        <v>92</v>
      </c>
      <c r="N2609" t="inlineStr">
        <is>
          <t>Xenopus laevis</t>
        </is>
      </c>
      <c r="O2609" t="inlineStr">
        <is>
          <t>hypothetical protein XELAEV_18033002mg</t>
        </is>
      </c>
    </row>
    <row r="2610">
      <c r="A2610" t="inlineStr"/>
      <c r="B2610" t="inlineStr"/>
      <c r="C2610" t="inlineStr"/>
      <c r="D2610" t="inlineStr"/>
      <c r="E2610">
        <f>HYPERLINK("https://www.ncbi.nlm.nih.gov/gene/?term=OCT55261.1", "OCT55261.1")</f>
        <v/>
      </c>
      <c r="F2610" t="n">
        <v>63.1</v>
      </c>
      <c r="G2610" t="n">
        <v>84</v>
      </c>
      <c r="H2610" t="n">
        <v>4.53e-28</v>
      </c>
      <c r="I2610" t="inlineStr">
        <is>
          <t>Nr</t>
        </is>
      </c>
      <c r="J2610" t="inlineStr"/>
      <c r="K2610" t="inlineStr"/>
      <c r="L2610" t="inlineStr">
        <is>
          <t>OCT55261.1 hypothetical protein XELAEV_18003429mg [Xenopus laevis]</t>
        </is>
      </c>
      <c r="M2610" t="n">
        <v>102</v>
      </c>
      <c r="N2610" t="inlineStr">
        <is>
          <t>Xenopus laevis</t>
        </is>
      </c>
      <c r="O2610" t="inlineStr">
        <is>
          <t>hypothetical protein XELAEV_18003429mg</t>
        </is>
      </c>
    </row>
    <row r="2611">
      <c r="A2611" t="inlineStr"/>
      <c r="B2611" t="inlineStr"/>
      <c r="C2611" t="inlineStr"/>
      <c r="D2611" t="inlineStr"/>
      <c r="E2611">
        <f>HYPERLINK("https://www.uniprot.org/uniprotkb/A0A1B8YA28/entry", "A0A1B8YA28")</f>
        <v/>
      </c>
      <c r="F2611" t="n">
        <v>56</v>
      </c>
      <c r="G2611" t="n">
        <v>84</v>
      </c>
      <c r="H2611" t="n">
        <v>1.4e-26</v>
      </c>
      <c r="I2611" t="inlineStr">
        <is>
          <t>TrEMBL</t>
        </is>
      </c>
      <c r="J2611" t="inlineStr">
        <is>
          <t>XENTR_v90027123mg</t>
        </is>
      </c>
      <c r="K2611" t="inlineStr">
        <is>
          <t>A0A1B8YA28_XENTR</t>
        </is>
      </c>
      <c r="L2611" t="inlineStr">
        <is>
          <t>tr|A0A1B8YA28|A0A1B8YA28_XENTR GIY-YIG domain-containing protein OS=Xenopus tropicalis OX=8364 GN=XENTR_v90027123mg PE=4 SV=1</t>
        </is>
      </c>
      <c r="M2611" t="n">
        <v>256</v>
      </c>
      <c r="N2611" t="inlineStr">
        <is>
          <t>Xenopus tropicalis</t>
        </is>
      </c>
      <c r="O2611" t="inlineStr">
        <is>
          <t>GIY-YIG domain-containing protein</t>
        </is>
      </c>
    </row>
    <row r="2612">
      <c r="A2612" t="inlineStr"/>
      <c r="B2612" t="inlineStr"/>
      <c r="C2612" t="inlineStr"/>
      <c r="D2612" t="inlineStr"/>
      <c r="E2612">
        <f>HYPERLINK("https://www.uniprot.org/uniprotkb/A0A8J1KQR2/entry", "A0A8J1KQR2")</f>
        <v/>
      </c>
      <c r="F2612" t="n">
        <v>43.5</v>
      </c>
      <c r="G2612" t="n">
        <v>124</v>
      </c>
      <c r="H2612" t="n">
        <v>1.01e-21</v>
      </c>
      <c r="I2612" t="inlineStr">
        <is>
          <t>TrEMBL</t>
        </is>
      </c>
      <c r="J2612" t="inlineStr">
        <is>
          <t>LOC121393620</t>
        </is>
      </c>
      <c r="K2612" t="inlineStr">
        <is>
          <t>A0A8J1KQR2_XENLA</t>
        </is>
      </c>
      <c r="L2612" t="inlineStr">
        <is>
          <t>tr|A0A8J1KQR2|A0A8J1KQR2_XENLA uncharacterized protein LOC121393620 OS=Xenopus laevis OX=8355 GN=LOC121393620 PE=4 SV=1</t>
        </is>
      </c>
      <c r="M2612" t="n">
        <v>611</v>
      </c>
      <c r="N2612" t="inlineStr">
        <is>
          <t>Xenopus laevis</t>
        </is>
      </c>
      <c r="O2612" t="inlineStr">
        <is>
          <t>uncharacterized protein LOC121393620</t>
        </is>
      </c>
    </row>
    <row r="2613">
      <c r="A2613" t="inlineStr"/>
      <c r="B2613" t="inlineStr"/>
      <c r="C2613" t="inlineStr"/>
      <c r="D2613" t="inlineStr"/>
      <c r="E2613">
        <f>HYPERLINK("https://www.uniprot.org/uniprotkb/A0A8J1LQ87/entry", "A0A8J1LQ87")</f>
        <v/>
      </c>
      <c r="F2613" t="n">
        <v>43.5</v>
      </c>
      <c r="G2613" t="n">
        <v>124</v>
      </c>
      <c r="H2613" t="n">
        <v>1.01e-21</v>
      </c>
      <c r="I2613" t="inlineStr">
        <is>
          <t>TrEMBL</t>
        </is>
      </c>
      <c r="J2613" t="inlineStr">
        <is>
          <t>LOC121397711</t>
        </is>
      </c>
      <c r="K2613" t="inlineStr">
        <is>
          <t>A0A8J1LQ87_XENLA</t>
        </is>
      </c>
      <c r="L2613" t="inlineStr">
        <is>
          <t>tr|A0A8J1LQ87|A0A8J1LQ87_XENLA uncharacterized protein LOC121397711 OS=Xenopus laevis OX=8355 GN=LOC121397711 PE=4 SV=1</t>
        </is>
      </c>
      <c r="M2613" t="n">
        <v>611</v>
      </c>
      <c r="N2613" t="inlineStr">
        <is>
          <t>Xenopus laevis</t>
        </is>
      </c>
      <c r="O2613" t="inlineStr">
        <is>
          <t>uncharacterized protein LOC121397711</t>
        </is>
      </c>
    </row>
    <row r="2614">
      <c r="A2614" t="inlineStr"/>
      <c r="B2614" t="inlineStr"/>
      <c r="C2614" t="inlineStr"/>
      <c r="D2614" t="inlineStr"/>
      <c r="E2614">
        <f>HYPERLINK("https://www.uniprot.org/uniprotkb/A0A8J1KQT3/entry", "A0A8J1KQT3")</f>
        <v/>
      </c>
      <c r="F2614" t="n">
        <v>43.5</v>
      </c>
      <c r="G2614" t="n">
        <v>124</v>
      </c>
      <c r="H2614" t="n">
        <v>1.01e-21</v>
      </c>
      <c r="I2614" t="inlineStr">
        <is>
          <t>TrEMBL</t>
        </is>
      </c>
      <c r="J2614" t="inlineStr">
        <is>
          <t>LOC121393628</t>
        </is>
      </c>
      <c r="K2614" t="inlineStr">
        <is>
          <t>A0A8J1KQT3_XENLA</t>
        </is>
      </c>
      <c r="L2614" t="inlineStr">
        <is>
          <t>tr|A0A8J1KQT3|A0A8J1KQT3_XENLA uncharacterized protein LOC121393628 OS=Xenopus laevis OX=8355 GN=LOC121393628 PE=4 SV=1</t>
        </is>
      </c>
      <c r="M2614" t="n">
        <v>611</v>
      </c>
      <c r="N2614" t="inlineStr">
        <is>
          <t>Xenopus laevis</t>
        </is>
      </c>
      <c r="O2614" t="inlineStr">
        <is>
          <t>uncharacterized protein LOC121393628</t>
        </is>
      </c>
    </row>
    <row r="2615">
      <c r="A2615" t="inlineStr"/>
      <c r="B2615" t="inlineStr"/>
      <c r="C2615" t="inlineStr"/>
      <c r="D2615" t="inlineStr"/>
      <c r="E2615">
        <f>HYPERLINK("https://www.uniprot.org/uniprotkb/A0A8C5LUF2/entry", "A0A8C5LUF2")</f>
        <v/>
      </c>
      <c r="F2615" t="n">
        <v>41.9</v>
      </c>
      <c r="G2615" t="n">
        <v>124</v>
      </c>
      <c r="H2615" t="n">
        <v>1.05e-21</v>
      </c>
      <c r="I2615" t="inlineStr">
        <is>
          <t>TrEMBL</t>
        </is>
      </c>
      <c r="J2615" t="inlineStr"/>
      <c r="K2615" t="inlineStr">
        <is>
          <t>A0A8C5LUF2_9ANUR</t>
        </is>
      </c>
      <c r="L2615" t="inlineStr">
        <is>
          <t>tr|A0A8C5LUF2|A0A8C5LUF2_9ANUR Reverse transcriptase domain-containing protein OS=Leptobrachium leishanense OX=445787 PE=4 SV=1</t>
        </is>
      </c>
      <c r="M2615" t="n">
        <v>665</v>
      </c>
      <c r="N2615" t="inlineStr">
        <is>
          <t>Leptobrachium leishanense</t>
        </is>
      </c>
      <c r="O2615" t="inlineStr">
        <is>
          <t>Reverse transcriptase domain-containing protein</t>
        </is>
      </c>
    </row>
    <row r="2616">
      <c r="A2616" t="inlineStr"/>
      <c r="B2616" t="inlineStr"/>
      <c r="C2616" t="inlineStr"/>
      <c r="D2616" t="inlineStr"/>
      <c r="E2616">
        <f>HYPERLINK("https://www.uniprot.org/uniprotkb/A0A8C5Q061/entry", "A0A8C5Q061")</f>
        <v/>
      </c>
      <c r="F2616" t="n">
        <v>41.9</v>
      </c>
      <c r="G2616" t="n">
        <v>124</v>
      </c>
      <c r="H2616" t="n">
        <v>1.05e-21</v>
      </c>
      <c r="I2616" t="inlineStr">
        <is>
          <t>TrEMBL</t>
        </is>
      </c>
      <c r="J2616" t="inlineStr"/>
      <c r="K2616" t="inlineStr">
        <is>
          <t>A0A8C5Q061_9ANUR</t>
        </is>
      </c>
      <c r="L2616" t="inlineStr">
        <is>
          <t>tr|A0A8C5Q061|A0A8C5Q061_9ANUR Reverse transcriptase domain-containing protein OS=Leptobrachium leishanense OX=445787 PE=4 SV=1</t>
        </is>
      </c>
      <c r="M2616" t="n">
        <v>665</v>
      </c>
      <c r="N2616" t="inlineStr">
        <is>
          <t>Leptobrachium leishanense</t>
        </is>
      </c>
      <c r="O2616" t="inlineStr">
        <is>
          <t>Reverse transcriptase domain-containing protein</t>
        </is>
      </c>
    </row>
    <row r="2617">
      <c r="A2617" t="inlineStr"/>
      <c r="B2617" t="inlineStr"/>
      <c r="C2617" t="inlineStr"/>
      <c r="D2617" t="inlineStr"/>
      <c r="E2617">
        <f>HYPERLINK("https://www.uniprot.org/uniprotkb/A0A8C5MG30/entry", "A0A8C5MG30")</f>
        <v/>
      </c>
      <c r="F2617" t="n">
        <v>41.9</v>
      </c>
      <c r="G2617" t="n">
        <v>124</v>
      </c>
      <c r="H2617" t="n">
        <v>1.08e-21</v>
      </c>
      <c r="I2617" t="inlineStr">
        <is>
          <t>TrEMBL</t>
        </is>
      </c>
      <c r="J2617" t="inlineStr"/>
      <c r="K2617" t="inlineStr">
        <is>
          <t>A0A8C5MG30_9ANUR</t>
        </is>
      </c>
      <c r="L2617" t="inlineStr">
        <is>
          <t>tr|A0A8C5MG30|A0A8C5MG30_9ANUR Reverse transcriptase domain-containing protein OS=Leptobrachium leishanense OX=445787 PE=4 SV=1</t>
        </is>
      </c>
      <c r="M2617" t="n">
        <v>769</v>
      </c>
      <c r="N2617" t="inlineStr">
        <is>
          <t>Leptobrachium leishanense</t>
        </is>
      </c>
      <c r="O2617" t="inlineStr">
        <is>
          <t>Reverse transcriptase domain-containing protein</t>
        </is>
      </c>
    </row>
    <row r="2618">
      <c r="A2618" t="inlineStr"/>
      <c r="B2618" t="inlineStr"/>
      <c r="C2618" t="inlineStr"/>
      <c r="D2618" t="inlineStr"/>
      <c r="E2618">
        <f>HYPERLINK("https://www.uniprot.org/uniprotkb/A0A8C5MB09/entry", "A0A8C5MB09")</f>
        <v/>
      </c>
      <c r="F2618" t="n">
        <v>41.9</v>
      </c>
      <c r="G2618" t="n">
        <v>124</v>
      </c>
      <c r="H2618" t="n">
        <v>1.43e-21</v>
      </c>
      <c r="I2618" t="inlineStr">
        <is>
          <t>TrEMBL</t>
        </is>
      </c>
      <c r="J2618" t="inlineStr"/>
      <c r="K2618" t="inlineStr">
        <is>
          <t>A0A8C5MB09_9ANUR</t>
        </is>
      </c>
      <c r="L2618" t="inlineStr">
        <is>
          <t>tr|A0A8C5MB09|A0A8C5MB09_9ANUR Reverse transcriptase domain-containing protein OS=Leptobrachium leishanense OX=445787 PE=4 SV=1</t>
        </is>
      </c>
      <c r="M2618" t="n">
        <v>665</v>
      </c>
      <c r="N2618" t="inlineStr">
        <is>
          <t>Leptobrachium leishanense</t>
        </is>
      </c>
      <c r="O2618" t="inlineStr">
        <is>
          <t>Reverse transcriptase domain-containing protein</t>
        </is>
      </c>
    </row>
    <row r="2619">
      <c r="A2619" t="inlineStr"/>
      <c r="B2619" t="inlineStr"/>
      <c r="C2619" t="inlineStr"/>
      <c r="D2619" t="inlineStr"/>
      <c r="E2619">
        <f>HYPERLINK("https://www.uniprot.org/uniprotkb/A0A8J1L6H8/entry", "A0A8J1L6H8")</f>
        <v/>
      </c>
      <c r="F2619" t="n">
        <v>43.3</v>
      </c>
      <c r="G2619" t="n">
        <v>134</v>
      </c>
      <c r="H2619" t="n">
        <v>2.27e-21</v>
      </c>
      <c r="I2619" t="inlineStr">
        <is>
          <t>TrEMBL</t>
        </is>
      </c>
      <c r="J2619" t="inlineStr">
        <is>
          <t>LOC121395238</t>
        </is>
      </c>
      <c r="K2619" t="inlineStr">
        <is>
          <t>A0A8J1L6H8_XENLA</t>
        </is>
      </c>
      <c r="L2619" t="inlineStr">
        <is>
          <t>tr|A0A8J1L6H8|A0A8J1L6H8_XENLA uncharacterized protein LOC121395238 OS=Xenopus laevis OX=8355 GN=LOC121395238 PE=4 SV=1</t>
        </is>
      </c>
      <c r="M2619" t="n">
        <v>346</v>
      </c>
      <c r="N2619" t="inlineStr">
        <is>
          <t>Xenopus laevis</t>
        </is>
      </c>
      <c r="O2619" t="inlineStr">
        <is>
          <t>uncharacterized protein LOC121395238</t>
        </is>
      </c>
    </row>
    <row r="2620">
      <c r="A2620" t="inlineStr"/>
      <c r="B2620" t="inlineStr"/>
      <c r="C2620" t="inlineStr"/>
      <c r="D2620" t="inlineStr"/>
      <c r="E2620">
        <f>HYPERLINK("https://www.uniprot.org/uniprotkb/A0A8C5PXA8/entry", "A0A8C5PXA8")</f>
        <v/>
      </c>
      <c r="F2620" t="n">
        <v>41.1</v>
      </c>
      <c r="G2620" t="n">
        <v>124</v>
      </c>
      <c r="H2620" t="n">
        <v>4.95e-21</v>
      </c>
      <c r="I2620" t="inlineStr">
        <is>
          <t>TrEMBL</t>
        </is>
      </c>
      <c r="J2620" t="inlineStr"/>
      <c r="K2620" t="inlineStr">
        <is>
          <t>A0A8C5PXA8_9ANUR</t>
        </is>
      </c>
      <c r="L2620" t="inlineStr">
        <is>
          <t>tr|A0A8C5PXA8|A0A8C5PXA8_9ANUR Reverse transcriptase domain-containing protein OS=Leptobrachium leishanense OX=445787 PE=4 SV=1</t>
        </is>
      </c>
      <c r="M2620" t="n">
        <v>665</v>
      </c>
      <c r="N2620" t="inlineStr">
        <is>
          <t>Leptobrachium leishanense</t>
        </is>
      </c>
      <c r="O2620" t="inlineStr">
        <is>
          <t>Reverse transcriptase domain-containing protein</t>
        </is>
      </c>
    </row>
    <row r="2621">
      <c r="A2621" t="inlineStr"/>
      <c r="B2621" t="inlineStr"/>
      <c r="C2621" t="inlineStr"/>
      <c r="D2621" t="inlineStr"/>
      <c r="E2621">
        <f>HYPERLINK("https://www.uniprot.org/uniprotkb/A0A8C5MLF7/entry", "A0A8C5MLF7")</f>
        <v/>
      </c>
      <c r="F2621" t="n">
        <v>41.1</v>
      </c>
      <c r="G2621" t="n">
        <v>124</v>
      </c>
      <c r="H2621" t="n">
        <v>4.95e-21</v>
      </c>
      <c r="I2621" t="inlineStr">
        <is>
          <t>TrEMBL</t>
        </is>
      </c>
      <c r="J2621" t="inlineStr"/>
      <c r="K2621" t="inlineStr">
        <is>
          <t>A0A8C5MLF7_9ANUR</t>
        </is>
      </c>
      <c r="L2621" t="inlineStr">
        <is>
          <t>tr|A0A8C5MLF7|A0A8C5MLF7_9ANUR Reverse transcriptase domain-containing protein OS=Leptobrachium leishanense OX=445787 PE=4 SV=1</t>
        </is>
      </c>
      <c r="M2621" t="n">
        <v>665</v>
      </c>
      <c r="N2621" t="inlineStr">
        <is>
          <t>Leptobrachium leishanense</t>
        </is>
      </c>
      <c r="O2621" t="inlineStr">
        <is>
          <t>Reverse transcriptase domain-containing protein</t>
        </is>
      </c>
    </row>
    <row r="2622">
      <c r="A2622" t="inlineStr"/>
      <c r="B2622" t="inlineStr"/>
      <c r="C2622" t="inlineStr"/>
      <c r="D2622" t="inlineStr"/>
      <c r="E2622">
        <f>HYPERLINK("https://www.uniprot.org/uniprotkb/A0A8C5MGY3/entry", "A0A8C5MGY3")</f>
        <v/>
      </c>
      <c r="F2622" t="n">
        <v>45.4</v>
      </c>
      <c r="G2622" t="n">
        <v>108</v>
      </c>
      <c r="H2622" t="n">
        <v>1.24e-20</v>
      </c>
      <c r="I2622" t="inlineStr">
        <is>
          <t>TrEMBL</t>
        </is>
      </c>
      <c r="J2622" t="inlineStr"/>
      <c r="K2622" t="inlineStr">
        <is>
          <t>A0A8C5MGY3_9ANUR</t>
        </is>
      </c>
      <c r="L2622" t="inlineStr">
        <is>
          <t>tr|A0A8C5MGY3|A0A8C5MGY3_9ANUR Reverse transcriptase domain-containing protein OS=Leptobrachium leishanense OX=445787 PE=4 SV=1</t>
        </is>
      </c>
      <c r="M2622" t="n">
        <v>639</v>
      </c>
      <c r="N2622" t="inlineStr">
        <is>
          <t>Leptobrachium leishanense</t>
        </is>
      </c>
      <c r="O2622" t="inlineStr">
        <is>
          <t>Reverse transcriptase domain-containing protein</t>
        </is>
      </c>
    </row>
    <row r="2623">
      <c r="A2623" t="inlineStr"/>
      <c r="B2623" t="inlineStr"/>
      <c r="C2623" t="inlineStr"/>
      <c r="D2623" t="inlineStr"/>
      <c r="E2623">
        <f>HYPERLINK("https://www.uniprot.org/uniprotkb/A0A8T2J9L5/entry", "A0A8T2J9L5")</f>
        <v/>
      </c>
      <c r="F2623" t="n">
        <v>53.6</v>
      </c>
      <c r="G2623" t="n">
        <v>84</v>
      </c>
      <c r="H2623" t="n">
        <v>5.37e-20</v>
      </c>
      <c r="I2623" t="inlineStr">
        <is>
          <t>TrEMBL</t>
        </is>
      </c>
      <c r="J2623" t="inlineStr">
        <is>
          <t>GDO86_006243</t>
        </is>
      </c>
      <c r="K2623" t="inlineStr">
        <is>
          <t>A0A8T2J9L5_9PIPI</t>
        </is>
      </c>
      <c r="L2623" t="inlineStr">
        <is>
          <t>tr|A0A8T2J9L5|A0A8T2J9L5_9PIPI GIY-YIG domain-containing protein OS=Hymenochirus boettgeri OX=247094 GN=GDO86_006243 PE=4 SV=1</t>
        </is>
      </c>
      <c r="M2623" t="n">
        <v>447</v>
      </c>
      <c r="N2623" t="inlineStr">
        <is>
          <t>Hymenochirus boettgeri</t>
        </is>
      </c>
      <c r="O2623" t="inlineStr">
        <is>
          <t>GIY-YIG domain-containing protein</t>
        </is>
      </c>
    </row>
    <row r="2624">
      <c r="A2624" t="inlineStr"/>
      <c r="B2624" t="inlineStr"/>
      <c r="C2624" t="inlineStr"/>
      <c r="D2624" t="inlineStr"/>
      <c r="E2624">
        <f>HYPERLINK("https://www.uniprot.org/uniprotkb/A0A803JQT4/entry", "A0A803JQT4")</f>
        <v/>
      </c>
      <c r="F2624" t="n">
        <v>42.3</v>
      </c>
      <c r="G2624" t="n">
        <v>111</v>
      </c>
      <c r="H2624" t="n">
        <v>2.84e-19</v>
      </c>
      <c r="I2624" t="inlineStr">
        <is>
          <t>TrEMBL</t>
        </is>
      </c>
      <c r="J2624" t="inlineStr"/>
      <c r="K2624" t="inlineStr">
        <is>
          <t>A0A803JQT4_XENTR</t>
        </is>
      </c>
      <c r="L2624" t="inlineStr">
        <is>
          <t>tr|A0A803JQT4|A0A803JQT4_XENTR Reverse transcriptase domain-containing protein OS=Xenopus tropicalis OX=8364 PE=4 SV=1</t>
        </is>
      </c>
      <c r="M2624" t="n">
        <v>750</v>
      </c>
      <c r="N2624" t="inlineStr">
        <is>
          <t>Xenopus tropicalis</t>
        </is>
      </c>
      <c r="O2624" t="inlineStr">
        <is>
          <t>Reverse transcriptase domain-containing protein</t>
        </is>
      </c>
    </row>
    <row r="2625">
      <c r="A2625" t="inlineStr"/>
      <c r="B2625" t="inlineStr"/>
      <c r="C2625" t="inlineStr"/>
      <c r="D2625" t="inlineStr"/>
      <c r="E2625">
        <f>HYPERLINK("https://www.uniprot.org/uniprotkb/A0A8J1LGI6/entry", "A0A8J1LGI6")</f>
        <v/>
      </c>
      <c r="F2625" t="n">
        <v>42.1</v>
      </c>
      <c r="G2625" t="n">
        <v>114</v>
      </c>
      <c r="H2625" t="n">
        <v>3.45e-18</v>
      </c>
      <c r="I2625" t="inlineStr">
        <is>
          <t>TrEMBL</t>
        </is>
      </c>
      <c r="J2625" t="inlineStr">
        <is>
          <t>LOC121396834</t>
        </is>
      </c>
      <c r="K2625" t="inlineStr">
        <is>
          <t>A0A8J1LGI6_XENLA</t>
        </is>
      </c>
      <c r="L2625" t="inlineStr">
        <is>
          <t>tr|A0A8J1LGI6|A0A8J1LGI6_XENLA uncharacterized protein LOC121396834 OS=Xenopus laevis OX=8355 GN=LOC121396834 PE=4 SV=1</t>
        </is>
      </c>
      <c r="M2625" t="n">
        <v>393</v>
      </c>
      <c r="N2625" t="inlineStr">
        <is>
          <t>Xenopus laevis</t>
        </is>
      </c>
      <c r="O2625" t="inlineStr">
        <is>
          <t>uncharacterized protein LOC121396834</t>
        </is>
      </c>
    </row>
    <row r="2626">
      <c r="A2626" t="inlineStr"/>
      <c r="B2626" t="inlineStr"/>
      <c r="C2626" t="inlineStr"/>
      <c r="D2626" t="inlineStr"/>
      <c r="E2626">
        <f>HYPERLINK("https://www.uniprot.org/uniprotkb/A0A673WMA3/entry", "A0A673WMA3")</f>
        <v/>
      </c>
      <c r="F2626" t="n">
        <v>40.5</v>
      </c>
      <c r="G2626" t="n">
        <v>111</v>
      </c>
      <c r="H2626" t="n">
        <v>1.09e-17</v>
      </c>
      <c r="I2626" t="inlineStr">
        <is>
          <t>TrEMBL</t>
        </is>
      </c>
      <c r="J2626" t="inlineStr"/>
      <c r="K2626" t="inlineStr">
        <is>
          <t>A0A673WMA3_SALTR</t>
        </is>
      </c>
      <c r="L2626" t="inlineStr">
        <is>
          <t>tr|A0A673WMA3|A0A673WMA3_SALTR GIY-YIG domain-containing protein OS=Salmo trutta OX=8032 PE=4 SV=1</t>
        </is>
      </c>
      <c r="M2626" t="n">
        <v>262</v>
      </c>
      <c r="N2626" t="inlineStr">
        <is>
          <t>Salmo trutta</t>
        </is>
      </c>
      <c r="O2626" t="inlineStr">
        <is>
          <t>GIY-YIG domain-containing protein</t>
        </is>
      </c>
    </row>
    <row r="2627">
      <c r="A2627" t="inlineStr"/>
      <c r="B2627" t="inlineStr"/>
      <c r="C2627" t="inlineStr"/>
      <c r="D2627" t="inlineStr"/>
      <c r="E2627">
        <f>HYPERLINK("https://www.uniprot.org/uniprotkb/A0A8J1LM93/entry", "A0A8J1LM93")</f>
        <v/>
      </c>
      <c r="F2627" t="n">
        <v>40.3</v>
      </c>
      <c r="G2627" t="n">
        <v>124</v>
      </c>
      <c r="H2627" t="n">
        <v>2.12e-17</v>
      </c>
      <c r="I2627" t="inlineStr">
        <is>
          <t>TrEMBL</t>
        </is>
      </c>
      <c r="J2627" t="inlineStr">
        <is>
          <t>LOC121397297</t>
        </is>
      </c>
      <c r="K2627" t="inlineStr">
        <is>
          <t>A0A8J1LM93_XENLA</t>
        </is>
      </c>
      <c r="L2627" t="inlineStr">
        <is>
          <t>tr|A0A8J1LM93|A0A8J1LM93_XENLA uncharacterized protein LOC121397297 OS=Xenopus laevis OX=8355 GN=LOC121397297 PE=4 SV=1</t>
        </is>
      </c>
      <c r="M2627" t="n">
        <v>635</v>
      </c>
      <c r="N2627" t="inlineStr">
        <is>
          <t>Xenopus laevis</t>
        </is>
      </c>
      <c r="O2627" t="inlineStr">
        <is>
          <t>uncharacterized protein LOC121397297</t>
        </is>
      </c>
    </row>
    <row r="2628">
      <c r="A2628" t="inlineStr"/>
      <c r="B2628" t="inlineStr"/>
      <c r="C2628" t="inlineStr"/>
      <c r="D2628" t="inlineStr"/>
      <c r="E2628">
        <f>HYPERLINK("https://www.uniprot.org/uniprotkb/A0A674AU28/entry", "A0A674AU28")</f>
        <v/>
      </c>
      <c r="F2628" t="n">
        <v>40.5</v>
      </c>
      <c r="G2628" t="n">
        <v>111</v>
      </c>
      <c r="H2628" t="n">
        <v>2.86e-17</v>
      </c>
      <c r="I2628" t="inlineStr">
        <is>
          <t>TrEMBL</t>
        </is>
      </c>
      <c r="J2628" t="inlineStr"/>
      <c r="K2628" t="inlineStr">
        <is>
          <t>A0A674AU28_SALTR</t>
        </is>
      </c>
      <c r="L2628" t="inlineStr">
        <is>
          <t>tr|A0A674AU28|A0A674AU28_SALTR GIY-YIG domain-containing protein OS=Salmo trutta OX=8032 PE=4 SV=1</t>
        </is>
      </c>
      <c r="M2628" t="n">
        <v>336</v>
      </c>
      <c r="N2628" t="inlineStr">
        <is>
          <t>Salmo trutta</t>
        </is>
      </c>
      <c r="O2628" t="inlineStr">
        <is>
          <t>GIY-YIG domain-containing protein</t>
        </is>
      </c>
    </row>
    <row r="2629">
      <c r="A2629" t="inlineStr"/>
      <c r="B2629" t="inlineStr"/>
      <c r="C2629" t="inlineStr"/>
      <c r="D2629" t="inlineStr"/>
      <c r="E2629">
        <f>HYPERLINK("https://www.uniprot.org/uniprotkb/A0A673W7G1/entry", "A0A673W7G1")</f>
        <v/>
      </c>
      <c r="F2629" t="n">
        <v>40.5</v>
      </c>
      <c r="G2629" t="n">
        <v>111</v>
      </c>
      <c r="H2629" t="n">
        <v>6.57e-17</v>
      </c>
      <c r="I2629" t="inlineStr">
        <is>
          <t>TrEMBL</t>
        </is>
      </c>
      <c r="J2629" t="inlineStr"/>
      <c r="K2629" t="inlineStr">
        <is>
          <t>A0A673W7G1_SALTR</t>
        </is>
      </c>
      <c r="L2629" t="inlineStr">
        <is>
          <t>tr|A0A673W7G1|A0A673W7G1_SALTR Reverse transcriptase domain-containing protein OS=Salmo trutta OX=8032 PE=4 SV=1</t>
        </is>
      </c>
      <c r="M2629" t="n">
        <v>491</v>
      </c>
      <c r="N2629" t="inlineStr">
        <is>
          <t>Salmo trutta</t>
        </is>
      </c>
      <c r="O2629" t="inlineStr">
        <is>
          <t>Reverse transcriptase domain-containing protein</t>
        </is>
      </c>
    </row>
    <row r="2630">
      <c r="A2630" t="inlineStr"/>
      <c r="B2630" t="inlineStr"/>
      <c r="C2630" t="inlineStr"/>
      <c r="D2630" t="inlineStr"/>
      <c r="E2630">
        <f>HYPERLINK("https://www.uniprot.org/uniprotkb/A0A673YIM5/entry", "A0A673YIM5")</f>
        <v/>
      </c>
      <c r="F2630" t="n">
        <v>40.5</v>
      </c>
      <c r="G2630" t="n">
        <v>111</v>
      </c>
      <c r="H2630" t="n">
        <v>7.279999999999999e-17</v>
      </c>
      <c r="I2630" t="inlineStr">
        <is>
          <t>TrEMBL</t>
        </is>
      </c>
      <c r="J2630" t="inlineStr"/>
      <c r="K2630" t="inlineStr">
        <is>
          <t>A0A673YIM5_SALTR</t>
        </is>
      </c>
      <c r="L2630" t="inlineStr">
        <is>
          <t>tr|A0A673YIM5|A0A673YIM5_SALTR Reverse transcriptase domain-containing protein OS=Salmo trutta OX=8032 PE=4 SV=1</t>
        </is>
      </c>
      <c r="M2630" t="n">
        <v>610</v>
      </c>
      <c r="N2630" t="inlineStr">
        <is>
          <t>Salmo trutta</t>
        </is>
      </c>
      <c r="O2630" t="inlineStr">
        <is>
          <t>Reverse transcriptase domain-containing protein</t>
        </is>
      </c>
    </row>
    <row r="2631">
      <c r="A2631" t="inlineStr"/>
      <c r="B2631" t="inlineStr"/>
      <c r="C2631" t="inlineStr"/>
      <c r="D2631" t="inlineStr"/>
      <c r="E2631">
        <f>HYPERLINK("https://www.uniprot.org/uniprotkb/A0A674BMX0/entry", "A0A674BMX0")</f>
        <v/>
      </c>
      <c r="F2631" t="n">
        <v>40.5</v>
      </c>
      <c r="G2631" t="n">
        <v>111</v>
      </c>
      <c r="H2631" t="n">
        <v>7.279999999999999e-17</v>
      </c>
      <c r="I2631" t="inlineStr">
        <is>
          <t>TrEMBL</t>
        </is>
      </c>
      <c r="J2631" t="inlineStr"/>
      <c r="K2631" t="inlineStr">
        <is>
          <t>A0A674BMX0_SALTR</t>
        </is>
      </c>
      <c r="L2631" t="inlineStr">
        <is>
          <t>tr|A0A674BMX0|A0A674BMX0_SALTR Reverse transcriptase domain-containing protein OS=Salmo trutta OX=8032 PE=4 SV=1</t>
        </is>
      </c>
      <c r="M2631" t="n">
        <v>610</v>
      </c>
      <c r="N2631" t="inlineStr">
        <is>
          <t>Salmo trutta</t>
        </is>
      </c>
      <c r="O2631" t="inlineStr">
        <is>
          <t>Reverse transcriptase domain-containing protein</t>
        </is>
      </c>
    </row>
    <row r="2632">
      <c r="A2632" t="inlineStr"/>
      <c r="B2632" t="inlineStr"/>
      <c r="C2632" t="inlineStr"/>
      <c r="D2632" t="inlineStr"/>
      <c r="E2632">
        <f>HYPERLINK("https://www.uniprot.org/uniprotkb/A0A674ADI8/entry", "A0A674ADI8")</f>
        <v/>
      </c>
      <c r="F2632" t="n">
        <v>40.5</v>
      </c>
      <c r="G2632" t="n">
        <v>111</v>
      </c>
      <c r="H2632" t="n">
        <v>7.279999999999999e-17</v>
      </c>
      <c r="I2632" t="inlineStr">
        <is>
          <t>TrEMBL</t>
        </is>
      </c>
      <c r="J2632" t="inlineStr"/>
      <c r="K2632" t="inlineStr">
        <is>
          <t>A0A674ADI8_SALTR</t>
        </is>
      </c>
      <c r="L2632" t="inlineStr">
        <is>
          <t>tr|A0A674ADI8|A0A674ADI8_SALTR Reverse transcriptase domain-containing protein OS=Salmo trutta OX=8032 PE=4 SV=1</t>
        </is>
      </c>
      <c r="M2632" t="n">
        <v>610</v>
      </c>
      <c r="N2632" t="inlineStr">
        <is>
          <t>Salmo trutta</t>
        </is>
      </c>
      <c r="O2632" t="inlineStr">
        <is>
          <t>Reverse transcriptase domain-containing protein</t>
        </is>
      </c>
    </row>
    <row r="2633">
      <c r="A2633" t="inlineStr"/>
      <c r="B2633" t="inlineStr"/>
      <c r="C2633" t="inlineStr"/>
      <c r="D2633" t="inlineStr"/>
      <c r="E2633">
        <f>HYPERLINK("https://www.uniprot.org/uniprotkb/A0A673W229/entry", "A0A673W229")</f>
        <v/>
      </c>
      <c r="F2633" t="n">
        <v>40.5</v>
      </c>
      <c r="G2633" t="n">
        <v>111</v>
      </c>
      <c r="H2633" t="n">
        <v>7.48e-17</v>
      </c>
      <c r="I2633" t="inlineStr">
        <is>
          <t>TrEMBL</t>
        </is>
      </c>
      <c r="J2633" t="inlineStr"/>
      <c r="K2633" t="inlineStr">
        <is>
          <t>A0A673W229_SALTR</t>
        </is>
      </c>
      <c r="L2633" t="inlineStr">
        <is>
          <t>tr|A0A673W229|A0A673W229_SALTR Reverse transcriptase domain-containing protein OS=Salmo trutta OX=8032 PE=4 SV=1</t>
        </is>
      </c>
      <c r="M2633" t="n">
        <v>720</v>
      </c>
      <c r="N2633" t="inlineStr">
        <is>
          <t>Salmo trutta</t>
        </is>
      </c>
      <c r="O2633" t="inlineStr">
        <is>
          <t>Reverse transcriptase domain-containing protein</t>
        </is>
      </c>
    </row>
    <row r="2634">
      <c r="A2634" t="inlineStr"/>
      <c r="B2634" t="inlineStr"/>
      <c r="C2634" t="inlineStr"/>
      <c r="D2634" t="inlineStr"/>
      <c r="E2634">
        <f>HYPERLINK("https://www.uniprot.org/uniprotkb/A0A8J1KPS1/entry", "A0A8J1KPS1")</f>
        <v/>
      </c>
      <c r="F2634" t="n">
        <v>47.6</v>
      </c>
      <c r="G2634" t="n">
        <v>84</v>
      </c>
      <c r="H2634" t="n">
        <v>7.519999999999999e-17</v>
      </c>
      <c r="I2634" t="inlineStr">
        <is>
          <t>TrEMBL</t>
        </is>
      </c>
      <c r="J2634" t="inlineStr">
        <is>
          <t>LOC121393680</t>
        </is>
      </c>
      <c r="K2634" t="inlineStr">
        <is>
          <t>A0A8J1KPS1_XENLA</t>
        </is>
      </c>
      <c r="L2634" t="inlineStr">
        <is>
          <t>tr|A0A8J1KPS1|A0A8J1KPS1_XENLA uncharacterized protein LOC121393680 isoform X1 OS=Xenopus laevis OX=8355 GN=LOC121393680 PE=4 SV=1</t>
        </is>
      </c>
      <c r="M2634" t="n">
        <v>753</v>
      </c>
      <c r="N2634" t="inlineStr">
        <is>
          <t>Xenopus laevis</t>
        </is>
      </c>
      <c r="O2634" t="inlineStr">
        <is>
          <t>uncharacterized protein LOC121393680 isoform X1</t>
        </is>
      </c>
    </row>
    <row r="2635">
      <c r="A2635" t="inlineStr"/>
      <c r="B2635" t="inlineStr"/>
      <c r="C2635" t="inlineStr"/>
      <c r="D2635" t="inlineStr"/>
      <c r="E2635">
        <f>HYPERLINK("https://www.uniprot.org/uniprotkb/A0A673ZCQ6/entry", "A0A673ZCQ6")</f>
        <v/>
      </c>
      <c r="F2635" t="n">
        <v>39.6</v>
      </c>
      <c r="G2635" t="n">
        <v>111</v>
      </c>
      <c r="H2635" t="n">
        <v>1.68e-16</v>
      </c>
      <c r="I2635" t="inlineStr">
        <is>
          <t>TrEMBL</t>
        </is>
      </c>
      <c r="J2635" t="inlineStr"/>
      <c r="K2635" t="inlineStr">
        <is>
          <t>A0A673ZCQ6_SALTR</t>
        </is>
      </c>
      <c r="L2635" t="inlineStr">
        <is>
          <t>tr|A0A673ZCQ6|A0A673ZCQ6_SALTR Reverse transcriptase domain-containing protein OS=Salmo trutta OX=8032 PE=4 SV=1</t>
        </is>
      </c>
      <c r="M2635" t="n">
        <v>491</v>
      </c>
      <c r="N2635" t="inlineStr">
        <is>
          <t>Salmo trutta</t>
        </is>
      </c>
      <c r="O2635" t="inlineStr">
        <is>
          <t>Reverse transcriptase domain-containing protein</t>
        </is>
      </c>
    </row>
    <row r="2636">
      <c r="A2636" t="inlineStr">
        <is>
          <t>NODE_1974_length_9706_cov_71.406370_g823_i0</t>
        </is>
      </c>
      <c r="B2636" t="inlineStr">
        <is>
          <t>bombina_pachypus_blastx</t>
        </is>
      </c>
      <c r="C2636" t="n">
        <v>6.64725989329235</v>
      </c>
      <c r="D2636" t="n">
        <v>0.008365182435677901</v>
      </c>
      <c r="E2636">
        <f>HYPERLINK("https://www.uniprot.org/uniprotkb/A0A8C5QX21/entry", "A0A8C5QX21")</f>
        <v/>
      </c>
      <c r="F2636" t="n">
        <v>44.7</v>
      </c>
      <c r="G2636" t="n">
        <v>190</v>
      </c>
      <c r="H2636" t="n">
        <v>1.17e-42</v>
      </c>
      <c r="I2636" t="inlineStr">
        <is>
          <t>TrEMBL</t>
        </is>
      </c>
      <c r="J2636" t="inlineStr"/>
      <c r="K2636" t="inlineStr">
        <is>
          <t>A0A8C5QX21_9ANUR</t>
        </is>
      </c>
      <c r="L2636" t="inlineStr">
        <is>
          <t>tr|A0A8C5QX21|A0A8C5QX21_9ANUR Crack-1 is transposable element OS=Leptobrachium leishanense OX=445787 PE=4 SV=1</t>
        </is>
      </c>
      <c r="M2636" t="n">
        <v>252</v>
      </c>
      <c r="N2636" t="inlineStr">
        <is>
          <t>Leptobrachium leishanense</t>
        </is>
      </c>
      <c r="O2636" t="inlineStr">
        <is>
          <t>Crack-1 is transposable element</t>
        </is>
      </c>
    </row>
    <row r="2637">
      <c r="A2637" t="inlineStr"/>
      <c r="B2637" t="inlineStr"/>
      <c r="C2637" t="inlineStr"/>
      <c r="D2637" t="inlineStr"/>
      <c r="E2637">
        <f>HYPERLINK("https://www.uniprot.org/uniprotkb/A0A8C5QX21/entry", "A0A8C5QX21")</f>
        <v/>
      </c>
      <c r="F2637" t="n">
        <v>44.7</v>
      </c>
      <c r="G2637" t="n">
        <v>190</v>
      </c>
      <c r="H2637" t="n">
        <v>1.17e-42</v>
      </c>
      <c r="I2637" t="inlineStr">
        <is>
          <t>TrEMBL</t>
        </is>
      </c>
      <c r="J2637" t="inlineStr"/>
      <c r="K2637" t="inlineStr">
        <is>
          <t>A0A8C5QX21_9ANUR</t>
        </is>
      </c>
      <c r="L2637" t="inlineStr">
        <is>
          <t>tr|A0A8C5QX21|A0A8C5QX21_9ANUR Crack-1 is transposable element OS=Leptobrachium leishanense OX=445787 PE=4 SV=1</t>
        </is>
      </c>
      <c r="M2637" t="n">
        <v>252</v>
      </c>
      <c r="N2637" t="inlineStr">
        <is>
          <t>Leptobrachium leishanense</t>
        </is>
      </c>
      <c r="O2637" t="inlineStr">
        <is>
          <t>Crack-1 is transposable element</t>
        </is>
      </c>
    </row>
    <row r="2638">
      <c r="A2638" t="inlineStr"/>
      <c r="B2638" t="inlineStr"/>
      <c r="C2638" t="inlineStr"/>
      <c r="D2638" t="inlineStr"/>
      <c r="E2638">
        <f>HYPERLINK("https://www.uniprot.org/uniprotkb/A0A8C5M9B1/entry", "A0A8C5M9B1")</f>
        <v/>
      </c>
      <c r="F2638" t="n">
        <v>44.2</v>
      </c>
      <c r="G2638" t="n">
        <v>190</v>
      </c>
      <c r="H2638" t="n">
        <v>1.8e-41</v>
      </c>
      <c r="I2638" t="inlineStr">
        <is>
          <t>TrEMBL</t>
        </is>
      </c>
      <c r="J2638" t="inlineStr"/>
      <c r="K2638" t="inlineStr">
        <is>
          <t>A0A8C5M9B1_9ANUR</t>
        </is>
      </c>
      <c r="L2638" t="inlineStr">
        <is>
          <t>tr|A0A8C5M9B1|A0A8C5M9B1_9ANUR CxC1 domain-containing protein OS=Leptobrachium leishanense OX=445787 PE=4 SV=1</t>
        </is>
      </c>
      <c r="M2638" t="n">
        <v>318</v>
      </c>
      <c r="N2638" t="inlineStr">
        <is>
          <t>Leptobrachium leishanense</t>
        </is>
      </c>
      <c r="O2638" t="inlineStr">
        <is>
          <t>CxC1 domain-containing protein</t>
        </is>
      </c>
    </row>
    <row r="2639">
      <c r="A2639" t="inlineStr"/>
      <c r="B2639" t="inlineStr"/>
      <c r="C2639" t="inlineStr"/>
      <c r="D2639" t="inlineStr"/>
      <c r="E2639">
        <f>HYPERLINK("https://www.uniprot.org/uniprotkb/A0A8C5M9B1/entry", "A0A8C5M9B1")</f>
        <v/>
      </c>
      <c r="F2639" t="n">
        <v>44.2</v>
      </c>
      <c r="G2639" t="n">
        <v>190</v>
      </c>
      <c r="H2639" t="n">
        <v>1.8e-41</v>
      </c>
      <c r="I2639" t="inlineStr">
        <is>
          <t>TrEMBL</t>
        </is>
      </c>
      <c r="J2639" t="inlineStr"/>
      <c r="K2639" t="inlineStr">
        <is>
          <t>A0A8C5M9B1_9ANUR</t>
        </is>
      </c>
      <c r="L2639" t="inlineStr">
        <is>
          <t>tr|A0A8C5M9B1|A0A8C5M9B1_9ANUR CxC1 domain-containing protein OS=Leptobrachium leishanense OX=445787 PE=4 SV=1</t>
        </is>
      </c>
      <c r="M2639" t="n">
        <v>318</v>
      </c>
      <c r="N2639" t="inlineStr">
        <is>
          <t>Leptobrachium leishanense</t>
        </is>
      </c>
      <c r="O2639" t="inlineStr">
        <is>
          <t>CxC1 domain-containing protein</t>
        </is>
      </c>
    </row>
    <row r="2640">
      <c r="A2640" t="inlineStr"/>
      <c r="B2640" t="inlineStr"/>
      <c r="C2640" t="inlineStr"/>
      <c r="D2640" t="inlineStr"/>
      <c r="E2640">
        <f>HYPERLINK("https://www.uniprot.org/uniprotkb/A0A8C5MQW5/entry", "A0A8C5MQW5")</f>
        <v/>
      </c>
      <c r="F2640" t="n">
        <v>44.7</v>
      </c>
      <c r="G2640" t="n">
        <v>190</v>
      </c>
      <c r="H2640" t="n">
        <v>5.03e-41</v>
      </c>
      <c r="I2640" t="inlineStr">
        <is>
          <t>TrEMBL</t>
        </is>
      </c>
      <c r="J2640" t="inlineStr"/>
      <c r="K2640" t="inlineStr">
        <is>
          <t>A0A8C5MQW5_9ANUR</t>
        </is>
      </c>
      <c r="L2640" t="inlineStr">
        <is>
          <t>tr|A0A8C5MQW5|A0A8C5MQW5_9ANUR Sec2p domain-containing protein OS=Leptobrachium leishanense OX=445787 PE=4 SV=1</t>
        </is>
      </c>
      <c r="M2640" t="n">
        <v>318</v>
      </c>
      <c r="N2640" t="inlineStr">
        <is>
          <t>Leptobrachium leishanense</t>
        </is>
      </c>
      <c r="O2640" t="inlineStr">
        <is>
          <t>Sec2p domain-containing protein</t>
        </is>
      </c>
    </row>
    <row r="2641">
      <c r="A2641" t="inlineStr"/>
      <c r="B2641" t="inlineStr"/>
      <c r="C2641" t="inlineStr"/>
      <c r="D2641" t="inlineStr"/>
      <c r="E2641">
        <f>HYPERLINK("https://www.uniprot.org/uniprotkb/A0A8C5MQW5/entry", "A0A8C5MQW5")</f>
        <v/>
      </c>
      <c r="F2641" t="n">
        <v>44.7</v>
      </c>
      <c r="G2641" t="n">
        <v>190</v>
      </c>
      <c r="H2641" t="n">
        <v>5.03e-41</v>
      </c>
      <c r="I2641" t="inlineStr">
        <is>
          <t>TrEMBL</t>
        </is>
      </c>
      <c r="J2641" t="inlineStr"/>
      <c r="K2641" t="inlineStr">
        <is>
          <t>A0A8C5MQW5_9ANUR</t>
        </is>
      </c>
      <c r="L2641" t="inlineStr">
        <is>
          <t>tr|A0A8C5MQW5|A0A8C5MQW5_9ANUR Sec2p domain-containing protein OS=Leptobrachium leishanense OX=445787 PE=4 SV=1</t>
        </is>
      </c>
      <c r="M2641" t="n">
        <v>318</v>
      </c>
      <c r="N2641" t="inlineStr">
        <is>
          <t>Leptobrachium leishanense</t>
        </is>
      </c>
      <c r="O2641" t="inlineStr">
        <is>
          <t>Sec2p domain-containing protein</t>
        </is>
      </c>
    </row>
    <row r="2642">
      <c r="A2642" t="inlineStr"/>
      <c r="B2642" t="inlineStr"/>
      <c r="C2642" t="inlineStr"/>
      <c r="D2642" t="inlineStr"/>
      <c r="E2642">
        <f>HYPERLINK("https://www.uniprot.org/uniprotkb/A0A8C5LXH6/entry", "A0A8C5LXH6")</f>
        <v/>
      </c>
      <c r="F2642" t="n">
        <v>42.8</v>
      </c>
      <c r="G2642" t="n">
        <v>187</v>
      </c>
      <c r="H2642" t="n">
        <v>1.71e-39</v>
      </c>
      <c r="I2642" t="inlineStr">
        <is>
          <t>TrEMBL</t>
        </is>
      </c>
      <c r="J2642" t="inlineStr"/>
      <c r="K2642" t="inlineStr">
        <is>
          <t>A0A8C5LXH6_9ANUR</t>
        </is>
      </c>
      <c r="L2642" t="inlineStr">
        <is>
          <t>tr|A0A8C5LXH6|A0A8C5LXH6_9ANUR Transposase_22 domain-containing protein OS=Leptobrachium leishanense OX=445787 PE=4 SV=1</t>
        </is>
      </c>
      <c r="M2642" t="n">
        <v>280</v>
      </c>
      <c r="N2642" t="inlineStr">
        <is>
          <t>Leptobrachium leishanense</t>
        </is>
      </c>
      <c r="O2642" t="inlineStr">
        <is>
          <t>Transposase_22 domain-containing protein</t>
        </is>
      </c>
    </row>
    <row r="2643">
      <c r="A2643" t="inlineStr"/>
      <c r="B2643" t="inlineStr"/>
      <c r="C2643" t="inlineStr"/>
      <c r="D2643" t="inlineStr"/>
      <c r="E2643">
        <f>HYPERLINK("https://www.uniprot.org/uniprotkb/A0A8C5LXH6/entry", "A0A8C5LXH6")</f>
        <v/>
      </c>
      <c r="F2643" t="n">
        <v>42.8</v>
      </c>
      <c r="G2643" t="n">
        <v>187</v>
      </c>
      <c r="H2643" t="n">
        <v>1.71e-39</v>
      </c>
      <c r="I2643" t="inlineStr">
        <is>
          <t>TrEMBL</t>
        </is>
      </c>
      <c r="J2643" t="inlineStr"/>
      <c r="K2643" t="inlineStr">
        <is>
          <t>A0A8C5LXH6_9ANUR</t>
        </is>
      </c>
      <c r="L2643" t="inlineStr">
        <is>
          <t>tr|A0A8C5LXH6|A0A8C5LXH6_9ANUR Transposase_22 domain-containing protein OS=Leptobrachium leishanense OX=445787 PE=4 SV=1</t>
        </is>
      </c>
      <c r="M2643" t="n">
        <v>280</v>
      </c>
      <c r="N2643" t="inlineStr">
        <is>
          <t>Leptobrachium leishanense</t>
        </is>
      </c>
      <c r="O2643" t="inlineStr">
        <is>
          <t>Transposase_22 domain-containing protein</t>
        </is>
      </c>
    </row>
    <row r="2644">
      <c r="A2644" t="inlineStr"/>
      <c r="B2644" t="inlineStr"/>
      <c r="C2644" t="inlineStr"/>
      <c r="D2644" t="inlineStr"/>
      <c r="E2644">
        <f>HYPERLINK("https://www.uniprot.org/uniprotkb/A0A8C5PSB6/entry", "A0A8C5PSB6")</f>
        <v/>
      </c>
      <c r="F2644" t="n">
        <v>44.8</v>
      </c>
      <c r="G2644" t="n">
        <v>174</v>
      </c>
      <c r="H2644" t="n">
        <v>1.99e-39</v>
      </c>
      <c r="I2644" t="inlineStr">
        <is>
          <t>TrEMBL</t>
        </is>
      </c>
      <c r="J2644" t="inlineStr"/>
      <c r="K2644" t="inlineStr">
        <is>
          <t>A0A8C5PSB6_9ANUR</t>
        </is>
      </c>
      <c r="L2644" t="inlineStr">
        <is>
          <t>tr|A0A8C5PSB6|A0A8C5PSB6_9ANUR CxC1 domain-containing protein OS=Leptobrachium leishanense OX=445787 PE=4 SV=1</t>
        </is>
      </c>
      <c r="M2644" t="n">
        <v>300</v>
      </c>
      <c r="N2644" t="inlineStr">
        <is>
          <t>Leptobrachium leishanense</t>
        </is>
      </c>
      <c r="O2644" t="inlineStr">
        <is>
          <t>CxC1 domain-containing protein</t>
        </is>
      </c>
    </row>
    <row r="2645">
      <c r="A2645" t="inlineStr"/>
      <c r="B2645" t="inlineStr"/>
      <c r="C2645" t="inlineStr"/>
      <c r="D2645" t="inlineStr"/>
      <c r="E2645">
        <f>HYPERLINK("https://www.uniprot.org/uniprotkb/A0A8C5PSB6/entry", "A0A8C5PSB6")</f>
        <v/>
      </c>
      <c r="F2645" t="n">
        <v>44.8</v>
      </c>
      <c r="G2645" t="n">
        <v>174</v>
      </c>
      <c r="H2645" t="n">
        <v>1.99e-39</v>
      </c>
      <c r="I2645" t="inlineStr">
        <is>
          <t>TrEMBL</t>
        </is>
      </c>
      <c r="J2645" t="inlineStr"/>
      <c r="K2645" t="inlineStr">
        <is>
          <t>A0A8C5PSB6_9ANUR</t>
        </is>
      </c>
      <c r="L2645" t="inlineStr">
        <is>
          <t>tr|A0A8C5PSB6|A0A8C5PSB6_9ANUR CxC1 domain-containing protein OS=Leptobrachium leishanense OX=445787 PE=4 SV=1</t>
        </is>
      </c>
      <c r="M2645" t="n">
        <v>300</v>
      </c>
      <c r="N2645" t="inlineStr">
        <is>
          <t>Leptobrachium leishanense</t>
        </is>
      </c>
      <c r="O2645" t="inlineStr">
        <is>
          <t>CxC1 domain-containing protein</t>
        </is>
      </c>
    </row>
    <row r="2646">
      <c r="A2646" t="inlineStr"/>
      <c r="B2646" t="inlineStr"/>
      <c r="C2646" t="inlineStr"/>
      <c r="D2646" t="inlineStr"/>
      <c r="E2646">
        <f>HYPERLINK("https://www.uniprot.org/uniprotkb/A0A8C5PU33/entry", "A0A8C5PU33")</f>
        <v/>
      </c>
      <c r="F2646" t="n">
        <v>42.8</v>
      </c>
      <c r="G2646" t="n">
        <v>187</v>
      </c>
      <c r="H2646" t="n">
        <v>2.04e-39</v>
      </c>
      <c r="I2646" t="inlineStr">
        <is>
          <t>TrEMBL</t>
        </is>
      </c>
      <c r="J2646" t="inlineStr"/>
      <c r="K2646" t="inlineStr">
        <is>
          <t>A0A8C5PU33_9ANUR</t>
        </is>
      </c>
      <c r="L2646" t="inlineStr">
        <is>
          <t>tr|A0A8C5PU33|A0A8C5PU33_9ANUR Transposase_22 domain-containing protein OS=Leptobrachium leishanense OX=445787 PE=4 SV=1</t>
        </is>
      </c>
      <c r="M2646" t="n">
        <v>301</v>
      </c>
      <c r="N2646" t="inlineStr">
        <is>
          <t>Leptobrachium leishanense</t>
        </is>
      </c>
      <c r="O2646" t="inlineStr">
        <is>
          <t>Transposase_22 domain-containing protein</t>
        </is>
      </c>
    </row>
    <row r="2647">
      <c r="A2647" t="inlineStr"/>
      <c r="B2647" t="inlineStr"/>
      <c r="C2647" t="inlineStr"/>
      <c r="D2647" t="inlineStr"/>
      <c r="E2647">
        <f>HYPERLINK("https://www.uniprot.org/uniprotkb/A0A8C5PU33/entry", "A0A8C5PU33")</f>
        <v/>
      </c>
      <c r="F2647" t="n">
        <v>42.8</v>
      </c>
      <c r="G2647" t="n">
        <v>187</v>
      </c>
      <c r="H2647" t="n">
        <v>2.04e-39</v>
      </c>
      <c r="I2647" t="inlineStr">
        <is>
          <t>TrEMBL</t>
        </is>
      </c>
      <c r="J2647" t="inlineStr"/>
      <c r="K2647" t="inlineStr">
        <is>
          <t>A0A8C5PU33_9ANUR</t>
        </is>
      </c>
      <c r="L2647" t="inlineStr">
        <is>
          <t>tr|A0A8C5PU33|A0A8C5PU33_9ANUR Transposase_22 domain-containing protein OS=Leptobrachium leishanense OX=445787 PE=4 SV=1</t>
        </is>
      </c>
      <c r="M2647" t="n">
        <v>301</v>
      </c>
      <c r="N2647" t="inlineStr">
        <is>
          <t>Leptobrachium leishanense</t>
        </is>
      </c>
      <c r="O2647" t="inlineStr">
        <is>
          <t>Transposase_22 domain-containing protein</t>
        </is>
      </c>
    </row>
    <row r="2648">
      <c r="A2648" t="inlineStr"/>
      <c r="B2648" t="inlineStr"/>
      <c r="C2648" t="inlineStr"/>
      <c r="D2648" t="inlineStr"/>
      <c r="E2648">
        <f>HYPERLINK("https://www.uniprot.org/uniprotkb/A0A8C5QKB9/entry", "A0A8C5QKB9")</f>
        <v/>
      </c>
      <c r="F2648" t="n">
        <v>39.1</v>
      </c>
      <c r="G2648" t="n">
        <v>192</v>
      </c>
      <c r="H2648" t="n">
        <v>5.44e-38</v>
      </c>
      <c r="I2648" t="inlineStr">
        <is>
          <t>TrEMBL</t>
        </is>
      </c>
      <c r="J2648" t="inlineStr"/>
      <c r="K2648" t="inlineStr">
        <is>
          <t>A0A8C5QKB9_9ANUR</t>
        </is>
      </c>
      <c r="L2648" t="inlineStr">
        <is>
          <t>tr|A0A8C5QKB9|A0A8C5QKB9_9ANUR LINE-1 type transposase domain-containing protein 1 OS=Leptobrachium leishanense OX=445787 PE=4 SV=1</t>
        </is>
      </c>
      <c r="M2648" t="n">
        <v>254</v>
      </c>
      <c r="N2648" t="inlineStr">
        <is>
          <t>Leptobrachium leishanense</t>
        </is>
      </c>
      <c r="O2648" t="inlineStr">
        <is>
          <t>LINE-1 type transposase domain-containing protein 1</t>
        </is>
      </c>
    </row>
    <row r="2649">
      <c r="A2649" t="inlineStr"/>
      <c r="B2649" t="inlineStr"/>
      <c r="C2649" t="inlineStr"/>
      <c r="D2649" t="inlineStr"/>
      <c r="E2649">
        <f>HYPERLINK("https://www.uniprot.org/uniprotkb/A0A8C5QKB9/entry", "A0A8C5QKB9")</f>
        <v/>
      </c>
      <c r="F2649" t="n">
        <v>39.1</v>
      </c>
      <c r="G2649" t="n">
        <v>192</v>
      </c>
      <c r="H2649" t="n">
        <v>5.44e-38</v>
      </c>
      <c r="I2649" t="inlineStr">
        <is>
          <t>TrEMBL</t>
        </is>
      </c>
      <c r="J2649" t="inlineStr"/>
      <c r="K2649" t="inlineStr">
        <is>
          <t>A0A8C5QKB9_9ANUR</t>
        </is>
      </c>
      <c r="L2649" t="inlineStr">
        <is>
          <t>tr|A0A8C5QKB9|A0A8C5QKB9_9ANUR LINE-1 type transposase domain-containing protein 1 OS=Leptobrachium leishanense OX=445787 PE=4 SV=1</t>
        </is>
      </c>
      <c r="M2649" t="n">
        <v>254</v>
      </c>
      <c r="N2649" t="inlineStr">
        <is>
          <t>Leptobrachium leishanense</t>
        </is>
      </c>
      <c r="O2649" t="inlineStr">
        <is>
          <t>LINE-1 type transposase domain-containing protein 1</t>
        </is>
      </c>
    </row>
    <row r="2650">
      <c r="A2650" t="inlineStr"/>
      <c r="B2650" t="inlineStr"/>
      <c r="C2650" t="inlineStr"/>
      <c r="D2650" t="inlineStr"/>
      <c r="E2650">
        <f>HYPERLINK("https://www.uniprot.org/uniprotkb/A0A8C5QFH2/entry", "A0A8C5QFH2")</f>
        <v/>
      </c>
      <c r="F2650" t="n">
        <v>39.1</v>
      </c>
      <c r="G2650" t="n">
        <v>192</v>
      </c>
      <c r="H2650" t="n">
        <v>8.47e-38</v>
      </c>
      <c r="I2650" t="inlineStr">
        <is>
          <t>TrEMBL</t>
        </is>
      </c>
      <c r="J2650" t="inlineStr"/>
      <c r="K2650" t="inlineStr">
        <is>
          <t>A0A8C5QFH2_9ANUR</t>
        </is>
      </c>
      <c r="L2650" t="inlineStr">
        <is>
          <t>tr|A0A8C5QFH2|A0A8C5QFH2_9ANUR LINE-1 type transposase domain-containing protein 1 OS=Leptobrachium leishanense OX=445787 PE=4 SV=1</t>
        </is>
      </c>
      <c r="M2650" t="n">
        <v>285</v>
      </c>
      <c r="N2650" t="inlineStr">
        <is>
          <t>Leptobrachium leishanense</t>
        </is>
      </c>
      <c r="O2650" t="inlineStr">
        <is>
          <t>LINE-1 type transposase domain-containing protein 1</t>
        </is>
      </c>
    </row>
    <row r="2651">
      <c r="A2651" t="inlineStr"/>
      <c r="B2651" t="inlineStr"/>
      <c r="C2651" t="inlineStr"/>
      <c r="D2651" t="inlineStr"/>
      <c r="E2651">
        <f>HYPERLINK("https://www.uniprot.org/uniprotkb/A0A8C5QFH2/entry", "A0A8C5QFH2")</f>
        <v/>
      </c>
      <c r="F2651" t="n">
        <v>39.1</v>
      </c>
      <c r="G2651" t="n">
        <v>192</v>
      </c>
      <c r="H2651" t="n">
        <v>8.47e-38</v>
      </c>
      <c r="I2651" t="inlineStr">
        <is>
          <t>TrEMBL</t>
        </is>
      </c>
      <c r="J2651" t="inlineStr"/>
      <c r="K2651" t="inlineStr">
        <is>
          <t>A0A8C5QFH2_9ANUR</t>
        </is>
      </c>
      <c r="L2651" t="inlineStr">
        <is>
          <t>tr|A0A8C5QFH2|A0A8C5QFH2_9ANUR LINE-1 type transposase domain-containing protein 1 OS=Leptobrachium leishanense OX=445787 PE=4 SV=1</t>
        </is>
      </c>
      <c r="M2651" t="n">
        <v>285</v>
      </c>
      <c r="N2651" t="inlineStr">
        <is>
          <t>Leptobrachium leishanense</t>
        </is>
      </c>
      <c r="O2651" t="inlineStr">
        <is>
          <t>LINE-1 type transposase domain-containing protein 1</t>
        </is>
      </c>
    </row>
    <row r="2652">
      <c r="A2652" t="inlineStr"/>
      <c r="B2652" t="inlineStr"/>
      <c r="C2652" t="inlineStr"/>
      <c r="D2652" t="inlineStr"/>
      <c r="E2652">
        <f>HYPERLINK("https://www.uniprot.org/uniprotkb/A0A8C5PN13/entry", "A0A8C5PN13")</f>
        <v/>
      </c>
      <c r="F2652" t="n">
        <v>42.2</v>
      </c>
      <c r="G2652" t="n">
        <v>187</v>
      </c>
      <c r="H2652" t="n">
        <v>8.53e-38</v>
      </c>
      <c r="I2652" t="inlineStr">
        <is>
          <t>TrEMBL</t>
        </is>
      </c>
      <c r="J2652" t="inlineStr"/>
      <c r="K2652" t="inlineStr">
        <is>
          <t>A0A8C5PN13_9ANUR</t>
        </is>
      </c>
      <c r="L2652" t="inlineStr">
        <is>
          <t>tr|A0A8C5PN13|A0A8C5PN13_9ANUR Transposase_22 domain-containing protein OS=Leptobrachium leishanense OX=445787 PE=4 SV=1</t>
        </is>
      </c>
      <c r="M2652" t="n">
        <v>314</v>
      </c>
      <c r="N2652" t="inlineStr">
        <is>
          <t>Leptobrachium leishanense</t>
        </is>
      </c>
      <c r="O2652" t="inlineStr">
        <is>
          <t>Transposase_22 domain-containing protein</t>
        </is>
      </c>
    </row>
    <row r="2653">
      <c r="A2653" t="inlineStr"/>
      <c r="B2653" t="inlineStr"/>
      <c r="C2653" t="inlineStr"/>
      <c r="D2653" t="inlineStr"/>
      <c r="E2653">
        <f>HYPERLINK("https://www.uniprot.org/uniprotkb/A0A8C5PN13/entry", "A0A8C5PN13")</f>
        <v/>
      </c>
      <c r="F2653" t="n">
        <v>42.2</v>
      </c>
      <c r="G2653" t="n">
        <v>187</v>
      </c>
      <c r="H2653" t="n">
        <v>8.53e-38</v>
      </c>
      <c r="I2653" t="inlineStr">
        <is>
          <t>TrEMBL</t>
        </is>
      </c>
      <c r="J2653" t="inlineStr"/>
      <c r="K2653" t="inlineStr">
        <is>
          <t>A0A8C5PN13_9ANUR</t>
        </is>
      </c>
      <c r="L2653" t="inlineStr">
        <is>
          <t>tr|A0A8C5PN13|A0A8C5PN13_9ANUR Transposase_22 domain-containing protein OS=Leptobrachium leishanense OX=445787 PE=4 SV=1</t>
        </is>
      </c>
      <c r="M2653" t="n">
        <v>314</v>
      </c>
      <c r="N2653" t="inlineStr">
        <is>
          <t>Leptobrachium leishanense</t>
        </is>
      </c>
      <c r="O2653" t="inlineStr">
        <is>
          <t>Transposase_22 domain-containing protein</t>
        </is>
      </c>
    </row>
    <row r="2654">
      <c r="A2654" t="inlineStr"/>
      <c r="B2654" t="inlineStr"/>
      <c r="C2654" t="inlineStr"/>
      <c r="D2654" t="inlineStr"/>
      <c r="E2654">
        <f>HYPERLINK("https://www.uniprot.org/uniprotkb/A0A8C5Q945/entry", "A0A8C5Q945")</f>
        <v/>
      </c>
      <c r="F2654" t="n">
        <v>42.2</v>
      </c>
      <c r="G2654" t="n">
        <v>187</v>
      </c>
      <c r="H2654" t="n">
        <v>9.14e-38</v>
      </c>
      <c r="I2654" t="inlineStr">
        <is>
          <t>TrEMBL</t>
        </is>
      </c>
      <c r="J2654" t="inlineStr"/>
      <c r="K2654" t="inlineStr">
        <is>
          <t>A0A8C5Q945_9ANUR</t>
        </is>
      </c>
      <c r="L2654" t="inlineStr">
        <is>
          <t>tr|A0A8C5Q945|A0A8C5Q945_9ANUR Transposase_22 domain-containing protein OS=Leptobrachium leishanense OX=445787 PE=4 SV=1</t>
        </is>
      </c>
      <c r="M2654" t="n">
        <v>317</v>
      </c>
      <c r="N2654" t="inlineStr">
        <is>
          <t>Leptobrachium leishanense</t>
        </is>
      </c>
      <c r="O2654" t="inlineStr">
        <is>
          <t>Transposase_22 domain-containing protein</t>
        </is>
      </c>
    </row>
    <row r="2655">
      <c r="A2655" t="inlineStr"/>
      <c r="B2655" t="inlineStr"/>
      <c r="C2655" t="inlineStr"/>
      <c r="D2655" t="inlineStr"/>
      <c r="E2655">
        <f>HYPERLINK("https://www.uniprot.org/uniprotkb/A0A8C5Q945/entry", "A0A8C5Q945")</f>
        <v/>
      </c>
      <c r="F2655" t="n">
        <v>42.2</v>
      </c>
      <c r="G2655" t="n">
        <v>187</v>
      </c>
      <c r="H2655" t="n">
        <v>9.14e-38</v>
      </c>
      <c r="I2655" t="inlineStr">
        <is>
          <t>TrEMBL</t>
        </is>
      </c>
      <c r="J2655" t="inlineStr"/>
      <c r="K2655" t="inlineStr">
        <is>
          <t>A0A8C5Q945_9ANUR</t>
        </is>
      </c>
      <c r="L2655" t="inlineStr">
        <is>
          <t>tr|A0A8C5Q945|A0A8C5Q945_9ANUR Transposase_22 domain-containing protein OS=Leptobrachium leishanense OX=445787 PE=4 SV=1</t>
        </is>
      </c>
      <c r="M2655" t="n">
        <v>317</v>
      </c>
      <c r="N2655" t="inlineStr">
        <is>
          <t>Leptobrachium leishanense</t>
        </is>
      </c>
      <c r="O2655" t="inlineStr">
        <is>
          <t>Transposase_22 domain-containing protein</t>
        </is>
      </c>
    </row>
    <row r="2656">
      <c r="A2656" t="inlineStr"/>
      <c r="B2656" t="inlineStr"/>
      <c r="C2656" t="inlineStr"/>
      <c r="D2656" t="inlineStr"/>
      <c r="E2656">
        <f>HYPERLINK("https://www.uniprot.org/uniprotkb/A0A8C5PHC0/entry", "A0A8C5PHC0")</f>
        <v/>
      </c>
      <c r="F2656" t="n">
        <v>40.5</v>
      </c>
      <c r="G2656" t="n">
        <v>190</v>
      </c>
      <c r="H2656" t="n">
        <v>1.29e-37</v>
      </c>
      <c r="I2656" t="inlineStr">
        <is>
          <t>TrEMBL</t>
        </is>
      </c>
      <c r="J2656" t="inlineStr"/>
      <c r="K2656" t="inlineStr">
        <is>
          <t>A0A8C5PHC0_9ANUR</t>
        </is>
      </c>
      <c r="L2656" t="inlineStr">
        <is>
          <t>tr|A0A8C5PHC0|A0A8C5PHC0_9ANUR Thioredoxin-like protein OS=Leptobrachium leishanense OX=445787 PE=4 SV=1</t>
        </is>
      </c>
      <c r="M2656" t="n">
        <v>317</v>
      </c>
      <c r="N2656" t="inlineStr">
        <is>
          <t>Leptobrachium leishanense</t>
        </is>
      </c>
      <c r="O2656" t="inlineStr">
        <is>
          <t>Thioredoxin-like protein</t>
        </is>
      </c>
    </row>
    <row r="2657">
      <c r="A2657" t="inlineStr"/>
      <c r="B2657" t="inlineStr"/>
      <c r="C2657" t="inlineStr"/>
      <c r="D2657" t="inlineStr"/>
      <c r="E2657">
        <f>HYPERLINK("https://www.uniprot.org/uniprotkb/A0A8C5PHC0/entry", "A0A8C5PHC0")</f>
        <v/>
      </c>
      <c r="F2657" t="n">
        <v>40.5</v>
      </c>
      <c r="G2657" t="n">
        <v>190</v>
      </c>
      <c r="H2657" t="n">
        <v>1.29e-37</v>
      </c>
      <c r="I2657" t="inlineStr">
        <is>
          <t>TrEMBL</t>
        </is>
      </c>
      <c r="J2657" t="inlineStr"/>
      <c r="K2657" t="inlineStr">
        <is>
          <t>A0A8C5PHC0_9ANUR</t>
        </is>
      </c>
      <c r="L2657" t="inlineStr">
        <is>
          <t>tr|A0A8C5PHC0|A0A8C5PHC0_9ANUR Thioredoxin-like protein OS=Leptobrachium leishanense OX=445787 PE=4 SV=1</t>
        </is>
      </c>
      <c r="M2657" t="n">
        <v>317</v>
      </c>
      <c r="N2657" t="inlineStr">
        <is>
          <t>Leptobrachium leishanense</t>
        </is>
      </c>
      <c r="O2657" t="inlineStr">
        <is>
          <t>Thioredoxin-like protein</t>
        </is>
      </c>
    </row>
    <row r="2658">
      <c r="A2658" t="inlineStr"/>
      <c r="B2658" t="inlineStr"/>
      <c r="C2658" t="inlineStr"/>
      <c r="D2658" t="inlineStr"/>
      <c r="E2658">
        <f>HYPERLINK("https://www.ncbi.nlm.nih.gov/gene/?term=XP_040270366.1", "XP_040270366.1")</f>
        <v/>
      </c>
      <c r="F2658" t="n">
        <v>41.6</v>
      </c>
      <c r="G2658" t="n">
        <v>173</v>
      </c>
      <c r="H2658" t="n">
        <v>6.05e-37</v>
      </c>
      <c r="I2658" t="inlineStr">
        <is>
          <t>Nr</t>
        </is>
      </c>
      <c r="J2658" t="inlineStr"/>
      <c r="K2658" t="inlineStr"/>
      <c r="L2658" t="inlineStr">
        <is>
          <t>XP_040270366.1 uncharacterized protein LOC120986071 [Bufo bufo]</t>
        </is>
      </c>
      <c r="M2658" t="n">
        <v>413</v>
      </c>
      <c r="N2658" t="inlineStr">
        <is>
          <t>Bufo bufo</t>
        </is>
      </c>
      <c r="O2658" t="inlineStr">
        <is>
          <t>uncharacterized protein LOC120986071</t>
        </is>
      </c>
    </row>
    <row r="2659">
      <c r="A2659" t="inlineStr"/>
      <c r="B2659" t="inlineStr"/>
      <c r="C2659" t="inlineStr"/>
      <c r="D2659" t="inlineStr"/>
      <c r="E2659">
        <f>HYPERLINK("https://www.ncbi.nlm.nih.gov/gene/?term=XP_040270366.1", "XP_040270366.1")</f>
        <v/>
      </c>
      <c r="F2659" t="n">
        <v>41.6</v>
      </c>
      <c r="G2659" t="n">
        <v>173</v>
      </c>
      <c r="H2659" t="n">
        <v>6.05e-37</v>
      </c>
      <c r="I2659" t="inlineStr">
        <is>
          <t>Nr</t>
        </is>
      </c>
      <c r="J2659" t="inlineStr"/>
      <c r="K2659" t="inlineStr"/>
      <c r="L2659" t="inlineStr">
        <is>
          <t>XP_040270366.1 uncharacterized protein LOC120986071 [Bufo bufo]</t>
        </is>
      </c>
      <c r="M2659" t="n">
        <v>413</v>
      </c>
      <c r="N2659" t="inlineStr">
        <is>
          <t>Bufo bufo</t>
        </is>
      </c>
      <c r="O2659" t="inlineStr">
        <is>
          <t>uncharacterized protein LOC120986071</t>
        </is>
      </c>
    </row>
    <row r="2660">
      <c r="A2660" t="inlineStr"/>
      <c r="B2660" t="inlineStr"/>
      <c r="C2660" t="inlineStr"/>
      <c r="D2660" t="inlineStr"/>
      <c r="E2660">
        <f>HYPERLINK("https://www.uniprot.org/uniprotkb/A0A8C5WC99/entry", "A0A8C5WC99")</f>
        <v/>
      </c>
      <c r="F2660" t="n">
        <v>39.8</v>
      </c>
      <c r="G2660" t="n">
        <v>171</v>
      </c>
      <c r="H2660" t="n">
        <v>9.49e-37</v>
      </c>
      <c r="I2660" t="inlineStr">
        <is>
          <t>TrEMBL</t>
        </is>
      </c>
      <c r="J2660" t="inlineStr"/>
      <c r="K2660" t="inlineStr">
        <is>
          <t>A0A8C5WC99_9ANUR</t>
        </is>
      </c>
      <c r="L2660" t="inlineStr">
        <is>
          <t>tr|A0A8C5WC99|A0A8C5WC99_9ANUR LINE-1 type transposase domain-containing protein 1 OS=Leptobrachium leishanense OX=445787 PE=4 SV=1</t>
        </is>
      </c>
      <c r="M2660" t="n">
        <v>300</v>
      </c>
      <c r="N2660" t="inlineStr">
        <is>
          <t>Leptobrachium leishanense</t>
        </is>
      </c>
      <c r="O2660" t="inlineStr">
        <is>
          <t>LINE-1 type transposase domain-containing protein 1</t>
        </is>
      </c>
    </row>
    <row r="2661">
      <c r="A2661" t="inlineStr"/>
      <c r="B2661" t="inlineStr"/>
      <c r="C2661" t="inlineStr"/>
      <c r="D2661" t="inlineStr"/>
      <c r="E2661">
        <f>HYPERLINK("https://www.uniprot.org/uniprotkb/A0A8C5WC99/entry", "A0A8C5WC99")</f>
        <v/>
      </c>
      <c r="F2661" t="n">
        <v>39.8</v>
      </c>
      <c r="G2661" t="n">
        <v>171</v>
      </c>
      <c r="H2661" t="n">
        <v>9.49e-37</v>
      </c>
      <c r="I2661" t="inlineStr">
        <is>
          <t>TrEMBL</t>
        </is>
      </c>
      <c r="J2661" t="inlineStr"/>
      <c r="K2661" t="inlineStr">
        <is>
          <t>A0A8C5WC99_9ANUR</t>
        </is>
      </c>
      <c r="L2661" t="inlineStr">
        <is>
          <t>tr|A0A8C5WC99|A0A8C5WC99_9ANUR LINE-1 type transposase domain-containing protein 1 OS=Leptobrachium leishanense OX=445787 PE=4 SV=1</t>
        </is>
      </c>
      <c r="M2661" t="n">
        <v>300</v>
      </c>
      <c r="N2661" t="inlineStr">
        <is>
          <t>Leptobrachium leishanense</t>
        </is>
      </c>
      <c r="O2661" t="inlineStr">
        <is>
          <t>LINE-1 type transposase domain-containing protein 1</t>
        </is>
      </c>
    </row>
    <row r="2662">
      <c r="A2662" t="inlineStr"/>
      <c r="B2662" t="inlineStr"/>
      <c r="C2662" t="inlineStr"/>
      <c r="D2662" t="inlineStr"/>
      <c r="E2662">
        <f>HYPERLINK("https://www.uniprot.org/uniprotkb/A0A8C5M7V9/entry", "A0A8C5M7V9")</f>
        <v/>
      </c>
      <c r="F2662" t="n">
        <v>40.6</v>
      </c>
      <c r="G2662" t="n">
        <v>187</v>
      </c>
      <c r="H2662" t="n">
        <v>9.980000000000001e-37</v>
      </c>
      <c r="I2662" t="inlineStr">
        <is>
          <t>TrEMBL</t>
        </is>
      </c>
      <c r="J2662" t="inlineStr"/>
      <c r="K2662" t="inlineStr">
        <is>
          <t>A0A8C5M7V9_9ANUR</t>
        </is>
      </c>
      <c r="L2662" t="inlineStr">
        <is>
          <t>tr|A0A8C5M7V9|A0A8C5M7V9_9ANUR Transposase_22 domain-containing protein OS=Leptobrachium leishanense OX=445787 PE=4 SV=1</t>
        </is>
      </c>
      <c r="M2662" t="n">
        <v>317</v>
      </c>
      <c r="N2662" t="inlineStr">
        <is>
          <t>Leptobrachium leishanense</t>
        </is>
      </c>
      <c r="O2662" t="inlineStr">
        <is>
          <t>Transposase_22 domain-containing protein</t>
        </is>
      </c>
    </row>
    <row r="2663">
      <c r="A2663" t="inlineStr"/>
      <c r="B2663" t="inlineStr"/>
      <c r="C2663" t="inlineStr"/>
      <c r="D2663" t="inlineStr"/>
      <c r="E2663">
        <f>HYPERLINK("https://www.uniprot.org/uniprotkb/A0A8C5M7V9/entry", "A0A8C5M7V9")</f>
        <v/>
      </c>
      <c r="F2663" t="n">
        <v>40.6</v>
      </c>
      <c r="G2663" t="n">
        <v>187</v>
      </c>
      <c r="H2663" t="n">
        <v>9.980000000000001e-37</v>
      </c>
      <c r="I2663" t="inlineStr">
        <is>
          <t>TrEMBL</t>
        </is>
      </c>
      <c r="J2663" t="inlineStr"/>
      <c r="K2663" t="inlineStr">
        <is>
          <t>A0A8C5M7V9_9ANUR</t>
        </is>
      </c>
      <c r="L2663" t="inlineStr">
        <is>
          <t>tr|A0A8C5M7V9|A0A8C5M7V9_9ANUR Transposase_22 domain-containing protein OS=Leptobrachium leishanense OX=445787 PE=4 SV=1</t>
        </is>
      </c>
      <c r="M2663" t="n">
        <v>317</v>
      </c>
      <c r="N2663" t="inlineStr">
        <is>
          <t>Leptobrachium leishanense</t>
        </is>
      </c>
      <c r="O2663" t="inlineStr">
        <is>
          <t>Transposase_22 domain-containing protein</t>
        </is>
      </c>
    </row>
    <row r="2664">
      <c r="A2664" t="inlineStr"/>
      <c r="B2664" t="inlineStr"/>
      <c r="C2664" t="inlineStr"/>
      <c r="D2664" t="inlineStr"/>
      <c r="E2664">
        <f>HYPERLINK("https://www.uniprot.org/uniprotkb/A0A8J1INX9/entry", "A0A8J1INX9")</f>
        <v/>
      </c>
      <c r="F2664" t="n">
        <v>39.8</v>
      </c>
      <c r="G2664" t="n">
        <v>201</v>
      </c>
      <c r="H2664" t="n">
        <v>2.09e-36</v>
      </c>
      <c r="I2664" t="inlineStr">
        <is>
          <t>TrEMBL</t>
        </is>
      </c>
      <c r="J2664" t="inlineStr">
        <is>
          <t>LOC116406722</t>
        </is>
      </c>
      <c r="K2664" t="inlineStr">
        <is>
          <t>A0A8J1INX9_XENTR</t>
        </is>
      </c>
      <c r="L2664" t="inlineStr">
        <is>
          <t>tr|A0A8J1INX9|A0A8J1INX9_XENTR uncharacterized protein LOC116406722 OS=Xenopus tropicalis OX=8364 GN=LOC116406722 PE=4 SV=1</t>
        </is>
      </c>
      <c r="M2664" t="n">
        <v>262</v>
      </c>
      <c r="N2664" t="inlineStr">
        <is>
          <t>Xenopus tropicalis</t>
        </is>
      </c>
      <c r="O2664" t="inlineStr">
        <is>
          <t>uncharacterized protein LOC116406722</t>
        </is>
      </c>
    </row>
    <row r="2665">
      <c r="A2665" t="inlineStr"/>
      <c r="B2665" t="inlineStr"/>
      <c r="C2665" t="inlineStr"/>
      <c r="D2665" t="inlineStr"/>
      <c r="E2665">
        <f>HYPERLINK("https://www.uniprot.org/uniprotkb/A0A8J1INX9/entry", "A0A8J1INX9")</f>
        <v/>
      </c>
      <c r="F2665" t="n">
        <v>39.8</v>
      </c>
      <c r="G2665" t="n">
        <v>201</v>
      </c>
      <c r="H2665" t="n">
        <v>2.09e-36</v>
      </c>
      <c r="I2665" t="inlineStr">
        <is>
          <t>TrEMBL</t>
        </is>
      </c>
      <c r="J2665" t="inlineStr">
        <is>
          <t>LOC116406722</t>
        </is>
      </c>
      <c r="K2665" t="inlineStr">
        <is>
          <t>A0A8J1INX9_XENTR</t>
        </is>
      </c>
      <c r="L2665" t="inlineStr">
        <is>
          <t>tr|A0A8J1INX9|A0A8J1INX9_XENTR uncharacterized protein LOC116406722 OS=Xenopus tropicalis OX=8364 GN=LOC116406722 PE=4 SV=1</t>
        </is>
      </c>
      <c r="M2665" t="n">
        <v>262</v>
      </c>
      <c r="N2665" t="inlineStr">
        <is>
          <t>Xenopus tropicalis</t>
        </is>
      </c>
      <c r="O2665" t="inlineStr">
        <is>
          <t>uncharacterized protein LOC116406722</t>
        </is>
      </c>
    </row>
    <row r="2666">
      <c r="A2666" t="inlineStr"/>
      <c r="B2666" t="inlineStr"/>
      <c r="C2666" t="inlineStr"/>
      <c r="D2666" t="inlineStr"/>
      <c r="E2666">
        <f>HYPERLINK("https://www.ncbi.nlm.nih.gov/gene/?term=XP_031747289.1", "XP_031747289.1")</f>
        <v/>
      </c>
      <c r="F2666" t="n">
        <v>39.8</v>
      </c>
      <c r="G2666" t="n">
        <v>201</v>
      </c>
      <c r="H2666" t="n">
        <v>5.36e-36</v>
      </c>
      <c r="I2666" t="inlineStr">
        <is>
          <t>Nr</t>
        </is>
      </c>
      <c r="J2666" t="inlineStr"/>
      <c r="K2666" t="inlineStr"/>
      <c r="L2666" t="inlineStr">
        <is>
          <t>XP_031747289.1 uncharacterized protein LOC116406722 [Xenopus tropicalis]</t>
        </is>
      </c>
      <c r="M2666" t="n">
        <v>262</v>
      </c>
      <c r="N2666" t="inlineStr">
        <is>
          <t>Xenopus tropicalis</t>
        </is>
      </c>
      <c r="O2666" t="inlineStr">
        <is>
          <t>uncharacterized protein LOC116406722</t>
        </is>
      </c>
    </row>
    <row r="2667">
      <c r="A2667" t="inlineStr"/>
      <c r="B2667" t="inlineStr"/>
      <c r="C2667" t="inlineStr"/>
      <c r="D2667" t="inlineStr"/>
      <c r="E2667">
        <f>HYPERLINK("https://www.ncbi.nlm.nih.gov/gene/?term=XP_031747289.1", "XP_031747289.1")</f>
        <v/>
      </c>
      <c r="F2667" t="n">
        <v>39.8</v>
      </c>
      <c r="G2667" t="n">
        <v>201</v>
      </c>
      <c r="H2667" t="n">
        <v>5.36e-36</v>
      </c>
      <c r="I2667" t="inlineStr">
        <is>
          <t>Nr</t>
        </is>
      </c>
      <c r="J2667" t="inlineStr"/>
      <c r="K2667" t="inlineStr"/>
      <c r="L2667" t="inlineStr">
        <is>
          <t>XP_031747289.1 uncharacterized protein LOC116406722 [Xenopus tropicalis]</t>
        </is>
      </c>
      <c r="M2667" t="n">
        <v>262</v>
      </c>
      <c r="N2667" t="inlineStr">
        <is>
          <t>Xenopus tropicalis</t>
        </is>
      </c>
      <c r="O2667" t="inlineStr">
        <is>
          <t>uncharacterized protein LOC116406722</t>
        </is>
      </c>
    </row>
    <row r="2668">
      <c r="A2668" t="inlineStr"/>
      <c r="B2668" t="inlineStr"/>
      <c r="C2668" t="inlineStr"/>
      <c r="D2668" t="inlineStr"/>
      <c r="E2668">
        <f>HYPERLINK("https://www.uniprot.org/uniprotkb/A0A8C5PW62/entry", "A0A8C5PW62")</f>
        <v/>
      </c>
      <c r="F2668" t="n">
        <v>40.6</v>
      </c>
      <c r="G2668" t="n">
        <v>187</v>
      </c>
      <c r="H2668" t="n">
        <v>8.44e-36</v>
      </c>
      <c r="I2668" t="inlineStr">
        <is>
          <t>TrEMBL</t>
        </is>
      </c>
      <c r="J2668" t="inlineStr"/>
      <c r="K2668" t="inlineStr">
        <is>
          <t>A0A8C5PW62_9ANUR</t>
        </is>
      </c>
      <c r="L2668" t="inlineStr">
        <is>
          <t>tr|A0A8C5PW62|A0A8C5PW62_9ANUR Transposase_22 domain-containing protein OS=Leptobrachium leishanense OX=445787 PE=4 SV=1</t>
        </is>
      </c>
      <c r="M2668" t="n">
        <v>321</v>
      </c>
      <c r="N2668" t="inlineStr">
        <is>
          <t>Leptobrachium leishanense</t>
        </is>
      </c>
      <c r="O2668" t="inlineStr">
        <is>
          <t>Transposase_22 domain-containing protein</t>
        </is>
      </c>
    </row>
    <row r="2669">
      <c r="A2669" t="inlineStr"/>
      <c r="B2669" t="inlineStr"/>
      <c r="C2669" t="inlineStr"/>
      <c r="D2669" t="inlineStr"/>
      <c r="E2669">
        <f>HYPERLINK("https://www.uniprot.org/uniprotkb/A0A8C5PW62/entry", "A0A8C5PW62")</f>
        <v/>
      </c>
      <c r="F2669" t="n">
        <v>40.6</v>
      </c>
      <c r="G2669" t="n">
        <v>187</v>
      </c>
      <c r="H2669" t="n">
        <v>8.44e-36</v>
      </c>
      <c r="I2669" t="inlineStr">
        <is>
          <t>TrEMBL</t>
        </is>
      </c>
      <c r="J2669" t="inlineStr"/>
      <c r="K2669" t="inlineStr">
        <is>
          <t>A0A8C5PW62_9ANUR</t>
        </is>
      </c>
      <c r="L2669" t="inlineStr">
        <is>
          <t>tr|A0A8C5PW62|A0A8C5PW62_9ANUR Transposase_22 domain-containing protein OS=Leptobrachium leishanense OX=445787 PE=4 SV=1</t>
        </is>
      </c>
      <c r="M2669" t="n">
        <v>321</v>
      </c>
      <c r="N2669" t="inlineStr">
        <is>
          <t>Leptobrachium leishanense</t>
        </is>
      </c>
      <c r="O2669" t="inlineStr">
        <is>
          <t>Transposase_22 domain-containing protein</t>
        </is>
      </c>
    </row>
    <row r="2670">
      <c r="A2670" t="inlineStr"/>
      <c r="B2670" t="inlineStr"/>
      <c r="C2670" t="inlineStr"/>
      <c r="D2670" t="inlineStr"/>
      <c r="E2670">
        <f>HYPERLINK("https://www.uniprot.org/uniprotkb/A0A8C5LVP6/entry", "A0A8C5LVP6")</f>
        <v/>
      </c>
      <c r="F2670" t="n">
        <v>38.9</v>
      </c>
      <c r="G2670" t="n">
        <v>190</v>
      </c>
      <c r="H2670" t="n">
        <v>1.38e-35</v>
      </c>
      <c r="I2670" t="inlineStr">
        <is>
          <t>TrEMBL</t>
        </is>
      </c>
      <c r="J2670" t="inlineStr"/>
      <c r="K2670" t="inlineStr">
        <is>
          <t>A0A8C5LVP6_9ANUR</t>
        </is>
      </c>
      <c r="L2670" t="inlineStr">
        <is>
          <t>tr|A0A8C5LVP6|A0A8C5LVP6_9ANUR Transposase OS=Leptobrachium leishanense OX=445787 PE=4 SV=1</t>
        </is>
      </c>
      <c r="M2670" t="n">
        <v>378</v>
      </c>
      <c r="N2670" t="inlineStr">
        <is>
          <t>Leptobrachium leishanense</t>
        </is>
      </c>
      <c r="O2670" t="inlineStr">
        <is>
          <t>Transposase</t>
        </is>
      </c>
    </row>
    <row r="2671">
      <c r="A2671" t="inlineStr"/>
      <c r="B2671" t="inlineStr"/>
      <c r="C2671" t="inlineStr"/>
      <c r="D2671" t="inlineStr"/>
      <c r="E2671">
        <f>HYPERLINK("https://www.uniprot.org/uniprotkb/A0A8C5LVP6/entry", "A0A8C5LVP6")</f>
        <v/>
      </c>
      <c r="F2671" t="n">
        <v>38.9</v>
      </c>
      <c r="G2671" t="n">
        <v>190</v>
      </c>
      <c r="H2671" t="n">
        <v>1.38e-35</v>
      </c>
      <c r="I2671" t="inlineStr">
        <is>
          <t>TrEMBL</t>
        </is>
      </c>
      <c r="J2671" t="inlineStr"/>
      <c r="K2671" t="inlineStr">
        <is>
          <t>A0A8C5LVP6_9ANUR</t>
        </is>
      </c>
      <c r="L2671" t="inlineStr">
        <is>
          <t>tr|A0A8C5LVP6|A0A8C5LVP6_9ANUR Transposase OS=Leptobrachium leishanense OX=445787 PE=4 SV=1</t>
        </is>
      </c>
      <c r="M2671" t="n">
        <v>378</v>
      </c>
      <c r="N2671" t="inlineStr">
        <is>
          <t>Leptobrachium leishanense</t>
        </is>
      </c>
      <c r="O2671" t="inlineStr">
        <is>
          <t>Transposase</t>
        </is>
      </c>
    </row>
    <row r="2672">
      <c r="A2672" t="inlineStr"/>
      <c r="B2672" t="inlineStr"/>
      <c r="C2672" t="inlineStr"/>
      <c r="D2672" t="inlineStr"/>
      <c r="E2672">
        <f>HYPERLINK("https://www.uniprot.org/uniprotkb/A0A6I8RW77/entry", "A0A6I8RW77")</f>
        <v/>
      </c>
      <c r="F2672" t="n">
        <v>40.2</v>
      </c>
      <c r="G2672" t="n">
        <v>179</v>
      </c>
      <c r="H2672" t="n">
        <v>2.73e-35</v>
      </c>
      <c r="I2672" t="inlineStr">
        <is>
          <t>TrEMBL</t>
        </is>
      </c>
      <c r="J2672" t="inlineStr"/>
      <c r="K2672" t="inlineStr">
        <is>
          <t>A0A6I8RW77_XENTR</t>
        </is>
      </c>
      <c r="L2672" t="inlineStr">
        <is>
          <t>tr|A0A6I8RW77|A0A6I8RW77_XENTR Reverse transcriptase domain-containing protein OS=Xenopus tropicalis OX=8364 PE=4 SV=2</t>
        </is>
      </c>
      <c r="M2672" t="n">
        <v>1148</v>
      </c>
      <c r="N2672" t="inlineStr">
        <is>
          <t>Xenopus tropicalis</t>
        </is>
      </c>
      <c r="O2672" t="inlineStr">
        <is>
          <t>Reverse transcriptase domain-containing protein</t>
        </is>
      </c>
    </row>
    <row r="2673">
      <c r="A2673" t="inlineStr"/>
      <c r="B2673" t="inlineStr"/>
      <c r="C2673" t="inlineStr"/>
      <c r="D2673" t="inlineStr"/>
      <c r="E2673">
        <f>HYPERLINK("https://www.ncbi.nlm.nih.gov/gene/?term=KAG8579381.1", "KAG8579381.1")</f>
        <v/>
      </c>
      <c r="F2673" t="n">
        <v>37.1</v>
      </c>
      <c r="G2673" t="n">
        <v>202</v>
      </c>
      <c r="H2673" t="n">
        <v>4.21e-35</v>
      </c>
      <c r="I2673" t="inlineStr">
        <is>
          <t>Nr</t>
        </is>
      </c>
      <c r="J2673" t="inlineStr"/>
      <c r="K2673" t="inlineStr"/>
      <c r="L2673" t="inlineStr">
        <is>
          <t>KAG8579381.1 hypothetical protein GDO81_010854 [Engystomops pustulosus]</t>
        </is>
      </c>
      <c r="M2673" t="n">
        <v>262</v>
      </c>
      <c r="N2673" t="inlineStr">
        <is>
          <t>Engystomops pustulosus</t>
        </is>
      </c>
      <c r="O2673" t="inlineStr">
        <is>
          <t>hypothetical protein GDO81_010854</t>
        </is>
      </c>
    </row>
    <row r="2674">
      <c r="A2674" t="inlineStr"/>
      <c r="B2674" t="inlineStr"/>
      <c r="C2674" t="inlineStr"/>
      <c r="D2674" t="inlineStr"/>
      <c r="E2674">
        <f>HYPERLINK("https://www.ncbi.nlm.nih.gov/gene/?term=KAG8579381.1", "KAG8579381.1")</f>
        <v/>
      </c>
      <c r="F2674" t="n">
        <v>37.1</v>
      </c>
      <c r="G2674" t="n">
        <v>202</v>
      </c>
      <c r="H2674" t="n">
        <v>4.21e-35</v>
      </c>
      <c r="I2674" t="inlineStr">
        <is>
          <t>Nr</t>
        </is>
      </c>
      <c r="J2674" t="inlineStr"/>
      <c r="K2674" t="inlineStr"/>
      <c r="L2674" t="inlineStr">
        <is>
          <t>KAG8579381.1 hypothetical protein GDO81_010854 [Engystomops pustulosus]</t>
        </is>
      </c>
      <c r="M2674" t="n">
        <v>262</v>
      </c>
      <c r="N2674" t="inlineStr">
        <is>
          <t>Engystomops pustulosus</t>
        </is>
      </c>
      <c r="O2674" t="inlineStr">
        <is>
          <t>hypothetical protein GDO81_010854</t>
        </is>
      </c>
    </row>
    <row r="2675">
      <c r="A2675" t="inlineStr"/>
      <c r="B2675" t="inlineStr"/>
      <c r="C2675" t="inlineStr"/>
      <c r="D2675" t="inlineStr"/>
      <c r="E2675">
        <f>HYPERLINK("https://www.uniprot.org/uniprotkb/A0A8C5Q2J8/entry", "A0A8C5Q2J8")</f>
        <v/>
      </c>
      <c r="F2675" t="n">
        <v>44.6</v>
      </c>
      <c r="G2675" t="n">
        <v>175</v>
      </c>
      <c r="H2675" t="n">
        <v>2.41e-34</v>
      </c>
      <c r="I2675" t="inlineStr">
        <is>
          <t>TrEMBL</t>
        </is>
      </c>
      <c r="J2675" t="inlineStr"/>
      <c r="K2675" t="inlineStr">
        <is>
          <t>A0A8C5Q2J8_9ANUR</t>
        </is>
      </c>
      <c r="L2675" t="inlineStr">
        <is>
          <t>tr|A0A8C5Q2J8|A0A8C5Q2J8_9ANUR Reverse transcriptase domain-containing protein OS=Leptobrachium leishanense OX=445787 PE=4 SV=1</t>
        </is>
      </c>
      <c r="M2675" t="n">
        <v>1271</v>
      </c>
      <c r="N2675" t="inlineStr">
        <is>
          <t>Leptobrachium leishanense</t>
        </is>
      </c>
      <c r="O2675" t="inlineStr">
        <is>
          <t>Reverse transcriptase domain-containing protein</t>
        </is>
      </c>
    </row>
    <row r="2676">
      <c r="A2676" t="inlineStr"/>
      <c r="B2676" t="inlineStr"/>
      <c r="C2676" t="inlineStr"/>
      <c r="D2676" t="inlineStr"/>
      <c r="E2676">
        <f>HYPERLINK("https://www.uniprot.org/uniprotkb/A0A8C5R0Z2/entry", "A0A8C5R0Z2")</f>
        <v/>
      </c>
      <c r="F2676" t="n">
        <v>44</v>
      </c>
      <c r="G2676" t="n">
        <v>175</v>
      </c>
      <c r="H2676" t="n">
        <v>2.99e-34</v>
      </c>
      <c r="I2676" t="inlineStr">
        <is>
          <t>TrEMBL</t>
        </is>
      </c>
      <c r="J2676" t="inlineStr"/>
      <c r="K2676" t="inlineStr">
        <is>
          <t>A0A8C5R0Z2_9ANUR</t>
        </is>
      </c>
      <c r="L2676" t="inlineStr">
        <is>
          <t>tr|A0A8C5R0Z2|A0A8C5R0Z2_9ANUR Reverse transcriptase domain-containing protein OS=Leptobrachium leishanense OX=445787 PE=4 SV=1</t>
        </is>
      </c>
      <c r="M2676" t="n">
        <v>841</v>
      </c>
      <c r="N2676" t="inlineStr">
        <is>
          <t>Leptobrachium leishanense</t>
        </is>
      </c>
      <c r="O2676" t="inlineStr">
        <is>
          <t>Reverse transcriptase domain-containing protein</t>
        </is>
      </c>
    </row>
    <row r="2677">
      <c r="A2677" t="inlineStr"/>
      <c r="B2677" t="inlineStr"/>
      <c r="C2677" t="inlineStr"/>
      <c r="D2677" t="inlineStr"/>
      <c r="E2677">
        <f>HYPERLINK("https://www.uniprot.org/uniprotkb/A0A803J5Q1/entry", "A0A803J5Q1")</f>
        <v/>
      </c>
      <c r="F2677" t="n">
        <v>40.8</v>
      </c>
      <c r="G2677" t="n">
        <v>179</v>
      </c>
      <c r="H2677" t="n">
        <v>4.459999999999999e-34</v>
      </c>
      <c r="I2677" t="inlineStr">
        <is>
          <t>TrEMBL</t>
        </is>
      </c>
      <c r="J2677" t="inlineStr"/>
      <c r="K2677" t="inlineStr">
        <is>
          <t>A0A803J5Q1_XENTR</t>
        </is>
      </c>
      <c r="L2677" t="inlineStr">
        <is>
          <t>tr|A0A803J5Q1|A0A803J5Q1_XENTR Reverse transcriptase domain-containing protein OS=Xenopus tropicalis OX=8364 PE=4 SV=1</t>
        </is>
      </c>
      <c r="M2677" t="n">
        <v>1274</v>
      </c>
      <c r="N2677" t="inlineStr">
        <is>
          <t>Xenopus tropicalis</t>
        </is>
      </c>
      <c r="O2677" t="inlineStr">
        <is>
          <t>Reverse transcriptase domain-containing protein</t>
        </is>
      </c>
    </row>
    <row r="2678">
      <c r="A2678" t="inlineStr"/>
      <c r="B2678" t="inlineStr"/>
      <c r="C2678" t="inlineStr"/>
      <c r="D2678" t="inlineStr"/>
      <c r="E2678">
        <f>HYPERLINK("https://www.uniprot.org/uniprotkb/A0A8C5WJQ2/entry", "A0A8C5WJQ2")</f>
        <v/>
      </c>
      <c r="F2678" t="n">
        <v>38.1</v>
      </c>
      <c r="G2678" t="n">
        <v>189</v>
      </c>
      <c r="H2678" t="n">
        <v>4.8e-34</v>
      </c>
      <c r="I2678" t="inlineStr">
        <is>
          <t>TrEMBL</t>
        </is>
      </c>
      <c r="J2678" t="inlineStr"/>
      <c r="K2678" t="inlineStr">
        <is>
          <t>A0A8C5WJQ2_9ANUR</t>
        </is>
      </c>
      <c r="L2678" t="inlineStr">
        <is>
          <t>tr|A0A8C5WJQ2|A0A8C5WJQ2_9ANUR LINE-1 type transposase domain-containing 1 OS=Leptobrachium leishanense OX=445787 PE=4 SV=1</t>
        </is>
      </c>
      <c r="M2678" t="n">
        <v>319</v>
      </c>
      <c r="N2678" t="inlineStr">
        <is>
          <t>Leptobrachium leishanense</t>
        </is>
      </c>
      <c r="O2678" t="inlineStr">
        <is>
          <t>LINE-1 type transposase domain-containing 1</t>
        </is>
      </c>
    </row>
    <row r="2679">
      <c r="A2679" t="inlineStr"/>
      <c r="B2679" t="inlineStr"/>
      <c r="C2679" t="inlineStr"/>
      <c r="D2679" t="inlineStr"/>
      <c r="E2679">
        <f>HYPERLINK("https://www.uniprot.org/uniprotkb/A0A8C5WJQ2/entry", "A0A8C5WJQ2")</f>
        <v/>
      </c>
      <c r="F2679" t="n">
        <v>38.1</v>
      </c>
      <c r="G2679" t="n">
        <v>189</v>
      </c>
      <c r="H2679" t="n">
        <v>4.8e-34</v>
      </c>
      <c r="I2679" t="inlineStr">
        <is>
          <t>TrEMBL</t>
        </is>
      </c>
      <c r="J2679" t="inlineStr"/>
      <c r="K2679" t="inlineStr">
        <is>
          <t>A0A8C5WJQ2_9ANUR</t>
        </is>
      </c>
      <c r="L2679" t="inlineStr">
        <is>
          <t>tr|A0A8C5WJQ2|A0A8C5WJQ2_9ANUR LINE-1 type transposase domain-containing 1 OS=Leptobrachium leishanense OX=445787 PE=4 SV=1</t>
        </is>
      </c>
      <c r="M2679" t="n">
        <v>319</v>
      </c>
      <c r="N2679" t="inlineStr">
        <is>
          <t>Leptobrachium leishanense</t>
        </is>
      </c>
      <c r="O2679" t="inlineStr">
        <is>
          <t>LINE-1 type transposase domain-containing 1</t>
        </is>
      </c>
    </row>
    <row r="2680">
      <c r="A2680" t="inlineStr"/>
      <c r="B2680" t="inlineStr"/>
      <c r="C2680" t="inlineStr"/>
      <c r="D2680" t="inlineStr"/>
      <c r="E2680">
        <f>HYPERLINK("https://www.uniprot.org/uniprotkb/A0A8C5PSJ5/entry", "A0A8C5PSJ5")</f>
        <v/>
      </c>
      <c r="F2680" t="n">
        <v>44</v>
      </c>
      <c r="G2680" t="n">
        <v>175</v>
      </c>
      <c r="H2680" t="n">
        <v>5.359999999999999e-34</v>
      </c>
      <c r="I2680" t="inlineStr">
        <is>
          <t>TrEMBL</t>
        </is>
      </c>
      <c r="J2680" t="inlineStr"/>
      <c r="K2680" t="inlineStr">
        <is>
          <t>A0A8C5PSJ5_9ANUR</t>
        </is>
      </c>
      <c r="L2680" t="inlineStr">
        <is>
          <t>tr|A0A8C5PSJ5|A0A8C5PSJ5_9ANUR Reverse transcriptase domain-containing protein OS=Leptobrachium leishanense OX=445787 PE=4 SV=1</t>
        </is>
      </c>
      <c r="M2680" t="n">
        <v>674</v>
      </c>
      <c r="N2680" t="inlineStr">
        <is>
          <t>Leptobrachium leishanense</t>
        </is>
      </c>
      <c r="O2680" t="inlineStr">
        <is>
          <t>Reverse transcriptase domain-containing protein</t>
        </is>
      </c>
    </row>
    <row r="2681">
      <c r="A2681" t="inlineStr"/>
      <c r="B2681" t="inlineStr"/>
      <c r="C2681" t="inlineStr"/>
      <c r="D2681" t="inlineStr"/>
      <c r="E2681">
        <f>HYPERLINK("https://www.uniprot.org/uniprotkb/A0A8C5W947/entry", "A0A8C5W947")</f>
        <v/>
      </c>
      <c r="F2681" t="n">
        <v>37.4</v>
      </c>
      <c r="G2681" t="n">
        <v>190</v>
      </c>
      <c r="H2681" t="n">
        <v>5.8e-34</v>
      </c>
      <c r="I2681" t="inlineStr">
        <is>
          <t>TrEMBL</t>
        </is>
      </c>
      <c r="J2681" t="inlineStr"/>
      <c r="K2681" t="inlineStr">
        <is>
          <t>A0A8C5W947_9ANUR</t>
        </is>
      </c>
      <c r="L2681" t="inlineStr">
        <is>
          <t>tr|A0A8C5W947|A0A8C5W947_9ANUR LINE-1 type transposase domain-containing protein 1 OS=Leptobrachium leishanense OX=445787 PE=4 SV=1</t>
        </is>
      </c>
      <c r="M2681" t="n">
        <v>312</v>
      </c>
      <c r="N2681" t="inlineStr">
        <is>
          <t>Leptobrachium leishanense</t>
        </is>
      </c>
      <c r="O2681" t="inlineStr">
        <is>
          <t>LINE-1 type transposase domain-containing protein 1</t>
        </is>
      </c>
    </row>
    <row r="2682">
      <c r="A2682" t="inlineStr"/>
      <c r="B2682" t="inlineStr"/>
      <c r="C2682" t="inlineStr"/>
      <c r="D2682" t="inlineStr"/>
      <c r="E2682">
        <f>HYPERLINK("https://www.uniprot.org/uniprotkb/A0A8C5W947/entry", "A0A8C5W947")</f>
        <v/>
      </c>
      <c r="F2682" t="n">
        <v>37.4</v>
      </c>
      <c r="G2682" t="n">
        <v>190</v>
      </c>
      <c r="H2682" t="n">
        <v>5.8e-34</v>
      </c>
      <c r="I2682" t="inlineStr">
        <is>
          <t>TrEMBL</t>
        </is>
      </c>
      <c r="J2682" t="inlineStr"/>
      <c r="K2682" t="inlineStr">
        <is>
          <t>A0A8C5W947_9ANUR</t>
        </is>
      </c>
      <c r="L2682" t="inlineStr">
        <is>
          <t>tr|A0A8C5W947|A0A8C5W947_9ANUR LINE-1 type transposase domain-containing protein 1 OS=Leptobrachium leishanense OX=445787 PE=4 SV=1</t>
        </is>
      </c>
      <c r="M2682" t="n">
        <v>312</v>
      </c>
      <c r="N2682" t="inlineStr">
        <is>
          <t>Leptobrachium leishanense</t>
        </is>
      </c>
      <c r="O2682" t="inlineStr">
        <is>
          <t>LINE-1 type transposase domain-containing protein 1</t>
        </is>
      </c>
    </row>
    <row r="2683">
      <c r="A2683" t="inlineStr"/>
      <c r="B2683" t="inlineStr"/>
      <c r="C2683" t="inlineStr"/>
      <c r="D2683" t="inlineStr"/>
      <c r="E2683">
        <f>HYPERLINK("https://www.uniprot.org/uniprotkb/A0A8C5RAT6/entry", "A0A8C5RAT6")</f>
        <v/>
      </c>
      <c r="F2683" t="n">
        <v>44</v>
      </c>
      <c r="G2683" t="n">
        <v>175</v>
      </c>
      <c r="H2683" t="n">
        <v>8.04e-34</v>
      </c>
      <c r="I2683" t="inlineStr">
        <is>
          <t>TrEMBL</t>
        </is>
      </c>
      <c r="J2683" t="inlineStr"/>
      <c r="K2683" t="inlineStr">
        <is>
          <t>A0A8C5RAT6_9ANUR</t>
        </is>
      </c>
      <c r="L2683" t="inlineStr">
        <is>
          <t>tr|A0A8C5RAT6|A0A8C5RAT6_9ANUR Reverse transcriptase domain-containing protein OS=Leptobrachium leishanense OX=445787 PE=4 SV=1</t>
        </is>
      </c>
      <c r="M2683" t="n">
        <v>1030</v>
      </c>
      <c r="N2683" t="inlineStr">
        <is>
          <t>Leptobrachium leishanense</t>
        </is>
      </c>
      <c r="O2683" t="inlineStr">
        <is>
          <t>Reverse transcriptase domain-containing protein</t>
        </is>
      </c>
    </row>
    <row r="2684">
      <c r="A2684" t="inlineStr"/>
      <c r="B2684" t="inlineStr"/>
      <c r="C2684" t="inlineStr"/>
      <c r="D2684" t="inlineStr"/>
      <c r="E2684">
        <f>HYPERLINK("https://www.uniprot.org/uniprotkb/A0A8C5QJ43/entry", "A0A8C5QJ43")</f>
        <v/>
      </c>
      <c r="F2684" t="n">
        <v>43.4</v>
      </c>
      <c r="G2684" t="n">
        <v>173</v>
      </c>
      <c r="H2684" t="n">
        <v>9.749999999999999e-34</v>
      </c>
      <c r="I2684" t="inlineStr">
        <is>
          <t>TrEMBL</t>
        </is>
      </c>
      <c r="J2684" t="inlineStr"/>
      <c r="K2684" t="inlineStr">
        <is>
          <t>A0A8C5QJ43_9ANUR</t>
        </is>
      </c>
      <c r="L2684" t="inlineStr">
        <is>
          <t>tr|A0A8C5QJ43|A0A8C5QJ43_9ANUR Reverse transcriptase domain-containing protein OS=Leptobrachium leishanense OX=445787 PE=4 SV=1</t>
        </is>
      </c>
      <c r="M2684" t="n">
        <v>782</v>
      </c>
      <c r="N2684" t="inlineStr">
        <is>
          <t>Leptobrachium leishanense</t>
        </is>
      </c>
      <c r="O2684" t="inlineStr">
        <is>
          <t>Reverse transcriptase domain-containing protein</t>
        </is>
      </c>
    </row>
    <row r="2685">
      <c r="A2685" t="inlineStr"/>
      <c r="B2685" t="inlineStr"/>
      <c r="C2685" t="inlineStr"/>
      <c r="D2685" t="inlineStr"/>
      <c r="E2685">
        <f>HYPERLINK("https://www.uniprot.org/uniprotkb/A0A803JQ02/entry", "A0A803JQ02")</f>
        <v/>
      </c>
      <c r="F2685" t="n">
        <v>41.9</v>
      </c>
      <c r="G2685" t="n">
        <v>179</v>
      </c>
      <c r="H2685" t="n">
        <v>1.22e-33</v>
      </c>
      <c r="I2685" t="inlineStr">
        <is>
          <t>TrEMBL</t>
        </is>
      </c>
      <c r="J2685" t="inlineStr"/>
      <c r="K2685" t="inlineStr">
        <is>
          <t>A0A803JQ02_XENTR</t>
        </is>
      </c>
      <c r="L2685" t="inlineStr">
        <is>
          <t>tr|A0A803JQ02|A0A803JQ02_XENTR Reverse transcriptase domain-containing protein OS=Xenopus tropicalis OX=8364 PE=4 SV=1</t>
        </is>
      </c>
      <c r="M2685" t="n">
        <v>735</v>
      </c>
      <c r="N2685" t="inlineStr">
        <is>
          <t>Xenopus tropicalis</t>
        </is>
      </c>
      <c r="O2685" t="inlineStr">
        <is>
          <t>Reverse transcriptase domain-containing protein</t>
        </is>
      </c>
    </row>
    <row r="2686">
      <c r="A2686" t="inlineStr"/>
      <c r="B2686" t="inlineStr"/>
      <c r="C2686" t="inlineStr"/>
      <c r="D2686" t="inlineStr"/>
      <c r="E2686">
        <f>HYPERLINK("https://www.uniprot.org/uniprotkb/A0A8C5QIC2/entry", "A0A8C5QIC2")</f>
        <v/>
      </c>
      <c r="F2686" t="n">
        <v>36.8</v>
      </c>
      <c r="G2686" t="n">
        <v>190</v>
      </c>
      <c r="H2686" t="n">
        <v>2.26e-33</v>
      </c>
      <c r="I2686" t="inlineStr">
        <is>
          <t>TrEMBL</t>
        </is>
      </c>
      <c r="J2686" t="inlineStr"/>
      <c r="K2686" t="inlineStr">
        <is>
          <t>A0A8C5QIC2_9ANUR</t>
        </is>
      </c>
      <c r="L2686" t="inlineStr">
        <is>
          <t>tr|A0A8C5QIC2|A0A8C5QIC2_9ANUR LINE-1 type transposase domain-containing protein 1 OS=Leptobrachium leishanense OX=445787 PE=4 SV=1</t>
        </is>
      </c>
      <c r="M2686" t="n">
        <v>312</v>
      </c>
      <c r="N2686" t="inlineStr">
        <is>
          <t>Leptobrachium leishanense</t>
        </is>
      </c>
      <c r="O2686" t="inlineStr">
        <is>
          <t>LINE-1 type transposase domain-containing protein 1</t>
        </is>
      </c>
    </row>
    <row r="2687">
      <c r="A2687" t="inlineStr"/>
      <c r="B2687" t="inlineStr"/>
      <c r="C2687" t="inlineStr"/>
      <c r="D2687" t="inlineStr"/>
      <c r="E2687">
        <f>HYPERLINK("https://www.uniprot.org/uniprotkb/A0A8C5QIC2/entry", "A0A8C5QIC2")</f>
        <v/>
      </c>
      <c r="F2687" t="n">
        <v>36.8</v>
      </c>
      <c r="G2687" t="n">
        <v>190</v>
      </c>
      <c r="H2687" t="n">
        <v>2.26e-33</v>
      </c>
      <c r="I2687" t="inlineStr">
        <is>
          <t>TrEMBL</t>
        </is>
      </c>
      <c r="J2687" t="inlineStr"/>
      <c r="K2687" t="inlineStr">
        <is>
          <t>A0A8C5QIC2_9ANUR</t>
        </is>
      </c>
      <c r="L2687" t="inlineStr">
        <is>
          <t>tr|A0A8C5QIC2|A0A8C5QIC2_9ANUR LINE-1 type transposase domain-containing protein 1 OS=Leptobrachium leishanense OX=445787 PE=4 SV=1</t>
        </is>
      </c>
      <c r="M2687" t="n">
        <v>312</v>
      </c>
      <c r="N2687" t="inlineStr">
        <is>
          <t>Leptobrachium leishanense</t>
        </is>
      </c>
      <c r="O2687" t="inlineStr">
        <is>
          <t>LINE-1 type transposase domain-containing protein 1</t>
        </is>
      </c>
    </row>
    <row r="2688">
      <c r="A2688" t="inlineStr"/>
      <c r="B2688" t="inlineStr"/>
      <c r="C2688" t="inlineStr"/>
      <c r="D2688" t="inlineStr"/>
      <c r="E2688">
        <f>HYPERLINK("https://www.uniprot.org/uniprotkb/A0A8C5MWZ4/entry", "A0A8C5MWZ4")</f>
        <v/>
      </c>
      <c r="F2688" t="n">
        <v>36.8</v>
      </c>
      <c r="G2688" t="n">
        <v>190</v>
      </c>
      <c r="H2688" t="n">
        <v>4.46e-33</v>
      </c>
      <c r="I2688" t="inlineStr">
        <is>
          <t>TrEMBL</t>
        </is>
      </c>
      <c r="J2688" t="inlineStr"/>
      <c r="K2688" t="inlineStr">
        <is>
          <t>A0A8C5MWZ4_9ANUR</t>
        </is>
      </c>
      <c r="L2688" t="inlineStr">
        <is>
          <t>tr|A0A8C5MWZ4|A0A8C5MWZ4_9ANUR LINE-1 type transposase domain-containing protein 1 OS=Leptobrachium leishanense OX=445787 PE=4 SV=1</t>
        </is>
      </c>
      <c r="M2688" t="n">
        <v>312</v>
      </c>
      <c r="N2688" t="inlineStr">
        <is>
          <t>Leptobrachium leishanense</t>
        </is>
      </c>
      <c r="O2688" t="inlineStr">
        <is>
          <t>LINE-1 type transposase domain-containing protein 1</t>
        </is>
      </c>
    </row>
    <row r="2689">
      <c r="A2689" t="inlineStr"/>
      <c r="B2689" t="inlineStr"/>
      <c r="C2689" t="inlineStr"/>
      <c r="D2689" t="inlineStr"/>
      <c r="E2689">
        <f>HYPERLINK("https://www.uniprot.org/uniprotkb/A0A8C5MWZ4/entry", "A0A8C5MWZ4")</f>
        <v/>
      </c>
      <c r="F2689" t="n">
        <v>36.8</v>
      </c>
      <c r="G2689" t="n">
        <v>190</v>
      </c>
      <c r="H2689" t="n">
        <v>4.46e-33</v>
      </c>
      <c r="I2689" t="inlineStr">
        <is>
          <t>TrEMBL</t>
        </is>
      </c>
      <c r="J2689" t="inlineStr"/>
      <c r="K2689" t="inlineStr">
        <is>
          <t>A0A8C5MWZ4_9ANUR</t>
        </is>
      </c>
      <c r="L2689" t="inlineStr">
        <is>
          <t>tr|A0A8C5MWZ4|A0A8C5MWZ4_9ANUR LINE-1 type transposase domain-containing protein 1 OS=Leptobrachium leishanense OX=445787 PE=4 SV=1</t>
        </is>
      </c>
      <c r="M2689" t="n">
        <v>312</v>
      </c>
      <c r="N2689" t="inlineStr">
        <is>
          <t>Leptobrachium leishanense</t>
        </is>
      </c>
      <c r="O2689" t="inlineStr">
        <is>
          <t>LINE-1 type transposase domain-containing protein 1</t>
        </is>
      </c>
    </row>
    <row r="2690">
      <c r="A2690" t="inlineStr"/>
      <c r="B2690" t="inlineStr"/>
      <c r="C2690" t="inlineStr"/>
      <c r="D2690" t="inlineStr"/>
      <c r="E2690">
        <f>HYPERLINK("https://www.uniprot.org/uniprotkb/A0A8C5M2A8/entry", "A0A8C5M2A8")</f>
        <v/>
      </c>
      <c r="F2690" t="n">
        <v>41</v>
      </c>
      <c r="G2690" t="n">
        <v>178</v>
      </c>
      <c r="H2690" t="n">
        <v>4.72e-33</v>
      </c>
      <c r="I2690" t="inlineStr">
        <is>
          <t>TrEMBL</t>
        </is>
      </c>
      <c r="J2690" t="inlineStr"/>
      <c r="K2690" t="inlineStr">
        <is>
          <t>A0A8C5M2A8_9ANUR</t>
        </is>
      </c>
      <c r="L2690" t="inlineStr">
        <is>
          <t>tr|A0A8C5M2A8|A0A8C5M2A8_9ANUR Thioredoxin domain-containing protein OS=Leptobrachium leishanense OX=445787 PE=4 SV=1</t>
        </is>
      </c>
      <c r="M2690" t="n">
        <v>299</v>
      </c>
      <c r="N2690" t="inlineStr">
        <is>
          <t>Leptobrachium leishanense</t>
        </is>
      </c>
      <c r="O2690" t="inlineStr">
        <is>
          <t>Thioredoxin domain-containing protein</t>
        </is>
      </c>
    </row>
    <row r="2691">
      <c r="A2691" t="inlineStr"/>
      <c r="B2691" t="inlineStr"/>
      <c r="C2691" t="inlineStr"/>
      <c r="D2691" t="inlineStr"/>
      <c r="E2691">
        <f>HYPERLINK("https://www.uniprot.org/uniprotkb/A0A8C5M2A8/entry", "A0A8C5M2A8")</f>
        <v/>
      </c>
      <c r="F2691" t="n">
        <v>41</v>
      </c>
      <c r="G2691" t="n">
        <v>178</v>
      </c>
      <c r="H2691" t="n">
        <v>4.72e-33</v>
      </c>
      <c r="I2691" t="inlineStr">
        <is>
          <t>TrEMBL</t>
        </is>
      </c>
      <c r="J2691" t="inlineStr"/>
      <c r="K2691" t="inlineStr">
        <is>
          <t>A0A8C5M2A8_9ANUR</t>
        </is>
      </c>
      <c r="L2691" t="inlineStr">
        <is>
          <t>tr|A0A8C5M2A8|A0A8C5M2A8_9ANUR Thioredoxin domain-containing protein OS=Leptobrachium leishanense OX=445787 PE=4 SV=1</t>
        </is>
      </c>
      <c r="M2691" t="n">
        <v>299</v>
      </c>
      <c r="N2691" t="inlineStr">
        <is>
          <t>Leptobrachium leishanense</t>
        </is>
      </c>
      <c r="O2691" t="inlineStr">
        <is>
          <t>Thioredoxin domain-containing protein</t>
        </is>
      </c>
    </row>
    <row r="2692">
      <c r="A2692" t="inlineStr"/>
      <c r="B2692" t="inlineStr"/>
      <c r="C2692" t="inlineStr"/>
      <c r="D2692" t="inlineStr"/>
      <c r="E2692">
        <f>HYPERLINK("https://www.uniprot.org/uniprotkb/A0A8C5PVL5/entry", "A0A8C5PVL5")</f>
        <v/>
      </c>
      <c r="F2692" t="n">
        <v>42.8</v>
      </c>
      <c r="G2692" t="n">
        <v>173</v>
      </c>
      <c r="H2692" t="n">
        <v>7.180000000000001e-33</v>
      </c>
      <c r="I2692" t="inlineStr">
        <is>
          <t>TrEMBL</t>
        </is>
      </c>
      <c r="J2692" t="inlineStr"/>
      <c r="K2692" t="inlineStr">
        <is>
          <t>A0A8C5PVL5_9ANUR</t>
        </is>
      </c>
      <c r="L2692" t="inlineStr">
        <is>
          <t>tr|A0A8C5PVL5|A0A8C5PVL5_9ANUR Reverse transcriptase domain-containing protein OS=Leptobrachium leishanense OX=445787 PE=4 SV=1</t>
        </is>
      </c>
      <c r="M2692" t="n">
        <v>1271</v>
      </c>
      <c r="N2692" t="inlineStr">
        <is>
          <t>Leptobrachium leishanense</t>
        </is>
      </c>
      <c r="O2692" t="inlineStr">
        <is>
          <t>Reverse transcriptase domain-containing protein</t>
        </is>
      </c>
    </row>
    <row r="2693">
      <c r="A2693" t="inlineStr"/>
      <c r="B2693" t="inlineStr"/>
      <c r="C2693" t="inlineStr"/>
      <c r="D2693" t="inlineStr"/>
      <c r="E2693">
        <f>HYPERLINK("https://www.uniprot.org/uniprotkb/A0A8C5PR81/entry", "A0A8C5PR81")</f>
        <v/>
      </c>
      <c r="F2693" t="n">
        <v>36</v>
      </c>
      <c r="G2693" t="n">
        <v>189</v>
      </c>
      <c r="H2693" t="n">
        <v>1e-32</v>
      </c>
      <c r="I2693" t="inlineStr">
        <is>
          <t>TrEMBL</t>
        </is>
      </c>
      <c r="J2693" t="inlineStr"/>
      <c r="K2693" t="inlineStr">
        <is>
          <t>A0A8C5PR81_9ANUR</t>
        </is>
      </c>
      <c r="L2693" t="inlineStr">
        <is>
          <t>tr|A0A8C5PR81|A0A8C5PR81_9ANUR LINE-1 type transposase domain-containing protein 1 OS=Leptobrachium leishanense OX=445787 PE=4 SV=1</t>
        </is>
      </c>
      <c r="M2693" t="n">
        <v>318</v>
      </c>
      <c r="N2693" t="inlineStr">
        <is>
          <t>Leptobrachium leishanense</t>
        </is>
      </c>
      <c r="O2693" t="inlineStr">
        <is>
          <t>LINE-1 type transposase domain-containing protein 1</t>
        </is>
      </c>
    </row>
    <row r="2694">
      <c r="A2694" t="inlineStr"/>
      <c r="B2694" t="inlineStr"/>
      <c r="C2694" t="inlineStr"/>
      <c r="D2694" t="inlineStr"/>
      <c r="E2694">
        <f>HYPERLINK("https://www.uniprot.org/uniprotkb/A0A8C5PR81/entry", "A0A8C5PR81")</f>
        <v/>
      </c>
      <c r="F2694" t="n">
        <v>36</v>
      </c>
      <c r="G2694" t="n">
        <v>189</v>
      </c>
      <c r="H2694" t="n">
        <v>1e-32</v>
      </c>
      <c r="I2694" t="inlineStr">
        <is>
          <t>TrEMBL</t>
        </is>
      </c>
      <c r="J2694" t="inlineStr"/>
      <c r="K2694" t="inlineStr">
        <is>
          <t>A0A8C5PR81_9ANUR</t>
        </is>
      </c>
      <c r="L2694" t="inlineStr">
        <is>
          <t>tr|A0A8C5PR81|A0A8C5PR81_9ANUR LINE-1 type transposase domain-containing protein 1 OS=Leptobrachium leishanense OX=445787 PE=4 SV=1</t>
        </is>
      </c>
      <c r="M2694" t="n">
        <v>318</v>
      </c>
      <c r="N2694" t="inlineStr">
        <is>
          <t>Leptobrachium leishanense</t>
        </is>
      </c>
      <c r="O2694" t="inlineStr">
        <is>
          <t>LINE-1 type transposase domain-containing protein 1</t>
        </is>
      </c>
    </row>
    <row r="2695">
      <c r="A2695" t="inlineStr"/>
      <c r="B2695" t="inlineStr"/>
      <c r="C2695" t="inlineStr"/>
      <c r="D2695" t="inlineStr"/>
      <c r="E2695">
        <f>HYPERLINK("https://www.uniprot.org/uniprotkb/A0A8C5PPL4/entry", "A0A8C5PPL4")</f>
        <v/>
      </c>
      <c r="F2695" t="n">
        <v>34.7</v>
      </c>
      <c r="G2695" t="n">
        <v>193</v>
      </c>
      <c r="H2695" t="n">
        <v>1.74e-32</v>
      </c>
      <c r="I2695" t="inlineStr">
        <is>
          <t>TrEMBL</t>
        </is>
      </c>
      <c r="J2695" t="inlineStr"/>
      <c r="K2695" t="inlineStr">
        <is>
          <t>A0A8C5PPL4_9ANUR</t>
        </is>
      </c>
      <c r="L2695" t="inlineStr">
        <is>
          <t>tr|A0A8C5PPL4|A0A8C5PPL4_9ANUR LINE-1 type transposase domain-containing protein 1 OS=Leptobrachium leishanense OX=445787 PE=4 SV=1</t>
        </is>
      </c>
      <c r="M2695" t="n">
        <v>312</v>
      </c>
      <c r="N2695" t="inlineStr">
        <is>
          <t>Leptobrachium leishanense</t>
        </is>
      </c>
      <c r="O2695" t="inlineStr">
        <is>
          <t>LINE-1 type transposase domain-containing protein 1</t>
        </is>
      </c>
    </row>
    <row r="2696">
      <c r="A2696" t="inlineStr"/>
      <c r="B2696" t="inlineStr"/>
      <c r="C2696" t="inlineStr"/>
      <c r="D2696" t="inlineStr"/>
      <c r="E2696">
        <f>HYPERLINK("https://www.uniprot.org/uniprotkb/A0A8C5PPL4/entry", "A0A8C5PPL4")</f>
        <v/>
      </c>
      <c r="F2696" t="n">
        <v>34.7</v>
      </c>
      <c r="G2696" t="n">
        <v>193</v>
      </c>
      <c r="H2696" t="n">
        <v>1.74e-32</v>
      </c>
      <c r="I2696" t="inlineStr">
        <is>
          <t>TrEMBL</t>
        </is>
      </c>
      <c r="J2696" t="inlineStr"/>
      <c r="K2696" t="inlineStr">
        <is>
          <t>A0A8C5PPL4_9ANUR</t>
        </is>
      </c>
      <c r="L2696" t="inlineStr">
        <is>
          <t>tr|A0A8C5PPL4|A0A8C5PPL4_9ANUR LINE-1 type transposase domain-containing protein 1 OS=Leptobrachium leishanense OX=445787 PE=4 SV=1</t>
        </is>
      </c>
      <c r="M2696" t="n">
        <v>312</v>
      </c>
      <c r="N2696" t="inlineStr">
        <is>
          <t>Leptobrachium leishanense</t>
        </is>
      </c>
      <c r="O2696" t="inlineStr">
        <is>
          <t>LINE-1 type transposase domain-containing protein 1</t>
        </is>
      </c>
    </row>
    <row r="2697">
      <c r="A2697" t="inlineStr"/>
      <c r="B2697" t="inlineStr"/>
      <c r="C2697" t="inlineStr"/>
      <c r="D2697" t="inlineStr"/>
      <c r="E2697">
        <f>HYPERLINK("https://www.uniprot.org/uniprotkb/A0A8C5WJ71/entry", "A0A8C5WJ71")</f>
        <v/>
      </c>
      <c r="F2697" t="n">
        <v>36.4</v>
      </c>
      <c r="G2697" t="n">
        <v>187</v>
      </c>
      <c r="H2697" t="n">
        <v>1.93e-32</v>
      </c>
      <c r="I2697" t="inlineStr">
        <is>
          <t>TrEMBL</t>
        </is>
      </c>
      <c r="J2697" t="inlineStr"/>
      <c r="K2697" t="inlineStr">
        <is>
          <t>A0A8C5WJ71_9ANUR</t>
        </is>
      </c>
      <c r="L2697" t="inlineStr">
        <is>
          <t>tr|A0A8C5WJ71|A0A8C5WJ71_9ANUR LINE-1 type transposase domain-containing 1 OS=Leptobrachium leishanense OX=445787 PE=4 SV=1</t>
        </is>
      </c>
      <c r="M2697" t="n">
        <v>317</v>
      </c>
      <c r="N2697" t="inlineStr">
        <is>
          <t>Leptobrachium leishanense</t>
        </is>
      </c>
      <c r="O2697" t="inlineStr">
        <is>
          <t>LINE-1 type transposase domain-containing 1</t>
        </is>
      </c>
    </row>
    <row r="2698">
      <c r="A2698" t="inlineStr"/>
      <c r="B2698" t="inlineStr"/>
      <c r="C2698" t="inlineStr"/>
      <c r="D2698" t="inlineStr"/>
      <c r="E2698">
        <f>HYPERLINK("https://www.uniprot.org/uniprotkb/A0A8C5WJ71/entry", "A0A8C5WJ71")</f>
        <v/>
      </c>
      <c r="F2698" t="n">
        <v>36.4</v>
      </c>
      <c r="G2698" t="n">
        <v>187</v>
      </c>
      <c r="H2698" t="n">
        <v>1.93e-32</v>
      </c>
      <c r="I2698" t="inlineStr">
        <is>
          <t>TrEMBL</t>
        </is>
      </c>
      <c r="J2698" t="inlineStr"/>
      <c r="K2698" t="inlineStr">
        <is>
          <t>A0A8C5WJ71_9ANUR</t>
        </is>
      </c>
      <c r="L2698" t="inlineStr">
        <is>
          <t>tr|A0A8C5WJ71|A0A8C5WJ71_9ANUR LINE-1 type transposase domain-containing 1 OS=Leptobrachium leishanense OX=445787 PE=4 SV=1</t>
        </is>
      </c>
      <c r="M2698" t="n">
        <v>317</v>
      </c>
      <c r="N2698" t="inlineStr">
        <is>
          <t>Leptobrachium leishanense</t>
        </is>
      </c>
      <c r="O2698" t="inlineStr">
        <is>
          <t>LINE-1 type transposase domain-containing 1</t>
        </is>
      </c>
    </row>
    <row r="2699">
      <c r="A2699" t="inlineStr"/>
      <c r="B2699" t="inlineStr"/>
      <c r="C2699" t="inlineStr"/>
      <c r="D2699" t="inlineStr"/>
      <c r="E2699">
        <f>HYPERLINK("https://www.uniprot.org/uniprotkb/A0A8C5QPP8/entry", "A0A8C5QPP8")</f>
        <v/>
      </c>
      <c r="F2699" t="n">
        <v>37.9</v>
      </c>
      <c r="G2699" t="n">
        <v>190</v>
      </c>
      <c r="H2699" t="n">
        <v>2.01e-32</v>
      </c>
      <c r="I2699" t="inlineStr">
        <is>
          <t>TrEMBL</t>
        </is>
      </c>
      <c r="J2699" t="inlineStr"/>
      <c r="K2699" t="inlineStr">
        <is>
          <t>A0A8C5QPP8_9ANUR</t>
        </is>
      </c>
      <c r="L2699" t="inlineStr">
        <is>
          <t>tr|A0A8C5QPP8|A0A8C5QPP8_9ANUR LINE-1 retrotransposable element ORF1 protein OS=Leptobrachium leishanense OX=445787 PE=4 SV=1</t>
        </is>
      </c>
      <c r="M2699" t="n">
        <v>319</v>
      </c>
      <c r="N2699" t="inlineStr">
        <is>
          <t>Leptobrachium leishanense</t>
        </is>
      </c>
      <c r="O2699" t="inlineStr">
        <is>
          <t>LINE-1 retrotransposable element ORF1 protein</t>
        </is>
      </c>
    </row>
    <row r="2700">
      <c r="A2700" t="inlineStr"/>
      <c r="B2700" t="inlineStr"/>
      <c r="C2700" t="inlineStr"/>
      <c r="D2700" t="inlineStr"/>
      <c r="E2700">
        <f>HYPERLINK("https://www.uniprot.org/uniprotkb/A0A8C5QPP8/entry", "A0A8C5QPP8")</f>
        <v/>
      </c>
      <c r="F2700" t="n">
        <v>37.9</v>
      </c>
      <c r="G2700" t="n">
        <v>190</v>
      </c>
      <c r="H2700" t="n">
        <v>2.01e-32</v>
      </c>
      <c r="I2700" t="inlineStr">
        <is>
          <t>TrEMBL</t>
        </is>
      </c>
      <c r="J2700" t="inlineStr"/>
      <c r="K2700" t="inlineStr">
        <is>
          <t>A0A8C5QPP8_9ANUR</t>
        </is>
      </c>
      <c r="L2700" t="inlineStr">
        <is>
          <t>tr|A0A8C5QPP8|A0A8C5QPP8_9ANUR LINE-1 retrotransposable element ORF1 protein OS=Leptobrachium leishanense OX=445787 PE=4 SV=1</t>
        </is>
      </c>
      <c r="M2700" t="n">
        <v>319</v>
      </c>
      <c r="N2700" t="inlineStr">
        <is>
          <t>Leptobrachium leishanense</t>
        </is>
      </c>
      <c r="O2700" t="inlineStr">
        <is>
          <t>LINE-1 retrotransposable element ORF1 protein</t>
        </is>
      </c>
    </row>
    <row r="2701">
      <c r="A2701" t="inlineStr"/>
      <c r="B2701" t="inlineStr"/>
      <c r="C2701" t="inlineStr"/>
      <c r="D2701" t="inlineStr"/>
      <c r="E2701">
        <f>HYPERLINK("https://www.uniprot.org/uniprotkb/A0A803J5F9/entry", "A0A803J5F9")</f>
        <v/>
      </c>
      <c r="F2701" t="n">
        <v>41</v>
      </c>
      <c r="G2701" t="n">
        <v>178</v>
      </c>
      <c r="H2701" t="n">
        <v>1.57e-31</v>
      </c>
      <c r="I2701" t="inlineStr">
        <is>
          <t>TrEMBL</t>
        </is>
      </c>
      <c r="J2701" t="inlineStr"/>
      <c r="K2701" t="inlineStr">
        <is>
          <t>A0A803J5F9_XENTR</t>
        </is>
      </c>
      <c r="L2701" t="inlineStr">
        <is>
          <t>tr|A0A803J5F9|A0A803J5F9_XENTR Reverse transcriptase domain-containing protein OS=Xenopus tropicalis OX=8364 PE=4 SV=1</t>
        </is>
      </c>
      <c r="M2701" t="n">
        <v>1272</v>
      </c>
      <c r="N2701" t="inlineStr">
        <is>
          <t>Xenopus tropicalis</t>
        </is>
      </c>
      <c r="O2701" t="inlineStr">
        <is>
          <t>Reverse transcriptase domain-containing protein</t>
        </is>
      </c>
    </row>
    <row r="2702">
      <c r="A2702" t="inlineStr"/>
      <c r="B2702" t="inlineStr"/>
      <c r="C2702" t="inlineStr"/>
      <c r="D2702" t="inlineStr"/>
      <c r="E2702">
        <f>HYPERLINK("https://www.uniprot.org/uniprotkb/A0A803J9X8/entry", "A0A803J9X8")</f>
        <v/>
      </c>
      <c r="F2702" t="n">
        <v>41.9</v>
      </c>
      <c r="G2702" t="n">
        <v>179</v>
      </c>
      <c r="H2702" t="n">
        <v>2.09e-31</v>
      </c>
      <c r="I2702" t="inlineStr">
        <is>
          <t>TrEMBL</t>
        </is>
      </c>
      <c r="J2702" t="inlineStr"/>
      <c r="K2702" t="inlineStr">
        <is>
          <t>A0A803J9X8_XENTR</t>
        </is>
      </c>
      <c r="L2702" t="inlineStr">
        <is>
          <t>tr|A0A803J9X8|A0A803J9X8_XENTR Reverse transcriptase domain-containing protein OS=Xenopus tropicalis OX=8364 PE=4 SV=1</t>
        </is>
      </c>
      <c r="M2702" t="n">
        <v>1051</v>
      </c>
      <c r="N2702" t="inlineStr">
        <is>
          <t>Xenopus tropicalis</t>
        </is>
      </c>
      <c r="O2702" t="inlineStr">
        <is>
          <t>Reverse transcriptase domain-containing protein</t>
        </is>
      </c>
    </row>
    <row r="2703">
      <c r="A2703" t="inlineStr"/>
      <c r="B2703" t="inlineStr"/>
      <c r="C2703" t="inlineStr"/>
      <c r="D2703" t="inlineStr"/>
      <c r="E2703">
        <f>HYPERLINK("https://www.uniprot.org/uniprotkb/A0A8C5PGE3/entry", "A0A8C5PGE3")</f>
        <v/>
      </c>
      <c r="F2703" t="n">
        <v>37.1</v>
      </c>
      <c r="G2703" t="n">
        <v>178</v>
      </c>
      <c r="H2703" t="n">
        <v>7.840000000000001e-31</v>
      </c>
      <c r="I2703" t="inlineStr">
        <is>
          <t>TrEMBL</t>
        </is>
      </c>
      <c r="J2703" t="inlineStr"/>
      <c r="K2703" t="inlineStr">
        <is>
          <t>A0A8C5PGE3_9ANUR</t>
        </is>
      </c>
      <c r="L2703" t="inlineStr">
        <is>
          <t>tr|A0A8C5PGE3|A0A8C5PGE3_9ANUR Reverse transcriptase domain-containing protein OS=Leptobrachium leishanense OX=445787 PE=4 SV=1</t>
        </is>
      </c>
      <c r="M2703" t="n">
        <v>454</v>
      </c>
      <c r="N2703" t="inlineStr">
        <is>
          <t>Leptobrachium leishanense</t>
        </is>
      </c>
      <c r="O2703" t="inlineStr">
        <is>
          <t>Reverse transcriptase domain-containing protein</t>
        </is>
      </c>
    </row>
    <row r="2704">
      <c r="A2704" t="inlineStr"/>
      <c r="B2704" t="inlineStr"/>
      <c r="C2704" t="inlineStr"/>
      <c r="D2704" t="inlineStr"/>
      <c r="E2704">
        <f>HYPERLINK("https://www.uniprot.org/uniprotkb/A0A8C5LNZ7/entry", "A0A8C5LNZ7")</f>
        <v/>
      </c>
      <c r="F2704" t="n">
        <v>41.8</v>
      </c>
      <c r="G2704" t="n">
        <v>170</v>
      </c>
      <c r="H2704" t="n">
        <v>9.86e-31</v>
      </c>
      <c r="I2704" t="inlineStr">
        <is>
          <t>TrEMBL</t>
        </is>
      </c>
      <c r="J2704" t="inlineStr"/>
      <c r="K2704" t="inlineStr">
        <is>
          <t>A0A8C5LNZ7_9ANUR</t>
        </is>
      </c>
      <c r="L2704" t="inlineStr">
        <is>
          <t>tr|A0A8C5LNZ7|A0A8C5LNZ7_9ANUR Reverse transcriptase domain-containing protein OS=Leptobrachium leishanense OX=445787 PE=4 SV=1</t>
        </is>
      </c>
      <c r="M2704" t="n">
        <v>1112</v>
      </c>
      <c r="N2704" t="inlineStr">
        <is>
          <t>Leptobrachium leishanense</t>
        </is>
      </c>
      <c r="O2704" t="inlineStr">
        <is>
          <t>Reverse transcriptase domain-containing protein</t>
        </is>
      </c>
    </row>
    <row r="2705">
      <c r="A2705" t="inlineStr"/>
      <c r="B2705" t="inlineStr"/>
      <c r="C2705" t="inlineStr"/>
      <c r="D2705" t="inlineStr"/>
      <c r="E2705">
        <f>HYPERLINK("https://www.ncbi.nlm.nih.gov/gene/?term=OCT93828.1", "OCT93828.1")</f>
        <v/>
      </c>
      <c r="F2705" t="n">
        <v>41.7</v>
      </c>
      <c r="G2705" t="n">
        <v>180</v>
      </c>
      <c r="H2705" t="n">
        <v>1.08e-30</v>
      </c>
      <c r="I2705" t="inlineStr">
        <is>
          <t>Nr</t>
        </is>
      </c>
      <c r="J2705" t="inlineStr"/>
      <c r="K2705" t="inlineStr"/>
      <c r="L2705" t="inlineStr">
        <is>
          <t>OCT93828.1 hypothetical protein XELAEV_18011499mg [Xenopus laevis]</t>
        </is>
      </c>
      <c r="M2705" t="n">
        <v>2634</v>
      </c>
      <c r="N2705" t="inlineStr">
        <is>
          <t>Xenopus laevis</t>
        </is>
      </c>
      <c r="O2705" t="inlineStr">
        <is>
          <t>hypothetical protein XELAEV_18011499mg</t>
        </is>
      </c>
    </row>
    <row r="2706">
      <c r="A2706" t="inlineStr"/>
      <c r="B2706" t="inlineStr"/>
      <c r="C2706" t="inlineStr"/>
      <c r="D2706" t="inlineStr"/>
      <c r="E2706">
        <f>HYPERLINK("https://www.ncbi.nlm.nih.gov/gene/?term=XP_040190604.1", "XP_040190604.1")</f>
        <v/>
      </c>
      <c r="F2706" t="n">
        <v>35.7</v>
      </c>
      <c r="G2706" t="n">
        <v>168</v>
      </c>
      <c r="H2706" t="n">
        <v>1.42e-30</v>
      </c>
      <c r="I2706" t="inlineStr">
        <is>
          <t>Nr</t>
        </is>
      </c>
      <c r="J2706" t="inlineStr"/>
      <c r="K2706" t="inlineStr"/>
      <c r="L2706" t="inlineStr">
        <is>
          <t>XP_040190604.1 uncharacterized protein LOC120922368 [Rana temporaria]</t>
        </is>
      </c>
      <c r="M2706" t="n">
        <v>350</v>
      </c>
      <c r="N2706" t="inlineStr">
        <is>
          <t>Rana temporaria</t>
        </is>
      </c>
      <c r="O2706" t="inlineStr">
        <is>
          <t>uncharacterized protein LOC120922368</t>
        </is>
      </c>
    </row>
    <row r="2707">
      <c r="A2707" t="inlineStr"/>
      <c r="B2707" t="inlineStr"/>
      <c r="C2707" t="inlineStr"/>
      <c r="D2707" t="inlineStr"/>
      <c r="E2707">
        <f>HYPERLINK("https://www.ncbi.nlm.nih.gov/gene/?term=XP_040190604.1", "XP_040190604.1")</f>
        <v/>
      </c>
      <c r="F2707" t="n">
        <v>35.7</v>
      </c>
      <c r="G2707" t="n">
        <v>168</v>
      </c>
      <c r="H2707" t="n">
        <v>1.42e-30</v>
      </c>
      <c r="I2707" t="inlineStr">
        <is>
          <t>Nr</t>
        </is>
      </c>
      <c r="J2707" t="inlineStr"/>
      <c r="K2707" t="inlineStr"/>
      <c r="L2707" t="inlineStr">
        <is>
          <t>XP_040190604.1 uncharacterized protein LOC120922368 [Rana temporaria]</t>
        </is>
      </c>
      <c r="M2707" t="n">
        <v>350</v>
      </c>
      <c r="N2707" t="inlineStr">
        <is>
          <t>Rana temporaria</t>
        </is>
      </c>
      <c r="O2707" t="inlineStr">
        <is>
          <t>uncharacterized protein LOC120922368</t>
        </is>
      </c>
    </row>
    <row r="2708">
      <c r="A2708" t="inlineStr"/>
      <c r="B2708" t="inlineStr"/>
      <c r="C2708" t="inlineStr"/>
      <c r="D2708" t="inlineStr"/>
      <c r="E2708">
        <f>HYPERLINK("https://www.uniprot.org/uniprotkb/A0A8C5LPK4/entry", "A0A8C5LPK4")</f>
        <v/>
      </c>
      <c r="F2708" t="n">
        <v>41.8</v>
      </c>
      <c r="G2708" t="n">
        <v>170</v>
      </c>
      <c r="H2708" t="n">
        <v>1.51e-30</v>
      </c>
      <c r="I2708" t="inlineStr">
        <is>
          <t>TrEMBL</t>
        </is>
      </c>
      <c r="J2708" t="inlineStr"/>
      <c r="K2708" t="inlineStr">
        <is>
          <t>A0A8C5LPK4_9ANUR</t>
        </is>
      </c>
      <c r="L2708" t="inlineStr">
        <is>
          <t>tr|A0A8C5LPK4|A0A8C5LPK4_9ANUR Reverse transcriptase domain-containing protein OS=Leptobrachium leishanense OX=445787 PE=4 SV=1</t>
        </is>
      </c>
      <c r="M2708" t="n">
        <v>703</v>
      </c>
      <c r="N2708" t="inlineStr">
        <is>
          <t>Leptobrachium leishanense</t>
        </is>
      </c>
      <c r="O2708" t="inlineStr">
        <is>
          <t>Reverse transcriptase domain-containing protein</t>
        </is>
      </c>
    </row>
    <row r="2709">
      <c r="A2709" t="inlineStr"/>
      <c r="B2709" t="inlineStr"/>
      <c r="C2709" t="inlineStr"/>
      <c r="D2709" t="inlineStr"/>
      <c r="E2709">
        <f>HYPERLINK("https://www.ncbi.nlm.nih.gov/gene/?term=XP_040262267.1", "XP_040262267.1")</f>
        <v/>
      </c>
      <c r="F2709" t="n">
        <v>39.6</v>
      </c>
      <c r="G2709" t="n">
        <v>169</v>
      </c>
      <c r="H2709" t="n">
        <v>1.74e-30</v>
      </c>
      <c r="I2709" t="inlineStr">
        <is>
          <t>Nr</t>
        </is>
      </c>
      <c r="J2709" t="inlineStr"/>
      <c r="K2709" t="inlineStr"/>
      <c r="L2709" t="inlineStr">
        <is>
          <t>XP_040262267.1 FERM domain-containing protein 7 [Bufo bufo]</t>
        </is>
      </c>
      <c r="M2709" t="n">
        <v>963</v>
      </c>
      <c r="N2709" t="inlineStr">
        <is>
          <t>Bufo bufo</t>
        </is>
      </c>
      <c r="O2709" t="inlineStr">
        <is>
          <t>FERM domain-containing protein 7</t>
        </is>
      </c>
    </row>
    <row r="2710">
      <c r="A2710" t="inlineStr"/>
      <c r="B2710" t="inlineStr"/>
      <c r="C2710" t="inlineStr"/>
      <c r="D2710" t="inlineStr"/>
      <c r="E2710">
        <f>HYPERLINK("https://www.ncbi.nlm.nih.gov/gene/?term=XP_040262267.1", "XP_040262267.1")</f>
        <v/>
      </c>
      <c r="F2710" t="n">
        <v>39.6</v>
      </c>
      <c r="G2710" t="n">
        <v>169</v>
      </c>
      <c r="H2710" t="n">
        <v>1.74e-30</v>
      </c>
      <c r="I2710" t="inlineStr">
        <is>
          <t>Nr</t>
        </is>
      </c>
      <c r="J2710" t="inlineStr"/>
      <c r="K2710" t="inlineStr"/>
      <c r="L2710" t="inlineStr">
        <is>
          <t>XP_040262267.1 FERM domain-containing protein 7 [Bufo bufo]</t>
        </is>
      </c>
      <c r="M2710" t="n">
        <v>963</v>
      </c>
      <c r="N2710" t="inlineStr">
        <is>
          <t>Bufo bufo</t>
        </is>
      </c>
      <c r="O2710" t="inlineStr">
        <is>
          <t>FERM domain-containing protein 7</t>
        </is>
      </c>
    </row>
    <row r="2711">
      <c r="A2711" t="inlineStr"/>
      <c r="B2711" t="inlineStr"/>
      <c r="C2711" t="inlineStr"/>
      <c r="D2711" t="inlineStr"/>
      <c r="E2711">
        <f>HYPERLINK("https://www.ncbi.nlm.nih.gov/gene/?term=PIO22549.1", "PIO22549.1")</f>
        <v/>
      </c>
      <c r="F2711" t="n">
        <v>39.9</v>
      </c>
      <c r="G2711" t="n">
        <v>168</v>
      </c>
      <c r="H2711" t="n">
        <v>1.79e-30</v>
      </c>
      <c r="I2711" t="inlineStr">
        <is>
          <t>Nr</t>
        </is>
      </c>
      <c r="J2711" t="inlineStr"/>
      <c r="K2711" t="inlineStr"/>
      <c r="L2711" t="inlineStr">
        <is>
          <t>PIO22549.1 hypothetical protein AB205_0137050 [Lithobates catesbeianus]</t>
        </is>
      </c>
      <c r="M2711" t="n">
        <v>310</v>
      </c>
      <c r="N2711" t="inlineStr">
        <is>
          <t>Lithobates catesbeianus</t>
        </is>
      </c>
      <c r="O2711" t="inlineStr">
        <is>
          <t>hypothetical protein AB205_0137050</t>
        </is>
      </c>
    </row>
    <row r="2712">
      <c r="A2712" t="inlineStr"/>
      <c r="B2712" t="inlineStr"/>
      <c r="C2712" t="inlineStr"/>
      <c r="D2712" t="inlineStr"/>
      <c r="E2712">
        <f>HYPERLINK("https://www.ncbi.nlm.nih.gov/gene/?term=PIO22549.1", "PIO22549.1")</f>
        <v/>
      </c>
      <c r="F2712" t="n">
        <v>39.9</v>
      </c>
      <c r="G2712" t="n">
        <v>168</v>
      </c>
      <c r="H2712" t="n">
        <v>1.79e-30</v>
      </c>
      <c r="I2712" t="inlineStr">
        <is>
          <t>Nr</t>
        </is>
      </c>
      <c r="J2712" t="inlineStr"/>
      <c r="K2712" t="inlineStr"/>
      <c r="L2712" t="inlineStr">
        <is>
          <t>PIO22549.1 hypothetical protein AB205_0137050 [Lithobates catesbeianus]</t>
        </is>
      </c>
      <c r="M2712" t="n">
        <v>310</v>
      </c>
      <c r="N2712" t="inlineStr">
        <is>
          <t>Lithobates catesbeianus</t>
        </is>
      </c>
      <c r="O2712" t="inlineStr">
        <is>
          <t>hypothetical protein AB205_0137050</t>
        </is>
      </c>
    </row>
    <row r="2713">
      <c r="A2713" t="inlineStr"/>
      <c r="B2713" t="inlineStr"/>
      <c r="C2713" t="inlineStr"/>
      <c r="D2713" t="inlineStr"/>
      <c r="E2713">
        <f>HYPERLINK("https://www.ncbi.nlm.nih.gov/gene/?term=KAG8592375.1", "KAG8592375.1")</f>
        <v/>
      </c>
      <c r="F2713" t="n">
        <v>34.2</v>
      </c>
      <c r="G2713" t="n">
        <v>193</v>
      </c>
      <c r="H2713" t="n">
        <v>3.3e-30</v>
      </c>
      <c r="I2713" t="inlineStr">
        <is>
          <t>Nr</t>
        </is>
      </c>
      <c r="J2713" t="inlineStr"/>
      <c r="K2713" t="inlineStr"/>
      <c r="L2713" t="inlineStr">
        <is>
          <t>KAG8592375.1 hypothetical protein GDO81_000482 [Engystomops pustulosus]</t>
        </is>
      </c>
      <c r="M2713" t="n">
        <v>1124</v>
      </c>
      <c r="N2713" t="inlineStr">
        <is>
          <t>Engystomops pustulosus</t>
        </is>
      </c>
      <c r="O2713" t="inlineStr">
        <is>
          <t>hypothetical protein GDO81_000482</t>
        </is>
      </c>
    </row>
    <row r="2714">
      <c r="A2714" t="inlineStr"/>
      <c r="B2714" t="inlineStr"/>
      <c r="C2714" t="inlineStr"/>
      <c r="D2714" t="inlineStr"/>
      <c r="E2714">
        <f>HYPERLINK("https://www.ncbi.nlm.nih.gov/gene/?term=KAG8592375.1", "KAG8592375.1")</f>
        <v/>
      </c>
      <c r="F2714" t="n">
        <v>34.2</v>
      </c>
      <c r="G2714" t="n">
        <v>193</v>
      </c>
      <c r="H2714" t="n">
        <v>3.3e-30</v>
      </c>
      <c r="I2714" t="inlineStr">
        <is>
          <t>Nr</t>
        </is>
      </c>
      <c r="J2714" t="inlineStr"/>
      <c r="K2714" t="inlineStr"/>
      <c r="L2714" t="inlineStr">
        <is>
          <t>KAG8592375.1 hypothetical protein GDO81_000482 [Engystomops pustulosus]</t>
        </is>
      </c>
      <c r="M2714" t="n">
        <v>1124</v>
      </c>
      <c r="N2714" t="inlineStr">
        <is>
          <t>Engystomops pustulosus</t>
        </is>
      </c>
      <c r="O2714" t="inlineStr">
        <is>
          <t>hypothetical protein GDO81_000482</t>
        </is>
      </c>
    </row>
    <row r="2715">
      <c r="A2715" t="inlineStr"/>
      <c r="B2715" t="inlineStr"/>
      <c r="C2715" t="inlineStr"/>
      <c r="D2715" t="inlineStr"/>
      <c r="E2715">
        <f>HYPERLINK("https://www.uniprot.org/uniprotkb/A0A8C5W8G1/entry", "A0A8C5W8G1")</f>
        <v/>
      </c>
      <c r="F2715" t="n">
        <v>41.2</v>
      </c>
      <c r="G2715" t="n">
        <v>170</v>
      </c>
      <c r="H2715" t="n">
        <v>3.45e-30</v>
      </c>
      <c r="I2715" t="inlineStr">
        <is>
          <t>TrEMBL</t>
        </is>
      </c>
      <c r="J2715" t="inlineStr"/>
      <c r="K2715" t="inlineStr">
        <is>
          <t>A0A8C5W8G1_9ANUR</t>
        </is>
      </c>
      <c r="L2715" t="inlineStr">
        <is>
          <t>tr|A0A8C5W8G1|A0A8C5W8G1_9ANUR Reverse transcriptase domain-containing protein OS=Leptobrachium leishanense OX=445787 PE=4 SV=1</t>
        </is>
      </c>
      <c r="M2715" t="n">
        <v>1278</v>
      </c>
      <c r="N2715" t="inlineStr">
        <is>
          <t>Leptobrachium leishanense</t>
        </is>
      </c>
      <c r="O2715" t="inlineStr">
        <is>
          <t>Reverse transcriptase domain-containing protein</t>
        </is>
      </c>
    </row>
    <row r="2716">
      <c r="A2716" t="inlineStr"/>
      <c r="B2716" t="inlineStr"/>
      <c r="C2716" t="inlineStr"/>
      <c r="D2716" t="inlineStr"/>
      <c r="E2716">
        <f>HYPERLINK("https://www.uniprot.org/uniprotkb/A0A803K3V4/entry", "A0A803K3V4")</f>
        <v/>
      </c>
      <c r="F2716" t="n">
        <v>42.4</v>
      </c>
      <c r="G2716" t="n">
        <v>177</v>
      </c>
      <c r="H2716" t="n">
        <v>4.63e-30</v>
      </c>
      <c r="I2716" t="inlineStr">
        <is>
          <t>TrEMBL</t>
        </is>
      </c>
      <c r="J2716" t="inlineStr"/>
      <c r="K2716" t="inlineStr">
        <is>
          <t>A0A803K3V4_XENTR</t>
        </is>
      </c>
      <c r="L2716" t="inlineStr">
        <is>
          <t>tr|A0A803K3V4|A0A803K3V4_XENTR Reverse transcriptase domain-containing protein OS=Xenopus tropicalis OX=8364 PE=4 SV=1</t>
        </is>
      </c>
      <c r="M2716" t="n">
        <v>1145</v>
      </c>
      <c r="N2716" t="inlineStr">
        <is>
          <t>Xenopus tropicalis</t>
        </is>
      </c>
      <c r="O2716" t="inlineStr">
        <is>
          <t>Reverse transcriptase domain-containing protein</t>
        </is>
      </c>
    </row>
    <row r="2717">
      <c r="A2717" t="inlineStr"/>
      <c r="B2717" t="inlineStr"/>
      <c r="C2717" t="inlineStr"/>
      <c r="D2717" t="inlineStr"/>
      <c r="E2717">
        <f>HYPERLINK("https://www.uniprot.org/uniprotkb/A0A803JFH0/entry", "A0A803JFH0")</f>
        <v/>
      </c>
      <c r="F2717" t="n">
        <v>39.9</v>
      </c>
      <c r="G2717" t="n">
        <v>178</v>
      </c>
      <c r="H2717" t="n">
        <v>7.259999999999999e-30</v>
      </c>
      <c r="I2717" t="inlineStr">
        <is>
          <t>TrEMBL</t>
        </is>
      </c>
      <c r="J2717" t="inlineStr"/>
      <c r="K2717" t="inlineStr">
        <is>
          <t>A0A803JFH0_XENTR</t>
        </is>
      </c>
      <c r="L2717" t="inlineStr">
        <is>
          <t>tr|A0A803JFH0|A0A803JFH0_XENTR Reverse transcriptase domain-containing protein OS=Xenopus tropicalis OX=8364 PE=4 SV=1</t>
        </is>
      </c>
      <c r="M2717" t="n">
        <v>708</v>
      </c>
      <c r="N2717" t="inlineStr">
        <is>
          <t>Xenopus tropicalis</t>
        </is>
      </c>
      <c r="O2717" t="inlineStr">
        <is>
          <t>Reverse transcriptase domain-containing protein</t>
        </is>
      </c>
    </row>
    <row r="2718">
      <c r="A2718" t="inlineStr"/>
      <c r="B2718" t="inlineStr"/>
      <c r="C2718" t="inlineStr"/>
      <c r="D2718" t="inlineStr"/>
      <c r="E2718">
        <f>HYPERLINK("https://www.uniprot.org/uniprotkb/A0A8C5MRD0/entry", "A0A8C5MRD0")</f>
        <v/>
      </c>
      <c r="F2718" t="n">
        <v>41.6</v>
      </c>
      <c r="G2718" t="n">
        <v>173</v>
      </c>
      <c r="H2718" t="n">
        <v>8.699999999999999e-30</v>
      </c>
      <c r="I2718" t="inlineStr">
        <is>
          <t>TrEMBL</t>
        </is>
      </c>
      <c r="J2718" t="inlineStr"/>
      <c r="K2718" t="inlineStr">
        <is>
          <t>A0A8C5MRD0_9ANUR</t>
        </is>
      </c>
      <c r="L2718" t="inlineStr">
        <is>
          <t>tr|A0A8C5MRD0|A0A8C5MRD0_9ANUR Reverse transcriptase domain-containing protein OS=Leptobrachium leishanense OX=445787 PE=4 SV=1</t>
        </is>
      </c>
      <c r="M2718" t="n">
        <v>1277</v>
      </c>
      <c r="N2718" t="inlineStr">
        <is>
          <t>Leptobrachium leishanense</t>
        </is>
      </c>
      <c r="O2718" t="inlineStr">
        <is>
          <t>Reverse transcriptase domain-containing protein</t>
        </is>
      </c>
    </row>
    <row r="2719">
      <c r="A2719" t="inlineStr"/>
      <c r="B2719" t="inlineStr"/>
      <c r="C2719" t="inlineStr"/>
      <c r="D2719" t="inlineStr"/>
      <c r="E2719">
        <f>HYPERLINK("https://www.uniprot.org/uniprotkb/A0A8C5MZ24/entry", "A0A8C5MZ24")</f>
        <v/>
      </c>
      <c r="F2719" t="n">
        <v>40</v>
      </c>
      <c r="G2719" t="n">
        <v>170</v>
      </c>
      <c r="H2719" t="n">
        <v>1.31e-29</v>
      </c>
      <c r="I2719" t="inlineStr">
        <is>
          <t>TrEMBL</t>
        </is>
      </c>
      <c r="J2719" t="inlineStr"/>
      <c r="K2719" t="inlineStr">
        <is>
          <t>A0A8C5MZ24_9ANUR</t>
        </is>
      </c>
      <c r="L2719" t="inlineStr">
        <is>
          <t>tr|A0A8C5MZ24|A0A8C5MZ24_9ANUR Reverse transcriptase domain-containing protein OS=Leptobrachium leishanense OX=445787 PE=4 SV=1</t>
        </is>
      </c>
      <c r="M2719" t="n">
        <v>689</v>
      </c>
      <c r="N2719" t="inlineStr">
        <is>
          <t>Leptobrachium leishanense</t>
        </is>
      </c>
      <c r="O2719" t="inlineStr">
        <is>
          <t>Reverse transcriptase domain-containing protein</t>
        </is>
      </c>
    </row>
    <row r="2720">
      <c r="A2720" t="inlineStr"/>
      <c r="B2720" t="inlineStr"/>
      <c r="C2720" t="inlineStr"/>
      <c r="D2720" t="inlineStr"/>
      <c r="E2720">
        <f>HYPERLINK("https://www.uniprot.org/uniprotkb/A0A8C5LL59/entry", "A0A8C5LL59")</f>
        <v/>
      </c>
      <c r="F2720" t="n">
        <v>39.9</v>
      </c>
      <c r="G2720" t="n">
        <v>183</v>
      </c>
      <c r="H2720" t="n">
        <v>1.61e-29</v>
      </c>
      <c r="I2720" t="inlineStr">
        <is>
          <t>TrEMBL</t>
        </is>
      </c>
      <c r="J2720" t="inlineStr"/>
      <c r="K2720" t="inlineStr">
        <is>
          <t>A0A8C5LL59_9ANUR</t>
        </is>
      </c>
      <c r="L2720" t="inlineStr">
        <is>
          <t>tr|A0A8C5LL59|A0A8C5LL59_9ANUR Reverse transcriptase domain-containing protein OS=Leptobrachium leishanense OX=445787 PE=4 SV=1</t>
        </is>
      </c>
      <c r="M2720" t="n">
        <v>1259</v>
      </c>
      <c r="N2720" t="inlineStr">
        <is>
          <t>Leptobrachium leishanense</t>
        </is>
      </c>
      <c r="O2720" t="inlineStr">
        <is>
          <t>Reverse transcriptase domain-containing protein</t>
        </is>
      </c>
    </row>
    <row r="2721">
      <c r="A2721" t="inlineStr"/>
      <c r="B2721" t="inlineStr"/>
      <c r="C2721" t="inlineStr"/>
      <c r="D2721" t="inlineStr"/>
      <c r="E2721">
        <f>HYPERLINK("https://www.uniprot.org/uniprotkb/A0A8C5PYT3/entry", "A0A8C5PYT3")</f>
        <v/>
      </c>
      <c r="F2721" t="n">
        <v>38.8</v>
      </c>
      <c r="G2721" t="n">
        <v>183</v>
      </c>
      <c r="H2721" t="n">
        <v>1.92e-29</v>
      </c>
      <c r="I2721" t="inlineStr">
        <is>
          <t>TrEMBL</t>
        </is>
      </c>
      <c r="J2721" t="inlineStr"/>
      <c r="K2721" t="inlineStr">
        <is>
          <t>A0A8C5PYT3_9ANUR</t>
        </is>
      </c>
      <c r="L2721" t="inlineStr">
        <is>
          <t>tr|A0A8C5PYT3|A0A8C5PYT3_9ANUR Reverse transcriptase domain-containing protein OS=Leptobrachium leishanense OX=445787 PE=4 SV=1</t>
        </is>
      </c>
      <c r="M2721" t="n">
        <v>337</v>
      </c>
      <c r="N2721" t="inlineStr">
        <is>
          <t>Leptobrachium leishanense</t>
        </is>
      </c>
      <c r="O2721" t="inlineStr">
        <is>
          <t>Reverse transcriptase domain-containing protein</t>
        </is>
      </c>
    </row>
    <row r="2722">
      <c r="A2722" t="inlineStr"/>
      <c r="B2722" t="inlineStr"/>
      <c r="C2722" t="inlineStr"/>
      <c r="D2722" t="inlineStr"/>
      <c r="E2722">
        <f>HYPERLINK("https://www.uniprot.org/uniprotkb/A0A8C5MI78/entry", "A0A8C5MI78")</f>
        <v/>
      </c>
      <c r="F2722" t="n">
        <v>39.9</v>
      </c>
      <c r="G2722" t="n">
        <v>183</v>
      </c>
      <c r="H2722" t="n">
        <v>2.09e-29</v>
      </c>
      <c r="I2722" t="inlineStr">
        <is>
          <t>TrEMBL</t>
        </is>
      </c>
      <c r="J2722" t="inlineStr"/>
      <c r="K2722" t="inlineStr">
        <is>
          <t>A0A8C5MI78_9ANUR</t>
        </is>
      </c>
      <c r="L2722" t="inlineStr">
        <is>
          <t>tr|A0A8C5MI78|A0A8C5MI78_9ANUR Reverse transcriptase domain-containing protein OS=Leptobrachium leishanense OX=445787 PE=4 SV=1</t>
        </is>
      </c>
      <c r="M2722" t="n">
        <v>902</v>
      </c>
      <c r="N2722" t="inlineStr">
        <is>
          <t>Leptobrachium leishanense</t>
        </is>
      </c>
      <c r="O2722" t="inlineStr">
        <is>
          <t>Reverse transcriptase domain-containing protein</t>
        </is>
      </c>
    </row>
    <row r="2723">
      <c r="A2723" t="inlineStr"/>
      <c r="B2723" t="inlineStr"/>
      <c r="C2723" t="inlineStr"/>
      <c r="D2723" t="inlineStr"/>
      <c r="E2723">
        <f>HYPERLINK("https://www.uniprot.org/uniprotkb/A0A8C5LPC0/entry", "A0A8C5LPC0")</f>
        <v/>
      </c>
      <c r="F2723" t="n">
        <v>39.9</v>
      </c>
      <c r="G2723" t="n">
        <v>183</v>
      </c>
      <c r="H2723" t="n">
        <v>2.14e-29</v>
      </c>
      <c r="I2723" t="inlineStr">
        <is>
          <t>TrEMBL</t>
        </is>
      </c>
      <c r="J2723" t="inlineStr"/>
      <c r="K2723" t="inlineStr">
        <is>
          <t>A0A8C5LPC0_9ANUR</t>
        </is>
      </c>
      <c r="L2723" t="inlineStr">
        <is>
          <t>tr|A0A8C5LPC0|A0A8C5LPC0_9ANUR Reverse transcriptase domain-containing protein OS=Leptobrachium leishanense OX=445787 PE=4 SV=1</t>
        </is>
      </c>
      <c r="M2723" t="n">
        <v>1049</v>
      </c>
      <c r="N2723" t="inlineStr">
        <is>
          <t>Leptobrachium leishanense</t>
        </is>
      </c>
      <c r="O2723" t="inlineStr">
        <is>
          <t>Reverse transcriptase domain-containing protein</t>
        </is>
      </c>
    </row>
    <row r="2724">
      <c r="A2724" t="inlineStr"/>
      <c r="B2724" t="inlineStr"/>
      <c r="C2724" t="inlineStr"/>
      <c r="D2724" t="inlineStr"/>
      <c r="E2724">
        <f>HYPERLINK("https://www.uniprot.org/uniprotkb/A0A8C5MS54/entry", "A0A8C5MS54")</f>
        <v/>
      </c>
      <c r="F2724" t="n">
        <v>41</v>
      </c>
      <c r="G2724" t="n">
        <v>173</v>
      </c>
      <c r="H2724" t="n">
        <v>2.15e-29</v>
      </c>
      <c r="I2724" t="inlineStr">
        <is>
          <t>TrEMBL</t>
        </is>
      </c>
      <c r="J2724" t="inlineStr"/>
      <c r="K2724" t="inlineStr">
        <is>
          <t>A0A8C5MS54_9ANUR</t>
        </is>
      </c>
      <c r="L2724" t="inlineStr">
        <is>
          <t>tr|A0A8C5MS54|A0A8C5MS54_9ANUR Reverse transcriptase domain-containing protein OS=Leptobrachium leishanense OX=445787 PE=4 SV=1</t>
        </is>
      </c>
      <c r="M2724" t="n">
        <v>1073</v>
      </c>
      <c r="N2724" t="inlineStr">
        <is>
          <t>Leptobrachium leishanense</t>
        </is>
      </c>
      <c r="O2724" t="inlineStr">
        <is>
          <t>Reverse transcriptase domain-containing protein</t>
        </is>
      </c>
    </row>
    <row r="2725">
      <c r="A2725" t="inlineStr"/>
      <c r="B2725" t="inlineStr"/>
      <c r="C2725" t="inlineStr"/>
      <c r="D2725" t="inlineStr"/>
      <c r="E2725">
        <f>HYPERLINK("https://www.ncbi.nlm.nih.gov/gene/?term=WP_218106854.1", "WP_218106854.1")</f>
        <v/>
      </c>
      <c r="F2725" t="n">
        <v>39</v>
      </c>
      <c r="G2725" t="n">
        <v>182</v>
      </c>
      <c r="H2725" t="n">
        <v>2.24e-29</v>
      </c>
      <c r="I2725" t="inlineStr">
        <is>
          <t>Nr</t>
        </is>
      </c>
      <c r="J2725" t="inlineStr"/>
      <c r="K2725" t="inlineStr"/>
      <c r="L2725" t="inlineStr">
        <is>
          <t>WP_218106854.1 hypothetical protein, partial [Microcystis aeruginosa]</t>
        </is>
      </c>
      <c r="M2725" t="n">
        <v>297</v>
      </c>
      <c r="N2725" t="inlineStr">
        <is>
          <t>Microcystis aeruginosa</t>
        </is>
      </c>
      <c r="O2725" t="inlineStr">
        <is>
          <t>hypothetical protein, partial</t>
        </is>
      </c>
    </row>
    <row r="2726">
      <c r="A2726" t="inlineStr"/>
      <c r="B2726" t="inlineStr"/>
      <c r="C2726" t="inlineStr"/>
      <c r="D2726" t="inlineStr"/>
      <c r="E2726">
        <f>HYPERLINK("https://www.uniprot.org/uniprotkb/A0A8C5LMP2/entry", "A0A8C5LMP2")</f>
        <v/>
      </c>
      <c r="F2726" t="n">
        <v>38.9</v>
      </c>
      <c r="G2726" t="n">
        <v>185</v>
      </c>
      <c r="H2726" t="n">
        <v>3.9e-29</v>
      </c>
      <c r="I2726" t="inlineStr">
        <is>
          <t>TrEMBL</t>
        </is>
      </c>
      <c r="J2726" t="inlineStr"/>
      <c r="K2726" t="inlineStr">
        <is>
          <t>A0A8C5LMP2_9ANUR</t>
        </is>
      </c>
      <c r="L2726" t="inlineStr">
        <is>
          <t>tr|A0A8C5LMP2|A0A8C5LMP2_9ANUR Reverse transcriptase domain-containing protein OS=Leptobrachium leishanense OX=445787 PE=4 SV=1</t>
        </is>
      </c>
      <c r="M2726" t="n">
        <v>949</v>
      </c>
      <c r="N2726" t="inlineStr">
        <is>
          <t>Leptobrachium leishanense</t>
        </is>
      </c>
      <c r="O2726" t="inlineStr">
        <is>
          <t>Reverse transcriptase domain-containing protein</t>
        </is>
      </c>
    </row>
    <row r="2727">
      <c r="A2727" t="inlineStr"/>
      <c r="B2727" t="inlineStr"/>
      <c r="C2727" t="inlineStr"/>
      <c r="D2727" t="inlineStr"/>
      <c r="E2727">
        <f>HYPERLINK("https://www.uniprot.org/uniprotkb/P08548/entry", "P08548")</f>
        <v/>
      </c>
      <c r="F2727" t="n">
        <v>38.2</v>
      </c>
      <c r="G2727" t="n">
        <v>178</v>
      </c>
      <c r="H2727" t="n">
        <v>2.3e-28</v>
      </c>
      <c r="I2727" t="inlineStr">
        <is>
          <t>Swiss-Prot</t>
        </is>
      </c>
      <c r="J2727" t="inlineStr"/>
      <c r="K2727" t="inlineStr">
        <is>
          <t>LIN1_NYCCO</t>
        </is>
      </c>
      <c r="L2727" t="inlineStr">
        <is>
          <t>sp|P08548|LIN1_NYCCO LINE-1 reverse transcriptase homolog OS=Nycticebus coucang OX=9470 PE=4 SV=1</t>
        </is>
      </c>
      <c r="M2727" t="n">
        <v>1260</v>
      </c>
      <c r="N2727" t="inlineStr">
        <is>
          <t>Nycticebus coucang</t>
        </is>
      </c>
      <c r="O2727" t="inlineStr">
        <is>
          <t>LINE-1 reverse transcriptase homolog</t>
        </is>
      </c>
    </row>
    <row r="2728">
      <c r="A2728" t="inlineStr"/>
      <c r="B2728" t="inlineStr"/>
      <c r="C2728" t="inlineStr"/>
      <c r="D2728" t="inlineStr"/>
      <c r="E2728">
        <f>HYPERLINK("https://www.ncbi.nlm.nih.gov/gene/?term=KAG9468069.1", "KAG9468069.1")</f>
        <v/>
      </c>
      <c r="F2728" t="n">
        <v>33.9</v>
      </c>
      <c r="G2728" t="n">
        <v>171</v>
      </c>
      <c r="H2728" t="n">
        <v>3.87e-28</v>
      </c>
      <c r="I2728" t="inlineStr">
        <is>
          <t>Nr</t>
        </is>
      </c>
      <c r="J2728" t="inlineStr"/>
      <c r="K2728" t="inlineStr"/>
      <c r="L2728" t="inlineStr">
        <is>
          <t>KAG9468069.1 hypothetical protein GDO78_013818 [Eleutherodactylus coqui]</t>
        </is>
      </c>
      <c r="M2728" t="n">
        <v>385</v>
      </c>
      <c r="N2728" t="inlineStr">
        <is>
          <t>Eleutherodactylus coqui</t>
        </is>
      </c>
      <c r="O2728" t="inlineStr">
        <is>
          <t>hypothetical protein GDO78_013818</t>
        </is>
      </c>
    </row>
    <row r="2729">
      <c r="A2729" t="inlineStr"/>
      <c r="B2729" t="inlineStr"/>
      <c r="C2729" t="inlineStr"/>
      <c r="D2729" t="inlineStr"/>
      <c r="E2729">
        <f>HYPERLINK("https://www.ncbi.nlm.nih.gov/gene/?term=KAG9468069.1", "KAG9468069.1")</f>
        <v/>
      </c>
      <c r="F2729" t="n">
        <v>33.9</v>
      </c>
      <c r="G2729" t="n">
        <v>171</v>
      </c>
      <c r="H2729" t="n">
        <v>3.87e-28</v>
      </c>
      <c r="I2729" t="inlineStr">
        <is>
          <t>Nr</t>
        </is>
      </c>
      <c r="J2729" t="inlineStr"/>
      <c r="K2729" t="inlineStr"/>
      <c r="L2729" t="inlineStr">
        <is>
          <t>KAG9468069.1 hypothetical protein GDO78_013818 [Eleutherodactylus coqui]</t>
        </is>
      </c>
      <c r="M2729" t="n">
        <v>385</v>
      </c>
      <c r="N2729" t="inlineStr">
        <is>
          <t>Eleutherodactylus coqui</t>
        </is>
      </c>
      <c r="O2729" t="inlineStr">
        <is>
          <t>hypothetical protein GDO78_013818</t>
        </is>
      </c>
    </row>
    <row r="2730">
      <c r="A2730" t="inlineStr"/>
      <c r="B2730" t="inlineStr"/>
      <c r="C2730" t="inlineStr"/>
      <c r="D2730" t="inlineStr"/>
      <c r="E2730">
        <f>HYPERLINK("https://www.ncbi.nlm.nih.gov/gene/?term=MCQ7217617.1", "MCQ7217617.1")</f>
        <v/>
      </c>
      <c r="F2730" t="n">
        <v>38.8</v>
      </c>
      <c r="G2730" t="n">
        <v>178</v>
      </c>
      <c r="H2730" t="n">
        <v>5.73e-28</v>
      </c>
      <c r="I2730" t="inlineStr">
        <is>
          <t>Nr</t>
        </is>
      </c>
      <c r="J2730" t="inlineStr"/>
      <c r="K2730" t="inlineStr"/>
      <c r="L2730" t="inlineStr">
        <is>
          <t>MCQ7217617.1 reverse transcriptase family protein [Salmonella enterica]</t>
        </is>
      </c>
      <c r="M2730" t="n">
        <v>324</v>
      </c>
      <c r="N2730" t="inlineStr">
        <is>
          <t>Salmonella enterica</t>
        </is>
      </c>
      <c r="O2730" t="inlineStr">
        <is>
          <t>reverse transcriptase family protein</t>
        </is>
      </c>
    </row>
    <row r="2731">
      <c r="A2731" t="inlineStr"/>
      <c r="B2731" t="inlineStr"/>
      <c r="C2731" t="inlineStr"/>
      <c r="D2731" t="inlineStr"/>
      <c r="E2731">
        <f>HYPERLINK("https://www.ncbi.nlm.nih.gov/gene/?term=WP_117218283.1", "WP_117218283.1")</f>
        <v/>
      </c>
      <c r="F2731" t="n">
        <v>39.3</v>
      </c>
      <c r="G2731" t="n">
        <v>178</v>
      </c>
      <c r="H2731" t="n">
        <v>9.049999999999999e-28</v>
      </c>
      <c r="I2731" t="inlineStr">
        <is>
          <t>Nr</t>
        </is>
      </c>
      <c r="J2731" t="inlineStr"/>
      <c r="K2731" t="inlineStr"/>
      <c r="L2731" t="inlineStr">
        <is>
          <t>WP_117218283.1 reverse transcriptase domain-containing protein [Staphylococcus aureus]</t>
        </is>
      </c>
      <c r="M2731" t="n">
        <v>1272</v>
      </c>
      <c r="N2731" t="inlineStr">
        <is>
          <t>Staphylococcus aureus</t>
        </is>
      </c>
      <c r="O2731" t="inlineStr">
        <is>
          <t>reverse transcriptase domain-containing protein</t>
        </is>
      </c>
    </row>
    <row r="2732">
      <c r="A2732" t="inlineStr"/>
      <c r="B2732" t="inlineStr"/>
      <c r="C2732" t="inlineStr"/>
      <c r="D2732" t="inlineStr"/>
      <c r="E2732">
        <f>HYPERLINK("https://www.ncbi.nlm.nih.gov/gene/?term=KAF0877843.1", "KAF0877843.1")</f>
        <v/>
      </c>
      <c r="F2732" t="n">
        <v>39.3</v>
      </c>
      <c r="G2732" t="n">
        <v>173</v>
      </c>
      <c r="H2732" t="n">
        <v>2.16e-27</v>
      </c>
      <c r="I2732" t="inlineStr">
        <is>
          <t>Nr</t>
        </is>
      </c>
      <c r="J2732" t="inlineStr"/>
      <c r="K2732" t="inlineStr"/>
      <c r="L2732" t="inlineStr">
        <is>
          <t>KAF0877843.1 LORF2 protein, partial [Crocuta crocuta]</t>
        </is>
      </c>
      <c r="M2732" t="n">
        <v>323</v>
      </c>
      <c r="N2732" t="inlineStr">
        <is>
          <t>Crocuta crocuta</t>
        </is>
      </c>
      <c r="O2732" t="inlineStr">
        <is>
          <t>LORF2 protein, partial</t>
        </is>
      </c>
    </row>
    <row r="2733">
      <c r="A2733" t="inlineStr"/>
      <c r="B2733" t="inlineStr"/>
      <c r="C2733" t="inlineStr"/>
      <c r="D2733" t="inlineStr"/>
      <c r="E2733">
        <f>HYPERLINK("https://www.ncbi.nlm.nih.gov/gene/?term=AAY53484.1", "AAY53484.1")</f>
        <v/>
      </c>
      <c r="F2733" t="n">
        <v>38.8</v>
      </c>
      <c r="G2733" t="n">
        <v>178</v>
      </c>
      <c r="H2733" t="n">
        <v>2.28e-27</v>
      </c>
      <c r="I2733" t="inlineStr">
        <is>
          <t>Nr</t>
        </is>
      </c>
      <c r="J2733" t="inlineStr"/>
      <c r="K2733" t="inlineStr"/>
      <c r="L2733" t="inlineStr">
        <is>
          <t>AAY53484.1 endonuclease reverse transcriptase [Bos taurus]</t>
        </is>
      </c>
      <c r="M2733" t="n">
        <v>1272</v>
      </c>
      <c r="N2733" t="inlineStr">
        <is>
          <t>Bos taurus</t>
        </is>
      </c>
      <c r="O2733" t="inlineStr">
        <is>
          <t>endonuclease reverse transcriptase</t>
        </is>
      </c>
    </row>
    <row r="2734">
      <c r="A2734" t="inlineStr"/>
      <c r="B2734" t="inlineStr"/>
      <c r="C2734" t="inlineStr"/>
      <c r="D2734" t="inlineStr"/>
      <c r="E2734">
        <f>HYPERLINK("https://www.ncbi.nlm.nih.gov/gene/?term=WP_215728362.1", "WP_215728362.1")</f>
        <v/>
      </c>
      <c r="F2734" t="n">
        <v>38.8</v>
      </c>
      <c r="G2734" t="n">
        <v>178</v>
      </c>
      <c r="H2734" t="n">
        <v>3.21e-27</v>
      </c>
      <c r="I2734" t="inlineStr">
        <is>
          <t>Nr</t>
        </is>
      </c>
      <c r="J2734" t="inlineStr"/>
      <c r="K2734" t="inlineStr"/>
      <c r="L2734" t="inlineStr">
        <is>
          <t>WP_215728362.1 reverse transcriptase family protein [Mycobacterium tuberculosis]</t>
        </is>
      </c>
      <c r="M2734" t="n">
        <v>555</v>
      </c>
      <c r="N2734" t="inlineStr">
        <is>
          <t>Mycobacterium tuberculosis</t>
        </is>
      </c>
      <c r="O2734" t="inlineStr">
        <is>
          <t>reverse transcriptase family protein</t>
        </is>
      </c>
    </row>
    <row r="2735">
      <c r="A2735" t="inlineStr"/>
      <c r="B2735" t="inlineStr"/>
      <c r="C2735" t="inlineStr"/>
      <c r="D2735" t="inlineStr"/>
      <c r="E2735">
        <f>HYPERLINK("https://www.ncbi.nlm.nih.gov/gene/?term=HBI4998614.1", "HBI4998614.1")</f>
        <v/>
      </c>
      <c r="F2735" t="n">
        <v>37.4</v>
      </c>
      <c r="G2735" t="n">
        <v>179</v>
      </c>
      <c r="H2735" t="n">
        <v>3.28e-27</v>
      </c>
      <c r="I2735" t="inlineStr">
        <is>
          <t>Nr</t>
        </is>
      </c>
      <c r="J2735" t="inlineStr"/>
      <c r="K2735" t="inlineStr"/>
      <c r="L2735" t="inlineStr">
        <is>
          <t>HBI4998614.1 hypothetical protein [Salmonella enterica subsp. enterica serovar Pullorum]</t>
        </is>
      </c>
      <c r="M2735" t="n">
        <v>276</v>
      </c>
      <c r="N2735" t="inlineStr">
        <is>
          <t>Salmonella enterica subsp. enterica serovar Pullorum</t>
        </is>
      </c>
      <c r="O2735" t="inlineStr">
        <is>
          <t>hypothetical protein</t>
        </is>
      </c>
    </row>
    <row r="2736">
      <c r="A2736" t="inlineStr"/>
      <c r="B2736" t="inlineStr"/>
      <c r="C2736" t="inlineStr"/>
      <c r="D2736" t="inlineStr"/>
      <c r="E2736">
        <f>HYPERLINK("https://www.ncbi.nlm.nih.gov/gene/?term=WP_183075694.1", "WP_183075694.1")</f>
        <v/>
      </c>
      <c r="F2736" t="n">
        <v>38.8</v>
      </c>
      <c r="G2736" t="n">
        <v>178</v>
      </c>
      <c r="H2736" t="n">
        <v>3.64e-27</v>
      </c>
      <c r="I2736" t="inlineStr">
        <is>
          <t>Nr</t>
        </is>
      </c>
      <c r="J2736" t="inlineStr"/>
      <c r="K2736" t="inlineStr"/>
      <c r="L2736" t="inlineStr">
        <is>
          <t>WP_183075694.1 endonuclease/exonuclease/phosphatase family protein [Mycobacterium tuberculosis]</t>
        </is>
      </c>
      <c r="M2736" t="n">
        <v>580</v>
      </c>
      <c r="N2736" t="inlineStr">
        <is>
          <t>Mycobacterium tuberculosis</t>
        </is>
      </c>
      <c r="O2736" t="inlineStr">
        <is>
          <t>endonuclease/exonuclease/phosphatase family protein</t>
        </is>
      </c>
    </row>
    <row r="2737">
      <c r="A2737" t="inlineStr"/>
      <c r="B2737" t="inlineStr"/>
      <c r="C2737" t="inlineStr"/>
      <c r="D2737" t="inlineStr"/>
      <c r="E2737">
        <f>HYPERLINK("https://www.ncbi.nlm.nih.gov/gene/?term=WP_220377634.1", "WP_220377634.1")</f>
        <v/>
      </c>
      <c r="F2737" t="n">
        <v>38.8</v>
      </c>
      <c r="G2737" t="n">
        <v>178</v>
      </c>
      <c r="H2737" t="n">
        <v>3.98e-27</v>
      </c>
      <c r="I2737" t="inlineStr">
        <is>
          <t>Nr</t>
        </is>
      </c>
      <c r="J2737" t="inlineStr"/>
      <c r="K2737" t="inlineStr"/>
      <c r="L2737" t="inlineStr">
        <is>
          <t>WP_220377634.1 reverse transcriptase domain-containing protein [Staphylococcus aureus]</t>
        </is>
      </c>
      <c r="M2737" t="n">
        <v>853</v>
      </c>
      <c r="N2737" t="inlineStr">
        <is>
          <t>Staphylococcus aureus</t>
        </is>
      </c>
      <c r="O2737" t="inlineStr">
        <is>
          <t>reverse transcriptase domain-containing protein</t>
        </is>
      </c>
    </row>
    <row r="2738">
      <c r="A2738" t="inlineStr"/>
      <c r="B2738" t="inlineStr"/>
      <c r="C2738" t="inlineStr"/>
      <c r="D2738" t="inlineStr"/>
      <c r="E2738">
        <f>HYPERLINK("https://www.ncbi.nlm.nih.gov/gene/?term=EJP2875637.1", "EJP2875637.1")</f>
        <v/>
      </c>
      <c r="F2738" t="n">
        <v>37.4</v>
      </c>
      <c r="G2738" t="n">
        <v>179</v>
      </c>
      <c r="H2738" t="n">
        <v>5.26e-27</v>
      </c>
      <c r="I2738" t="inlineStr">
        <is>
          <t>Nr</t>
        </is>
      </c>
      <c r="J2738" t="inlineStr"/>
      <c r="K2738" t="inlineStr"/>
      <c r="L2738" t="inlineStr">
        <is>
          <t>EJP2875637.1 endonuclease [Campylobacter jejuni]</t>
        </is>
      </c>
      <c r="M2738" t="n">
        <v>299</v>
      </c>
      <c r="N2738" t="inlineStr">
        <is>
          <t>Campylobacter jejuni</t>
        </is>
      </c>
      <c r="O2738" t="inlineStr">
        <is>
          <t>endonuclease</t>
        </is>
      </c>
    </row>
    <row r="2739">
      <c r="A2739" t="inlineStr"/>
      <c r="B2739" t="inlineStr"/>
      <c r="C2739" t="inlineStr"/>
      <c r="D2739" t="inlineStr"/>
      <c r="E2739">
        <f>HYPERLINK("https://www.ncbi.nlm.nih.gov/gene/?term=ELR55211.1", "ELR55211.1")</f>
        <v/>
      </c>
      <c r="F2739" t="n">
        <v>38.8</v>
      </c>
      <c r="G2739" t="n">
        <v>178</v>
      </c>
      <c r="H2739" t="n">
        <v>5.48e-27</v>
      </c>
      <c r="I2739" t="inlineStr">
        <is>
          <t>Nr</t>
        </is>
      </c>
      <c r="J2739" t="inlineStr"/>
      <c r="K2739" t="inlineStr"/>
      <c r="L2739" t="inlineStr">
        <is>
          <t>ELR55211.1 hypothetical protein M91_18560, partial [Bos mutus]</t>
        </is>
      </c>
      <c r="M2739" t="n">
        <v>910</v>
      </c>
      <c r="N2739" t="inlineStr">
        <is>
          <t>Bos mutus</t>
        </is>
      </c>
      <c r="O2739" t="inlineStr">
        <is>
          <t>hypothetical protein M91_18560, partial</t>
        </is>
      </c>
    </row>
    <row r="2740">
      <c r="A2740" t="inlineStr"/>
      <c r="B2740" t="inlineStr"/>
      <c r="C2740" t="inlineStr"/>
      <c r="D2740" t="inlineStr"/>
      <c r="E2740">
        <f>HYPERLINK("https://www.ncbi.nlm.nih.gov/gene/?term=XP_028869771.1", "XP_028869771.1")</f>
        <v/>
      </c>
      <c r="F2740" t="n">
        <v>38.8</v>
      </c>
      <c r="G2740" t="n">
        <v>178</v>
      </c>
      <c r="H2740" t="n">
        <v>5.660000000000001e-27</v>
      </c>
      <c r="I2740" t="inlineStr">
        <is>
          <t>Nr</t>
        </is>
      </c>
      <c r="J2740" t="inlineStr"/>
      <c r="K2740" t="inlineStr"/>
      <c r="L2740" t="inlineStr">
        <is>
          <t>XP_028869771.1 Retrovirus-related Pol poly LINE-1, putative [Babesia ovata]</t>
        </is>
      </c>
      <c r="M2740" t="n">
        <v>1121</v>
      </c>
      <c r="N2740" t="inlineStr">
        <is>
          <t>Babesia ovata</t>
        </is>
      </c>
      <c r="O2740" t="inlineStr">
        <is>
          <t>Retrovirus-related Pol poly LINE-1, putative</t>
        </is>
      </c>
    </row>
    <row r="2741">
      <c r="A2741" t="inlineStr"/>
      <c r="B2741" t="inlineStr"/>
      <c r="C2741" t="inlineStr"/>
      <c r="D2741" t="inlineStr"/>
      <c r="E2741">
        <f>HYPERLINK("https://www.ncbi.nlm.nih.gov/gene/?term=ELR58510.1", "ELR58510.1")</f>
        <v/>
      </c>
      <c r="F2741" t="n">
        <v>38.8</v>
      </c>
      <c r="G2741" t="n">
        <v>178</v>
      </c>
      <c r="H2741" t="n">
        <v>5.7e-27</v>
      </c>
      <c r="I2741" t="inlineStr">
        <is>
          <t>Nr</t>
        </is>
      </c>
      <c r="J2741" t="inlineStr"/>
      <c r="K2741" t="inlineStr"/>
      <c r="L2741" t="inlineStr">
        <is>
          <t>ELR58510.1 hypothetical protein M91_05513, partial [Bos mutus]</t>
        </is>
      </c>
      <c r="M2741" t="n">
        <v>1170</v>
      </c>
      <c r="N2741" t="inlineStr">
        <is>
          <t>Bos mutus</t>
        </is>
      </c>
      <c r="O2741" t="inlineStr">
        <is>
          <t>hypothetical protein M91_05513, partial</t>
        </is>
      </c>
    </row>
    <row r="2742">
      <c r="A2742" t="inlineStr"/>
      <c r="B2742" t="inlineStr"/>
      <c r="C2742" t="inlineStr"/>
      <c r="D2742" t="inlineStr"/>
      <c r="E2742">
        <f>HYPERLINK("https://www.ncbi.nlm.nih.gov/gene/?term=GCA24362.1", "GCA24362.1")</f>
        <v/>
      </c>
      <c r="F2742" t="n">
        <v>38.8</v>
      </c>
      <c r="G2742" t="n">
        <v>178</v>
      </c>
      <c r="H2742" t="n">
        <v>5.7e-27</v>
      </c>
      <c r="I2742" t="inlineStr">
        <is>
          <t>Nr</t>
        </is>
      </c>
      <c r="J2742" t="inlineStr"/>
      <c r="K2742" t="inlineStr"/>
      <c r="L2742" t="inlineStr">
        <is>
          <t>GCA24362.1 hypothetical protein M6K221_2594 [Staphylococcus aureus]</t>
        </is>
      </c>
      <c r="M2742" t="n">
        <v>1175</v>
      </c>
      <c r="N2742" t="inlineStr">
        <is>
          <t>Staphylococcus aureus</t>
        </is>
      </c>
      <c r="O2742" t="inlineStr">
        <is>
          <t>hypothetical protein M6K221_2594</t>
        </is>
      </c>
    </row>
    <row r="2743">
      <c r="A2743" t="inlineStr"/>
      <c r="B2743" t="inlineStr"/>
      <c r="C2743" t="inlineStr"/>
      <c r="D2743" t="inlineStr"/>
      <c r="E2743">
        <f>HYPERLINK("https://www.ncbi.nlm.nih.gov/gene/?term=GCA44950.1", "GCA44950.1")</f>
        <v/>
      </c>
      <c r="F2743" t="n">
        <v>38.8</v>
      </c>
      <c r="G2743" t="n">
        <v>178</v>
      </c>
      <c r="H2743" t="n">
        <v>5.7e-27</v>
      </c>
      <c r="I2743" t="inlineStr">
        <is>
          <t>Nr</t>
        </is>
      </c>
      <c r="J2743" t="inlineStr"/>
      <c r="K2743" t="inlineStr"/>
      <c r="L2743" t="inlineStr">
        <is>
          <t>GCA44950.1 hypothetical protein M6K232_2568 [Staphylococcus aureus]</t>
        </is>
      </c>
      <c r="M2743" t="n">
        <v>1175</v>
      </c>
      <c r="N2743" t="inlineStr">
        <is>
          <t>Staphylococcus aureus</t>
        </is>
      </c>
      <c r="O2743" t="inlineStr">
        <is>
          <t>hypothetical protein M6K232_2568</t>
        </is>
      </c>
    </row>
    <row r="2744">
      <c r="A2744" t="inlineStr"/>
      <c r="B2744" t="inlineStr"/>
      <c r="C2744" t="inlineStr"/>
      <c r="D2744" t="inlineStr"/>
      <c r="E2744">
        <f>HYPERLINK("https://www.ncbi.nlm.nih.gov/gene/?term=GCA47574.1", "GCA47574.1")</f>
        <v/>
      </c>
      <c r="F2744" t="n">
        <v>38.8</v>
      </c>
      <c r="G2744" t="n">
        <v>178</v>
      </c>
      <c r="H2744" t="n">
        <v>5.7e-27</v>
      </c>
      <c r="I2744" t="inlineStr">
        <is>
          <t>Nr</t>
        </is>
      </c>
      <c r="J2744" t="inlineStr"/>
      <c r="K2744" t="inlineStr"/>
      <c r="L2744" t="inlineStr">
        <is>
          <t>GCA47574.1 hypothetical protein M6K233_2644 [Staphylococcus aureus]</t>
        </is>
      </c>
      <c r="M2744" t="n">
        <v>1175</v>
      </c>
      <c r="N2744" t="inlineStr">
        <is>
          <t>Staphylococcus aureus</t>
        </is>
      </c>
      <c r="O2744" t="inlineStr">
        <is>
          <t>hypothetical protein M6K233_2644</t>
        </is>
      </c>
    </row>
    <row r="2745">
      <c r="A2745" t="inlineStr"/>
      <c r="B2745" t="inlineStr"/>
      <c r="C2745" t="inlineStr"/>
      <c r="D2745" t="inlineStr"/>
      <c r="E2745">
        <f>HYPERLINK("https://www.ncbi.nlm.nih.gov/gene/?term=ELR54602.1", "ELR54602.1")</f>
        <v/>
      </c>
      <c r="F2745" t="n">
        <v>38.8</v>
      </c>
      <c r="G2745" t="n">
        <v>178</v>
      </c>
      <c r="H2745" t="n">
        <v>5.72e-27</v>
      </c>
      <c r="I2745" t="inlineStr">
        <is>
          <t>Nr</t>
        </is>
      </c>
      <c r="J2745" t="inlineStr"/>
      <c r="K2745" t="inlineStr"/>
      <c r="L2745" t="inlineStr">
        <is>
          <t>ELR54602.1 LINE-1 reverse transcriptase-like protein [Bos mutus]</t>
        </is>
      </c>
      <c r="M2745" t="n">
        <v>1206</v>
      </c>
      <c r="N2745" t="inlineStr">
        <is>
          <t>Bos mutus</t>
        </is>
      </c>
      <c r="O2745" t="inlineStr">
        <is>
          <t>LINE-1 reverse transcriptase-like protein</t>
        </is>
      </c>
    </row>
    <row r="2746">
      <c r="A2746" t="inlineStr"/>
      <c r="B2746" t="inlineStr"/>
      <c r="C2746" t="inlineStr"/>
      <c r="D2746" t="inlineStr"/>
      <c r="E2746">
        <f>HYPERLINK("https://www.ncbi.nlm.nih.gov/gene/?term=ELR59648.1", "ELR59648.1")</f>
        <v/>
      </c>
      <c r="F2746" t="n">
        <v>38.8</v>
      </c>
      <c r="G2746" t="n">
        <v>178</v>
      </c>
      <c r="H2746" t="n">
        <v>5.73e-27</v>
      </c>
      <c r="I2746" t="inlineStr">
        <is>
          <t>Nr</t>
        </is>
      </c>
      <c r="J2746" t="inlineStr"/>
      <c r="K2746" t="inlineStr"/>
      <c r="L2746" t="inlineStr">
        <is>
          <t>ELR59648.1 hypothetical protein M91_01704 [Bos mutus]</t>
        </is>
      </c>
      <c r="M2746" t="n">
        <v>1230</v>
      </c>
      <c r="N2746" t="inlineStr">
        <is>
          <t>Bos mutus</t>
        </is>
      </c>
      <c r="O2746" t="inlineStr">
        <is>
          <t>hypothetical protein M91_01704</t>
        </is>
      </c>
    </row>
    <row r="2747">
      <c r="A2747" t="inlineStr"/>
      <c r="B2747" t="inlineStr"/>
      <c r="C2747" t="inlineStr"/>
      <c r="D2747" t="inlineStr"/>
      <c r="E2747">
        <f>HYPERLINK("https://www.ncbi.nlm.nih.gov/gene/?term=ELR50540.1", "ELR50540.1")</f>
        <v/>
      </c>
      <c r="F2747" t="n">
        <v>38.8</v>
      </c>
      <c r="G2747" t="n">
        <v>178</v>
      </c>
      <c r="H2747" t="n">
        <v>5.740000000000001e-27</v>
      </c>
      <c r="I2747" t="inlineStr">
        <is>
          <t>Nr</t>
        </is>
      </c>
      <c r="J2747" t="inlineStr"/>
      <c r="K2747" t="inlineStr"/>
      <c r="L2747" t="inlineStr">
        <is>
          <t>ELR50540.1 hypothetical protein M91_05014, partial [Bos mutus]</t>
        </is>
      </c>
      <c r="M2747" t="n">
        <v>1234</v>
      </c>
      <c r="N2747" t="inlineStr">
        <is>
          <t>Bos mutus</t>
        </is>
      </c>
      <c r="O2747" t="inlineStr">
        <is>
          <t>hypothetical protein M91_05014, partial</t>
        </is>
      </c>
    </row>
    <row r="2748">
      <c r="A2748" t="inlineStr"/>
      <c r="B2748" t="inlineStr"/>
      <c r="C2748" t="inlineStr"/>
      <c r="D2748" t="inlineStr"/>
      <c r="E2748">
        <f>HYPERLINK("https://www.ncbi.nlm.nih.gov/gene/?term=ELR58001.1", "ELR58001.1")</f>
        <v/>
      </c>
      <c r="F2748" t="n">
        <v>38.8</v>
      </c>
      <c r="G2748" t="n">
        <v>178</v>
      </c>
      <c r="H2748" t="n">
        <v>5.740000000000001e-27</v>
      </c>
      <c r="I2748" t="inlineStr">
        <is>
          <t>Nr</t>
        </is>
      </c>
      <c r="J2748" t="inlineStr"/>
      <c r="K2748" t="inlineStr"/>
      <c r="L2748" t="inlineStr">
        <is>
          <t>ELR58001.1 hypothetical protein M91_20110 [Bos mutus]</t>
        </is>
      </c>
      <c r="M2748" t="n">
        <v>1245</v>
      </c>
      <c r="N2748" t="inlineStr">
        <is>
          <t>Bos mutus</t>
        </is>
      </c>
      <c r="O2748" t="inlineStr">
        <is>
          <t>hypothetical protein M91_20110</t>
        </is>
      </c>
    </row>
    <row r="2749">
      <c r="A2749" t="inlineStr"/>
      <c r="B2749" t="inlineStr"/>
      <c r="C2749" t="inlineStr"/>
      <c r="D2749" t="inlineStr"/>
      <c r="E2749">
        <f>HYPERLINK("https://www.ncbi.nlm.nih.gov/gene/?term=ELR46636.1", "ELR46636.1")</f>
        <v/>
      </c>
      <c r="F2749" t="n">
        <v>38.8</v>
      </c>
      <c r="G2749" t="n">
        <v>178</v>
      </c>
      <c r="H2749" t="n">
        <v>5.75e-27</v>
      </c>
      <c r="I2749" t="inlineStr">
        <is>
          <t>Nr</t>
        </is>
      </c>
      <c r="J2749" t="inlineStr"/>
      <c r="K2749" t="inlineStr"/>
      <c r="L2749" t="inlineStr">
        <is>
          <t>ELR46636.1 hypothetical protein M91_20043 [Bos mutus]</t>
        </is>
      </c>
      <c r="M2749" t="n">
        <v>1258</v>
      </c>
      <c r="N2749" t="inlineStr">
        <is>
          <t>Bos mutus</t>
        </is>
      </c>
      <c r="O2749" t="inlineStr">
        <is>
          <t>hypothetical protein M91_20043</t>
        </is>
      </c>
    </row>
    <row r="2750">
      <c r="A2750" t="inlineStr"/>
      <c r="B2750" t="inlineStr"/>
      <c r="C2750" t="inlineStr"/>
      <c r="D2750" t="inlineStr"/>
      <c r="E2750">
        <f>HYPERLINK("https://www.ncbi.nlm.nih.gov/gene/?term=ELR59242.1", "ELR59242.1")</f>
        <v/>
      </c>
      <c r="F2750" t="n">
        <v>38.8</v>
      </c>
      <c r="G2750" t="n">
        <v>178</v>
      </c>
      <c r="H2750" t="n">
        <v>5.75e-27</v>
      </c>
      <c r="I2750" t="inlineStr">
        <is>
          <t>Nr</t>
        </is>
      </c>
      <c r="J2750" t="inlineStr"/>
      <c r="K2750" t="inlineStr"/>
      <c r="L2750" t="inlineStr">
        <is>
          <t>ELR59242.1 hypothetical protein M91_06506 [Bos mutus]</t>
        </is>
      </c>
      <c r="M2750" t="n">
        <v>1264</v>
      </c>
      <c r="N2750" t="inlineStr">
        <is>
          <t>Bos mutus</t>
        </is>
      </c>
      <c r="O2750" t="inlineStr">
        <is>
          <t>hypothetical protein M91_06506</t>
        </is>
      </c>
    </row>
    <row r="2751">
      <c r="A2751" t="inlineStr"/>
      <c r="B2751" t="inlineStr"/>
      <c r="C2751" t="inlineStr"/>
      <c r="D2751" t="inlineStr"/>
      <c r="E2751">
        <f>HYPERLINK("https://www.ncbi.nlm.nih.gov/gene/?term=ELR57788.1", "ELR57788.1")</f>
        <v/>
      </c>
      <c r="F2751" t="n">
        <v>38.8</v>
      </c>
      <c r="G2751" t="n">
        <v>178</v>
      </c>
      <c r="H2751" t="n">
        <v>5.75e-27</v>
      </c>
      <c r="I2751" t="inlineStr">
        <is>
          <t>Nr</t>
        </is>
      </c>
      <c r="J2751" t="inlineStr"/>
      <c r="K2751" t="inlineStr"/>
      <c r="L2751" t="inlineStr">
        <is>
          <t>ELR57788.1 hypothetical protein M91_08672 [Bos mutus]</t>
        </is>
      </c>
      <c r="M2751" t="n">
        <v>1265</v>
      </c>
      <c r="N2751" t="inlineStr">
        <is>
          <t>Bos mutus</t>
        </is>
      </c>
      <c r="O2751" t="inlineStr">
        <is>
          <t>hypothetical protein M91_08672</t>
        </is>
      </c>
    </row>
    <row r="2752">
      <c r="A2752" t="inlineStr"/>
      <c r="B2752" t="inlineStr"/>
      <c r="C2752" t="inlineStr"/>
      <c r="D2752" t="inlineStr"/>
      <c r="E2752">
        <f>HYPERLINK("https://www.ncbi.nlm.nih.gov/gene/?term=ELR57783.1", "ELR57783.1")</f>
        <v/>
      </c>
      <c r="F2752" t="n">
        <v>38.8</v>
      </c>
      <c r="G2752" t="n">
        <v>178</v>
      </c>
      <c r="H2752" t="n">
        <v>5.75e-27</v>
      </c>
      <c r="I2752" t="inlineStr">
        <is>
          <t>Nr</t>
        </is>
      </c>
      <c r="J2752" t="inlineStr"/>
      <c r="K2752" t="inlineStr"/>
      <c r="L2752" t="inlineStr">
        <is>
          <t>ELR57783.1 hypothetical protein M91_04059 [Bos mutus]</t>
        </is>
      </c>
      <c r="M2752" t="n">
        <v>1266</v>
      </c>
      <c r="N2752" t="inlineStr">
        <is>
          <t>Bos mutus</t>
        </is>
      </c>
      <c r="O2752" t="inlineStr">
        <is>
          <t>hypothetical protein M91_04059</t>
        </is>
      </c>
    </row>
    <row r="2753">
      <c r="A2753" t="inlineStr"/>
      <c r="B2753" t="inlineStr"/>
      <c r="C2753" t="inlineStr"/>
      <c r="D2753" t="inlineStr"/>
      <c r="E2753">
        <f>HYPERLINK("https://www.uniprot.org/uniprotkb/P11369/entry", "P11369")</f>
        <v/>
      </c>
      <c r="F2753" t="n">
        <v>36.5</v>
      </c>
      <c r="G2753" t="n">
        <v>178</v>
      </c>
      <c r="H2753" t="n">
        <v>6.84e-27</v>
      </c>
      <c r="I2753" t="inlineStr">
        <is>
          <t>Swiss-Prot</t>
        </is>
      </c>
      <c r="J2753" t="inlineStr">
        <is>
          <t>Pol</t>
        </is>
      </c>
      <c r="K2753" t="inlineStr">
        <is>
          <t>LORF2_MOUSE</t>
        </is>
      </c>
      <c r="L2753" t="inlineStr">
        <is>
          <t>sp|P11369|LORF2_MOUSE LINE-1 retrotransposable element ORF2 protein OS=Mus musculus OX=10090 GN=Pol PE=1 SV=2</t>
        </is>
      </c>
      <c r="M2753" t="n">
        <v>1281</v>
      </c>
      <c r="N2753" t="inlineStr">
        <is>
          <t>Mus musculus</t>
        </is>
      </c>
      <c r="O2753" t="inlineStr">
        <is>
          <t>LINE-1 retrotransposable element ORF2 protein</t>
        </is>
      </c>
    </row>
    <row r="2754">
      <c r="A2754" t="inlineStr"/>
      <c r="B2754" t="inlineStr"/>
      <c r="C2754" t="inlineStr"/>
      <c r="D2754" t="inlineStr"/>
      <c r="E2754">
        <f>HYPERLINK("https://www.ncbi.nlm.nih.gov/gene/?term=VEL08283.1", "VEL08283.1")</f>
        <v/>
      </c>
      <c r="F2754" t="n">
        <v>34.6</v>
      </c>
      <c r="G2754" t="n">
        <v>182</v>
      </c>
      <c r="H2754" t="n">
        <v>8.910000000000001e-27</v>
      </c>
      <c r="I2754" t="inlineStr">
        <is>
          <t>Nr</t>
        </is>
      </c>
      <c r="J2754" t="inlineStr"/>
      <c r="K2754" t="inlineStr"/>
      <c r="L2754" t="inlineStr">
        <is>
          <t>VEL08283.1 unnamed protein product [Protopolystoma xenopodis]</t>
        </is>
      </c>
      <c r="M2754" t="n">
        <v>421</v>
      </c>
      <c r="N2754" t="inlineStr">
        <is>
          <t>Protopolystoma xenopodis</t>
        </is>
      </c>
      <c r="O2754" t="inlineStr">
        <is>
          <t>unnamed protein product</t>
        </is>
      </c>
    </row>
    <row r="2755">
      <c r="A2755" t="inlineStr"/>
      <c r="B2755" t="inlineStr"/>
      <c r="C2755" t="inlineStr"/>
      <c r="D2755" t="inlineStr"/>
      <c r="E2755">
        <f>HYPERLINK("https://www.ncbi.nlm.nih.gov/gene/?term=VEL08283.1", "VEL08283.1")</f>
        <v/>
      </c>
      <c r="F2755" t="n">
        <v>34.6</v>
      </c>
      <c r="G2755" t="n">
        <v>182</v>
      </c>
      <c r="H2755" t="n">
        <v>8.910000000000001e-27</v>
      </c>
      <c r="I2755" t="inlineStr">
        <is>
          <t>Nr</t>
        </is>
      </c>
      <c r="J2755" t="inlineStr"/>
      <c r="K2755" t="inlineStr"/>
      <c r="L2755" t="inlineStr">
        <is>
          <t>VEL08283.1 unnamed protein product [Protopolystoma xenopodis]</t>
        </is>
      </c>
      <c r="M2755" t="n">
        <v>421</v>
      </c>
      <c r="N2755" t="inlineStr">
        <is>
          <t>Protopolystoma xenopodis</t>
        </is>
      </c>
      <c r="O2755" t="inlineStr">
        <is>
          <t>unnamed protein product</t>
        </is>
      </c>
    </row>
    <row r="2756">
      <c r="A2756" t="inlineStr"/>
      <c r="B2756" t="inlineStr"/>
      <c r="C2756" t="inlineStr"/>
      <c r="D2756" t="inlineStr"/>
      <c r="E2756">
        <f>HYPERLINK("https://www.ncbi.nlm.nih.gov/gene/?term=XP_040285728.1", "XP_040285728.1")</f>
        <v/>
      </c>
      <c r="F2756" t="n">
        <v>39.3</v>
      </c>
      <c r="G2756" t="n">
        <v>145</v>
      </c>
      <c r="H2756" t="n">
        <v>4.53e-26</v>
      </c>
      <c r="I2756" t="inlineStr">
        <is>
          <t>Nr</t>
        </is>
      </c>
      <c r="J2756" t="inlineStr"/>
      <c r="K2756" t="inlineStr"/>
      <c r="L2756" t="inlineStr">
        <is>
          <t>XP_040285728.1 uncharacterized protein LOC120998915 [Bufo bufo]</t>
        </is>
      </c>
      <c r="M2756" t="n">
        <v>946</v>
      </c>
      <c r="N2756" t="inlineStr">
        <is>
          <t>Bufo bufo</t>
        </is>
      </c>
      <c r="O2756" t="inlineStr">
        <is>
          <t>uncharacterized protein LOC120998915</t>
        </is>
      </c>
    </row>
    <row r="2757">
      <c r="A2757" t="inlineStr"/>
      <c r="B2757" t="inlineStr"/>
      <c r="C2757" t="inlineStr"/>
      <c r="D2757" t="inlineStr"/>
      <c r="E2757">
        <f>HYPERLINK("https://www.ncbi.nlm.nih.gov/gene/?term=XP_040285728.1", "XP_040285728.1")</f>
        <v/>
      </c>
      <c r="F2757" t="n">
        <v>39.3</v>
      </c>
      <c r="G2757" t="n">
        <v>145</v>
      </c>
      <c r="H2757" t="n">
        <v>4.53e-26</v>
      </c>
      <c r="I2757" t="inlineStr">
        <is>
          <t>Nr</t>
        </is>
      </c>
      <c r="J2757" t="inlineStr"/>
      <c r="K2757" t="inlineStr"/>
      <c r="L2757" t="inlineStr">
        <is>
          <t>XP_040285728.1 uncharacterized protein LOC120998915 [Bufo bufo]</t>
        </is>
      </c>
      <c r="M2757" t="n">
        <v>946</v>
      </c>
      <c r="N2757" t="inlineStr">
        <is>
          <t>Bufo bufo</t>
        </is>
      </c>
      <c r="O2757" t="inlineStr">
        <is>
          <t>uncharacterized protein LOC120998915</t>
        </is>
      </c>
    </row>
    <row r="2758">
      <c r="A2758" t="inlineStr"/>
      <c r="B2758" t="inlineStr"/>
      <c r="C2758" t="inlineStr"/>
      <c r="D2758" t="inlineStr"/>
      <c r="E2758">
        <f>HYPERLINK("https://www.ncbi.nlm.nih.gov/gene/?term=PIO31496.1", "PIO31496.1")</f>
        <v/>
      </c>
      <c r="F2758" t="n">
        <v>39.9</v>
      </c>
      <c r="G2758" t="n">
        <v>163</v>
      </c>
      <c r="H2758" t="n">
        <v>5.92e-26</v>
      </c>
      <c r="I2758" t="inlineStr">
        <is>
          <t>Nr</t>
        </is>
      </c>
      <c r="J2758" t="inlineStr"/>
      <c r="K2758" t="inlineStr"/>
      <c r="L2758" t="inlineStr">
        <is>
          <t>PIO31496.1 hypothetical protein AB205_0176850, partial [Lithobates catesbeianus]</t>
        </is>
      </c>
      <c r="M2758" t="n">
        <v>307</v>
      </c>
      <c r="N2758" t="inlineStr">
        <is>
          <t>Lithobates catesbeianus</t>
        </is>
      </c>
      <c r="O2758" t="inlineStr">
        <is>
          <t>hypothetical protein AB205_0176850, partial</t>
        </is>
      </c>
    </row>
    <row r="2759">
      <c r="A2759" t="inlineStr"/>
      <c r="B2759" t="inlineStr"/>
      <c r="C2759" t="inlineStr"/>
      <c r="D2759" t="inlineStr"/>
      <c r="E2759">
        <f>HYPERLINK("https://www.ncbi.nlm.nih.gov/gene/?term=PIO31496.1", "PIO31496.1")</f>
        <v/>
      </c>
      <c r="F2759" t="n">
        <v>39.9</v>
      </c>
      <c r="G2759" t="n">
        <v>163</v>
      </c>
      <c r="H2759" t="n">
        <v>5.92e-26</v>
      </c>
      <c r="I2759" t="inlineStr">
        <is>
          <t>Nr</t>
        </is>
      </c>
      <c r="J2759" t="inlineStr"/>
      <c r="K2759" t="inlineStr"/>
      <c r="L2759" t="inlineStr">
        <is>
          <t>PIO31496.1 hypothetical protein AB205_0176850, partial [Lithobates catesbeianus]</t>
        </is>
      </c>
      <c r="M2759" t="n">
        <v>307</v>
      </c>
      <c r="N2759" t="inlineStr">
        <is>
          <t>Lithobates catesbeianus</t>
        </is>
      </c>
      <c r="O2759" t="inlineStr">
        <is>
          <t>hypothetical protein AB205_0176850, partial</t>
        </is>
      </c>
    </row>
    <row r="2760">
      <c r="A2760" t="inlineStr"/>
      <c r="B2760" t="inlineStr"/>
      <c r="C2760" t="inlineStr"/>
      <c r="D2760" t="inlineStr"/>
      <c r="E2760">
        <f>HYPERLINK("https://www.uniprot.org/uniprotkb/O00370/entry", "O00370")</f>
        <v/>
      </c>
      <c r="F2760" t="n">
        <v>36</v>
      </c>
      <c r="G2760" t="n">
        <v>178</v>
      </c>
      <c r="H2760" t="n">
        <v>2.02e-25</v>
      </c>
      <c r="I2760" t="inlineStr">
        <is>
          <t>Swiss-Prot</t>
        </is>
      </c>
      <c r="J2760" t="inlineStr"/>
      <c r="K2760" t="inlineStr">
        <is>
          <t>LORF2_HUMAN</t>
        </is>
      </c>
      <c r="L2760" t="inlineStr">
        <is>
          <t>sp|O00370|LORF2_HUMAN LINE-1 retrotransposable element ORF2 protein OS=Homo sapiens OX=9606 PE=1 SV=1</t>
        </is>
      </c>
      <c r="M2760" t="n">
        <v>1275</v>
      </c>
      <c r="N2760" t="inlineStr">
        <is>
          <t>Homo sapiens</t>
        </is>
      </c>
      <c r="O2760" t="inlineStr">
        <is>
          <t>LINE-1 retrotransposable element ORF2 protein</t>
        </is>
      </c>
    </row>
    <row r="2761">
      <c r="A2761" t="inlineStr"/>
      <c r="B2761" t="inlineStr"/>
      <c r="C2761" t="inlineStr"/>
      <c r="D2761" t="inlineStr"/>
      <c r="E2761">
        <f>HYPERLINK("https://www.ncbi.nlm.nih.gov/gene/?term=XP_029442845.1", "XP_029442845.1")</f>
        <v/>
      </c>
      <c r="F2761" t="n">
        <v>35.1</v>
      </c>
      <c r="G2761" t="n">
        <v>185</v>
      </c>
      <c r="H2761" t="n">
        <v>5.84e-25</v>
      </c>
      <c r="I2761" t="inlineStr">
        <is>
          <t>Nr</t>
        </is>
      </c>
      <c r="J2761" t="inlineStr"/>
      <c r="K2761" t="inlineStr"/>
      <c r="L2761" t="inlineStr">
        <is>
          <t>XP_029442845.1 uncharacterized protein LOC115083179 [Rhinatrema bivittatum]</t>
        </is>
      </c>
      <c r="M2761" t="n">
        <v>2125</v>
      </c>
      <c r="N2761" t="inlineStr">
        <is>
          <t>Rhinatrema bivittatum</t>
        </is>
      </c>
      <c r="O2761" t="inlineStr">
        <is>
          <t>uncharacterized protein LOC115083179</t>
        </is>
      </c>
    </row>
    <row r="2762">
      <c r="A2762" t="inlineStr"/>
      <c r="B2762" t="inlineStr"/>
      <c r="C2762" t="inlineStr"/>
      <c r="D2762" t="inlineStr"/>
      <c r="E2762">
        <f>HYPERLINK("https://www.ncbi.nlm.nih.gov/gene/?term=XP_029442845.1", "XP_029442845.1")</f>
        <v/>
      </c>
      <c r="F2762" t="n">
        <v>35.1</v>
      </c>
      <c r="G2762" t="n">
        <v>185</v>
      </c>
      <c r="H2762" t="n">
        <v>5.84e-25</v>
      </c>
      <c r="I2762" t="inlineStr">
        <is>
          <t>Nr</t>
        </is>
      </c>
      <c r="J2762" t="inlineStr"/>
      <c r="K2762" t="inlineStr"/>
      <c r="L2762" t="inlineStr">
        <is>
          <t>XP_029442845.1 uncharacterized protein LOC115083179 [Rhinatrema bivittatum]</t>
        </is>
      </c>
      <c r="M2762" t="n">
        <v>2125</v>
      </c>
      <c r="N2762" t="inlineStr">
        <is>
          <t>Rhinatrema bivittatum</t>
        </is>
      </c>
      <c r="O2762" t="inlineStr">
        <is>
          <t>uncharacterized protein LOC115083179</t>
        </is>
      </c>
    </row>
    <row r="2763">
      <c r="A2763" t="inlineStr"/>
      <c r="B2763" t="inlineStr"/>
      <c r="C2763" t="inlineStr"/>
      <c r="D2763" t="inlineStr"/>
      <c r="E2763">
        <f>HYPERLINK("https://www.ncbi.nlm.nih.gov/gene/?term=KAE8597524.1", "KAE8597524.1")</f>
        <v/>
      </c>
      <c r="F2763" t="n">
        <v>36.6</v>
      </c>
      <c r="G2763" t="n">
        <v>191</v>
      </c>
      <c r="H2763" t="n">
        <v>7.869999999999999e-24</v>
      </c>
      <c r="I2763" t="inlineStr">
        <is>
          <t>Nr</t>
        </is>
      </c>
      <c r="J2763" t="inlineStr"/>
      <c r="K2763" t="inlineStr"/>
      <c r="L2763" t="inlineStr">
        <is>
          <t>KAE8597524.1 hypothetical protein XENTR_v10016494 [Xenopus tropicalis]</t>
        </is>
      </c>
      <c r="M2763" t="n">
        <v>299</v>
      </c>
      <c r="N2763" t="inlineStr">
        <is>
          <t>Xenopus tropicalis</t>
        </is>
      </c>
      <c r="O2763" t="inlineStr">
        <is>
          <t>hypothetical protein XENTR_v10016494</t>
        </is>
      </c>
    </row>
    <row r="2764">
      <c r="A2764" t="inlineStr"/>
      <c r="B2764" t="inlineStr"/>
      <c r="C2764" t="inlineStr"/>
      <c r="D2764" t="inlineStr"/>
      <c r="E2764">
        <f>HYPERLINK("https://www.ncbi.nlm.nih.gov/gene/?term=KAE8597524.1", "KAE8597524.1")</f>
        <v/>
      </c>
      <c r="F2764" t="n">
        <v>36.6</v>
      </c>
      <c r="G2764" t="n">
        <v>191</v>
      </c>
      <c r="H2764" t="n">
        <v>7.869999999999999e-24</v>
      </c>
      <c r="I2764" t="inlineStr">
        <is>
          <t>Nr</t>
        </is>
      </c>
      <c r="J2764" t="inlineStr"/>
      <c r="K2764" t="inlineStr"/>
      <c r="L2764" t="inlineStr">
        <is>
          <t>KAE8597524.1 hypothetical protein XENTR_v10016494 [Xenopus tropicalis]</t>
        </is>
      </c>
      <c r="M2764" t="n">
        <v>299</v>
      </c>
      <c r="N2764" t="inlineStr">
        <is>
          <t>Xenopus tropicalis</t>
        </is>
      </c>
      <c r="O2764" t="inlineStr">
        <is>
          <t>hypothetical protein XENTR_v10016494</t>
        </is>
      </c>
    </row>
    <row r="2765">
      <c r="A2765" t="inlineStr"/>
      <c r="B2765" t="inlineStr"/>
      <c r="C2765" t="inlineStr"/>
      <c r="D2765" t="inlineStr"/>
      <c r="E2765">
        <f>HYPERLINK("https://www.ncbi.nlm.nih.gov/gene/?term=XP_053327933.1", "XP_053327933.1")</f>
        <v/>
      </c>
      <c r="F2765" t="n">
        <v>34.8</v>
      </c>
      <c r="G2765" t="n">
        <v>155</v>
      </c>
      <c r="H2765" t="n">
        <v>9.909999999999999e-24</v>
      </c>
      <c r="I2765" t="inlineStr">
        <is>
          <t>Nr</t>
        </is>
      </c>
      <c r="J2765" t="inlineStr"/>
      <c r="K2765" t="inlineStr"/>
      <c r="L2765" t="inlineStr">
        <is>
          <t>XP_053327933.1 LINE-1 type transposase domain-containing protein 1 [Spea bombifrons]</t>
        </is>
      </c>
      <c r="M2765" t="n">
        <v>312</v>
      </c>
      <c r="N2765" t="inlineStr">
        <is>
          <t>Spea bombifrons</t>
        </is>
      </c>
      <c r="O2765" t="inlineStr">
        <is>
          <t>LINE-1 type transposase domain-containing protein 1</t>
        </is>
      </c>
    </row>
    <row r="2766">
      <c r="A2766" t="inlineStr"/>
      <c r="B2766" t="inlineStr"/>
      <c r="C2766" t="inlineStr"/>
      <c r="D2766" t="inlineStr"/>
      <c r="E2766">
        <f>HYPERLINK("https://www.ncbi.nlm.nih.gov/gene/?term=XP_053327933.1", "XP_053327933.1")</f>
        <v/>
      </c>
      <c r="F2766" t="n">
        <v>34.8</v>
      </c>
      <c r="G2766" t="n">
        <v>155</v>
      </c>
      <c r="H2766" t="n">
        <v>9.909999999999999e-24</v>
      </c>
      <c r="I2766" t="inlineStr">
        <is>
          <t>Nr</t>
        </is>
      </c>
      <c r="J2766" t="inlineStr"/>
      <c r="K2766" t="inlineStr"/>
      <c r="L2766" t="inlineStr">
        <is>
          <t>XP_053327933.1 LINE-1 type transposase domain-containing protein 1 [Spea bombifrons]</t>
        </is>
      </c>
      <c r="M2766" t="n">
        <v>312</v>
      </c>
      <c r="N2766" t="inlineStr">
        <is>
          <t>Spea bombifrons</t>
        </is>
      </c>
      <c r="O2766" t="inlineStr">
        <is>
          <t>LINE-1 type transposase domain-containing protein 1</t>
        </is>
      </c>
    </row>
    <row r="2767">
      <c r="A2767" t="inlineStr"/>
      <c r="B2767" t="inlineStr"/>
      <c r="C2767" t="inlineStr"/>
      <c r="D2767" t="inlineStr"/>
      <c r="E2767">
        <f>HYPERLINK("https://www.ncbi.nlm.nih.gov/gene/?term=CAH2329719.1", "CAH2329719.1")</f>
        <v/>
      </c>
      <c r="F2767" t="n">
        <v>40.8</v>
      </c>
      <c r="G2767" t="n">
        <v>147</v>
      </c>
      <c r="H2767" t="n">
        <v>1.38e-23</v>
      </c>
      <c r="I2767" t="inlineStr">
        <is>
          <t>Nr</t>
        </is>
      </c>
      <c r="J2767" t="inlineStr"/>
      <c r="K2767" t="inlineStr"/>
      <c r="L2767" t="inlineStr">
        <is>
          <t>CAH2329719.1 Hypothetical predicted protein, partial [Pelobates cultripes]</t>
        </is>
      </c>
      <c r="M2767" t="n">
        <v>531</v>
      </c>
      <c r="N2767" t="inlineStr">
        <is>
          <t>Pelobates cultripes</t>
        </is>
      </c>
      <c r="O2767" t="inlineStr">
        <is>
          <t>Hypothetical predicted protein, partial</t>
        </is>
      </c>
    </row>
    <row r="2768">
      <c r="A2768" t="inlineStr"/>
      <c r="B2768" t="inlineStr"/>
      <c r="C2768" t="inlineStr"/>
      <c r="D2768" t="inlineStr"/>
      <c r="E2768">
        <f>HYPERLINK("https://www.ncbi.nlm.nih.gov/gene/?term=CAH2329719.1", "CAH2329719.1")</f>
        <v/>
      </c>
      <c r="F2768" t="n">
        <v>40.8</v>
      </c>
      <c r="G2768" t="n">
        <v>147</v>
      </c>
      <c r="H2768" t="n">
        <v>1.38e-23</v>
      </c>
      <c r="I2768" t="inlineStr">
        <is>
          <t>Nr</t>
        </is>
      </c>
      <c r="J2768" t="inlineStr"/>
      <c r="K2768" t="inlineStr"/>
      <c r="L2768" t="inlineStr">
        <is>
          <t>CAH2329719.1 Hypothetical predicted protein, partial [Pelobates cultripes]</t>
        </is>
      </c>
      <c r="M2768" t="n">
        <v>531</v>
      </c>
      <c r="N2768" t="inlineStr">
        <is>
          <t>Pelobates cultripes</t>
        </is>
      </c>
      <c r="O2768" t="inlineStr">
        <is>
          <t>Hypothetical predicted protein, partial</t>
        </is>
      </c>
    </row>
    <row r="2769">
      <c r="A2769" t="inlineStr"/>
      <c r="B2769" t="inlineStr"/>
      <c r="C2769" t="inlineStr"/>
      <c r="D2769" t="inlineStr"/>
      <c r="E2769">
        <f>HYPERLINK("https://www.ncbi.nlm.nih.gov/gene/?term=XP_040215518.1", "XP_040215518.1")</f>
        <v/>
      </c>
      <c r="F2769" t="n">
        <v>36.4</v>
      </c>
      <c r="G2769" t="n">
        <v>154</v>
      </c>
      <c r="H2769" t="n">
        <v>1.39e-23</v>
      </c>
      <c r="I2769" t="inlineStr">
        <is>
          <t>Nr</t>
        </is>
      </c>
      <c r="J2769" t="inlineStr"/>
      <c r="K2769" t="inlineStr"/>
      <c r="L2769" t="inlineStr">
        <is>
          <t>XP_040215518.1 uncharacterized protein LOC120945431 [Rana temporaria]</t>
        </is>
      </c>
      <c r="M2769" t="n">
        <v>243</v>
      </c>
      <c r="N2769" t="inlineStr">
        <is>
          <t>Rana temporaria</t>
        </is>
      </c>
      <c r="O2769" t="inlineStr">
        <is>
          <t>uncharacterized protein LOC120945431</t>
        </is>
      </c>
    </row>
    <row r="2770">
      <c r="A2770" t="inlineStr"/>
      <c r="B2770" t="inlineStr"/>
      <c r="C2770" t="inlineStr"/>
      <c r="D2770" t="inlineStr"/>
      <c r="E2770">
        <f>HYPERLINK("https://www.ncbi.nlm.nih.gov/gene/?term=XP_040215518.1", "XP_040215518.1")</f>
        <v/>
      </c>
      <c r="F2770" t="n">
        <v>36.4</v>
      </c>
      <c r="G2770" t="n">
        <v>154</v>
      </c>
      <c r="H2770" t="n">
        <v>1.39e-23</v>
      </c>
      <c r="I2770" t="inlineStr">
        <is>
          <t>Nr</t>
        </is>
      </c>
      <c r="J2770" t="inlineStr"/>
      <c r="K2770" t="inlineStr"/>
      <c r="L2770" t="inlineStr">
        <is>
          <t>XP_040215518.1 uncharacterized protein LOC120945431 [Rana temporaria]</t>
        </is>
      </c>
      <c r="M2770" t="n">
        <v>243</v>
      </c>
      <c r="N2770" t="inlineStr">
        <is>
          <t>Rana temporaria</t>
        </is>
      </c>
      <c r="O2770" t="inlineStr">
        <is>
          <t>uncharacterized protein LOC120945431</t>
        </is>
      </c>
    </row>
    <row r="2771">
      <c r="A2771" t="inlineStr"/>
      <c r="B2771" t="inlineStr"/>
      <c r="C2771" t="inlineStr"/>
      <c r="D2771" t="inlineStr"/>
      <c r="E2771">
        <f>HYPERLINK("https://www.ncbi.nlm.nih.gov/gene/?term=XP_034953532.1", "XP_034953532.1")</f>
        <v/>
      </c>
      <c r="F2771" t="n">
        <v>36.5</v>
      </c>
      <c r="G2771" t="n">
        <v>178</v>
      </c>
      <c r="H2771" t="n">
        <v>1.66e-23</v>
      </c>
      <c r="I2771" t="inlineStr">
        <is>
          <t>Nr</t>
        </is>
      </c>
      <c r="J2771" t="inlineStr"/>
      <c r="K2771" t="inlineStr"/>
      <c r="L2771" t="inlineStr">
        <is>
          <t>XP_034953532.1 LINE-1 type transposase domain-containing protein 1 [Zootoca vivipara]</t>
        </is>
      </c>
      <c r="M2771" t="n">
        <v>367</v>
      </c>
      <c r="N2771" t="inlineStr">
        <is>
          <t>Zootoca vivipara</t>
        </is>
      </c>
      <c r="O2771" t="inlineStr">
        <is>
          <t>LINE-1 type transposase domain-containing protein 1</t>
        </is>
      </c>
    </row>
    <row r="2772">
      <c r="A2772" t="inlineStr"/>
      <c r="B2772" t="inlineStr"/>
      <c r="C2772" t="inlineStr"/>
      <c r="D2772" t="inlineStr"/>
      <c r="E2772">
        <f>HYPERLINK("https://www.ncbi.nlm.nih.gov/gene/?term=XP_034953532.1", "XP_034953532.1")</f>
        <v/>
      </c>
      <c r="F2772" t="n">
        <v>36.5</v>
      </c>
      <c r="G2772" t="n">
        <v>178</v>
      </c>
      <c r="H2772" t="n">
        <v>1.66e-23</v>
      </c>
      <c r="I2772" t="inlineStr">
        <is>
          <t>Nr</t>
        </is>
      </c>
      <c r="J2772" t="inlineStr"/>
      <c r="K2772" t="inlineStr"/>
      <c r="L2772" t="inlineStr">
        <is>
          <t>XP_034953532.1 LINE-1 type transposase domain-containing protein 1 [Zootoca vivipara]</t>
        </is>
      </c>
      <c r="M2772" t="n">
        <v>367</v>
      </c>
      <c r="N2772" t="inlineStr">
        <is>
          <t>Zootoca vivipara</t>
        </is>
      </c>
      <c r="O2772" t="inlineStr">
        <is>
          <t>LINE-1 type transposase domain-containing protein 1</t>
        </is>
      </c>
    </row>
    <row r="2773">
      <c r="A2773" t="inlineStr"/>
      <c r="B2773" t="inlineStr"/>
      <c r="C2773" t="inlineStr"/>
      <c r="D2773" t="inlineStr"/>
      <c r="E2773">
        <f>HYPERLINK("https://www.ncbi.nlm.nih.gov/gene/?term=OCT96131.1", "OCT96131.1")</f>
        <v/>
      </c>
      <c r="F2773" t="n">
        <v>36</v>
      </c>
      <c r="G2773" t="n">
        <v>161</v>
      </c>
      <c r="H2773" t="n">
        <v>4.62e-23</v>
      </c>
      <c r="I2773" t="inlineStr">
        <is>
          <t>Nr</t>
        </is>
      </c>
      <c r="J2773" t="inlineStr"/>
      <c r="K2773" t="inlineStr"/>
      <c r="L2773" t="inlineStr">
        <is>
          <t>OCT96131.1 hypothetical protein XELAEV_18013814mg, partial [Xenopus laevis]</t>
        </is>
      </c>
      <c r="M2773" t="n">
        <v>624</v>
      </c>
      <c r="N2773" t="inlineStr">
        <is>
          <t>Xenopus laevis</t>
        </is>
      </c>
      <c r="O2773" t="inlineStr">
        <is>
          <t>hypothetical protein XELAEV_18013814mg, partial</t>
        </is>
      </c>
    </row>
    <row r="2774">
      <c r="A2774" t="inlineStr"/>
      <c r="B2774" t="inlineStr"/>
      <c r="C2774" t="inlineStr"/>
      <c r="D2774" t="inlineStr"/>
      <c r="E2774">
        <f>HYPERLINK("https://www.ncbi.nlm.nih.gov/gene/?term=OCT96131.1", "OCT96131.1")</f>
        <v/>
      </c>
      <c r="F2774" t="n">
        <v>36</v>
      </c>
      <c r="G2774" t="n">
        <v>161</v>
      </c>
      <c r="H2774" t="n">
        <v>4.62e-23</v>
      </c>
      <c r="I2774" t="inlineStr">
        <is>
          <t>Nr</t>
        </is>
      </c>
      <c r="J2774" t="inlineStr"/>
      <c r="K2774" t="inlineStr"/>
      <c r="L2774" t="inlineStr">
        <is>
          <t>OCT96131.1 hypothetical protein XELAEV_18013814mg, partial [Xenopus laevis]</t>
        </is>
      </c>
      <c r="M2774" t="n">
        <v>624</v>
      </c>
      <c r="N2774" t="inlineStr">
        <is>
          <t>Xenopus laevis</t>
        </is>
      </c>
      <c r="O2774" t="inlineStr">
        <is>
          <t>hypothetical protein XELAEV_18013814mg, partial</t>
        </is>
      </c>
    </row>
    <row r="2775">
      <c r="A2775" t="inlineStr"/>
      <c r="B2775" t="inlineStr"/>
      <c r="C2775" t="inlineStr"/>
      <c r="D2775" t="inlineStr"/>
      <c r="E2775">
        <f>HYPERLINK("https://www.ncbi.nlm.nih.gov/gene/?term=KAG8566310.1", "KAG8566310.1")</f>
        <v/>
      </c>
      <c r="F2775" t="n">
        <v>41</v>
      </c>
      <c r="G2775" t="n">
        <v>156</v>
      </c>
      <c r="H2775" t="n">
        <v>1.34e-22</v>
      </c>
      <c r="I2775" t="inlineStr">
        <is>
          <t>Nr</t>
        </is>
      </c>
      <c r="J2775" t="inlineStr"/>
      <c r="K2775" t="inlineStr"/>
      <c r="L2775" t="inlineStr">
        <is>
          <t>KAG8566310.1 hypothetical protein GDO81_013181 [Engystomops pustulosus]</t>
        </is>
      </c>
      <c r="M2775" t="n">
        <v>911</v>
      </c>
      <c r="N2775" t="inlineStr">
        <is>
          <t>Engystomops pustulosus</t>
        </is>
      </c>
      <c r="O2775" t="inlineStr">
        <is>
          <t>hypothetical protein GDO81_013181</t>
        </is>
      </c>
    </row>
    <row r="2776">
      <c r="A2776" t="inlineStr"/>
      <c r="B2776" t="inlineStr"/>
      <c r="C2776" t="inlineStr"/>
      <c r="D2776" t="inlineStr"/>
      <c r="E2776">
        <f>HYPERLINK("https://www.ncbi.nlm.nih.gov/gene/?term=KAG8566310.1", "KAG8566310.1")</f>
        <v/>
      </c>
      <c r="F2776" t="n">
        <v>41</v>
      </c>
      <c r="G2776" t="n">
        <v>156</v>
      </c>
      <c r="H2776" t="n">
        <v>1.34e-22</v>
      </c>
      <c r="I2776" t="inlineStr">
        <is>
          <t>Nr</t>
        </is>
      </c>
      <c r="J2776" t="inlineStr"/>
      <c r="K2776" t="inlineStr"/>
      <c r="L2776" t="inlineStr">
        <is>
          <t>KAG8566310.1 hypothetical protein GDO81_013181 [Engystomops pustulosus]</t>
        </is>
      </c>
      <c r="M2776" t="n">
        <v>911</v>
      </c>
      <c r="N2776" t="inlineStr">
        <is>
          <t>Engystomops pustulosus</t>
        </is>
      </c>
      <c r="O2776" t="inlineStr">
        <is>
          <t>hypothetical protein GDO81_013181</t>
        </is>
      </c>
    </row>
    <row r="2777">
      <c r="A2777" t="inlineStr"/>
      <c r="B2777" t="inlineStr"/>
      <c r="C2777" t="inlineStr"/>
      <c r="D2777" t="inlineStr"/>
      <c r="E2777">
        <f>HYPERLINK("https://www.ncbi.nlm.nih.gov/gene/?term=KAJ1181228.1", "KAJ1181228.1")</f>
        <v/>
      </c>
      <c r="F2777" t="n">
        <v>34.4</v>
      </c>
      <c r="G2777" t="n">
        <v>163</v>
      </c>
      <c r="H2777" t="n">
        <v>3.67e-22</v>
      </c>
      <c r="I2777" t="inlineStr">
        <is>
          <t>Nr</t>
        </is>
      </c>
      <c r="J2777" t="inlineStr"/>
      <c r="K2777" t="inlineStr"/>
      <c r="L2777" t="inlineStr">
        <is>
          <t>KAJ1181228.1 hypothetical protein NDU88_006438 [Pleurodeles waltl]</t>
        </is>
      </c>
      <c r="M2777" t="n">
        <v>271</v>
      </c>
      <c r="N2777" t="inlineStr">
        <is>
          <t>Pleurodeles waltl</t>
        </is>
      </c>
      <c r="O2777" t="inlineStr">
        <is>
          <t>hypothetical protein NDU88_006438</t>
        </is>
      </c>
    </row>
    <row r="2778">
      <c r="A2778" t="inlineStr"/>
      <c r="B2778" t="inlineStr"/>
      <c r="C2778" t="inlineStr"/>
      <c r="D2778" t="inlineStr"/>
      <c r="E2778">
        <f>HYPERLINK("https://www.ncbi.nlm.nih.gov/gene/?term=KAJ1181228.1", "KAJ1181228.1")</f>
        <v/>
      </c>
      <c r="F2778" t="n">
        <v>34.4</v>
      </c>
      <c r="G2778" t="n">
        <v>163</v>
      </c>
      <c r="H2778" t="n">
        <v>3.67e-22</v>
      </c>
      <c r="I2778" t="inlineStr">
        <is>
          <t>Nr</t>
        </is>
      </c>
      <c r="J2778" t="inlineStr"/>
      <c r="K2778" t="inlineStr"/>
      <c r="L2778" t="inlineStr">
        <is>
          <t>KAJ1181228.1 hypothetical protein NDU88_006438 [Pleurodeles waltl]</t>
        </is>
      </c>
      <c r="M2778" t="n">
        <v>271</v>
      </c>
      <c r="N2778" t="inlineStr">
        <is>
          <t>Pleurodeles waltl</t>
        </is>
      </c>
      <c r="O2778" t="inlineStr">
        <is>
          <t>hypothetical protein NDU88_006438</t>
        </is>
      </c>
    </row>
    <row r="2779">
      <c r="A2779" t="inlineStr"/>
      <c r="B2779" t="inlineStr"/>
      <c r="C2779" t="inlineStr"/>
      <c r="D2779" t="inlineStr"/>
      <c r="E2779">
        <f>HYPERLINK("https://www.ncbi.nlm.nih.gov/gene/?term=XP_040272583.1", "XP_040272583.1")</f>
        <v/>
      </c>
      <c r="F2779" t="n">
        <v>32.9</v>
      </c>
      <c r="G2779" t="n">
        <v>173</v>
      </c>
      <c r="H2779" t="n">
        <v>4.25e-22</v>
      </c>
      <c r="I2779" t="inlineStr">
        <is>
          <t>Nr</t>
        </is>
      </c>
      <c r="J2779" t="inlineStr"/>
      <c r="K2779" t="inlineStr"/>
      <c r="L2779" t="inlineStr">
        <is>
          <t>XP_040272583.1 uncharacterized protein LOC120988885 [Bufo bufo]</t>
        </is>
      </c>
      <c r="M2779" t="n">
        <v>229</v>
      </c>
      <c r="N2779" t="inlineStr">
        <is>
          <t>Bufo bufo</t>
        </is>
      </c>
      <c r="O2779" t="inlineStr">
        <is>
          <t>uncharacterized protein LOC120988885</t>
        </is>
      </c>
    </row>
    <row r="2780">
      <c r="A2780" t="inlineStr"/>
      <c r="B2780" t="inlineStr"/>
      <c r="C2780" t="inlineStr"/>
      <c r="D2780" t="inlineStr"/>
      <c r="E2780">
        <f>HYPERLINK("https://www.ncbi.nlm.nih.gov/gene/?term=XP_040272583.1", "XP_040272583.1")</f>
        <v/>
      </c>
      <c r="F2780" t="n">
        <v>32.9</v>
      </c>
      <c r="G2780" t="n">
        <v>173</v>
      </c>
      <c r="H2780" t="n">
        <v>4.25e-22</v>
      </c>
      <c r="I2780" t="inlineStr">
        <is>
          <t>Nr</t>
        </is>
      </c>
      <c r="J2780" t="inlineStr"/>
      <c r="K2780" t="inlineStr"/>
      <c r="L2780" t="inlineStr">
        <is>
          <t>XP_040272583.1 uncharacterized protein LOC120988885 [Bufo bufo]</t>
        </is>
      </c>
      <c r="M2780" t="n">
        <v>229</v>
      </c>
      <c r="N2780" t="inlineStr">
        <is>
          <t>Bufo bufo</t>
        </is>
      </c>
      <c r="O2780" t="inlineStr">
        <is>
          <t>uncharacterized protein LOC120988885</t>
        </is>
      </c>
    </row>
    <row r="2781">
      <c r="A2781" t="inlineStr"/>
      <c r="B2781" t="inlineStr"/>
      <c r="C2781" t="inlineStr"/>
      <c r="D2781" t="inlineStr"/>
      <c r="E2781">
        <f>HYPERLINK("https://www.ncbi.nlm.nih.gov/gene/?term=XP_044160443.1", "XP_044160443.1")</f>
        <v/>
      </c>
      <c r="F2781" t="n">
        <v>35.6</v>
      </c>
      <c r="G2781" t="n">
        <v>194</v>
      </c>
      <c r="H2781" t="n">
        <v>4.74e-22</v>
      </c>
      <c r="I2781" t="inlineStr">
        <is>
          <t>Nr</t>
        </is>
      </c>
      <c r="J2781" t="inlineStr"/>
      <c r="K2781" t="inlineStr"/>
      <c r="L2781" t="inlineStr">
        <is>
          <t>XP_044160443.1 uromodulin-like [Bufo gargarizans]</t>
        </is>
      </c>
      <c r="M2781" t="n">
        <v>1102</v>
      </c>
      <c r="N2781" t="inlineStr">
        <is>
          <t>Bufo gargarizans</t>
        </is>
      </c>
      <c r="O2781" t="inlineStr">
        <is>
          <t>uromodulin-like</t>
        </is>
      </c>
    </row>
    <row r="2782">
      <c r="A2782" t="inlineStr"/>
      <c r="B2782" t="inlineStr"/>
      <c r="C2782" t="inlineStr"/>
      <c r="D2782" t="inlineStr"/>
      <c r="E2782">
        <f>HYPERLINK("https://www.ncbi.nlm.nih.gov/gene/?term=XP_044160443.1", "XP_044160443.1")</f>
        <v/>
      </c>
      <c r="F2782" t="n">
        <v>35.6</v>
      </c>
      <c r="G2782" t="n">
        <v>194</v>
      </c>
      <c r="H2782" t="n">
        <v>4.74e-22</v>
      </c>
      <c r="I2782" t="inlineStr">
        <is>
          <t>Nr</t>
        </is>
      </c>
      <c r="J2782" t="inlineStr"/>
      <c r="K2782" t="inlineStr"/>
      <c r="L2782" t="inlineStr">
        <is>
          <t>XP_044160443.1 uromodulin-like [Bufo gargarizans]</t>
        </is>
      </c>
      <c r="M2782" t="n">
        <v>1102</v>
      </c>
      <c r="N2782" t="inlineStr">
        <is>
          <t>Bufo gargarizans</t>
        </is>
      </c>
      <c r="O2782" t="inlineStr">
        <is>
          <t>uromodulin-like</t>
        </is>
      </c>
    </row>
    <row r="2783">
      <c r="A2783" t="inlineStr"/>
      <c r="B2783" t="inlineStr"/>
      <c r="C2783" t="inlineStr"/>
      <c r="D2783" t="inlineStr"/>
      <c r="E2783">
        <f>HYPERLINK("https://www.ncbi.nlm.nih.gov/gene/?term=XP_029442176.1", "XP_029442176.1")</f>
        <v/>
      </c>
      <c r="F2783" t="n">
        <v>35.6</v>
      </c>
      <c r="G2783" t="n">
        <v>180</v>
      </c>
      <c r="H2783" t="n">
        <v>2.39e-21</v>
      </c>
      <c r="I2783" t="inlineStr">
        <is>
          <t>Nr</t>
        </is>
      </c>
      <c r="J2783" t="inlineStr"/>
      <c r="K2783" t="inlineStr"/>
      <c r="L2783" t="inlineStr">
        <is>
          <t>XP_029442176.1 LOW QUALITY PROTEIN: uncharacterized protein LOC115082052 [Rhinatrema bivittatum]</t>
        </is>
      </c>
      <c r="M2783" t="n">
        <v>2579</v>
      </c>
      <c r="N2783" t="inlineStr">
        <is>
          <t>Rhinatrema bivittatum</t>
        </is>
      </c>
      <c r="O2783" t="inlineStr">
        <is>
          <t>LOW QUALITY PROTEIN: uncharacterized protein LOC115082052</t>
        </is>
      </c>
    </row>
    <row r="2784">
      <c r="A2784" t="inlineStr"/>
      <c r="B2784" t="inlineStr"/>
      <c r="C2784" t="inlineStr"/>
      <c r="D2784" t="inlineStr"/>
      <c r="E2784">
        <f>HYPERLINK("https://www.ncbi.nlm.nih.gov/gene/?term=XP_029442176.1", "XP_029442176.1")</f>
        <v/>
      </c>
      <c r="F2784" t="n">
        <v>35.6</v>
      </c>
      <c r="G2784" t="n">
        <v>180</v>
      </c>
      <c r="H2784" t="n">
        <v>2.39e-21</v>
      </c>
      <c r="I2784" t="inlineStr">
        <is>
          <t>Nr</t>
        </is>
      </c>
      <c r="J2784" t="inlineStr"/>
      <c r="K2784" t="inlineStr"/>
      <c r="L2784" t="inlineStr">
        <is>
          <t>XP_029442176.1 LOW QUALITY PROTEIN: uncharacterized protein LOC115082052 [Rhinatrema bivittatum]</t>
        </is>
      </c>
      <c r="M2784" t="n">
        <v>2579</v>
      </c>
      <c r="N2784" t="inlineStr">
        <is>
          <t>Rhinatrema bivittatum</t>
        </is>
      </c>
      <c r="O2784" t="inlineStr">
        <is>
          <t>LOW QUALITY PROTEIN: uncharacterized protein LOC115082052</t>
        </is>
      </c>
    </row>
    <row r="2785">
      <c r="A2785" t="inlineStr"/>
      <c r="B2785" t="inlineStr"/>
      <c r="C2785" t="inlineStr"/>
      <c r="D2785" t="inlineStr"/>
      <c r="E2785">
        <f>HYPERLINK("https://www.ncbi.nlm.nih.gov/gene/?term=KAJ1155429.1", "KAJ1155429.1")</f>
        <v/>
      </c>
      <c r="F2785" t="n">
        <v>35.2</v>
      </c>
      <c r="G2785" t="n">
        <v>162</v>
      </c>
      <c r="H2785" t="n">
        <v>5.810000000000001e-21</v>
      </c>
      <c r="I2785" t="inlineStr">
        <is>
          <t>Nr</t>
        </is>
      </c>
      <c r="J2785" t="inlineStr"/>
      <c r="K2785" t="inlineStr"/>
      <c r="L2785" t="inlineStr">
        <is>
          <t>KAJ1155429.1 hypothetical protein NDU88_008159 [Pleurodeles waltl]</t>
        </is>
      </c>
      <c r="M2785" t="n">
        <v>315</v>
      </c>
      <c r="N2785" t="inlineStr">
        <is>
          <t>Pleurodeles waltl</t>
        </is>
      </c>
      <c r="O2785" t="inlineStr">
        <is>
          <t>hypothetical protein NDU88_008159</t>
        </is>
      </c>
    </row>
    <row r="2786">
      <c r="A2786" t="inlineStr"/>
      <c r="B2786" t="inlineStr"/>
      <c r="C2786" t="inlineStr"/>
      <c r="D2786" t="inlineStr"/>
      <c r="E2786">
        <f>HYPERLINK("https://www.ncbi.nlm.nih.gov/gene/?term=KAJ1155429.1", "KAJ1155429.1")</f>
        <v/>
      </c>
      <c r="F2786" t="n">
        <v>35.2</v>
      </c>
      <c r="G2786" t="n">
        <v>162</v>
      </c>
      <c r="H2786" t="n">
        <v>5.810000000000001e-21</v>
      </c>
      <c r="I2786" t="inlineStr">
        <is>
          <t>Nr</t>
        </is>
      </c>
      <c r="J2786" t="inlineStr"/>
      <c r="K2786" t="inlineStr"/>
      <c r="L2786" t="inlineStr">
        <is>
          <t>KAJ1155429.1 hypothetical protein NDU88_008159 [Pleurodeles waltl]</t>
        </is>
      </c>
      <c r="M2786" t="n">
        <v>315</v>
      </c>
      <c r="N2786" t="inlineStr">
        <is>
          <t>Pleurodeles waltl</t>
        </is>
      </c>
      <c r="O2786" t="inlineStr">
        <is>
          <t>hypothetical protein NDU88_008159</t>
        </is>
      </c>
    </row>
    <row r="2787">
      <c r="A2787" t="inlineStr"/>
      <c r="B2787" t="inlineStr"/>
      <c r="C2787" t="inlineStr"/>
      <c r="D2787" t="inlineStr"/>
      <c r="E2787">
        <f>HYPERLINK("https://www.ncbi.nlm.nih.gov/gene/?term=KAJ1125455.1", "KAJ1125455.1")</f>
        <v/>
      </c>
      <c r="F2787" t="n">
        <v>33.3</v>
      </c>
      <c r="G2787" t="n">
        <v>162</v>
      </c>
      <c r="H2787" t="n">
        <v>9.830000000000001e-21</v>
      </c>
      <c r="I2787" t="inlineStr">
        <is>
          <t>Nr</t>
        </is>
      </c>
      <c r="J2787" t="inlineStr"/>
      <c r="K2787" t="inlineStr"/>
      <c r="L2787" t="inlineStr">
        <is>
          <t>KAJ1125455.1 hypothetical protein NDU88_003887 [Pleurodeles waltl]</t>
        </is>
      </c>
      <c r="M2787" t="n">
        <v>250</v>
      </c>
      <c r="N2787" t="inlineStr">
        <is>
          <t>Pleurodeles waltl</t>
        </is>
      </c>
      <c r="O2787" t="inlineStr">
        <is>
          <t>hypothetical protein NDU88_003887</t>
        </is>
      </c>
    </row>
    <row r="2788">
      <c r="A2788" t="inlineStr"/>
      <c r="B2788" t="inlineStr"/>
      <c r="C2788" t="inlineStr"/>
      <c r="D2788" t="inlineStr"/>
      <c r="E2788">
        <f>HYPERLINK("https://www.ncbi.nlm.nih.gov/gene/?term=KAJ1125455.1", "KAJ1125455.1")</f>
        <v/>
      </c>
      <c r="F2788" t="n">
        <v>33.3</v>
      </c>
      <c r="G2788" t="n">
        <v>162</v>
      </c>
      <c r="H2788" t="n">
        <v>9.830000000000001e-21</v>
      </c>
      <c r="I2788" t="inlineStr">
        <is>
          <t>Nr</t>
        </is>
      </c>
      <c r="J2788" t="inlineStr"/>
      <c r="K2788" t="inlineStr"/>
      <c r="L2788" t="inlineStr">
        <is>
          <t>KAJ1125455.1 hypothetical protein NDU88_003887 [Pleurodeles waltl]</t>
        </is>
      </c>
      <c r="M2788" t="n">
        <v>250</v>
      </c>
      <c r="N2788" t="inlineStr">
        <is>
          <t>Pleurodeles waltl</t>
        </is>
      </c>
      <c r="O2788" t="inlineStr">
        <is>
          <t>hypothetical protein NDU88_003887</t>
        </is>
      </c>
    </row>
    <row r="2789">
      <c r="A2789" t="inlineStr"/>
      <c r="B2789" t="inlineStr"/>
      <c r="C2789" t="inlineStr"/>
      <c r="D2789" t="inlineStr"/>
      <c r="E2789">
        <f>HYPERLINK("https://www.uniprot.org/uniprotkb/Q9UN81/entry", "Q9UN81")</f>
        <v/>
      </c>
      <c r="F2789" t="n">
        <v>31.1</v>
      </c>
      <c r="G2789" t="n">
        <v>148</v>
      </c>
      <c r="H2789" t="n">
        <v>7.090000000000001e-08</v>
      </c>
      <c r="I2789" t="inlineStr">
        <is>
          <t>Swiss-Prot</t>
        </is>
      </c>
      <c r="J2789" t="inlineStr">
        <is>
          <t>L1RE1</t>
        </is>
      </c>
      <c r="K2789" t="inlineStr">
        <is>
          <t>LORF1_HUMAN</t>
        </is>
      </c>
      <c r="L2789" t="inlineStr">
        <is>
          <t>sp|Q9UN81|LORF1_HUMAN LINE-1 retrotransposable element ORF1 protein OS=Homo sapiens OX=9606 GN=L1RE1 PE=1 SV=1</t>
        </is>
      </c>
      <c r="M2789" t="n">
        <v>338</v>
      </c>
      <c r="N2789" t="inlineStr">
        <is>
          <t>Homo sapiens</t>
        </is>
      </c>
      <c r="O2789" t="inlineStr">
        <is>
          <t>LINE-1 retrotransposable element ORF1 protein</t>
        </is>
      </c>
    </row>
    <row r="2790">
      <c r="A2790" t="inlineStr"/>
      <c r="B2790" t="inlineStr"/>
      <c r="C2790" t="inlineStr"/>
      <c r="D2790" t="inlineStr"/>
      <c r="E2790">
        <f>HYPERLINK("https://www.uniprot.org/uniprotkb/Q9UN81/entry", "Q9UN81")</f>
        <v/>
      </c>
      <c r="F2790" t="n">
        <v>31.1</v>
      </c>
      <c r="G2790" t="n">
        <v>148</v>
      </c>
      <c r="H2790" t="n">
        <v>7.090000000000001e-08</v>
      </c>
      <c r="I2790" t="inlineStr">
        <is>
          <t>Swiss-Prot</t>
        </is>
      </c>
      <c r="J2790" t="inlineStr">
        <is>
          <t>L1RE1</t>
        </is>
      </c>
      <c r="K2790" t="inlineStr">
        <is>
          <t>LORF1_HUMAN</t>
        </is>
      </c>
      <c r="L2790" t="inlineStr">
        <is>
          <t>sp|Q9UN81|LORF1_HUMAN LINE-1 retrotransposable element ORF1 protein OS=Homo sapiens OX=9606 GN=L1RE1 PE=1 SV=1</t>
        </is>
      </c>
      <c r="M2790" t="n">
        <v>338</v>
      </c>
      <c r="N2790" t="inlineStr">
        <is>
          <t>Homo sapiens</t>
        </is>
      </c>
      <c r="O2790" t="inlineStr">
        <is>
          <t>LINE-1 retrotransposable element ORF1 protein</t>
        </is>
      </c>
    </row>
    <row r="2791">
      <c r="A2791" t="inlineStr"/>
      <c r="B2791" t="inlineStr"/>
      <c r="C2791" t="inlineStr"/>
      <c r="D2791" t="inlineStr"/>
      <c r="E2791">
        <f>HYPERLINK("https://www.uniprot.org/uniprotkb/P14381/entry", "P14381")</f>
        <v/>
      </c>
      <c r="F2791" t="n">
        <v>26.5</v>
      </c>
      <c r="G2791" t="n">
        <v>136</v>
      </c>
      <c r="H2791" t="n">
        <v>1.07e-05</v>
      </c>
      <c r="I2791" t="inlineStr">
        <is>
          <t>Swiss-Prot</t>
        </is>
      </c>
      <c r="J2791" t="inlineStr"/>
      <c r="K2791" t="inlineStr">
        <is>
          <t>YTX2_XENLA</t>
        </is>
      </c>
      <c r="L2791" t="inlineStr">
        <is>
          <t>sp|P14381|YTX2_XENLA Transposon TX1 uncharacterized 149 kDa protein OS=Xenopus laevis OX=8355 PE=4 SV=1</t>
        </is>
      </c>
      <c r="M2791" t="n">
        <v>1308</v>
      </c>
      <c r="N2791" t="inlineStr">
        <is>
          <t>Xenopus laevis</t>
        </is>
      </c>
      <c r="O2791" t="inlineStr">
        <is>
          <t>Transposon TX1 uncharacterized 149 kDa protein</t>
        </is>
      </c>
    </row>
    <row r="2792">
      <c r="A2792" t="inlineStr"/>
      <c r="B2792" t="inlineStr"/>
      <c r="C2792" t="inlineStr"/>
      <c r="D2792" t="inlineStr"/>
      <c r="E2792">
        <f>HYPERLINK("https://www.uniprot.org/uniprotkb/P21329/entry", "P21329")</f>
        <v/>
      </c>
      <c r="F2792" t="n">
        <v>26.1</v>
      </c>
      <c r="G2792" t="n">
        <v>115</v>
      </c>
      <c r="H2792" t="n">
        <v>6.1e-05</v>
      </c>
      <c r="I2792" t="inlineStr">
        <is>
          <t>Swiss-Prot</t>
        </is>
      </c>
      <c r="J2792" t="inlineStr">
        <is>
          <t>jockey\pol</t>
        </is>
      </c>
      <c r="K2792" t="inlineStr">
        <is>
          <t>RTJK_DROFU</t>
        </is>
      </c>
      <c r="L2792" t="inlineStr">
        <is>
          <t>sp|P21329|RTJK_DROFU RNA-directed DNA polymerase from mobile element jockey OS=Drosophila funebris OX=7221 GN=jockey\pol PE=1 SV=1</t>
        </is>
      </c>
      <c r="M2792" t="n">
        <v>916</v>
      </c>
      <c r="N2792" t="inlineStr">
        <is>
          <t>Drosophila funebris</t>
        </is>
      </c>
      <c r="O2792" t="inlineStr">
        <is>
          <t>RNA-directed DNA polymerase from mobile element jockey</t>
        </is>
      </c>
    </row>
    <row r="2793">
      <c r="A2793" t="inlineStr"/>
      <c r="B2793" t="inlineStr"/>
      <c r="C2793" t="inlineStr"/>
      <c r="D2793" t="inlineStr"/>
      <c r="E2793">
        <f>HYPERLINK("https://www.uniprot.org/uniprotkb/P21328/entry", "P21328")</f>
        <v/>
      </c>
      <c r="F2793" t="n">
        <v>25.4</v>
      </c>
      <c r="G2793" t="n">
        <v>134</v>
      </c>
      <c r="H2793" t="n">
        <v>6.1e-05</v>
      </c>
      <c r="I2793" t="inlineStr">
        <is>
          <t>Swiss-Prot</t>
        </is>
      </c>
      <c r="J2793" t="inlineStr">
        <is>
          <t>pol</t>
        </is>
      </c>
      <c r="K2793" t="inlineStr">
        <is>
          <t>RTJK_DROME</t>
        </is>
      </c>
      <c r="L2793" t="inlineStr">
        <is>
          <t>sp|P21328|RTJK_DROME RNA-directed DNA polymerase from mobile element jockey OS=Drosophila melanogaster OX=7227 GN=pol PE=1 SV=1</t>
        </is>
      </c>
      <c r="M2793" t="n">
        <v>916</v>
      </c>
      <c r="N2793" t="inlineStr">
        <is>
          <t>Drosophila melanogaster</t>
        </is>
      </c>
      <c r="O2793" t="inlineStr">
        <is>
          <t>RNA-directed DNA polymerase from mobile element jockey</t>
        </is>
      </c>
    </row>
    <row r="2794">
      <c r="A2794" t="inlineStr">
        <is>
          <t>NODE_1993_length_9684_cov_10.587397_g829_i0</t>
        </is>
      </c>
      <c r="B2794" t="inlineStr">
        <is>
          <t>bombina_pachypus_blastx</t>
        </is>
      </c>
      <c r="C2794" t="n">
        <v>-3.50248219514191</v>
      </c>
      <c r="D2794" t="n">
        <v>0.0012451478432797</v>
      </c>
      <c r="E2794">
        <f>HYPERLINK("https://www.uniprot.org/uniprotkb/A0A803J968/entry", "A0A803J968")</f>
        <v/>
      </c>
      <c r="F2794" t="n">
        <v>34.8</v>
      </c>
      <c r="G2794" t="n">
        <v>477</v>
      </c>
      <c r="H2794" t="n">
        <v>1.71e-84</v>
      </c>
      <c r="I2794" t="inlineStr">
        <is>
          <t>TrEMBL</t>
        </is>
      </c>
      <c r="J2794" t="inlineStr"/>
      <c r="K2794" t="inlineStr">
        <is>
          <t>A0A803J968_XENTR</t>
        </is>
      </c>
      <c r="L2794" t="inlineStr">
        <is>
          <t>tr|A0A803J968|A0A803J968_XENTR Reverse transcriptase domain-containing protein OS=Xenopus tropicalis OX=8364 PE=4 SV=1</t>
        </is>
      </c>
      <c r="M2794" t="n">
        <v>682</v>
      </c>
      <c r="N2794" t="inlineStr">
        <is>
          <t>Xenopus tropicalis</t>
        </is>
      </c>
      <c r="O2794" t="inlineStr">
        <is>
          <t>Reverse transcriptase domain-containing protein</t>
        </is>
      </c>
    </row>
    <row r="2795">
      <c r="A2795" t="inlineStr"/>
      <c r="B2795" t="inlineStr"/>
      <c r="C2795" t="inlineStr"/>
      <c r="D2795" t="inlineStr"/>
      <c r="E2795">
        <f>HYPERLINK("https://www.uniprot.org/uniprotkb/A0A8C5LMS8/entry", "A0A8C5LMS8")</f>
        <v/>
      </c>
      <c r="F2795" t="n">
        <v>35.7</v>
      </c>
      <c r="G2795" t="n">
        <v>465</v>
      </c>
      <c r="H2795" t="n">
        <v>2.02e-81</v>
      </c>
      <c r="I2795" t="inlineStr">
        <is>
          <t>TrEMBL</t>
        </is>
      </c>
      <c r="J2795" t="inlineStr"/>
      <c r="K2795" t="inlineStr">
        <is>
          <t>A0A8C5LMS8_9ANUR</t>
        </is>
      </c>
      <c r="L2795" t="inlineStr">
        <is>
          <t>tr|A0A8C5LMS8|A0A8C5LMS8_9ANUR Reverse transcriptase domain-containing protein OS=Leptobrachium leishanense OX=445787 PE=4 SV=1</t>
        </is>
      </c>
      <c r="M2795" t="n">
        <v>781</v>
      </c>
      <c r="N2795" t="inlineStr">
        <is>
          <t>Leptobrachium leishanense</t>
        </is>
      </c>
      <c r="O2795" t="inlineStr">
        <is>
          <t>Reverse transcriptase domain-containing protein</t>
        </is>
      </c>
    </row>
    <row r="2796">
      <c r="A2796" t="inlineStr"/>
      <c r="B2796" t="inlineStr"/>
      <c r="C2796" t="inlineStr"/>
      <c r="D2796" t="inlineStr"/>
      <c r="E2796">
        <f>HYPERLINK("https://www.uniprot.org/uniprotkb/A0A803KCX1/entry", "A0A803KCX1")</f>
        <v/>
      </c>
      <c r="F2796" t="n">
        <v>34.4</v>
      </c>
      <c r="G2796" t="n">
        <v>500</v>
      </c>
      <c r="H2796" t="n">
        <v>2.21e-80</v>
      </c>
      <c r="I2796" t="inlineStr">
        <is>
          <t>TrEMBL</t>
        </is>
      </c>
      <c r="J2796" t="inlineStr"/>
      <c r="K2796" t="inlineStr">
        <is>
          <t>A0A803KCX1_XENTR</t>
        </is>
      </c>
      <c r="L2796" t="inlineStr">
        <is>
          <t>tr|A0A803KCX1|A0A803KCX1_XENTR Reverse transcriptase domain-containing protein OS=Xenopus tropicalis OX=8364 PE=4 SV=1</t>
        </is>
      </c>
      <c r="M2796" t="n">
        <v>683</v>
      </c>
      <c r="N2796" t="inlineStr">
        <is>
          <t>Xenopus tropicalis</t>
        </is>
      </c>
      <c r="O2796" t="inlineStr">
        <is>
          <t>Reverse transcriptase domain-containing protein</t>
        </is>
      </c>
    </row>
    <row r="2797">
      <c r="A2797" t="inlineStr"/>
      <c r="B2797" t="inlineStr"/>
      <c r="C2797" t="inlineStr"/>
      <c r="D2797" t="inlineStr"/>
      <c r="E2797">
        <f>HYPERLINK("https://www.uniprot.org/uniprotkb/A0A8C5QUS4/entry", "A0A8C5QUS4")</f>
        <v/>
      </c>
      <c r="F2797" t="n">
        <v>35.7</v>
      </c>
      <c r="G2797" t="n">
        <v>465</v>
      </c>
      <c r="H2797" t="n">
        <v>3.740000000000001e-80</v>
      </c>
      <c r="I2797" t="inlineStr">
        <is>
          <t>TrEMBL</t>
        </is>
      </c>
      <c r="J2797" t="inlineStr"/>
      <c r="K2797" t="inlineStr">
        <is>
          <t>A0A8C5QUS4_9ANUR</t>
        </is>
      </c>
      <c r="L2797" t="inlineStr">
        <is>
          <t>tr|A0A8C5QUS4|A0A8C5QUS4_9ANUR Reverse transcriptase domain-containing protein OS=Leptobrachium leishanense OX=445787 PE=4 SV=1</t>
        </is>
      </c>
      <c r="M2797" t="n">
        <v>872</v>
      </c>
      <c r="N2797" t="inlineStr">
        <is>
          <t>Leptobrachium leishanense</t>
        </is>
      </c>
      <c r="O2797" t="inlineStr">
        <is>
          <t>Reverse transcriptase domain-containing protein</t>
        </is>
      </c>
    </row>
    <row r="2798">
      <c r="A2798" t="inlineStr"/>
      <c r="B2798" t="inlineStr"/>
      <c r="C2798" t="inlineStr"/>
      <c r="D2798" t="inlineStr"/>
      <c r="E2798">
        <f>HYPERLINK("https://www.uniprot.org/uniprotkb/A0A803J808/entry", "A0A803J808")</f>
        <v/>
      </c>
      <c r="F2798" t="n">
        <v>34.9</v>
      </c>
      <c r="G2798" t="n">
        <v>473</v>
      </c>
      <c r="H2798" t="n">
        <v>8.6e-80</v>
      </c>
      <c r="I2798" t="inlineStr">
        <is>
          <t>TrEMBL</t>
        </is>
      </c>
      <c r="J2798" t="inlineStr"/>
      <c r="K2798" t="inlineStr">
        <is>
          <t>A0A803J808_XENTR</t>
        </is>
      </c>
      <c r="L2798" t="inlineStr">
        <is>
          <t>tr|A0A803J808|A0A803J808_XENTR Reverse transcriptase domain-containing protein OS=Xenopus tropicalis OX=8364 PE=4 SV=1</t>
        </is>
      </c>
      <c r="M2798" t="n">
        <v>668</v>
      </c>
      <c r="N2798" t="inlineStr">
        <is>
          <t>Xenopus tropicalis</t>
        </is>
      </c>
      <c r="O2798" t="inlineStr">
        <is>
          <t>Reverse transcriptase domain-containing protein</t>
        </is>
      </c>
    </row>
    <row r="2799">
      <c r="A2799" t="inlineStr"/>
      <c r="B2799" t="inlineStr"/>
      <c r="C2799" t="inlineStr"/>
      <c r="D2799" t="inlineStr"/>
      <c r="E2799">
        <f>HYPERLINK("https://www.uniprot.org/uniprotkb/A0A8C5R377/entry", "A0A8C5R377")</f>
        <v/>
      </c>
      <c r="F2799" t="n">
        <v>35.6</v>
      </c>
      <c r="G2799" t="n">
        <v>452</v>
      </c>
      <c r="H2799" t="n">
        <v>1.17e-79</v>
      </c>
      <c r="I2799" t="inlineStr">
        <is>
          <t>TrEMBL</t>
        </is>
      </c>
      <c r="J2799" t="inlineStr"/>
      <c r="K2799" t="inlineStr">
        <is>
          <t>A0A8C5R377_9ANUR</t>
        </is>
      </c>
      <c r="L2799" t="inlineStr">
        <is>
          <t>tr|A0A8C5R377|A0A8C5R377_9ANUR Reverse transcriptase domain-containing protein OS=Leptobrachium leishanense OX=445787 PE=4 SV=1</t>
        </is>
      </c>
      <c r="M2799" t="n">
        <v>1086</v>
      </c>
      <c r="N2799" t="inlineStr">
        <is>
          <t>Leptobrachium leishanense</t>
        </is>
      </c>
      <c r="O2799" t="inlineStr">
        <is>
          <t>Reverse transcriptase domain-containing protein</t>
        </is>
      </c>
    </row>
    <row r="2800">
      <c r="A2800" t="inlineStr"/>
      <c r="B2800" t="inlineStr"/>
      <c r="C2800" t="inlineStr"/>
      <c r="D2800" t="inlineStr"/>
      <c r="E2800">
        <f>HYPERLINK("https://www.uniprot.org/uniprotkb/A0A8C5MEQ8/entry", "A0A8C5MEQ8")</f>
        <v/>
      </c>
      <c r="F2800" t="n">
        <v>35.6</v>
      </c>
      <c r="G2800" t="n">
        <v>452</v>
      </c>
      <c r="H2800" t="n">
        <v>1.27e-79</v>
      </c>
      <c r="I2800" t="inlineStr">
        <is>
          <t>TrEMBL</t>
        </is>
      </c>
      <c r="J2800" t="inlineStr"/>
      <c r="K2800" t="inlineStr">
        <is>
          <t>A0A8C5MEQ8_9ANUR</t>
        </is>
      </c>
      <c r="L2800" t="inlineStr">
        <is>
          <t>tr|A0A8C5MEQ8|A0A8C5MEQ8_9ANUR Reverse transcriptase domain-containing protein OS=Leptobrachium leishanense OX=445787 PE=4 SV=1</t>
        </is>
      </c>
      <c r="M2800" t="n">
        <v>1128</v>
      </c>
      <c r="N2800" t="inlineStr">
        <is>
          <t>Leptobrachium leishanense</t>
        </is>
      </c>
      <c r="O2800" t="inlineStr">
        <is>
          <t>Reverse transcriptase domain-containing protein</t>
        </is>
      </c>
    </row>
    <row r="2801">
      <c r="A2801" t="inlineStr"/>
      <c r="B2801" t="inlineStr"/>
      <c r="C2801" t="inlineStr"/>
      <c r="D2801" t="inlineStr"/>
      <c r="E2801">
        <f>HYPERLINK("https://www.uniprot.org/uniprotkb/A0A8C5QHG9/entry", "A0A8C5QHG9")</f>
        <v/>
      </c>
      <c r="F2801" t="n">
        <v>34.8</v>
      </c>
      <c r="G2801" t="n">
        <v>460</v>
      </c>
      <c r="H2801" t="n">
        <v>2.5e-79</v>
      </c>
      <c r="I2801" t="inlineStr">
        <is>
          <t>TrEMBL</t>
        </is>
      </c>
      <c r="J2801" t="inlineStr"/>
      <c r="K2801" t="inlineStr">
        <is>
          <t>A0A8C5QHG9_9ANUR</t>
        </is>
      </c>
      <c r="L2801" t="inlineStr">
        <is>
          <t>tr|A0A8C5QHG9|A0A8C5QHG9_9ANUR Reverse transcriptase domain-containing protein OS=Leptobrachium leishanense OX=445787 PE=4 SV=1</t>
        </is>
      </c>
      <c r="M2801" t="n">
        <v>719</v>
      </c>
      <c r="N2801" t="inlineStr">
        <is>
          <t>Leptobrachium leishanense</t>
        </is>
      </c>
      <c r="O2801" t="inlineStr">
        <is>
          <t>Reverse transcriptase domain-containing protein</t>
        </is>
      </c>
    </row>
    <row r="2802">
      <c r="A2802" t="inlineStr"/>
      <c r="B2802" t="inlineStr"/>
      <c r="C2802" t="inlineStr"/>
      <c r="D2802" t="inlineStr"/>
      <c r="E2802">
        <f>HYPERLINK("https://www.uniprot.org/uniprotkb/A0A803KBE4/entry", "A0A803KBE4")</f>
        <v/>
      </c>
      <c r="F2802" t="n">
        <v>35.7</v>
      </c>
      <c r="G2802" t="n">
        <v>474</v>
      </c>
      <c r="H2802" t="n">
        <v>3.52e-79</v>
      </c>
      <c r="I2802" t="inlineStr">
        <is>
          <t>TrEMBL</t>
        </is>
      </c>
      <c r="J2802" t="inlineStr"/>
      <c r="K2802" t="inlineStr">
        <is>
          <t>A0A803KBE4_XENTR</t>
        </is>
      </c>
      <c r="L2802" t="inlineStr">
        <is>
          <t>tr|A0A803KBE4|A0A803KBE4_XENTR Reverse transcriptase domain-containing protein OS=Xenopus tropicalis OX=8364 PE=4 SV=1</t>
        </is>
      </c>
      <c r="M2802" t="n">
        <v>1009</v>
      </c>
      <c r="N2802" t="inlineStr">
        <is>
          <t>Xenopus tropicalis</t>
        </is>
      </c>
      <c r="O2802" t="inlineStr">
        <is>
          <t>Reverse transcriptase domain-containing protein</t>
        </is>
      </c>
    </row>
    <row r="2803">
      <c r="A2803" t="inlineStr"/>
      <c r="B2803" t="inlineStr"/>
      <c r="C2803" t="inlineStr"/>
      <c r="D2803" t="inlineStr"/>
      <c r="E2803">
        <f>HYPERLINK("https://www.uniprot.org/uniprotkb/A0A8C5PYJ0/entry", "A0A8C5PYJ0")</f>
        <v/>
      </c>
      <c r="F2803" t="n">
        <v>35.2</v>
      </c>
      <c r="G2803" t="n">
        <v>455</v>
      </c>
      <c r="H2803" t="n">
        <v>4.66e-79</v>
      </c>
      <c r="I2803" t="inlineStr">
        <is>
          <t>TrEMBL</t>
        </is>
      </c>
      <c r="J2803" t="inlineStr"/>
      <c r="K2803" t="inlineStr">
        <is>
          <t>A0A8C5PYJ0_9ANUR</t>
        </is>
      </c>
      <c r="L2803" t="inlineStr">
        <is>
          <t>tr|A0A8C5PYJ0|A0A8C5PYJ0_9ANUR Reverse transcriptase domain-containing protein OS=Leptobrachium leishanense OX=445787 PE=4 SV=1</t>
        </is>
      </c>
      <c r="M2803" t="n">
        <v>805</v>
      </c>
      <c r="N2803" t="inlineStr">
        <is>
          <t>Leptobrachium leishanense</t>
        </is>
      </c>
      <c r="O2803" t="inlineStr">
        <is>
          <t>Reverse transcriptase domain-containing protein</t>
        </is>
      </c>
    </row>
    <row r="2804">
      <c r="A2804" t="inlineStr"/>
      <c r="B2804" t="inlineStr"/>
      <c r="C2804" t="inlineStr"/>
      <c r="D2804" t="inlineStr"/>
      <c r="E2804">
        <f>HYPERLINK("https://www.uniprot.org/uniprotkb/A0A8C5LY15/entry", "A0A8C5LY15")</f>
        <v/>
      </c>
      <c r="F2804" t="n">
        <v>34.8</v>
      </c>
      <c r="G2804" t="n">
        <v>460</v>
      </c>
      <c r="H2804" t="n">
        <v>2.54e-78</v>
      </c>
      <c r="I2804" t="inlineStr">
        <is>
          <t>TrEMBL</t>
        </is>
      </c>
      <c r="J2804" t="inlineStr"/>
      <c r="K2804" t="inlineStr">
        <is>
          <t>A0A8C5LY15_9ANUR</t>
        </is>
      </c>
      <c r="L2804" t="inlineStr">
        <is>
          <t>tr|A0A8C5LY15|A0A8C5LY15_9ANUR Reverse transcriptase domain-containing protein OS=Leptobrachium leishanense OX=445787 PE=4 SV=1</t>
        </is>
      </c>
      <c r="M2804" t="n">
        <v>807</v>
      </c>
      <c r="N2804" t="inlineStr">
        <is>
          <t>Leptobrachium leishanense</t>
        </is>
      </c>
      <c r="O2804" t="inlineStr">
        <is>
          <t>Reverse transcriptase domain-containing protein</t>
        </is>
      </c>
    </row>
    <row r="2805">
      <c r="A2805" t="inlineStr"/>
      <c r="B2805" t="inlineStr"/>
      <c r="C2805" t="inlineStr"/>
      <c r="D2805" t="inlineStr"/>
      <c r="E2805">
        <f>HYPERLINK("https://www.uniprot.org/uniprotkb/A0A8C5WFG0/entry", "A0A8C5WFG0")</f>
        <v/>
      </c>
      <c r="F2805" t="n">
        <v>34.9</v>
      </c>
      <c r="G2805" t="n">
        <v>455</v>
      </c>
      <c r="H2805" t="n">
        <v>1.29e-77</v>
      </c>
      <c r="I2805" t="inlineStr">
        <is>
          <t>TrEMBL</t>
        </is>
      </c>
      <c r="J2805" t="inlineStr"/>
      <c r="K2805" t="inlineStr">
        <is>
          <t>A0A8C5WFG0_9ANUR</t>
        </is>
      </c>
      <c r="L2805" t="inlineStr">
        <is>
          <t>tr|A0A8C5WFG0|A0A8C5WFG0_9ANUR Reverse transcriptase domain-containing protein OS=Leptobrachium leishanense OX=445787 PE=4 SV=1</t>
        </is>
      </c>
      <c r="M2805" t="n">
        <v>805</v>
      </c>
      <c r="N2805" t="inlineStr">
        <is>
          <t>Leptobrachium leishanense</t>
        </is>
      </c>
      <c r="O2805" t="inlineStr">
        <is>
          <t>Reverse transcriptase domain-containing protein</t>
        </is>
      </c>
    </row>
    <row r="2806">
      <c r="A2806" t="inlineStr"/>
      <c r="B2806" t="inlineStr"/>
      <c r="C2806" t="inlineStr"/>
      <c r="D2806" t="inlineStr"/>
      <c r="E2806">
        <f>HYPERLINK("https://www.uniprot.org/uniprotkb/A0A8C5P715/entry", "A0A8C5P715")</f>
        <v/>
      </c>
      <c r="F2806" t="n">
        <v>34.7</v>
      </c>
      <c r="G2806" t="n">
        <v>455</v>
      </c>
      <c r="H2806" t="n">
        <v>1.29e-77</v>
      </c>
      <c r="I2806" t="inlineStr">
        <is>
          <t>TrEMBL</t>
        </is>
      </c>
      <c r="J2806" t="inlineStr"/>
      <c r="K2806" t="inlineStr">
        <is>
          <t>A0A8C5P715_9ANUR</t>
        </is>
      </c>
      <c r="L2806" t="inlineStr">
        <is>
          <t>tr|A0A8C5P715|A0A8C5P715_9ANUR Reverse transcriptase domain-containing protein OS=Leptobrachium leishanense OX=445787 PE=4 SV=1</t>
        </is>
      </c>
      <c r="M2806" t="n">
        <v>805</v>
      </c>
      <c r="N2806" t="inlineStr">
        <is>
          <t>Leptobrachium leishanense</t>
        </is>
      </c>
      <c r="O2806" t="inlineStr">
        <is>
          <t>Reverse transcriptase domain-containing protein</t>
        </is>
      </c>
    </row>
    <row r="2807">
      <c r="A2807" t="inlineStr"/>
      <c r="B2807" t="inlineStr"/>
      <c r="C2807" t="inlineStr"/>
      <c r="D2807" t="inlineStr"/>
      <c r="E2807">
        <f>HYPERLINK("https://www.uniprot.org/uniprotkb/A0A8C5N3L1/entry", "A0A8C5N3L1")</f>
        <v/>
      </c>
      <c r="F2807" t="n">
        <v>34.7</v>
      </c>
      <c r="G2807" t="n">
        <v>455</v>
      </c>
      <c r="H2807" t="n">
        <v>1.29e-77</v>
      </c>
      <c r="I2807" t="inlineStr">
        <is>
          <t>TrEMBL</t>
        </is>
      </c>
      <c r="J2807" t="inlineStr"/>
      <c r="K2807" t="inlineStr">
        <is>
          <t>A0A8C5N3L1_9ANUR</t>
        </is>
      </c>
      <c r="L2807" t="inlineStr">
        <is>
          <t>tr|A0A8C5N3L1|A0A8C5N3L1_9ANUR Reverse transcriptase domain-containing protein OS=Leptobrachium leishanense OX=445787 PE=4 SV=1</t>
        </is>
      </c>
      <c r="M2807" t="n">
        <v>805</v>
      </c>
      <c r="N2807" t="inlineStr">
        <is>
          <t>Leptobrachium leishanense</t>
        </is>
      </c>
      <c r="O2807" t="inlineStr">
        <is>
          <t>Reverse transcriptase domain-containing protein</t>
        </is>
      </c>
    </row>
    <row r="2808">
      <c r="A2808" t="inlineStr"/>
      <c r="B2808" t="inlineStr"/>
      <c r="C2808" t="inlineStr"/>
      <c r="D2808" t="inlineStr"/>
      <c r="E2808">
        <f>HYPERLINK("https://www.uniprot.org/uniprotkb/A0A8C5LRW4/entry", "A0A8C5LRW4")</f>
        <v/>
      </c>
      <c r="F2808" t="n">
        <v>35.2</v>
      </c>
      <c r="G2808" t="n">
        <v>452</v>
      </c>
      <c r="H2808" t="n">
        <v>1.51e-77</v>
      </c>
      <c r="I2808" t="inlineStr">
        <is>
          <t>TrEMBL</t>
        </is>
      </c>
      <c r="J2808" t="inlineStr"/>
      <c r="K2808" t="inlineStr">
        <is>
          <t>A0A8C5LRW4_9ANUR</t>
        </is>
      </c>
      <c r="L2808" t="inlineStr">
        <is>
          <t>tr|A0A8C5LRW4|A0A8C5LRW4_9ANUR Reverse transcriptase domain-containing protein OS=Leptobrachium leishanense OX=445787 PE=4 SV=1</t>
        </is>
      </c>
      <c r="M2808" t="n">
        <v>921</v>
      </c>
      <c r="N2808" t="inlineStr">
        <is>
          <t>Leptobrachium leishanense</t>
        </is>
      </c>
      <c r="O2808" t="inlineStr">
        <is>
          <t>Reverse transcriptase domain-containing protein</t>
        </is>
      </c>
    </row>
    <row r="2809">
      <c r="A2809" t="inlineStr"/>
      <c r="B2809" t="inlineStr"/>
      <c r="C2809" t="inlineStr"/>
      <c r="D2809" t="inlineStr"/>
      <c r="E2809">
        <f>HYPERLINK("https://www.uniprot.org/uniprotkb/A0A803KB25/entry", "A0A803KB25")</f>
        <v/>
      </c>
      <c r="F2809" t="n">
        <v>35.9</v>
      </c>
      <c r="G2809" t="n">
        <v>465</v>
      </c>
      <c r="H2809" t="n">
        <v>3.39e-77</v>
      </c>
      <c r="I2809" t="inlineStr">
        <is>
          <t>TrEMBL</t>
        </is>
      </c>
      <c r="J2809" t="inlineStr"/>
      <c r="K2809" t="inlineStr">
        <is>
          <t>A0A803KB25_XENTR</t>
        </is>
      </c>
      <c r="L2809" t="inlineStr">
        <is>
          <t>tr|A0A803KB25|A0A803KB25_XENTR Reverse transcriptase domain-containing protein OS=Xenopus tropicalis OX=8364 PE=4 SV=1</t>
        </is>
      </c>
      <c r="M2809" t="n">
        <v>932</v>
      </c>
      <c r="N2809" t="inlineStr">
        <is>
          <t>Xenopus tropicalis</t>
        </is>
      </c>
      <c r="O2809" t="inlineStr">
        <is>
          <t>Reverse transcriptase domain-containing protein</t>
        </is>
      </c>
    </row>
    <row r="2810">
      <c r="A2810" t="inlineStr"/>
      <c r="B2810" t="inlineStr"/>
      <c r="C2810" t="inlineStr"/>
      <c r="D2810" t="inlineStr"/>
      <c r="E2810">
        <f>HYPERLINK("https://www.uniprot.org/uniprotkb/A0A6I8Q4E7/entry", "A0A6I8Q4E7")</f>
        <v/>
      </c>
      <c r="F2810" t="n">
        <v>35.1</v>
      </c>
      <c r="G2810" t="n">
        <v>462</v>
      </c>
      <c r="H2810" t="n">
        <v>6.87e-77</v>
      </c>
      <c r="I2810" t="inlineStr">
        <is>
          <t>TrEMBL</t>
        </is>
      </c>
      <c r="J2810" t="inlineStr"/>
      <c r="K2810" t="inlineStr">
        <is>
          <t>A0A6I8Q4E7_XENTR</t>
        </is>
      </c>
      <c r="L2810" t="inlineStr">
        <is>
          <t>tr|A0A6I8Q4E7|A0A6I8Q4E7_XENTR Reverse transcriptase domain-containing protein OS=Xenopus tropicalis OX=8364 PE=4 SV=2</t>
        </is>
      </c>
      <c r="M2810" t="n">
        <v>715</v>
      </c>
      <c r="N2810" t="inlineStr">
        <is>
          <t>Xenopus tropicalis</t>
        </is>
      </c>
      <c r="O2810" t="inlineStr">
        <is>
          <t>Reverse transcriptase domain-containing protein</t>
        </is>
      </c>
    </row>
    <row r="2811">
      <c r="A2811" t="inlineStr"/>
      <c r="B2811" t="inlineStr"/>
      <c r="C2811" t="inlineStr"/>
      <c r="D2811" t="inlineStr"/>
      <c r="E2811">
        <f>HYPERLINK("https://www.uniprot.org/uniprotkb/A0A803JHI8/entry", "A0A803JHI8")</f>
        <v/>
      </c>
      <c r="F2811" t="n">
        <v>39</v>
      </c>
      <c r="G2811" t="n">
        <v>364</v>
      </c>
      <c r="H2811" t="n">
        <v>2.04e-76</v>
      </c>
      <c r="I2811" t="inlineStr">
        <is>
          <t>TrEMBL</t>
        </is>
      </c>
      <c r="J2811" t="inlineStr"/>
      <c r="K2811" t="inlineStr">
        <is>
          <t>A0A803JHI8_XENTR</t>
        </is>
      </c>
      <c r="L2811" t="inlineStr">
        <is>
          <t>tr|A0A803JHI8|A0A803JHI8_XENTR Reverse transcriptase domain-containing protein OS=Xenopus tropicalis OX=8364 PE=4 SV=1</t>
        </is>
      </c>
      <c r="M2811" t="n">
        <v>1058</v>
      </c>
      <c r="N2811" t="inlineStr">
        <is>
          <t>Xenopus tropicalis</t>
        </is>
      </c>
      <c r="O2811" t="inlineStr">
        <is>
          <t>Reverse transcriptase domain-containing protein</t>
        </is>
      </c>
    </row>
    <row r="2812">
      <c r="A2812" t="inlineStr"/>
      <c r="B2812" t="inlineStr"/>
      <c r="C2812" t="inlineStr"/>
      <c r="D2812" t="inlineStr"/>
      <c r="E2812">
        <f>HYPERLINK("https://www.uniprot.org/uniprotkb/A0A8C5MRY5/entry", "A0A8C5MRY5")</f>
        <v/>
      </c>
      <c r="F2812" t="n">
        <v>34.7</v>
      </c>
      <c r="G2812" t="n">
        <v>455</v>
      </c>
      <c r="H2812" t="n">
        <v>3.63e-76</v>
      </c>
      <c r="I2812" t="inlineStr">
        <is>
          <t>TrEMBL</t>
        </is>
      </c>
      <c r="J2812" t="inlineStr"/>
      <c r="K2812" t="inlineStr">
        <is>
          <t>A0A8C5MRY5_9ANUR</t>
        </is>
      </c>
      <c r="L2812" t="inlineStr">
        <is>
          <t>tr|A0A8C5MRY5|A0A8C5MRY5_9ANUR Reverse transcriptase domain-containing protein OS=Leptobrachium leishanense OX=445787 PE=4 SV=1</t>
        </is>
      </c>
      <c r="M2812" t="n">
        <v>1051</v>
      </c>
      <c r="N2812" t="inlineStr">
        <is>
          <t>Leptobrachium leishanense</t>
        </is>
      </c>
      <c r="O2812" t="inlineStr">
        <is>
          <t>Reverse transcriptase domain-containing protein</t>
        </is>
      </c>
    </row>
    <row r="2813">
      <c r="A2813" t="inlineStr"/>
      <c r="B2813" t="inlineStr"/>
      <c r="C2813" t="inlineStr"/>
      <c r="D2813" t="inlineStr"/>
      <c r="E2813">
        <f>HYPERLINK("https://www.uniprot.org/uniprotkb/A0A8C5LU92/entry", "A0A8C5LU92")</f>
        <v/>
      </c>
      <c r="F2813" t="n">
        <v>34.7</v>
      </c>
      <c r="G2813" t="n">
        <v>455</v>
      </c>
      <c r="H2813" t="n">
        <v>1.68e-75</v>
      </c>
      <c r="I2813" t="inlineStr">
        <is>
          <t>TrEMBL</t>
        </is>
      </c>
      <c r="J2813" t="inlineStr"/>
      <c r="K2813" t="inlineStr">
        <is>
          <t>A0A8C5LU92_9ANUR</t>
        </is>
      </c>
      <c r="L2813" t="inlineStr">
        <is>
          <t>tr|A0A8C5LU92|A0A8C5LU92_9ANUR Reverse transcriptase domain-containing protein OS=Leptobrachium leishanense OX=445787 PE=4 SV=1</t>
        </is>
      </c>
      <c r="M2813" t="n">
        <v>1266</v>
      </c>
      <c r="N2813" t="inlineStr">
        <is>
          <t>Leptobrachium leishanense</t>
        </is>
      </c>
      <c r="O2813" t="inlineStr">
        <is>
          <t>Reverse transcriptase domain-containing protein</t>
        </is>
      </c>
    </row>
    <row r="2814">
      <c r="A2814" t="inlineStr"/>
      <c r="B2814" t="inlineStr"/>
      <c r="C2814" t="inlineStr"/>
      <c r="D2814" t="inlineStr"/>
      <c r="E2814">
        <f>HYPERLINK("https://www.uniprot.org/uniprotkb/A0A8C5M7Y1/entry", "A0A8C5M7Y1")</f>
        <v/>
      </c>
      <c r="F2814" t="n">
        <v>34.4</v>
      </c>
      <c r="G2814" t="n">
        <v>457</v>
      </c>
      <c r="H2814" t="n">
        <v>2.36e-75</v>
      </c>
      <c r="I2814" t="inlineStr">
        <is>
          <t>TrEMBL</t>
        </is>
      </c>
      <c r="J2814" t="inlineStr"/>
      <c r="K2814" t="inlineStr">
        <is>
          <t>A0A8C5M7Y1_9ANUR</t>
        </is>
      </c>
      <c r="L2814" t="inlineStr">
        <is>
          <t>tr|A0A8C5M7Y1|A0A8C5M7Y1_9ANUR Reverse transcriptase domain-containing protein OS=Leptobrachium leishanense OX=445787 PE=4 SV=1</t>
        </is>
      </c>
      <c r="M2814" t="n">
        <v>1272</v>
      </c>
      <c r="N2814" t="inlineStr">
        <is>
          <t>Leptobrachium leishanense</t>
        </is>
      </c>
      <c r="O2814" t="inlineStr">
        <is>
          <t>Reverse transcriptase domain-containing protein</t>
        </is>
      </c>
    </row>
    <row r="2815">
      <c r="A2815" t="inlineStr"/>
      <c r="B2815" t="inlineStr"/>
      <c r="C2815" t="inlineStr"/>
      <c r="D2815" t="inlineStr"/>
      <c r="E2815">
        <f>HYPERLINK("https://www.uniprot.org/uniprotkb/A0A8C5MCH3/entry", "A0A8C5MCH3")</f>
        <v/>
      </c>
      <c r="F2815" t="n">
        <v>36.6</v>
      </c>
      <c r="G2815" t="n">
        <v>473</v>
      </c>
      <c r="H2815" t="n">
        <v>2.5e-75</v>
      </c>
      <c r="I2815" t="inlineStr">
        <is>
          <t>TrEMBL</t>
        </is>
      </c>
      <c r="J2815" t="inlineStr"/>
      <c r="K2815" t="inlineStr">
        <is>
          <t>A0A8C5MCH3_9ANUR</t>
        </is>
      </c>
      <c r="L2815" t="inlineStr">
        <is>
          <t>tr|A0A8C5MCH3|A0A8C5MCH3_9ANUR Reverse transcriptase domain-containing protein OS=Leptobrachium leishanense OX=445787 PE=4 SV=1</t>
        </is>
      </c>
      <c r="M2815" t="n">
        <v>865</v>
      </c>
      <c r="N2815" t="inlineStr">
        <is>
          <t>Leptobrachium leishanense</t>
        </is>
      </c>
      <c r="O2815" t="inlineStr">
        <is>
          <t>Reverse transcriptase domain-containing protein</t>
        </is>
      </c>
    </row>
    <row r="2816">
      <c r="A2816" t="inlineStr"/>
      <c r="B2816" t="inlineStr"/>
      <c r="C2816" t="inlineStr"/>
      <c r="D2816" t="inlineStr"/>
      <c r="E2816">
        <f>HYPERLINK("https://www.uniprot.org/uniprotkb/A0A8C5QBG7/entry", "A0A8C5QBG7")</f>
        <v/>
      </c>
      <c r="F2816" t="n">
        <v>33.7</v>
      </c>
      <c r="G2816" t="n">
        <v>472</v>
      </c>
      <c r="H2816" t="n">
        <v>3.61e-75</v>
      </c>
      <c r="I2816" t="inlineStr">
        <is>
          <t>TrEMBL</t>
        </is>
      </c>
      <c r="J2816" t="inlineStr"/>
      <c r="K2816" t="inlineStr">
        <is>
          <t>A0A8C5QBG7_9ANUR</t>
        </is>
      </c>
      <c r="L2816" t="inlineStr">
        <is>
          <t>tr|A0A8C5QBG7|A0A8C5QBG7_9ANUR Reverse transcriptase domain-containing protein OS=Leptobrachium leishanense OX=445787 PE=4 SV=1</t>
        </is>
      </c>
      <c r="M2816" t="n">
        <v>1023</v>
      </c>
      <c r="N2816" t="inlineStr">
        <is>
          <t>Leptobrachium leishanense</t>
        </is>
      </c>
      <c r="O2816" t="inlineStr">
        <is>
          <t>Reverse transcriptase domain-containing protein</t>
        </is>
      </c>
    </row>
    <row r="2817">
      <c r="A2817" t="inlineStr"/>
      <c r="B2817" t="inlineStr"/>
      <c r="C2817" t="inlineStr"/>
      <c r="D2817" t="inlineStr"/>
      <c r="E2817">
        <f>HYPERLINK("https://www.uniprot.org/uniprotkb/A0A803KCZ5/entry", "A0A803KCZ5")</f>
        <v/>
      </c>
      <c r="F2817" t="n">
        <v>38.7</v>
      </c>
      <c r="G2817" t="n">
        <v>362</v>
      </c>
      <c r="H2817" t="n">
        <v>7.76e-75</v>
      </c>
      <c r="I2817" t="inlineStr">
        <is>
          <t>TrEMBL</t>
        </is>
      </c>
      <c r="J2817" t="inlineStr"/>
      <c r="K2817" t="inlineStr">
        <is>
          <t>A0A803KCZ5_XENTR</t>
        </is>
      </c>
      <c r="L2817" t="inlineStr">
        <is>
          <t>tr|A0A803KCZ5|A0A803KCZ5_XENTR Reverse transcriptase domain-containing protein OS=Xenopus tropicalis OX=8364 PE=4 SV=1</t>
        </is>
      </c>
      <c r="M2817" t="n">
        <v>442</v>
      </c>
      <c r="N2817" t="inlineStr">
        <is>
          <t>Xenopus tropicalis</t>
        </is>
      </c>
      <c r="O2817" t="inlineStr">
        <is>
          <t>Reverse transcriptase domain-containing protein</t>
        </is>
      </c>
    </row>
    <row r="2818">
      <c r="A2818" t="inlineStr"/>
      <c r="B2818" t="inlineStr"/>
      <c r="C2818" t="inlineStr"/>
      <c r="D2818" t="inlineStr"/>
      <c r="E2818">
        <f>HYPERLINK("https://www.uniprot.org/uniprotkb/A0A8C5MBV1/entry", "A0A8C5MBV1")</f>
        <v/>
      </c>
      <c r="F2818" t="n">
        <v>33.2</v>
      </c>
      <c r="G2818" t="n">
        <v>452</v>
      </c>
      <c r="H2818" t="n">
        <v>1.44e-74</v>
      </c>
      <c r="I2818" t="inlineStr">
        <is>
          <t>TrEMBL</t>
        </is>
      </c>
      <c r="J2818" t="inlineStr"/>
      <c r="K2818" t="inlineStr">
        <is>
          <t>A0A8C5MBV1_9ANUR</t>
        </is>
      </c>
      <c r="L2818" t="inlineStr">
        <is>
          <t>tr|A0A8C5MBV1|A0A8C5MBV1_9ANUR Reverse transcriptase domain-containing protein OS=Leptobrachium leishanense OX=445787 PE=4 SV=1</t>
        </is>
      </c>
      <c r="M2818" t="n">
        <v>681</v>
      </c>
      <c r="N2818" t="inlineStr">
        <is>
          <t>Leptobrachium leishanense</t>
        </is>
      </c>
      <c r="O2818" t="inlineStr">
        <is>
          <t>Reverse transcriptase domain-containing protein</t>
        </is>
      </c>
    </row>
    <row r="2819">
      <c r="A2819" t="inlineStr"/>
      <c r="B2819" t="inlineStr"/>
      <c r="C2819" t="inlineStr"/>
      <c r="D2819" t="inlineStr"/>
      <c r="E2819">
        <f>HYPERLINK("https://www.uniprot.org/uniprotkb/A0A8C5QMT7/entry", "A0A8C5QMT7")</f>
        <v/>
      </c>
      <c r="F2819" t="n">
        <v>39.5</v>
      </c>
      <c r="G2819" t="n">
        <v>309</v>
      </c>
      <c r="H2819" t="n">
        <v>4.17e-65</v>
      </c>
      <c r="I2819" t="inlineStr">
        <is>
          <t>TrEMBL</t>
        </is>
      </c>
      <c r="J2819" t="inlineStr"/>
      <c r="K2819" t="inlineStr">
        <is>
          <t>A0A8C5QMT7_9ANUR</t>
        </is>
      </c>
      <c r="L2819" t="inlineStr">
        <is>
          <t>tr|A0A8C5QMT7|A0A8C5QMT7_9ANUR Endo/exonuclease/phosphatase domain-containing protein OS=Leptobrachium leishanense OX=445787 PE=4 SV=1</t>
        </is>
      </c>
      <c r="M2819" t="n">
        <v>483</v>
      </c>
      <c r="N2819" t="inlineStr">
        <is>
          <t>Leptobrachium leishanense</t>
        </is>
      </c>
      <c r="O2819" t="inlineStr">
        <is>
          <t>Endo/exonuclease/phosphatase domain-containing protein</t>
        </is>
      </c>
    </row>
    <row r="2820">
      <c r="A2820" t="inlineStr"/>
      <c r="B2820" t="inlineStr"/>
      <c r="C2820" t="inlineStr"/>
      <c r="D2820" t="inlineStr"/>
      <c r="E2820">
        <f>HYPERLINK("https://www.uniprot.org/uniprotkb/A0A8C5QE29/entry", "A0A8C5QE29")</f>
        <v/>
      </c>
      <c r="F2820" t="n">
        <v>39.5</v>
      </c>
      <c r="G2820" t="n">
        <v>309</v>
      </c>
      <c r="H2820" t="n">
        <v>8.88e-65</v>
      </c>
      <c r="I2820" t="inlineStr">
        <is>
          <t>TrEMBL</t>
        </is>
      </c>
      <c r="J2820" t="inlineStr"/>
      <c r="K2820" t="inlineStr">
        <is>
          <t>A0A8C5QE29_9ANUR</t>
        </is>
      </c>
      <c r="L2820" t="inlineStr">
        <is>
          <t>tr|A0A8C5QE29|A0A8C5QE29_9ANUR Endo/exonuclease/phosphatase domain-containing protein OS=Leptobrachium leishanense OX=445787 PE=4 SV=1</t>
        </is>
      </c>
      <c r="M2820" t="n">
        <v>546</v>
      </c>
      <c r="N2820" t="inlineStr">
        <is>
          <t>Leptobrachium leishanense</t>
        </is>
      </c>
      <c r="O2820" t="inlineStr">
        <is>
          <t>Endo/exonuclease/phosphatase domain-containing protein</t>
        </is>
      </c>
    </row>
    <row r="2821">
      <c r="A2821" t="inlineStr"/>
      <c r="B2821" t="inlineStr"/>
      <c r="C2821" t="inlineStr"/>
      <c r="D2821" t="inlineStr"/>
      <c r="E2821">
        <f>HYPERLINK("https://www.uniprot.org/uniprotkb/A0A8C5MJ23/entry", "A0A8C5MJ23")</f>
        <v/>
      </c>
      <c r="F2821" t="n">
        <v>37.1</v>
      </c>
      <c r="G2821" t="n">
        <v>307</v>
      </c>
      <c r="H2821" t="n">
        <v>3.74e-64</v>
      </c>
      <c r="I2821" t="inlineStr">
        <is>
          <t>TrEMBL</t>
        </is>
      </c>
      <c r="J2821" t="inlineStr"/>
      <c r="K2821" t="inlineStr">
        <is>
          <t>A0A8C5MJ23_9ANUR</t>
        </is>
      </c>
      <c r="L2821" t="inlineStr">
        <is>
          <t>tr|A0A8C5MJ23|A0A8C5MJ23_9ANUR Endo/exonuclease/phosphatase domain-containing protein OS=Leptobrachium leishanense OX=445787 PE=4 SV=1</t>
        </is>
      </c>
      <c r="M2821" t="n">
        <v>381</v>
      </c>
      <c r="N2821" t="inlineStr">
        <is>
          <t>Leptobrachium leishanense</t>
        </is>
      </c>
      <c r="O2821" t="inlineStr">
        <is>
          <t>Endo/exonuclease/phosphatase domain-containing protein</t>
        </is>
      </c>
    </row>
    <row r="2822">
      <c r="A2822" t="inlineStr"/>
      <c r="B2822" t="inlineStr"/>
      <c r="C2822" t="inlineStr"/>
      <c r="D2822" t="inlineStr"/>
      <c r="E2822">
        <f>HYPERLINK("https://www.uniprot.org/uniprotkb/A0A8C5LTY6/entry", "A0A8C5LTY6")</f>
        <v/>
      </c>
      <c r="F2822" t="n">
        <v>39.5</v>
      </c>
      <c r="G2822" t="n">
        <v>311</v>
      </c>
      <c r="H2822" t="n">
        <v>4.84e-64</v>
      </c>
      <c r="I2822" t="inlineStr">
        <is>
          <t>TrEMBL</t>
        </is>
      </c>
      <c r="J2822" t="inlineStr"/>
      <c r="K2822" t="inlineStr">
        <is>
          <t>A0A8C5LTY6_9ANUR</t>
        </is>
      </c>
      <c r="L2822" t="inlineStr">
        <is>
          <t>tr|A0A8C5LTY6|A0A8C5LTY6_9ANUR Endo/exonuclease/phosphatase domain-containing protein OS=Leptobrachium leishanense OX=445787 PE=4 SV=1</t>
        </is>
      </c>
      <c r="M2822" t="n">
        <v>546</v>
      </c>
      <c r="N2822" t="inlineStr">
        <is>
          <t>Leptobrachium leishanense</t>
        </is>
      </c>
      <c r="O2822" t="inlineStr">
        <is>
          <t>Endo/exonuclease/phosphatase domain-containing protein</t>
        </is>
      </c>
    </row>
    <row r="2823">
      <c r="A2823" t="inlineStr"/>
      <c r="B2823" t="inlineStr"/>
      <c r="C2823" t="inlineStr"/>
      <c r="D2823" t="inlineStr"/>
      <c r="E2823">
        <f>HYPERLINK("https://www.uniprot.org/uniprotkb/A0A8C5PN49/entry", "A0A8C5PN49")</f>
        <v/>
      </c>
      <c r="F2823" t="n">
        <v>40.1</v>
      </c>
      <c r="G2823" t="n">
        <v>307</v>
      </c>
      <c r="H2823" t="n">
        <v>2.2e-63</v>
      </c>
      <c r="I2823" t="inlineStr">
        <is>
          <t>TrEMBL</t>
        </is>
      </c>
      <c r="J2823" t="inlineStr"/>
      <c r="K2823" t="inlineStr">
        <is>
          <t>A0A8C5PN49_9ANUR</t>
        </is>
      </c>
      <c r="L2823" t="inlineStr">
        <is>
          <t>tr|A0A8C5PN49|A0A8C5PN49_9ANUR Endo/exonuclease/phosphatase domain-containing protein OS=Leptobrachium leishanense OX=445787 PE=4 SV=1</t>
        </is>
      </c>
      <c r="M2823" t="n">
        <v>422</v>
      </c>
      <c r="N2823" t="inlineStr">
        <is>
          <t>Leptobrachium leishanense</t>
        </is>
      </c>
      <c r="O2823" t="inlineStr">
        <is>
          <t>Endo/exonuclease/phosphatase domain-containing protein</t>
        </is>
      </c>
    </row>
    <row r="2824">
      <c r="A2824" t="inlineStr"/>
      <c r="B2824" t="inlineStr"/>
      <c r="C2824" t="inlineStr"/>
      <c r="D2824" t="inlineStr"/>
      <c r="E2824">
        <f>HYPERLINK("https://www.uniprot.org/uniprotkb/A0A8C5M2E5/entry", "A0A8C5M2E5")</f>
        <v/>
      </c>
      <c r="F2824" t="n">
        <v>39.2</v>
      </c>
      <c r="G2824" t="n">
        <v>309</v>
      </c>
      <c r="H2824" t="n">
        <v>3.13e-63</v>
      </c>
      <c r="I2824" t="inlineStr">
        <is>
          <t>TrEMBL</t>
        </is>
      </c>
      <c r="J2824" t="inlineStr"/>
      <c r="K2824" t="inlineStr">
        <is>
          <t>A0A8C5M2E5_9ANUR</t>
        </is>
      </c>
      <c r="L2824" t="inlineStr">
        <is>
          <t>tr|A0A8C5M2E5|A0A8C5M2E5_9ANUR Reverse transcriptase domain-containing protein OS=Leptobrachium leishanense OX=445787 PE=4 SV=1</t>
        </is>
      </c>
      <c r="M2824" t="n">
        <v>1277</v>
      </c>
      <c r="N2824" t="inlineStr">
        <is>
          <t>Leptobrachium leishanense</t>
        </is>
      </c>
      <c r="O2824" t="inlineStr">
        <is>
          <t>Reverse transcriptase domain-containing protein</t>
        </is>
      </c>
    </row>
    <row r="2825">
      <c r="A2825" t="inlineStr"/>
      <c r="B2825" t="inlineStr"/>
      <c r="C2825" t="inlineStr"/>
      <c r="D2825" t="inlineStr"/>
      <c r="E2825">
        <f>HYPERLINK("https://www.uniprot.org/uniprotkb/Q6GN73/entry", "Q6GN73")</f>
        <v/>
      </c>
      <c r="F2825" t="n">
        <v>35.6</v>
      </c>
      <c r="G2825" t="n">
        <v>312</v>
      </c>
      <c r="H2825" t="n">
        <v>3.55e-63</v>
      </c>
      <c r="I2825" t="inlineStr">
        <is>
          <t>TrEMBL</t>
        </is>
      </c>
      <c r="J2825" t="inlineStr">
        <is>
          <t>MGC82982</t>
        </is>
      </c>
      <c r="K2825" t="inlineStr">
        <is>
          <t>Q6GN73_XENLA</t>
        </is>
      </c>
      <c r="L2825" t="inlineStr">
        <is>
          <t>tr|Q6GN73|Q6GN73_XENLA MGC82982 protein OS=Xenopus laevis OX=8355 GN=MGC82982 PE=2 SV=1</t>
        </is>
      </c>
      <c r="M2825" t="n">
        <v>441</v>
      </c>
      <c r="N2825" t="inlineStr">
        <is>
          <t>Xenopus laevis</t>
        </is>
      </c>
      <c r="O2825" t="inlineStr">
        <is>
          <t>MGC82982 protein</t>
        </is>
      </c>
    </row>
    <row r="2826">
      <c r="A2826" t="inlineStr"/>
      <c r="B2826" t="inlineStr"/>
      <c r="C2826" t="inlineStr"/>
      <c r="D2826" t="inlineStr"/>
      <c r="E2826">
        <f>HYPERLINK("https://www.uniprot.org/uniprotkb/A0A8C5LYI8/entry", "A0A8C5LYI8")</f>
        <v/>
      </c>
      <c r="F2826" t="n">
        <v>38.8</v>
      </c>
      <c r="G2826" t="n">
        <v>309</v>
      </c>
      <c r="H2826" t="n">
        <v>4.26e-63</v>
      </c>
      <c r="I2826" t="inlineStr">
        <is>
          <t>TrEMBL</t>
        </is>
      </c>
      <c r="J2826" t="inlineStr"/>
      <c r="K2826" t="inlineStr">
        <is>
          <t>A0A8C5LYI8_9ANUR</t>
        </is>
      </c>
      <c r="L2826" t="inlineStr">
        <is>
          <t>tr|A0A8C5LYI8|A0A8C5LYI8_9ANUR Reverse transcriptase domain-containing protein OS=Leptobrachium leishanense OX=445787 PE=4 SV=1</t>
        </is>
      </c>
      <c r="M2826" t="n">
        <v>1277</v>
      </c>
      <c r="N2826" t="inlineStr">
        <is>
          <t>Leptobrachium leishanense</t>
        </is>
      </c>
      <c r="O2826" t="inlineStr">
        <is>
          <t>Reverse transcriptase domain-containing protein</t>
        </is>
      </c>
    </row>
    <row r="2827">
      <c r="A2827" t="inlineStr"/>
      <c r="B2827" t="inlineStr"/>
      <c r="C2827" t="inlineStr"/>
      <c r="D2827" t="inlineStr"/>
      <c r="E2827">
        <f>HYPERLINK("https://www.ncbi.nlm.nih.gov/gene/?term=NP_001085982.1", "NP_001085982.1")</f>
        <v/>
      </c>
      <c r="F2827" t="n">
        <v>35.6</v>
      </c>
      <c r="G2827" t="n">
        <v>312</v>
      </c>
      <c r="H2827" t="n">
        <v>9.12e-63</v>
      </c>
      <c r="I2827" t="inlineStr">
        <is>
          <t>Nr</t>
        </is>
      </c>
      <c r="J2827" t="inlineStr"/>
      <c r="K2827" t="inlineStr"/>
      <c r="L2827" t="inlineStr">
        <is>
          <t>NP_001085982.1 uncharacterized protein LOC444411 [Xenopus laevis]</t>
        </is>
      </c>
      <c r="M2827" t="n">
        <v>441</v>
      </c>
      <c r="N2827" t="inlineStr">
        <is>
          <t>Xenopus laevis</t>
        </is>
      </c>
      <c r="O2827" t="inlineStr">
        <is>
          <t>uncharacterized protein LOC444411</t>
        </is>
      </c>
    </row>
    <row r="2828">
      <c r="A2828" t="inlineStr"/>
      <c r="B2828" t="inlineStr"/>
      <c r="C2828" t="inlineStr"/>
      <c r="D2828" t="inlineStr"/>
      <c r="E2828">
        <f>HYPERLINK("https://www.uniprot.org/uniprotkb/A0A8C5QS68/entry", "A0A8C5QS68")</f>
        <v/>
      </c>
      <c r="F2828" t="n">
        <v>38.2</v>
      </c>
      <c r="G2828" t="n">
        <v>309</v>
      </c>
      <c r="H2828" t="n">
        <v>1.08e-62</v>
      </c>
      <c r="I2828" t="inlineStr">
        <is>
          <t>TrEMBL</t>
        </is>
      </c>
      <c r="J2828" t="inlineStr"/>
      <c r="K2828" t="inlineStr">
        <is>
          <t>A0A8C5QS68_9ANUR</t>
        </is>
      </c>
      <c r="L2828" t="inlineStr">
        <is>
          <t>tr|A0A8C5QS68|A0A8C5QS68_9ANUR Reverse transcriptase domain-containing protein OS=Leptobrachium leishanense OX=445787 PE=4 SV=1</t>
        </is>
      </c>
      <c r="M2828" t="n">
        <v>1277</v>
      </c>
      <c r="N2828" t="inlineStr">
        <is>
          <t>Leptobrachium leishanense</t>
        </is>
      </c>
      <c r="O2828" t="inlineStr">
        <is>
          <t>Reverse transcriptase domain-containing protein</t>
        </is>
      </c>
    </row>
    <row r="2829">
      <c r="A2829" t="inlineStr"/>
      <c r="B2829" t="inlineStr"/>
      <c r="C2829" t="inlineStr"/>
      <c r="D2829" t="inlineStr"/>
      <c r="E2829">
        <f>HYPERLINK("https://www.uniprot.org/uniprotkb/A0A8C5MDW0/entry", "A0A8C5MDW0")</f>
        <v/>
      </c>
      <c r="F2829" t="n">
        <v>36.6</v>
      </c>
      <c r="G2829" t="n">
        <v>306</v>
      </c>
      <c r="H2829" t="n">
        <v>1.18e-62</v>
      </c>
      <c r="I2829" t="inlineStr">
        <is>
          <t>TrEMBL</t>
        </is>
      </c>
      <c r="J2829" t="inlineStr"/>
      <c r="K2829" t="inlineStr">
        <is>
          <t>A0A8C5MDW0_9ANUR</t>
        </is>
      </c>
      <c r="L2829" t="inlineStr">
        <is>
          <t>tr|A0A8C5MDW0|A0A8C5MDW0_9ANUR Reverse transcriptase domain-containing protein OS=Leptobrachium leishanense OX=445787 PE=4 SV=1</t>
        </is>
      </c>
      <c r="M2829" t="n">
        <v>721</v>
      </c>
      <c r="N2829" t="inlineStr">
        <is>
          <t>Leptobrachium leishanense</t>
        </is>
      </c>
      <c r="O2829" t="inlineStr">
        <is>
          <t>Reverse transcriptase domain-containing protein</t>
        </is>
      </c>
    </row>
    <row r="2830">
      <c r="A2830" t="inlineStr"/>
      <c r="B2830" t="inlineStr"/>
      <c r="C2830" t="inlineStr"/>
      <c r="D2830" t="inlineStr"/>
      <c r="E2830">
        <f>HYPERLINK("https://www.ncbi.nlm.nih.gov/gene/?term=XP_018410174.1", "XP_018410174.1")</f>
        <v/>
      </c>
      <c r="F2830" t="n">
        <v>36.3</v>
      </c>
      <c r="G2830" t="n">
        <v>361</v>
      </c>
      <c r="H2830" t="n">
        <v>1.82e-62</v>
      </c>
      <c r="I2830" t="inlineStr">
        <is>
          <t>Nr</t>
        </is>
      </c>
      <c r="J2830" t="inlineStr"/>
      <c r="K2830" t="inlineStr"/>
      <c r="L2830" t="inlineStr">
        <is>
          <t>XP_018410174.1 PREDICTED: poly [ADP-ribose] polymerase 4-like [Nanorana parkeri]</t>
        </is>
      </c>
      <c r="M2830" t="n">
        <v>1730</v>
      </c>
      <c r="N2830" t="inlineStr">
        <is>
          <t>Nanorana parkeri</t>
        </is>
      </c>
      <c r="O2830" t="inlineStr">
        <is>
          <t>PREDICTED: poly</t>
        </is>
      </c>
    </row>
    <row r="2831">
      <c r="A2831" t="inlineStr"/>
      <c r="B2831" t="inlineStr"/>
      <c r="C2831" t="inlineStr"/>
      <c r="D2831" t="inlineStr"/>
      <c r="E2831">
        <f>HYPERLINK("https://www.uniprot.org/uniprotkb/A0A8C5Q5I1/entry", "A0A8C5Q5I1")</f>
        <v/>
      </c>
      <c r="F2831" t="n">
        <v>38.1</v>
      </c>
      <c r="G2831" t="n">
        <v>310</v>
      </c>
      <c r="H2831" t="n">
        <v>3.34e-62</v>
      </c>
      <c r="I2831" t="inlineStr">
        <is>
          <t>TrEMBL</t>
        </is>
      </c>
      <c r="J2831" t="inlineStr"/>
      <c r="K2831" t="inlineStr">
        <is>
          <t>A0A8C5Q5I1_9ANUR</t>
        </is>
      </c>
      <c r="L2831" t="inlineStr">
        <is>
          <t>tr|A0A8C5Q5I1|A0A8C5Q5I1_9ANUR Endo/exonuclease/phosphatase domain-containing protein OS=Leptobrachium leishanense OX=445787 PE=4 SV=1</t>
        </is>
      </c>
      <c r="M2831" t="n">
        <v>320</v>
      </c>
      <c r="N2831" t="inlineStr">
        <is>
          <t>Leptobrachium leishanense</t>
        </is>
      </c>
      <c r="O2831" t="inlineStr">
        <is>
          <t>Endo/exonuclease/phosphatase domain-containing protein</t>
        </is>
      </c>
    </row>
    <row r="2832">
      <c r="A2832" t="inlineStr"/>
      <c r="B2832" t="inlineStr"/>
      <c r="C2832" t="inlineStr"/>
      <c r="D2832" t="inlineStr"/>
      <c r="E2832">
        <f>HYPERLINK("https://www.uniprot.org/uniprotkb/A0A803K064/entry", "A0A803K064")</f>
        <v/>
      </c>
      <c r="F2832" t="n">
        <v>35</v>
      </c>
      <c r="G2832" t="n">
        <v>317</v>
      </c>
      <c r="H2832" t="n">
        <v>6.05e-62</v>
      </c>
      <c r="I2832" t="inlineStr">
        <is>
          <t>TrEMBL</t>
        </is>
      </c>
      <c r="J2832" t="inlineStr"/>
      <c r="K2832" t="inlineStr">
        <is>
          <t>A0A803K064_XENTR</t>
        </is>
      </c>
      <c r="L2832" t="inlineStr">
        <is>
          <t>tr|A0A803K064|A0A803K064_XENTR Endo/exonuclease/phosphatase domain-containing protein OS=Xenopus tropicalis OX=8364 PE=4 SV=1</t>
        </is>
      </c>
      <c r="M2832" t="n">
        <v>445</v>
      </c>
      <c r="N2832" t="inlineStr">
        <is>
          <t>Xenopus tropicalis</t>
        </is>
      </c>
      <c r="O2832" t="inlineStr">
        <is>
          <t>Endo/exonuclease/phosphatase domain-containing protein</t>
        </is>
      </c>
    </row>
    <row r="2833">
      <c r="A2833" t="inlineStr"/>
      <c r="B2833" t="inlineStr"/>
      <c r="C2833" t="inlineStr"/>
      <c r="D2833" t="inlineStr"/>
      <c r="E2833">
        <f>HYPERLINK("https://www.ncbi.nlm.nih.gov/gene/?term=OCT93828.1", "OCT93828.1")</f>
        <v/>
      </c>
      <c r="F2833" t="n">
        <v>34.4</v>
      </c>
      <c r="G2833" t="n">
        <v>343</v>
      </c>
      <c r="H2833" t="n">
        <v>2.3e-61</v>
      </c>
      <c r="I2833" t="inlineStr">
        <is>
          <t>Nr</t>
        </is>
      </c>
      <c r="J2833" t="inlineStr"/>
      <c r="K2833" t="inlineStr"/>
      <c r="L2833" t="inlineStr">
        <is>
          <t>OCT93828.1 hypothetical protein XELAEV_18011499mg [Xenopus laevis]</t>
        </is>
      </c>
      <c r="M2833" t="n">
        <v>2634</v>
      </c>
      <c r="N2833" t="inlineStr">
        <is>
          <t>Xenopus laevis</t>
        </is>
      </c>
      <c r="O2833" t="inlineStr">
        <is>
          <t>hypothetical protein XELAEV_18011499mg</t>
        </is>
      </c>
    </row>
    <row r="2834">
      <c r="A2834" t="inlineStr"/>
      <c r="B2834" t="inlineStr"/>
      <c r="C2834" t="inlineStr"/>
      <c r="D2834" t="inlineStr"/>
      <c r="E2834">
        <f>HYPERLINK("https://www.uniprot.org/uniprotkb/A0A8C5N0D4/entry", "A0A8C5N0D4")</f>
        <v/>
      </c>
      <c r="F2834" t="n">
        <v>38.1</v>
      </c>
      <c r="G2834" t="n">
        <v>312</v>
      </c>
      <c r="H2834" t="n">
        <v>4.14e-61</v>
      </c>
      <c r="I2834" t="inlineStr">
        <is>
          <t>TrEMBL</t>
        </is>
      </c>
      <c r="J2834" t="inlineStr"/>
      <c r="K2834" t="inlineStr">
        <is>
          <t>A0A8C5N0D4_9ANUR</t>
        </is>
      </c>
      <c r="L2834" t="inlineStr">
        <is>
          <t>tr|A0A8C5N0D4|A0A8C5N0D4_9ANUR Reverse transcriptase domain-containing protein OS=Leptobrachium leishanense OX=445787 PE=4 SV=1</t>
        </is>
      </c>
      <c r="M2834" t="n">
        <v>652</v>
      </c>
      <c r="N2834" t="inlineStr">
        <is>
          <t>Leptobrachium leishanense</t>
        </is>
      </c>
      <c r="O2834" t="inlineStr">
        <is>
          <t>Reverse transcriptase domain-containing protein</t>
        </is>
      </c>
    </row>
    <row r="2835">
      <c r="A2835" t="inlineStr"/>
      <c r="B2835" t="inlineStr"/>
      <c r="C2835" t="inlineStr"/>
      <c r="D2835" t="inlineStr"/>
      <c r="E2835">
        <f>HYPERLINK("https://www.ncbi.nlm.nih.gov/gene/?term=KAI2644800.1", "KAI2644800.1")</f>
        <v/>
      </c>
      <c r="F2835" t="n">
        <v>36</v>
      </c>
      <c r="G2835" t="n">
        <v>364</v>
      </c>
      <c r="H2835" t="n">
        <v>4.52e-61</v>
      </c>
      <c r="I2835" t="inlineStr">
        <is>
          <t>Nr</t>
        </is>
      </c>
      <c r="J2835" t="inlineStr"/>
      <c r="K2835" t="inlineStr"/>
      <c r="L2835" t="inlineStr">
        <is>
          <t>KAI2644800.1 LINE-1 retrotransposable element ORF2 protein [Labeo rohita]</t>
        </is>
      </c>
      <c r="M2835" t="n">
        <v>619</v>
      </c>
      <c r="N2835" t="inlineStr">
        <is>
          <t>Labeo rohita</t>
        </is>
      </c>
      <c r="O2835" t="inlineStr">
        <is>
          <t>LINE-1 retrotransposable element ORF2 protein</t>
        </is>
      </c>
    </row>
    <row r="2836">
      <c r="A2836" t="inlineStr"/>
      <c r="B2836" t="inlineStr"/>
      <c r="C2836" t="inlineStr"/>
      <c r="D2836" t="inlineStr"/>
      <c r="E2836">
        <f>HYPERLINK("https://www.ncbi.nlm.nih.gov/gene/?term=XP_044141482.1", "XP_044141482.1")</f>
        <v/>
      </c>
      <c r="F2836" t="n">
        <v>32</v>
      </c>
      <c r="G2836" t="n">
        <v>431</v>
      </c>
      <c r="H2836" t="n">
        <v>2.43e-60</v>
      </c>
      <c r="I2836" t="inlineStr">
        <is>
          <t>Nr</t>
        </is>
      </c>
      <c r="J2836" t="inlineStr"/>
      <c r="K2836" t="inlineStr"/>
      <c r="L2836" t="inlineStr">
        <is>
          <t>XP_044141482.1 uncharacterized protein LOC122931482 [Bufo gargarizans]</t>
        </is>
      </c>
      <c r="M2836" t="n">
        <v>1888</v>
      </c>
      <c r="N2836" t="inlineStr">
        <is>
          <t>Bufo gargarizans</t>
        </is>
      </c>
      <c r="O2836" t="inlineStr">
        <is>
          <t>uncharacterized protein LOC122931482</t>
        </is>
      </c>
    </row>
    <row r="2837">
      <c r="A2837" t="inlineStr"/>
      <c r="B2837" t="inlineStr"/>
      <c r="C2837" t="inlineStr"/>
      <c r="D2837" t="inlineStr"/>
      <c r="E2837">
        <f>HYPERLINK("https://www.uniprot.org/uniprotkb/A0A8C5QGL8/entry", "A0A8C5QGL8")</f>
        <v/>
      </c>
      <c r="F2837" t="n">
        <v>37.1</v>
      </c>
      <c r="G2837" t="n">
        <v>310</v>
      </c>
      <c r="H2837" t="n">
        <v>1.46e-59</v>
      </c>
      <c r="I2837" t="inlineStr">
        <is>
          <t>TrEMBL</t>
        </is>
      </c>
      <c r="J2837" t="inlineStr"/>
      <c r="K2837" t="inlineStr">
        <is>
          <t>A0A8C5QGL8_9ANUR</t>
        </is>
      </c>
      <c r="L2837" t="inlineStr">
        <is>
          <t>tr|A0A8C5QGL8|A0A8C5QGL8_9ANUR Endo/exonuclease/phosphatase domain-containing protein OS=Leptobrachium leishanense OX=445787 PE=4 SV=1</t>
        </is>
      </c>
      <c r="M2837" t="n">
        <v>340</v>
      </c>
      <c r="N2837" t="inlineStr">
        <is>
          <t>Leptobrachium leishanense</t>
        </is>
      </c>
      <c r="O2837" t="inlineStr">
        <is>
          <t>Endo/exonuclease/phosphatase domain-containing protein</t>
        </is>
      </c>
    </row>
    <row r="2838">
      <c r="A2838" t="inlineStr"/>
      <c r="B2838" t="inlineStr"/>
      <c r="C2838" t="inlineStr"/>
      <c r="D2838" t="inlineStr"/>
      <c r="E2838">
        <f>HYPERLINK("https://www.uniprot.org/uniprotkb/A0A8C5MW43/entry", "A0A8C5MW43")</f>
        <v/>
      </c>
      <c r="F2838" t="n">
        <v>38.8</v>
      </c>
      <c r="G2838" t="n">
        <v>299</v>
      </c>
      <c r="H2838" t="n">
        <v>1.78e-59</v>
      </c>
      <c r="I2838" t="inlineStr">
        <is>
          <t>TrEMBL</t>
        </is>
      </c>
      <c r="J2838" t="inlineStr"/>
      <c r="K2838" t="inlineStr">
        <is>
          <t>A0A8C5MW43_9ANUR</t>
        </is>
      </c>
      <c r="L2838" t="inlineStr">
        <is>
          <t>tr|A0A8C5MW43|A0A8C5MW43_9ANUR Reverse transcriptase domain-containing protein OS=Leptobrachium leishanense OX=445787 PE=4 SV=1</t>
        </is>
      </c>
      <c r="M2838" t="n">
        <v>1005</v>
      </c>
      <c r="N2838" t="inlineStr">
        <is>
          <t>Leptobrachium leishanense</t>
        </is>
      </c>
      <c r="O2838" t="inlineStr">
        <is>
          <t>Reverse transcriptase domain-containing protein</t>
        </is>
      </c>
    </row>
    <row r="2839">
      <c r="A2839" t="inlineStr"/>
      <c r="B2839" t="inlineStr"/>
      <c r="C2839" t="inlineStr"/>
      <c r="D2839" t="inlineStr"/>
      <c r="E2839">
        <f>HYPERLINK("https://www.uniprot.org/uniprotkb/A0A8C5MXH9/entry", "A0A8C5MXH9")</f>
        <v/>
      </c>
      <c r="F2839" t="n">
        <v>36.8</v>
      </c>
      <c r="G2839" t="n">
        <v>310</v>
      </c>
      <c r="H2839" t="n">
        <v>2.21e-59</v>
      </c>
      <c r="I2839" t="inlineStr">
        <is>
          <t>TrEMBL</t>
        </is>
      </c>
      <c r="J2839" t="inlineStr"/>
      <c r="K2839" t="inlineStr">
        <is>
          <t>A0A8C5MXH9_9ANUR</t>
        </is>
      </c>
      <c r="L2839" t="inlineStr">
        <is>
          <t>tr|A0A8C5MXH9|A0A8C5MXH9_9ANUR Endo/exonuclease/phosphatase domain-containing protein OS=Leptobrachium leishanense OX=445787 PE=4 SV=1</t>
        </is>
      </c>
      <c r="M2839" t="n">
        <v>449</v>
      </c>
      <c r="N2839" t="inlineStr">
        <is>
          <t>Leptobrachium leishanense</t>
        </is>
      </c>
      <c r="O2839" t="inlineStr">
        <is>
          <t>Endo/exonuclease/phosphatase domain-containing protein</t>
        </is>
      </c>
    </row>
    <row r="2840">
      <c r="A2840" t="inlineStr"/>
      <c r="B2840" t="inlineStr"/>
      <c r="C2840" t="inlineStr"/>
      <c r="D2840" t="inlineStr"/>
      <c r="E2840">
        <f>HYPERLINK("https://www.uniprot.org/uniprotkb/A0A8C5PRI9/entry", "A0A8C5PRI9")</f>
        <v/>
      </c>
      <c r="F2840" t="n">
        <v>38.1</v>
      </c>
      <c r="G2840" t="n">
        <v>312</v>
      </c>
      <c r="H2840" t="n">
        <v>3.36e-59</v>
      </c>
      <c r="I2840" t="inlineStr">
        <is>
          <t>TrEMBL</t>
        </is>
      </c>
      <c r="J2840" t="inlineStr"/>
      <c r="K2840" t="inlineStr">
        <is>
          <t>A0A8C5PRI9_9ANUR</t>
        </is>
      </c>
      <c r="L2840" t="inlineStr">
        <is>
          <t>tr|A0A8C5PRI9|A0A8C5PRI9_9ANUR Reverse transcriptase domain-containing protein OS=Leptobrachium leishanense OX=445787 PE=4 SV=1</t>
        </is>
      </c>
      <c r="M2840" t="n">
        <v>1287</v>
      </c>
      <c r="N2840" t="inlineStr">
        <is>
          <t>Leptobrachium leishanense</t>
        </is>
      </c>
      <c r="O2840" t="inlineStr">
        <is>
          <t>Reverse transcriptase domain-containing protein</t>
        </is>
      </c>
    </row>
    <row r="2841">
      <c r="A2841" t="inlineStr"/>
      <c r="B2841" t="inlineStr"/>
      <c r="C2841" t="inlineStr"/>
      <c r="D2841" t="inlineStr"/>
      <c r="E2841">
        <f>HYPERLINK("https://www.uniprot.org/uniprotkb/A0A8C5MRM1/entry", "A0A8C5MRM1")</f>
        <v/>
      </c>
      <c r="F2841" t="n">
        <v>36.5</v>
      </c>
      <c r="G2841" t="n">
        <v>307</v>
      </c>
      <c r="H2841" t="n">
        <v>5.54e-59</v>
      </c>
      <c r="I2841" t="inlineStr">
        <is>
          <t>TrEMBL</t>
        </is>
      </c>
      <c r="J2841" t="inlineStr"/>
      <c r="K2841" t="inlineStr">
        <is>
          <t>A0A8C5MRM1_9ANUR</t>
        </is>
      </c>
      <c r="L2841" t="inlineStr">
        <is>
          <t>tr|A0A8C5MRM1|A0A8C5MRM1_9ANUR Reverse transcriptase domain-containing protein OS=Leptobrachium leishanense OX=445787 PE=4 SV=1</t>
        </is>
      </c>
      <c r="M2841" t="n">
        <v>817</v>
      </c>
      <c r="N2841" t="inlineStr">
        <is>
          <t>Leptobrachium leishanense</t>
        </is>
      </c>
      <c r="O2841" t="inlineStr">
        <is>
          <t>Reverse transcriptase domain-containing protein</t>
        </is>
      </c>
    </row>
    <row r="2842">
      <c r="A2842" t="inlineStr"/>
      <c r="B2842" t="inlineStr"/>
      <c r="C2842" t="inlineStr"/>
      <c r="D2842" t="inlineStr"/>
      <c r="E2842">
        <f>HYPERLINK("https://www.uniprot.org/uniprotkb/A0A8C5QP65/entry", "A0A8C5QP65")</f>
        <v/>
      </c>
      <c r="F2842" t="n">
        <v>37.7</v>
      </c>
      <c r="G2842" t="n">
        <v>310</v>
      </c>
      <c r="H2842" t="n">
        <v>7.74e-59</v>
      </c>
      <c r="I2842" t="inlineStr">
        <is>
          <t>TrEMBL</t>
        </is>
      </c>
      <c r="J2842" t="inlineStr"/>
      <c r="K2842" t="inlineStr">
        <is>
          <t>A0A8C5QP65_9ANUR</t>
        </is>
      </c>
      <c r="L2842" t="inlineStr">
        <is>
          <t>tr|A0A8C5QP65|A0A8C5QP65_9ANUR Endo/exonuclease/phosphatase domain-containing protein OS=Leptobrachium leishanense OX=445787 PE=4 SV=1</t>
        </is>
      </c>
      <c r="M2842" t="n">
        <v>520</v>
      </c>
      <c r="N2842" t="inlineStr">
        <is>
          <t>Leptobrachium leishanense</t>
        </is>
      </c>
      <c r="O2842" t="inlineStr">
        <is>
          <t>Endo/exonuclease/phosphatase domain-containing protein</t>
        </is>
      </c>
    </row>
    <row r="2843">
      <c r="A2843" t="inlineStr"/>
      <c r="B2843" t="inlineStr"/>
      <c r="C2843" t="inlineStr"/>
      <c r="D2843" t="inlineStr"/>
      <c r="E2843">
        <f>HYPERLINK("https://www.ncbi.nlm.nih.gov/gene/?term=XP_051807528.1", "XP_051807528.1")</f>
        <v/>
      </c>
      <c r="F2843" t="n">
        <v>32.1</v>
      </c>
      <c r="G2843" t="n">
        <v>464</v>
      </c>
      <c r="H2843" t="n">
        <v>8.87e-59</v>
      </c>
      <c r="I2843" t="inlineStr">
        <is>
          <t>Nr</t>
        </is>
      </c>
      <c r="J2843" t="inlineStr"/>
      <c r="K2843" t="inlineStr"/>
      <c r="L2843" t="inlineStr">
        <is>
          <t>XP_051807528.1 LINE-1 retrotransposable element ORF2 protein isoform X1 [Acanthochromis polyacanthus]</t>
        </is>
      </c>
      <c r="M2843" t="n">
        <v>566</v>
      </c>
      <c r="N2843" t="inlineStr">
        <is>
          <t>Acanthochromis polyacanthus</t>
        </is>
      </c>
      <c r="O2843" t="inlineStr">
        <is>
          <t>LINE-1 retrotransposable element ORF2 protein isoform X1</t>
        </is>
      </c>
    </row>
    <row r="2844">
      <c r="A2844" t="inlineStr"/>
      <c r="B2844" t="inlineStr"/>
      <c r="C2844" t="inlineStr"/>
      <c r="D2844" t="inlineStr"/>
      <c r="E2844">
        <f>HYPERLINK("https://www.uniprot.org/uniprotkb/A0A8C5PI59/entry", "A0A8C5PI59")</f>
        <v/>
      </c>
      <c r="F2844" t="n">
        <v>38.1</v>
      </c>
      <c r="G2844" t="n">
        <v>312</v>
      </c>
      <c r="H2844" t="n">
        <v>2.35e-58</v>
      </c>
      <c r="I2844" t="inlineStr">
        <is>
          <t>TrEMBL</t>
        </is>
      </c>
      <c r="J2844" t="inlineStr"/>
      <c r="K2844" t="inlineStr">
        <is>
          <t>A0A8C5PI59_9ANUR</t>
        </is>
      </c>
      <c r="L2844" t="inlineStr">
        <is>
          <t>tr|A0A8C5PI59|A0A8C5PI59_9ANUR Reverse transcriptase domain-containing protein OS=Leptobrachium leishanense OX=445787 PE=4 SV=1</t>
        </is>
      </c>
      <c r="M2844" t="n">
        <v>771</v>
      </c>
      <c r="N2844" t="inlineStr">
        <is>
          <t>Leptobrachium leishanense</t>
        </is>
      </c>
      <c r="O2844" t="inlineStr">
        <is>
          <t>Reverse transcriptase domain-containing protein</t>
        </is>
      </c>
    </row>
    <row r="2845">
      <c r="A2845" t="inlineStr"/>
      <c r="B2845" t="inlineStr"/>
      <c r="C2845" t="inlineStr"/>
      <c r="D2845" t="inlineStr"/>
      <c r="E2845">
        <f>HYPERLINK("https://www.uniprot.org/uniprotkb/A0A803JLL1/entry", "A0A803JLL1")</f>
        <v/>
      </c>
      <c r="F2845" t="n">
        <v>36.4</v>
      </c>
      <c r="G2845" t="n">
        <v>308</v>
      </c>
      <c r="H2845" t="n">
        <v>2.37e-58</v>
      </c>
      <c r="I2845" t="inlineStr">
        <is>
          <t>TrEMBL</t>
        </is>
      </c>
      <c r="J2845" t="inlineStr"/>
      <c r="K2845" t="inlineStr">
        <is>
          <t>A0A803JLL1_XENTR</t>
        </is>
      </c>
      <c r="L2845" t="inlineStr">
        <is>
          <t>tr|A0A803JLL1|A0A803JLL1_XENTR Endo/exonuclease/phosphatase domain-containing protein OS=Xenopus tropicalis OX=8364 PE=4 SV=1</t>
        </is>
      </c>
      <c r="M2845" t="n">
        <v>478</v>
      </c>
      <c r="N2845" t="inlineStr">
        <is>
          <t>Xenopus tropicalis</t>
        </is>
      </c>
      <c r="O2845" t="inlineStr">
        <is>
          <t>Endo/exonuclease/phosphatase domain-containing protein</t>
        </is>
      </c>
    </row>
    <row r="2846">
      <c r="A2846" t="inlineStr"/>
      <c r="B2846" t="inlineStr"/>
      <c r="C2846" t="inlineStr"/>
      <c r="D2846" t="inlineStr"/>
      <c r="E2846">
        <f>HYPERLINK("https://www.uniprot.org/uniprotkb/A0A8C5PI89/entry", "A0A8C5PI89")</f>
        <v/>
      </c>
      <c r="F2846" t="n">
        <v>35.6</v>
      </c>
      <c r="G2846" t="n">
        <v>309</v>
      </c>
      <c r="H2846" t="n">
        <v>2.49e-58</v>
      </c>
      <c r="I2846" t="inlineStr">
        <is>
          <t>TrEMBL</t>
        </is>
      </c>
      <c r="J2846" t="inlineStr"/>
      <c r="K2846" t="inlineStr">
        <is>
          <t>A0A8C5PI89_9ANUR</t>
        </is>
      </c>
      <c r="L2846" t="inlineStr">
        <is>
          <t>tr|A0A8C5PI89|A0A8C5PI89_9ANUR Endo/exonuclease/phosphatase domain-containing protein OS=Leptobrachium leishanense OX=445787 PE=4 SV=1</t>
        </is>
      </c>
      <c r="M2846" t="n">
        <v>544</v>
      </c>
      <c r="N2846" t="inlineStr">
        <is>
          <t>Leptobrachium leishanense</t>
        </is>
      </c>
      <c r="O2846" t="inlineStr">
        <is>
          <t>Endo/exonuclease/phosphatase domain-containing protein</t>
        </is>
      </c>
    </row>
    <row r="2847">
      <c r="A2847" t="inlineStr"/>
      <c r="B2847" t="inlineStr"/>
      <c r="C2847" t="inlineStr"/>
      <c r="D2847" t="inlineStr"/>
      <c r="E2847">
        <f>HYPERLINK("https://www.uniprot.org/uniprotkb/A0A8C5MZE9/entry", "A0A8C5MZE9")</f>
        <v/>
      </c>
      <c r="F2847" t="n">
        <v>36.2</v>
      </c>
      <c r="G2847" t="n">
        <v>307</v>
      </c>
      <c r="H2847" t="n">
        <v>5.86e-58</v>
      </c>
      <c r="I2847" t="inlineStr">
        <is>
          <t>TrEMBL</t>
        </is>
      </c>
      <c r="J2847" t="inlineStr"/>
      <c r="K2847" t="inlineStr">
        <is>
          <t>A0A8C5MZE9_9ANUR</t>
        </is>
      </c>
      <c r="L2847" t="inlineStr">
        <is>
          <t>tr|A0A8C5MZE9|A0A8C5MZE9_9ANUR Endo/exonuclease/phosphatase domain-containing protein OS=Leptobrachium leishanense OX=445787 PE=4 SV=1</t>
        </is>
      </c>
      <c r="M2847" t="n">
        <v>362</v>
      </c>
      <c r="N2847" t="inlineStr">
        <is>
          <t>Leptobrachium leishanense</t>
        </is>
      </c>
      <c r="O2847" t="inlineStr">
        <is>
          <t>Endo/exonuclease/phosphatase domain-containing protein</t>
        </is>
      </c>
    </row>
    <row r="2848">
      <c r="A2848" t="inlineStr"/>
      <c r="B2848" t="inlineStr"/>
      <c r="C2848" t="inlineStr"/>
      <c r="D2848" t="inlineStr"/>
      <c r="E2848">
        <f>HYPERLINK("https://www.uniprot.org/uniprotkb/A0A803K2U2/entry", "A0A803K2U2")</f>
        <v/>
      </c>
      <c r="F2848" t="n">
        <v>36</v>
      </c>
      <c r="G2848" t="n">
        <v>308</v>
      </c>
      <c r="H2848" t="n">
        <v>5.96e-58</v>
      </c>
      <c r="I2848" t="inlineStr">
        <is>
          <t>TrEMBL</t>
        </is>
      </c>
      <c r="J2848" t="inlineStr"/>
      <c r="K2848" t="inlineStr">
        <is>
          <t>A0A803K2U2_XENTR</t>
        </is>
      </c>
      <c r="L2848" t="inlineStr">
        <is>
          <t>tr|A0A803K2U2|A0A803K2U2_XENTR Endo/exonuclease/phosphatase domain-containing protein OS=Xenopus tropicalis OX=8364 PE=4 SV=1</t>
        </is>
      </c>
      <c r="M2848" t="n">
        <v>416</v>
      </c>
      <c r="N2848" t="inlineStr">
        <is>
          <t>Xenopus tropicalis</t>
        </is>
      </c>
      <c r="O2848" t="inlineStr">
        <is>
          <t>Endo/exonuclease/phosphatase domain-containing protein</t>
        </is>
      </c>
    </row>
    <row r="2849">
      <c r="A2849" t="inlineStr"/>
      <c r="B2849" t="inlineStr"/>
      <c r="C2849" t="inlineStr"/>
      <c r="D2849" t="inlineStr"/>
      <c r="E2849">
        <f>HYPERLINK("https://www.uniprot.org/uniprotkb/A0A2G9SJR7/entry", "A0A2G9SJR7")</f>
        <v/>
      </c>
      <c r="F2849" t="n">
        <v>37</v>
      </c>
      <c r="G2849" t="n">
        <v>308</v>
      </c>
      <c r="H2849" t="n">
        <v>7.41e-58</v>
      </c>
      <c r="I2849" t="inlineStr">
        <is>
          <t>TrEMBL</t>
        </is>
      </c>
      <c r="J2849" t="inlineStr">
        <is>
          <t>AB205_0134110</t>
        </is>
      </c>
      <c r="K2849" t="inlineStr">
        <is>
          <t>A0A2G9SJR7_LITCT</t>
        </is>
      </c>
      <c r="L2849" t="inlineStr">
        <is>
          <t>tr|A0A2G9SJR7|A0A2G9SJR7_LITCT Endo/exonuclease/phosphatase domain-containing protein OS=Lithobates catesbeianus OX=8400 GN=AB205_0134110 PE=4 SV=1</t>
        </is>
      </c>
      <c r="M2849" t="n">
        <v>411</v>
      </c>
      <c r="N2849" t="inlineStr">
        <is>
          <t>Lithobates catesbeianus</t>
        </is>
      </c>
      <c r="O2849" t="inlineStr">
        <is>
          <t>Endo/exonuclease/phosphatase domain-containing protein</t>
        </is>
      </c>
    </row>
    <row r="2850">
      <c r="A2850" t="inlineStr"/>
      <c r="B2850" t="inlineStr"/>
      <c r="C2850" t="inlineStr"/>
      <c r="D2850" t="inlineStr"/>
      <c r="E2850">
        <f>HYPERLINK("https://www.ncbi.nlm.nih.gov/gene/?term=PIO40409.1", "PIO40409.1")</f>
        <v/>
      </c>
      <c r="F2850" t="n">
        <v>37</v>
      </c>
      <c r="G2850" t="n">
        <v>308</v>
      </c>
      <c r="H2850" t="n">
        <v>1.9e-57</v>
      </c>
      <c r="I2850" t="inlineStr">
        <is>
          <t>Nr</t>
        </is>
      </c>
      <c r="J2850" t="inlineStr"/>
      <c r="K2850" t="inlineStr"/>
      <c r="L2850" t="inlineStr">
        <is>
          <t>PIO40409.1 hypothetical protein AB205_0134110 [Lithobates catesbeianus]</t>
        </is>
      </c>
      <c r="M2850" t="n">
        <v>411</v>
      </c>
      <c r="N2850" t="inlineStr">
        <is>
          <t>Lithobates catesbeianus</t>
        </is>
      </c>
      <c r="O2850" t="inlineStr">
        <is>
          <t>hypothetical protein AB205_0134110</t>
        </is>
      </c>
    </row>
    <row r="2851">
      <c r="A2851" t="inlineStr"/>
      <c r="B2851" t="inlineStr"/>
      <c r="C2851" t="inlineStr"/>
      <c r="D2851" t="inlineStr"/>
      <c r="E2851">
        <f>HYPERLINK("https://www.ncbi.nlm.nih.gov/gene/?term=CAI5669518.1", "CAI5669518.1")</f>
        <v/>
      </c>
      <c r="F2851" t="n">
        <v>35</v>
      </c>
      <c r="G2851" t="n">
        <v>363</v>
      </c>
      <c r="H2851" t="n">
        <v>4.03e-57</v>
      </c>
      <c r="I2851" t="inlineStr">
        <is>
          <t>Nr</t>
        </is>
      </c>
      <c r="J2851" t="inlineStr"/>
      <c r="K2851" t="inlineStr"/>
      <c r="L2851" t="inlineStr">
        <is>
          <t>CAI5669518.1 unnamed protein product [Mustela putorius furo]</t>
        </is>
      </c>
      <c r="M2851" t="n">
        <v>1266</v>
      </c>
      <c r="N2851" t="inlineStr">
        <is>
          <t>Mustela putorius furo</t>
        </is>
      </c>
      <c r="O2851" t="inlineStr">
        <is>
          <t>unnamed protein product</t>
        </is>
      </c>
    </row>
    <row r="2852">
      <c r="A2852" t="inlineStr"/>
      <c r="B2852" t="inlineStr"/>
      <c r="C2852" t="inlineStr"/>
      <c r="D2852" t="inlineStr"/>
      <c r="E2852">
        <f>HYPERLINK("https://www.ncbi.nlm.nih.gov/gene/?term=XP_040178291.1", "XP_040178291.1")</f>
        <v/>
      </c>
      <c r="F2852" t="n">
        <v>31.4</v>
      </c>
      <c r="G2852" t="n">
        <v>436</v>
      </c>
      <c r="H2852" t="n">
        <v>2.4e-56</v>
      </c>
      <c r="I2852" t="inlineStr">
        <is>
          <t>Nr</t>
        </is>
      </c>
      <c r="J2852" t="inlineStr"/>
      <c r="K2852" t="inlineStr"/>
      <c r="L2852" t="inlineStr">
        <is>
          <t>XP_040178291.1 uncharacterized protein LOC120910599, partial [Rana temporaria]</t>
        </is>
      </c>
      <c r="M2852" t="n">
        <v>2918</v>
      </c>
      <c r="N2852" t="inlineStr">
        <is>
          <t>Rana temporaria</t>
        </is>
      </c>
      <c r="O2852" t="inlineStr">
        <is>
          <t>uncharacterized protein LOC120910599, partial</t>
        </is>
      </c>
    </row>
    <row r="2853">
      <c r="A2853" t="inlineStr"/>
      <c r="B2853" t="inlineStr"/>
      <c r="C2853" t="inlineStr"/>
      <c r="D2853" t="inlineStr"/>
      <c r="E2853">
        <f>HYPERLINK("https://www.ncbi.nlm.nih.gov/gene/?term=XP_041436982.1", "XP_041436982.1")</f>
        <v/>
      </c>
      <c r="F2853" t="n">
        <v>34.8</v>
      </c>
      <c r="G2853" t="n">
        <v>359</v>
      </c>
      <c r="H2853" t="n">
        <v>2.41e-56</v>
      </c>
      <c r="I2853" t="inlineStr">
        <is>
          <t>Nr</t>
        </is>
      </c>
      <c r="J2853" t="inlineStr"/>
      <c r="K2853" t="inlineStr"/>
      <c r="L2853" t="inlineStr">
        <is>
          <t>XP_041436982.1 TRAF3 interacting protein 2 L homeolog isoform X1 [Xenopus laevis]</t>
        </is>
      </c>
      <c r="M2853" t="n">
        <v>946</v>
      </c>
      <c r="N2853" t="inlineStr">
        <is>
          <t>Xenopus laevis</t>
        </is>
      </c>
      <c r="O2853" t="inlineStr">
        <is>
          <t>TRAF3 interacting protein 2 L homeolog isoform X1</t>
        </is>
      </c>
    </row>
    <row r="2854">
      <c r="A2854" t="inlineStr"/>
      <c r="B2854" t="inlineStr"/>
      <c r="C2854" t="inlineStr"/>
      <c r="D2854" t="inlineStr"/>
      <c r="E2854">
        <f>HYPERLINK("https://www.ncbi.nlm.nih.gov/gene/?term=XP_044151381.1", "XP_044151381.1")</f>
        <v/>
      </c>
      <c r="F2854" t="n">
        <v>37.5</v>
      </c>
      <c r="G2854" t="n">
        <v>307</v>
      </c>
      <c r="H2854" t="n">
        <v>7.750000000000001e-56</v>
      </c>
      <c r="I2854" t="inlineStr">
        <is>
          <t>Nr</t>
        </is>
      </c>
      <c r="J2854" t="inlineStr"/>
      <c r="K2854" t="inlineStr"/>
      <c r="L2854" t="inlineStr">
        <is>
          <t>XP_044151381.1 transmembrane channel-like protein 2 [Bufo gargarizans]</t>
        </is>
      </c>
      <c r="M2854" t="n">
        <v>1358</v>
      </c>
      <c r="N2854" t="inlineStr">
        <is>
          <t>Bufo gargarizans</t>
        </is>
      </c>
      <c r="O2854" t="inlineStr">
        <is>
          <t>transmembrane channel-like protein 2</t>
        </is>
      </c>
    </row>
    <row r="2855">
      <c r="A2855" t="inlineStr"/>
      <c r="B2855" t="inlineStr"/>
      <c r="C2855" t="inlineStr"/>
      <c r="D2855" t="inlineStr"/>
      <c r="E2855">
        <f>HYPERLINK("https://www.ncbi.nlm.nih.gov/gene/?term=OCT62698.1", "OCT62698.1")</f>
        <v/>
      </c>
      <c r="F2855" t="n">
        <v>35.9</v>
      </c>
      <c r="G2855" t="n">
        <v>306</v>
      </c>
      <c r="H2855" t="n">
        <v>1.78e-55</v>
      </c>
      <c r="I2855" t="inlineStr">
        <is>
          <t>Nr</t>
        </is>
      </c>
      <c r="J2855" t="inlineStr"/>
      <c r="K2855" t="inlineStr"/>
      <c r="L2855" t="inlineStr">
        <is>
          <t>OCT62698.1 hypothetical protein XELAEV_18043786mg [Xenopus laevis]</t>
        </is>
      </c>
      <c r="M2855" t="n">
        <v>361</v>
      </c>
      <c r="N2855" t="inlineStr">
        <is>
          <t>Xenopus laevis</t>
        </is>
      </c>
      <c r="O2855" t="inlineStr">
        <is>
          <t>hypothetical protein XELAEV_18043786mg</t>
        </is>
      </c>
    </row>
    <row r="2856">
      <c r="A2856" t="inlineStr"/>
      <c r="B2856" t="inlineStr"/>
      <c r="C2856" t="inlineStr"/>
      <c r="D2856" t="inlineStr"/>
      <c r="E2856">
        <f>HYPERLINK("https://www.ncbi.nlm.nih.gov/gene/?term=KAJ0009658.1", "KAJ0009658.1")</f>
        <v/>
      </c>
      <c r="F2856" t="n">
        <v>32.1</v>
      </c>
      <c r="G2856" t="n">
        <v>449</v>
      </c>
      <c r="H2856" t="n">
        <v>2.93e-54</v>
      </c>
      <c r="I2856" t="inlineStr">
        <is>
          <t>Nr</t>
        </is>
      </c>
      <c r="J2856" t="inlineStr"/>
      <c r="K2856" t="inlineStr"/>
      <c r="L2856" t="inlineStr">
        <is>
          <t>KAJ0009658.1 hypothetical protein NQD34_001360 [Periophthalmus magnuspinnatus]</t>
        </is>
      </c>
      <c r="M2856" t="n">
        <v>591</v>
      </c>
      <c r="N2856" t="inlineStr">
        <is>
          <t>Periophthalmus magnuspinnatus</t>
        </is>
      </c>
      <c r="O2856" t="inlineStr">
        <is>
          <t>hypothetical protein NQD34_001360</t>
        </is>
      </c>
    </row>
    <row r="2857">
      <c r="A2857" t="inlineStr"/>
      <c r="B2857" t="inlineStr"/>
      <c r="C2857" t="inlineStr"/>
      <c r="D2857" t="inlineStr"/>
      <c r="E2857">
        <f>HYPERLINK("https://www.ncbi.nlm.nih.gov/gene/?term=OCT99674.1", "OCT99674.1")</f>
        <v/>
      </c>
      <c r="F2857" t="n">
        <v>36.1</v>
      </c>
      <c r="G2857" t="n">
        <v>305</v>
      </c>
      <c r="H2857" t="n">
        <v>7.839999999999999e-54</v>
      </c>
      <c r="I2857" t="inlineStr">
        <is>
          <t>Nr</t>
        </is>
      </c>
      <c r="J2857" t="inlineStr"/>
      <c r="K2857" t="inlineStr"/>
      <c r="L2857" t="inlineStr">
        <is>
          <t>OCT99674.1 hypothetical protein XELAEV_18005457mg [Xenopus laevis]</t>
        </is>
      </c>
      <c r="M2857" t="n">
        <v>431</v>
      </c>
      <c r="N2857" t="inlineStr">
        <is>
          <t>Xenopus laevis</t>
        </is>
      </c>
      <c r="O2857" t="inlineStr">
        <is>
          <t>hypothetical protein XELAEV_18005457mg</t>
        </is>
      </c>
    </row>
    <row r="2858">
      <c r="A2858" t="inlineStr"/>
      <c r="B2858" t="inlineStr"/>
      <c r="C2858" t="inlineStr"/>
      <c r="D2858" t="inlineStr"/>
      <c r="E2858">
        <f>HYPERLINK("https://www.ncbi.nlm.nih.gov/gene/?term=KAJ0001769.1", "KAJ0001769.1")</f>
        <v/>
      </c>
      <c r="F2858" t="n">
        <v>31.8</v>
      </c>
      <c r="G2858" t="n">
        <v>465</v>
      </c>
      <c r="H2858" t="n">
        <v>8.03e-54</v>
      </c>
      <c r="I2858" t="inlineStr">
        <is>
          <t>Nr</t>
        </is>
      </c>
      <c r="J2858" t="inlineStr"/>
      <c r="K2858" t="inlineStr"/>
      <c r="L2858" t="inlineStr">
        <is>
          <t>KAJ0001769.1 hypothetical protein NQD34_001565 [Periophthalmus magnuspinnatus]</t>
        </is>
      </c>
      <c r="M2858" t="n">
        <v>1263</v>
      </c>
      <c r="N2858" t="inlineStr">
        <is>
          <t>Periophthalmus magnuspinnatus</t>
        </is>
      </c>
      <c r="O2858" t="inlineStr">
        <is>
          <t>hypothetical protein NQD34_001565</t>
        </is>
      </c>
    </row>
    <row r="2859">
      <c r="A2859" t="inlineStr"/>
      <c r="B2859" t="inlineStr"/>
      <c r="C2859" t="inlineStr"/>
      <c r="D2859" t="inlineStr"/>
      <c r="E2859">
        <f>HYPERLINK("https://www.ncbi.nlm.nih.gov/gene/?term=MBN3294582.1", "MBN3294582.1")</f>
        <v/>
      </c>
      <c r="F2859" t="n">
        <v>31.4</v>
      </c>
      <c r="G2859" t="n">
        <v>462</v>
      </c>
      <c r="H2859" t="n">
        <v>9.619999999999999e-54</v>
      </c>
      <c r="I2859" t="inlineStr">
        <is>
          <t>Nr</t>
        </is>
      </c>
      <c r="J2859" t="inlineStr"/>
      <c r="K2859" t="inlineStr"/>
      <c r="L2859" t="inlineStr">
        <is>
          <t>MBN3294582.1 LORF2 protein [Polypterus senegalus]</t>
        </is>
      </c>
      <c r="M2859" t="n">
        <v>1143</v>
      </c>
      <c r="N2859" t="inlineStr">
        <is>
          <t>Polypterus senegalus</t>
        </is>
      </c>
      <c r="O2859" t="inlineStr">
        <is>
          <t>LORF2 protein</t>
        </is>
      </c>
    </row>
    <row r="2860">
      <c r="A2860" t="inlineStr"/>
      <c r="B2860" t="inlineStr"/>
      <c r="C2860" t="inlineStr"/>
      <c r="D2860" t="inlineStr"/>
      <c r="E2860">
        <f>HYPERLINK("https://www.ncbi.nlm.nih.gov/gene/?term=OCT72159.1", "OCT72159.1")</f>
        <v/>
      </c>
      <c r="F2860" t="n">
        <v>36.6</v>
      </c>
      <c r="G2860" t="n">
        <v>314</v>
      </c>
      <c r="H2860" t="n">
        <v>1.98e-53</v>
      </c>
      <c r="I2860" t="inlineStr">
        <is>
          <t>Nr</t>
        </is>
      </c>
      <c r="J2860" t="inlineStr"/>
      <c r="K2860" t="inlineStr"/>
      <c r="L2860" t="inlineStr">
        <is>
          <t>OCT72159.1 hypothetical protein XELAEV_18035126mg [Xenopus laevis]</t>
        </is>
      </c>
      <c r="M2860" t="n">
        <v>371</v>
      </c>
      <c r="N2860" t="inlineStr">
        <is>
          <t>Xenopus laevis</t>
        </is>
      </c>
      <c r="O2860" t="inlineStr">
        <is>
          <t>hypothetical protein XELAEV_18035126mg</t>
        </is>
      </c>
    </row>
    <row r="2861">
      <c r="A2861" t="inlineStr"/>
      <c r="B2861" t="inlineStr"/>
      <c r="C2861" t="inlineStr"/>
      <c r="D2861" t="inlineStr"/>
      <c r="E2861">
        <f>HYPERLINK("https://www.ncbi.nlm.nih.gov/gene/?term=XP_051711457.1", "XP_051711457.1")</f>
        <v/>
      </c>
      <c r="F2861" t="n">
        <v>32.6</v>
      </c>
      <c r="G2861" t="n">
        <v>331</v>
      </c>
      <c r="H2861" t="n">
        <v>1.1e-52</v>
      </c>
      <c r="I2861" t="inlineStr">
        <is>
          <t>Nr</t>
        </is>
      </c>
      <c r="J2861" t="inlineStr"/>
      <c r="K2861" t="inlineStr"/>
      <c r="L2861" t="inlineStr">
        <is>
          <t>XP_051711457.1 E3 ubiquitin-protein ligase E3D isoform X1 [Oryctolagus cuniculus]</t>
        </is>
      </c>
      <c r="M2861" t="n">
        <v>415</v>
      </c>
      <c r="N2861" t="inlineStr">
        <is>
          <t>Oryctolagus cuniculus</t>
        </is>
      </c>
      <c r="O2861" t="inlineStr">
        <is>
          <t>E3 ubiquitin-protein ligase E3D isoform X1</t>
        </is>
      </c>
    </row>
    <row r="2862">
      <c r="A2862" t="inlineStr"/>
      <c r="B2862" t="inlineStr"/>
      <c r="C2862" t="inlineStr"/>
      <c r="D2862" t="inlineStr"/>
      <c r="E2862">
        <f>HYPERLINK("https://www.ncbi.nlm.nih.gov/gene/?term=KAI4789494.1", "KAI4789494.1")</f>
        <v/>
      </c>
      <c r="F2862" t="n">
        <v>33.1</v>
      </c>
      <c r="G2862" t="n">
        <v>363</v>
      </c>
      <c r="H2862" t="n">
        <v>1.96e-52</v>
      </c>
      <c r="I2862" t="inlineStr">
        <is>
          <t>Nr</t>
        </is>
      </c>
      <c r="J2862" t="inlineStr"/>
      <c r="K2862" t="inlineStr"/>
      <c r="L2862" t="inlineStr">
        <is>
          <t>KAI4789494.1 hypothetical protein KUCAC02_035207 [Chaenocephalus aceratus]</t>
        </is>
      </c>
      <c r="M2862" t="n">
        <v>1002</v>
      </c>
      <c r="N2862" t="inlineStr">
        <is>
          <t>Chaenocephalus aceratus</t>
        </is>
      </c>
      <c r="O2862" t="inlineStr">
        <is>
          <t>hypothetical protein KUCAC02_035207</t>
        </is>
      </c>
    </row>
    <row r="2863">
      <c r="A2863" t="inlineStr"/>
      <c r="B2863" t="inlineStr"/>
      <c r="C2863" t="inlineStr"/>
      <c r="D2863" t="inlineStr"/>
      <c r="E2863">
        <f>HYPERLINK("https://www.ncbi.nlm.nih.gov/gene/?term=XP_040264811.1", "XP_040264811.1")</f>
        <v/>
      </c>
      <c r="F2863" t="n">
        <v>35.3</v>
      </c>
      <c r="G2863" t="n">
        <v>306</v>
      </c>
      <c r="H2863" t="n">
        <v>1.98e-52</v>
      </c>
      <c r="I2863" t="inlineStr">
        <is>
          <t>Nr</t>
        </is>
      </c>
      <c r="J2863" t="inlineStr"/>
      <c r="K2863" t="inlineStr"/>
      <c r="L2863" t="inlineStr">
        <is>
          <t>XP_040264811.1 mucin-5AC-like [Bufo bufo]</t>
        </is>
      </c>
      <c r="M2863" t="n">
        <v>6265</v>
      </c>
      <c r="N2863" t="inlineStr">
        <is>
          <t>Bufo bufo</t>
        </is>
      </c>
      <c r="O2863" t="inlineStr">
        <is>
          <t>mucin-5AC-like</t>
        </is>
      </c>
    </row>
    <row r="2864">
      <c r="A2864" t="inlineStr"/>
      <c r="B2864" t="inlineStr"/>
      <c r="C2864" t="inlineStr"/>
      <c r="D2864" t="inlineStr"/>
      <c r="E2864">
        <f>HYPERLINK("https://www.ncbi.nlm.nih.gov/gene/?term=CAI5656921.1", "CAI5656921.1")</f>
        <v/>
      </c>
      <c r="F2864" t="n">
        <v>32.4</v>
      </c>
      <c r="G2864" t="n">
        <v>336</v>
      </c>
      <c r="H2864" t="n">
        <v>2.57e-52</v>
      </c>
      <c r="I2864" t="inlineStr">
        <is>
          <t>Nr</t>
        </is>
      </c>
      <c r="J2864" t="inlineStr"/>
      <c r="K2864" t="inlineStr"/>
      <c r="L2864" t="inlineStr">
        <is>
          <t>CAI5656921.1 unnamed protein product [Mustela putorius furo]</t>
        </is>
      </c>
      <c r="M2864" t="n">
        <v>877</v>
      </c>
      <c r="N2864" t="inlineStr">
        <is>
          <t>Mustela putorius furo</t>
        </is>
      </c>
      <c r="O2864" t="inlineStr">
        <is>
          <t>unnamed protein product</t>
        </is>
      </c>
    </row>
    <row r="2865">
      <c r="A2865" t="inlineStr"/>
      <c r="B2865" t="inlineStr"/>
      <c r="C2865" t="inlineStr"/>
      <c r="D2865" t="inlineStr"/>
      <c r="E2865">
        <f>HYPERLINK("https://www.ncbi.nlm.nih.gov/gene/?term=KAG1939008.1", "KAG1939008.1")</f>
        <v/>
      </c>
      <c r="F2865" t="n">
        <v>31.1</v>
      </c>
      <c r="G2865" t="n">
        <v>460</v>
      </c>
      <c r="H2865" t="n">
        <v>3.959999999999999e-52</v>
      </c>
      <c r="I2865" t="inlineStr">
        <is>
          <t>Nr</t>
        </is>
      </c>
      <c r="J2865" t="inlineStr"/>
      <c r="K2865" t="inlineStr"/>
      <c r="L2865" t="inlineStr">
        <is>
          <t>KAG1939008.1 hypothetical protein F2P79_017416 [Pimephales promelas]</t>
        </is>
      </c>
      <c r="M2865" t="n">
        <v>1200</v>
      </c>
      <c r="N2865" t="inlineStr">
        <is>
          <t>Pimephales promelas</t>
        </is>
      </c>
      <c r="O2865" t="inlineStr">
        <is>
          <t>hypothetical protein F2P79_017416</t>
        </is>
      </c>
    </row>
    <row r="2866">
      <c r="A2866" t="inlineStr"/>
      <c r="B2866" t="inlineStr"/>
      <c r="C2866" t="inlineStr"/>
      <c r="D2866" t="inlineStr"/>
      <c r="E2866">
        <f>HYPERLINK("https://www.ncbi.nlm.nih.gov/gene/?term=KAG9283901.1", "KAG9283901.1")</f>
        <v/>
      </c>
      <c r="F2866" t="n">
        <v>33.1</v>
      </c>
      <c r="G2866" t="n">
        <v>362</v>
      </c>
      <c r="H2866" t="n">
        <v>4.149999999999999e-52</v>
      </c>
      <c r="I2866" t="inlineStr">
        <is>
          <t>Nr</t>
        </is>
      </c>
      <c r="J2866" t="inlineStr"/>
      <c r="K2866" t="inlineStr"/>
      <c r="L2866" t="inlineStr">
        <is>
          <t>KAG9283901.1 WD repeat-containing protein 3 isoform X1 [Astyanax mexicanus]</t>
        </is>
      </c>
      <c r="M2866" t="n">
        <v>818</v>
      </c>
      <c r="N2866" t="inlineStr">
        <is>
          <t>Astyanax mexicanus</t>
        </is>
      </c>
      <c r="O2866" t="inlineStr">
        <is>
          <t>WD repeat-containing protein 3 isoform X1</t>
        </is>
      </c>
    </row>
    <row r="2867">
      <c r="A2867" t="inlineStr"/>
      <c r="B2867" t="inlineStr"/>
      <c r="C2867" t="inlineStr"/>
      <c r="D2867" t="inlineStr"/>
      <c r="E2867">
        <f>HYPERLINK("https://www.ncbi.nlm.nih.gov/gene/?term=CAI5667737.1", "CAI5667737.1")</f>
        <v/>
      </c>
      <c r="F2867" t="n">
        <v>32.7</v>
      </c>
      <c r="G2867" t="n">
        <v>336</v>
      </c>
      <c r="H2867" t="n">
        <v>5.619999999999999e-52</v>
      </c>
      <c r="I2867" t="inlineStr">
        <is>
          <t>Nr</t>
        </is>
      </c>
      <c r="J2867" t="inlineStr"/>
      <c r="K2867" t="inlineStr"/>
      <c r="L2867" t="inlineStr">
        <is>
          <t>CAI5667737.1 unnamed protein product [Mustela putorius furo]</t>
        </is>
      </c>
      <c r="M2867" t="n">
        <v>1271</v>
      </c>
      <c r="N2867" t="inlineStr">
        <is>
          <t>Mustela putorius furo</t>
        </is>
      </c>
      <c r="O2867" t="inlineStr">
        <is>
          <t>unnamed protein product</t>
        </is>
      </c>
    </row>
    <row r="2868">
      <c r="A2868" t="inlineStr"/>
      <c r="B2868" t="inlineStr"/>
      <c r="C2868" t="inlineStr"/>
      <c r="D2868" t="inlineStr"/>
      <c r="E2868">
        <f>HYPERLINK("https://www.ncbi.nlm.nih.gov/gene/?term=XP_044133655.1", "XP_044133655.1")</f>
        <v/>
      </c>
      <c r="F2868" t="n">
        <v>36.8</v>
      </c>
      <c r="G2868" t="n">
        <v>310</v>
      </c>
      <c r="H2868" t="n">
        <v>6.76e-52</v>
      </c>
      <c r="I2868" t="inlineStr">
        <is>
          <t>Nr</t>
        </is>
      </c>
      <c r="J2868" t="inlineStr"/>
      <c r="K2868" t="inlineStr"/>
      <c r="L2868" t="inlineStr">
        <is>
          <t>XP_044133655.1 IgGFc-binding protein-like [Bufo gargarizans]</t>
        </is>
      </c>
      <c r="M2868" t="n">
        <v>6315</v>
      </c>
      <c r="N2868" t="inlineStr">
        <is>
          <t>Bufo gargarizans</t>
        </is>
      </c>
      <c r="O2868" t="inlineStr">
        <is>
          <t>IgGFc-binding protein-like</t>
        </is>
      </c>
    </row>
    <row r="2869">
      <c r="A2869" t="inlineStr"/>
      <c r="B2869" t="inlineStr"/>
      <c r="C2869" t="inlineStr"/>
      <c r="D2869" t="inlineStr"/>
      <c r="E2869">
        <f>HYPERLINK("https://www.ncbi.nlm.nih.gov/gene/?term=XP_051701996.1", "XP_051701996.1")</f>
        <v/>
      </c>
      <c r="F2869" t="n">
        <v>32.6</v>
      </c>
      <c r="G2869" t="n">
        <v>331</v>
      </c>
      <c r="H2869" t="n">
        <v>1.16e-51</v>
      </c>
      <c r="I2869" t="inlineStr">
        <is>
          <t>Nr</t>
        </is>
      </c>
      <c r="J2869" t="inlineStr"/>
      <c r="K2869" t="inlineStr"/>
      <c r="L2869" t="inlineStr">
        <is>
          <t>XP_051701996.1 LINE-1 retrotransposable element ORF2 protein isoform X1 [Oryctolagus cuniculus]</t>
        </is>
      </c>
      <c r="M2869" t="n">
        <v>375</v>
      </c>
      <c r="N2869" t="inlineStr">
        <is>
          <t>Oryctolagus cuniculus</t>
        </is>
      </c>
      <c r="O2869" t="inlineStr">
        <is>
          <t>LINE-1 retrotransposable element ORF2 protein isoform X1</t>
        </is>
      </c>
    </row>
    <row r="2870">
      <c r="A2870" t="inlineStr"/>
      <c r="B2870" t="inlineStr"/>
      <c r="C2870" t="inlineStr"/>
      <c r="D2870" t="inlineStr"/>
      <c r="E2870">
        <f>HYPERLINK("https://www.ncbi.nlm.nih.gov/gene/?term=KAI5630257.1", "KAI5630257.1")</f>
        <v/>
      </c>
      <c r="F2870" t="n">
        <v>33</v>
      </c>
      <c r="G2870" t="n">
        <v>361</v>
      </c>
      <c r="H2870" t="n">
        <v>1.31e-51</v>
      </c>
      <c r="I2870" t="inlineStr">
        <is>
          <t>Nr</t>
        </is>
      </c>
      <c r="J2870" t="inlineStr"/>
      <c r="K2870" t="inlineStr"/>
      <c r="L2870" t="inlineStr">
        <is>
          <t>KAI5630257.1 hypothetical protein C0J50_10332, partial [Silurus asotus]</t>
        </is>
      </c>
      <c r="M2870" t="n">
        <v>1016</v>
      </c>
      <c r="N2870" t="inlineStr">
        <is>
          <t>Silurus asotus</t>
        </is>
      </c>
      <c r="O2870" t="inlineStr">
        <is>
          <t>hypothetical protein C0J50_10332, partial</t>
        </is>
      </c>
    </row>
    <row r="2871">
      <c r="A2871" t="inlineStr"/>
      <c r="B2871" t="inlineStr"/>
      <c r="C2871" t="inlineStr"/>
      <c r="D2871" t="inlineStr"/>
      <c r="E2871">
        <f>HYPERLINK("https://www.ncbi.nlm.nih.gov/gene/?term=KAI5628117.1", "KAI5628117.1")</f>
        <v/>
      </c>
      <c r="F2871" t="n">
        <v>33.6</v>
      </c>
      <c r="G2871" t="n">
        <v>336</v>
      </c>
      <c r="H2871" t="n">
        <v>3.16e-51</v>
      </c>
      <c r="I2871" t="inlineStr">
        <is>
          <t>Nr</t>
        </is>
      </c>
      <c r="J2871" t="inlineStr"/>
      <c r="K2871" t="inlineStr"/>
      <c r="L2871" t="inlineStr">
        <is>
          <t>KAI5628117.1 hypothetical protein C0J50_8261, partial [Silurus asotus]</t>
        </is>
      </c>
      <c r="M2871" t="n">
        <v>1003</v>
      </c>
      <c r="N2871" t="inlineStr">
        <is>
          <t>Silurus asotus</t>
        </is>
      </c>
      <c r="O2871" t="inlineStr">
        <is>
          <t>hypothetical protein C0J50_8261, partial</t>
        </is>
      </c>
    </row>
    <row r="2872">
      <c r="A2872" t="inlineStr"/>
      <c r="B2872" t="inlineStr"/>
      <c r="C2872" t="inlineStr"/>
      <c r="D2872" t="inlineStr"/>
      <c r="E2872">
        <f>HYPERLINK("https://www.ncbi.nlm.nih.gov/gene/?term=OCT86454.1", "OCT86454.1")</f>
        <v/>
      </c>
      <c r="F2872" t="n">
        <v>39.3</v>
      </c>
      <c r="G2872" t="n">
        <v>275</v>
      </c>
      <c r="H2872" t="n">
        <v>4.09e-51</v>
      </c>
      <c r="I2872" t="inlineStr">
        <is>
          <t>Nr</t>
        </is>
      </c>
      <c r="J2872" t="inlineStr"/>
      <c r="K2872" t="inlineStr"/>
      <c r="L2872" t="inlineStr">
        <is>
          <t>OCT86454.1 hypothetical protein XELAEV_18020137mg [Xenopus laevis]</t>
        </is>
      </c>
      <c r="M2872" t="n">
        <v>326</v>
      </c>
      <c r="N2872" t="inlineStr">
        <is>
          <t>Xenopus laevis</t>
        </is>
      </c>
      <c r="O2872" t="inlineStr">
        <is>
          <t>hypothetical protein XELAEV_18020137mg</t>
        </is>
      </c>
    </row>
    <row r="2873">
      <c r="A2873" t="inlineStr"/>
      <c r="B2873" t="inlineStr"/>
      <c r="C2873" t="inlineStr"/>
      <c r="D2873" t="inlineStr"/>
      <c r="E2873">
        <f>HYPERLINK("https://www.ncbi.nlm.nih.gov/gene/?term=XP_023192802.1", "XP_023192802.1")</f>
        <v/>
      </c>
      <c r="F2873" t="n">
        <v>33.2</v>
      </c>
      <c r="G2873" t="n">
        <v>361</v>
      </c>
      <c r="H2873" t="n">
        <v>6.29e-51</v>
      </c>
      <c r="I2873" t="inlineStr">
        <is>
          <t>Nr</t>
        </is>
      </c>
      <c r="J2873" t="inlineStr"/>
      <c r="K2873" t="inlineStr"/>
      <c r="L2873" t="inlineStr">
        <is>
          <t>XP_023192802.1 WD repeat-containing protein 3 isoform X1 [Xiphophorus maculatus]</t>
        </is>
      </c>
      <c r="M2873" t="n">
        <v>1258</v>
      </c>
      <c r="N2873" t="inlineStr">
        <is>
          <t>Xiphophorus maculatus</t>
        </is>
      </c>
      <c r="O2873" t="inlineStr">
        <is>
          <t>WD repeat-containing protein 3 isoform X1</t>
        </is>
      </c>
    </row>
    <row r="2874">
      <c r="A2874" t="inlineStr"/>
      <c r="B2874" t="inlineStr"/>
      <c r="C2874" t="inlineStr"/>
      <c r="D2874" t="inlineStr"/>
      <c r="E2874">
        <f>HYPERLINK("https://www.ncbi.nlm.nih.gov/gene/?term=CAI5656797.1", "CAI5656797.1")</f>
        <v/>
      </c>
      <c r="F2874" t="n">
        <v>32.4</v>
      </c>
      <c r="G2874" t="n">
        <v>361</v>
      </c>
      <c r="H2874" t="n">
        <v>8.17e-51</v>
      </c>
      <c r="I2874" t="inlineStr">
        <is>
          <t>Nr</t>
        </is>
      </c>
      <c r="J2874" t="inlineStr"/>
      <c r="K2874" t="inlineStr"/>
      <c r="L2874" t="inlineStr">
        <is>
          <t>CAI5656797.1 unnamed protein product [Mustela putorius furo]</t>
        </is>
      </c>
      <c r="M2874" t="n">
        <v>834</v>
      </c>
      <c r="N2874" t="inlineStr">
        <is>
          <t>Mustela putorius furo</t>
        </is>
      </c>
      <c r="O2874" t="inlineStr">
        <is>
          <t>unnamed protein product</t>
        </is>
      </c>
    </row>
    <row r="2875">
      <c r="A2875" t="inlineStr"/>
      <c r="B2875" t="inlineStr"/>
      <c r="C2875" t="inlineStr"/>
      <c r="D2875" t="inlineStr"/>
      <c r="E2875">
        <f>HYPERLINK("https://www.ncbi.nlm.nih.gov/gene/?term=XP_051708119.1", "XP_051708119.1")</f>
        <v/>
      </c>
      <c r="F2875" t="n">
        <v>28.8</v>
      </c>
      <c r="G2875" t="n">
        <v>451</v>
      </c>
      <c r="H2875" t="n">
        <v>1.1e-50</v>
      </c>
      <c r="I2875" t="inlineStr">
        <is>
          <t>Nr</t>
        </is>
      </c>
      <c r="J2875" t="inlineStr"/>
      <c r="K2875" t="inlineStr"/>
      <c r="L2875" t="inlineStr">
        <is>
          <t>XP_051708119.1 LINE-1 retrotransposable element ORF2 protein isoform X1 [Oryctolagus cuniculus]</t>
        </is>
      </c>
      <c r="M2875" t="n">
        <v>680</v>
      </c>
      <c r="N2875" t="inlineStr">
        <is>
          <t>Oryctolagus cuniculus</t>
        </is>
      </c>
      <c r="O2875" t="inlineStr">
        <is>
          <t>LINE-1 retrotransposable element ORF2 protein isoform X1</t>
        </is>
      </c>
    </row>
    <row r="2876">
      <c r="A2876" t="inlineStr"/>
      <c r="B2876" t="inlineStr"/>
      <c r="C2876" t="inlineStr"/>
      <c r="D2876" t="inlineStr"/>
      <c r="E2876">
        <f>HYPERLINK("https://www.ncbi.nlm.nih.gov/gene/?term=CAI5637690.1", "CAI5637690.1")</f>
        <v/>
      </c>
      <c r="F2876" t="n">
        <v>29.4</v>
      </c>
      <c r="G2876" t="n">
        <v>459</v>
      </c>
      <c r="H2876" t="n">
        <v>1.16e-50</v>
      </c>
      <c r="I2876" t="inlineStr">
        <is>
          <t>Nr</t>
        </is>
      </c>
      <c r="J2876" t="inlineStr"/>
      <c r="K2876" t="inlineStr"/>
      <c r="L2876" t="inlineStr">
        <is>
          <t>CAI5637690.1 unnamed protein product [Mustela putorius furo]</t>
        </is>
      </c>
      <c r="M2876" t="n">
        <v>1270</v>
      </c>
      <c r="N2876" t="inlineStr">
        <is>
          <t>Mustela putorius furo</t>
        </is>
      </c>
      <c r="O2876" t="inlineStr">
        <is>
          <t>unnamed protein product</t>
        </is>
      </c>
    </row>
    <row r="2877">
      <c r="A2877" t="inlineStr"/>
      <c r="B2877" t="inlineStr"/>
      <c r="C2877" t="inlineStr"/>
      <c r="D2877" t="inlineStr"/>
      <c r="E2877">
        <f>HYPERLINK("https://www.ncbi.nlm.nih.gov/gene/?term=CAI5645030.1", "CAI5645030.1")</f>
        <v/>
      </c>
      <c r="F2877" t="n">
        <v>38.9</v>
      </c>
      <c r="G2877" t="n">
        <v>301</v>
      </c>
      <c r="H2877" t="n">
        <v>1.33e-50</v>
      </c>
      <c r="I2877" t="inlineStr">
        <is>
          <t>Nr</t>
        </is>
      </c>
      <c r="J2877" t="inlineStr"/>
      <c r="K2877" t="inlineStr"/>
      <c r="L2877" t="inlineStr">
        <is>
          <t>CAI5645030.1 unnamed protein product [Mustela putorius furo]</t>
        </is>
      </c>
      <c r="M2877" t="n">
        <v>1089</v>
      </c>
      <c r="N2877" t="inlineStr">
        <is>
          <t>Mustela putorius furo</t>
        </is>
      </c>
      <c r="O2877" t="inlineStr">
        <is>
          <t>unnamed protein product</t>
        </is>
      </c>
    </row>
    <row r="2878">
      <c r="A2878" t="inlineStr"/>
      <c r="B2878" t="inlineStr"/>
      <c r="C2878" t="inlineStr"/>
      <c r="D2878" t="inlineStr"/>
      <c r="E2878">
        <f>HYPERLINK("https://www.uniprot.org/uniprotkb/O00370/entry", "O00370")</f>
        <v/>
      </c>
      <c r="F2878" t="n">
        <v>27.6</v>
      </c>
      <c r="G2878" t="n">
        <v>450</v>
      </c>
      <c r="H2878" t="n">
        <v>1.33e-49</v>
      </c>
      <c r="I2878" t="inlineStr">
        <is>
          <t>Swiss-Prot</t>
        </is>
      </c>
      <c r="J2878" t="inlineStr"/>
      <c r="K2878" t="inlineStr">
        <is>
          <t>LORF2_HUMAN</t>
        </is>
      </c>
      <c r="L2878" t="inlineStr">
        <is>
          <t>sp|O00370|LORF2_HUMAN LINE-1 retrotransposable element ORF2 protein OS=Homo sapiens OX=9606 PE=1 SV=1</t>
        </is>
      </c>
      <c r="M2878" t="n">
        <v>1275</v>
      </c>
      <c r="N2878" t="inlineStr">
        <is>
          <t>Homo sapiens</t>
        </is>
      </c>
      <c r="O2878" t="inlineStr">
        <is>
          <t>LINE-1 retrotransposable element ORF2 protein</t>
        </is>
      </c>
    </row>
    <row r="2879">
      <c r="A2879" t="inlineStr"/>
      <c r="B2879" t="inlineStr"/>
      <c r="C2879" t="inlineStr"/>
      <c r="D2879" t="inlineStr"/>
      <c r="E2879">
        <f>HYPERLINK("https://www.ncbi.nlm.nih.gov/gene/?term=KAJ0022349.1", "KAJ0022349.1")</f>
        <v/>
      </c>
      <c r="F2879" t="n">
        <v>36.1</v>
      </c>
      <c r="G2879" t="n">
        <v>296</v>
      </c>
      <c r="H2879" t="n">
        <v>1.82e-48</v>
      </c>
      <c r="I2879" t="inlineStr">
        <is>
          <t>Nr</t>
        </is>
      </c>
      <c r="J2879" t="inlineStr"/>
      <c r="K2879" t="inlineStr"/>
      <c r="L2879" t="inlineStr">
        <is>
          <t>KAJ0022349.1 hypothetical protein NQD34_009839 [Periophthalmus magnuspinnatus]</t>
        </is>
      </c>
      <c r="M2879" t="n">
        <v>378</v>
      </c>
      <c r="N2879" t="inlineStr">
        <is>
          <t>Periophthalmus magnuspinnatus</t>
        </is>
      </c>
      <c r="O2879" t="inlineStr">
        <is>
          <t>hypothetical protein NQD34_009839</t>
        </is>
      </c>
    </row>
    <row r="2880">
      <c r="A2880" t="inlineStr"/>
      <c r="B2880" t="inlineStr"/>
      <c r="C2880" t="inlineStr"/>
      <c r="D2880" t="inlineStr"/>
      <c r="E2880">
        <f>HYPERLINK("https://www.uniprot.org/uniprotkb/P08548/entry", "P08548")</f>
        <v/>
      </c>
      <c r="F2880" t="n">
        <v>32</v>
      </c>
      <c r="G2880" t="n">
        <v>362</v>
      </c>
      <c r="H2880" t="n">
        <v>1.99e-48</v>
      </c>
      <c r="I2880" t="inlineStr">
        <is>
          <t>Swiss-Prot</t>
        </is>
      </c>
      <c r="J2880" t="inlineStr"/>
      <c r="K2880" t="inlineStr">
        <is>
          <t>LIN1_NYCCO</t>
        </is>
      </c>
      <c r="L2880" t="inlineStr">
        <is>
          <t>sp|P08548|LIN1_NYCCO LINE-1 reverse transcriptase homolog OS=Nycticebus coucang OX=9470 PE=4 SV=1</t>
        </is>
      </c>
      <c r="M2880" t="n">
        <v>1260</v>
      </c>
      <c r="N2880" t="inlineStr">
        <is>
          <t>Nycticebus coucang</t>
        </is>
      </c>
      <c r="O2880" t="inlineStr">
        <is>
          <t>LINE-1 reverse transcriptase homolog</t>
        </is>
      </c>
    </row>
    <row r="2881">
      <c r="A2881" t="inlineStr"/>
      <c r="B2881" t="inlineStr"/>
      <c r="C2881" t="inlineStr"/>
      <c r="D2881" t="inlineStr"/>
      <c r="E2881">
        <f>HYPERLINK("https://www.ncbi.nlm.nih.gov/gene/?term=KAG9473336.1", "KAG9473336.1")</f>
        <v/>
      </c>
      <c r="F2881" t="n">
        <v>35.1</v>
      </c>
      <c r="G2881" t="n">
        <v>305</v>
      </c>
      <c r="H2881" t="n">
        <v>3.37e-47</v>
      </c>
      <c r="I2881" t="inlineStr">
        <is>
          <t>Nr</t>
        </is>
      </c>
      <c r="J2881" t="inlineStr"/>
      <c r="K2881" t="inlineStr"/>
      <c r="L2881" t="inlineStr">
        <is>
          <t>KAG9473336.1 hypothetical protein GDO78_018283 [Eleutherodactylus coqui]</t>
        </is>
      </c>
      <c r="M2881" t="n">
        <v>840</v>
      </c>
      <c r="N2881" t="inlineStr">
        <is>
          <t>Eleutherodactylus coqui</t>
        </is>
      </c>
      <c r="O2881" t="inlineStr">
        <is>
          <t>hypothetical protein GDO78_018283</t>
        </is>
      </c>
    </row>
    <row r="2882">
      <c r="A2882" t="inlineStr"/>
      <c r="B2882" t="inlineStr"/>
      <c r="C2882" t="inlineStr"/>
      <c r="D2882" t="inlineStr"/>
      <c r="E2882">
        <f>HYPERLINK("https://www.uniprot.org/uniprotkb/P11369/entry", "P11369")</f>
        <v/>
      </c>
      <c r="F2882" t="n">
        <v>29.3</v>
      </c>
      <c r="G2882" t="n">
        <v>351</v>
      </c>
      <c r="H2882" t="n">
        <v>1.83e-46</v>
      </c>
      <c r="I2882" t="inlineStr">
        <is>
          <t>Swiss-Prot</t>
        </is>
      </c>
      <c r="J2882" t="inlineStr">
        <is>
          <t>Pol</t>
        </is>
      </c>
      <c r="K2882" t="inlineStr">
        <is>
          <t>LORF2_MOUSE</t>
        </is>
      </c>
      <c r="L2882" t="inlineStr">
        <is>
          <t>sp|P11369|LORF2_MOUSE LINE-1 retrotransposable element ORF2 protein OS=Mus musculus OX=10090 GN=Pol PE=1 SV=2</t>
        </is>
      </c>
      <c r="M2882" t="n">
        <v>1281</v>
      </c>
      <c r="N2882" t="inlineStr">
        <is>
          <t>Mus musculus</t>
        </is>
      </c>
      <c r="O2882" t="inlineStr">
        <is>
          <t>LINE-1 retrotransposable element ORF2 protein</t>
        </is>
      </c>
    </row>
    <row r="2883">
      <c r="A2883" t="inlineStr"/>
      <c r="B2883" t="inlineStr"/>
      <c r="C2883" t="inlineStr"/>
      <c r="D2883" t="inlineStr"/>
      <c r="E2883">
        <f>HYPERLINK("https://www.uniprot.org/uniprotkb/A0A803J9X1/entry", "A0A803J9X1")</f>
        <v/>
      </c>
      <c r="F2883" t="n">
        <v>39.8</v>
      </c>
      <c r="G2883" t="n">
        <v>259</v>
      </c>
      <c r="H2883" t="n">
        <v>2.57e-45</v>
      </c>
      <c r="I2883" t="inlineStr">
        <is>
          <t>TrEMBL</t>
        </is>
      </c>
      <c r="J2883" t="inlineStr"/>
      <c r="K2883" t="inlineStr">
        <is>
          <t>A0A803J9X1_XENTR</t>
        </is>
      </c>
      <c r="L2883" t="inlineStr">
        <is>
          <t>tr|A0A803J9X1|A0A803J9X1_XENTR Reverse transcriptase domain-containing protein OS=Xenopus tropicalis OX=8364 PE=4 SV=1</t>
        </is>
      </c>
      <c r="M2883" t="n">
        <v>328</v>
      </c>
      <c r="N2883" t="inlineStr">
        <is>
          <t>Xenopus tropicalis</t>
        </is>
      </c>
      <c r="O2883" t="inlineStr">
        <is>
          <t>Reverse transcriptase domain-containing protein</t>
        </is>
      </c>
    </row>
    <row r="2884">
      <c r="A2884" t="inlineStr"/>
      <c r="B2884" t="inlineStr"/>
      <c r="C2884" t="inlineStr"/>
      <c r="D2884" t="inlineStr"/>
      <c r="E2884">
        <f>HYPERLINK("https://www.ncbi.nlm.nih.gov/gene/?term=CAI5667737.1", "CAI5667737.1")</f>
        <v/>
      </c>
      <c r="F2884" t="n">
        <v>35.5</v>
      </c>
      <c r="G2884" t="n">
        <v>307</v>
      </c>
      <c r="H2884" t="n">
        <v>4.89e-45</v>
      </c>
      <c r="I2884" t="inlineStr">
        <is>
          <t>Nr</t>
        </is>
      </c>
      <c r="J2884" t="inlineStr"/>
      <c r="K2884" t="inlineStr"/>
      <c r="L2884" t="inlineStr">
        <is>
          <t>CAI5667737.1 unnamed protein product [Mustela putorius furo]</t>
        </is>
      </c>
      <c r="M2884" t="n">
        <v>1271</v>
      </c>
      <c r="N2884" t="inlineStr">
        <is>
          <t>Mustela putorius furo</t>
        </is>
      </c>
      <c r="O2884" t="inlineStr">
        <is>
          <t>unnamed protein product</t>
        </is>
      </c>
    </row>
    <row r="2885">
      <c r="A2885" t="inlineStr"/>
      <c r="B2885" t="inlineStr"/>
      <c r="C2885" t="inlineStr"/>
      <c r="D2885" t="inlineStr"/>
      <c r="E2885">
        <f>HYPERLINK("https://www.ncbi.nlm.nih.gov/gene/?term=KAA0701525.1", "KAA0701525.1")</f>
        <v/>
      </c>
      <c r="F2885" t="n">
        <v>36.5</v>
      </c>
      <c r="G2885" t="n">
        <v>312</v>
      </c>
      <c r="H2885" t="n">
        <v>2.63e-43</v>
      </c>
      <c r="I2885" t="inlineStr">
        <is>
          <t>Nr</t>
        </is>
      </c>
      <c r="J2885" t="inlineStr"/>
      <c r="K2885" t="inlineStr"/>
      <c r="L2885" t="inlineStr">
        <is>
          <t>KAA0701525.1 LINE-1 reverse transcriptase -like protein [Triplophysa tibetana]</t>
        </is>
      </c>
      <c r="M2885" t="n">
        <v>1273</v>
      </c>
      <c r="N2885" t="inlineStr">
        <is>
          <t>Triplophysa tibetana</t>
        </is>
      </c>
      <c r="O2885" t="inlineStr">
        <is>
          <t>LINE-1 reverse transcriptase -like protein</t>
        </is>
      </c>
    </row>
    <row r="2886">
      <c r="A2886" t="inlineStr"/>
      <c r="B2886" t="inlineStr"/>
      <c r="C2886" t="inlineStr"/>
      <c r="D2886" t="inlineStr"/>
      <c r="E2886">
        <f>HYPERLINK("https://www.ncbi.nlm.nih.gov/gene/?term=KAA0723022.1", "KAA0723022.1")</f>
        <v/>
      </c>
      <c r="F2886" t="n">
        <v>36.2</v>
      </c>
      <c r="G2886" t="n">
        <v>312</v>
      </c>
      <c r="H2886" t="n">
        <v>1.65e-42</v>
      </c>
      <c r="I2886" t="inlineStr">
        <is>
          <t>Nr</t>
        </is>
      </c>
      <c r="J2886" t="inlineStr"/>
      <c r="K2886" t="inlineStr"/>
      <c r="L2886" t="inlineStr">
        <is>
          <t>KAA0723022.1 LINE-1 reverse transcriptase -like protein [Triplophysa tibetana]</t>
        </is>
      </c>
      <c r="M2886" t="n">
        <v>1273</v>
      </c>
      <c r="N2886" t="inlineStr">
        <is>
          <t>Triplophysa tibetana</t>
        </is>
      </c>
      <c r="O2886" t="inlineStr">
        <is>
          <t>LINE-1 reverse transcriptase -like protein</t>
        </is>
      </c>
    </row>
    <row r="2887">
      <c r="A2887" t="inlineStr"/>
      <c r="B2887" t="inlineStr"/>
      <c r="C2887" t="inlineStr"/>
      <c r="D2887" t="inlineStr"/>
      <c r="E2887">
        <f>HYPERLINK("https://www.ncbi.nlm.nih.gov/gene/?term=KAA0709662.1", "KAA0709662.1")</f>
        <v/>
      </c>
      <c r="F2887" t="n">
        <v>36.2</v>
      </c>
      <c r="G2887" t="n">
        <v>312</v>
      </c>
      <c r="H2887" t="n">
        <v>1.65e-42</v>
      </c>
      <c r="I2887" t="inlineStr">
        <is>
          <t>Nr</t>
        </is>
      </c>
      <c r="J2887" t="inlineStr"/>
      <c r="K2887" t="inlineStr"/>
      <c r="L2887" t="inlineStr">
        <is>
          <t>KAA0709662.1 LINE-1 reverse transcriptase -like protein [Triplophysa tibetana]</t>
        </is>
      </c>
      <c r="M2887" t="n">
        <v>1273</v>
      </c>
      <c r="N2887" t="inlineStr">
        <is>
          <t>Triplophysa tibetana</t>
        </is>
      </c>
      <c r="O2887" t="inlineStr">
        <is>
          <t>LINE-1 reverse transcriptase -like protein</t>
        </is>
      </c>
    </row>
    <row r="2888">
      <c r="A2888" t="inlineStr"/>
      <c r="B2888" t="inlineStr"/>
      <c r="C2888" t="inlineStr"/>
      <c r="D2888" t="inlineStr"/>
      <c r="E2888">
        <f>HYPERLINK("https://www.uniprot.org/uniprotkb/A0A803J6A6/entry", "A0A803J6A6")</f>
        <v/>
      </c>
      <c r="F2888" t="n">
        <v>37.7</v>
      </c>
      <c r="G2888" t="n">
        <v>247</v>
      </c>
      <c r="H2888" t="n">
        <v>1.87e-42</v>
      </c>
      <c r="I2888" t="inlineStr">
        <is>
          <t>TrEMBL</t>
        </is>
      </c>
      <c r="J2888" t="inlineStr"/>
      <c r="K2888" t="inlineStr">
        <is>
          <t>A0A803J6A6_XENTR</t>
        </is>
      </c>
      <c r="L2888" t="inlineStr">
        <is>
          <t>tr|A0A803J6A6|A0A803J6A6_XENTR Transposase_22 domain-containing protein OS=Xenopus tropicalis OX=8364 PE=4 SV=1</t>
        </is>
      </c>
      <c r="M2888" t="n">
        <v>363</v>
      </c>
      <c r="N2888" t="inlineStr">
        <is>
          <t>Xenopus tropicalis</t>
        </is>
      </c>
      <c r="O2888" t="inlineStr">
        <is>
          <t>Transposase_22 domain-containing protein</t>
        </is>
      </c>
    </row>
    <row r="2889">
      <c r="A2889" t="inlineStr"/>
      <c r="B2889" t="inlineStr"/>
      <c r="C2889" t="inlineStr"/>
      <c r="D2889" t="inlineStr"/>
      <c r="E2889">
        <f>HYPERLINK("https://www.ncbi.nlm.nih.gov/gene/?term=XP_040178126.1", "XP_040178126.1")</f>
        <v/>
      </c>
      <c r="F2889" t="n">
        <v>33.3</v>
      </c>
      <c r="G2889" t="n">
        <v>306</v>
      </c>
      <c r="H2889" t="n">
        <v>3.13e-42</v>
      </c>
      <c r="I2889" t="inlineStr">
        <is>
          <t>Nr</t>
        </is>
      </c>
      <c r="J2889" t="inlineStr"/>
      <c r="K2889" t="inlineStr"/>
      <c r="L2889" t="inlineStr">
        <is>
          <t>XP_040178126.1 microsomal triglyceride transfer protein-like [Rana temporaria]</t>
        </is>
      </c>
      <c r="M2889" t="n">
        <v>1440</v>
      </c>
      <c r="N2889" t="inlineStr">
        <is>
          <t>Rana temporaria</t>
        </is>
      </c>
      <c r="O2889" t="inlineStr">
        <is>
          <t>microsomal triglyceride transfer protein-like</t>
        </is>
      </c>
    </row>
    <row r="2890">
      <c r="A2890" t="inlineStr"/>
      <c r="B2890" t="inlineStr"/>
      <c r="C2890" t="inlineStr"/>
      <c r="D2890" t="inlineStr"/>
      <c r="E2890">
        <f>HYPERLINK("https://www.ncbi.nlm.nih.gov/gene/?term=OCT86463.1", "OCT86463.1")</f>
        <v/>
      </c>
      <c r="F2890" t="n">
        <v>35.2</v>
      </c>
      <c r="G2890" t="n">
        <v>307</v>
      </c>
      <c r="H2890" t="n">
        <v>3.559999999999999e-42</v>
      </c>
      <c r="I2890" t="inlineStr">
        <is>
          <t>Nr</t>
        </is>
      </c>
      <c r="J2890" t="inlineStr"/>
      <c r="K2890" t="inlineStr"/>
      <c r="L2890" t="inlineStr">
        <is>
          <t>OCT86463.1 hypothetical protein XELAEV_18020146mg [Xenopus laevis]</t>
        </is>
      </c>
      <c r="M2890" t="n">
        <v>822</v>
      </c>
      <c r="N2890" t="inlineStr">
        <is>
          <t>Xenopus laevis</t>
        </is>
      </c>
      <c r="O2890" t="inlineStr">
        <is>
          <t>hypothetical protein XELAEV_18020146mg</t>
        </is>
      </c>
    </row>
    <row r="2891">
      <c r="A2891" t="inlineStr"/>
      <c r="B2891" t="inlineStr"/>
      <c r="C2891" t="inlineStr"/>
      <c r="D2891" t="inlineStr"/>
      <c r="E2891">
        <f>HYPERLINK("https://www.uniprot.org/uniprotkb/A0A8C5MJD9/entry", "A0A8C5MJD9")</f>
        <v/>
      </c>
      <c r="F2891" t="n">
        <v>35.1</v>
      </c>
      <c r="G2891" t="n">
        <v>276</v>
      </c>
      <c r="H2891" t="n">
        <v>6.289999999999999e-42</v>
      </c>
      <c r="I2891" t="inlineStr">
        <is>
          <t>TrEMBL</t>
        </is>
      </c>
      <c r="J2891" t="inlineStr"/>
      <c r="K2891" t="inlineStr">
        <is>
          <t>A0A8C5MJD9_9ANUR</t>
        </is>
      </c>
      <c r="L2891" t="inlineStr">
        <is>
          <t>tr|A0A8C5MJD9|A0A8C5MJD9_9ANUR Transposase element L1Md-A101/L1Md-A102/L1Md-A2 OS=Leptobrachium leishanense OX=445787 PE=4 SV=1</t>
        </is>
      </c>
      <c r="M2891" t="n">
        <v>372</v>
      </c>
      <c r="N2891" t="inlineStr">
        <is>
          <t>Leptobrachium leishanense</t>
        </is>
      </c>
      <c r="O2891" t="inlineStr">
        <is>
          <t>Transposase element L1Md-A101/L1Md-A102/L1Md-A2</t>
        </is>
      </c>
    </row>
    <row r="2892">
      <c r="A2892" t="inlineStr"/>
      <c r="B2892" t="inlineStr"/>
      <c r="C2892" t="inlineStr"/>
      <c r="D2892" t="inlineStr"/>
      <c r="E2892">
        <f>HYPERLINK("https://www.uniprot.org/uniprotkb/A0A8C5LL35/entry", "A0A8C5LL35")</f>
        <v/>
      </c>
      <c r="F2892" t="n">
        <v>35.1</v>
      </c>
      <c r="G2892" t="n">
        <v>276</v>
      </c>
      <c r="H2892" t="n">
        <v>7.19e-42</v>
      </c>
      <c r="I2892" t="inlineStr">
        <is>
          <t>TrEMBL</t>
        </is>
      </c>
      <c r="J2892" t="inlineStr"/>
      <c r="K2892" t="inlineStr">
        <is>
          <t>A0A8C5LL35_9ANUR</t>
        </is>
      </c>
      <c r="L2892" t="inlineStr">
        <is>
          <t>tr|A0A8C5LL35|A0A8C5LL35_9ANUR Transposase element L1Md-A101/L1Md-A102/L1Md-A2 OS=Leptobrachium leishanense OX=445787 PE=4 SV=1</t>
        </is>
      </c>
      <c r="M2892" t="n">
        <v>378</v>
      </c>
      <c r="N2892" t="inlineStr">
        <is>
          <t>Leptobrachium leishanense</t>
        </is>
      </c>
      <c r="O2892" t="inlineStr">
        <is>
          <t>Transposase element L1Md-A101/L1Md-A102/L1Md-A2</t>
        </is>
      </c>
    </row>
    <row r="2893">
      <c r="A2893" t="inlineStr"/>
      <c r="B2893" t="inlineStr"/>
      <c r="C2893" t="inlineStr"/>
      <c r="D2893" t="inlineStr"/>
      <c r="E2893">
        <f>HYPERLINK("https://www.uniprot.org/uniprotkb/A0A8C5PV76/entry", "A0A8C5PV76")</f>
        <v/>
      </c>
      <c r="F2893" t="n">
        <v>34.5</v>
      </c>
      <c r="G2893" t="n">
        <v>275</v>
      </c>
      <c r="H2893" t="n">
        <v>8.879999999999999e-42</v>
      </c>
      <c r="I2893" t="inlineStr">
        <is>
          <t>TrEMBL</t>
        </is>
      </c>
      <c r="J2893" t="inlineStr"/>
      <c r="K2893" t="inlineStr">
        <is>
          <t>A0A8C5PV76_9ANUR</t>
        </is>
      </c>
      <c r="L2893" t="inlineStr">
        <is>
          <t>tr|A0A8C5PV76|A0A8C5PV76_9ANUR LINE-1 type transposase domain-containing 1 OS=Leptobrachium leishanense OX=445787 PE=4 SV=1</t>
        </is>
      </c>
      <c r="M2893" t="n">
        <v>329</v>
      </c>
      <c r="N2893" t="inlineStr">
        <is>
          <t>Leptobrachium leishanense</t>
        </is>
      </c>
      <c r="O2893" t="inlineStr">
        <is>
          <t>LINE-1 type transposase domain-containing 1</t>
        </is>
      </c>
    </row>
    <row r="2894">
      <c r="A2894" t="inlineStr"/>
      <c r="B2894" t="inlineStr"/>
      <c r="C2894" t="inlineStr"/>
      <c r="D2894" t="inlineStr"/>
      <c r="E2894">
        <f>HYPERLINK("https://www.ncbi.nlm.nih.gov/gene/?term=OCT72366.1", "OCT72366.1")</f>
        <v/>
      </c>
      <c r="F2894" t="n">
        <v>39.4</v>
      </c>
      <c r="G2894" t="n">
        <v>277</v>
      </c>
      <c r="H2894" t="n">
        <v>1.4e-41</v>
      </c>
      <c r="I2894" t="inlineStr">
        <is>
          <t>Nr</t>
        </is>
      </c>
      <c r="J2894" t="inlineStr"/>
      <c r="K2894" t="inlineStr"/>
      <c r="L2894" t="inlineStr">
        <is>
          <t>OCT72366.1 hypothetical protein XELAEV_18035344mg [Xenopus laevis]</t>
        </is>
      </c>
      <c r="M2894" t="n">
        <v>724</v>
      </c>
      <c r="N2894" t="inlineStr">
        <is>
          <t>Xenopus laevis</t>
        </is>
      </c>
      <c r="O2894" t="inlineStr">
        <is>
          <t>hypothetical protein XELAEV_18035344mg</t>
        </is>
      </c>
    </row>
    <row r="2895">
      <c r="A2895" t="inlineStr"/>
      <c r="B2895" t="inlineStr"/>
      <c r="C2895" t="inlineStr"/>
      <c r="D2895" t="inlineStr"/>
      <c r="E2895">
        <f>HYPERLINK("https://www.ncbi.nlm.nih.gov/gene/?term=OCT84251.1", "OCT84251.1")</f>
        <v/>
      </c>
      <c r="F2895" t="n">
        <v>32.6</v>
      </c>
      <c r="G2895" t="n">
        <v>307</v>
      </c>
      <c r="H2895" t="n">
        <v>2.78e-41</v>
      </c>
      <c r="I2895" t="inlineStr">
        <is>
          <t>Nr</t>
        </is>
      </c>
      <c r="J2895" t="inlineStr"/>
      <c r="K2895" t="inlineStr"/>
      <c r="L2895" t="inlineStr">
        <is>
          <t>OCT84251.1 hypothetical protein XELAEV_18022398mg [Xenopus laevis]</t>
        </is>
      </c>
      <c r="M2895" t="n">
        <v>317</v>
      </c>
      <c r="N2895" t="inlineStr">
        <is>
          <t>Xenopus laevis</t>
        </is>
      </c>
      <c r="O2895" t="inlineStr">
        <is>
          <t>hypothetical protein XELAEV_18022398mg</t>
        </is>
      </c>
    </row>
    <row r="2896">
      <c r="A2896" t="inlineStr"/>
      <c r="B2896" t="inlineStr"/>
      <c r="C2896" t="inlineStr"/>
      <c r="D2896" t="inlineStr"/>
      <c r="E2896">
        <f>HYPERLINK("https://www.ncbi.nlm.nih.gov/gene/?term=KAI5934425.1", "KAI5934425.1")</f>
        <v/>
      </c>
      <c r="F2896" t="n">
        <v>33</v>
      </c>
      <c r="G2896" t="n">
        <v>306</v>
      </c>
      <c r="H2896" t="n">
        <v>4.61e-41</v>
      </c>
      <c r="I2896" t="inlineStr">
        <is>
          <t>Nr</t>
        </is>
      </c>
      <c r="J2896" t="inlineStr"/>
      <c r="K2896" t="inlineStr"/>
      <c r="L2896" t="inlineStr">
        <is>
          <t>KAI5934425.1 LINE-1 retrotransposable element ORF2 protein [Manis javanica]</t>
        </is>
      </c>
      <c r="M2896" t="n">
        <v>338</v>
      </c>
      <c r="N2896" t="inlineStr">
        <is>
          <t>Manis javanica</t>
        </is>
      </c>
      <c r="O2896" t="inlineStr">
        <is>
          <t>LINE-1 retrotransposable element ORF2 protein</t>
        </is>
      </c>
    </row>
    <row r="2897">
      <c r="A2897" t="inlineStr"/>
      <c r="B2897" t="inlineStr"/>
      <c r="C2897" t="inlineStr"/>
      <c r="D2897" t="inlineStr"/>
      <c r="E2897">
        <f>HYPERLINK("https://www.ncbi.nlm.nih.gov/gene/?term=OCT91749.1", "OCT91749.1")</f>
        <v/>
      </c>
      <c r="F2897" t="n">
        <v>30.9</v>
      </c>
      <c r="G2897" t="n">
        <v>314</v>
      </c>
      <c r="H2897" t="n">
        <v>6.81e-41</v>
      </c>
      <c r="I2897" t="inlineStr">
        <is>
          <t>Nr</t>
        </is>
      </c>
      <c r="J2897" t="inlineStr"/>
      <c r="K2897" t="inlineStr"/>
      <c r="L2897" t="inlineStr">
        <is>
          <t>OCT91749.1 hypothetical protein XELAEV_18014814mg [Xenopus laevis]</t>
        </is>
      </c>
      <c r="M2897" t="n">
        <v>418</v>
      </c>
      <c r="N2897" t="inlineStr">
        <is>
          <t>Xenopus laevis</t>
        </is>
      </c>
      <c r="O2897" t="inlineStr">
        <is>
          <t>hypothetical protein XELAEV_18014814mg</t>
        </is>
      </c>
    </row>
    <row r="2898">
      <c r="A2898" t="inlineStr"/>
      <c r="B2898" t="inlineStr"/>
      <c r="C2898" t="inlineStr"/>
      <c r="D2898" t="inlineStr"/>
      <c r="E2898">
        <f>HYPERLINK("https://www.uniprot.org/uniprotkb/A0A8C5MIZ2/entry", "A0A8C5MIZ2")</f>
        <v/>
      </c>
      <c r="F2898" t="n">
        <v>33.9</v>
      </c>
      <c r="G2898" t="n">
        <v>274</v>
      </c>
      <c r="H2898" t="n">
        <v>9.419999999999999e-41</v>
      </c>
      <c r="I2898" t="inlineStr">
        <is>
          <t>TrEMBL</t>
        </is>
      </c>
      <c r="J2898" t="inlineStr"/>
      <c r="K2898" t="inlineStr">
        <is>
          <t>A0A8C5MIZ2_9ANUR</t>
        </is>
      </c>
      <c r="L2898" t="inlineStr">
        <is>
          <t>tr|A0A8C5MIZ2|A0A8C5MIZ2_9ANUR Transposase OS=Leptobrachium leishanense OX=445787 PE=4 SV=1</t>
        </is>
      </c>
      <c r="M2898" t="n">
        <v>329</v>
      </c>
      <c r="N2898" t="inlineStr">
        <is>
          <t>Leptobrachium leishanense</t>
        </is>
      </c>
      <c r="O2898" t="inlineStr">
        <is>
          <t>Transposase</t>
        </is>
      </c>
    </row>
    <row r="2899">
      <c r="A2899" t="inlineStr"/>
      <c r="B2899" t="inlineStr"/>
      <c r="C2899" t="inlineStr"/>
      <c r="D2899" t="inlineStr"/>
      <c r="E2899">
        <f>HYPERLINK("https://www.uniprot.org/uniprotkb/A0A8C5PC04/entry", "A0A8C5PC04")</f>
        <v/>
      </c>
      <c r="F2899" t="n">
        <v>34</v>
      </c>
      <c r="G2899" t="n">
        <v>282</v>
      </c>
      <c r="H2899" t="n">
        <v>1.23e-40</v>
      </c>
      <c r="I2899" t="inlineStr">
        <is>
          <t>TrEMBL</t>
        </is>
      </c>
      <c r="J2899" t="inlineStr"/>
      <c r="K2899" t="inlineStr">
        <is>
          <t>A0A8C5PC04_9ANUR</t>
        </is>
      </c>
      <c r="L2899" t="inlineStr">
        <is>
          <t>tr|A0A8C5PC04|A0A8C5PC04_9ANUR Transposase OS=Leptobrachium leishanense OX=445787 PE=4 SV=1</t>
        </is>
      </c>
      <c r="M2899" t="n">
        <v>435</v>
      </c>
      <c r="N2899" t="inlineStr">
        <is>
          <t>Leptobrachium leishanense</t>
        </is>
      </c>
      <c r="O2899" t="inlineStr">
        <is>
          <t>Transposase</t>
        </is>
      </c>
    </row>
    <row r="2900">
      <c r="A2900" t="inlineStr"/>
      <c r="B2900" t="inlineStr"/>
      <c r="C2900" t="inlineStr"/>
      <c r="D2900" t="inlineStr"/>
      <c r="E2900">
        <f>HYPERLINK("https://www.ncbi.nlm.nih.gov/gene/?term=KAI5938314.1", "KAI5938314.1")</f>
        <v/>
      </c>
      <c r="F2900" t="n">
        <v>33.1</v>
      </c>
      <c r="G2900" t="n">
        <v>305</v>
      </c>
      <c r="H2900" t="n">
        <v>2.33e-40</v>
      </c>
      <c r="I2900" t="inlineStr">
        <is>
          <t>Nr</t>
        </is>
      </c>
      <c r="J2900" t="inlineStr"/>
      <c r="K2900" t="inlineStr"/>
      <c r="L2900" t="inlineStr">
        <is>
          <t>KAI5938314.1 LINE-1 retrotransposable element ORF2 protein [Manis javanica]</t>
        </is>
      </c>
      <c r="M2900" t="n">
        <v>486</v>
      </c>
      <c r="N2900" t="inlineStr">
        <is>
          <t>Manis javanica</t>
        </is>
      </c>
      <c r="O2900" t="inlineStr">
        <is>
          <t>LINE-1 retrotransposable element ORF2 protein</t>
        </is>
      </c>
    </row>
    <row r="2901">
      <c r="A2901" t="inlineStr"/>
      <c r="B2901" t="inlineStr"/>
      <c r="C2901" t="inlineStr"/>
      <c r="D2901" t="inlineStr"/>
      <c r="E2901">
        <f>HYPERLINK("https://www.ncbi.nlm.nih.gov/gene/?term=CAI5689795.1", "CAI5689795.1")</f>
        <v/>
      </c>
      <c r="F2901" t="n">
        <v>30.4</v>
      </c>
      <c r="G2901" t="n">
        <v>306</v>
      </c>
      <c r="H2901" t="n">
        <v>3.12e-40</v>
      </c>
      <c r="I2901" t="inlineStr">
        <is>
          <t>Nr</t>
        </is>
      </c>
      <c r="J2901" t="inlineStr"/>
      <c r="K2901" t="inlineStr"/>
      <c r="L2901" t="inlineStr">
        <is>
          <t>CAI5689795.1 unnamed protein product [Mustela putorius furo]</t>
        </is>
      </c>
      <c r="M2901" t="n">
        <v>634</v>
      </c>
      <c r="N2901" t="inlineStr">
        <is>
          <t>Mustela putorius furo</t>
        </is>
      </c>
      <c r="O2901" t="inlineStr">
        <is>
          <t>unnamed protein product</t>
        </is>
      </c>
    </row>
    <row r="2902">
      <c r="A2902" t="inlineStr"/>
      <c r="B2902" t="inlineStr"/>
      <c r="C2902" t="inlineStr"/>
      <c r="D2902" t="inlineStr"/>
      <c r="E2902">
        <f>HYPERLINK("https://www.ncbi.nlm.nih.gov/gene/?term=XP_040275957.1", "XP_040275957.1")</f>
        <v/>
      </c>
      <c r="F2902" t="n">
        <v>34.3</v>
      </c>
      <c r="G2902" t="n">
        <v>277</v>
      </c>
      <c r="H2902" t="n">
        <v>3.17e-40</v>
      </c>
      <c r="I2902" t="inlineStr">
        <is>
          <t>Nr</t>
        </is>
      </c>
      <c r="J2902" t="inlineStr"/>
      <c r="K2902" t="inlineStr"/>
      <c r="L2902" t="inlineStr">
        <is>
          <t>XP_040275957.1 uncharacterized protein LOC120991127 [Bufo bufo]</t>
        </is>
      </c>
      <c r="M2902" t="n">
        <v>418</v>
      </c>
      <c r="N2902" t="inlineStr">
        <is>
          <t>Bufo bufo</t>
        </is>
      </c>
      <c r="O2902" t="inlineStr">
        <is>
          <t>uncharacterized protein LOC120991127</t>
        </is>
      </c>
    </row>
    <row r="2903">
      <c r="A2903" t="inlineStr"/>
      <c r="B2903" t="inlineStr"/>
      <c r="C2903" t="inlineStr"/>
      <c r="D2903" t="inlineStr"/>
      <c r="E2903">
        <f>HYPERLINK("https://www.ncbi.nlm.nih.gov/gene/?term=KAG8580053.1", "KAG8580053.1")</f>
        <v/>
      </c>
      <c r="F2903" t="n">
        <v>35.9</v>
      </c>
      <c r="G2903" t="n">
        <v>245</v>
      </c>
      <c r="H2903" t="n">
        <v>3.31e-40</v>
      </c>
      <c r="I2903" t="inlineStr">
        <is>
          <t>Nr</t>
        </is>
      </c>
      <c r="J2903" t="inlineStr"/>
      <c r="K2903" t="inlineStr"/>
      <c r="L2903" t="inlineStr">
        <is>
          <t>KAG8580053.1 hypothetical protein GDO81_007107 [Engystomops pustulosus]</t>
        </is>
      </c>
      <c r="M2903" t="n">
        <v>494</v>
      </c>
      <c r="N2903" t="inlineStr">
        <is>
          <t>Engystomops pustulosus</t>
        </is>
      </c>
      <c r="O2903" t="inlineStr">
        <is>
          <t>hypothetical protein GDO81_007107</t>
        </is>
      </c>
    </row>
    <row r="2904">
      <c r="A2904" t="inlineStr"/>
      <c r="B2904" t="inlineStr"/>
      <c r="C2904" t="inlineStr"/>
      <c r="D2904" t="inlineStr"/>
      <c r="E2904">
        <f>HYPERLINK("https://www.ncbi.nlm.nih.gov/gene/?term=KAI4789494.1", "KAI4789494.1")</f>
        <v/>
      </c>
      <c r="F2904" t="n">
        <v>34.9</v>
      </c>
      <c r="G2904" t="n">
        <v>298</v>
      </c>
      <c r="H2904" t="n">
        <v>3.78e-40</v>
      </c>
      <c r="I2904" t="inlineStr">
        <is>
          <t>Nr</t>
        </is>
      </c>
      <c r="J2904" t="inlineStr"/>
      <c r="K2904" t="inlineStr"/>
      <c r="L2904" t="inlineStr">
        <is>
          <t>KAI4789494.1 hypothetical protein KUCAC02_035207 [Chaenocephalus aceratus]</t>
        </is>
      </c>
      <c r="M2904" t="n">
        <v>1002</v>
      </c>
      <c r="N2904" t="inlineStr">
        <is>
          <t>Chaenocephalus aceratus</t>
        </is>
      </c>
      <c r="O2904" t="inlineStr">
        <is>
          <t>hypothetical protein KUCAC02_035207</t>
        </is>
      </c>
    </row>
    <row r="2905">
      <c r="A2905" t="inlineStr"/>
      <c r="B2905" t="inlineStr"/>
      <c r="C2905" t="inlineStr"/>
      <c r="D2905" t="inlineStr"/>
      <c r="E2905">
        <f>HYPERLINK("https://www.ncbi.nlm.nih.gov/gene/?term=EHH23378.1", "EHH23378.1")</f>
        <v/>
      </c>
      <c r="F2905" t="n">
        <v>31.1</v>
      </c>
      <c r="G2905" t="n">
        <v>305</v>
      </c>
      <c r="H2905" t="n">
        <v>7.699999999999999e-40</v>
      </c>
      <c r="I2905" t="inlineStr">
        <is>
          <t>Nr</t>
        </is>
      </c>
      <c r="J2905" t="inlineStr"/>
      <c r="K2905" t="inlineStr"/>
      <c r="L2905" t="inlineStr">
        <is>
          <t>EHH23378.1 hypothetical protein EGK_06836, partial [Macaca mulatta]</t>
        </is>
      </c>
      <c r="M2905" t="n">
        <v>314</v>
      </c>
      <c r="N2905" t="inlineStr">
        <is>
          <t>Macaca mulatta</t>
        </is>
      </c>
      <c r="O2905" t="inlineStr">
        <is>
          <t>hypothetical protein EGK_06836, partial</t>
        </is>
      </c>
    </row>
    <row r="2906">
      <c r="A2906" t="inlineStr"/>
      <c r="B2906" t="inlineStr"/>
      <c r="C2906" t="inlineStr"/>
      <c r="D2906" t="inlineStr"/>
      <c r="E2906">
        <f>HYPERLINK("https://www.ncbi.nlm.nih.gov/gene/?term=KAE8589170.1", "KAE8589170.1")</f>
        <v/>
      </c>
      <c r="F2906" t="n">
        <v>41.9</v>
      </c>
      <c r="G2906" t="n">
        <v>241</v>
      </c>
      <c r="H2906" t="n">
        <v>8.82e-40</v>
      </c>
      <c r="I2906" t="inlineStr">
        <is>
          <t>Nr</t>
        </is>
      </c>
      <c r="J2906" t="inlineStr"/>
      <c r="K2906" t="inlineStr"/>
      <c r="L2906" t="inlineStr">
        <is>
          <t>KAE8589170.1 hypothetical protein XENTR_v10022906 [Xenopus tropicalis]</t>
        </is>
      </c>
      <c r="M2906" t="n">
        <v>273</v>
      </c>
      <c r="N2906" t="inlineStr">
        <is>
          <t>Xenopus tropicalis</t>
        </is>
      </c>
      <c r="O2906" t="inlineStr">
        <is>
          <t>hypothetical protein XENTR_v10022906</t>
        </is>
      </c>
    </row>
    <row r="2907">
      <c r="A2907" t="inlineStr"/>
      <c r="B2907" t="inlineStr"/>
      <c r="C2907" t="inlineStr"/>
      <c r="D2907" t="inlineStr"/>
      <c r="E2907">
        <f>HYPERLINK("https://www.ncbi.nlm.nih.gov/gene/?term=KAG8566310.1", "KAG8566310.1")</f>
        <v/>
      </c>
      <c r="F2907" t="n">
        <v>37</v>
      </c>
      <c r="G2907" t="n">
        <v>246</v>
      </c>
      <c r="H2907" t="n">
        <v>2.21e-39</v>
      </c>
      <c r="I2907" t="inlineStr">
        <is>
          <t>Nr</t>
        </is>
      </c>
      <c r="J2907" t="inlineStr"/>
      <c r="K2907" t="inlineStr"/>
      <c r="L2907" t="inlineStr">
        <is>
          <t>KAG8566310.1 hypothetical protein GDO81_013181 [Engystomops pustulosus]</t>
        </is>
      </c>
      <c r="M2907" t="n">
        <v>911</v>
      </c>
      <c r="N2907" t="inlineStr">
        <is>
          <t>Engystomops pustulosus</t>
        </is>
      </c>
      <c r="O2907" t="inlineStr">
        <is>
          <t>hypothetical protein GDO81_013181</t>
        </is>
      </c>
    </row>
    <row r="2908">
      <c r="A2908" t="inlineStr"/>
      <c r="B2908" t="inlineStr"/>
      <c r="C2908" t="inlineStr"/>
      <c r="D2908" t="inlineStr"/>
      <c r="E2908">
        <f>HYPERLINK("https://www.uniprot.org/uniprotkb/O00370/entry", "O00370")</f>
        <v/>
      </c>
      <c r="F2908" t="n">
        <v>31.7</v>
      </c>
      <c r="G2908" t="n">
        <v>309</v>
      </c>
      <c r="H2908" t="n">
        <v>2.88e-39</v>
      </c>
      <c r="I2908" t="inlineStr">
        <is>
          <t>Swiss-Prot</t>
        </is>
      </c>
      <c r="J2908" t="inlineStr"/>
      <c r="K2908" t="inlineStr">
        <is>
          <t>LORF2_HUMAN</t>
        </is>
      </c>
      <c r="L2908" t="inlineStr">
        <is>
          <t>sp|O00370|LORF2_HUMAN LINE-1 retrotransposable element ORF2 protein OS=Homo sapiens OX=9606 PE=1 SV=1</t>
        </is>
      </c>
      <c r="M2908" t="n">
        <v>1275</v>
      </c>
      <c r="N2908" t="inlineStr">
        <is>
          <t>Homo sapiens</t>
        </is>
      </c>
      <c r="O2908" t="inlineStr">
        <is>
          <t>LINE-1 retrotransposable element ORF2 protein</t>
        </is>
      </c>
    </row>
    <row r="2909">
      <c r="A2909" t="inlineStr"/>
      <c r="B2909" t="inlineStr"/>
      <c r="C2909" t="inlineStr"/>
      <c r="D2909" t="inlineStr"/>
      <c r="E2909">
        <f>HYPERLINK("https://www.uniprot.org/uniprotkb/A0A803K9I3/entry", "A0A803K9I3")</f>
        <v/>
      </c>
      <c r="F2909" t="n">
        <v>35.9</v>
      </c>
      <c r="G2909" t="n">
        <v>234</v>
      </c>
      <c r="H2909" t="n">
        <v>5.38e-39</v>
      </c>
      <c r="I2909" t="inlineStr">
        <is>
          <t>TrEMBL</t>
        </is>
      </c>
      <c r="J2909" t="inlineStr"/>
      <c r="K2909" t="inlineStr">
        <is>
          <t>A0A803K9I3_XENTR</t>
        </is>
      </c>
      <c r="L2909" t="inlineStr">
        <is>
          <t>tr|A0A803K9I3|A0A803K9I3_XENTR LINE-1 type transposase domain-containing protein 1 OS=Xenopus tropicalis OX=8364 PE=4 SV=1</t>
        </is>
      </c>
      <c r="M2909" t="n">
        <v>424</v>
      </c>
      <c r="N2909" t="inlineStr">
        <is>
          <t>Xenopus tropicalis</t>
        </is>
      </c>
      <c r="O2909" t="inlineStr">
        <is>
          <t>LINE-1 type transposase domain-containing protein 1</t>
        </is>
      </c>
    </row>
    <row r="2910">
      <c r="A2910" t="inlineStr"/>
      <c r="B2910" t="inlineStr"/>
      <c r="C2910" t="inlineStr"/>
      <c r="D2910" t="inlineStr"/>
      <c r="E2910">
        <f>HYPERLINK("https://www.uniprot.org/uniprotkb/A0A8C5MJ26/entry", "A0A8C5MJ26")</f>
        <v/>
      </c>
      <c r="F2910" t="n">
        <v>35.7</v>
      </c>
      <c r="G2910" t="n">
        <v>238</v>
      </c>
      <c r="H2910" t="n">
        <v>6.35e-39</v>
      </c>
      <c r="I2910" t="inlineStr">
        <is>
          <t>TrEMBL</t>
        </is>
      </c>
      <c r="J2910" t="inlineStr"/>
      <c r="K2910" t="inlineStr">
        <is>
          <t>A0A8C5MJ26_9ANUR</t>
        </is>
      </c>
      <c r="L2910" t="inlineStr">
        <is>
          <t>tr|A0A8C5MJ26|A0A8C5MJ26_9ANUR LINE-1 retrotransposable element ORF2 protein OS=Leptobrachium leishanense OX=445787 PE=4 SV=1</t>
        </is>
      </c>
      <c r="M2910" t="n">
        <v>308</v>
      </c>
      <c r="N2910" t="inlineStr">
        <is>
          <t>Leptobrachium leishanense</t>
        </is>
      </c>
      <c r="O2910" t="inlineStr">
        <is>
          <t>LINE-1 retrotransposable element ORF2 protein</t>
        </is>
      </c>
    </row>
    <row r="2911">
      <c r="A2911" t="inlineStr"/>
      <c r="B2911" t="inlineStr"/>
      <c r="C2911" t="inlineStr"/>
      <c r="D2911" t="inlineStr"/>
      <c r="E2911">
        <f>HYPERLINK("https://www.ncbi.nlm.nih.gov/gene/?term=XP_044146862.1", "XP_044146862.1")</f>
        <v/>
      </c>
      <c r="F2911" t="n">
        <v>41</v>
      </c>
      <c r="G2911" t="n">
        <v>227</v>
      </c>
      <c r="H2911" t="n">
        <v>7.25e-39</v>
      </c>
      <c r="I2911" t="inlineStr">
        <is>
          <t>Nr</t>
        </is>
      </c>
      <c r="J2911" t="inlineStr"/>
      <c r="K2911" t="inlineStr"/>
      <c r="L2911" t="inlineStr">
        <is>
          <t>XP_044146862.1 vomeronasal type-2 receptor 1-like [Bufo gargarizans]</t>
        </is>
      </c>
      <c r="M2911" t="n">
        <v>886</v>
      </c>
      <c r="N2911" t="inlineStr">
        <is>
          <t>Bufo gargarizans</t>
        </is>
      </c>
      <c r="O2911" t="inlineStr">
        <is>
          <t>vomeronasal type-2 receptor 1-like</t>
        </is>
      </c>
    </row>
    <row r="2912">
      <c r="A2912" t="inlineStr"/>
      <c r="B2912" t="inlineStr"/>
      <c r="C2912" t="inlineStr"/>
      <c r="D2912" t="inlineStr"/>
      <c r="E2912">
        <f>HYPERLINK("https://www.uniprot.org/uniprotkb/A0A8C5LL14/entry", "A0A8C5LL14")</f>
        <v/>
      </c>
      <c r="F2912" t="n">
        <v>36.3</v>
      </c>
      <c r="G2912" t="n">
        <v>226</v>
      </c>
      <c r="H2912" t="n">
        <v>1.03e-38</v>
      </c>
      <c r="I2912" t="inlineStr">
        <is>
          <t>TrEMBL</t>
        </is>
      </c>
      <c r="J2912" t="inlineStr"/>
      <c r="K2912" t="inlineStr">
        <is>
          <t>A0A8C5LL14_9ANUR</t>
        </is>
      </c>
      <c r="L2912" t="inlineStr">
        <is>
          <t>tr|A0A8C5LL14|A0A8C5LL14_9ANUR LINE-1 type transposase domain-containing protein 1 OS=Leptobrachium leishanense OX=445787 PE=4 SV=1</t>
        </is>
      </c>
      <c r="M2912" t="n">
        <v>314</v>
      </c>
      <c r="N2912" t="inlineStr">
        <is>
          <t>Leptobrachium leishanense</t>
        </is>
      </c>
      <c r="O2912" t="inlineStr">
        <is>
          <t>LINE-1 type transposase domain-containing protein 1</t>
        </is>
      </c>
    </row>
    <row r="2913">
      <c r="A2913" t="inlineStr"/>
      <c r="B2913" t="inlineStr"/>
      <c r="C2913" t="inlineStr"/>
      <c r="D2913" t="inlineStr"/>
      <c r="E2913">
        <f>HYPERLINK("https://www.ncbi.nlm.nih.gov/gene/?term=XP_044146854.1", "XP_044146854.1")</f>
        <v/>
      </c>
      <c r="F2913" t="n">
        <v>38.5</v>
      </c>
      <c r="G2913" t="n">
        <v>239</v>
      </c>
      <c r="H2913" t="n">
        <v>1.26e-38</v>
      </c>
      <c r="I2913" t="inlineStr">
        <is>
          <t>Nr</t>
        </is>
      </c>
      <c r="J2913" t="inlineStr"/>
      <c r="K2913" t="inlineStr"/>
      <c r="L2913" t="inlineStr">
        <is>
          <t>XP_044146854.1 uncharacterized protein LOC122935155 [Bufo gargarizans]</t>
        </is>
      </c>
      <c r="M2913" t="n">
        <v>1479</v>
      </c>
      <c r="N2913" t="inlineStr">
        <is>
          <t>Bufo gargarizans</t>
        </is>
      </c>
      <c r="O2913" t="inlineStr">
        <is>
          <t>uncharacterized protein LOC122935155</t>
        </is>
      </c>
    </row>
    <row r="2914">
      <c r="A2914" t="inlineStr"/>
      <c r="B2914" t="inlineStr"/>
      <c r="C2914" t="inlineStr"/>
      <c r="D2914" t="inlineStr"/>
      <c r="E2914">
        <f>HYPERLINK("https://www.uniprot.org/uniprotkb/A0A3S5ABT3/entry", "A0A3S5ABT3")</f>
        <v/>
      </c>
      <c r="F2914" t="n">
        <v>33.5</v>
      </c>
      <c r="G2914" t="n">
        <v>239</v>
      </c>
      <c r="H2914" t="n">
        <v>1.49e-38</v>
      </c>
      <c r="I2914" t="inlineStr">
        <is>
          <t>TrEMBL</t>
        </is>
      </c>
      <c r="J2914" t="inlineStr">
        <is>
          <t>PXEA_LOCUS10203</t>
        </is>
      </c>
      <c r="K2914" t="inlineStr">
        <is>
          <t>A0A3S5ABT3_9PLAT</t>
        </is>
      </c>
      <c r="L2914" t="inlineStr">
        <is>
          <t>tr|A0A3S5ABT3|A0A3S5ABT3_9PLAT LINE-1 type transposase domain-containing protein 1 OS=Protopolystoma xenopodis OX=117903 GN=PXEA_LOCUS10203 PE=4 SV=1</t>
        </is>
      </c>
      <c r="M2914" t="n">
        <v>391</v>
      </c>
      <c r="N2914" t="inlineStr">
        <is>
          <t>Protopolystoma xenopodis</t>
        </is>
      </c>
      <c r="O2914" t="inlineStr">
        <is>
          <t>LINE-1 type transposase domain-containing protein 1</t>
        </is>
      </c>
    </row>
    <row r="2915">
      <c r="A2915" t="inlineStr"/>
      <c r="B2915" t="inlineStr"/>
      <c r="C2915" t="inlineStr"/>
      <c r="D2915" t="inlineStr"/>
      <c r="E2915">
        <f>HYPERLINK("https://www.ncbi.nlm.nih.gov/gene/?term=VEL16763.1", "VEL16763.1")</f>
        <v/>
      </c>
      <c r="F2915" t="n">
        <v>33.5</v>
      </c>
      <c r="G2915" t="n">
        <v>239</v>
      </c>
      <c r="H2915" t="n">
        <v>3.82e-38</v>
      </c>
      <c r="I2915" t="inlineStr">
        <is>
          <t>Nr</t>
        </is>
      </c>
      <c r="J2915" t="inlineStr"/>
      <c r="K2915" t="inlineStr"/>
      <c r="L2915" t="inlineStr">
        <is>
          <t>VEL16763.1 unnamed protein product [Protopolystoma xenopodis]</t>
        </is>
      </c>
      <c r="M2915" t="n">
        <v>391</v>
      </c>
      <c r="N2915" t="inlineStr">
        <is>
          <t>Protopolystoma xenopodis</t>
        </is>
      </c>
      <c r="O2915" t="inlineStr">
        <is>
          <t>unnamed protein product</t>
        </is>
      </c>
    </row>
    <row r="2916">
      <c r="A2916" t="inlineStr"/>
      <c r="B2916" t="inlineStr"/>
      <c r="C2916" t="inlineStr"/>
      <c r="D2916" t="inlineStr"/>
      <c r="E2916">
        <f>HYPERLINK("https://www.uniprot.org/uniprotkb/A0A2G9RUB4/entry", "A0A2G9RUB4")</f>
        <v/>
      </c>
      <c r="F2916" t="n">
        <v>37.3</v>
      </c>
      <c r="G2916" t="n">
        <v>236</v>
      </c>
      <c r="H2916" t="n">
        <v>6.549999999999999e-38</v>
      </c>
      <c r="I2916" t="inlineStr">
        <is>
          <t>TrEMBL</t>
        </is>
      </c>
      <c r="J2916" t="inlineStr">
        <is>
          <t>AB205_0176850</t>
        </is>
      </c>
      <c r="K2916" t="inlineStr">
        <is>
          <t>A0A2G9RUB4_LITCT</t>
        </is>
      </c>
      <c r="L2916" t="inlineStr">
        <is>
          <t>tr|A0A2G9RUB4|A0A2G9RUB4_LITCT LINE-1 retrotransposable element ORF2 protein (Fragment) OS=Lithobates catesbeianus OX=8400 GN=AB205_0176850 PE=4 SV=1</t>
        </is>
      </c>
      <c r="M2916" t="n">
        <v>307</v>
      </c>
      <c r="N2916" t="inlineStr">
        <is>
          <t>Lithobates catesbeianus</t>
        </is>
      </c>
      <c r="O2916" t="inlineStr">
        <is>
          <t>LINE-1 retrotransposable element ORF2 protein (Fragment)</t>
        </is>
      </c>
    </row>
    <row r="2917">
      <c r="A2917" t="inlineStr"/>
      <c r="B2917" t="inlineStr"/>
      <c r="C2917" t="inlineStr"/>
      <c r="D2917" t="inlineStr"/>
      <c r="E2917">
        <f>HYPERLINK("https://www.uniprot.org/uniprotkb/A0A8C5LV70/entry", "A0A8C5LV70")</f>
        <v/>
      </c>
      <c r="F2917" t="n">
        <v>34.2</v>
      </c>
      <c r="G2917" t="n">
        <v>284</v>
      </c>
      <c r="H2917" t="n">
        <v>9.33e-38</v>
      </c>
      <c r="I2917" t="inlineStr">
        <is>
          <t>TrEMBL</t>
        </is>
      </c>
      <c r="J2917" t="inlineStr"/>
      <c r="K2917" t="inlineStr">
        <is>
          <t>A0A8C5LV70_9ANUR</t>
        </is>
      </c>
      <c r="L2917" t="inlineStr">
        <is>
          <t>tr|A0A8C5LV70|A0A8C5LV70_9ANUR LINE-1 retrotransposable element ORF2 protein OS=Leptobrachium leishanense OX=445787 PE=4 SV=1</t>
        </is>
      </c>
      <c r="M2917" t="n">
        <v>383</v>
      </c>
      <c r="N2917" t="inlineStr">
        <is>
          <t>Leptobrachium leishanense</t>
        </is>
      </c>
      <c r="O2917" t="inlineStr">
        <is>
          <t>LINE-1 retrotransposable element ORF2 protein</t>
        </is>
      </c>
    </row>
    <row r="2918">
      <c r="A2918" t="inlineStr"/>
      <c r="B2918" t="inlineStr"/>
      <c r="C2918" t="inlineStr"/>
      <c r="D2918" t="inlineStr"/>
      <c r="E2918">
        <f>HYPERLINK("https://www.ncbi.nlm.nih.gov/gene/?term=PIO31496.1", "PIO31496.1")</f>
        <v/>
      </c>
      <c r="F2918" t="n">
        <v>37.3</v>
      </c>
      <c r="G2918" t="n">
        <v>236</v>
      </c>
      <c r="H2918" t="n">
        <v>1.68e-37</v>
      </c>
      <c r="I2918" t="inlineStr">
        <is>
          <t>Nr</t>
        </is>
      </c>
      <c r="J2918" t="inlineStr"/>
      <c r="K2918" t="inlineStr"/>
      <c r="L2918" t="inlineStr">
        <is>
          <t>PIO31496.1 hypothetical protein AB205_0176850, partial [Lithobates catesbeianus]</t>
        </is>
      </c>
      <c r="M2918" t="n">
        <v>307</v>
      </c>
      <c r="N2918" t="inlineStr">
        <is>
          <t>Lithobates catesbeianus</t>
        </is>
      </c>
      <c r="O2918" t="inlineStr">
        <is>
          <t>hypothetical protein AB205_0176850, partial</t>
        </is>
      </c>
    </row>
    <row r="2919">
      <c r="A2919" t="inlineStr"/>
      <c r="B2919" t="inlineStr"/>
      <c r="C2919" t="inlineStr"/>
      <c r="D2919" t="inlineStr"/>
      <c r="E2919">
        <f>HYPERLINK("https://www.uniprot.org/uniprotkb/A0A8C5QVX4/entry", "A0A8C5QVX4")</f>
        <v/>
      </c>
      <c r="F2919" t="n">
        <v>35.9</v>
      </c>
      <c r="G2919" t="n">
        <v>256</v>
      </c>
      <c r="H2919" t="n">
        <v>3.86e-37</v>
      </c>
      <c r="I2919" t="inlineStr">
        <is>
          <t>TrEMBL</t>
        </is>
      </c>
      <c r="J2919" t="inlineStr"/>
      <c r="K2919" t="inlineStr">
        <is>
          <t>A0A8C5QVX4_9ANUR</t>
        </is>
      </c>
      <c r="L2919" t="inlineStr">
        <is>
          <t>tr|A0A8C5QVX4|A0A8C5QVX4_9ANUR LINE-1 type transposase domain-containing 1 OS=Leptobrachium leishanense OX=445787 PE=4 SV=1</t>
        </is>
      </c>
      <c r="M2919" t="n">
        <v>340</v>
      </c>
      <c r="N2919" t="inlineStr">
        <is>
          <t>Leptobrachium leishanense</t>
        </is>
      </c>
      <c r="O2919" t="inlineStr">
        <is>
          <t>LINE-1 type transposase domain-containing 1</t>
        </is>
      </c>
    </row>
    <row r="2920">
      <c r="A2920" t="inlineStr"/>
      <c r="B2920" t="inlineStr"/>
      <c r="C2920" t="inlineStr"/>
      <c r="D2920" t="inlineStr"/>
      <c r="E2920">
        <f>HYPERLINK("https://www.uniprot.org/uniprotkb/A0A8J1JWV7/entry", "A0A8J1JWV7")</f>
        <v/>
      </c>
      <c r="F2920" t="n">
        <v>35.9</v>
      </c>
      <c r="G2920" t="n">
        <v>234</v>
      </c>
      <c r="H2920" t="n">
        <v>4.220000000000001e-37</v>
      </c>
      <c r="I2920" t="inlineStr">
        <is>
          <t>TrEMBL</t>
        </is>
      </c>
      <c r="J2920" t="inlineStr">
        <is>
          <t>nphp4</t>
        </is>
      </c>
      <c r="K2920" t="inlineStr">
        <is>
          <t>A0A8J1JWV7_XENTR</t>
        </is>
      </c>
      <c r="L2920" t="inlineStr">
        <is>
          <t>tr|A0A8J1JWV7|A0A8J1JWV7_XENTR LOW QUALITY PROTEIN: nephrocystin-4 OS=Xenopus tropicalis OX=8364 GN=nphp4 PE=4 SV=1</t>
        </is>
      </c>
      <c r="M2920" t="n">
        <v>1030</v>
      </c>
      <c r="N2920" t="inlineStr">
        <is>
          <t>Xenopus tropicalis</t>
        </is>
      </c>
      <c r="O2920" t="inlineStr">
        <is>
          <t>LOW QUALITY PROTEIN: nephrocystin-4</t>
        </is>
      </c>
    </row>
    <row r="2921">
      <c r="A2921" t="inlineStr"/>
      <c r="B2921" t="inlineStr"/>
      <c r="C2921" t="inlineStr"/>
      <c r="D2921" t="inlineStr"/>
      <c r="E2921">
        <f>HYPERLINK("https://www.ncbi.nlm.nih.gov/gene/?term=XP_031762377.1", "XP_031762377.1")</f>
        <v/>
      </c>
      <c r="F2921" t="n">
        <v>35.9</v>
      </c>
      <c r="G2921" t="n">
        <v>234</v>
      </c>
      <c r="H2921" t="n">
        <v>1.08e-36</v>
      </c>
      <c r="I2921" t="inlineStr">
        <is>
          <t>Nr</t>
        </is>
      </c>
      <c r="J2921" t="inlineStr"/>
      <c r="K2921" t="inlineStr"/>
      <c r="L2921" t="inlineStr">
        <is>
          <t>XP_031762377.1 LOW QUALITY PROTEIN: nephrocystin-4 [Xenopus tropicalis]</t>
        </is>
      </c>
      <c r="M2921" t="n">
        <v>1030</v>
      </c>
      <c r="N2921" t="inlineStr">
        <is>
          <t>Xenopus tropicalis</t>
        </is>
      </c>
      <c r="O2921" t="inlineStr">
        <is>
          <t>LOW QUALITY PROTEIN: nephrocystin-4</t>
        </is>
      </c>
    </row>
    <row r="2922">
      <c r="A2922" t="inlineStr"/>
      <c r="B2922" t="inlineStr"/>
      <c r="C2922" t="inlineStr"/>
      <c r="D2922" t="inlineStr"/>
      <c r="E2922">
        <f>HYPERLINK("https://www.uniprot.org/uniprotkb/P08548/entry", "P08548")</f>
        <v/>
      </c>
      <c r="F2922" t="n">
        <v>33.1</v>
      </c>
      <c r="G2922" t="n">
        <v>308</v>
      </c>
      <c r="H2922" t="n">
        <v>2.37e-36</v>
      </c>
      <c r="I2922" t="inlineStr">
        <is>
          <t>Swiss-Prot</t>
        </is>
      </c>
      <c r="J2922" t="inlineStr"/>
      <c r="K2922" t="inlineStr">
        <is>
          <t>LIN1_NYCCO</t>
        </is>
      </c>
      <c r="L2922" t="inlineStr">
        <is>
          <t>sp|P08548|LIN1_NYCCO LINE-1 reverse transcriptase homolog OS=Nycticebus coucang OX=9470 PE=4 SV=1</t>
        </is>
      </c>
      <c r="M2922" t="n">
        <v>1260</v>
      </c>
      <c r="N2922" t="inlineStr">
        <is>
          <t>Nycticebus coucang</t>
        </is>
      </c>
      <c r="O2922" t="inlineStr">
        <is>
          <t>LINE-1 reverse transcriptase homolog</t>
        </is>
      </c>
    </row>
    <row r="2923">
      <c r="A2923" t="inlineStr"/>
      <c r="B2923" t="inlineStr"/>
      <c r="C2923" t="inlineStr"/>
      <c r="D2923" t="inlineStr"/>
      <c r="E2923">
        <f>HYPERLINK("https://www.uniprot.org/uniprotkb/A0A803K9Z1/entry", "A0A803K9Z1")</f>
        <v/>
      </c>
      <c r="F2923" t="n">
        <v>38.5</v>
      </c>
      <c r="G2923" t="n">
        <v>226</v>
      </c>
      <c r="H2923" t="n">
        <v>2.39e-36</v>
      </c>
      <c r="I2923" t="inlineStr">
        <is>
          <t>TrEMBL</t>
        </is>
      </c>
      <c r="J2923" t="inlineStr"/>
      <c r="K2923" t="inlineStr">
        <is>
          <t>A0A803K9Z1_XENTR</t>
        </is>
      </c>
      <c r="L2923" t="inlineStr">
        <is>
          <t>tr|A0A803K9Z1|A0A803K9Z1_XENTR Transposase_22 domain-containing protein OS=Xenopus tropicalis OX=8364 PE=4 SV=1</t>
        </is>
      </c>
      <c r="M2923" t="n">
        <v>289</v>
      </c>
      <c r="N2923" t="inlineStr">
        <is>
          <t>Xenopus tropicalis</t>
        </is>
      </c>
      <c r="O2923" t="inlineStr">
        <is>
          <t>Transposase_22 domain-containing protein</t>
        </is>
      </c>
    </row>
    <row r="2924">
      <c r="A2924" t="inlineStr"/>
      <c r="B2924" t="inlineStr"/>
      <c r="C2924" t="inlineStr"/>
      <c r="D2924" t="inlineStr"/>
      <c r="E2924">
        <f>HYPERLINK("https://www.uniprot.org/uniprotkb/A0A8C5LVP8/entry", "A0A8C5LVP8")</f>
        <v/>
      </c>
      <c r="F2924" t="n">
        <v>35.1</v>
      </c>
      <c r="G2924" t="n">
        <v>276</v>
      </c>
      <c r="H2924" t="n">
        <v>3.2e-36</v>
      </c>
      <c r="I2924" t="inlineStr">
        <is>
          <t>TrEMBL</t>
        </is>
      </c>
      <c r="J2924" t="inlineStr"/>
      <c r="K2924" t="inlineStr">
        <is>
          <t>A0A8C5LVP8_9ANUR</t>
        </is>
      </c>
      <c r="L2924" t="inlineStr">
        <is>
          <t>tr|A0A8C5LVP8|A0A8C5LVP8_9ANUR LINE-1 retrotransposable element ORF2 protein OS=Leptobrachium leishanense OX=445787 PE=4 SV=1</t>
        </is>
      </c>
      <c r="M2924" t="n">
        <v>345</v>
      </c>
      <c r="N2924" t="inlineStr">
        <is>
          <t>Leptobrachium leishanense</t>
        </is>
      </c>
      <c r="O2924" t="inlineStr">
        <is>
          <t>LINE-1 retrotransposable element ORF2 protein</t>
        </is>
      </c>
    </row>
    <row r="2925">
      <c r="A2925" t="inlineStr"/>
      <c r="B2925" t="inlineStr"/>
      <c r="C2925" t="inlineStr"/>
      <c r="D2925" t="inlineStr"/>
      <c r="E2925">
        <f>HYPERLINK("https://www.uniprot.org/uniprotkb/A0A8C5M7N6/entry", "A0A8C5M7N6")</f>
        <v/>
      </c>
      <c r="F2925" t="n">
        <v>34.6</v>
      </c>
      <c r="G2925" t="n">
        <v>246</v>
      </c>
      <c r="H2925" t="n">
        <v>1.1e-35</v>
      </c>
      <c r="I2925" t="inlineStr">
        <is>
          <t>TrEMBL</t>
        </is>
      </c>
      <c r="J2925" t="inlineStr"/>
      <c r="K2925" t="inlineStr">
        <is>
          <t>A0A8C5M7N6_9ANUR</t>
        </is>
      </c>
      <c r="L2925" t="inlineStr">
        <is>
          <t>tr|A0A8C5M7N6|A0A8C5M7N6_9ANUR Tick transposon OS=Leptobrachium leishanense OX=445787 PE=4 SV=1</t>
        </is>
      </c>
      <c r="M2925" t="n">
        <v>356</v>
      </c>
      <c r="N2925" t="inlineStr">
        <is>
          <t>Leptobrachium leishanense</t>
        </is>
      </c>
      <c r="O2925" t="inlineStr">
        <is>
          <t>Tick transposon</t>
        </is>
      </c>
    </row>
    <row r="2926">
      <c r="A2926" t="inlineStr"/>
      <c r="B2926" t="inlineStr"/>
      <c r="C2926" t="inlineStr"/>
      <c r="D2926" t="inlineStr"/>
      <c r="E2926">
        <f>HYPERLINK("https://www.uniprot.org/uniprotkb/A0A8C5PDJ6/entry", "A0A8C5PDJ6")</f>
        <v/>
      </c>
      <c r="F2926" t="n">
        <v>32.2</v>
      </c>
      <c r="G2926" t="n">
        <v>270</v>
      </c>
      <c r="H2926" t="n">
        <v>1.6e-35</v>
      </c>
      <c r="I2926" t="inlineStr">
        <is>
          <t>TrEMBL</t>
        </is>
      </c>
      <c r="J2926" t="inlineStr"/>
      <c r="K2926" t="inlineStr">
        <is>
          <t>A0A8C5PDJ6_9ANUR</t>
        </is>
      </c>
      <c r="L2926" t="inlineStr">
        <is>
          <t>tr|A0A8C5PDJ6|A0A8C5PDJ6_9ANUR LINE-1 type transposase domain-containing protein 1 OS=Leptobrachium leishanense OX=445787 PE=4 SV=1</t>
        </is>
      </c>
      <c r="M2926" t="n">
        <v>358</v>
      </c>
      <c r="N2926" t="inlineStr">
        <is>
          <t>Leptobrachium leishanense</t>
        </is>
      </c>
      <c r="O2926" t="inlineStr">
        <is>
          <t>LINE-1 type transposase domain-containing protein 1</t>
        </is>
      </c>
    </row>
    <row r="2927">
      <c r="A2927" t="inlineStr"/>
      <c r="B2927" t="inlineStr"/>
      <c r="C2927" t="inlineStr"/>
      <c r="D2927" t="inlineStr"/>
      <c r="E2927">
        <f>HYPERLINK("https://www.uniprot.org/uniprotkb/A0A803JMB6/entry", "A0A803JMB6")</f>
        <v/>
      </c>
      <c r="F2927" t="n">
        <v>34.6</v>
      </c>
      <c r="G2927" t="n">
        <v>240</v>
      </c>
      <c r="H2927" t="n">
        <v>1.78e-35</v>
      </c>
      <c r="I2927" t="inlineStr">
        <is>
          <t>TrEMBL</t>
        </is>
      </c>
      <c r="J2927" t="inlineStr"/>
      <c r="K2927" t="inlineStr">
        <is>
          <t>A0A803JMB6_XENTR</t>
        </is>
      </c>
      <c r="L2927" t="inlineStr">
        <is>
          <t>tr|A0A803JMB6|A0A803JMB6_XENTR LINE-1 type transposase domain-containing protein 1 OS=Xenopus tropicalis OX=8364 PE=4 SV=1</t>
        </is>
      </c>
      <c r="M2927" t="n">
        <v>363</v>
      </c>
      <c r="N2927" t="inlineStr">
        <is>
          <t>Xenopus tropicalis</t>
        </is>
      </c>
      <c r="O2927" t="inlineStr">
        <is>
          <t>LINE-1 type transposase domain-containing protein 1</t>
        </is>
      </c>
    </row>
    <row r="2928">
      <c r="A2928" t="inlineStr"/>
      <c r="B2928" t="inlineStr"/>
      <c r="C2928" t="inlineStr"/>
      <c r="D2928" t="inlineStr"/>
      <c r="E2928">
        <f>HYPERLINK("https://www.uniprot.org/uniprotkb/A0A8C5PVC9/entry", "A0A8C5PVC9")</f>
        <v/>
      </c>
      <c r="F2928" t="n">
        <v>35.6</v>
      </c>
      <c r="G2928" t="n">
        <v>239</v>
      </c>
      <c r="H2928" t="n">
        <v>1.94e-35</v>
      </c>
      <c r="I2928" t="inlineStr">
        <is>
          <t>TrEMBL</t>
        </is>
      </c>
      <c r="J2928" t="inlineStr"/>
      <c r="K2928" t="inlineStr">
        <is>
          <t>A0A8C5PVC9_9ANUR</t>
        </is>
      </c>
      <c r="L2928" t="inlineStr">
        <is>
          <t>tr|A0A8C5PVC9|A0A8C5PVC9_9ANUR Uncharacterized protein OS=Leptobrachium leishanense OX=445787 PE=4 SV=1</t>
        </is>
      </c>
      <c r="M2928" t="n">
        <v>384</v>
      </c>
      <c r="N2928" t="inlineStr">
        <is>
          <t>Leptobrachium leishanense</t>
        </is>
      </c>
      <c r="O2928" t="inlineStr">
        <is>
          <t>Uncharacterized protein</t>
        </is>
      </c>
    </row>
    <row r="2929">
      <c r="A2929" t="inlineStr"/>
      <c r="B2929" t="inlineStr"/>
      <c r="C2929" t="inlineStr"/>
      <c r="D2929" t="inlineStr"/>
      <c r="E2929">
        <f>HYPERLINK("https://www.uniprot.org/uniprotkb/A0A8C5LUK7/entry", "A0A8C5LUK7")</f>
        <v/>
      </c>
      <c r="F2929" t="n">
        <v>33.6</v>
      </c>
      <c r="G2929" t="n">
        <v>238</v>
      </c>
      <c r="H2929" t="n">
        <v>3.38e-35</v>
      </c>
      <c r="I2929" t="inlineStr">
        <is>
          <t>TrEMBL</t>
        </is>
      </c>
      <c r="J2929" t="inlineStr"/>
      <c r="K2929" t="inlineStr">
        <is>
          <t>A0A8C5LUK7_9ANUR</t>
        </is>
      </c>
      <c r="L2929" t="inlineStr">
        <is>
          <t>tr|A0A8C5LUK7|A0A8C5LUK7_9ANUR LINE-1 type transposase domain-containing protein 1 OS=Leptobrachium leishanense OX=445787 PE=4 SV=1</t>
        </is>
      </c>
      <c r="M2929" t="n">
        <v>362</v>
      </c>
      <c r="N2929" t="inlineStr">
        <is>
          <t>Leptobrachium leishanense</t>
        </is>
      </c>
      <c r="O2929" t="inlineStr">
        <is>
          <t>LINE-1 type transposase domain-containing protein 1</t>
        </is>
      </c>
    </row>
    <row r="2930">
      <c r="A2930" t="inlineStr"/>
      <c r="B2930" t="inlineStr"/>
      <c r="C2930" t="inlineStr"/>
      <c r="D2930" t="inlineStr"/>
      <c r="E2930">
        <f>HYPERLINK("https://www.uniprot.org/uniprotkb/A0A8C5R5T1/entry", "A0A8C5R5T1")</f>
        <v/>
      </c>
      <c r="F2930" t="n">
        <v>33.6</v>
      </c>
      <c r="G2930" t="n">
        <v>238</v>
      </c>
      <c r="H2930" t="n">
        <v>4.71e-35</v>
      </c>
      <c r="I2930" t="inlineStr">
        <is>
          <t>TrEMBL</t>
        </is>
      </c>
      <c r="J2930" t="inlineStr"/>
      <c r="K2930" t="inlineStr">
        <is>
          <t>A0A8C5R5T1_9ANUR</t>
        </is>
      </c>
      <c r="L2930" t="inlineStr">
        <is>
          <t>tr|A0A8C5R5T1|A0A8C5R5T1_9ANUR LINE-1 retrotransposable element ORF1 protein OS=Leptobrachium leishanense OX=445787 PE=4 SV=1</t>
        </is>
      </c>
      <c r="M2930" t="n">
        <v>362</v>
      </c>
      <c r="N2930" t="inlineStr">
        <is>
          <t>Leptobrachium leishanense</t>
        </is>
      </c>
      <c r="O2930" t="inlineStr">
        <is>
          <t>LINE-1 retrotransposable element ORF1 protein</t>
        </is>
      </c>
    </row>
    <row r="2931">
      <c r="A2931" t="inlineStr"/>
      <c r="B2931" t="inlineStr"/>
      <c r="C2931" t="inlineStr"/>
      <c r="D2931" t="inlineStr"/>
      <c r="E2931">
        <f>HYPERLINK("https://www.uniprot.org/uniprotkb/A0A8C5PTI2/entry", "A0A8C5PTI2")</f>
        <v/>
      </c>
      <c r="F2931" t="n">
        <v>34</v>
      </c>
      <c r="G2931" t="n">
        <v>247</v>
      </c>
      <c r="H2931" t="n">
        <v>1.21e-34</v>
      </c>
      <c r="I2931" t="inlineStr">
        <is>
          <t>TrEMBL</t>
        </is>
      </c>
      <c r="J2931" t="inlineStr"/>
      <c r="K2931" t="inlineStr">
        <is>
          <t>A0A8C5PTI2_9ANUR</t>
        </is>
      </c>
      <c r="L2931" t="inlineStr">
        <is>
          <t>tr|A0A8C5PTI2|A0A8C5PTI2_9ANUR t-SNARE coiled-coil homology domain-containing protein OS=Leptobrachium leishanense OX=445787 PE=4 SV=1</t>
        </is>
      </c>
      <c r="M2931" t="n">
        <v>271</v>
      </c>
      <c r="N2931" t="inlineStr">
        <is>
          <t>Leptobrachium leishanense</t>
        </is>
      </c>
      <c r="O2931" t="inlineStr">
        <is>
          <t>t-SNARE coiled-coil homology domain-containing protein</t>
        </is>
      </c>
    </row>
    <row r="2932">
      <c r="A2932" t="inlineStr"/>
      <c r="B2932" t="inlineStr"/>
      <c r="C2932" t="inlineStr"/>
      <c r="D2932" t="inlineStr"/>
      <c r="E2932">
        <f>HYPERLINK("https://www.uniprot.org/uniprotkb/A0A8C5LWR2/entry", "A0A8C5LWR2")</f>
        <v/>
      </c>
      <c r="F2932" t="n">
        <v>34.9</v>
      </c>
      <c r="G2932" t="n">
        <v>238</v>
      </c>
      <c r="H2932" t="n">
        <v>1.25e-34</v>
      </c>
      <c r="I2932" t="inlineStr">
        <is>
          <t>TrEMBL</t>
        </is>
      </c>
      <c r="J2932" t="inlineStr"/>
      <c r="K2932" t="inlineStr">
        <is>
          <t>A0A8C5LWR2_9ANUR</t>
        </is>
      </c>
      <c r="L2932" t="inlineStr">
        <is>
          <t>tr|A0A8C5LWR2|A0A8C5LWR2_9ANUR Transposase_22 domain-containing protein OS=Leptobrachium leishanense OX=445787 PE=4 SV=1</t>
        </is>
      </c>
      <c r="M2932" t="n">
        <v>345</v>
      </c>
      <c r="N2932" t="inlineStr">
        <is>
          <t>Leptobrachium leishanense</t>
        </is>
      </c>
      <c r="O2932" t="inlineStr">
        <is>
          <t>Transposase_22 domain-containing protein</t>
        </is>
      </c>
    </row>
    <row r="2933">
      <c r="A2933" t="inlineStr"/>
      <c r="B2933" t="inlineStr"/>
      <c r="C2933" t="inlineStr"/>
      <c r="D2933" t="inlineStr"/>
      <c r="E2933">
        <f>HYPERLINK("https://www.ncbi.nlm.nih.gov/gene/?term=KAG8451976.1", "KAG8451976.1")</f>
        <v/>
      </c>
      <c r="F2933" t="n">
        <v>35</v>
      </c>
      <c r="G2933" t="n">
        <v>234</v>
      </c>
      <c r="H2933" t="n">
        <v>6.029999999999999e-34</v>
      </c>
      <c r="I2933" t="inlineStr">
        <is>
          <t>Nr</t>
        </is>
      </c>
      <c r="J2933" t="inlineStr"/>
      <c r="K2933" t="inlineStr"/>
      <c r="L2933" t="inlineStr">
        <is>
          <t>KAG8451976.1 hypothetical protein GDO86_003963 [Hymenochirus boettgeri]</t>
        </is>
      </c>
      <c r="M2933" t="n">
        <v>431</v>
      </c>
      <c r="N2933" t="inlineStr">
        <is>
          <t>Hymenochirus boettgeri</t>
        </is>
      </c>
      <c r="O2933" t="inlineStr">
        <is>
          <t>hypothetical protein GDO86_003963</t>
        </is>
      </c>
    </row>
    <row r="2934">
      <c r="A2934" t="inlineStr"/>
      <c r="B2934" t="inlineStr"/>
      <c r="C2934" t="inlineStr"/>
      <c r="D2934" t="inlineStr"/>
      <c r="E2934">
        <f>HYPERLINK("https://www.ncbi.nlm.nih.gov/gene/?term=KAG8584414.1", "KAG8584414.1")</f>
        <v/>
      </c>
      <c r="F2934" t="n">
        <v>35.7</v>
      </c>
      <c r="G2934" t="n">
        <v>241</v>
      </c>
      <c r="H2934" t="n">
        <v>8.93e-34</v>
      </c>
      <c r="I2934" t="inlineStr">
        <is>
          <t>Nr</t>
        </is>
      </c>
      <c r="J2934" t="inlineStr"/>
      <c r="K2934" t="inlineStr"/>
      <c r="L2934" t="inlineStr">
        <is>
          <t>KAG8584414.1 hypothetical protein GDO81_008823 [Engystomops pustulosus]</t>
        </is>
      </c>
      <c r="M2934" t="n">
        <v>478</v>
      </c>
      <c r="N2934" t="inlineStr">
        <is>
          <t>Engystomops pustulosus</t>
        </is>
      </c>
      <c r="O2934" t="inlineStr">
        <is>
          <t>hypothetical protein GDO81_008823</t>
        </is>
      </c>
    </row>
    <row r="2935">
      <c r="A2935" t="inlineStr"/>
      <c r="B2935" t="inlineStr"/>
      <c r="C2935" t="inlineStr"/>
      <c r="D2935" t="inlineStr"/>
      <c r="E2935">
        <f>HYPERLINK("https://www.ncbi.nlm.nih.gov/gene/?term=OCT86463.1", "OCT86463.1")</f>
        <v/>
      </c>
      <c r="F2935" t="n">
        <v>42.4</v>
      </c>
      <c r="G2935" t="n">
        <v>257</v>
      </c>
      <c r="H2935" t="n">
        <v>1e-33</v>
      </c>
      <c r="I2935" t="inlineStr">
        <is>
          <t>Nr</t>
        </is>
      </c>
      <c r="J2935" t="inlineStr"/>
      <c r="K2935" t="inlineStr"/>
      <c r="L2935" t="inlineStr">
        <is>
          <t>OCT86463.1 hypothetical protein XELAEV_18020146mg [Xenopus laevis]</t>
        </is>
      </c>
      <c r="M2935" t="n">
        <v>822</v>
      </c>
      <c r="N2935" t="inlineStr">
        <is>
          <t>Xenopus laevis</t>
        </is>
      </c>
      <c r="O2935" t="inlineStr">
        <is>
          <t>hypothetical protein XELAEV_18020146mg</t>
        </is>
      </c>
    </row>
    <row r="2936">
      <c r="A2936" t="inlineStr"/>
      <c r="B2936" t="inlineStr"/>
      <c r="C2936" t="inlineStr"/>
      <c r="D2936" t="inlineStr"/>
      <c r="E2936">
        <f>HYPERLINK("https://www.ncbi.nlm.nih.gov/gene/?term=XP_040270366.1", "XP_040270366.1")</f>
        <v/>
      </c>
      <c r="F2936" t="n">
        <v>34.9</v>
      </c>
      <c r="G2936" t="n">
        <v>232</v>
      </c>
      <c r="H2936" t="n">
        <v>8.53e-33</v>
      </c>
      <c r="I2936" t="inlineStr">
        <is>
          <t>Nr</t>
        </is>
      </c>
      <c r="J2936" t="inlineStr"/>
      <c r="K2936" t="inlineStr"/>
      <c r="L2936" t="inlineStr">
        <is>
          <t>XP_040270366.1 uncharacterized protein LOC120986071 [Bufo bufo]</t>
        </is>
      </c>
      <c r="M2936" t="n">
        <v>413</v>
      </c>
      <c r="N2936" t="inlineStr">
        <is>
          <t>Bufo bufo</t>
        </is>
      </c>
      <c r="O2936" t="inlineStr">
        <is>
          <t>uncharacterized protein LOC120986071</t>
        </is>
      </c>
    </row>
    <row r="2937">
      <c r="A2937" t="inlineStr"/>
      <c r="B2937" t="inlineStr"/>
      <c r="C2937" t="inlineStr"/>
      <c r="D2937" t="inlineStr"/>
      <c r="E2937">
        <f>HYPERLINK("https://www.ncbi.nlm.nih.gov/gene/?term=XP_018409373.1", "XP_018409373.1")</f>
        <v/>
      </c>
      <c r="F2937" t="n">
        <v>35.4</v>
      </c>
      <c r="G2937" t="n">
        <v>240</v>
      </c>
      <c r="H2937" t="n">
        <v>1.91e-31</v>
      </c>
      <c r="I2937" t="inlineStr">
        <is>
          <t>Nr</t>
        </is>
      </c>
      <c r="J2937" t="inlineStr"/>
      <c r="K2937" t="inlineStr"/>
      <c r="L2937" t="inlineStr">
        <is>
          <t>XP_018409373.1 PREDICTED: dynein heavy chain 3, axonemal-like [Nanorana parkeri]</t>
        </is>
      </c>
      <c r="M2937" t="n">
        <v>4416</v>
      </c>
      <c r="N2937" t="inlineStr">
        <is>
          <t>Nanorana parkeri</t>
        </is>
      </c>
      <c r="O2937" t="inlineStr">
        <is>
          <t>PREDICTED: dynein heavy chain 3, axonemal-like</t>
        </is>
      </c>
    </row>
    <row r="2938">
      <c r="A2938" t="inlineStr"/>
      <c r="B2938" t="inlineStr"/>
      <c r="C2938" t="inlineStr"/>
      <c r="D2938" t="inlineStr"/>
      <c r="E2938">
        <f>HYPERLINK("https://www.ncbi.nlm.nih.gov/gene/?term=XP_040194428.1", "XP_040194428.1")</f>
        <v/>
      </c>
      <c r="F2938" t="n">
        <v>34.8</v>
      </c>
      <c r="G2938" t="n">
        <v>233</v>
      </c>
      <c r="H2938" t="n">
        <v>9.36e-31</v>
      </c>
      <c r="I2938" t="inlineStr">
        <is>
          <t>Nr</t>
        </is>
      </c>
      <c r="J2938" t="inlineStr"/>
      <c r="K2938" t="inlineStr"/>
      <c r="L2938" t="inlineStr">
        <is>
          <t>XP_040194428.1 uncharacterized protein LOC120927670 [Rana temporaria]</t>
        </is>
      </c>
      <c r="M2938" t="n">
        <v>346</v>
      </c>
      <c r="N2938" t="inlineStr">
        <is>
          <t>Rana temporaria</t>
        </is>
      </c>
      <c r="O2938" t="inlineStr">
        <is>
          <t>uncharacterized protein LOC120927670</t>
        </is>
      </c>
    </row>
    <row r="2939">
      <c r="A2939" t="inlineStr"/>
      <c r="B2939" t="inlineStr"/>
      <c r="C2939" t="inlineStr"/>
      <c r="D2939" t="inlineStr"/>
      <c r="E2939">
        <f>HYPERLINK("https://www.uniprot.org/uniprotkb/A0A8C5WDD9/entry", "A0A8C5WDD9")</f>
        <v/>
      </c>
      <c r="F2939" t="n">
        <v>37.3</v>
      </c>
      <c r="G2939" t="n">
        <v>142</v>
      </c>
      <c r="H2939" t="n">
        <v>7.949999999999999e-30</v>
      </c>
      <c r="I2939" t="inlineStr">
        <is>
          <t>TrEMBL</t>
        </is>
      </c>
      <c r="J2939" t="inlineStr"/>
      <c r="K2939" t="inlineStr">
        <is>
          <t>A0A8C5WDD9_9ANUR</t>
        </is>
      </c>
      <c r="L2939" t="inlineStr">
        <is>
          <t>tr|A0A8C5WDD9|A0A8C5WDD9_9ANUR Zf-RVT domain-containing protein OS=Leptobrachium leishanense OX=445787 PE=4 SV=1</t>
        </is>
      </c>
      <c r="M2939" t="n">
        <v>283</v>
      </c>
      <c r="N2939" t="inlineStr">
        <is>
          <t>Leptobrachium leishanense</t>
        </is>
      </c>
      <c r="O2939" t="inlineStr">
        <is>
          <t>Zf-RVT domain-containing protein</t>
        </is>
      </c>
    </row>
    <row r="2940">
      <c r="A2940" t="inlineStr"/>
      <c r="B2940" t="inlineStr"/>
      <c r="C2940" t="inlineStr"/>
      <c r="D2940" t="inlineStr"/>
      <c r="E2940">
        <f>HYPERLINK("https://www.ncbi.nlm.nih.gov/gene/?term=CAH2330124.1", "CAH2330124.1")</f>
        <v/>
      </c>
      <c r="F2940" t="n">
        <v>38.6</v>
      </c>
      <c r="G2940" t="n">
        <v>215</v>
      </c>
      <c r="H2940" t="n">
        <v>9.549999999999999e-30</v>
      </c>
      <c r="I2940" t="inlineStr">
        <is>
          <t>Nr</t>
        </is>
      </c>
      <c r="J2940" t="inlineStr"/>
      <c r="K2940" t="inlineStr"/>
      <c r="L2940" t="inlineStr">
        <is>
          <t>CAH2330124.1 Hypothetical predicted protein [Pelobates cultripes]</t>
        </is>
      </c>
      <c r="M2940" t="n">
        <v>330</v>
      </c>
      <c r="N2940" t="inlineStr">
        <is>
          <t>Pelobates cultripes</t>
        </is>
      </c>
      <c r="O2940" t="inlineStr">
        <is>
          <t>Hypothetical predicted protein</t>
        </is>
      </c>
    </row>
    <row r="2941">
      <c r="A2941" t="inlineStr"/>
      <c r="B2941" t="inlineStr"/>
      <c r="C2941" t="inlineStr"/>
      <c r="D2941" t="inlineStr"/>
      <c r="E2941">
        <f>HYPERLINK("https://www.ncbi.nlm.nih.gov/gene/?term=OCT96131.1", "OCT96131.1")</f>
        <v/>
      </c>
      <c r="F2941" t="n">
        <v>28.6</v>
      </c>
      <c r="G2941" t="n">
        <v>287</v>
      </c>
      <c r="H2941" t="n">
        <v>1e-29</v>
      </c>
      <c r="I2941" t="inlineStr">
        <is>
          <t>Nr</t>
        </is>
      </c>
      <c r="J2941" t="inlineStr"/>
      <c r="K2941" t="inlineStr"/>
      <c r="L2941" t="inlineStr">
        <is>
          <t>OCT96131.1 hypothetical protein XELAEV_18013814mg, partial [Xenopus laevis]</t>
        </is>
      </c>
      <c r="M2941" t="n">
        <v>624</v>
      </c>
      <c r="N2941" t="inlineStr">
        <is>
          <t>Xenopus laevis</t>
        </is>
      </c>
      <c r="O2941" t="inlineStr">
        <is>
          <t>hypothetical protein XELAEV_18013814mg, partial</t>
        </is>
      </c>
    </row>
    <row r="2942">
      <c r="A2942" t="inlineStr"/>
      <c r="B2942" t="inlineStr"/>
      <c r="C2942" t="inlineStr"/>
      <c r="D2942" t="inlineStr"/>
      <c r="E2942">
        <f>HYPERLINK("https://www.ncbi.nlm.nih.gov/gene/?term=XP_040272583.1", "XP_040272583.1")</f>
        <v/>
      </c>
      <c r="F2942" t="n">
        <v>34.6</v>
      </c>
      <c r="G2942" t="n">
        <v>217</v>
      </c>
      <c r="H2942" t="n">
        <v>1.35e-29</v>
      </c>
      <c r="I2942" t="inlineStr">
        <is>
          <t>Nr</t>
        </is>
      </c>
      <c r="J2942" t="inlineStr"/>
      <c r="K2942" t="inlineStr"/>
      <c r="L2942" t="inlineStr">
        <is>
          <t>XP_040272583.1 uncharacterized protein LOC120988885 [Bufo bufo]</t>
        </is>
      </c>
      <c r="M2942" t="n">
        <v>229</v>
      </c>
      <c r="N2942" t="inlineStr">
        <is>
          <t>Bufo bufo</t>
        </is>
      </c>
      <c r="O2942" t="inlineStr">
        <is>
          <t>uncharacterized protein LOC120988885</t>
        </is>
      </c>
    </row>
    <row r="2943">
      <c r="A2943" t="inlineStr"/>
      <c r="B2943" t="inlineStr"/>
      <c r="C2943" t="inlineStr"/>
      <c r="D2943" t="inlineStr"/>
      <c r="E2943">
        <f>HYPERLINK("https://www.ncbi.nlm.nih.gov/gene/?term=OCT87317.1", "OCT87317.1")</f>
        <v/>
      </c>
      <c r="F2943" t="n">
        <v>30.6</v>
      </c>
      <c r="G2943" t="n">
        <v>337</v>
      </c>
      <c r="H2943" t="n">
        <v>1.71e-29</v>
      </c>
      <c r="I2943" t="inlineStr">
        <is>
          <t>Nr</t>
        </is>
      </c>
      <c r="J2943" t="inlineStr"/>
      <c r="K2943" t="inlineStr"/>
      <c r="L2943" t="inlineStr">
        <is>
          <t>OCT87317.1 hypothetical protein XELAEV_18021015mg, partial [Xenopus laevis]</t>
        </is>
      </c>
      <c r="M2943" t="n">
        <v>326</v>
      </c>
      <c r="N2943" t="inlineStr">
        <is>
          <t>Xenopus laevis</t>
        </is>
      </c>
      <c r="O2943" t="inlineStr">
        <is>
          <t>hypothetical protein XELAEV_18021015mg, partial</t>
        </is>
      </c>
    </row>
    <row r="2944">
      <c r="A2944" t="inlineStr"/>
      <c r="B2944" t="inlineStr"/>
      <c r="C2944" t="inlineStr"/>
      <c r="D2944" t="inlineStr"/>
      <c r="E2944">
        <f>HYPERLINK("https://www.ncbi.nlm.nih.gov/gene/?term=XP_044126392.1", "XP_044126392.1")</f>
        <v/>
      </c>
      <c r="F2944" t="n">
        <v>33.9</v>
      </c>
      <c r="G2944" t="n">
        <v>248</v>
      </c>
      <c r="H2944" t="n">
        <v>3.13e-29</v>
      </c>
      <c r="I2944" t="inlineStr">
        <is>
          <t>Nr</t>
        </is>
      </c>
      <c r="J2944" t="inlineStr"/>
      <c r="K2944" t="inlineStr"/>
      <c r="L2944" t="inlineStr">
        <is>
          <t>XP_044126392.1 receptor-type tyrosine-protein phosphatase beta-like [Bufo gargarizans]</t>
        </is>
      </c>
      <c r="M2944" t="n">
        <v>2854</v>
      </c>
      <c r="N2944" t="inlineStr">
        <is>
          <t>Bufo gargarizans</t>
        </is>
      </c>
      <c r="O2944" t="inlineStr">
        <is>
          <t>receptor-type tyrosine-protein phosphatase beta-like</t>
        </is>
      </c>
    </row>
    <row r="2945">
      <c r="A2945" t="inlineStr"/>
      <c r="B2945" t="inlineStr"/>
      <c r="C2945" t="inlineStr"/>
      <c r="D2945" t="inlineStr"/>
      <c r="E2945">
        <f>HYPERLINK("https://www.ncbi.nlm.nih.gov/gene/?term=XP_040297463.1", "XP_040297463.1")</f>
        <v/>
      </c>
      <c r="F2945" t="n">
        <v>33.7</v>
      </c>
      <c r="G2945" t="n">
        <v>249</v>
      </c>
      <c r="H2945" t="n">
        <v>3.16e-29</v>
      </c>
      <c r="I2945" t="inlineStr">
        <is>
          <t>Nr</t>
        </is>
      </c>
      <c r="J2945" t="inlineStr"/>
      <c r="K2945" t="inlineStr"/>
      <c r="L2945" t="inlineStr">
        <is>
          <t>XP_040297463.1 lactase-phlorizin hydrolase-like [Bufo bufo]</t>
        </is>
      </c>
      <c r="M2945" t="n">
        <v>3165</v>
      </c>
      <c r="N2945" t="inlineStr">
        <is>
          <t>Bufo bufo</t>
        </is>
      </c>
      <c r="O2945" t="inlineStr">
        <is>
          <t>lactase-phlorizin hydrolase-like</t>
        </is>
      </c>
    </row>
    <row r="2946">
      <c r="A2946" t="inlineStr"/>
      <c r="B2946" t="inlineStr"/>
      <c r="C2946" t="inlineStr"/>
      <c r="D2946" t="inlineStr"/>
      <c r="E2946">
        <f>HYPERLINK("https://www.ncbi.nlm.nih.gov/gene/?term=KAG8551096.1", "KAG8551096.1")</f>
        <v/>
      </c>
      <c r="F2946" t="n">
        <v>37.4</v>
      </c>
      <c r="G2946" t="n">
        <v>235</v>
      </c>
      <c r="H2946" t="n">
        <v>4.14e-29</v>
      </c>
      <c r="I2946" t="inlineStr">
        <is>
          <t>Nr</t>
        </is>
      </c>
      <c r="J2946" t="inlineStr"/>
      <c r="K2946" t="inlineStr"/>
      <c r="L2946" t="inlineStr">
        <is>
          <t>KAG8551096.1 hypothetical protein GDO81_018459 [Engystomops pustulosus]</t>
        </is>
      </c>
      <c r="M2946" t="n">
        <v>305</v>
      </c>
      <c r="N2946" t="inlineStr">
        <is>
          <t>Engystomops pustulosus</t>
        </is>
      </c>
      <c r="O2946" t="inlineStr">
        <is>
          <t>hypothetical protein GDO81_018459</t>
        </is>
      </c>
    </row>
    <row r="2947">
      <c r="A2947" t="inlineStr"/>
      <c r="B2947" t="inlineStr"/>
      <c r="C2947" t="inlineStr"/>
      <c r="D2947" t="inlineStr"/>
      <c r="E2947">
        <f>HYPERLINK("https://www.ncbi.nlm.nih.gov/gene/?term=XP_040181316.1", "XP_040181316.1")</f>
        <v/>
      </c>
      <c r="F2947" t="n">
        <v>32</v>
      </c>
      <c r="G2947" t="n">
        <v>225</v>
      </c>
      <c r="H2947" t="n">
        <v>1.99e-28</v>
      </c>
      <c r="I2947" t="inlineStr">
        <is>
          <t>Nr</t>
        </is>
      </c>
      <c r="J2947" t="inlineStr"/>
      <c r="K2947" t="inlineStr"/>
      <c r="L2947" t="inlineStr">
        <is>
          <t>XP_040181316.1 uncharacterized protein LOC120915124 [Rana temporaria]</t>
        </is>
      </c>
      <c r="M2947" t="n">
        <v>301</v>
      </c>
      <c r="N2947" t="inlineStr">
        <is>
          <t>Rana temporaria</t>
        </is>
      </c>
      <c r="O2947" t="inlineStr">
        <is>
          <t>uncharacterized protein LOC120915124</t>
        </is>
      </c>
    </row>
    <row r="2948">
      <c r="A2948" t="inlineStr"/>
      <c r="B2948" t="inlineStr"/>
      <c r="C2948" t="inlineStr"/>
      <c r="D2948" t="inlineStr"/>
      <c r="E2948">
        <f>HYPERLINK("https://www.ncbi.nlm.nih.gov/gene/?term=PIO33985.1", "PIO33985.1")</f>
        <v/>
      </c>
      <c r="F2948" t="n">
        <v>39</v>
      </c>
      <c r="G2948" t="n">
        <v>210</v>
      </c>
      <c r="H2948" t="n">
        <v>2.75e-28</v>
      </c>
      <c r="I2948" t="inlineStr">
        <is>
          <t>Nr</t>
        </is>
      </c>
      <c r="J2948" t="inlineStr"/>
      <c r="K2948" t="inlineStr"/>
      <c r="L2948" t="inlineStr">
        <is>
          <t>PIO33985.1 hypothetical protein AB205_0123800, partial [Lithobates catesbeianus]</t>
        </is>
      </c>
      <c r="M2948" t="n">
        <v>351</v>
      </c>
      <c r="N2948" t="inlineStr">
        <is>
          <t>Lithobates catesbeianus</t>
        </is>
      </c>
      <c r="O2948" t="inlineStr">
        <is>
          <t>hypothetical protein AB205_0123800, partial</t>
        </is>
      </c>
    </row>
    <row r="2949">
      <c r="A2949" t="inlineStr"/>
      <c r="B2949" t="inlineStr"/>
      <c r="C2949" t="inlineStr"/>
      <c r="D2949" t="inlineStr"/>
      <c r="E2949">
        <f>HYPERLINK("https://www.ncbi.nlm.nih.gov/gene/?term=XP_040285728.1", "XP_040285728.1")</f>
        <v/>
      </c>
      <c r="F2949" t="n">
        <v>49.3</v>
      </c>
      <c r="G2949" t="n">
        <v>136</v>
      </c>
      <c r="H2949" t="n">
        <v>3.7e-28</v>
      </c>
      <c r="I2949" t="inlineStr">
        <is>
          <t>Nr</t>
        </is>
      </c>
      <c r="J2949" t="inlineStr"/>
      <c r="K2949" t="inlineStr"/>
      <c r="L2949" t="inlineStr">
        <is>
          <t>XP_040285728.1 uncharacterized protein LOC120998915 [Bufo bufo]</t>
        </is>
      </c>
      <c r="M2949" t="n">
        <v>946</v>
      </c>
      <c r="N2949" t="inlineStr">
        <is>
          <t>Bufo bufo</t>
        </is>
      </c>
      <c r="O2949" t="inlineStr">
        <is>
          <t>uncharacterized protein LOC120998915</t>
        </is>
      </c>
    </row>
    <row r="2950">
      <c r="A2950" t="inlineStr"/>
      <c r="B2950" t="inlineStr"/>
      <c r="C2950" t="inlineStr"/>
      <c r="D2950" t="inlineStr"/>
      <c r="E2950">
        <f>HYPERLINK("https://www.uniprot.org/uniprotkb/P11369/entry", "P11369")</f>
        <v/>
      </c>
      <c r="F2950" t="n">
        <v>27.9</v>
      </c>
      <c r="G2950" t="n">
        <v>305</v>
      </c>
      <c r="H2950" t="n">
        <v>4.929999999999999e-28</v>
      </c>
      <c r="I2950" t="inlineStr">
        <is>
          <t>Swiss-Prot</t>
        </is>
      </c>
      <c r="J2950" t="inlineStr">
        <is>
          <t>Pol</t>
        </is>
      </c>
      <c r="K2950" t="inlineStr">
        <is>
          <t>LORF2_MOUSE</t>
        </is>
      </c>
      <c r="L2950" t="inlineStr">
        <is>
          <t>sp|P11369|LORF2_MOUSE LINE-1 retrotransposable element ORF2 protein OS=Mus musculus OX=10090 GN=Pol PE=1 SV=2</t>
        </is>
      </c>
      <c r="M2950" t="n">
        <v>1281</v>
      </c>
      <c r="N2950" t="inlineStr">
        <is>
          <t>Mus musculus</t>
        </is>
      </c>
      <c r="O2950" t="inlineStr">
        <is>
          <t>LINE-1 retrotransposable element ORF2 protein</t>
        </is>
      </c>
    </row>
    <row r="2951">
      <c r="A2951" t="inlineStr"/>
      <c r="B2951" t="inlineStr"/>
      <c r="C2951" t="inlineStr"/>
      <c r="D2951" t="inlineStr"/>
      <c r="E2951">
        <f>HYPERLINK("https://www.uniprot.org/uniprotkb/A0A8C5N3K1/entry", "A0A8C5N3K1")</f>
        <v/>
      </c>
      <c r="F2951" t="n">
        <v>37.4</v>
      </c>
      <c r="G2951" t="n">
        <v>147</v>
      </c>
      <c r="H2951" t="n">
        <v>3.29e-27</v>
      </c>
      <c r="I2951" t="inlineStr">
        <is>
          <t>TrEMBL</t>
        </is>
      </c>
      <c r="J2951" t="inlineStr"/>
      <c r="K2951" t="inlineStr">
        <is>
          <t>A0A8C5N3K1_9ANUR</t>
        </is>
      </c>
      <c r="L2951" t="inlineStr">
        <is>
          <t>tr|A0A8C5N3K1|A0A8C5N3K1_9ANUR Zf-RVT domain-containing protein OS=Leptobrachium leishanense OX=445787 PE=4 SV=1</t>
        </is>
      </c>
      <c r="M2951" t="n">
        <v>397</v>
      </c>
      <c r="N2951" t="inlineStr">
        <is>
          <t>Leptobrachium leishanense</t>
        </is>
      </c>
      <c r="O2951" t="inlineStr">
        <is>
          <t>Zf-RVT domain-containing protein</t>
        </is>
      </c>
    </row>
    <row r="2952">
      <c r="A2952" t="inlineStr"/>
      <c r="B2952" t="inlineStr"/>
      <c r="C2952" t="inlineStr"/>
      <c r="D2952" t="inlineStr"/>
      <c r="E2952">
        <f>HYPERLINK("https://www.uniprot.org/uniprotkb/A0A8C5MLZ2/entry", "A0A8C5MLZ2")</f>
        <v/>
      </c>
      <c r="F2952" t="n">
        <v>34.5</v>
      </c>
      <c r="G2952" t="n">
        <v>142</v>
      </c>
      <c r="H2952" t="n">
        <v>5.16e-24</v>
      </c>
      <c r="I2952" t="inlineStr">
        <is>
          <t>TrEMBL</t>
        </is>
      </c>
      <c r="J2952" t="inlineStr"/>
      <c r="K2952" t="inlineStr">
        <is>
          <t>A0A8C5MLZ2_9ANUR</t>
        </is>
      </c>
      <c r="L2952" t="inlineStr">
        <is>
          <t>tr|A0A8C5MLZ2|A0A8C5MLZ2_9ANUR Reverse transcriptase domain-containing protein OS=Leptobrachium leishanense OX=445787 PE=4 SV=1</t>
        </is>
      </c>
      <c r="M2952" t="n">
        <v>1277</v>
      </c>
      <c r="N2952" t="inlineStr">
        <is>
          <t>Leptobrachium leishanense</t>
        </is>
      </c>
      <c r="O2952" t="inlineStr">
        <is>
          <t>Reverse transcriptase domain-containing protein</t>
        </is>
      </c>
    </row>
    <row r="2953">
      <c r="A2953" t="inlineStr"/>
      <c r="B2953" t="inlineStr"/>
      <c r="C2953" t="inlineStr"/>
      <c r="D2953" t="inlineStr"/>
      <c r="E2953">
        <f>HYPERLINK("https://www.uniprot.org/uniprotkb/A0A2G9Q1J3/entry", "A0A2G9Q1J3")</f>
        <v/>
      </c>
      <c r="F2953" t="n">
        <v>31.7</v>
      </c>
      <c r="G2953" t="n">
        <v>145</v>
      </c>
      <c r="H2953" t="n">
        <v>3.7e-23</v>
      </c>
      <c r="I2953" t="inlineStr">
        <is>
          <t>TrEMBL</t>
        </is>
      </c>
      <c r="J2953" t="inlineStr">
        <is>
          <t>AB205_0183070</t>
        </is>
      </c>
      <c r="K2953" t="inlineStr">
        <is>
          <t>A0A2G9Q1J3_LITCT</t>
        </is>
      </c>
      <c r="L2953" t="inlineStr">
        <is>
          <t>tr|A0A2G9Q1J3|A0A2G9Q1J3_LITCT Zf-RVT domain-containing protein OS=Lithobates catesbeianus OX=8400 GN=AB205_0183070 PE=4 SV=1</t>
        </is>
      </c>
      <c r="M2953" t="n">
        <v>251</v>
      </c>
      <c r="N2953" t="inlineStr">
        <is>
          <t>Lithobates catesbeianus</t>
        </is>
      </c>
      <c r="O2953" t="inlineStr">
        <is>
          <t>Zf-RVT domain-containing protein</t>
        </is>
      </c>
    </row>
    <row r="2954">
      <c r="A2954" t="inlineStr"/>
      <c r="B2954" t="inlineStr"/>
      <c r="C2954" t="inlineStr"/>
      <c r="D2954" t="inlineStr"/>
      <c r="E2954">
        <f>HYPERLINK("https://www.uniprot.org/uniprotkb/A0A8C5MW40/entry", "A0A8C5MW40")</f>
        <v/>
      </c>
      <c r="F2954" t="n">
        <v>33.1</v>
      </c>
      <c r="G2954" t="n">
        <v>142</v>
      </c>
      <c r="H2954" t="n">
        <v>8.489999999999999e-23</v>
      </c>
      <c r="I2954" t="inlineStr">
        <is>
          <t>TrEMBL</t>
        </is>
      </c>
      <c r="J2954" t="inlineStr"/>
      <c r="K2954" t="inlineStr">
        <is>
          <t>A0A8C5MW40_9ANUR</t>
        </is>
      </c>
      <c r="L2954" t="inlineStr">
        <is>
          <t>tr|A0A8C5MW40|A0A8C5MW40_9ANUR Zf-RVT domain-containing protein OS=Leptobrachium leishanense OX=445787 PE=4 SV=1</t>
        </is>
      </c>
      <c r="M2954" t="n">
        <v>338</v>
      </c>
      <c r="N2954" t="inlineStr">
        <is>
          <t>Leptobrachium leishanense</t>
        </is>
      </c>
      <c r="O2954" t="inlineStr">
        <is>
          <t>Zf-RVT domain-containing protein</t>
        </is>
      </c>
    </row>
    <row r="2955">
      <c r="A2955" t="inlineStr"/>
      <c r="B2955" t="inlineStr"/>
      <c r="C2955" t="inlineStr"/>
      <c r="D2955" t="inlineStr"/>
      <c r="E2955">
        <f>HYPERLINK("https://www.ncbi.nlm.nih.gov/gene/?term=PIO09474.1", "PIO09474.1")</f>
        <v/>
      </c>
      <c r="F2955" t="n">
        <v>31.7</v>
      </c>
      <c r="G2955" t="n">
        <v>145</v>
      </c>
      <c r="H2955" t="n">
        <v>9.499999999999999e-23</v>
      </c>
      <c r="I2955" t="inlineStr">
        <is>
          <t>Nr</t>
        </is>
      </c>
      <c r="J2955" t="inlineStr"/>
      <c r="K2955" t="inlineStr"/>
      <c r="L2955" t="inlineStr">
        <is>
          <t>PIO09474.1 hypothetical protein AB205_0183070 [Lithobates catesbeianus]</t>
        </is>
      </c>
      <c r="M2955" t="n">
        <v>251</v>
      </c>
      <c r="N2955" t="inlineStr">
        <is>
          <t>Lithobates catesbeianus</t>
        </is>
      </c>
      <c r="O2955" t="inlineStr">
        <is>
          <t>hypothetical protein AB205_0183070</t>
        </is>
      </c>
    </row>
    <row r="2956">
      <c r="A2956" t="inlineStr"/>
      <c r="B2956" t="inlineStr"/>
      <c r="C2956" t="inlineStr"/>
      <c r="D2956" t="inlineStr"/>
      <c r="E2956">
        <f>HYPERLINK("https://www.ncbi.nlm.nih.gov/gene/?term=XP_018429005.1", "XP_018429005.1")</f>
        <v/>
      </c>
      <c r="F2956" t="n">
        <v>33.1</v>
      </c>
      <c r="G2956" t="n">
        <v>145</v>
      </c>
      <c r="H2956" t="n">
        <v>2.89e-22</v>
      </c>
      <c r="I2956" t="inlineStr">
        <is>
          <t>Nr</t>
        </is>
      </c>
      <c r="J2956" t="inlineStr"/>
      <c r="K2956" t="inlineStr"/>
      <c r="L2956" t="inlineStr">
        <is>
          <t>XP_018429005.1 PREDICTED: cyclic nucleotide-gated cation channel beta-3, partial [Nanorana parkeri]</t>
        </is>
      </c>
      <c r="M2956" t="n">
        <v>1081</v>
      </c>
      <c r="N2956" t="inlineStr">
        <is>
          <t>Nanorana parkeri</t>
        </is>
      </c>
      <c r="O2956" t="inlineStr">
        <is>
          <t>PREDICTED: cyclic nucleotide-gated cation channel beta-3, partial</t>
        </is>
      </c>
    </row>
    <row r="2957">
      <c r="A2957" t="inlineStr"/>
      <c r="B2957" t="inlineStr"/>
      <c r="C2957" t="inlineStr"/>
      <c r="D2957" t="inlineStr"/>
      <c r="E2957">
        <f>HYPERLINK("https://www.uniprot.org/uniprotkb/A0A8C5M098/entry", "A0A8C5M098")</f>
        <v/>
      </c>
      <c r="F2957" t="n">
        <v>34.6</v>
      </c>
      <c r="G2957" t="n">
        <v>153</v>
      </c>
      <c r="H2957" t="n">
        <v>4.76e-22</v>
      </c>
      <c r="I2957" t="inlineStr">
        <is>
          <t>TrEMBL</t>
        </is>
      </c>
      <c r="J2957" t="inlineStr"/>
      <c r="K2957" t="inlineStr">
        <is>
          <t>A0A8C5M098_9ANUR</t>
        </is>
      </c>
      <c r="L2957" t="inlineStr">
        <is>
          <t>tr|A0A8C5M098|A0A8C5M098_9ANUR Zf-RVT domain-containing protein OS=Leptobrachium leishanense OX=445787 PE=4 SV=1</t>
        </is>
      </c>
      <c r="M2957" t="n">
        <v>319</v>
      </c>
      <c r="N2957" t="inlineStr">
        <is>
          <t>Leptobrachium leishanense</t>
        </is>
      </c>
      <c r="O2957" t="inlineStr">
        <is>
          <t>Zf-RVT domain-containing protein</t>
        </is>
      </c>
    </row>
    <row r="2958">
      <c r="A2958" t="inlineStr"/>
      <c r="B2958" t="inlineStr"/>
      <c r="C2958" t="inlineStr"/>
      <c r="D2958" t="inlineStr"/>
      <c r="E2958">
        <f>HYPERLINK("https://www.uniprot.org/uniprotkb/A0A8C5LU36/entry", "A0A8C5LU36")</f>
        <v/>
      </c>
      <c r="F2958" t="n">
        <v>33.1</v>
      </c>
      <c r="G2958" t="n">
        <v>142</v>
      </c>
      <c r="H2958" t="n">
        <v>5.120000000000001e-22</v>
      </c>
      <c r="I2958" t="inlineStr">
        <is>
          <t>TrEMBL</t>
        </is>
      </c>
      <c r="J2958" t="inlineStr"/>
      <c r="K2958" t="inlineStr">
        <is>
          <t>A0A8C5LU36_9ANUR</t>
        </is>
      </c>
      <c r="L2958" t="inlineStr">
        <is>
          <t>tr|A0A8C5LU36|A0A8C5LU36_9ANUR Reverse transcriptase domain-containing protein OS=Leptobrachium leishanense OX=445787 PE=4 SV=1</t>
        </is>
      </c>
      <c r="M2958" t="n">
        <v>812</v>
      </c>
      <c r="N2958" t="inlineStr">
        <is>
          <t>Leptobrachium leishanense</t>
        </is>
      </c>
      <c r="O2958" t="inlineStr">
        <is>
          <t>Reverse transcriptase domain-containing protein</t>
        </is>
      </c>
    </row>
    <row r="2959">
      <c r="A2959" t="inlineStr"/>
      <c r="B2959" t="inlineStr"/>
      <c r="C2959" t="inlineStr"/>
      <c r="D2959" t="inlineStr"/>
      <c r="E2959">
        <f>HYPERLINK("https://www.uniprot.org/uniprotkb/A0A8C5QK57/entry", "A0A8C5QK57")</f>
        <v/>
      </c>
      <c r="F2959" t="n">
        <v>33.1</v>
      </c>
      <c r="G2959" t="n">
        <v>142</v>
      </c>
      <c r="H2959" t="n">
        <v>5.26e-22</v>
      </c>
      <c r="I2959" t="inlineStr">
        <is>
          <t>TrEMBL</t>
        </is>
      </c>
      <c r="J2959" t="inlineStr"/>
      <c r="K2959" t="inlineStr">
        <is>
          <t>A0A8C5QK57_9ANUR</t>
        </is>
      </c>
      <c r="L2959" t="inlineStr">
        <is>
          <t>tr|A0A8C5QK57|A0A8C5QK57_9ANUR Reverse transcriptase domain-containing protein OS=Leptobrachium leishanense OX=445787 PE=4 SV=1</t>
        </is>
      </c>
      <c r="M2959" t="n">
        <v>1022</v>
      </c>
      <c r="N2959" t="inlineStr">
        <is>
          <t>Leptobrachium leishanense</t>
        </is>
      </c>
      <c r="O2959" t="inlineStr">
        <is>
          <t>Reverse transcriptase domain-containing protein</t>
        </is>
      </c>
    </row>
    <row r="2960">
      <c r="A2960" t="inlineStr"/>
      <c r="B2960" t="inlineStr"/>
      <c r="C2960" t="inlineStr"/>
      <c r="D2960" t="inlineStr"/>
      <c r="E2960">
        <f>HYPERLINK("https://www.uniprot.org/uniprotkb/A0A8C5M8P7/entry", "A0A8C5M8P7")</f>
        <v/>
      </c>
      <c r="F2960" t="n">
        <v>33.1</v>
      </c>
      <c r="G2960" t="n">
        <v>142</v>
      </c>
      <c r="H2960" t="n">
        <v>5.37e-22</v>
      </c>
      <c r="I2960" t="inlineStr">
        <is>
          <t>TrEMBL</t>
        </is>
      </c>
      <c r="J2960" t="inlineStr"/>
      <c r="K2960" t="inlineStr">
        <is>
          <t>A0A8C5M8P7_9ANUR</t>
        </is>
      </c>
      <c r="L2960" t="inlineStr">
        <is>
          <t>tr|A0A8C5M8P7|A0A8C5M8P7_9ANUR Reverse transcriptase domain-containing protein OS=Leptobrachium leishanense OX=445787 PE=4 SV=1</t>
        </is>
      </c>
      <c r="M2960" t="n">
        <v>1288</v>
      </c>
      <c r="N2960" t="inlineStr">
        <is>
          <t>Leptobrachium leishanense</t>
        </is>
      </c>
      <c r="O2960" t="inlineStr">
        <is>
          <t>Reverse transcriptase domain-containing protein</t>
        </is>
      </c>
    </row>
    <row r="2961">
      <c r="A2961" t="inlineStr"/>
      <c r="B2961" t="inlineStr"/>
      <c r="C2961" t="inlineStr"/>
      <c r="D2961" t="inlineStr"/>
      <c r="E2961">
        <f>HYPERLINK("https://www.uniprot.org/uniprotkb/A0A8C5M7H7/entry", "A0A8C5M7H7")</f>
        <v/>
      </c>
      <c r="F2961" t="n">
        <v>31.7</v>
      </c>
      <c r="G2961" t="n">
        <v>142</v>
      </c>
      <c r="H2961" t="n">
        <v>7.43e-22</v>
      </c>
      <c r="I2961" t="inlineStr">
        <is>
          <t>TrEMBL</t>
        </is>
      </c>
      <c r="J2961" t="inlineStr"/>
      <c r="K2961" t="inlineStr">
        <is>
          <t>A0A8C5M7H7_9ANUR</t>
        </is>
      </c>
      <c r="L2961" t="inlineStr">
        <is>
          <t>tr|A0A8C5M7H7|A0A8C5M7H7_9ANUR Zf-RVT domain-containing protein OS=Leptobrachium leishanense OX=445787 PE=4 SV=1</t>
        </is>
      </c>
      <c r="M2961" t="n">
        <v>456</v>
      </c>
      <c r="N2961" t="inlineStr">
        <is>
          <t>Leptobrachium leishanense</t>
        </is>
      </c>
      <c r="O2961" t="inlineStr">
        <is>
          <t>Zf-RVT domain-containing protein</t>
        </is>
      </c>
    </row>
    <row r="2962">
      <c r="A2962" t="inlineStr"/>
      <c r="B2962" t="inlineStr"/>
      <c r="C2962" t="inlineStr"/>
      <c r="D2962" t="inlineStr"/>
      <c r="E2962">
        <f>HYPERLINK("https://www.uniprot.org/uniprotkb/A0A8C5QQJ3/entry", "A0A8C5QQJ3")</f>
        <v/>
      </c>
      <c r="F2962" t="n">
        <v>31.7</v>
      </c>
      <c r="G2962" t="n">
        <v>142</v>
      </c>
      <c r="H2962" t="n">
        <v>1.29e-21</v>
      </c>
      <c r="I2962" t="inlineStr">
        <is>
          <t>TrEMBL</t>
        </is>
      </c>
      <c r="J2962" t="inlineStr"/>
      <c r="K2962" t="inlineStr">
        <is>
          <t>A0A8C5QQJ3_9ANUR</t>
        </is>
      </c>
      <c r="L2962" t="inlineStr">
        <is>
          <t>tr|A0A8C5QQJ3|A0A8C5QQJ3_9ANUR Reverse transcriptase domain-containing protein OS=Leptobrachium leishanense OX=445787 PE=4 SV=1</t>
        </is>
      </c>
      <c r="M2962" t="n">
        <v>805</v>
      </c>
      <c r="N2962" t="inlineStr">
        <is>
          <t>Leptobrachium leishanense</t>
        </is>
      </c>
      <c r="O2962" t="inlineStr">
        <is>
          <t>Reverse transcriptase domain-containing protein</t>
        </is>
      </c>
    </row>
    <row r="2963">
      <c r="A2963" t="inlineStr"/>
      <c r="B2963" t="inlineStr"/>
      <c r="C2963" t="inlineStr"/>
      <c r="D2963" t="inlineStr"/>
      <c r="E2963">
        <f>HYPERLINK("https://www.uniprot.org/uniprotkb/A0A8C5MJX8/entry", "A0A8C5MJX8")</f>
        <v/>
      </c>
      <c r="F2963" t="n">
        <v>31.7</v>
      </c>
      <c r="G2963" t="n">
        <v>142</v>
      </c>
      <c r="H2963" t="n">
        <v>1.29e-21</v>
      </c>
      <c r="I2963" t="inlineStr">
        <is>
          <t>TrEMBL</t>
        </is>
      </c>
      <c r="J2963" t="inlineStr"/>
      <c r="K2963" t="inlineStr">
        <is>
          <t>A0A8C5MJX8_9ANUR</t>
        </is>
      </c>
      <c r="L2963" t="inlineStr">
        <is>
          <t>tr|A0A8C5MJX8|A0A8C5MJX8_9ANUR Reverse transcriptase domain-containing protein OS=Leptobrachium leishanense OX=445787 PE=4 SV=1</t>
        </is>
      </c>
      <c r="M2963" t="n">
        <v>805</v>
      </c>
      <c r="N2963" t="inlineStr">
        <is>
          <t>Leptobrachium leishanense</t>
        </is>
      </c>
      <c r="O2963" t="inlineStr">
        <is>
          <t>Reverse transcriptase domain-containing protein</t>
        </is>
      </c>
    </row>
    <row r="2964">
      <c r="A2964" t="inlineStr"/>
      <c r="B2964" t="inlineStr"/>
      <c r="C2964" t="inlineStr"/>
      <c r="D2964" t="inlineStr"/>
      <c r="E2964">
        <f>HYPERLINK("https://www.uniprot.org/uniprotkb/A0A6I8RW77/entry", "A0A6I8RW77")</f>
        <v/>
      </c>
      <c r="F2964" t="n">
        <v>35.4</v>
      </c>
      <c r="G2964" t="n">
        <v>144</v>
      </c>
      <c r="H2964" t="n">
        <v>1.35e-21</v>
      </c>
      <c r="I2964" t="inlineStr">
        <is>
          <t>TrEMBL</t>
        </is>
      </c>
      <c r="J2964" t="inlineStr"/>
      <c r="K2964" t="inlineStr">
        <is>
          <t>A0A6I8RW77_XENTR</t>
        </is>
      </c>
      <c r="L2964" t="inlineStr">
        <is>
          <t>tr|A0A6I8RW77|A0A6I8RW77_XENTR Reverse transcriptase domain-containing protein OS=Xenopus tropicalis OX=8364 PE=4 SV=2</t>
        </is>
      </c>
      <c r="M2964" t="n">
        <v>1148</v>
      </c>
      <c r="N2964" t="inlineStr">
        <is>
          <t>Xenopus tropicalis</t>
        </is>
      </c>
      <c r="O2964" t="inlineStr">
        <is>
          <t>Reverse transcriptase domain-containing protein</t>
        </is>
      </c>
    </row>
    <row r="2965">
      <c r="A2965" t="inlineStr"/>
      <c r="B2965" t="inlineStr"/>
      <c r="C2965" t="inlineStr"/>
      <c r="D2965" t="inlineStr"/>
      <c r="E2965">
        <f>HYPERLINK("https://www.uniprot.org/uniprotkb/A0A8C5RCN1/entry", "A0A8C5RCN1")</f>
        <v/>
      </c>
      <c r="F2965" t="n">
        <v>33.1</v>
      </c>
      <c r="G2965" t="n">
        <v>145</v>
      </c>
      <c r="H2965" t="n">
        <v>1.36e-21</v>
      </c>
      <c r="I2965" t="inlineStr">
        <is>
          <t>TrEMBL</t>
        </is>
      </c>
      <c r="J2965" t="inlineStr"/>
      <c r="K2965" t="inlineStr">
        <is>
          <t>A0A8C5RCN1_9ANUR</t>
        </is>
      </c>
      <c r="L2965" t="inlineStr">
        <is>
          <t>tr|A0A8C5RCN1|A0A8C5RCN1_9ANUR Reverse transcriptase domain-containing protein OS=Leptobrachium leishanense OX=445787 PE=4 SV=1</t>
        </is>
      </c>
      <c r="M2965" t="n">
        <v>1270</v>
      </c>
      <c r="N2965" t="inlineStr">
        <is>
          <t>Leptobrachium leishanense</t>
        </is>
      </c>
      <c r="O2965" t="inlineStr">
        <is>
          <t>Reverse transcriptase domain-containing protein</t>
        </is>
      </c>
    </row>
    <row r="2966">
      <c r="A2966" t="inlineStr"/>
      <c r="B2966" t="inlineStr"/>
      <c r="C2966" t="inlineStr"/>
      <c r="D2966" t="inlineStr"/>
      <c r="E2966">
        <f>HYPERLINK("https://www.uniprot.org/uniprotkb/A0A8C5PFP0/entry", "A0A8C5PFP0")</f>
        <v/>
      </c>
      <c r="F2966" t="n">
        <v>31.7</v>
      </c>
      <c r="G2966" t="n">
        <v>142</v>
      </c>
      <c r="H2966" t="n">
        <v>2.45e-21</v>
      </c>
      <c r="I2966" t="inlineStr">
        <is>
          <t>TrEMBL</t>
        </is>
      </c>
      <c r="J2966" t="inlineStr"/>
      <c r="K2966" t="inlineStr">
        <is>
          <t>A0A8C5PFP0_9ANUR</t>
        </is>
      </c>
      <c r="L2966" t="inlineStr">
        <is>
          <t>tr|A0A8C5PFP0|A0A8C5PFP0_9ANUR Reverse transcriptase domain-containing protein OS=Leptobrachium leishanense OX=445787 PE=4 SV=1</t>
        </is>
      </c>
      <c r="M2966" t="n">
        <v>962</v>
      </c>
      <c r="N2966" t="inlineStr">
        <is>
          <t>Leptobrachium leishanense</t>
        </is>
      </c>
      <c r="O2966" t="inlineStr">
        <is>
          <t>Reverse transcriptase domain-containing protein</t>
        </is>
      </c>
    </row>
    <row r="2967">
      <c r="A2967" t="inlineStr"/>
      <c r="B2967" t="inlineStr"/>
      <c r="C2967" t="inlineStr"/>
      <c r="D2967" t="inlineStr"/>
      <c r="E2967">
        <f>HYPERLINK("https://www.uniprot.org/uniprotkb/A0A8C5PT54/entry", "A0A8C5PT54")</f>
        <v/>
      </c>
      <c r="F2967" t="n">
        <v>31.7</v>
      </c>
      <c r="G2967" t="n">
        <v>142</v>
      </c>
      <c r="H2967" t="n">
        <v>2.52e-21</v>
      </c>
      <c r="I2967" t="inlineStr">
        <is>
          <t>TrEMBL</t>
        </is>
      </c>
      <c r="J2967" t="inlineStr"/>
      <c r="K2967" t="inlineStr">
        <is>
          <t>A0A8C5PT54_9ANUR</t>
        </is>
      </c>
      <c r="L2967" t="inlineStr">
        <is>
          <t>tr|A0A8C5PT54|A0A8C5PT54_9ANUR Reverse transcriptase domain-containing protein OS=Leptobrachium leishanense OX=445787 PE=4 SV=1</t>
        </is>
      </c>
      <c r="M2967" t="n">
        <v>1275</v>
      </c>
      <c r="N2967" t="inlineStr">
        <is>
          <t>Leptobrachium leishanense</t>
        </is>
      </c>
      <c r="O2967" t="inlineStr">
        <is>
          <t>Reverse transcriptase domain-containing protein</t>
        </is>
      </c>
    </row>
    <row r="2968">
      <c r="A2968" t="inlineStr"/>
      <c r="B2968" t="inlineStr"/>
      <c r="C2968" t="inlineStr"/>
      <c r="D2968" t="inlineStr"/>
      <c r="E2968">
        <f>HYPERLINK("https://www.uniprot.org/uniprotkb/A0A8C5MN92/entry", "A0A8C5MN92")</f>
        <v/>
      </c>
      <c r="F2968" t="n">
        <v>32.4</v>
      </c>
      <c r="G2968" t="n">
        <v>142</v>
      </c>
      <c r="H2968" t="n">
        <v>4.680000000000001e-21</v>
      </c>
      <c r="I2968" t="inlineStr">
        <is>
          <t>TrEMBL</t>
        </is>
      </c>
      <c r="J2968" t="inlineStr"/>
      <c r="K2968" t="inlineStr">
        <is>
          <t>A0A8C5MN92_9ANUR</t>
        </is>
      </c>
      <c r="L2968" t="inlineStr">
        <is>
          <t>tr|A0A8C5MN92|A0A8C5MN92_9ANUR Reverse transcriptase domain-containing protein OS=Leptobrachium leishanense OX=445787 PE=4 SV=1</t>
        </is>
      </c>
      <c r="M2968" t="n">
        <v>1283</v>
      </c>
      <c r="N2968" t="inlineStr">
        <is>
          <t>Leptobrachium leishanense</t>
        </is>
      </c>
      <c r="O2968" t="inlineStr">
        <is>
          <t>Reverse transcriptase domain-containing protein</t>
        </is>
      </c>
    </row>
    <row r="2969">
      <c r="A2969" t="inlineStr"/>
      <c r="B2969" t="inlineStr"/>
      <c r="C2969" t="inlineStr"/>
      <c r="D2969" t="inlineStr"/>
      <c r="E2969">
        <f>HYPERLINK("https://www.uniprot.org/uniprotkb/A0A8C5LM26/entry", "A0A8C5LM26")</f>
        <v/>
      </c>
      <c r="F2969" t="n">
        <v>31</v>
      </c>
      <c r="G2969" t="n">
        <v>155</v>
      </c>
      <c r="H2969" t="n">
        <v>1.9e-20</v>
      </c>
      <c r="I2969" t="inlineStr">
        <is>
          <t>TrEMBL</t>
        </is>
      </c>
      <c r="J2969" t="inlineStr"/>
      <c r="K2969" t="inlineStr">
        <is>
          <t>A0A8C5LM26_9ANUR</t>
        </is>
      </c>
      <c r="L2969" t="inlineStr">
        <is>
          <t>tr|A0A8C5LM26|A0A8C5LM26_9ANUR Zf-RVT domain-containing protein OS=Leptobrachium leishanense OX=445787 PE=4 SV=1</t>
        </is>
      </c>
      <c r="M2969" t="n">
        <v>298</v>
      </c>
      <c r="N2969" t="inlineStr">
        <is>
          <t>Leptobrachium leishanense</t>
        </is>
      </c>
      <c r="O2969" t="inlineStr">
        <is>
          <t>Zf-RVT domain-containing protein</t>
        </is>
      </c>
    </row>
    <row r="2970">
      <c r="A2970" t="inlineStr"/>
      <c r="B2970" t="inlineStr"/>
      <c r="C2970" t="inlineStr"/>
      <c r="D2970" t="inlineStr"/>
      <c r="E2970">
        <f>HYPERLINK("https://www.uniprot.org/uniprotkb/A0A8C5QDU5/entry", "A0A8C5QDU5")</f>
        <v/>
      </c>
      <c r="F2970" t="n">
        <v>31.6</v>
      </c>
      <c r="G2970" t="n">
        <v>152</v>
      </c>
      <c r="H2970" t="n">
        <v>4.06e-20</v>
      </c>
      <c r="I2970" t="inlineStr">
        <is>
          <t>TrEMBL</t>
        </is>
      </c>
      <c r="J2970" t="inlineStr"/>
      <c r="K2970" t="inlineStr">
        <is>
          <t>A0A8C5QDU5_9ANUR</t>
        </is>
      </c>
      <c r="L2970" t="inlineStr">
        <is>
          <t>tr|A0A8C5QDU5|A0A8C5QDU5_9ANUR Reverse transcriptase domain-containing protein OS=Leptobrachium leishanense OX=445787 PE=4 SV=1</t>
        </is>
      </c>
      <c r="M2970" t="n">
        <v>1175</v>
      </c>
      <c r="N2970" t="inlineStr">
        <is>
          <t>Leptobrachium leishanense</t>
        </is>
      </c>
      <c r="O2970" t="inlineStr">
        <is>
          <t>Reverse transcriptase domain-containing protein</t>
        </is>
      </c>
    </row>
    <row r="2971">
      <c r="A2971" t="inlineStr"/>
      <c r="B2971" t="inlineStr"/>
      <c r="C2971" t="inlineStr"/>
      <c r="D2971" t="inlineStr"/>
      <c r="E2971">
        <f>HYPERLINK("https://www.uniprot.org/uniprotkb/A0A803K926/entry", "A0A803K926")</f>
        <v/>
      </c>
      <c r="F2971" t="n">
        <v>36.3</v>
      </c>
      <c r="G2971" t="n">
        <v>146</v>
      </c>
      <c r="H2971" t="n">
        <v>5.15e-20</v>
      </c>
      <c r="I2971" t="inlineStr">
        <is>
          <t>TrEMBL</t>
        </is>
      </c>
      <c r="J2971" t="inlineStr"/>
      <c r="K2971" t="inlineStr">
        <is>
          <t>A0A803K926_XENTR</t>
        </is>
      </c>
      <c r="L2971" t="inlineStr">
        <is>
          <t>tr|A0A803K926|A0A803K926_XENTR Reverse transcriptase domain-containing protein OS=Xenopus tropicalis OX=8364 PE=4 SV=1</t>
        </is>
      </c>
      <c r="M2971" t="n">
        <v>671</v>
      </c>
      <c r="N2971" t="inlineStr">
        <is>
          <t>Xenopus tropicalis</t>
        </is>
      </c>
      <c r="O2971" t="inlineStr">
        <is>
          <t>Reverse transcriptase domain-containing protein</t>
        </is>
      </c>
    </row>
    <row r="2972">
      <c r="A2972" t="inlineStr"/>
      <c r="B2972" t="inlineStr"/>
      <c r="C2972" t="inlineStr"/>
      <c r="D2972" t="inlineStr"/>
      <c r="E2972">
        <f>HYPERLINK("https://www.uniprot.org/uniprotkb/A0A8C5MRI3/entry", "A0A8C5MRI3")</f>
        <v/>
      </c>
      <c r="F2972" t="n">
        <v>31</v>
      </c>
      <c r="G2972" t="n">
        <v>142</v>
      </c>
      <c r="H2972" t="n">
        <v>1.03e-19</v>
      </c>
      <c r="I2972" t="inlineStr">
        <is>
          <t>TrEMBL</t>
        </is>
      </c>
      <c r="J2972" t="inlineStr"/>
      <c r="K2972" t="inlineStr">
        <is>
          <t>A0A8C5MRI3_9ANUR</t>
        </is>
      </c>
      <c r="L2972" t="inlineStr">
        <is>
          <t>tr|A0A8C5MRI3|A0A8C5MRI3_9ANUR Reverse transcriptase domain-containing protein OS=Leptobrachium leishanense OX=445787 PE=4 SV=1</t>
        </is>
      </c>
      <c r="M2972" t="n">
        <v>1269</v>
      </c>
      <c r="N2972" t="inlineStr">
        <is>
          <t>Leptobrachium leishanense</t>
        </is>
      </c>
      <c r="O2972" t="inlineStr">
        <is>
          <t>Reverse transcriptase domain-containing protein</t>
        </is>
      </c>
    </row>
    <row r="2973">
      <c r="A2973" t="inlineStr"/>
      <c r="B2973" t="inlineStr"/>
      <c r="C2973" t="inlineStr"/>
      <c r="D2973" t="inlineStr"/>
      <c r="E2973">
        <f>HYPERLINK("https://www.uniprot.org/uniprotkb/A0A8C5PTT4/entry", "A0A8C5PTT4")</f>
        <v/>
      </c>
      <c r="F2973" t="n">
        <v>31</v>
      </c>
      <c r="G2973" t="n">
        <v>155</v>
      </c>
      <c r="H2973" t="n">
        <v>1.41e-19</v>
      </c>
      <c r="I2973" t="inlineStr">
        <is>
          <t>TrEMBL</t>
        </is>
      </c>
      <c r="J2973" t="inlineStr"/>
      <c r="K2973" t="inlineStr">
        <is>
          <t>A0A8C5PTT4_9ANUR</t>
        </is>
      </c>
      <c r="L2973" t="inlineStr">
        <is>
          <t>tr|A0A8C5PTT4|A0A8C5PTT4_9ANUR Zf-RVT domain-containing protein OS=Leptobrachium leishanense OX=445787 PE=4 SV=1</t>
        </is>
      </c>
      <c r="M2973" t="n">
        <v>381</v>
      </c>
      <c r="N2973" t="inlineStr">
        <is>
          <t>Leptobrachium leishanense</t>
        </is>
      </c>
      <c r="O2973" t="inlineStr">
        <is>
          <t>Zf-RVT domain-containing protein</t>
        </is>
      </c>
    </row>
    <row r="2974">
      <c r="A2974" t="inlineStr"/>
      <c r="B2974" t="inlineStr"/>
      <c r="C2974" t="inlineStr"/>
      <c r="D2974" t="inlineStr"/>
      <c r="E2974">
        <f>HYPERLINK("https://www.uniprot.org/uniprotkb/A0A803K396/entry", "A0A803K396")</f>
        <v/>
      </c>
      <c r="F2974" t="n">
        <v>34</v>
      </c>
      <c r="G2974" t="n">
        <v>147</v>
      </c>
      <c r="H2974" t="n">
        <v>2.61e-19</v>
      </c>
      <c r="I2974" t="inlineStr">
        <is>
          <t>TrEMBL</t>
        </is>
      </c>
      <c r="J2974" t="inlineStr"/>
      <c r="K2974" t="inlineStr">
        <is>
          <t>A0A803K396_XENTR</t>
        </is>
      </c>
      <c r="L2974" t="inlineStr">
        <is>
          <t>tr|A0A803K396|A0A803K396_XENTR Reverse transcriptase domain-containing protein OS=Xenopus tropicalis OX=8364 PE=4 SV=1</t>
        </is>
      </c>
      <c r="M2974" t="n">
        <v>1283</v>
      </c>
      <c r="N2974" t="inlineStr">
        <is>
          <t>Xenopus tropicalis</t>
        </is>
      </c>
      <c r="O2974" t="inlineStr">
        <is>
          <t>Reverse transcriptase domain-containing protein</t>
        </is>
      </c>
    </row>
    <row r="2975">
      <c r="A2975" t="inlineStr"/>
      <c r="B2975" t="inlineStr"/>
      <c r="C2975" t="inlineStr"/>
      <c r="D2975" t="inlineStr"/>
      <c r="E2975">
        <f>HYPERLINK("https://www.uniprot.org/uniprotkb/A0A8C5LXS4/entry", "A0A8C5LXS4")</f>
        <v/>
      </c>
      <c r="F2975" t="n">
        <v>32.4</v>
      </c>
      <c r="G2975" t="n">
        <v>148</v>
      </c>
      <c r="H2975" t="n">
        <v>3.44e-19</v>
      </c>
      <c r="I2975" t="inlineStr">
        <is>
          <t>TrEMBL</t>
        </is>
      </c>
      <c r="J2975" t="inlineStr"/>
      <c r="K2975" t="inlineStr">
        <is>
          <t>A0A8C5LXS4_9ANUR</t>
        </is>
      </c>
      <c r="L2975" t="inlineStr">
        <is>
          <t>tr|A0A8C5LXS4|A0A8C5LXS4_9ANUR Reverse transcriptase domain-containing protein OS=Leptobrachium leishanense OX=445787 PE=4 SV=1</t>
        </is>
      </c>
      <c r="M2975" t="n">
        <v>888</v>
      </c>
      <c r="N2975" t="inlineStr">
        <is>
          <t>Leptobrachium leishanense</t>
        </is>
      </c>
      <c r="O2975" t="inlineStr">
        <is>
          <t>Reverse transcriptase domain-containing protein</t>
        </is>
      </c>
    </row>
    <row r="2976">
      <c r="A2976" t="inlineStr"/>
      <c r="B2976" t="inlineStr"/>
      <c r="C2976" t="inlineStr"/>
      <c r="D2976" t="inlineStr"/>
      <c r="E2976">
        <f>HYPERLINK("https://www.uniprot.org/uniprotkb/A0A803J9X8/entry", "A0A803J9X8")</f>
        <v/>
      </c>
      <c r="F2976" t="n">
        <v>34.9</v>
      </c>
      <c r="G2976" t="n">
        <v>149</v>
      </c>
      <c r="H2976" t="n">
        <v>3.5e-19</v>
      </c>
      <c r="I2976" t="inlineStr">
        <is>
          <t>TrEMBL</t>
        </is>
      </c>
      <c r="J2976" t="inlineStr"/>
      <c r="K2976" t="inlineStr">
        <is>
          <t>A0A803J9X8_XENTR</t>
        </is>
      </c>
      <c r="L2976" t="inlineStr">
        <is>
          <t>tr|A0A803J9X8|A0A803J9X8_XENTR Reverse transcriptase domain-containing protein OS=Xenopus tropicalis OX=8364 PE=4 SV=1</t>
        </is>
      </c>
      <c r="M2976" t="n">
        <v>1051</v>
      </c>
      <c r="N2976" t="inlineStr">
        <is>
          <t>Xenopus tropicalis</t>
        </is>
      </c>
      <c r="O2976" t="inlineStr">
        <is>
          <t>Reverse transcriptase domain-containing protein</t>
        </is>
      </c>
    </row>
    <row r="2977">
      <c r="A2977" t="inlineStr"/>
      <c r="B2977" t="inlineStr"/>
      <c r="C2977" t="inlineStr"/>
      <c r="D2977" t="inlineStr"/>
      <c r="E2977">
        <f>HYPERLINK("https://www.uniprot.org/uniprotkb/A0A8J0TTX0/entry", "A0A8J0TTX0")</f>
        <v/>
      </c>
      <c r="F2977" t="n">
        <v>33.1</v>
      </c>
      <c r="G2977" t="n">
        <v>136</v>
      </c>
      <c r="H2977" t="n">
        <v>1.19e-16</v>
      </c>
      <c r="I2977" t="inlineStr">
        <is>
          <t>TrEMBL</t>
        </is>
      </c>
      <c r="J2977" t="inlineStr">
        <is>
          <t>LOC108701228</t>
        </is>
      </c>
      <c r="K2977" t="inlineStr">
        <is>
          <t>A0A8J0TTX0_XENLA</t>
        </is>
      </c>
      <c r="L2977" t="inlineStr">
        <is>
          <t>tr|A0A8J0TTX0|A0A8J0TTX0_XENLA uncharacterized protein LOC108701228 OS=Xenopus laevis OX=8355 GN=LOC108701228 PE=4 SV=1</t>
        </is>
      </c>
      <c r="M2977" t="n">
        <v>353</v>
      </c>
      <c r="N2977" t="inlineStr">
        <is>
          <t>Xenopus laevis</t>
        </is>
      </c>
      <c r="O2977" t="inlineStr">
        <is>
          <t>uncharacterized protein LOC108701228</t>
        </is>
      </c>
    </row>
    <row r="2978">
      <c r="A2978" t="inlineStr"/>
      <c r="B2978" t="inlineStr"/>
      <c r="C2978" t="inlineStr"/>
      <c r="D2978" t="inlineStr"/>
      <c r="E2978">
        <f>HYPERLINK("https://www.ncbi.nlm.nih.gov/gene/?term=XP_018421345.1", "XP_018421345.1")</f>
        <v/>
      </c>
      <c r="F2978" t="n">
        <v>34.7</v>
      </c>
      <c r="G2978" t="n">
        <v>118</v>
      </c>
      <c r="H2978" t="n">
        <v>2.24e-16</v>
      </c>
      <c r="I2978" t="inlineStr">
        <is>
          <t>Nr</t>
        </is>
      </c>
      <c r="J2978" t="inlineStr"/>
      <c r="K2978" t="inlineStr"/>
      <c r="L2978" t="inlineStr">
        <is>
          <t>XP_018421345.1 PREDICTED: uncharacterized protein LOC108794750 [Nanorana parkeri]</t>
        </is>
      </c>
      <c r="M2978" t="n">
        <v>709</v>
      </c>
      <c r="N2978" t="inlineStr">
        <is>
          <t>Nanorana parkeri</t>
        </is>
      </c>
      <c r="O2978" t="inlineStr">
        <is>
          <t>PREDICTED: uncharacterized protein LOC108794750</t>
        </is>
      </c>
    </row>
    <row r="2979">
      <c r="A2979" t="inlineStr"/>
      <c r="B2979" t="inlineStr"/>
      <c r="C2979" t="inlineStr"/>
      <c r="D2979" t="inlineStr"/>
      <c r="E2979">
        <f>HYPERLINK("https://www.ncbi.nlm.nih.gov/gene/?term=KAE8618780.1", "KAE8618780.1")</f>
        <v/>
      </c>
      <c r="F2979" t="n">
        <v>37.6</v>
      </c>
      <c r="G2979" t="n">
        <v>133</v>
      </c>
      <c r="H2979" t="n">
        <v>2.59e-16</v>
      </c>
      <c r="I2979" t="inlineStr">
        <is>
          <t>Nr</t>
        </is>
      </c>
      <c r="J2979" t="inlineStr"/>
      <c r="K2979" t="inlineStr"/>
      <c r="L2979" t="inlineStr">
        <is>
          <t>KAE8618780.1 hypothetical protein XENTR_v10009500 [Xenopus tropicalis]</t>
        </is>
      </c>
      <c r="M2979" t="n">
        <v>709</v>
      </c>
      <c r="N2979" t="inlineStr">
        <is>
          <t>Xenopus tropicalis</t>
        </is>
      </c>
      <c r="O2979" t="inlineStr">
        <is>
          <t>hypothetical protein XENTR_v10009500</t>
        </is>
      </c>
    </row>
    <row r="2980">
      <c r="A2980" t="inlineStr"/>
      <c r="B2980" t="inlineStr"/>
      <c r="C2980" t="inlineStr"/>
      <c r="D2980" t="inlineStr"/>
      <c r="E2980">
        <f>HYPERLINK("https://www.ncbi.nlm.nih.gov/gene/?term=CAH7022849.1", "CAH7022849.1")</f>
        <v/>
      </c>
      <c r="F2980" t="n">
        <v>36.7</v>
      </c>
      <c r="G2980" t="n">
        <v>109</v>
      </c>
      <c r="H2980" t="n">
        <v>2.59e-16</v>
      </c>
      <c r="I2980" t="inlineStr">
        <is>
          <t>Nr</t>
        </is>
      </c>
      <c r="J2980" t="inlineStr"/>
      <c r="K2980" t="inlineStr"/>
      <c r="L2980" t="inlineStr">
        <is>
          <t>CAH7022849.1 LOC499136 [Phodopus roborovskii]</t>
        </is>
      </c>
      <c r="M2980" t="n">
        <v>248</v>
      </c>
      <c r="N2980" t="inlineStr">
        <is>
          <t>Phodopus roborovskii</t>
        </is>
      </c>
      <c r="O2980" t="inlineStr">
        <is>
          <t>LOC499136</t>
        </is>
      </c>
    </row>
    <row r="2981">
      <c r="A2981" t="inlineStr"/>
      <c r="B2981" t="inlineStr"/>
      <c r="C2981" t="inlineStr"/>
      <c r="D2981" t="inlineStr"/>
      <c r="E2981">
        <f>HYPERLINK("https://www.ncbi.nlm.nih.gov/gene/?term=WP_226391329.1", "WP_226391329.1")</f>
        <v/>
      </c>
      <c r="F2981" t="n">
        <v>34.6</v>
      </c>
      <c r="G2981" t="n">
        <v>130</v>
      </c>
      <c r="H2981" t="n">
        <v>2.6e-16</v>
      </c>
      <c r="I2981" t="inlineStr">
        <is>
          <t>Nr</t>
        </is>
      </c>
      <c r="J2981" t="inlineStr"/>
      <c r="K2981" t="inlineStr"/>
      <c r="L2981" t="inlineStr">
        <is>
          <t>WP_226391329.1 DUF1725 domain-containing protein, partial [Penaeicola halotolerans]</t>
        </is>
      </c>
      <c r="M2981" t="n">
        <v>398</v>
      </c>
      <c r="N2981" t="inlineStr">
        <is>
          <t>Penaeicola halotolerans</t>
        </is>
      </c>
      <c r="O2981" t="inlineStr">
        <is>
          <t>DUF1725 domain-containing protein, partial</t>
        </is>
      </c>
    </row>
    <row r="2982">
      <c r="A2982" t="inlineStr"/>
      <c r="B2982" t="inlineStr"/>
      <c r="C2982" t="inlineStr"/>
      <c r="D2982" t="inlineStr"/>
      <c r="E2982">
        <f>HYPERLINK("https://www.ncbi.nlm.nih.gov/gene/?term=XP_018091064.1", "XP_018091064.1")</f>
        <v/>
      </c>
      <c r="F2982" t="n">
        <v>33.1</v>
      </c>
      <c r="G2982" t="n">
        <v>136</v>
      </c>
      <c r="H2982" t="n">
        <v>3.06e-16</v>
      </c>
      <c r="I2982" t="inlineStr">
        <is>
          <t>Nr</t>
        </is>
      </c>
      <c r="J2982" t="inlineStr"/>
      <c r="K2982" t="inlineStr"/>
      <c r="L2982" t="inlineStr">
        <is>
          <t>XP_018091064.1 uncharacterized protein LOC108701228 [Xenopus laevis]</t>
        </is>
      </c>
      <c r="M2982" t="n">
        <v>353</v>
      </c>
      <c r="N2982" t="inlineStr">
        <is>
          <t>Xenopus laevis</t>
        </is>
      </c>
      <c r="O2982" t="inlineStr">
        <is>
          <t>uncharacterized protein LOC108701228</t>
        </is>
      </c>
    </row>
    <row r="2983">
      <c r="A2983" t="inlineStr"/>
      <c r="B2983" t="inlineStr"/>
      <c r="C2983" t="inlineStr"/>
      <c r="D2983" t="inlineStr"/>
      <c r="E2983">
        <f>HYPERLINK("https://www.ncbi.nlm.nih.gov/gene/?term=XP_040294193.1", "XP_040294193.1")</f>
        <v/>
      </c>
      <c r="F2983" t="n">
        <v>31.9</v>
      </c>
      <c r="G2983" t="n">
        <v>144</v>
      </c>
      <c r="H2983" t="n">
        <v>7.73e-16</v>
      </c>
      <c r="I2983" t="inlineStr">
        <is>
          <t>Nr</t>
        </is>
      </c>
      <c r="J2983" t="inlineStr"/>
      <c r="K2983" t="inlineStr"/>
      <c r="L2983" t="inlineStr">
        <is>
          <t>XP_040294193.1 uncharacterized protein LOC121005490 [Bufo bufo]</t>
        </is>
      </c>
      <c r="M2983" t="n">
        <v>479</v>
      </c>
      <c r="N2983" t="inlineStr">
        <is>
          <t>Bufo bufo</t>
        </is>
      </c>
      <c r="O2983" t="inlineStr">
        <is>
          <t>uncharacterized protein LOC121005490</t>
        </is>
      </c>
    </row>
    <row r="2984">
      <c r="A2984" t="inlineStr"/>
      <c r="B2984" t="inlineStr"/>
      <c r="C2984" t="inlineStr"/>
      <c r="D2984" t="inlineStr"/>
      <c r="E2984">
        <f>HYPERLINK("https://www.ncbi.nlm.nih.gov/gene/?term=KAF6441182.1", "KAF6441182.1")</f>
        <v/>
      </c>
      <c r="F2984" t="n">
        <v>33.6</v>
      </c>
      <c r="G2984" t="n">
        <v>110</v>
      </c>
      <c r="H2984" t="n">
        <v>1.35e-15</v>
      </c>
      <c r="I2984" t="inlineStr">
        <is>
          <t>Nr</t>
        </is>
      </c>
      <c r="J2984" t="inlineStr"/>
      <c r="K2984" t="inlineStr"/>
      <c r="L2984" t="inlineStr">
        <is>
          <t>KAF6441182.1 hypothetical protein HJG63_012332 [Rousettus aegyptiacus]</t>
        </is>
      </c>
      <c r="M2984" t="n">
        <v>209</v>
      </c>
      <c r="N2984" t="inlineStr">
        <is>
          <t>Rousettus aegyptiacus</t>
        </is>
      </c>
      <c r="O2984" t="inlineStr">
        <is>
          <t>hypothetical protein HJG63_012332</t>
        </is>
      </c>
    </row>
    <row r="2985">
      <c r="A2985" t="inlineStr"/>
      <c r="B2985" t="inlineStr"/>
      <c r="C2985" t="inlineStr"/>
      <c r="D2985" t="inlineStr"/>
      <c r="E2985">
        <f>HYPERLINK("https://www.ncbi.nlm.nih.gov/gene/?term=XP_044130116.1", "XP_044130116.1")</f>
        <v/>
      </c>
      <c r="F2985" t="n">
        <v>36.4</v>
      </c>
      <c r="G2985" t="n">
        <v>140</v>
      </c>
      <c r="H2985" t="n">
        <v>1.74e-15</v>
      </c>
      <c r="I2985" t="inlineStr">
        <is>
          <t>Nr</t>
        </is>
      </c>
      <c r="J2985" t="inlineStr"/>
      <c r="K2985" t="inlineStr"/>
      <c r="L2985" t="inlineStr">
        <is>
          <t>XP_044130116.1 solute carrier family 35 member F5 [Bufo gargarizans]</t>
        </is>
      </c>
      <c r="M2985" t="n">
        <v>1106</v>
      </c>
      <c r="N2985" t="inlineStr">
        <is>
          <t>Bufo gargarizans</t>
        </is>
      </c>
      <c r="O2985" t="inlineStr">
        <is>
          <t>solute carrier family 35 member F5</t>
        </is>
      </c>
    </row>
    <row r="2986">
      <c r="A2986" t="inlineStr"/>
      <c r="B2986" t="inlineStr"/>
      <c r="C2986" t="inlineStr"/>
      <c r="D2986" t="inlineStr"/>
      <c r="E2986">
        <f>HYPERLINK("https://www.ncbi.nlm.nih.gov/gene/?term=CAH6788632.1", "CAH6788632.1")</f>
        <v/>
      </c>
      <c r="F2986" t="n">
        <v>36.7</v>
      </c>
      <c r="G2986" t="n">
        <v>109</v>
      </c>
      <c r="H2986" t="n">
        <v>1.99e-15</v>
      </c>
      <c r="I2986" t="inlineStr">
        <is>
          <t>Nr</t>
        </is>
      </c>
      <c r="J2986" t="inlineStr"/>
      <c r="K2986" t="inlineStr"/>
      <c r="L2986" t="inlineStr">
        <is>
          <t>CAH6788632.1 LOC317588 [Phodopus roborovskii]</t>
        </is>
      </c>
      <c r="M2986" t="n">
        <v>832</v>
      </c>
      <c r="N2986" t="inlineStr">
        <is>
          <t>Phodopus roborovskii</t>
        </is>
      </c>
      <c r="O2986" t="inlineStr">
        <is>
          <t>LOC317588</t>
        </is>
      </c>
    </row>
    <row r="2987">
      <c r="A2987" t="inlineStr"/>
      <c r="B2987" t="inlineStr"/>
      <c r="C2987" t="inlineStr"/>
      <c r="D2987" t="inlineStr"/>
      <c r="E2987">
        <f>HYPERLINK("https://www.ncbi.nlm.nih.gov/gene/?term=PIO12631.1", "PIO12631.1")</f>
        <v/>
      </c>
      <c r="F2987" t="n">
        <v>33.9</v>
      </c>
      <c r="G2987" t="n">
        <v>124</v>
      </c>
      <c r="H2987" t="n">
        <v>3.07e-15</v>
      </c>
      <c r="I2987" t="inlineStr">
        <is>
          <t>Nr</t>
        </is>
      </c>
      <c r="J2987" t="inlineStr"/>
      <c r="K2987" t="inlineStr"/>
      <c r="L2987" t="inlineStr">
        <is>
          <t>PIO12631.1 hypothetical protein AB205_0017970 [Lithobates catesbeianus]</t>
        </is>
      </c>
      <c r="M2987" t="n">
        <v>465</v>
      </c>
      <c r="N2987" t="inlineStr">
        <is>
          <t>Lithobates catesbeianus</t>
        </is>
      </c>
      <c r="O2987" t="inlineStr">
        <is>
          <t>hypothetical protein AB205_0017970</t>
        </is>
      </c>
    </row>
    <row r="2988">
      <c r="A2988" t="inlineStr"/>
      <c r="B2988" t="inlineStr"/>
      <c r="C2988" t="inlineStr"/>
      <c r="D2988" t="inlineStr"/>
      <c r="E2988">
        <f>HYPERLINK("https://www.ncbi.nlm.nih.gov/gene/?term=XP_040188033.1", "XP_040188033.1")</f>
        <v/>
      </c>
      <c r="F2988" t="n">
        <v>36.6</v>
      </c>
      <c r="G2988" t="n">
        <v>145</v>
      </c>
      <c r="H2988" t="n">
        <v>5.27e-15</v>
      </c>
      <c r="I2988" t="inlineStr">
        <is>
          <t>Nr</t>
        </is>
      </c>
      <c r="J2988" t="inlineStr"/>
      <c r="K2988" t="inlineStr"/>
      <c r="L2988" t="inlineStr">
        <is>
          <t>XP_040188033.1 uncharacterized protein LOC120920173 [Rana temporaria]</t>
        </is>
      </c>
      <c r="M2988" t="n">
        <v>513</v>
      </c>
      <c r="N2988" t="inlineStr">
        <is>
          <t>Rana temporaria</t>
        </is>
      </c>
      <c r="O2988" t="inlineStr">
        <is>
          <t>uncharacterized protein LOC120920173</t>
        </is>
      </c>
    </row>
    <row r="2989">
      <c r="A2989" t="inlineStr"/>
      <c r="B2989" t="inlineStr"/>
      <c r="C2989" t="inlineStr"/>
      <c r="D2989" t="inlineStr"/>
      <c r="E2989">
        <f>HYPERLINK("https://www.ncbi.nlm.nih.gov/gene/?term=XP_040177132.1", "XP_040177132.1")</f>
        <v/>
      </c>
      <c r="F2989" t="n">
        <v>29.9</v>
      </c>
      <c r="G2989" t="n">
        <v>144</v>
      </c>
      <c r="H2989" t="n">
        <v>9.99e-15</v>
      </c>
      <c r="I2989" t="inlineStr">
        <is>
          <t>Nr</t>
        </is>
      </c>
      <c r="J2989" t="inlineStr"/>
      <c r="K2989" t="inlineStr"/>
      <c r="L2989" t="inlineStr">
        <is>
          <t>XP_040177132.1 uncharacterized protein LOC120909427 [Rana temporaria]</t>
        </is>
      </c>
      <c r="M2989" t="n">
        <v>367</v>
      </c>
      <c r="N2989" t="inlineStr">
        <is>
          <t>Rana temporaria</t>
        </is>
      </c>
      <c r="O2989" t="inlineStr">
        <is>
          <t>uncharacterized protein LOC120909427</t>
        </is>
      </c>
    </row>
    <row r="2990">
      <c r="A2990" t="inlineStr"/>
      <c r="B2990" t="inlineStr"/>
      <c r="C2990" t="inlineStr"/>
      <c r="D2990" t="inlineStr"/>
      <c r="E2990">
        <f>HYPERLINK("https://www.ncbi.nlm.nih.gov/gene/?term=CAH2329509.1", "CAH2329509.1")</f>
        <v/>
      </c>
      <c r="F2990" t="n">
        <v>30.8</v>
      </c>
      <c r="G2990" t="n">
        <v>143</v>
      </c>
      <c r="H2990" t="n">
        <v>1.03e-14</v>
      </c>
      <c r="I2990" t="inlineStr">
        <is>
          <t>Nr</t>
        </is>
      </c>
      <c r="J2990" t="inlineStr"/>
      <c r="K2990" t="inlineStr"/>
      <c r="L2990" t="inlineStr">
        <is>
          <t>CAH2329509.1 Hypothetical predicted protein [Pelobates cultripes]</t>
        </is>
      </c>
      <c r="M2990" t="n">
        <v>271</v>
      </c>
      <c r="N2990" t="inlineStr">
        <is>
          <t>Pelobates cultripes</t>
        </is>
      </c>
      <c r="O2990" t="inlineStr">
        <is>
          <t>Hypothetical predicted protein</t>
        </is>
      </c>
    </row>
    <row r="2991">
      <c r="A2991" t="inlineStr"/>
      <c r="B2991" t="inlineStr"/>
      <c r="C2991" t="inlineStr"/>
      <c r="D2991" t="inlineStr"/>
      <c r="E2991">
        <f>HYPERLINK("https://www.ncbi.nlm.nih.gov/gene/?term=WP_254798791.1", "WP_254798791.1")</f>
        <v/>
      </c>
      <c r="F2991" t="n">
        <v>34.9</v>
      </c>
      <c r="G2991" t="n">
        <v>109</v>
      </c>
      <c r="H2991" t="n">
        <v>1.41e-14</v>
      </c>
      <c r="I2991" t="inlineStr">
        <is>
          <t>Nr</t>
        </is>
      </c>
      <c r="J2991" t="inlineStr"/>
      <c r="K2991" t="inlineStr"/>
      <c r="L2991" t="inlineStr">
        <is>
          <t>WP_254798791.1 DUF1725 domain-containing protein [Sphingobium sp. AS12]</t>
        </is>
      </c>
      <c r="M2991" t="n">
        <v>328</v>
      </c>
      <c r="N2991" t="inlineStr">
        <is>
          <t>Sphingobium sp. AS12</t>
        </is>
      </c>
      <c r="O2991" t="inlineStr">
        <is>
          <t>DUF1725 domain-containing protein</t>
        </is>
      </c>
    </row>
    <row r="2992">
      <c r="A2992" t="inlineStr"/>
      <c r="B2992" t="inlineStr"/>
      <c r="C2992" t="inlineStr"/>
      <c r="D2992" t="inlineStr"/>
      <c r="E2992">
        <f>HYPERLINK("https://www.uniprot.org/uniprotkb/P14381/entry", "P14381")</f>
        <v/>
      </c>
      <c r="F2992" t="n">
        <v>24.2</v>
      </c>
      <c r="G2992" t="n">
        <v>360</v>
      </c>
      <c r="H2992" t="n">
        <v>2.34e-14</v>
      </c>
      <c r="I2992" t="inlineStr">
        <is>
          <t>Swiss-Prot</t>
        </is>
      </c>
      <c r="J2992" t="inlineStr"/>
      <c r="K2992" t="inlineStr">
        <is>
          <t>YTX2_XENLA</t>
        </is>
      </c>
      <c r="L2992" t="inlineStr">
        <is>
          <t>sp|P14381|YTX2_XENLA Transposon TX1 uncharacterized 149 kDa protein OS=Xenopus laevis OX=8355 PE=4 SV=1</t>
        </is>
      </c>
      <c r="M2992" t="n">
        <v>1308</v>
      </c>
      <c r="N2992" t="inlineStr">
        <is>
          <t>Xenopus laevis</t>
        </is>
      </c>
      <c r="O2992" t="inlineStr">
        <is>
          <t>Transposon TX1 uncharacterized 149 kDa protein</t>
        </is>
      </c>
    </row>
    <row r="2993">
      <c r="A2993" t="inlineStr"/>
      <c r="B2993" t="inlineStr"/>
      <c r="C2993" t="inlineStr"/>
      <c r="D2993" t="inlineStr"/>
      <c r="E2993">
        <f>HYPERLINK("https://www.uniprot.org/uniprotkb/A0A8C5PV42/entry", "A0A8C5PV42")</f>
        <v/>
      </c>
      <c r="F2993" t="n">
        <v>35</v>
      </c>
      <c r="G2993" t="n">
        <v>140</v>
      </c>
      <c r="H2993" t="n">
        <v>2.55e-14</v>
      </c>
      <c r="I2993" t="inlineStr">
        <is>
          <t>TrEMBL</t>
        </is>
      </c>
      <c r="J2993" t="inlineStr"/>
      <c r="K2993" t="inlineStr">
        <is>
          <t>A0A8C5PV42_9ANUR</t>
        </is>
      </c>
      <c r="L2993" t="inlineStr">
        <is>
          <t>tr|A0A8C5PV42|A0A8C5PV42_9ANUR ribonuclease H OS=Leptobrachium leishanense OX=445787 PE=3 SV=1</t>
        </is>
      </c>
      <c r="M2993" t="n">
        <v>577</v>
      </c>
      <c r="N2993" t="inlineStr">
        <is>
          <t>Leptobrachium leishanense</t>
        </is>
      </c>
      <c r="O2993" t="inlineStr">
        <is>
          <t>ribonuclease H</t>
        </is>
      </c>
    </row>
    <row r="2994">
      <c r="A2994" t="inlineStr"/>
      <c r="B2994" t="inlineStr"/>
      <c r="C2994" t="inlineStr"/>
      <c r="D2994" t="inlineStr"/>
      <c r="E2994">
        <f>HYPERLINK("https://www.ncbi.nlm.nih.gov/gene/?term=KAF0873117.1", "KAF0873117.1")</f>
        <v/>
      </c>
      <c r="F2994" t="n">
        <v>34.5</v>
      </c>
      <c r="G2994" t="n">
        <v>110</v>
      </c>
      <c r="H2994" t="n">
        <v>3.65e-14</v>
      </c>
      <c r="I2994" t="inlineStr">
        <is>
          <t>Nr</t>
        </is>
      </c>
      <c r="J2994" t="inlineStr"/>
      <c r="K2994" t="inlineStr"/>
      <c r="L2994" t="inlineStr">
        <is>
          <t>KAF0873117.1 LORF2 protein, partial [Crocuta crocuta]</t>
        </is>
      </c>
      <c r="M2994" t="n">
        <v>127</v>
      </c>
      <c r="N2994" t="inlineStr">
        <is>
          <t>Crocuta crocuta</t>
        </is>
      </c>
      <c r="O2994" t="inlineStr">
        <is>
          <t>LORF2 protein, partial</t>
        </is>
      </c>
    </row>
    <row r="2995">
      <c r="A2995" t="inlineStr"/>
      <c r="B2995" t="inlineStr"/>
      <c r="C2995" t="inlineStr"/>
      <c r="D2995" t="inlineStr"/>
      <c r="E2995">
        <f>HYPERLINK("https://www.uniprot.org/uniprotkb/P11369/entry", "P11369")</f>
        <v/>
      </c>
      <c r="F2995" t="n">
        <v>31</v>
      </c>
      <c r="G2995" t="n">
        <v>142</v>
      </c>
      <c r="H2995" t="n">
        <v>4.04e-14</v>
      </c>
      <c r="I2995" t="inlineStr">
        <is>
          <t>Swiss-Prot</t>
        </is>
      </c>
      <c r="J2995" t="inlineStr">
        <is>
          <t>Pol</t>
        </is>
      </c>
      <c r="K2995" t="inlineStr">
        <is>
          <t>LORF2_MOUSE</t>
        </is>
      </c>
      <c r="L2995" t="inlineStr">
        <is>
          <t>sp|P11369|LORF2_MOUSE LINE-1 retrotransposable element ORF2 protein OS=Mus musculus OX=10090 GN=Pol PE=1 SV=2</t>
        </is>
      </c>
      <c r="M2995" t="n">
        <v>1281</v>
      </c>
      <c r="N2995" t="inlineStr">
        <is>
          <t>Mus musculus</t>
        </is>
      </c>
      <c r="O2995" t="inlineStr">
        <is>
          <t>LINE-1 retrotransposable element ORF2 protein</t>
        </is>
      </c>
    </row>
    <row r="2996">
      <c r="A2996" t="inlineStr"/>
      <c r="B2996" t="inlineStr"/>
      <c r="C2996" t="inlineStr"/>
      <c r="D2996" t="inlineStr"/>
      <c r="E2996">
        <f>HYPERLINK("https://www.ncbi.nlm.nih.gov/gene/?term=XP_051687761.1", "XP_051687761.1")</f>
        <v/>
      </c>
      <c r="F2996" t="n">
        <v>32.8</v>
      </c>
      <c r="G2996" t="n">
        <v>119</v>
      </c>
      <c r="H2996" t="n">
        <v>7.12e-14</v>
      </c>
      <c r="I2996" t="inlineStr">
        <is>
          <t>Nr</t>
        </is>
      </c>
      <c r="J2996" t="inlineStr"/>
      <c r="K2996" t="inlineStr"/>
      <c r="L2996" t="inlineStr">
        <is>
          <t>XP_051687761.1 LHFPL tetraspan subfamily member 6 protein isoform X1 [Oryctolagus cuniculus]</t>
        </is>
      </c>
      <c r="M2996" t="n">
        <v>328</v>
      </c>
      <c r="N2996" t="inlineStr">
        <is>
          <t>Oryctolagus cuniculus</t>
        </is>
      </c>
      <c r="O2996" t="inlineStr">
        <is>
          <t>LHFPL tetraspan subfamily member 6 protein isoform X1</t>
        </is>
      </c>
    </row>
    <row r="2997">
      <c r="A2997" t="inlineStr"/>
      <c r="B2997" t="inlineStr"/>
      <c r="C2997" t="inlineStr"/>
      <c r="D2997" t="inlineStr"/>
      <c r="E2997">
        <f>HYPERLINK("https://www.uniprot.org/uniprotkb/P08548/entry", "P08548")</f>
        <v/>
      </c>
      <c r="F2997" t="n">
        <v>28.9</v>
      </c>
      <c r="G2997" t="n">
        <v>128</v>
      </c>
      <c r="H2997" t="n">
        <v>7.47e-14</v>
      </c>
      <c r="I2997" t="inlineStr">
        <is>
          <t>Swiss-Prot</t>
        </is>
      </c>
      <c r="J2997" t="inlineStr"/>
      <c r="K2997" t="inlineStr">
        <is>
          <t>LIN1_NYCCO</t>
        </is>
      </c>
      <c r="L2997" t="inlineStr">
        <is>
          <t>sp|P08548|LIN1_NYCCO LINE-1 reverse transcriptase homolog OS=Nycticebus coucang OX=9470 PE=4 SV=1</t>
        </is>
      </c>
      <c r="M2997" t="n">
        <v>1260</v>
      </c>
      <c r="N2997" t="inlineStr">
        <is>
          <t>Nycticebus coucang</t>
        </is>
      </c>
      <c r="O2997" t="inlineStr">
        <is>
          <t>LINE-1 reverse transcriptase homolog</t>
        </is>
      </c>
    </row>
    <row r="2998">
      <c r="A2998" t="inlineStr"/>
      <c r="B2998" t="inlineStr"/>
      <c r="C2998" t="inlineStr"/>
      <c r="D2998" t="inlineStr"/>
      <c r="E2998">
        <f>HYPERLINK("https://www.uniprot.org/uniprotkb/A0A803J5F9/entry", "A0A803J5F9")</f>
        <v/>
      </c>
      <c r="F2998" t="n">
        <v>39</v>
      </c>
      <c r="G2998" t="n">
        <v>118</v>
      </c>
      <c r="H2998" t="n">
        <v>7.88e-14</v>
      </c>
      <c r="I2998" t="inlineStr">
        <is>
          <t>TrEMBL</t>
        </is>
      </c>
      <c r="J2998" t="inlineStr"/>
      <c r="K2998" t="inlineStr">
        <is>
          <t>A0A803J5F9_XENTR</t>
        </is>
      </c>
      <c r="L2998" t="inlineStr">
        <is>
          <t>tr|A0A803J5F9|A0A803J5F9_XENTR Reverse transcriptase domain-containing protein OS=Xenopus tropicalis OX=8364 PE=4 SV=1</t>
        </is>
      </c>
      <c r="M2998" t="n">
        <v>1272</v>
      </c>
      <c r="N2998" t="inlineStr">
        <is>
          <t>Xenopus tropicalis</t>
        </is>
      </c>
      <c r="O2998" t="inlineStr">
        <is>
          <t>Reverse transcriptase domain-containing protein</t>
        </is>
      </c>
    </row>
    <row r="2999">
      <c r="A2999" t="inlineStr"/>
      <c r="B2999" t="inlineStr"/>
      <c r="C2999" t="inlineStr"/>
      <c r="D2999" t="inlineStr"/>
      <c r="E2999">
        <f>HYPERLINK("https://www.ncbi.nlm.nih.gov/gene/?term=XP_044134874.1", "XP_044134874.1")</f>
        <v/>
      </c>
      <c r="F2999" t="n">
        <v>36.5</v>
      </c>
      <c r="G2999" t="n">
        <v>137</v>
      </c>
      <c r="H2999" t="n">
        <v>9.369999999999999e-14</v>
      </c>
      <c r="I2999" t="inlineStr">
        <is>
          <t>Nr</t>
        </is>
      </c>
      <c r="J2999" t="inlineStr"/>
      <c r="K2999" t="inlineStr"/>
      <c r="L2999" t="inlineStr">
        <is>
          <t>XP_044134874.1 F-box/WD repeat-containing protein 9 isoform X1 [Bufo gargarizans]</t>
        </is>
      </c>
      <c r="M2999" t="n">
        <v>787</v>
      </c>
      <c r="N2999" t="inlineStr">
        <is>
          <t>Bufo gargarizans</t>
        </is>
      </c>
      <c r="O2999" t="inlineStr">
        <is>
          <t>F-box/WD repeat-containing protein 9 isoform X1</t>
        </is>
      </c>
    </row>
    <row r="3000">
      <c r="A3000" t="inlineStr"/>
      <c r="B3000" t="inlineStr"/>
      <c r="C3000" t="inlineStr"/>
      <c r="D3000" t="inlineStr"/>
      <c r="E3000">
        <f>HYPERLINK("https://www.ncbi.nlm.nih.gov/gene/?term=KAF6374302.1", "KAF6374302.1")</f>
        <v/>
      </c>
      <c r="F3000" t="n">
        <v>37</v>
      </c>
      <c r="G3000" t="n">
        <v>119</v>
      </c>
      <c r="H3000" t="n">
        <v>9.57e-14</v>
      </c>
      <c r="I3000" t="inlineStr">
        <is>
          <t>Nr</t>
        </is>
      </c>
      <c r="J3000" t="inlineStr"/>
      <c r="K3000" t="inlineStr"/>
      <c r="L3000" t="inlineStr">
        <is>
          <t>KAF6374302.1 hypothetical protein mPipKuh1_009525 [Pipistrellus kuhlii]</t>
        </is>
      </c>
      <c r="M3000" t="n">
        <v>153</v>
      </c>
      <c r="N3000" t="inlineStr">
        <is>
          <t>Pipistrellus kuhlii</t>
        </is>
      </c>
      <c r="O3000" t="inlineStr">
        <is>
          <t>hypothetical protein mPipKuh1_009525</t>
        </is>
      </c>
    </row>
    <row r="3001">
      <c r="A3001" t="inlineStr"/>
      <c r="B3001" t="inlineStr"/>
      <c r="C3001" t="inlineStr"/>
      <c r="D3001" t="inlineStr"/>
      <c r="E3001">
        <f>HYPERLINK("https://www.ncbi.nlm.nih.gov/gene/?term=KAF6396982.1", "KAF6396982.1")</f>
        <v/>
      </c>
      <c r="F3001" t="n">
        <v>31.8</v>
      </c>
      <c r="G3001" t="n">
        <v>110</v>
      </c>
      <c r="H3001" t="n">
        <v>1.07e-13</v>
      </c>
      <c r="I3001" t="inlineStr">
        <is>
          <t>Nr</t>
        </is>
      </c>
      <c r="J3001" t="inlineStr"/>
      <c r="K3001" t="inlineStr"/>
      <c r="L3001" t="inlineStr">
        <is>
          <t>KAF6396982.1 hypothetical protein HJG63_009674 [Rousettus aegyptiacus]</t>
        </is>
      </c>
      <c r="M3001" t="n">
        <v>190</v>
      </c>
      <c r="N3001" t="inlineStr">
        <is>
          <t>Rousettus aegyptiacus</t>
        </is>
      </c>
      <c r="O3001" t="inlineStr">
        <is>
          <t>hypothetical protein HJG63_009674</t>
        </is>
      </c>
    </row>
    <row r="3002">
      <c r="A3002" t="inlineStr"/>
      <c r="B3002" t="inlineStr"/>
      <c r="C3002" t="inlineStr"/>
      <c r="D3002" t="inlineStr"/>
      <c r="E3002">
        <f>HYPERLINK("https://www.ncbi.nlm.nih.gov/gene/?term=KAF6130849.1", "KAF6130849.1")</f>
        <v/>
      </c>
      <c r="F3002" t="n">
        <v>31.8</v>
      </c>
      <c r="G3002" t="n">
        <v>110</v>
      </c>
      <c r="H3002" t="n">
        <v>1.07e-13</v>
      </c>
      <c r="I3002" t="inlineStr">
        <is>
          <t>Nr</t>
        </is>
      </c>
      <c r="J3002" t="inlineStr"/>
      <c r="K3002" t="inlineStr"/>
      <c r="L3002" t="inlineStr">
        <is>
          <t>KAF6130849.1 hypothetical protein HJG60_007822 [Phyllostomus discolor]</t>
        </is>
      </c>
      <c r="M3002" t="n">
        <v>143</v>
      </c>
      <c r="N3002" t="inlineStr">
        <is>
          <t>Phyllostomus discolor</t>
        </is>
      </c>
      <c r="O3002" t="inlineStr">
        <is>
          <t>hypothetical protein HJG60_007822</t>
        </is>
      </c>
    </row>
    <row r="3003">
      <c r="A3003" t="inlineStr"/>
      <c r="B3003" t="inlineStr"/>
      <c r="C3003" t="inlineStr"/>
      <c r="D3003" t="inlineStr"/>
      <c r="E3003">
        <f>HYPERLINK("https://www.ncbi.nlm.nih.gov/gene/?term=KAF6359979.1", "KAF6359979.1")</f>
        <v/>
      </c>
      <c r="F3003" t="n">
        <v>36.2</v>
      </c>
      <c r="G3003" t="n">
        <v>116</v>
      </c>
      <c r="H3003" t="n">
        <v>1.21e-13</v>
      </c>
      <c r="I3003" t="inlineStr">
        <is>
          <t>Nr</t>
        </is>
      </c>
      <c r="J3003" t="inlineStr"/>
      <c r="K3003" t="inlineStr"/>
      <c r="L3003" t="inlineStr">
        <is>
          <t>KAF6359979.1 hypothetical protein mMyoMyo1_010941 [Myotis myotis]</t>
        </is>
      </c>
      <c r="M3003" t="n">
        <v>120</v>
      </c>
      <c r="N3003" t="inlineStr">
        <is>
          <t>Myotis myotis</t>
        </is>
      </c>
      <c r="O3003" t="inlineStr">
        <is>
          <t>hypothetical protein mMyoMyo1_010941</t>
        </is>
      </c>
    </row>
    <row r="3004">
      <c r="A3004" t="inlineStr"/>
      <c r="B3004" t="inlineStr"/>
      <c r="C3004" t="inlineStr"/>
      <c r="D3004" t="inlineStr"/>
      <c r="E3004">
        <f>HYPERLINK("https://www.ncbi.nlm.nih.gov/gene/?term=KAF0878464.1", "KAF0878464.1")</f>
        <v/>
      </c>
      <c r="F3004" t="n">
        <v>30.5</v>
      </c>
      <c r="G3004" t="n">
        <v>131</v>
      </c>
      <c r="H3004" t="n">
        <v>1.27e-13</v>
      </c>
      <c r="I3004" t="inlineStr">
        <is>
          <t>Nr</t>
        </is>
      </c>
      <c r="J3004" t="inlineStr"/>
      <c r="K3004" t="inlineStr"/>
      <c r="L3004" t="inlineStr">
        <is>
          <t>KAF0878464.1 LORF2 protein, partial [Crocuta crocuta]</t>
        </is>
      </c>
      <c r="M3004" t="n">
        <v>182</v>
      </c>
      <c r="N3004" t="inlineStr">
        <is>
          <t>Crocuta crocuta</t>
        </is>
      </c>
      <c r="O3004" t="inlineStr">
        <is>
          <t>LORF2 protein, partial</t>
        </is>
      </c>
    </row>
    <row r="3005">
      <c r="A3005" t="inlineStr"/>
      <c r="B3005" t="inlineStr"/>
      <c r="C3005" t="inlineStr"/>
      <c r="D3005" t="inlineStr"/>
      <c r="E3005">
        <f>HYPERLINK("https://www.ncbi.nlm.nih.gov/gene/?term=XP_018432223.1", "XP_018432223.1")</f>
        <v/>
      </c>
      <c r="F3005" t="n">
        <v>31.3</v>
      </c>
      <c r="G3005" t="n">
        <v>144</v>
      </c>
      <c r="H3005" t="n">
        <v>1.39e-13</v>
      </c>
      <c r="I3005" t="inlineStr">
        <is>
          <t>Nr</t>
        </is>
      </c>
      <c r="J3005" t="inlineStr"/>
      <c r="K3005" t="inlineStr"/>
      <c r="L3005" t="inlineStr">
        <is>
          <t>XP_018432223.1 PREDICTED: gamma-tubulin complex component 6 [Nanorana parkeri]</t>
        </is>
      </c>
      <c r="M3005" t="n">
        <v>2620</v>
      </c>
      <c r="N3005" t="inlineStr">
        <is>
          <t>Nanorana parkeri</t>
        </is>
      </c>
      <c r="O3005" t="inlineStr">
        <is>
          <t>PREDICTED: gamma-tubulin complex component 6</t>
        </is>
      </c>
    </row>
    <row r="3006">
      <c r="A3006" t="inlineStr"/>
      <c r="B3006" t="inlineStr"/>
      <c r="C3006" t="inlineStr"/>
      <c r="D3006" t="inlineStr"/>
      <c r="E3006">
        <f>HYPERLINK("https://www.ncbi.nlm.nih.gov/gene/?term=KAF0872282.1", "KAF0872282.1")</f>
        <v/>
      </c>
      <c r="F3006" t="n">
        <v>34.8</v>
      </c>
      <c r="G3006" t="n">
        <v>112</v>
      </c>
      <c r="H3006" t="n">
        <v>1.88e-13</v>
      </c>
      <c r="I3006" t="inlineStr">
        <is>
          <t>Nr</t>
        </is>
      </c>
      <c r="J3006" t="inlineStr"/>
      <c r="K3006" t="inlineStr"/>
      <c r="L3006" t="inlineStr">
        <is>
          <t>KAF0872282.1 LORF2 protein, partial [Crocuta crocuta]</t>
        </is>
      </c>
      <c r="M3006" t="n">
        <v>168</v>
      </c>
      <c r="N3006" t="inlineStr">
        <is>
          <t>Crocuta crocuta</t>
        </is>
      </c>
      <c r="O3006" t="inlineStr">
        <is>
          <t>LORF2 protein, partial</t>
        </is>
      </c>
    </row>
    <row r="3007">
      <c r="A3007" t="inlineStr"/>
      <c r="B3007" t="inlineStr"/>
      <c r="C3007" t="inlineStr"/>
      <c r="D3007" t="inlineStr"/>
      <c r="E3007">
        <f>HYPERLINK("https://www.ncbi.nlm.nih.gov/gene/?term=XP_041427773.1", "XP_041427773.1")</f>
        <v/>
      </c>
      <c r="F3007" t="n">
        <v>34.6</v>
      </c>
      <c r="G3007" t="n">
        <v>127</v>
      </c>
      <c r="H3007" t="n">
        <v>1.94e-13</v>
      </c>
      <c r="I3007" t="inlineStr">
        <is>
          <t>Nr</t>
        </is>
      </c>
      <c r="J3007" t="inlineStr"/>
      <c r="K3007" t="inlineStr"/>
      <c r="L3007" t="inlineStr">
        <is>
          <t>XP_041427773.1 Golgi phosphoprotein 3-like B isoform X1 [Xenopus laevis]</t>
        </is>
      </c>
      <c r="M3007" t="n">
        <v>579</v>
      </c>
      <c r="N3007" t="inlineStr">
        <is>
          <t>Xenopus laevis</t>
        </is>
      </c>
      <c r="O3007" t="inlineStr">
        <is>
          <t>Golgi phosphoprotein 3-like B isoform X1</t>
        </is>
      </c>
    </row>
    <row r="3008">
      <c r="A3008" t="inlineStr"/>
      <c r="B3008" t="inlineStr"/>
      <c r="C3008" t="inlineStr"/>
      <c r="D3008" t="inlineStr"/>
      <c r="E3008">
        <f>HYPERLINK("https://www.ncbi.nlm.nih.gov/gene/?term=EDL78837.1", "EDL78837.1")</f>
        <v/>
      </c>
      <c r="F3008" t="n">
        <v>33</v>
      </c>
      <c r="G3008" t="n">
        <v>109</v>
      </c>
      <c r="H3008" t="n">
        <v>2e-13</v>
      </c>
      <c r="I3008" t="inlineStr">
        <is>
          <t>Nr</t>
        </is>
      </c>
      <c r="J3008" t="inlineStr"/>
      <c r="K3008" t="inlineStr"/>
      <c r="L3008" t="inlineStr">
        <is>
          <t>EDL78837.1 rCG59005 [Rattus norvegicus]</t>
        </is>
      </c>
      <c r="M3008" t="n">
        <v>171</v>
      </c>
      <c r="N3008" t="inlineStr">
        <is>
          <t>Rattus norvegicus</t>
        </is>
      </c>
      <c r="O3008" t="inlineStr">
        <is>
          <t>rCG59005</t>
        </is>
      </c>
    </row>
    <row r="3009">
      <c r="A3009" t="inlineStr"/>
      <c r="B3009" t="inlineStr"/>
      <c r="C3009" t="inlineStr"/>
      <c r="D3009" t="inlineStr"/>
      <c r="E3009">
        <f>HYPERLINK("https://www.ncbi.nlm.nih.gov/gene/?term=KAF0872856.1", "KAF0872856.1")</f>
        <v/>
      </c>
      <c r="F3009" t="n">
        <v>35.5</v>
      </c>
      <c r="G3009" t="n">
        <v>110</v>
      </c>
      <c r="H3009" t="n">
        <v>2.04e-13</v>
      </c>
      <c r="I3009" t="inlineStr">
        <is>
          <t>Nr</t>
        </is>
      </c>
      <c r="J3009" t="inlineStr"/>
      <c r="K3009" t="inlineStr"/>
      <c r="L3009" t="inlineStr">
        <is>
          <t>KAF0872856.1 LORF2 protein, partial [Crocuta crocuta]</t>
        </is>
      </c>
      <c r="M3009" t="n">
        <v>172</v>
      </c>
      <c r="N3009" t="inlineStr">
        <is>
          <t>Crocuta crocuta</t>
        </is>
      </c>
      <c r="O3009" t="inlineStr">
        <is>
          <t>LORF2 protein, partial</t>
        </is>
      </c>
    </row>
    <row r="3010">
      <c r="A3010" t="inlineStr"/>
      <c r="B3010" t="inlineStr"/>
      <c r="C3010" t="inlineStr"/>
      <c r="D3010" t="inlineStr"/>
      <c r="E3010">
        <f>HYPERLINK("https://www.ncbi.nlm.nih.gov/gene/?term=KAF0881573.1", "KAF0881573.1")</f>
        <v/>
      </c>
      <c r="F3010" t="n">
        <v>34.5</v>
      </c>
      <c r="G3010" t="n">
        <v>110</v>
      </c>
      <c r="H3010" t="n">
        <v>2.09e-13</v>
      </c>
      <c r="I3010" t="inlineStr">
        <is>
          <t>Nr</t>
        </is>
      </c>
      <c r="J3010" t="inlineStr"/>
      <c r="K3010" t="inlineStr"/>
      <c r="L3010" t="inlineStr">
        <is>
          <t>KAF0881573.1 LORF2 protein, partial [Crocuta crocuta]</t>
        </is>
      </c>
      <c r="M3010" t="n">
        <v>173</v>
      </c>
      <c r="N3010" t="inlineStr">
        <is>
          <t>Crocuta crocuta</t>
        </is>
      </c>
      <c r="O3010" t="inlineStr">
        <is>
          <t>LORF2 protein, partial</t>
        </is>
      </c>
    </row>
    <row r="3011">
      <c r="A3011" t="inlineStr"/>
      <c r="B3011" t="inlineStr"/>
      <c r="C3011" t="inlineStr"/>
      <c r="D3011" t="inlineStr"/>
      <c r="E3011">
        <f>HYPERLINK("https://www.ncbi.nlm.nih.gov/gene/?term=KAF0880068.1", "KAF0880068.1")</f>
        <v/>
      </c>
      <c r="F3011" t="n">
        <v>34.5</v>
      </c>
      <c r="G3011" t="n">
        <v>110</v>
      </c>
      <c r="H3011" t="n">
        <v>2.24e-13</v>
      </c>
      <c r="I3011" t="inlineStr">
        <is>
          <t>Nr</t>
        </is>
      </c>
      <c r="J3011" t="inlineStr"/>
      <c r="K3011" t="inlineStr"/>
      <c r="L3011" t="inlineStr">
        <is>
          <t>KAF0880068.1 LORF2 protein, partial [Crocuta crocuta]</t>
        </is>
      </c>
      <c r="M3011" t="n">
        <v>131</v>
      </c>
      <c r="N3011" t="inlineStr">
        <is>
          <t>Crocuta crocuta</t>
        </is>
      </c>
      <c r="O3011" t="inlineStr">
        <is>
          <t>LORF2 protein, partial</t>
        </is>
      </c>
    </row>
    <row r="3012">
      <c r="A3012" t="inlineStr"/>
      <c r="B3012" t="inlineStr"/>
      <c r="C3012" t="inlineStr"/>
      <c r="D3012" t="inlineStr"/>
      <c r="E3012">
        <f>HYPERLINK("https://www.ncbi.nlm.nih.gov/gene/?term=KAF0879676.1", "KAF0879676.1")</f>
        <v/>
      </c>
      <c r="F3012" t="n">
        <v>35.5</v>
      </c>
      <c r="G3012" t="n">
        <v>110</v>
      </c>
      <c r="H3012" t="n">
        <v>2.29e-13</v>
      </c>
      <c r="I3012" t="inlineStr">
        <is>
          <t>Nr</t>
        </is>
      </c>
      <c r="J3012" t="inlineStr"/>
      <c r="K3012" t="inlineStr"/>
      <c r="L3012" t="inlineStr">
        <is>
          <t>KAF0879676.1 LORF2 protein, partial [Crocuta crocuta]</t>
        </is>
      </c>
      <c r="M3012" t="n">
        <v>213</v>
      </c>
      <c r="N3012" t="inlineStr">
        <is>
          <t>Crocuta crocuta</t>
        </is>
      </c>
      <c r="O3012" t="inlineStr">
        <is>
          <t>LORF2 protein, partial</t>
        </is>
      </c>
    </row>
    <row r="3013">
      <c r="A3013" t="inlineStr"/>
      <c r="B3013" t="inlineStr"/>
      <c r="C3013" t="inlineStr"/>
      <c r="D3013" t="inlineStr"/>
      <c r="E3013">
        <f>HYPERLINK("https://www.uniprot.org/uniprotkb/O00370/entry", "O00370")</f>
        <v/>
      </c>
      <c r="F3013" t="n">
        <v>27.3</v>
      </c>
      <c r="G3013" t="n">
        <v>110</v>
      </c>
      <c r="H3013" t="n">
        <v>8.8e-13</v>
      </c>
      <c r="I3013" t="inlineStr">
        <is>
          <t>Swiss-Prot</t>
        </is>
      </c>
      <c r="J3013" t="inlineStr"/>
      <c r="K3013" t="inlineStr">
        <is>
          <t>LORF2_HUMAN</t>
        </is>
      </c>
      <c r="L3013" t="inlineStr">
        <is>
          <t>sp|O00370|LORF2_HUMAN LINE-1 retrotransposable element ORF2 protein OS=Homo sapiens OX=9606 PE=1 SV=1</t>
        </is>
      </c>
      <c r="M3013" t="n">
        <v>1275</v>
      </c>
      <c r="N3013" t="inlineStr">
        <is>
          <t>Homo sapiens</t>
        </is>
      </c>
      <c r="O3013" t="inlineStr">
        <is>
          <t>LINE-1 retrotransposable element ORF2 protein</t>
        </is>
      </c>
    </row>
    <row r="3014">
      <c r="A3014" t="inlineStr"/>
      <c r="B3014" t="inlineStr"/>
      <c r="C3014" t="inlineStr"/>
      <c r="D3014" t="inlineStr"/>
      <c r="E3014">
        <f>HYPERLINK("https://www.ncbi.nlm.nih.gov/gene/?term=XP_029913813.1", "XP_029913813.1")</f>
        <v/>
      </c>
      <c r="F3014" t="n">
        <v>31.2</v>
      </c>
      <c r="G3014" t="n">
        <v>141</v>
      </c>
      <c r="H3014" t="n">
        <v>2.86e-12</v>
      </c>
      <c r="I3014" t="inlineStr">
        <is>
          <t>Nr</t>
        </is>
      </c>
      <c r="J3014" t="inlineStr"/>
      <c r="K3014" t="inlineStr"/>
      <c r="L3014" t="inlineStr">
        <is>
          <t>XP_029913813.1 uncharacterized protein LOC115363676 [Myripristis murdjan]</t>
        </is>
      </c>
      <c r="M3014" t="n">
        <v>928</v>
      </c>
      <c r="N3014" t="inlineStr">
        <is>
          <t>Myripristis murdjan</t>
        </is>
      </c>
      <c r="O3014" t="inlineStr">
        <is>
          <t>uncharacterized protein LOC115363676</t>
        </is>
      </c>
    </row>
    <row r="3015">
      <c r="A3015" t="inlineStr"/>
      <c r="B3015" t="inlineStr"/>
      <c r="C3015" t="inlineStr"/>
      <c r="D3015" t="inlineStr"/>
      <c r="E3015">
        <f>HYPERLINK("https://www.ncbi.nlm.nih.gov/gene/?term=XP_029922331.1", "XP_029922331.1")</f>
        <v/>
      </c>
      <c r="F3015" t="n">
        <v>31.9</v>
      </c>
      <c r="G3015" t="n">
        <v>141</v>
      </c>
      <c r="H3015" t="n">
        <v>3.89e-12</v>
      </c>
      <c r="I3015" t="inlineStr">
        <is>
          <t>Nr</t>
        </is>
      </c>
      <c r="J3015" t="inlineStr"/>
      <c r="K3015" t="inlineStr"/>
      <c r="L3015" t="inlineStr">
        <is>
          <t>XP_029922331.1 uncharacterized protein LOC115369806 [Myripristis murdjan]</t>
        </is>
      </c>
      <c r="M3015" t="n">
        <v>923</v>
      </c>
      <c r="N3015" t="inlineStr">
        <is>
          <t>Myripristis murdjan</t>
        </is>
      </c>
      <c r="O3015" t="inlineStr">
        <is>
          <t>uncharacterized protein LOC115369806</t>
        </is>
      </c>
    </row>
    <row r="3016">
      <c r="A3016" t="inlineStr"/>
      <c r="B3016" t="inlineStr"/>
      <c r="C3016" t="inlineStr"/>
      <c r="D3016" t="inlineStr"/>
      <c r="E3016">
        <f>HYPERLINK("https://www.uniprot.org/uniprotkb/A0A8C5PQP3/entry", "A0A8C5PQP3")</f>
        <v/>
      </c>
      <c r="F3016" t="n">
        <v>37.7</v>
      </c>
      <c r="G3016" t="n">
        <v>114</v>
      </c>
      <c r="H3016" t="n">
        <v>4.16e-12</v>
      </c>
      <c r="I3016" t="inlineStr">
        <is>
          <t>TrEMBL</t>
        </is>
      </c>
      <c r="J3016" t="inlineStr"/>
      <c r="K3016" t="inlineStr">
        <is>
          <t>A0A8C5PQP3_9ANUR</t>
        </is>
      </c>
      <c r="L3016" t="inlineStr">
        <is>
          <t>tr|A0A8C5PQP3|A0A8C5PQP3_9ANUR Endo/exonuclease/phosphatase domain-containing protein OS=Leptobrachium leishanense OX=445787 PE=4 SV=1</t>
        </is>
      </c>
      <c r="M3016" t="n">
        <v>541</v>
      </c>
      <c r="N3016" t="inlineStr">
        <is>
          <t>Leptobrachium leishanense</t>
        </is>
      </c>
      <c r="O3016" t="inlineStr">
        <is>
          <t>Endo/exonuclease/phosphatase domain-containing protein</t>
        </is>
      </c>
    </row>
    <row r="3017">
      <c r="A3017" t="inlineStr"/>
      <c r="B3017" t="inlineStr"/>
      <c r="C3017" t="inlineStr"/>
      <c r="D3017" t="inlineStr"/>
      <c r="E3017">
        <f>HYPERLINK("https://www.uniprot.org/uniprotkb/A0A8C5LMV1/entry", "A0A8C5LMV1")</f>
        <v/>
      </c>
      <c r="F3017" t="n">
        <v>37.7</v>
      </c>
      <c r="G3017" t="n">
        <v>114</v>
      </c>
      <c r="H3017" t="n">
        <v>4.17e-12</v>
      </c>
      <c r="I3017" t="inlineStr">
        <is>
          <t>TrEMBL</t>
        </is>
      </c>
      <c r="J3017" t="inlineStr"/>
      <c r="K3017" t="inlineStr">
        <is>
          <t>A0A8C5LMV1_9ANUR</t>
        </is>
      </c>
      <c r="L3017" t="inlineStr">
        <is>
          <t>tr|A0A8C5LMV1|A0A8C5LMV1_9ANUR Endo/exonuclease/phosphatase domain-containing protein OS=Leptobrachium leishanense OX=445787 PE=4 SV=1</t>
        </is>
      </c>
      <c r="M3017" t="n">
        <v>547</v>
      </c>
      <c r="N3017" t="inlineStr">
        <is>
          <t>Leptobrachium leishanense</t>
        </is>
      </c>
      <c r="O3017" t="inlineStr">
        <is>
          <t>Endo/exonuclease/phosphatase domain-containing protein</t>
        </is>
      </c>
    </row>
    <row r="3018">
      <c r="A3018" t="inlineStr"/>
      <c r="B3018" t="inlineStr"/>
      <c r="C3018" t="inlineStr"/>
      <c r="D3018" t="inlineStr"/>
      <c r="E3018">
        <f>HYPERLINK("https://www.uniprot.org/uniprotkb/A0A8C5QJQ1/entry", "A0A8C5QJQ1")</f>
        <v/>
      </c>
      <c r="F3018" t="n">
        <v>37.7</v>
      </c>
      <c r="G3018" t="n">
        <v>114</v>
      </c>
      <c r="H3018" t="n">
        <v>4.33e-12</v>
      </c>
      <c r="I3018" t="inlineStr">
        <is>
          <t>TrEMBL</t>
        </is>
      </c>
      <c r="J3018" t="inlineStr"/>
      <c r="K3018" t="inlineStr">
        <is>
          <t>A0A8C5QJQ1_9ANUR</t>
        </is>
      </c>
      <c r="L3018" t="inlineStr">
        <is>
          <t>tr|A0A8C5QJQ1|A0A8C5QJQ1_9ANUR Reverse transcriptase domain-containing protein OS=Leptobrachium leishanense OX=445787 PE=4 SV=1</t>
        </is>
      </c>
      <c r="M3018" t="n">
        <v>783</v>
      </c>
      <c r="N3018" t="inlineStr">
        <is>
          <t>Leptobrachium leishanense</t>
        </is>
      </c>
      <c r="O3018" t="inlineStr">
        <is>
          <t>Reverse transcriptase domain-containing protein</t>
        </is>
      </c>
    </row>
    <row r="3019">
      <c r="A3019" t="inlineStr"/>
      <c r="B3019" t="inlineStr"/>
      <c r="C3019" t="inlineStr"/>
      <c r="D3019" t="inlineStr"/>
      <c r="E3019">
        <f>HYPERLINK("https://www.uniprot.org/uniprotkb/A0A803KEP9/entry", "A0A803KEP9")</f>
        <v/>
      </c>
      <c r="F3019" t="n">
        <v>39</v>
      </c>
      <c r="G3019" t="n">
        <v>100</v>
      </c>
      <c r="H3019" t="n">
        <v>4.4e-12</v>
      </c>
      <c r="I3019" t="inlineStr">
        <is>
          <t>TrEMBL</t>
        </is>
      </c>
      <c r="J3019" t="inlineStr"/>
      <c r="K3019" t="inlineStr">
        <is>
          <t>A0A803KEP9_XENTR</t>
        </is>
      </c>
      <c r="L3019" t="inlineStr">
        <is>
          <t>tr|A0A803KEP9|A0A803KEP9_XENTR Reverse transcriptase domain-containing protein OS=Xenopus tropicalis OX=8364 PE=4 SV=1</t>
        </is>
      </c>
      <c r="M3019" t="n">
        <v>968</v>
      </c>
      <c r="N3019" t="inlineStr">
        <is>
          <t>Xenopus tropicalis</t>
        </is>
      </c>
      <c r="O3019" t="inlineStr">
        <is>
          <t>Reverse transcriptase domain-containing protein</t>
        </is>
      </c>
    </row>
    <row r="3020">
      <c r="A3020" t="inlineStr"/>
      <c r="B3020" t="inlineStr"/>
      <c r="C3020" t="inlineStr"/>
      <c r="D3020" t="inlineStr"/>
      <c r="E3020">
        <f>HYPERLINK("https://www.uniprot.org/uniprotkb/A0A8J1M8F0/entry", "A0A8J1M8F0")</f>
        <v/>
      </c>
      <c r="F3020" t="n">
        <v>30.1</v>
      </c>
      <c r="G3020" t="n">
        <v>136</v>
      </c>
      <c r="H3020" t="n">
        <v>4.93e-12</v>
      </c>
      <c r="I3020" t="inlineStr">
        <is>
          <t>TrEMBL</t>
        </is>
      </c>
      <c r="J3020" t="inlineStr">
        <is>
          <t>pfkfb2.L</t>
        </is>
      </c>
      <c r="K3020" t="inlineStr">
        <is>
          <t>A0A8J1M8F0_XENLA</t>
        </is>
      </c>
      <c r="L3020" t="inlineStr">
        <is>
          <t>tr|A0A8J1M8F0|A0A8J1M8F0_XENLA ribonuclease H OS=Xenopus laevis OX=8355 GN=pfkfb2.L PE=3 SV=1</t>
        </is>
      </c>
      <c r="M3020" t="n">
        <v>615</v>
      </c>
      <c r="N3020" t="inlineStr">
        <is>
          <t>Xenopus laevis</t>
        </is>
      </c>
      <c r="O3020" t="inlineStr">
        <is>
          <t>ribonuclease H</t>
        </is>
      </c>
    </row>
    <row r="3021">
      <c r="A3021" t="inlineStr"/>
      <c r="B3021" t="inlineStr"/>
      <c r="C3021" t="inlineStr"/>
      <c r="D3021" t="inlineStr"/>
      <c r="E3021">
        <f>HYPERLINK("https://www.uniprot.org/uniprotkb/A0A803JHI8/entry", "A0A803JHI8")</f>
        <v/>
      </c>
      <c r="F3021" t="n">
        <v>38.2</v>
      </c>
      <c r="G3021" t="n">
        <v>102</v>
      </c>
      <c r="H3021" t="n">
        <v>6.04e-12</v>
      </c>
      <c r="I3021" t="inlineStr">
        <is>
          <t>TrEMBL</t>
        </is>
      </c>
      <c r="J3021" t="inlineStr"/>
      <c r="K3021" t="inlineStr">
        <is>
          <t>A0A803JHI8_XENTR</t>
        </is>
      </c>
      <c r="L3021" t="inlineStr">
        <is>
          <t>tr|A0A803JHI8|A0A803JHI8_XENTR Reverse transcriptase domain-containing protein OS=Xenopus tropicalis OX=8364 PE=4 SV=1</t>
        </is>
      </c>
      <c r="M3021" t="n">
        <v>1058</v>
      </c>
      <c r="N3021" t="inlineStr">
        <is>
          <t>Xenopus tropicalis</t>
        </is>
      </c>
      <c r="O3021" t="inlineStr">
        <is>
          <t>Reverse transcriptase domain-containing protein</t>
        </is>
      </c>
    </row>
    <row r="3022">
      <c r="A3022" t="inlineStr"/>
      <c r="B3022" t="inlineStr"/>
      <c r="C3022" t="inlineStr"/>
      <c r="D3022" t="inlineStr"/>
      <c r="E3022">
        <f>HYPERLINK("https://www.ncbi.nlm.nih.gov/gene/?term=XP_041437982.1", "XP_041437982.1")</f>
        <v/>
      </c>
      <c r="F3022" t="n">
        <v>30.1</v>
      </c>
      <c r="G3022" t="n">
        <v>136</v>
      </c>
      <c r="H3022" t="n">
        <v>1.27e-11</v>
      </c>
      <c r="I3022" t="inlineStr">
        <is>
          <t>Nr</t>
        </is>
      </c>
      <c r="J3022" t="inlineStr"/>
      <c r="K3022" t="inlineStr"/>
      <c r="L3022" t="inlineStr">
        <is>
          <t>XP_041437982.1 uncharacterized protein pfkfb2.L isoform X1 [Xenopus laevis]</t>
        </is>
      </c>
      <c r="M3022" t="n">
        <v>615</v>
      </c>
      <c r="N3022" t="inlineStr">
        <is>
          <t>Xenopus laevis</t>
        </is>
      </c>
      <c r="O3022" t="inlineStr">
        <is>
          <t>uncharacterized protein pfkfb2.L isoform X1</t>
        </is>
      </c>
    </row>
    <row r="3023">
      <c r="A3023" t="inlineStr"/>
      <c r="B3023" t="inlineStr"/>
      <c r="C3023" t="inlineStr"/>
      <c r="D3023" t="inlineStr"/>
      <c r="E3023">
        <f>HYPERLINK("https://www.uniprot.org/uniprotkb/A0A8C5WHL5/entry", "A0A8C5WHL5")</f>
        <v/>
      </c>
      <c r="F3023" t="n">
        <v>37.7</v>
      </c>
      <c r="G3023" t="n">
        <v>114</v>
      </c>
      <c r="H3023" t="n">
        <v>1.51e-11</v>
      </c>
      <c r="I3023" t="inlineStr">
        <is>
          <t>TrEMBL</t>
        </is>
      </c>
      <c r="J3023" t="inlineStr"/>
      <c r="K3023" t="inlineStr">
        <is>
          <t>A0A8C5WHL5_9ANUR</t>
        </is>
      </c>
      <c r="L3023" t="inlineStr">
        <is>
          <t>tr|A0A8C5WHL5|A0A8C5WHL5_9ANUR Reverse transcriptase domain-containing protein OS=Leptobrachium leishanense OX=445787 PE=4 SV=1</t>
        </is>
      </c>
      <c r="M3023" t="n">
        <v>869</v>
      </c>
      <c r="N3023" t="inlineStr">
        <is>
          <t>Leptobrachium leishanense</t>
        </is>
      </c>
      <c r="O3023" t="inlineStr">
        <is>
          <t>Reverse transcriptase domain-containing protein</t>
        </is>
      </c>
    </row>
    <row r="3024">
      <c r="A3024" t="inlineStr"/>
      <c r="B3024" t="inlineStr"/>
      <c r="C3024" t="inlineStr"/>
      <c r="D3024" t="inlineStr"/>
      <c r="E3024">
        <f>HYPERLINK("https://www.uniprot.org/uniprotkb/A0A8C5WC09/entry", "A0A8C5WC09")</f>
        <v/>
      </c>
      <c r="F3024" t="n">
        <v>37.7</v>
      </c>
      <c r="G3024" t="n">
        <v>114</v>
      </c>
      <c r="H3024" t="n">
        <v>1.52e-11</v>
      </c>
      <c r="I3024" t="inlineStr">
        <is>
          <t>TrEMBL</t>
        </is>
      </c>
      <c r="J3024" t="inlineStr"/>
      <c r="K3024" t="inlineStr">
        <is>
          <t>A0A8C5WC09_9ANUR</t>
        </is>
      </c>
      <c r="L3024" t="inlineStr">
        <is>
          <t>tr|A0A8C5WC09|A0A8C5WC09_9ANUR Reverse transcriptase domain-containing protein OS=Leptobrachium leishanense OX=445787 PE=4 SV=1</t>
        </is>
      </c>
      <c r="M3024" t="n">
        <v>911</v>
      </c>
      <c r="N3024" t="inlineStr">
        <is>
          <t>Leptobrachium leishanense</t>
        </is>
      </c>
      <c r="O3024" t="inlineStr">
        <is>
          <t>Reverse transcriptase domain-containing protein</t>
        </is>
      </c>
    </row>
    <row r="3025">
      <c r="A3025" t="inlineStr"/>
      <c r="B3025" t="inlineStr"/>
      <c r="C3025" t="inlineStr"/>
      <c r="D3025" t="inlineStr"/>
      <c r="E3025">
        <f>HYPERLINK("https://www.uniprot.org/uniprotkb/A0A8C5RBG9/entry", "A0A8C5RBG9")</f>
        <v/>
      </c>
      <c r="F3025" t="n">
        <v>37.7</v>
      </c>
      <c r="G3025" t="n">
        <v>114</v>
      </c>
      <c r="H3025" t="n">
        <v>1.52e-11</v>
      </c>
      <c r="I3025" t="inlineStr">
        <is>
          <t>TrEMBL</t>
        </is>
      </c>
      <c r="J3025" t="inlineStr"/>
      <c r="K3025" t="inlineStr">
        <is>
          <t>A0A8C5RBG9_9ANUR</t>
        </is>
      </c>
      <c r="L3025" t="inlineStr">
        <is>
          <t>tr|A0A8C5RBG9|A0A8C5RBG9_9ANUR Reverse transcriptase domain-containing protein OS=Leptobrachium leishanense OX=445787 PE=4 SV=1</t>
        </is>
      </c>
      <c r="M3025" t="n">
        <v>930</v>
      </c>
      <c r="N3025" t="inlineStr">
        <is>
          <t>Leptobrachium leishanense</t>
        </is>
      </c>
      <c r="O3025" t="inlineStr">
        <is>
          <t>Reverse transcriptase domain-containing protein</t>
        </is>
      </c>
    </row>
    <row r="3026">
      <c r="A3026" t="inlineStr"/>
      <c r="B3026" t="inlineStr"/>
      <c r="C3026" t="inlineStr"/>
      <c r="D3026" t="inlineStr"/>
      <c r="E3026">
        <f>HYPERLINK("https://www.uniprot.org/uniprotkb/A0A8C5WHC3/entry", "A0A8C5WHC3")</f>
        <v/>
      </c>
      <c r="F3026" t="n">
        <v>37.7</v>
      </c>
      <c r="G3026" t="n">
        <v>114</v>
      </c>
      <c r="H3026" t="n">
        <v>1.92e-11</v>
      </c>
      <c r="I3026" t="inlineStr">
        <is>
          <t>TrEMBL</t>
        </is>
      </c>
      <c r="J3026" t="inlineStr"/>
      <c r="K3026" t="inlineStr">
        <is>
          <t>A0A8C5WHC3_9ANUR</t>
        </is>
      </c>
      <c r="L3026" t="inlineStr">
        <is>
          <t>tr|A0A8C5WHC3|A0A8C5WHC3_9ANUR Reverse transcriptase domain-containing protein OS=Leptobrachium leishanense OX=445787 PE=4 SV=1</t>
        </is>
      </c>
      <c r="M3026" t="n">
        <v>471</v>
      </c>
      <c r="N3026" t="inlineStr">
        <is>
          <t>Leptobrachium leishanense</t>
        </is>
      </c>
      <c r="O3026" t="inlineStr">
        <is>
          <t>Reverse transcriptase domain-containing protein</t>
        </is>
      </c>
    </row>
    <row r="3027">
      <c r="A3027" t="inlineStr"/>
      <c r="B3027" t="inlineStr"/>
      <c r="C3027" t="inlineStr"/>
      <c r="D3027" t="inlineStr"/>
      <c r="E3027">
        <f>HYPERLINK("https://www.uniprot.org/uniprotkb/A0A8C5R7V5/entry", "A0A8C5R7V5")</f>
        <v/>
      </c>
      <c r="F3027" t="n">
        <v>37.7</v>
      </c>
      <c r="G3027" t="n">
        <v>114</v>
      </c>
      <c r="H3027" t="n">
        <v>2.11e-11</v>
      </c>
      <c r="I3027" t="inlineStr">
        <is>
          <t>TrEMBL</t>
        </is>
      </c>
      <c r="J3027" t="inlineStr"/>
      <c r="K3027" t="inlineStr">
        <is>
          <t>A0A8C5R7V5_9ANUR</t>
        </is>
      </c>
      <c r="L3027" t="inlineStr">
        <is>
          <t>tr|A0A8C5R7V5|A0A8C5R7V5_9ANUR Reverse transcriptase domain-containing protein OS=Leptobrachium leishanense OX=445787 PE=4 SV=1</t>
        </is>
      </c>
      <c r="M3027" t="n">
        <v>1199</v>
      </c>
      <c r="N3027" t="inlineStr">
        <is>
          <t>Leptobrachium leishanense</t>
        </is>
      </c>
      <c r="O3027" t="inlineStr">
        <is>
          <t>Reverse transcriptase domain-containing protein</t>
        </is>
      </c>
    </row>
    <row r="3028">
      <c r="A3028" t="inlineStr"/>
      <c r="B3028" t="inlineStr"/>
      <c r="C3028" t="inlineStr"/>
      <c r="D3028" t="inlineStr"/>
      <c r="E3028">
        <f>HYPERLINK("https://www.uniprot.org/uniprotkb/A0A8J1MZ44/entry", "A0A8J1MZ44")</f>
        <v/>
      </c>
      <c r="F3028" t="n">
        <v>28.9</v>
      </c>
      <c r="G3028" t="n">
        <v>142</v>
      </c>
      <c r="H3028" t="n">
        <v>2.42e-11</v>
      </c>
      <c r="I3028" t="inlineStr">
        <is>
          <t>TrEMBL</t>
        </is>
      </c>
      <c r="J3028" t="inlineStr">
        <is>
          <t>LOC121403038</t>
        </is>
      </c>
      <c r="K3028" t="inlineStr">
        <is>
          <t>A0A8J1MZ44_XENLA</t>
        </is>
      </c>
      <c r="L3028" t="inlineStr">
        <is>
          <t>tr|A0A8J1MZ44|A0A8J1MZ44_XENLA ribonuclease H OS=Xenopus laevis OX=8355 GN=LOC121403038 PE=3 SV=1</t>
        </is>
      </c>
      <c r="M3028" t="n">
        <v>852</v>
      </c>
      <c r="N3028" t="inlineStr">
        <is>
          <t>Xenopus laevis</t>
        </is>
      </c>
      <c r="O3028" t="inlineStr">
        <is>
          <t>ribonuclease H</t>
        </is>
      </c>
    </row>
    <row r="3029">
      <c r="A3029" t="inlineStr"/>
      <c r="B3029" t="inlineStr"/>
      <c r="C3029" t="inlineStr"/>
      <c r="D3029" t="inlineStr"/>
      <c r="E3029">
        <f>HYPERLINK("https://www.ncbi.nlm.nih.gov/gene/?term=XP_044171970.1", "XP_044171970.1")</f>
        <v/>
      </c>
      <c r="F3029" t="n">
        <v>35.8</v>
      </c>
      <c r="G3029" t="n">
        <v>137</v>
      </c>
      <c r="H3029" t="n">
        <v>3.35e-11</v>
      </c>
      <c r="I3029" t="inlineStr">
        <is>
          <t>Nr</t>
        </is>
      </c>
      <c r="J3029" t="inlineStr"/>
      <c r="K3029" t="inlineStr"/>
      <c r="L3029" t="inlineStr">
        <is>
          <t>XP_044171970.1 uncharacterized protein LOC122956364 [Acropora millepora]</t>
        </is>
      </c>
      <c r="M3029" t="n">
        <v>840</v>
      </c>
      <c r="N3029" t="inlineStr">
        <is>
          <t>Acropora millepora</t>
        </is>
      </c>
      <c r="O3029" t="inlineStr">
        <is>
          <t>uncharacterized protein LOC122956364</t>
        </is>
      </c>
    </row>
    <row r="3030">
      <c r="A3030" t="inlineStr"/>
      <c r="B3030" t="inlineStr"/>
      <c r="C3030" t="inlineStr"/>
      <c r="D3030" t="inlineStr"/>
      <c r="E3030">
        <f>HYPERLINK("https://www.uniprot.org/uniprotkb/A0A803K7A0/entry", "A0A803K7A0")</f>
        <v/>
      </c>
      <c r="F3030" t="n">
        <v>31.6</v>
      </c>
      <c r="G3030" t="n">
        <v>117</v>
      </c>
      <c r="H3030" t="n">
        <v>3.79e-11</v>
      </c>
      <c r="I3030" t="inlineStr">
        <is>
          <t>TrEMBL</t>
        </is>
      </c>
      <c r="J3030" t="inlineStr"/>
      <c r="K3030" t="inlineStr">
        <is>
          <t>A0A803K7A0_XENTR</t>
        </is>
      </c>
      <c r="L3030" t="inlineStr">
        <is>
          <t>tr|A0A803K7A0|A0A803K7A0_XENTR Reverse transcriptase domain-containing protein OS=Xenopus tropicalis OX=8364 PE=4 SV=1</t>
        </is>
      </c>
      <c r="M3030" t="n">
        <v>730</v>
      </c>
      <c r="N3030" t="inlineStr">
        <is>
          <t>Xenopus tropicalis</t>
        </is>
      </c>
      <c r="O3030" t="inlineStr">
        <is>
          <t>Reverse transcriptase domain-containing protein</t>
        </is>
      </c>
    </row>
    <row r="3031">
      <c r="A3031" t="inlineStr"/>
      <c r="B3031" t="inlineStr"/>
      <c r="C3031" t="inlineStr"/>
      <c r="D3031" t="inlineStr"/>
      <c r="E3031">
        <f>HYPERLINK("https://www.uniprot.org/uniprotkb/A0A803K2M0/entry", "A0A803K2M0")</f>
        <v/>
      </c>
      <c r="F3031" t="n">
        <v>37.4</v>
      </c>
      <c r="G3031" t="n">
        <v>115</v>
      </c>
      <c r="H3031" t="n">
        <v>3.94e-11</v>
      </c>
      <c r="I3031" t="inlineStr">
        <is>
          <t>TrEMBL</t>
        </is>
      </c>
      <c r="J3031" t="inlineStr"/>
      <c r="K3031" t="inlineStr">
        <is>
          <t>A0A803K2M0_XENTR</t>
        </is>
      </c>
      <c r="L3031" t="inlineStr">
        <is>
          <t>tr|A0A803K2M0|A0A803K2M0_XENTR Reverse transcriptase domain-containing protein OS=Xenopus tropicalis OX=8364 PE=4 SV=1</t>
        </is>
      </c>
      <c r="M3031" t="n">
        <v>1273</v>
      </c>
      <c r="N3031" t="inlineStr">
        <is>
          <t>Xenopus tropicalis</t>
        </is>
      </c>
      <c r="O3031" t="inlineStr">
        <is>
          <t>Reverse transcriptase domain-containing protein</t>
        </is>
      </c>
    </row>
    <row r="3032">
      <c r="A3032" t="inlineStr"/>
      <c r="B3032" t="inlineStr"/>
      <c r="C3032" t="inlineStr"/>
      <c r="D3032" t="inlineStr"/>
      <c r="E3032">
        <f>HYPERLINK("https://www.uniprot.org/uniprotkb/A0A8C5WDV5/entry", "A0A8C5WDV5")</f>
        <v/>
      </c>
      <c r="F3032" t="n">
        <v>37.7</v>
      </c>
      <c r="G3032" t="n">
        <v>114</v>
      </c>
      <c r="H3032" t="n">
        <v>3.94e-11</v>
      </c>
      <c r="I3032" t="inlineStr">
        <is>
          <t>TrEMBL</t>
        </is>
      </c>
      <c r="J3032" t="inlineStr"/>
      <c r="K3032" t="inlineStr">
        <is>
          <t>A0A8C5WDV5_9ANUR</t>
        </is>
      </c>
      <c r="L3032" t="inlineStr">
        <is>
          <t>tr|A0A8C5WDV5|A0A8C5WDV5_9ANUR Reverse transcriptase domain-containing protein OS=Leptobrachium leishanense OX=445787 PE=4 SV=1</t>
        </is>
      </c>
      <c r="M3032" t="n">
        <v>1286</v>
      </c>
      <c r="N3032" t="inlineStr">
        <is>
          <t>Leptobrachium leishanense</t>
        </is>
      </c>
      <c r="O3032" t="inlineStr">
        <is>
          <t>Reverse transcriptase domain-containing protein</t>
        </is>
      </c>
    </row>
    <row r="3033">
      <c r="A3033" t="inlineStr"/>
      <c r="B3033" t="inlineStr"/>
      <c r="C3033" t="inlineStr"/>
      <c r="D3033" t="inlineStr"/>
      <c r="E3033">
        <f>HYPERLINK("https://www.ncbi.nlm.nih.gov/gene/?term=KAI8488054.1", "KAI8488054.1")</f>
        <v/>
      </c>
      <c r="F3033" t="n">
        <v>35</v>
      </c>
      <c r="G3033" t="n">
        <v>140</v>
      </c>
      <c r="H3033" t="n">
        <v>4.73e-11</v>
      </c>
      <c r="I3033" t="inlineStr">
        <is>
          <t>Nr</t>
        </is>
      </c>
      <c r="J3033" t="inlineStr"/>
      <c r="K3033" t="inlineStr"/>
      <c r="L3033" t="inlineStr">
        <is>
          <t>KAI8488054.1 hypothetical protein Bbelb_341720 [Branchiostoma belcheri]</t>
        </is>
      </c>
      <c r="M3033" t="n">
        <v>1227</v>
      </c>
      <c r="N3033" t="inlineStr">
        <is>
          <t>Branchiostoma belcheri</t>
        </is>
      </c>
      <c r="O3033" t="inlineStr">
        <is>
          <t>hypothetical protein Bbelb_341720</t>
        </is>
      </c>
    </row>
    <row r="3034">
      <c r="A3034" t="inlineStr"/>
      <c r="B3034" t="inlineStr"/>
      <c r="C3034" t="inlineStr"/>
      <c r="D3034" t="inlineStr"/>
      <c r="E3034">
        <f>HYPERLINK("https://www.uniprot.org/uniprotkb/A0A803J671/entry", "A0A803J671")</f>
        <v/>
      </c>
      <c r="F3034" t="n">
        <v>35.7</v>
      </c>
      <c r="G3034" t="n">
        <v>115</v>
      </c>
      <c r="H3034" t="n">
        <v>5.37e-11</v>
      </c>
      <c r="I3034" t="inlineStr">
        <is>
          <t>TrEMBL</t>
        </is>
      </c>
      <c r="J3034" t="inlineStr"/>
      <c r="K3034" t="inlineStr">
        <is>
          <t>A0A803J671_XENTR</t>
        </is>
      </c>
      <c r="L3034" t="inlineStr">
        <is>
          <t>tr|A0A803J671|A0A803J671_XENTR Reverse transcriptase domain-containing protein OS=Xenopus tropicalis OX=8364 PE=4 SV=1</t>
        </is>
      </c>
      <c r="M3034" t="n">
        <v>1272</v>
      </c>
      <c r="N3034" t="inlineStr">
        <is>
          <t>Xenopus tropicalis</t>
        </is>
      </c>
      <c r="O3034" t="inlineStr">
        <is>
          <t>Reverse transcriptase domain-containing protein</t>
        </is>
      </c>
    </row>
    <row r="3035">
      <c r="A3035" t="inlineStr"/>
      <c r="B3035" t="inlineStr"/>
      <c r="C3035" t="inlineStr"/>
      <c r="D3035" t="inlineStr"/>
      <c r="E3035">
        <f>HYPERLINK("https://www.ncbi.nlm.nih.gov/gene/?term=XP_044155370.1", "XP_044155370.1")</f>
        <v/>
      </c>
      <c r="F3035" t="n">
        <v>29.2</v>
      </c>
      <c r="G3035" t="n">
        <v>144</v>
      </c>
      <c r="H3035" t="n">
        <v>6.05e-11</v>
      </c>
      <c r="I3035" t="inlineStr">
        <is>
          <t>Nr</t>
        </is>
      </c>
      <c r="J3035" t="inlineStr"/>
      <c r="K3035" t="inlineStr"/>
      <c r="L3035" t="inlineStr">
        <is>
          <t>XP_044155370.1 uncharacterized protein LOC122941935 [Bufo gargarizans]</t>
        </is>
      </c>
      <c r="M3035" t="n">
        <v>697</v>
      </c>
      <c r="N3035" t="inlineStr">
        <is>
          <t>Bufo gargarizans</t>
        </is>
      </c>
      <c r="O3035" t="inlineStr">
        <is>
          <t>uncharacterized protein LOC122941935</t>
        </is>
      </c>
    </row>
    <row r="3036">
      <c r="A3036" t="inlineStr"/>
      <c r="B3036" t="inlineStr"/>
      <c r="C3036" t="inlineStr"/>
      <c r="D3036" t="inlineStr"/>
      <c r="E3036">
        <f>HYPERLINK("https://www.ncbi.nlm.nih.gov/gene/?term=XP_044131826.1", "XP_044131826.1")</f>
        <v/>
      </c>
      <c r="F3036" t="n">
        <v>29.2</v>
      </c>
      <c r="G3036" t="n">
        <v>144</v>
      </c>
      <c r="H3036" t="n">
        <v>6.05e-11</v>
      </c>
      <c r="I3036" t="inlineStr">
        <is>
          <t>Nr</t>
        </is>
      </c>
      <c r="J3036" t="inlineStr"/>
      <c r="K3036" t="inlineStr"/>
      <c r="L3036" t="inlineStr">
        <is>
          <t>XP_044131826.1 uncharacterized protein LOC122924618 [Bufo gargarizans]</t>
        </is>
      </c>
      <c r="M3036" t="n">
        <v>697</v>
      </c>
      <c r="N3036" t="inlineStr">
        <is>
          <t>Bufo gargarizans</t>
        </is>
      </c>
      <c r="O3036" t="inlineStr">
        <is>
          <t>uncharacterized protein LOC122924618</t>
        </is>
      </c>
    </row>
    <row r="3037">
      <c r="A3037" t="inlineStr"/>
      <c r="B3037" t="inlineStr"/>
      <c r="C3037" t="inlineStr"/>
      <c r="D3037" t="inlineStr"/>
      <c r="E3037">
        <f>HYPERLINK("https://www.ncbi.nlm.nih.gov/gene/?term=XP_044140850.1", "XP_044140850.1")</f>
        <v/>
      </c>
      <c r="F3037" t="n">
        <v>29.2</v>
      </c>
      <c r="G3037" t="n">
        <v>144</v>
      </c>
      <c r="H3037" t="n">
        <v>6.05e-11</v>
      </c>
      <c r="I3037" t="inlineStr">
        <is>
          <t>Nr</t>
        </is>
      </c>
      <c r="J3037" t="inlineStr"/>
      <c r="K3037" t="inlineStr"/>
      <c r="L3037" t="inlineStr">
        <is>
          <t>XP_044140850.1 uncharacterized protein LOC122931025 [Bufo gargarizans]</t>
        </is>
      </c>
      <c r="M3037" t="n">
        <v>697</v>
      </c>
      <c r="N3037" t="inlineStr">
        <is>
          <t>Bufo gargarizans</t>
        </is>
      </c>
      <c r="O3037" t="inlineStr">
        <is>
          <t>uncharacterized protein LOC122931025</t>
        </is>
      </c>
    </row>
    <row r="3038">
      <c r="A3038" t="inlineStr"/>
      <c r="B3038" t="inlineStr"/>
      <c r="C3038" t="inlineStr"/>
      <c r="D3038" t="inlineStr"/>
      <c r="E3038">
        <f>HYPERLINK("https://www.ncbi.nlm.nih.gov/gene/?term=XP_044156506.1", "XP_044156506.1")</f>
        <v/>
      </c>
      <c r="F3038" t="n">
        <v>29.2</v>
      </c>
      <c r="G3038" t="n">
        <v>144</v>
      </c>
      <c r="H3038" t="n">
        <v>6.05e-11</v>
      </c>
      <c r="I3038" t="inlineStr">
        <is>
          <t>Nr</t>
        </is>
      </c>
      <c r="J3038" t="inlineStr"/>
      <c r="K3038" t="inlineStr"/>
      <c r="L3038" t="inlineStr">
        <is>
          <t>XP_044156506.1 uncharacterized protein LOC122943111 [Bufo gargarizans]</t>
        </is>
      </c>
      <c r="M3038" t="n">
        <v>697</v>
      </c>
      <c r="N3038" t="inlineStr">
        <is>
          <t>Bufo gargarizans</t>
        </is>
      </c>
      <c r="O3038" t="inlineStr">
        <is>
          <t>uncharacterized protein LOC122943111</t>
        </is>
      </c>
    </row>
    <row r="3039">
      <c r="A3039" t="inlineStr"/>
      <c r="B3039" t="inlineStr"/>
      <c r="C3039" t="inlineStr"/>
      <c r="D3039" t="inlineStr"/>
      <c r="E3039">
        <f>HYPERLINK("https://www.ncbi.nlm.nih.gov/gene/?term=XP_041446270.1", "XP_041446270.1")</f>
        <v/>
      </c>
      <c r="F3039" t="n">
        <v>28.9</v>
      </c>
      <c r="G3039" t="n">
        <v>142</v>
      </c>
      <c r="H3039" t="n">
        <v>6.22e-11</v>
      </c>
      <c r="I3039" t="inlineStr">
        <is>
          <t>Nr</t>
        </is>
      </c>
      <c r="J3039" t="inlineStr"/>
      <c r="K3039" t="inlineStr"/>
      <c r="L3039" t="inlineStr">
        <is>
          <t>XP_041446270.1 uncharacterized protein LOC121403038 [Xenopus laevis]</t>
        </is>
      </c>
      <c r="M3039" t="n">
        <v>852</v>
      </c>
      <c r="N3039" t="inlineStr">
        <is>
          <t>Xenopus laevis</t>
        </is>
      </c>
      <c r="O3039" t="inlineStr">
        <is>
          <t>uncharacterized protein LOC121403038</t>
        </is>
      </c>
    </row>
    <row r="3040">
      <c r="A3040" t="inlineStr"/>
      <c r="B3040" t="inlineStr"/>
      <c r="C3040" t="inlineStr"/>
      <c r="D3040" t="inlineStr"/>
      <c r="E3040">
        <f>HYPERLINK("https://www.ncbi.nlm.nih.gov/gene/?term=KAI8501699.1", "KAI8501699.1")</f>
        <v/>
      </c>
      <c r="F3040" t="n">
        <v>35</v>
      </c>
      <c r="G3040" t="n">
        <v>140</v>
      </c>
      <c r="H3040" t="n">
        <v>6.46e-11</v>
      </c>
      <c r="I3040" t="inlineStr">
        <is>
          <t>Nr</t>
        </is>
      </c>
      <c r="J3040" t="inlineStr"/>
      <c r="K3040" t="inlineStr"/>
      <c r="L3040" t="inlineStr">
        <is>
          <t>KAI8501699.1 hypothetical protein Bbelb_209700 [Branchiostoma belcheri]</t>
        </is>
      </c>
      <c r="M3040" t="n">
        <v>1263</v>
      </c>
      <c r="N3040" t="inlineStr">
        <is>
          <t>Branchiostoma belcheri</t>
        </is>
      </c>
      <c r="O3040" t="inlineStr">
        <is>
          <t>hypothetical protein Bbelb_209700</t>
        </is>
      </c>
    </row>
    <row r="3041">
      <c r="A3041" t="inlineStr"/>
      <c r="B3041" t="inlineStr"/>
      <c r="C3041" t="inlineStr"/>
      <c r="D3041" t="inlineStr"/>
      <c r="E3041">
        <f>HYPERLINK("https://www.ncbi.nlm.nih.gov/gene/?term=KAI8498573.1", "KAI8498573.1")</f>
        <v/>
      </c>
      <c r="F3041" t="n">
        <v>35</v>
      </c>
      <c r="G3041" t="n">
        <v>140</v>
      </c>
      <c r="H3041" t="n">
        <v>6.62e-11</v>
      </c>
      <c r="I3041" t="inlineStr">
        <is>
          <t>Nr</t>
        </is>
      </c>
      <c r="J3041" t="inlineStr"/>
      <c r="K3041" t="inlineStr"/>
      <c r="L3041" t="inlineStr">
        <is>
          <t>KAI8498573.1 SH3-domain kinase binding protein 1, partial [Branchiostoma belcheri]</t>
        </is>
      </c>
      <c r="M3041" t="n">
        <v>1870</v>
      </c>
      <c r="N3041" t="inlineStr">
        <is>
          <t>Branchiostoma belcheri</t>
        </is>
      </c>
      <c r="O3041" t="inlineStr">
        <is>
          <t>SH3-domain kinase binding protein 1, partial</t>
        </is>
      </c>
    </row>
    <row r="3042">
      <c r="A3042" t="inlineStr"/>
      <c r="B3042" t="inlineStr"/>
      <c r="C3042" t="inlineStr"/>
      <c r="D3042" t="inlineStr"/>
      <c r="E3042">
        <f>HYPERLINK("https://www.uniprot.org/uniprotkb/A0A8C5CUP8/entry", "A0A8C5CUP8")</f>
        <v/>
      </c>
      <c r="F3042" t="n">
        <v>37.6</v>
      </c>
      <c r="G3042" t="n">
        <v>101</v>
      </c>
      <c r="H3042" t="n">
        <v>7.33e-11</v>
      </c>
      <c r="I3042" t="inlineStr">
        <is>
          <t>TrEMBL</t>
        </is>
      </c>
      <c r="J3042" t="inlineStr"/>
      <c r="K3042" t="inlineStr">
        <is>
          <t>A0A8C5CUP8_GADMO</t>
        </is>
      </c>
      <c r="L3042" t="inlineStr">
        <is>
          <t>tr|A0A8C5CUP8|A0A8C5CUP8_GADMO Reverse transcriptase domain-containing protein OS=Gadus morhua OX=8049 PE=4 SV=1</t>
        </is>
      </c>
      <c r="M3042" t="n">
        <v>1263</v>
      </c>
      <c r="N3042" t="inlineStr">
        <is>
          <t>Gadus morhua</t>
        </is>
      </c>
      <c r="O3042" t="inlineStr">
        <is>
          <t>Reverse transcriptase domain-containing protein</t>
        </is>
      </c>
    </row>
    <row r="3043">
      <c r="A3043" t="inlineStr"/>
      <c r="B3043" t="inlineStr"/>
      <c r="C3043" t="inlineStr"/>
      <c r="D3043" t="inlineStr"/>
      <c r="E3043">
        <f>HYPERLINK("https://www.ncbi.nlm.nih.gov/gene/?term=CAI5686128.1", "CAI5686128.1")</f>
        <v/>
      </c>
      <c r="F3043" t="n">
        <v>31.9</v>
      </c>
      <c r="G3043" t="n">
        <v>116</v>
      </c>
      <c r="H3043" t="n">
        <v>9.93e-11</v>
      </c>
      <c r="I3043" t="inlineStr">
        <is>
          <t>Nr</t>
        </is>
      </c>
      <c r="J3043" t="inlineStr"/>
      <c r="K3043" t="inlineStr"/>
      <c r="L3043" t="inlineStr">
        <is>
          <t>CAI5686128.1 unnamed protein product [Mustela putorius furo]</t>
        </is>
      </c>
      <c r="M3043" t="n">
        <v>931</v>
      </c>
      <c r="N3043" t="inlineStr">
        <is>
          <t>Mustela putorius furo</t>
        </is>
      </c>
      <c r="O3043" t="inlineStr">
        <is>
          <t>unnamed protein product</t>
        </is>
      </c>
    </row>
    <row r="3044">
      <c r="A3044" t="inlineStr"/>
      <c r="B3044" t="inlineStr"/>
      <c r="C3044" t="inlineStr"/>
      <c r="D3044" t="inlineStr"/>
      <c r="E3044">
        <f>HYPERLINK("https://www.ncbi.nlm.nih.gov/gene/?term=XP_044151545.1", "XP_044151545.1")</f>
        <v/>
      </c>
      <c r="F3044" t="n">
        <v>32.8</v>
      </c>
      <c r="G3044" t="n">
        <v>119</v>
      </c>
      <c r="H3044" t="n">
        <v>1.66e-10</v>
      </c>
      <c r="I3044" t="inlineStr">
        <is>
          <t>Nr</t>
        </is>
      </c>
      <c r="J3044" t="inlineStr"/>
      <c r="K3044" t="inlineStr"/>
      <c r="L3044" t="inlineStr">
        <is>
          <t>XP_044151545.1 nuclear pore complex protein Nup155 [Bufo gargarizans]</t>
        </is>
      </c>
      <c r="M3044" t="n">
        <v>1594</v>
      </c>
      <c r="N3044" t="inlineStr">
        <is>
          <t>Bufo gargarizans</t>
        </is>
      </c>
      <c r="O3044" t="inlineStr">
        <is>
          <t>nuclear pore complex protein Nup155</t>
        </is>
      </c>
    </row>
    <row r="3045">
      <c r="A3045" t="inlineStr"/>
      <c r="B3045" t="inlineStr"/>
      <c r="C3045" t="inlineStr"/>
      <c r="D3045" t="inlineStr"/>
      <c r="E3045">
        <f>HYPERLINK("https://www.uniprot.org/uniprotkb/A0A8C2GFW0/entry", "A0A8C2GFW0")</f>
        <v/>
      </c>
      <c r="F3045" t="n">
        <v>35.8</v>
      </c>
      <c r="G3045" t="n">
        <v>109</v>
      </c>
      <c r="H3045" t="n">
        <v>1.85e-10</v>
      </c>
      <c r="I3045" t="inlineStr">
        <is>
          <t>TrEMBL</t>
        </is>
      </c>
      <c r="J3045" t="inlineStr"/>
      <c r="K3045" t="inlineStr">
        <is>
          <t>A0A8C2GFW0_CYPCA</t>
        </is>
      </c>
      <c r="L3045" t="inlineStr">
        <is>
          <t>tr|A0A8C2GFW0|A0A8C2GFW0_CYPCA Reverse transcriptase domain-containing protein OS=Cyprinus carpio OX=7962 PE=4 SV=1</t>
        </is>
      </c>
      <c r="M3045" t="n">
        <v>1110</v>
      </c>
      <c r="N3045" t="inlineStr">
        <is>
          <t>Cyprinus carpio</t>
        </is>
      </c>
      <c r="O3045" t="inlineStr">
        <is>
          <t>Reverse transcriptase domain-containing protein</t>
        </is>
      </c>
    </row>
    <row r="3046">
      <c r="A3046" t="inlineStr"/>
      <c r="B3046" t="inlineStr"/>
      <c r="C3046" t="inlineStr"/>
      <c r="D3046" t="inlineStr"/>
      <c r="E3046">
        <f>HYPERLINK("https://www.uniprot.org/uniprotkb/A0A8J1MMH3/entry", "A0A8J1MMH3")</f>
        <v/>
      </c>
      <c r="F3046" t="n">
        <v>29.2</v>
      </c>
      <c r="G3046" t="n">
        <v>130</v>
      </c>
      <c r="H3046" t="n">
        <v>2.02e-10</v>
      </c>
      <c r="I3046" t="inlineStr">
        <is>
          <t>TrEMBL</t>
        </is>
      </c>
      <c r="J3046" t="inlineStr">
        <is>
          <t>LOC121401493</t>
        </is>
      </c>
      <c r="K3046" t="inlineStr">
        <is>
          <t>A0A8J1MMH3_XENLA</t>
        </is>
      </c>
      <c r="L3046" t="inlineStr">
        <is>
          <t>tr|A0A8J1MMH3|A0A8J1MMH3_XENLA ribonuclease H OS=Xenopus laevis OX=8355 GN=LOC121401493 PE=3 SV=1</t>
        </is>
      </c>
      <c r="M3046" t="n">
        <v>641</v>
      </c>
      <c r="N3046" t="inlineStr">
        <is>
          <t>Xenopus laevis</t>
        </is>
      </c>
      <c r="O3046" t="inlineStr">
        <is>
          <t>ribonuclease H</t>
        </is>
      </c>
    </row>
    <row r="3047">
      <c r="A3047" t="inlineStr"/>
      <c r="B3047" t="inlineStr"/>
      <c r="C3047" t="inlineStr"/>
      <c r="D3047" t="inlineStr"/>
      <c r="E3047">
        <f>HYPERLINK("https://www.ncbi.nlm.nih.gov/gene/?term=KAG8539065.1", "KAG8539065.1")</f>
        <v/>
      </c>
      <c r="F3047" t="n">
        <v>29.9</v>
      </c>
      <c r="G3047" t="n">
        <v>144</v>
      </c>
      <c r="H3047" t="n">
        <v>2.05e-10</v>
      </c>
      <c r="I3047" t="inlineStr">
        <is>
          <t>Nr</t>
        </is>
      </c>
      <c r="J3047" t="inlineStr"/>
      <c r="K3047" t="inlineStr"/>
      <c r="L3047" t="inlineStr">
        <is>
          <t>KAG8539065.1 hypothetical protein GDO81_021527 [Engystomops pustulosus]</t>
        </is>
      </c>
      <c r="M3047" t="n">
        <v>637</v>
      </c>
      <c r="N3047" t="inlineStr">
        <is>
          <t>Engystomops pustulosus</t>
        </is>
      </c>
      <c r="O3047" t="inlineStr">
        <is>
          <t>hypothetical protein GDO81_021527</t>
        </is>
      </c>
    </row>
    <row r="3048">
      <c r="A3048" t="inlineStr"/>
      <c r="B3048" t="inlineStr"/>
      <c r="C3048" t="inlineStr"/>
      <c r="D3048" t="inlineStr"/>
      <c r="E3048">
        <f>HYPERLINK("https://www.uniprot.org/uniprotkb/P0CV25/entry", "P0CV25")</f>
        <v/>
      </c>
      <c r="F3048" t="n">
        <v>43.5</v>
      </c>
      <c r="G3048" t="n">
        <v>69</v>
      </c>
      <c r="H3048" t="n">
        <v>2.29e-10</v>
      </c>
      <c r="I3048" t="inlineStr">
        <is>
          <t>Swiss-Prot</t>
        </is>
      </c>
      <c r="J3048" t="inlineStr">
        <is>
          <t>RXLR78</t>
        </is>
      </c>
      <c r="K3048" t="inlineStr">
        <is>
          <t>RLR78_PLAVT</t>
        </is>
      </c>
      <c r="L3048" t="inlineStr">
        <is>
          <t>sp|P0CV25|RLR78_PLAVT Secreted RxLR effector protein 78 OS=Plasmopara viticola OX=143451 GN=RXLR78 PE=3 SV=1</t>
        </is>
      </c>
      <c r="M3048" t="n">
        <v>113</v>
      </c>
      <c r="N3048" t="inlineStr">
        <is>
          <t>Plasmopara viticola</t>
        </is>
      </c>
      <c r="O3048" t="inlineStr">
        <is>
          <t>Secreted RxLR effector protein 78</t>
        </is>
      </c>
    </row>
    <row r="3049">
      <c r="A3049" t="inlineStr"/>
      <c r="B3049" t="inlineStr"/>
      <c r="C3049" t="inlineStr"/>
      <c r="D3049" t="inlineStr"/>
      <c r="E3049">
        <f>HYPERLINK("https://www.ncbi.nlm.nih.gov/gene/?term=CAI5685458.1", "CAI5685458.1")</f>
        <v/>
      </c>
      <c r="F3049" t="n">
        <v>31</v>
      </c>
      <c r="G3049" t="n">
        <v>116</v>
      </c>
      <c r="H3049" t="n">
        <v>2.35e-10</v>
      </c>
      <c r="I3049" t="inlineStr">
        <is>
          <t>Nr</t>
        </is>
      </c>
      <c r="J3049" t="inlineStr"/>
      <c r="K3049" t="inlineStr"/>
      <c r="L3049" t="inlineStr">
        <is>
          <t>CAI5685458.1 unnamed protein product [Mustela putorius furo]</t>
        </is>
      </c>
      <c r="M3049" t="n">
        <v>481</v>
      </c>
      <c r="N3049" t="inlineStr">
        <is>
          <t>Mustela putorius furo</t>
        </is>
      </c>
      <c r="O3049" t="inlineStr">
        <is>
          <t>unnamed protein product</t>
        </is>
      </c>
    </row>
    <row r="3050">
      <c r="A3050" t="inlineStr"/>
      <c r="B3050" t="inlineStr"/>
      <c r="C3050" t="inlineStr"/>
      <c r="D3050" t="inlineStr"/>
      <c r="E3050">
        <f>HYPERLINK("https://www.uniprot.org/uniprotkb/A0A8J1LMV4/entry", "A0A8J1LMV4")</f>
        <v/>
      </c>
      <c r="F3050" t="n">
        <v>35</v>
      </c>
      <c r="G3050" t="n">
        <v>103</v>
      </c>
      <c r="H3050" t="n">
        <v>2.53e-10</v>
      </c>
      <c r="I3050" t="inlineStr">
        <is>
          <t>TrEMBL</t>
        </is>
      </c>
      <c r="J3050" t="inlineStr">
        <is>
          <t>LOC108699997</t>
        </is>
      </c>
      <c r="K3050" t="inlineStr">
        <is>
          <t>A0A8J1LMV4_XENLA</t>
        </is>
      </c>
      <c r="L3050" t="inlineStr">
        <is>
          <t>tr|A0A8J1LMV4|A0A8J1LMV4_XENLA uncharacterized protein LOC108699997 OS=Xenopus laevis OX=8355 GN=LOC108699997 PE=4 SV=1</t>
        </is>
      </c>
      <c r="M3050" t="n">
        <v>448</v>
      </c>
      <c r="N3050" t="inlineStr">
        <is>
          <t>Xenopus laevis</t>
        </is>
      </c>
      <c r="O3050" t="inlineStr">
        <is>
          <t>uncharacterized protein LOC108699997</t>
        </is>
      </c>
    </row>
    <row r="3051">
      <c r="A3051" t="inlineStr"/>
      <c r="B3051" t="inlineStr"/>
      <c r="C3051" t="inlineStr"/>
      <c r="D3051" t="inlineStr"/>
      <c r="E3051">
        <f>HYPERLINK("https://www.ncbi.nlm.nih.gov/gene/?term=XP_040297463.1", "XP_040297463.1")</f>
        <v/>
      </c>
      <c r="F3051" t="n">
        <v>29.3</v>
      </c>
      <c r="G3051" t="n">
        <v>140</v>
      </c>
      <c r="H3051" t="n">
        <v>3.16e-10</v>
      </c>
      <c r="I3051" t="inlineStr">
        <is>
          <t>Nr</t>
        </is>
      </c>
      <c r="J3051" t="inlineStr"/>
      <c r="K3051" t="inlineStr"/>
      <c r="L3051" t="inlineStr">
        <is>
          <t>XP_040297463.1 lactase-phlorizin hydrolase-like [Bufo bufo]</t>
        </is>
      </c>
      <c r="M3051" t="n">
        <v>3165</v>
      </c>
      <c r="N3051" t="inlineStr">
        <is>
          <t>Bufo bufo</t>
        </is>
      </c>
      <c r="O3051" t="inlineStr">
        <is>
          <t>lactase-phlorizin hydrolase-like</t>
        </is>
      </c>
    </row>
    <row r="3052">
      <c r="A3052" t="inlineStr"/>
      <c r="B3052" t="inlineStr"/>
      <c r="C3052" t="inlineStr"/>
      <c r="D3052" t="inlineStr"/>
      <c r="E3052">
        <f>HYPERLINK("https://www.uniprot.org/uniprotkb/A0A803K2X3/entry", "A0A803K2X3")</f>
        <v/>
      </c>
      <c r="F3052" t="n">
        <v>31.8</v>
      </c>
      <c r="G3052" t="n">
        <v>110</v>
      </c>
      <c r="H3052" t="n">
        <v>3.43e-10</v>
      </c>
      <c r="I3052" t="inlineStr">
        <is>
          <t>TrEMBL</t>
        </is>
      </c>
      <c r="J3052" t="inlineStr"/>
      <c r="K3052" t="inlineStr">
        <is>
          <t>A0A803K2X3_XENTR</t>
        </is>
      </c>
      <c r="L3052" t="inlineStr">
        <is>
          <t>tr|A0A803K2X3|A0A803K2X3_XENTR Reverse transcriptase domain-containing protein OS=Xenopus tropicalis OX=8364 PE=4 SV=1</t>
        </is>
      </c>
      <c r="M3052" t="n">
        <v>1070</v>
      </c>
      <c r="N3052" t="inlineStr">
        <is>
          <t>Xenopus tropicalis</t>
        </is>
      </c>
      <c r="O3052" t="inlineStr">
        <is>
          <t>Reverse transcriptase domain-containing protein</t>
        </is>
      </c>
    </row>
    <row r="3053">
      <c r="A3053" t="inlineStr"/>
      <c r="B3053" t="inlineStr"/>
      <c r="C3053" t="inlineStr"/>
      <c r="D3053" t="inlineStr"/>
      <c r="E3053">
        <f>HYPERLINK("https://www.uniprot.org/uniprotkb/A0A803JEZ2/entry", "A0A803JEZ2")</f>
        <v/>
      </c>
      <c r="F3053" t="n">
        <v>34.5</v>
      </c>
      <c r="G3053" t="n">
        <v>110</v>
      </c>
      <c r="H3053" t="n">
        <v>4.55e-10</v>
      </c>
      <c r="I3053" t="inlineStr">
        <is>
          <t>TrEMBL</t>
        </is>
      </c>
      <c r="J3053" t="inlineStr"/>
      <c r="K3053" t="inlineStr">
        <is>
          <t>A0A803JEZ2_XENTR</t>
        </is>
      </c>
      <c r="L3053" t="inlineStr">
        <is>
          <t>tr|A0A803JEZ2|A0A803JEZ2_XENTR Reverse transcriptase domain-containing protein OS=Xenopus tropicalis OX=8364 PE=4 SV=1</t>
        </is>
      </c>
      <c r="M3053" t="n">
        <v>732</v>
      </c>
      <c r="N3053" t="inlineStr">
        <is>
          <t>Xenopus tropicalis</t>
        </is>
      </c>
      <c r="O3053" t="inlineStr">
        <is>
          <t>Reverse transcriptase domain-containing protein</t>
        </is>
      </c>
    </row>
    <row r="3054">
      <c r="A3054" t="inlineStr"/>
      <c r="B3054" t="inlineStr"/>
      <c r="C3054" t="inlineStr"/>
      <c r="D3054" t="inlineStr"/>
      <c r="E3054">
        <f>HYPERLINK("https://www.uniprot.org/uniprotkb/A0A803J9X8/entry", "A0A803J9X8")</f>
        <v/>
      </c>
      <c r="F3054" t="n">
        <v>34.8</v>
      </c>
      <c r="G3054" t="n">
        <v>115</v>
      </c>
      <c r="H3054" t="n">
        <v>4.68e-10</v>
      </c>
      <c r="I3054" t="inlineStr">
        <is>
          <t>TrEMBL</t>
        </is>
      </c>
      <c r="J3054" t="inlineStr"/>
      <c r="K3054" t="inlineStr">
        <is>
          <t>A0A803J9X8_XENTR</t>
        </is>
      </c>
      <c r="L3054" t="inlineStr">
        <is>
          <t>tr|A0A803J9X8|A0A803J9X8_XENTR Reverse transcriptase domain-containing protein OS=Xenopus tropicalis OX=8364 PE=4 SV=1</t>
        </is>
      </c>
      <c r="M3054" t="n">
        <v>1051</v>
      </c>
      <c r="N3054" t="inlineStr">
        <is>
          <t>Xenopus tropicalis</t>
        </is>
      </c>
      <c r="O3054" t="inlineStr">
        <is>
          <t>Reverse transcriptase domain-containing protein</t>
        </is>
      </c>
    </row>
    <row r="3055">
      <c r="A3055" t="inlineStr"/>
      <c r="B3055" t="inlineStr"/>
      <c r="C3055" t="inlineStr"/>
      <c r="D3055" t="inlineStr"/>
      <c r="E3055">
        <f>HYPERLINK("https://www.ncbi.nlm.nih.gov/gene/?term=XP_041442250.1", "XP_041442250.1")</f>
        <v/>
      </c>
      <c r="F3055" t="n">
        <v>29.2</v>
      </c>
      <c r="G3055" t="n">
        <v>130</v>
      </c>
      <c r="H3055" t="n">
        <v>5.19e-10</v>
      </c>
      <c r="I3055" t="inlineStr">
        <is>
          <t>Nr</t>
        </is>
      </c>
      <c r="J3055" t="inlineStr"/>
      <c r="K3055" t="inlineStr"/>
      <c r="L3055" t="inlineStr">
        <is>
          <t>XP_041442250.1 uncharacterized protein LOC121401493 [Xenopus laevis]</t>
        </is>
      </c>
      <c r="M3055" t="n">
        <v>641</v>
      </c>
      <c r="N3055" t="inlineStr">
        <is>
          <t>Xenopus laevis</t>
        </is>
      </c>
      <c r="O3055" t="inlineStr">
        <is>
          <t>uncharacterized protein LOC121401493</t>
        </is>
      </c>
    </row>
    <row r="3056">
      <c r="A3056" t="inlineStr"/>
      <c r="B3056" t="inlineStr"/>
      <c r="C3056" t="inlineStr"/>
      <c r="D3056" t="inlineStr"/>
      <c r="E3056">
        <f>HYPERLINK("https://www.uniprot.org/uniprotkb/A0A803JFH0/entry", "A0A803JFH0")</f>
        <v/>
      </c>
      <c r="F3056" t="n">
        <v>34.8</v>
      </c>
      <c r="G3056" t="n">
        <v>115</v>
      </c>
      <c r="H3056" t="n">
        <v>6.19e-10</v>
      </c>
      <c r="I3056" t="inlineStr">
        <is>
          <t>TrEMBL</t>
        </is>
      </c>
      <c r="J3056" t="inlineStr"/>
      <c r="K3056" t="inlineStr">
        <is>
          <t>A0A803JFH0_XENTR</t>
        </is>
      </c>
      <c r="L3056" t="inlineStr">
        <is>
          <t>tr|A0A803JFH0|A0A803JFH0_XENTR Reverse transcriptase domain-containing protein OS=Xenopus tropicalis OX=8364 PE=4 SV=1</t>
        </is>
      </c>
      <c r="M3056" t="n">
        <v>708</v>
      </c>
      <c r="N3056" t="inlineStr">
        <is>
          <t>Xenopus tropicalis</t>
        </is>
      </c>
      <c r="O3056" t="inlineStr">
        <is>
          <t>Reverse transcriptase domain-containing protein</t>
        </is>
      </c>
    </row>
    <row r="3057">
      <c r="A3057" t="inlineStr"/>
      <c r="B3057" t="inlineStr"/>
      <c r="C3057" t="inlineStr"/>
      <c r="D3057" t="inlineStr"/>
      <c r="E3057">
        <f>HYPERLINK("https://www.ncbi.nlm.nih.gov/gene/?term=XP_041430852.1", "XP_041430852.1")</f>
        <v/>
      </c>
      <c r="F3057" t="n">
        <v>35</v>
      </c>
      <c r="G3057" t="n">
        <v>103</v>
      </c>
      <c r="H3057" t="n">
        <v>6.51e-10</v>
      </c>
      <c r="I3057" t="inlineStr">
        <is>
          <t>Nr</t>
        </is>
      </c>
      <c r="J3057" t="inlineStr"/>
      <c r="K3057" t="inlineStr"/>
      <c r="L3057" t="inlineStr">
        <is>
          <t>XP_041430852.1 uncharacterized protein LOC108699997 [Xenopus laevis]</t>
        </is>
      </c>
      <c r="M3057" t="n">
        <v>448</v>
      </c>
      <c r="N3057" t="inlineStr">
        <is>
          <t>Xenopus laevis</t>
        </is>
      </c>
      <c r="O3057" t="inlineStr">
        <is>
          <t>uncharacterized protein LOC108699997</t>
        </is>
      </c>
    </row>
    <row r="3058">
      <c r="A3058" t="inlineStr"/>
      <c r="B3058" t="inlineStr"/>
      <c r="C3058" t="inlineStr"/>
      <c r="D3058" t="inlineStr"/>
      <c r="E3058">
        <f>HYPERLINK("https://www.uniprot.org/uniprotkb/A0A803JSY7/entry", "A0A803JSY7")</f>
        <v/>
      </c>
      <c r="F3058" t="n">
        <v>32.2</v>
      </c>
      <c r="G3058" t="n">
        <v>121</v>
      </c>
      <c r="H3058" t="n">
        <v>6.95e-10</v>
      </c>
      <c r="I3058" t="inlineStr">
        <is>
          <t>TrEMBL</t>
        </is>
      </c>
      <c r="J3058" t="inlineStr"/>
      <c r="K3058" t="inlineStr">
        <is>
          <t>A0A803JSY7_XENTR</t>
        </is>
      </c>
      <c r="L3058" t="inlineStr">
        <is>
          <t>tr|A0A803JSY7|A0A803JSY7_XENTR ribonuclease H OS=Xenopus tropicalis OX=8364 PE=3 SV=1</t>
        </is>
      </c>
      <c r="M3058" t="n">
        <v>647</v>
      </c>
      <c r="N3058" t="inlineStr">
        <is>
          <t>Xenopus tropicalis</t>
        </is>
      </c>
      <c r="O3058" t="inlineStr">
        <is>
          <t>ribonuclease H</t>
        </is>
      </c>
    </row>
    <row r="3059">
      <c r="A3059" t="inlineStr"/>
      <c r="B3059" t="inlineStr"/>
      <c r="C3059" t="inlineStr"/>
      <c r="D3059" t="inlineStr"/>
      <c r="E3059">
        <f>HYPERLINK("https://www.uniprot.org/uniprotkb/A0A803K429/entry", "A0A803K429")</f>
        <v/>
      </c>
      <c r="F3059" t="n">
        <v>32.2</v>
      </c>
      <c r="G3059" t="n">
        <v>121</v>
      </c>
      <c r="H3059" t="n">
        <v>6.95e-10</v>
      </c>
      <c r="I3059" t="inlineStr">
        <is>
          <t>TrEMBL</t>
        </is>
      </c>
      <c r="J3059" t="inlineStr"/>
      <c r="K3059" t="inlineStr">
        <is>
          <t>A0A803K429_XENTR</t>
        </is>
      </c>
      <c r="L3059" t="inlineStr">
        <is>
          <t>tr|A0A803K429|A0A803K429_XENTR ribonuclease H OS=Xenopus tropicalis OX=8364 PE=3 SV=1</t>
        </is>
      </c>
      <c r="M3059" t="n">
        <v>647</v>
      </c>
      <c r="N3059" t="inlineStr">
        <is>
          <t>Xenopus tropicalis</t>
        </is>
      </c>
      <c r="O3059" t="inlineStr">
        <is>
          <t>ribonuclease H</t>
        </is>
      </c>
    </row>
    <row r="3060">
      <c r="A3060" t="inlineStr"/>
      <c r="B3060" t="inlineStr"/>
      <c r="C3060" t="inlineStr"/>
      <c r="D3060" t="inlineStr"/>
      <c r="E3060">
        <f>HYPERLINK("https://www.uniprot.org/uniprotkb/A0A3B3WIQ9/entry", "A0A3B3WIQ9")</f>
        <v/>
      </c>
      <c r="F3060" t="n">
        <v>36.8</v>
      </c>
      <c r="G3060" t="n">
        <v>117</v>
      </c>
      <c r="H3060" t="n">
        <v>8.68e-10</v>
      </c>
      <c r="I3060" t="inlineStr">
        <is>
          <t>TrEMBL</t>
        </is>
      </c>
      <c r="J3060" t="inlineStr"/>
      <c r="K3060" t="inlineStr">
        <is>
          <t>A0A3B3WIQ9_9TELE</t>
        </is>
      </c>
      <c r="L3060" t="inlineStr">
        <is>
          <t>tr|A0A3B3WIQ9|A0A3B3WIQ9_9TELE Reverse transcriptase domain-containing protein OS=Poecilia mexicana OX=48701 PE=4 SV=1</t>
        </is>
      </c>
      <c r="M3060" t="n">
        <v>1016</v>
      </c>
      <c r="N3060" t="inlineStr">
        <is>
          <t>Poecilia mexicana</t>
        </is>
      </c>
      <c r="O3060" t="inlineStr">
        <is>
          <t>Reverse transcriptase domain-containing protein</t>
        </is>
      </c>
    </row>
    <row r="3061">
      <c r="A3061" t="inlineStr"/>
      <c r="B3061" t="inlineStr"/>
      <c r="C3061" t="inlineStr"/>
      <c r="D3061" t="inlineStr"/>
      <c r="E3061">
        <f>HYPERLINK("https://www.ncbi.nlm.nih.gov/gene/?term=KAI2645297.1", "KAI2645297.1")</f>
        <v/>
      </c>
      <c r="F3061" t="n">
        <v>39.5</v>
      </c>
      <c r="G3061" t="n">
        <v>119</v>
      </c>
      <c r="H3061" t="n">
        <v>9.05e-10</v>
      </c>
      <c r="I3061" t="inlineStr">
        <is>
          <t>Nr</t>
        </is>
      </c>
      <c r="J3061" t="inlineStr"/>
      <c r="K3061" t="inlineStr"/>
      <c r="L3061" t="inlineStr">
        <is>
          <t>KAI2645297.1 ORF V: Enzymatic polyprotein [Labeo rohita]</t>
        </is>
      </c>
      <c r="M3061" t="n">
        <v>476</v>
      </c>
      <c r="N3061" t="inlineStr">
        <is>
          <t>Labeo rohita</t>
        </is>
      </c>
      <c r="O3061" t="inlineStr">
        <is>
          <t>ORF V: Enzymatic polyprotein</t>
        </is>
      </c>
    </row>
    <row r="3062">
      <c r="A3062" t="inlineStr"/>
      <c r="B3062" t="inlineStr"/>
      <c r="C3062" t="inlineStr"/>
      <c r="D3062" t="inlineStr"/>
      <c r="E3062">
        <f>HYPERLINK("https://www.ncbi.nlm.nih.gov/gene/?term=CAH2330095.1", "CAH2330095.1")</f>
        <v/>
      </c>
      <c r="F3062" t="n">
        <v>32</v>
      </c>
      <c r="G3062" t="n">
        <v>103</v>
      </c>
      <c r="H3062" t="n">
        <v>9.940000000000001e-10</v>
      </c>
      <c r="I3062" t="inlineStr">
        <is>
          <t>Nr</t>
        </is>
      </c>
      <c r="J3062" t="inlineStr"/>
      <c r="K3062" t="inlineStr"/>
      <c r="L3062" t="inlineStr">
        <is>
          <t>CAH2330095.1 Hypothetical predicted protein, partial [Pelobates cultripes]</t>
        </is>
      </c>
      <c r="M3062" t="n">
        <v>144</v>
      </c>
      <c r="N3062" t="inlineStr">
        <is>
          <t>Pelobates cultripes</t>
        </is>
      </c>
      <c r="O3062" t="inlineStr">
        <is>
          <t>Hypothetical predicted protein, partial</t>
        </is>
      </c>
    </row>
    <row r="3063">
      <c r="A3063" t="inlineStr"/>
      <c r="B3063" t="inlineStr"/>
      <c r="C3063" t="inlineStr"/>
      <c r="D3063" t="inlineStr"/>
      <c r="E3063">
        <f>HYPERLINK("https://www.uniprot.org/uniprotkb/A0A803J6R9/entry", "A0A803J6R9")</f>
        <v/>
      </c>
      <c r="F3063" t="n">
        <v>34.6</v>
      </c>
      <c r="G3063" t="n">
        <v>107</v>
      </c>
      <c r="H3063" t="n">
        <v>2.14e-09</v>
      </c>
      <c r="I3063" t="inlineStr">
        <is>
          <t>TrEMBL</t>
        </is>
      </c>
      <c r="J3063" t="inlineStr"/>
      <c r="K3063" t="inlineStr">
        <is>
          <t>A0A803J6R9_XENTR</t>
        </is>
      </c>
      <c r="L3063" t="inlineStr">
        <is>
          <t>tr|A0A803J6R9|A0A803J6R9_XENTR Reverse transcriptase domain-containing protein OS=Xenopus tropicalis OX=8364 PE=4 SV=1</t>
        </is>
      </c>
      <c r="M3063" t="n">
        <v>684</v>
      </c>
      <c r="N3063" t="inlineStr">
        <is>
          <t>Xenopus tropicalis</t>
        </is>
      </c>
      <c r="O3063" t="inlineStr">
        <is>
          <t>Reverse transcriptase domain-containing protein</t>
        </is>
      </c>
    </row>
    <row r="3064">
      <c r="A3064" t="inlineStr"/>
      <c r="B3064" t="inlineStr"/>
      <c r="C3064" t="inlineStr"/>
      <c r="D3064" t="inlineStr"/>
      <c r="E3064">
        <f>HYPERLINK("https://www.uniprot.org/uniprotkb/A0A803JTK1/entry", "A0A803JTK1")</f>
        <v/>
      </c>
      <c r="F3064" t="n">
        <v>33.1</v>
      </c>
      <c r="G3064" t="n">
        <v>121</v>
      </c>
      <c r="H3064" t="n">
        <v>2.22e-09</v>
      </c>
      <c r="I3064" t="inlineStr">
        <is>
          <t>TrEMBL</t>
        </is>
      </c>
      <c r="J3064" t="inlineStr"/>
      <c r="K3064" t="inlineStr">
        <is>
          <t>A0A803JTK1_XENTR</t>
        </is>
      </c>
      <c r="L3064" t="inlineStr">
        <is>
          <t>tr|A0A803JTK1|A0A803JTK1_XENTR Reverse transcriptase domain-containing protein OS=Xenopus tropicalis OX=8364 PE=4 SV=1</t>
        </is>
      </c>
      <c r="M3064" t="n">
        <v>1144</v>
      </c>
      <c r="N3064" t="inlineStr">
        <is>
          <t>Xenopus tropicalis</t>
        </is>
      </c>
      <c r="O3064" t="inlineStr">
        <is>
          <t>Reverse transcriptase domain-containing protein</t>
        </is>
      </c>
    </row>
    <row r="3065">
      <c r="A3065" t="inlineStr"/>
      <c r="B3065" t="inlineStr"/>
      <c r="C3065" t="inlineStr"/>
      <c r="D3065" t="inlineStr"/>
      <c r="E3065">
        <f>HYPERLINK("https://www.uniprot.org/uniprotkb/A0A6I8S7H8/entry", "A0A6I8S7H8")</f>
        <v/>
      </c>
      <c r="F3065" t="n">
        <v>31.6</v>
      </c>
      <c r="G3065" t="n">
        <v>117</v>
      </c>
      <c r="H3065" t="n">
        <v>2.99e-09</v>
      </c>
      <c r="I3065" t="inlineStr">
        <is>
          <t>TrEMBL</t>
        </is>
      </c>
      <c r="J3065" t="inlineStr"/>
      <c r="K3065" t="inlineStr">
        <is>
          <t>A0A6I8S7H8_XENTR</t>
        </is>
      </c>
      <c r="L3065" t="inlineStr">
        <is>
          <t>tr|A0A6I8S7H8|A0A6I8S7H8_XENTR Reverse transcriptase domain-containing protein OS=Xenopus tropicalis OX=8364 PE=4 SV=2</t>
        </is>
      </c>
      <c r="M3065" t="n">
        <v>918</v>
      </c>
      <c r="N3065" t="inlineStr">
        <is>
          <t>Xenopus tropicalis</t>
        </is>
      </c>
      <c r="O3065" t="inlineStr">
        <is>
          <t>Reverse transcriptase domain-containing protein</t>
        </is>
      </c>
    </row>
    <row r="3066">
      <c r="A3066" t="inlineStr"/>
      <c r="B3066" t="inlineStr"/>
      <c r="C3066" t="inlineStr"/>
      <c r="D3066" t="inlineStr"/>
      <c r="E3066">
        <f>HYPERLINK("https://www.uniprot.org/uniprotkb/Q9UN81/entry", "Q9UN81")</f>
        <v/>
      </c>
      <c r="F3066" t="n">
        <v>30.3</v>
      </c>
      <c r="G3066" t="n">
        <v>142</v>
      </c>
      <c r="H3066" t="n">
        <v>3.21e-09</v>
      </c>
      <c r="I3066" t="inlineStr">
        <is>
          <t>Swiss-Prot</t>
        </is>
      </c>
      <c r="J3066" t="inlineStr">
        <is>
          <t>L1RE1</t>
        </is>
      </c>
      <c r="K3066" t="inlineStr">
        <is>
          <t>LORF1_HUMAN</t>
        </is>
      </c>
      <c r="L3066" t="inlineStr">
        <is>
          <t>sp|Q9UN81|LORF1_HUMAN LINE-1 retrotransposable element ORF1 protein OS=Homo sapiens OX=9606 GN=L1RE1 PE=1 SV=1</t>
        </is>
      </c>
      <c r="M3066" t="n">
        <v>338</v>
      </c>
      <c r="N3066" t="inlineStr">
        <is>
          <t>Homo sapiens</t>
        </is>
      </c>
      <c r="O3066" t="inlineStr">
        <is>
          <t>LINE-1 retrotransposable element ORF1 protein</t>
        </is>
      </c>
    </row>
    <row r="3067">
      <c r="A3067" t="inlineStr"/>
      <c r="B3067" t="inlineStr"/>
      <c r="C3067" t="inlineStr"/>
      <c r="D3067" t="inlineStr"/>
      <c r="E3067">
        <f>HYPERLINK("https://www.uniprot.org/uniprotkb/A0A8J1KQ25/entry", "A0A8J1KQ25")</f>
        <v/>
      </c>
      <c r="F3067" t="n">
        <v>29.8</v>
      </c>
      <c r="G3067" t="n">
        <v>131</v>
      </c>
      <c r="H3067" t="n">
        <v>4.32e-09</v>
      </c>
      <c r="I3067" t="inlineStr">
        <is>
          <t>TrEMBL</t>
        </is>
      </c>
      <c r="J3067" t="inlineStr">
        <is>
          <t>LOC121393829</t>
        </is>
      </c>
      <c r="K3067" t="inlineStr">
        <is>
          <t>A0A8J1KQ25_XENLA</t>
        </is>
      </c>
      <c r="L3067" t="inlineStr">
        <is>
          <t>tr|A0A8J1KQ25|A0A8J1KQ25_XENLA ribonuclease H OS=Xenopus laevis OX=8355 GN=LOC121393829 PE=3 SV=1</t>
        </is>
      </c>
      <c r="M3067" t="n">
        <v>569</v>
      </c>
      <c r="N3067" t="inlineStr">
        <is>
          <t>Xenopus laevis</t>
        </is>
      </c>
      <c r="O3067" t="inlineStr">
        <is>
          <t>ribonuclease H</t>
        </is>
      </c>
    </row>
    <row r="3068">
      <c r="A3068" t="inlineStr"/>
      <c r="B3068" t="inlineStr"/>
      <c r="C3068" t="inlineStr"/>
      <c r="D3068" t="inlineStr"/>
      <c r="E3068">
        <f>HYPERLINK("https://www.uniprot.org/uniprotkb/A0A2B4SM22/entry", "A0A2B4SM22")</f>
        <v/>
      </c>
      <c r="F3068" t="n">
        <v>28.5</v>
      </c>
      <c r="G3068" t="n">
        <v>137</v>
      </c>
      <c r="H3068" t="n">
        <v>4.57e-09</v>
      </c>
      <c r="I3068" t="inlineStr">
        <is>
          <t>TrEMBL</t>
        </is>
      </c>
      <c r="J3068" t="inlineStr">
        <is>
          <t>AWC38_SpisGene4801</t>
        </is>
      </c>
      <c r="K3068" t="inlineStr">
        <is>
          <t>A0A2B4SM22_STYPI</t>
        </is>
      </c>
      <c r="L3068" t="inlineStr">
        <is>
          <t>tr|A0A2B4SM22|A0A2B4SM22_STYPI Tyr recombinase domain-containing protein (Fragment) OS=Stylophora pistillata OX=50429 GN=AWC38_SpisGene4801 PE=4 SV=1</t>
        </is>
      </c>
      <c r="M3068" t="n">
        <v>823</v>
      </c>
      <c r="N3068" t="inlineStr">
        <is>
          <t>Stylophora pistillata</t>
        </is>
      </c>
      <c r="O3068" t="inlineStr">
        <is>
          <t>Tyr recombinase domain-containing protein (Fragment)</t>
        </is>
      </c>
    </row>
    <row r="3069">
      <c r="A3069" t="inlineStr"/>
      <c r="B3069" t="inlineStr"/>
      <c r="C3069" t="inlineStr"/>
      <c r="D3069" t="inlineStr"/>
      <c r="E3069">
        <f>HYPERLINK("https://www.uniprot.org/uniprotkb/A0A8J1MVQ6/entry", "A0A8J1MVQ6")</f>
        <v/>
      </c>
      <c r="F3069" t="n">
        <v>30.7</v>
      </c>
      <c r="G3069" t="n">
        <v>140</v>
      </c>
      <c r="H3069" t="n">
        <v>4.65e-09</v>
      </c>
      <c r="I3069" t="inlineStr">
        <is>
          <t>TrEMBL</t>
        </is>
      </c>
      <c r="J3069" t="inlineStr">
        <is>
          <t>LOC108714053</t>
        </is>
      </c>
      <c r="K3069" t="inlineStr">
        <is>
          <t>A0A8J1MVQ6_XENLA</t>
        </is>
      </c>
      <c r="L3069" t="inlineStr">
        <is>
          <t>tr|A0A8J1MVQ6|A0A8J1MVQ6_XENLA ribonuclease H OS=Xenopus laevis OX=8355 GN=LOC108714053 PE=3 SV=1</t>
        </is>
      </c>
      <c r="M3069" t="n">
        <v>951</v>
      </c>
      <c r="N3069" t="inlineStr">
        <is>
          <t>Xenopus laevis</t>
        </is>
      </c>
      <c r="O3069" t="inlineStr">
        <is>
          <t>ribonuclease H</t>
        </is>
      </c>
    </row>
    <row r="3070">
      <c r="A3070" t="inlineStr"/>
      <c r="B3070" t="inlineStr"/>
      <c r="C3070" t="inlineStr"/>
      <c r="D3070" t="inlineStr"/>
      <c r="E3070">
        <f>HYPERLINK("https://www.uniprot.org/uniprotkb/A0A8J1MS43/entry", "A0A8J1MS43")</f>
        <v/>
      </c>
      <c r="F3070" t="n">
        <v>28.5</v>
      </c>
      <c r="G3070" t="n">
        <v>130</v>
      </c>
      <c r="H3070" t="n">
        <v>4.7e-09</v>
      </c>
      <c r="I3070" t="inlineStr">
        <is>
          <t>TrEMBL</t>
        </is>
      </c>
      <c r="J3070" t="inlineStr">
        <is>
          <t>LOC121402168</t>
        </is>
      </c>
      <c r="K3070" t="inlineStr">
        <is>
          <t>A0A8J1MS43_XENLA</t>
        </is>
      </c>
      <c r="L3070" t="inlineStr">
        <is>
          <t>tr|A0A8J1MS43|A0A8J1MS43_XENLA ribonuclease H OS=Xenopus laevis OX=8355 GN=LOC121402168 PE=3 SV=1</t>
        </is>
      </c>
      <c r="M3070" t="n">
        <v>1068</v>
      </c>
      <c r="N3070" t="inlineStr">
        <is>
          <t>Xenopus laevis</t>
        </is>
      </c>
      <c r="O3070" t="inlineStr">
        <is>
          <t>ribonuclease H</t>
        </is>
      </c>
    </row>
    <row r="3071">
      <c r="A3071" t="inlineStr"/>
      <c r="B3071" t="inlineStr"/>
      <c r="C3071" t="inlineStr"/>
      <c r="D3071" t="inlineStr"/>
      <c r="E3071">
        <f>HYPERLINK("https://www.ncbi.nlm.nih.gov/gene/?term=XP_040210578.1", "XP_040210578.1")</f>
        <v/>
      </c>
      <c r="F3071" t="n">
        <v>35.4</v>
      </c>
      <c r="G3071" t="n">
        <v>113</v>
      </c>
      <c r="H3071" t="n">
        <v>7.68e-09</v>
      </c>
      <c r="I3071" t="inlineStr">
        <is>
          <t>Nr</t>
        </is>
      </c>
      <c r="J3071" t="inlineStr"/>
      <c r="K3071" t="inlineStr"/>
      <c r="L3071" t="inlineStr">
        <is>
          <t>XP_040210578.1 CUB and sushi domain-containing protein 3-like [Rana temporaria]</t>
        </is>
      </c>
      <c r="M3071" t="n">
        <v>921</v>
      </c>
      <c r="N3071" t="inlineStr">
        <is>
          <t>Rana temporaria</t>
        </is>
      </c>
      <c r="O3071" t="inlineStr">
        <is>
          <t>CUB and sushi domain-containing protein 3-like</t>
        </is>
      </c>
    </row>
    <row r="3072">
      <c r="A3072" t="inlineStr"/>
      <c r="B3072" t="inlineStr"/>
      <c r="C3072" t="inlineStr"/>
      <c r="D3072" t="inlineStr"/>
      <c r="E3072">
        <f>HYPERLINK("https://www.uniprot.org/uniprotkb/A0A8J1MWG0/entry", "A0A8J1MWG0")</f>
        <v/>
      </c>
      <c r="F3072" t="n">
        <v>29.5</v>
      </c>
      <c r="G3072" t="n">
        <v>149</v>
      </c>
      <c r="H3072" t="n">
        <v>7.930000000000001e-09</v>
      </c>
      <c r="I3072" t="inlineStr">
        <is>
          <t>TrEMBL</t>
        </is>
      </c>
      <c r="J3072" t="inlineStr">
        <is>
          <t>adgrg1.L</t>
        </is>
      </c>
      <c r="K3072" t="inlineStr">
        <is>
          <t>A0A8J1MWG0_XENLA</t>
        </is>
      </c>
      <c r="L3072" t="inlineStr">
        <is>
          <t>tr|A0A8J1MWG0|A0A8J1MWG0_XENLA ribonuclease H OS=Xenopus laevis OX=8355 GN=adgrg1.L PE=3 SV=1</t>
        </is>
      </c>
      <c r="M3072" t="n">
        <v>540</v>
      </c>
      <c r="N3072" t="inlineStr">
        <is>
          <t>Xenopus laevis</t>
        </is>
      </c>
      <c r="O3072" t="inlineStr">
        <is>
          <t>ribonuclease H</t>
        </is>
      </c>
    </row>
    <row r="3073">
      <c r="A3073" t="inlineStr"/>
      <c r="B3073" t="inlineStr"/>
      <c r="C3073" t="inlineStr"/>
      <c r="D3073" t="inlineStr"/>
      <c r="E3073">
        <f>HYPERLINK("https://www.uniprot.org/uniprotkb/A0A8J1KLR0/entry", "A0A8J1KLR0")</f>
        <v/>
      </c>
      <c r="F3073" t="n">
        <v>30.9</v>
      </c>
      <c r="G3073" t="n">
        <v>139</v>
      </c>
      <c r="H3073" t="n">
        <v>1.13e-08</v>
      </c>
      <c r="I3073" t="inlineStr">
        <is>
          <t>TrEMBL</t>
        </is>
      </c>
      <c r="J3073" t="inlineStr">
        <is>
          <t>LOC121393288</t>
        </is>
      </c>
      <c r="K3073" t="inlineStr">
        <is>
          <t>A0A8J1KLR0_XENLA</t>
        </is>
      </c>
      <c r="L3073" t="inlineStr">
        <is>
          <t>tr|A0A8J1KLR0|A0A8J1KLR0_XENLA ribonuclease H OS=Xenopus laevis OX=8355 GN=LOC121393288 PE=3 SV=1</t>
        </is>
      </c>
      <c r="M3073" t="n">
        <v>718</v>
      </c>
      <c r="N3073" t="inlineStr">
        <is>
          <t>Xenopus laevis</t>
        </is>
      </c>
      <c r="O3073" t="inlineStr">
        <is>
          <t>ribonuclease H</t>
        </is>
      </c>
    </row>
    <row r="3074">
      <c r="A3074" t="inlineStr"/>
      <c r="B3074" t="inlineStr"/>
      <c r="C3074" t="inlineStr"/>
      <c r="D3074" t="inlineStr"/>
      <c r="E3074">
        <f>HYPERLINK("https://www.uniprot.org/uniprotkb/A0A8J0T5S4/entry", "A0A8J0T5S4")</f>
        <v/>
      </c>
      <c r="F3074" t="n">
        <v>28.7</v>
      </c>
      <c r="G3074" t="n">
        <v>136</v>
      </c>
      <c r="H3074" t="n">
        <v>1.23e-08</v>
      </c>
      <c r="I3074" t="inlineStr">
        <is>
          <t>TrEMBL</t>
        </is>
      </c>
      <c r="J3074" t="inlineStr">
        <is>
          <t>LOC108648175</t>
        </is>
      </c>
      <c r="K3074" t="inlineStr">
        <is>
          <t>A0A8J0T5S4_XENTR</t>
        </is>
      </c>
      <c r="L3074" t="inlineStr">
        <is>
          <t>tr|A0A8J0T5S4|A0A8J0T5S4_XENTR ribonuclease H OS=Xenopus tropicalis OX=8364 GN=LOC108648175 PE=3 SV=1</t>
        </is>
      </c>
      <c r="M3074" t="n">
        <v>280</v>
      </c>
      <c r="N3074" t="inlineStr">
        <is>
          <t>Xenopus tropicalis</t>
        </is>
      </c>
      <c r="O3074" t="inlineStr">
        <is>
          <t>ribonuclease H</t>
        </is>
      </c>
    </row>
    <row r="3075">
      <c r="A3075" t="inlineStr"/>
      <c r="B3075" t="inlineStr"/>
      <c r="C3075" t="inlineStr"/>
      <c r="D3075" t="inlineStr"/>
      <c r="E3075">
        <f>HYPERLINK("https://www.uniprot.org/uniprotkb/A0A2B4RCK6/entry", "A0A2B4RCK6")</f>
        <v/>
      </c>
      <c r="F3075" t="n">
        <v>28.7</v>
      </c>
      <c r="G3075" t="n">
        <v>129</v>
      </c>
      <c r="H3075" t="n">
        <v>2.93e-08</v>
      </c>
      <c r="I3075" t="inlineStr">
        <is>
          <t>TrEMBL</t>
        </is>
      </c>
      <c r="J3075" t="inlineStr">
        <is>
          <t>pol</t>
        </is>
      </c>
      <c r="K3075" t="inlineStr">
        <is>
          <t>A0A2B4RCK6_STYPI</t>
        </is>
      </c>
      <c r="L3075" t="inlineStr">
        <is>
          <t>tr|A0A2B4RCK6|A0A2B4RCK6_STYPI Pol polyprotein OS=Stylophora pistillata OX=50429 GN=pol PE=4 SV=1</t>
        </is>
      </c>
      <c r="M3075" t="n">
        <v>880</v>
      </c>
      <c r="N3075" t="inlineStr">
        <is>
          <t>Stylophora pistillata</t>
        </is>
      </c>
      <c r="O3075" t="inlineStr">
        <is>
          <t>Pol polyprotein</t>
        </is>
      </c>
    </row>
    <row r="3076">
      <c r="A3076" t="inlineStr"/>
      <c r="B3076" t="inlineStr"/>
      <c r="C3076" t="inlineStr"/>
      <c r="D3076" t="inlineStr"/>
      <c r="E3076">
        <f>HYPERLINK("https://www.uniprot.org/uniprotkb/A0A8J1LK19/entry", "A0A8J1LK19")</f>
        <v/>
      </c>
      <c r="F3076" t="n">
        <v>29.3</v>
      </c>
      <c r="G3076" t="n">
        <v>133</v>
      </c>
      <c r="H3076" t="n">
        <v>5.4e-08</v>
      </c>
      <c r="I3076" t="inlineStr">
        <is>
          <t>TrEMBL</t>
        </is>
      </c>
      <c r="J3076" t="inlineStr">
        <is>
          <t>LOC121397309</t>
        </is>
      </c>
      <c r="K3076" t="inlineStr">
        <is>
          <t>A0A8J1LK19_XENLA</t>
        </is>
      </c>
      <c r="L3076" t="inlineStr">
        <is>
          <t>tr|A0A8J1LK19|A0A8J1LK19_XENLA ribonuclease H OS=Xenopus laevis OX=8355 GN=LOC121397309 PE=3 SV=1</t>
        </is>
      </c>
      <c r="M3076" t="n">
        <v>856</v>
      </c>
      <c r="N3076" t="inlineStr">
        <is>
          <t>Xenopus laevis</t>
        </is>
      </c>
      <c r="O3076" t="inlineStr">
        <is>
          <t>ribonuclease H</t>
        </is>
      </c>
    </row>
    <row r="3077">
      <c r="A3077" t="inlineStr"/>
      <c r="B3077" t="inlineStr"/>
      <c r="C3077" t="inlineStr"/>
      <c r="D3077" t="inlineStr"/>
      <c r="E3077">
        <f>HYPERLINK("https://www.ncbi.nlm.nih.gov/gene/?term=KAI5946884.1", "KAI5946884.1")</f>
        <v/>
      </c>
      <c r="F3077" t="n">
        <v>33</v>
      </c>
      <c r="G3077" t="n">
        <v>115</v>
      </c>
      <c r="H3077" t="n">
        <v>6.32e-08</v>
      </c>
      <c r="I3077" t="inlineStr">
        <is>
          <t>Nr</t>
        </is>
      </c>
      <c r="J3077" t="inlineStr"/>
      <c r="K3077" t="inlineStr"/>
      <c r="L3077" t="inlineStr">
        <is>
          <t>KAI5946884.1 LINE-1 retrotransposable element ORF2 protein [Manis javanica]</t>
        </is>
      </c>
      <c r="M3077" t="n">
        <v>212</v>
      </c>
      <c r="N3077" t="inlineStr">
        <is>
          <t>Manis javanica</t>
        </is>
      </c>
      <c r="O3077" t="inlineStr">
        <is>
          <t>LINE-1 retrotransposable element ORF2 protein</t>
        </is>
      </c>
    </row>
    <row r="3078">
      <c r="A3078" t="inlineStr"/>
      <c r="B3078" t="inlineStr"/>
      <c r="C3078" t="inlineStr"/>
      <c r="D3078" t="inlineStr"/>
      <c r="E3078">
        <f>HYPERLINK("https://www.ncbi.nlm.nih.gov/gene/?term=XP_044124933.1", "XP_044124933.1")</f>
        <v/>
      </c>
      <c r="F3078" t="n">
        <v>31.7</v>
      </c>
      <c r="G3078" t="n">
        <v>120</v>
      </c>
      <c r="H3078" t="n">
        <v>9.150000000000001e-08</v>
      </c>
      <c r="I3078" t="inlineStr">
        <is>
          <t>Nr</t>
        </is>
      </c>
      <c r="J3078" t="inlineStr"/>
      <c r="K3078" t="inlineStr"/>
      <c r="L3078" t="inlineStr">
        <is>
          <t>XP_044124933.1 relaxin receptor 2-like [Bufo gargarizans]</t>
        </is>
      </c>
      <c r="M3078" t="n">
        <v>846</v>
      </c>
      <c r="N3078" t="inlineStr">
        <is>
          <t>Bufo gargarizans</t>
        </is>
      </c>
      <c r="O3078" t="inlineStr">
        <is>
          <t>relaxin receptor 2-like</t>
        </is>
      </c>
    </row>
    <row r="3079">
      <c r="A3079" t="inlineStr"/>
      <c r="B3079" t="inlineStr"/>
      <c r="C3079" t="inlineStr"/>
      <c r="D3079" t="inlineStr"/>
      <c r="E3079">
        <f>HYPERLINK("https://www.uniprot.org/uniprotkb/A0A8J1N0T7/entry", "A0A8J1N0T7")</f>
        <v/>
      </c>
      <c r="F3079" t="n">
        <v>29.3</v>
      </c>
      <c r="G3079" t="n">
        <v>133</v>
      </c>
      <c r="H3079" t="n">
        <v>1.02e-07</v>
      </c>
      <c r="I3079" t="inlineStr">
        <is>
          <t>TrEMBL</t>
        </is>
      </c>
      <c r="J3079" t="inlineStr">
        <is>
          <t>LOC121403130</t>
        </is>
      </c>
      <c r="K3079" t="inlineStr">
        <is>
          <t>A0A8J1N0T7_XENLA</t>
        </is>
      </c>
      <c r="L3079" t="inlineStr">
        <is>
          <t>tr|A0A8J1N0T7|A0A8J1N0T7_XENLA ribonuclease H OS=Xenopus laevis OX=8355 GN=LOC121403130 PE=3 SV=1</t>
        </is>
      </c>
      <c r="M3079" t="n">
        <v>1010</v>
      </c>
      <c r="N3079" t="inlineStr">
        <is>
          <t>Xenopus laevis</t>
        </is>
      </c>
      <c r="O3079" t="inlineStr">
        <is>
          <t>ribonuclease H</t>
        </is>
      </c>
    </row>
    <row r="3080">
      <c r="A3080" t="inlineStr"/>
      <c r="B3080" t="inlineStr"/>
      <c r="C3080" t="inlineStr"/>
      <c r="D3080" t="inlineStr"/>
      <c r="E3080">
        <f>HYPERLINK("https://www.ncbi.nlm.nih.gov/gene/?term=KAI2645144.1", "KAI2645144.1")</f>
        <v/>
      </c>
      <c r="F3080" t="n">
        <v>31.6</v>
      </c>
      <c r="G3080" t="n">
        <v>117</v>
      </c>
      <c r="H3080" t="n">
        <v>1.21e-07</v>
      </c>
      <c r="I3080" t="inlineStr">
        <is>
          <t>Nr</t>
        </is>
      </c>
      <c r="J3080" t="inlineStr"/>
      <c r="K3080" t="inlineStr"/>
      <c r="L3080" t="inlineStr">
        <is>
          <t>KAI2645144.1 LINE-1 retrotransposable element ORF2 protein [Labeo rohita]</t>
        </is>
      </c>
      <c r="M3080" t="n">
        <v>292</v>
      </c>
      <c r="N3080" t="inlineStr">
        <is>
          <t>Labeo rohita</t>
        </is>
      </c>
      <c r="O3080" t="inlineStr">
        <is>
          <t>LINE-1 retrotransposable element ORF2 protein</t>
        </is>
      </c>
    </row>
    <row r="3081">
      <c r="A3081" t="inlineStr"/>
      <c r="B3081" t="inlineStr"/>
      <c r="C3081" t="inlineStr"/>
      <c r="D3081" t="inlineStr"/>
      <c r="E3081">
        <f>HYPERLINK("https://www.ncbi.nlm.nih.gov/gene/?term=KAJ0062189.1", "KAJ0062189.1")</f>
        <v/>
      </c>
      <c r="F3081" t="n">
        <v>29.9</v>
      </c>
      <c r="G3081" t="n">
        <v>107</v>
      </c>
      <c r="H3081" t="n">
        <v>1.23e-07</v>
      </c>
      <c r="I3081" t="inlineStr">
        <is>
          <t>Nr</t>
        </is>
      </c>
      <c r="J3081" t="inlineStr"/>
      <c r="K3081" t="inlineStr"/>
      <c r="L3081" t="inlineStr">
        <is>
          <t>KAJ0062189.1 hypothetical protein NL108_017638 [Boleophthalmus pectinirostris]</t>
        </is>
      </c>
      <c r="M3081" t="n">
        <v>723</v>
      </c>
      <c r="N3081" t="inlineStr">
        <is>
          <t>Boleophthalmus pectinirostris</t>
        </is>
      </c>
      <c r="O3081" t="inlineStr">
        <is>
          <t>hypothetical protein NL108_017638</t>
        </is>
      </c>
    </row>
    <row r="3082">
      <c r="A3082" t="inlineStr"/>
      <c r="B3082" t="inlineStr"/>
      <c r="C3082" t="inlineStr"/>
      <c r="D3082" t="inlineStr"/>
      <c r="E3082">
        <f>HYPERLINK("https://www.ncbi.nlm.nih.gov/gene/?term=XP_030076865.1", "XP_030076865.1")</f>
        <v/>
      </c>
      <c r="F3082" t="n">
        <v>30.8</v>
      </c>
      <c r="G3082" t="n">
        <v>117</v>
      </c>
      <c r="H3082" t="n">
        <v>1.29e-07</v>
      </c>
      <c r="I3082" t="inlineStr">
        <is>
          <t>Nr</t>
        </is>
      </c>
      <c r="J3082" t="inlineStr"/>
      <c r="K3082" t="inlineStr"/>
      <c r="L3082" t="inlineStr">
        <is>
          <t>XP_030076865.1 LOW QUALITY PROTEIN: GTP-binding protein 1 [Microcaecilia unicolor]</t>
        </is>
      </c>
      <c r="M3082" t="n">
        <v>1368</v>
      </c>
      <c r="N3082" t="inlineStr">
        <is>
          <t>Microcaecilia unicolor</t>
        </is>
      </c>
      <c r="O3082" t="inlineStr">
        <is>
          <t>LOW QUALITY PROTEIN: GTP-binding protein 1</t>
        </is>
      </c>
    </row>
    <row r="3083">
      <c r="A3083" t="inlineStr"/>
      <c r="B3083" t="inlineStr"/>
      <c r="C3083" t="inlineStr"/>
      <c r="D3083" t="inlineStr"/>
      <c r="E3083">
        <f>HYPERLINK("https://www.ncbi.nlm.nih.gov/gene/?term=XP_044133655.1", "XP_044133655.1")</f>
        <v/>
      </c>
      <c r="F3083" t="n">
        <v>31.9</v>
      </c>
      <c r="G3083" t="n">
        <v>119</v>
      </c>
      <c r="H3083" t="n">
        <v>1.33e-07</v>
      </c>
      <c r="I3083" t="inlineStr">
        <is>
          <t>Nr</t>
        </is>
      </c>
      <c r="J3083" t="inlineStr"/>
      <c r="K3083" t="inlineStr"/>
      <c r="L3083" t="inlineStr">
        <is>
          <t>XP_044133655.1 IgGFc-binding protein-like [Bufo gargarizans]</t>
        </is>
      </c>
      <c r="M3083" t="n">
        <v>6315</v>
      </c>
      <c r="N3083" t="inlineStr">
        <is>
          <t>Bufo gargarizans</t>
        </is>
      </c>
      <c r="O3083" t="inlineStr">
        <is>
          <t>IgGFc-binding protein-like</t>
        </is>
      </c>
    </row>
    <row r="3084">
      <c r="A3084" t="inlineStr"/>
      <c r="B3084" t="inlineStr"/>
      <c r="C3084" t="inlineStr"/>
      <c r="D3084" t="inlineStr"/>
      <c r="E3084">
        <f>HYPERLINK("https://www.uniprot.org/uniprotkb/A0A8J1KMD2/entry", "A0A8J1KMD2")</f>
        <v/>
      </c>
      <c r="F3084" t="n">
        <v>31.3</v>
      </c>
      <c r="G3084" t="n">
        <v>131</v>
      </c>
      <c r="H3084" t="n">
        <v>1.9e-07</v>
      </c>
      <c r="I3084" t="inlineStr">
        <is>
          <t>TrEMBL</t>
        </is>
      </c>
      <c r="J3084" t="inlineStr">
        <is>
          <t>LOC121393601</t>
        </is>
      </c>
      <c r="K3084" t="inlineStr">
        <is>
          <t>A0A8J1KMD2_XENLA</t>
        </is>
      </c>
      <c r="L3084" t="inlineStr">
        <is>
          <t>tr|A0A8J1KMD2|A0A8J1KMD2_XENLA ribonuclease H OS=Xenopus laevis OX=8355 GN=LOC121393601 PE=3 SV=1</t>
        </is>
      </c>
      <c r="M3084" t="n">
        <v>1091</v>
      </c>
      <c r="N3084" t="inlineStr">
        <is>
          <t>Xenopus laevis</t>
        </is>
      </c>
      <c r="O3084" t="inlineStr">
        <is>
          <t>ribonuclease H</t>
        </is>
      </c>
    </row>
    <row r="3085">
      <c r="A3085" t="inlineStr"/>
      <c r="B3085" t="inlineStr"/>
      <c r="C3085" t="inlineStr"/>
      <c r="D3085" t="inlineStr"/>
      <c r="E3085">
        <f>HYPERLINK("https://www.ncbi.nlm.nih.gov/gene/?term=XP_040181490.1", "XP_040181490.1")</f>
        <v/>
      </c>
      <c r="F3085" t="n">
        <v>32.7</v>
      </c>
      <c r="G3085" t="n">
        <v>101</v>
      </c>
      <c r="H3085" t="n">
        <v>2.34e-07</v>
      </c>
      <c r="I3085" t="inlineStr">
        <is>
          <t>Nr</t>
        </is>
      </c>
      <c r="J3085" t="inlineStr"/>
      <c r="K3085" t="inlineStr"/>
      <c r="L3085" t="inlineStr">
        <is>
          <t>XP_040181490.1 uncharacterized protein LOC120914847 [Rana temporaria]</t>
        </is>
      </c>
      <c r="M3085" t="n">
        <v>945</v>
      </c>
      <c r="N3085" t="inlineStr">
        <is>
          <t>Rana temporaria</t>
        </is>
      </c>
      <c r="O3085" t="inlineStr">
        <is>
          <t>uncharacterized protein LOC120914847</t>
        </is>
      </c>
    </row>
    <row r="3086">
      <c r="A3086" t="inlineStr"/>
      <c r="B3086" t="inlineStr"/>
      <c r="C3086" t="inlineStr"/>
      <c r="D3086" t="inlineStr"/>
      <c r="E3086">
        <f>HYPERLINK("https://www.uniprot.org/uniprotkb/A0A7D9JN88/entry", "A0A7D9JN88")</f>
        <v/>
      </c>
      <c r="F3086" t="n">
        <v>27.7</v>
      </c>
      <c r="G3086" t="n">
        <v>119</v>
      </c>
      <c r="H3086" t="n">
        <v>2.36e-07</v>
      </c>
      <c r="I3086" t="inlineStr">
        <is>
          <t>TrEMBL</t>
        </is>
      </c>
      <c r="J3086" t="inlineStr">
        <is>
          <t>PACLA_6A009691</t>
        </is>
      </c>
      <c r="K3086" t="inlineStr">
        <is>
          <t>A0A7D9JN88_PARCT</t>
        </is>
      </c>
      <c r="L3086" t="inlineStr">
        <is>
          <t>tr|A0A7D9JN88|A0A7D9JN88_PARCT Transposon Ty3-G Gag-Pol poly (Fragment) OS=Paramuricea clavata OX=317549 GN=PACLA_6A009691 PE=4 SV=1</t>
        </is>
      </c>
      <c r="M3086" t="n">
        <v>557</v>
      </c>
      <c r="N3086" t="inlineStr">
        <is>
          <t>Paramuricea clavata</t>
        </is>
      </c>
      <c r="O3086" t="inlineStr">
        <is>
          <t>Transposon Ty3-G Gag-Pol poly (Fragment)</t>
        </is>
      </c>
    </row>
    <row r="3087">
      <c r="A3087" t="inlineStr"/>
      <c r="B3087" t="inlineStr"/>
      <c r="C3087" t="inlineStr"/>
      <c r="D3087" t="inlineStr"/>
      <c r="E3087">
        <f>HYPERLINK("https://www.ncbi.nlm.nih.gov/gene/?term=XP_014348735.1", "XP_014348735.1")</f>
        <v/>
      </c>
      <c r="F3087" t="n">
        <v>32.2</v>
      </c>
      <c r="G3087" t="n">
        <v>118</v>
      </c>
      <c r="H3087" t="n">
        <v>2.4e-07</v>
      </c>
      <c r="I3087" t="inlineStr">
        <is>
          <t>Nr</t>
        </is>
      </c>
      <c r="J3087" t="inlineStr"/>
      <c r="K3087" t="inlineStr"/>
      <c r="L3087" t="inlineStr">
        <is>
          <t>XP_014348735.1 PREDICTED: uncharacterized protein LOC102351696 [Latimeria chalumnae]</t>
        </is>
      </c>
      <c r="M3087" t="n">
        <v>1500</v>
      </c>
      <c r="N3087" t="inlineStr">
        <is>
          <t>Latimeria chalumnae</t>
        </is>
      </c>
      <c r="O3087" t="inlineStr">
        <is>
          <t>PREDICTED: uncharacterized protein LOC102351696</t>
        </is>
      </c>
    </row>
    <row r="3088">
      <c r="A3088" t="inlineStr"/>
      <c r="B3088" t="inlineStr"/>
      <c r="C3088" t="inlineStr"/>
      <c r="D3088" t="inlineStr"/>
      <c r="E3088">
        <f>HYPERLINK("https://www.uniprot.org/uniprotkb/P14381/entry", "P14381")</f>
        <v/>
      </c>
      <c r="F3088" t="n">
        <v>25.5</v>
      </c>
      <c r="G3088" t="n">
        <v>275</v>
      </c>
      <c r="H3088" t="n">
        <v>2.54e-07</v>
      </c>
      <c r="I3088" t="inlineStr">
        <is>
          <t>Swiss-Prot</t>
        </is>
      </c>
      <c r="J3088" t="inlineStr"/>
      <c r="K3088" t="inlineStr">
        <is>
          <t>YTX2_XENLA</t>
        </is>
      </c>
      <c r="L3088" t="inlineStr">
        <is>
          <t>sp|P14381|YTX2_XENLA Transposon TX1 uncharacterized 149 kDa protein OS=Xenopus laevis OX=8355 PE=4 SV=1</t>
        </is>
      </c>
      <c r="M3088" t="n">
        <v>1308</v>
      </c>
      <c r="N3088" t="inlineStr">
        <is>
          <t>Xenopus laevis</t>
        </is>
      </c>
      <c r="O3088" t="inlineStr">
        <is>
          <t>Transposon TX1 uncharacterized 149 kDa protein</t>
        </is>
      </c>
    </row>
    <row r="3089">
      <c r="A3089" t="inlineStr"/>
      <c r="B3089" t="inlineStr"/>
      <c r="C3089" t="inlineStr"/>
      <c r="D3089" t="inlineStr"/>
      <c r="E3089">
        <f>HYPERLINK("https://www.uniprot.org/uniprotkb/P16423/entry", "P16423")</f>
        <v/>
      </c>
      <c r="F3089" t="n">
        <v>24</v>
      </c>
      <c r="G3089" t="n">
        <v>287</v>
      </c>
      <c r="H3089" t="n">
        <v>2.94e-07</v>
      </c>
      <c r="I3089" t="inlineStr">
        <is>
          <t>Swiss-Prot</t>
        </is>
      </c>
      <c r="J3089" t="inlineStr">
        <is>
          <t>pol</t>
        </is>
      </c>
      <c r="K3089" t="inlineStr">
        <is>
          <t>POLR_DROME</t>
        </is>
      </c>
      <c r="L3089" t="inlineStr">
        <is>
          <t>sp|P16423|POLR_DROME Retrovirus-related Pol polyprotein from type-2 retrotransposable element R2DM OS=Drosophila melanogaster OX=7227 GN=pol PE=4 SV=1</t>
        </is>
      </c>
      <c r="M3089" t="n">
        <v>1057</v>
      </c>
      <c r="N3089" t="inlineStr">
        <is>
          <t>Drosophila melanogaster</t>
        </is>
      </c>
      <c r="O3089" t="inlineStr">
        <is>
          <t>Retrovirus-related Pol polyprotein from type-2 retrotransposable element R2DM</t>
        </is>
      </c>
    </row>
    <row r="3090">
      <c r="A3090" t="inlineStr"/>
      <c r="B3090" t="inlineStr"/>
      <c r="C3090" t="inlineStr"/>
      <c r="D3090" t="inlineStr"/>
      <c r="E3090">
        <f>HYPERLINK("https://www.uniprot.org/uniprotkb/A0A2I4CFZ2/entry", "A0A2I4CFZ2")</f>
        <v/>
      </c>
      <c r="F3090" t="n">
        <v>30.7</v>
      </c>
      <c r="G3090" t="n">
        <v>137</v>
      </c>
      <c r="H3090" t="n">
        <v>3.27e-07</v>
      </c>
      <c r="I3090" t="inlineStr">
        <is>
          <t>TrEMBL</t>
        </is>
      </c>
      <c r="J3090" t="inlineStr">
        <is>
          <t>LOC106528317</t>
        </is>
      </c>
      <c r="K3090" t="inlineStr">
        <is>
          <t>A0A2I4CFZ2_9TELE</t>
        </is>
      </c>
      <c r="L3090" t="inlineStr">
        <is>
          <t>tr|A0A2I4CFZ2|A0A2I4CFZ2_9TELE ribonuclease H OS=Austrofundulus limnaeus OX=52670 GN=LOC106528317 PE=3 SV=1</t>
        </is>
      </c>
      <c r="M3090" t="n">
        <v>611</v>
      </c>
      <c r="N3090" t="inlineStr">
        <is>
          <t>Austrofundulus limnaeus</t>
        </is>
      </c>
      <c r="O3090" t="inlineStr">
        <is>
          <t>ribonuclease H</t>
        </is>
      </c>
    </row>
    <row r="3091">
      <c r="A3091" t="inlineStr"/>
      <c r="B3091" t="inlineStr"/>
      <c r="C3091" t="inlineStr"/>
      <c r="D3091" t="inlineStr"/>
      <c r="E3091">
        <f>HYPERLINK("https://www.uniprot.org/uniprotkb/A0A803K510/entry", "A0A803K510")</f>
        <v/>
      </c>
      <c r="F3091" t="n">
        <v>28.8</v>
      </c>
      <c r="G3091" t="n">
        <v>125</v>
      </c>
      <c r="H3091" t="n">
        <v>3.41e-07</v>
      </c>
      <c r="I3091" t="inlineStr">
        <is>
          <t>TrEMBL</t>
        </is>
      </c>
      <c r="J3091" t="inlineStr"/>
      <c r="K3091" t="inlineStr">
        <is>
          <t>A0A803K510_XENTR</t>
        </is>
      </c>
      <c r="L3091" t="inlineStr">
        <is>
          <t>tr|A0A803K510|A0A803K510_XENTR ribonuclease H OS=Xenopus tropicalis OX=8364 PE=3 SV=1</t>
        </is>
      </c>
      <c r="M3091" t="n">
        <v>820</v>
      </c>
      <c r="N3091" t="inlineStr">
        <is>
          <t>Xenopus tropicalis</t>
        </is>
      </c>
      <c r="O3091" t="inlineStr">
        <is>
          <t>ribonuclease H</t>
        </is>
      </c>
    </row>
    <row r="3092">
      <c r="A3092" t="inlineStr"/>
      <c r="B3092" t="inlineStr"/>
      <c r="C3092" t="inlineStr"/>
      <c r="D3092" t="inlineStr"/>
      <c r="E3092">
        <f>HYPERLINK("https://www.ncbi.nlm.nih.gov/gene/?term=XP_044125252.1", "XP_044125252.1")</f>
        <v/>
      </c>
      <c r="F3092" t="n">
        <v>33</v>
      </c>
      <c r="G3092" t="n">
        <v>109</v>
      </c>
      <c r="H3092" t="n">
        <v>4.29e-07</v>
      </c>
      <c r="I3092" t="inlineStr">
        <is>
          <t>Nr</t>
        </is>
      </c>
      <c r="J3092" t="inlineStr"/>
      <c r="K3092" t="inlineStr"/>
      <c r="L3092" t="inlineStr">
        <is>
          <t>XP_044125252.1 uncharacterized protein LOC122920108 [Bufo gargarizans]</t>
        </is>
      </c>
      <c r="M3092" t="n">
        <v>775</v>
      </c>
      <c r="N3092" t="inlineStr">
        <is>
          <t>Bufo gargarizans</t>
        </is>
      </c>
      <c r="O3092" t="inlineStr">
        <is>
          <t>uncharacterized protein LOC122920108</t>
        </is>
      </c>
    </row>
    <row r="3093">
      <c r="A3093" t="inlineStr"/>
      <c r="B3093" t="inlineStr"/>
      <c r="C3093" t="inlineStr"/>
      <c r="D3093" t="inlineStr"/>
      <c r="E3093">
        <f>HYPERLINK("https://www.uniprot.org/uniprotkb/A0A6S7GV14/entry", "A0A6S7GV14")</f>
        <v/>
      </c>
      <c r="F3093" t="n">
        <v>27.7</v>
      </c>
      <c r="G3093" t="n">
        <v>119</v>
      </c>
      <c r="H3093" t="n">
        <v>4.52e-07</v>
      </c>
      <c r="I3093" t="inlineStr">
        <is>
          <t>TrEMBL</t>
        </is>
      </c>
      <c r="J3093" t="inlineStr">
        <is>
          <t>PACLA_6A055103</t>
        </is>
      </c>
      <c r="K3093" t="inlineStr">
        <is>
          <t>A0A6S7GV14_PARCT</t>
        </is>
      </c>
      <c r="L3093" t="inlineStr">
        <is>
          <t>tr|A0A6S7GV14|A0A6S7GV14_PARCT Transposon Tf2-6 poly OS=Paramuricea clavata OX=317549 GN=PACLA_6A055103 PE=4 SV=1</t>
        </is>
      </c>
      <c r="M3093" t="n">
        <v>674</v>
      </c>
      <c r="N3093" t="inlineStr">
        <is>
          <t>Paramuricea clavata</t>
        </is>
      </c>
      <c r="O3093" t="inlineStr">
        <is>
          <t>Transposon Tf2-6 poly</t>
        </is>
      </c>
    </row>
    <row r="3094">
      <c r="A3094" t="inlineStr"/>
      <c r="B3094" t="inlineStr"/>
      <c r="C3094" t="inlineStr"/>
      <c r="D3094" t="inlineStr"/>
      <c r="E3094">
        <f>HYPERLINK("https://www.uniprot.org/uniprotkb/A0A8J1M3F4/entry", "A0A8J1M3F4")</f>
        <v/>
      </c>
      <c r="F3094" t="n">
        <v>48.4</v>
      </c>
      <c r="G3094" t="n">
        <v>62</v>
      </c>
      <c r="H3094" t="n">
        <v>4.53e-07</v>
      </c>
      <c r="I3094" t="inlineStr">
        <is>
          <t>TrEMBL</t>
        </is>
      </c>
      <c r="J3094" t="inlineStr">
        <is>
          <t>LOC121399363</t>
        </is>
      </c>
      <c r="K3094" t="inlineStr">
        <is>
          <t>A0A8J1M3F4_XENLA</t>
        </is>
      </c>
      <c r="L3094" t="inlineStr">
        <is>
          <t>tr|A0A8J1M3F4|A0A8J1M3F4_XENLA uncharacterized protein LOC121399363 OS=Xenopus laevis OX=8355 GN=LOC121399363 PE=4 SV=1</t>
        </is>
      </c>
      <c r="M3094" t="n">
        <v>682</v>
      </c>
      <c r="N3094" t="inlineStr">
        <is>
          <t>Xenopus laevis</t>
        </is>
      </c>
      <c r="O3094" t="inlineStr">
        <is>
          <t>uncharacterized protein LOC121399363</t>
        </is>
      </c>
    </row>
    <row r="3095">
      <c r="A3095" t="inlineStr"/>
      <c r="B3095" t="inlineStr"/>
      <c r="C3095" t="inlineStr"/>
      <c r="D3095" t="inlineStr"/>
      <c r="E3095">
        <f>HYPERLINK("https://www.uniprot.org/uniprotkb/A0A226EN58/entry", "A0A226EN58")</f>
        <v/>
      </c>
      <c r="F3095" t="n">
        <v>26.9</v>
      </c>
      <c r="G3095" t="n">
        <v>134</v>
      </c>
      <c r="H3095" t="n">
        <v>5.85e-07</v>
      </c>
      <c r="I3095" t="inlineStr">
        <is>
          <t>TrEMBL</t>
        </is>
      </c>
      <c r="J3095" t="inlineStr">
        <is>
          <t>Fcan01_04182</t>
        </is>
      </c>
      <c r="K3095" t="inlineStr">
        <is>
          <t>A0A226EN58_FOLCA</t>
        </is>
      </c>
      <c r="L3095" t="inlineStr">
        <is>
          <t>tr|A0A226EN58|A0A226EN58_FOLCA Polyprotein OS=Folsomia candida OX=158441 GN=Fcan01_04182 PE=4 SV=1</t>
        </is>
      </c>
      <c r="M3095" t="n">
        <v>510</v>
      </c>
      <c r="N3095" t="inlineStr">
        <is>
          <t>Folsomia candida</t>
        </is>
      </c>
      <c r="O3095" t="inlineStr">
        <is>
          <t>Polyprotein</t>
        </is>
      </c>
    </row>
    <row r="3096">
      <c r="A3096" t="inlineStr"/>
      <c r="B3096" t="inlineStr"/>
      <c r="C3096" t="inlineStr"/>
      <c r="D3096" t="inlineStr"/>
      <c r="E3096">
        <f>HYPERLINK("https://www.ncbi.nlm.nih.gov/gene/?term=XP_040271087.1", "XP_040271087.1")</f>
        <v/>
      </c>
      <c r="F3096" t="n">
        <v>28.9</v>
      </c>
      <c r="G3096" t="n">
        <v>97</v>
      </c>
      <c r="H3096" t="n">
        <v>7.97e-07</v>
      </c>
      <c r="I3096" t="inlineStr">
        <is>
          <t>Nr</t>
        </is>
      </c>
      <c r="J3096" t="inlineStr"/>
      <c r="K3096" t="inlineStr"/>
      <c r="L3096" t="inlineStr">
        <is>
          <t>XP_040271087.1 uncharacterized protein LOC120986524 [Bufo bufo]</t>
        </is>
      </c>
      <c r="M3096" t="n">
        <v>761</v>
      </c>
      <c r="N3096" t="inlineStr">
        <is>
          <t>Bufo bufo</t>
        </is>
      </c>
      <c r="O3096" t="inlineStr">
        <is>
          <t>uncharacterized protein LOC120986524</t>
        </is>
      </c>
    </row>
    <row r="3097">
      <c r="A3097" t="inlineStr"/>
      <c r="B3097" t="inlineStr"/>
      <c r="C3097" t="inlineStr"/>
      <c r="D3097" t="inlineStr"/>
      <c r="E3097">
        <f>HYPERLINK("https://www.ncbi.nlm.nih.gov/gene/?term=CAI5636845.1", "CAI5636845.1")</f>
        <v/>
      </c>
      <c r="F3097" t="n">
        <v>29.9</v>
      </c>
      <c r="G3097" t="n">
        <v>117</v>
      </c>
      <c r="H3097" t="n">
        <v>8.25e-07</v>
      </c>
      <c r="I3097" t="inlineStr">
        <is>
          <t>Nr</t>
        </is>
      </c>
      <c r="J3097" t="inlineStr"/>
      <c r="K3097" t="inlineStr"/>
      <c r="L3097" t="inlineStr">
        <is>
          <t>CAI5636845.1 unnamed protein product [Mustela putorius furo]</t>
        </is>
      </c>
      <c r="M3097" t="n">
        <v>1253</v>
      </c>
      <c r="N3097" t="inlineStr">
        <is>
          <t>Mustela putorius furo</t>
        </is>
      </c>
      <c r="O3097" t="inlineStr">
        <is>
          <t>unnamed protein product</t>
        </is>
      </c>
    </row>
    <row r="3098">
      <c r="A3098" t="inlineStr"/>
      <c r="B3098" t="inlineStr"/>
      <c r="C3098" t="inlineStr"/>
      <c r="D3098" t="inlineStr"/>
      <c r="E3098">
        <f>HYPERLINK("https://www.uniprot.org/uniprotkb/O00370/entry", "O00370")</f>
        <v/>
      </c>
      <c r="F3098" t="n">
        <v>29.6</v>
      </c>
      <c r="G3098" t="n">
        <v>98</v>
      </c>
      <c r="H3098" t="n">
        <v>1.03e-06</v>
      </c>
      <c r="I3098" t="inlineStr">
        <is>
          <t>Swiss-Prot</t>
        </is>
      </c>
      <c r="J3098" t="inlineStr"/>
      <c r="K3098" t="inlineStr">
        <is>
          <t>LORF2_HUMAN</t>
        </is>
      </c>
      <c r="L3098" t="inlineStr">
        <is>
          <t>sp|O00370|LORF2_HUMAN LINE-1 retrotransposable element ORF2 protein OS=Homo sapiens OX=9606 PE=1 SV=1</t>
        </is>
      </c>
      <c r="M3098" t="n">
        <v>1275</v>
      </c>
      <c r="N3098" t="inlineStr">
        <is>
          <t>Homo sapiens</t>
        </is>
      </c>
      <c r="O3098" t="inlineStr">
        <is>
          <t>LINE-1 retrotransposable element ORF2 protein</t>
        </is>
      </c>
    </row>
    <row r="3099">
      <c r="A3099" t="inlineStr"/>
      <c r="B3099" t="inlineStr"/>
      <c r="C3099" t="inlineStr"/>
      <c r="D3099" t="inlineStr"/>
      <c r="E3099">
        <f>HYPERLINK("https://www.ncbi.nlm.nih.gov/gene/?term=CDQ98837.1", "CDQ98837.1")</f>
        <v/>
      </c>
      <c r="F3099" t="n">
        <v>31.6</v>
      </c>
      <c r="G3099" t="n">
        <v>117</v>
      </c>
      <c r="H3099" t="n">
        <v>1.46e-06</v>
      </c>
      <c r="I3099" t="inlineStr">
        <is>
          <t>Nr</t>
        </is>
      </c>
      <c r="J3099" t="inlineStr"/>
      <c r="K3099" t="inlineStr"/>
      <c r="L3099" t="inlineStr">
        <is>
          <t>CDQ98837.1 unnamed protein product [Oncorhynchus mykiss]</t>
        </is>
      </c>
      <c r="M3099" t="n">
        <v>628</v>
      </c>
      <c r="N3099" t="inlineStr">
        <is>
          <t>Oncorhynchus mykiss</t>
        </is>
      </c>
      <c r="O3099" t="inlineStr">
        <is>
          <t>unnamed protein product</t>
        </is>
      </c>
    </row>
    <row r="3100">
      <c r="A3100" t="inlineStr"/>
      <c r="B3100" t="inlineStr"/>
      <c r="C3100" t="inlineStr"/>
      <c r="D3100" t="inlineStr"/>
      <c r="E3100">
        <f>HYPERLINK("https://www.ncbi.nlm.nih.gov/gene/?term=XP_044141753.1", "XP_044141753.1")</f>
        <v/>
      </c>
      <c r="F3100" t="n">
        <v>31</v>
      </c>
      <c r="G3100" t="n">
        <v>116</v>
      </c>
      <c r="H3100" t="n">
        <v>1.49e-06</v>
      </c>
      <c r="I3100" t="inlineStr">
        <is>
          <t>Nr</t>
        </is>
      </c>
      <c r="J3100" t="inlineStr"/>
      <c r="K3100" t="inlineStr"/>
      <c r="L3100" t="inlineStr">
        <is>
          <t>XP_044141753.1 oocyte zinc finger protein XlCOF6-like, partial [Bufo gargarizans]</t>
        </is>
      </c>
      <c r="M3100" t="n">
        <v>782</v>
      </c>
      <c r="N3100" t="inlineStr">
        <is>
          <t>Bufo gargarizans</t>
        </is>
      </c>
      <c r="O3100" t="inlineStr">
        <is>
          <t>oocyte zinc finger protein XlCOF6-like, partial</t>
        </is>
      </c>
    </row>
    <row r="3101">
      <c r="A3101" t="inlineStr"/>
      <c r="B3101" t="inlineStr"/>
      <c r="C3101" t="inlineStr"/>
      <c r="D3101" t="inlineStr"/>
      <c r="E3101">
        <f>HYPERLINK("https://www.ncbi.nlm.nih.gov/gene/?term=XP_040178126.1", "XP_040178126.1")</f>
        <v/>
      </c>
      <c r="F3101" t="n">
        <v>34.6</v>
      </c>
      <c r="G3101" t="n">
        <v>104</v>
      </c>
      <c r="H3101" t="n">
        <v>1.54e-06</v>
      </c>
      <c r="I3101" t="inlineStr">
        <is>
          <t>Nr</t>
        </is>
      </c>
      <c r="J3101" t="inlineStr"/>
      <c r="K3101" t="inlineStr"/>
      <c r="L3101" t="inlineStr">
        <is>
          <t>XP_040178126.1 microsomal triglyceride transfer protein-like [Rana temporaria]</t>
        </is>
      </c>
      <c r="M3101" t="n">
        <v>1440</v>
      </c>
      <c r="N3101" t="inlineStr">
        <is>
          <t>Rana temporaria</t>
        </is>
      </c>
      <c r="O3101" t="inlineStr">
        <is>
          <t>microsomal triglyceride transfer protein-like</t>
        </is>
      </c>
    </row>
    <row r="3102">
      <c r="A3102" t="inlineStr"/>
      <c r="B3102" t="inlineStr"/>
      <c r="C3102" t="inlineStr"/>
      <c r="D3102" t="inlineStr"/>
      <c r="E3102">
        <f>HYPERLINK("https://www.ncbi.nlm.nih.gov/gene/?term=CAI5672228.1", "CAI5672228.1")</f>
        <v/>
      </c>
      <c r="F3102" t="n">
        <v>33.3</v>
      </c>
      <c r="G3102" t="n">
        <v>111</v>
      </c>
      <c r="H3102" t="n">
        <v>2.75e-06</v>
      </c>
      <c r="I3102" t="inlineStr">
        <is>
          <t>Nr</t>
        </is>
      </c>
      <c r="J3102" t="inlineStr"/>
      <c r="K3102" t="inlineStr"/>
      <c r="L3102" t="inlineStr">
        <is>
          <t>CAI5672228.1 unnamed protein product [Mustela putorius furo]</t>
        </is>
      </c>
      <c r="M3102" t="n">
        <v>728</v>
      </c>
      <c r="N3102" t="inlineStr">
        <is>
          <t>Mustela putorius furo</t>
        </is>
      </c>
      <c r="O3102" t="inlineStr">
        <is>
          <t>unnamed protein product</t>
        </is>
      </c>
    </row>
    <row r="3103">
      <c r="A3103" t="inlineStr"/>
      <c r="B3103" t="inlineStr"/>
      <c r="C3103" t="inlineStr"/>
      <c r="D3103" t="inlineStr"/>
      <c r="E3103">
        <f>HYPERLINK("https://www.ncbi.nlm.nih.gov/gene/?term=XP_030074184.1", "XP_030074184.1")</f>
        <v/>
      </c>
      <c r="F3103" t="n">
        <v>30.8</v>
      </c>
      <c r="G3103" t="n">
        <v>117</v>
      </c>
      <c r="H3103" t="n">
        <v>2.9e-06</v>
      </c>
      <c r="I3103" t="inlineStr">
        <is>
          <t>Nr</t>
        </is>
      </c>
      <c r="J3103" t="inlineStr"/>
      <c r="K3103" t="inlineStr"/>
      <c r="L3103" t="inlineStr">
        <is>
          <t>XP_030074184.1 cilia- and flagella-associated protein 251 [Microcaecilia unicolor]</t>
        </is>
      </c>
      <c r="M3103" t="n">
        <v>1748</v>
      </c>
      <c r="N3103" t="inlineStr">
        <is>
          <t>Microcaecilia unicolor</t>
        </is>
      </c>
      <c r="O3103" t="inlineStr">
        <is>
          <t>cilia- and flagella-associated protein 251</t>
        </is>
      </c>
    </row>
    <row r="3104">
      <c r="A3104" t="inlineStr"/>
      <c r="B3104" t="inlineStr"/>
      <c r="C3104" t="inlineStr"/>
      <c r="D3104" t="inlineStr"/>
      <c r="E3104">
        <f>HYPERLINK("https://www.ncbi.nlm.nih.gov/gene/?term=XP_040178291.1", "XP_040178291.1")</f>
        <v/>
      </c>
      <c r="F3104" t="n">
        <v>29.4</v>
      </c>
      <c r="G3104" t="n">
        <v>119</v>
      </c>
      <c r="H3104" t="n">
        <v>4.01e-06</v>
      </c>
      <c r="I3104" t="inlineStr">
        <is>
          <t>Nr</t>
        </is>
      </c>
      <c r="J3104" t="inlineStr"/>
      <c r="K3104" t="inlineStr"/>
      <c r="L3104" t="inlineStr">
        <is>
          <t>XP_040178291.1 uncharacterized protein LOC120910599, partial [Rana temporaria]</t>
        </is>
      </c>
      <c r="M3104" t="n">
        <v>2918</v>
      </c>
      <c r="N3104" t="inlineStr">
        <is>
          <t>Rana temporaria</t>
        </is>
      </c>
      <c r="O3104" t="inlineStr">
        <is>
          <t>uncharacterized protein LOC120910599, partial</t>
        </is>
      </c>
    </row>
    <row r="3105">
      <c r="A3105" t="inlineStr"/>
      <c r="B3105" t="inlineStr"/>
      <c r="C3105" t="inlineStr"/>
      <c r="D3105" t="inlineStr"/>
      <c r="E3105">
        <f>HYPERLINK("https://www.ncbi.nlm.nih.gov/gene/?term=XP_044155343.1", "XP_044155343.1")</f>
        <v/>
      </c>
      <c r="F3105" t="n">
        <v>31.6</v>
      </c>
      <c r="G3105" t="n">
        <v>117</v>
      </c>
      <c r="H3105" t="n">
        <v>5.15e-06</v>
      </c>
      <c r="I3105" t="inlineStr">
        <is>
          <t>Nr</t>
        </is>
      </c>
      <c r="J3105" t="inlineStr"/>
      <c r="K3105" t="inlineStr"/>
      <c r="L3105" t="inlineStr">
        <is>
          <t>XP_044155343.1 zinc finger protein 3 homolog [Bufo gargarizans]</t>
        </is>
      </c>
      <c r="M3105" t="n">
        <v>783</v>
      </c>
      <c r="N3105" t="inlineStr">
        <is>
          <t>Bufo gargarizans</t>
        </is>
      </c>
      <c r="O3105" t="inlineStr">
        <is>
          <t>zinc finger protein 3 homolog</t>
        </is>
      </c>
    </row>
    <row r="3106">
      <c r="A3106" t="inlineStr"/>
      <c r="B3106" t="inlineStr"/>
      <c r="C3106" t="inlineStr"/>
      <c r="D3106" t="inlineStr"/>
      <c r="E3106">
        <f>HYPERLINK("https://www.ncbi.nlm.nih.gov/gene/?term=MBN3294582.1", "MBN3294582.1")</f>
        <v/>
      </c>
      <c r="F3106" t="n">
        <v>34.2</v>
      </c>
      <c r="G3106" t="n">
        <v>111</v>
      </c>
      <c r="H3106" t="n">
        <v>5.29e-06</v>
      </c>
      <c r="I3106" t="inlineStr">
        <is>
          <t>Nr</t>
        </is>
      </c>
      <c r="J3106" t="inlineStr"/>
      <c r="K3106" t="inlineStr"/>
      <c r="L3106" t="inlineStr">
        <is>
          <t>MBN3294582.1 LORF2 protein [Polypterus senegalus]</t>
        </is>
      </c>
      <c r="M3106" t="n">
        <v>1143</v>
      </c>
      <c r="N3106" t="inlineStr">
        <is>
          <t>Polypterus senegalus</t>
        </is>
      </c>
      <c r="O3106" t="inlineStr">
        <is>
          <t>LORF2 protein</t>
        </is>
      </c>
    </row>
    <row r="3107">
      <c r="A3107" t="inlineStr"/>
      <c r="B3107" t="inlineStr"/>
      <c r="C3107" t="inlineStr"/>
      <c r="D3107" t="inlineStr"/>
      <c r="E3107">
        <f>HYPERLINK("https://www.uniprot.org/uniprotkb/P11369/entry", "P11369")</f>
        <v/>
      </c>
      <c r="F3107" t="n">
        <v>28.6</v>
      </c>
      <c r="G3107" t="n">
        <v>98</v>
      </c>
      <c r="H3107" t="n">
        <v>6.61e-06</v>
      </c>
      <c r="I3107" t="inlineStr">
        <is>
          <t>Swiss-Prot</t>
        </is>
      </c>
      <c r="J3107" t="inlineStr">
        <is>
          <t>Pol</t>
        </is>
      </c>
      <c r="K3107" t="inlineStr">
        <is>
          <t>LORF2_MOUSE</t>
        </is>
      </c>
      <c r="L3107" t="inlineStr">
        <is>
          <t>sp|P11369|LORF2_MOUSE LINE-1 retrotransposable element ORF2 protein OS=Mus musculus OX=10090 GN=Pol PE=1 SV=2</t>
        </is>
      </c>
      <c r="M3107" t="n">
        <v>1281</v>
      </c>
      <c r="N3107" t="inlineStr">
        <is>
          <t>Mus musculus</t>
        </is>
      </c>
      <c r="O3107" t="inlineStr">
        <is>
          <t>LINE-1 retrotransposable element ORF2 protein</t>
        </is>
      </c>
    </row>
    <row r="3108">
      <c r="A3108" t="inlineStr"/>
      <c r="B3108" t="inlineStr"/>
      <c r="C3108" t="inlineStr"/>
      <c r="D3108" t="inlineStr"/>
      <c r="E3108">
        <f>HYPERLINK("https://www.ncbi.nlm.nih.gov/gene/?term=XP_014353709.1", "XP_014353709.1")</f>
        <v/>
      </c>
      <c r="F3108" t="n">
        <v>31.2</v>
      </c>
      <c r="G3108" t="n">
        <v>109</v>
      </c>
      <c r="H3108" t="n">
        <v>7.13e-06</v>
      </c>
      <c r="I3108" t="inlineStr">
        <is>
          <t>Nr</t>
        </is>
      </c>
      <c r="J3108" t="inlineStr"/>
      <c r="K3108" t="inlineStr"/>
      <c r="L3108" t="inlineStr">
        <is>
          <t>XP_014353709.1 PREDICTED: uncharacterized protein LOC102366391 [Latimeria chalumnae]</t>
        </is>
      </c>
      <c r="M3108" t="n">
        <v>954</v>
      </c>
      <c r="N3108" t="inlineStr">
        <is>
          <t>Latimeria chalumnae</t>
        </is>
      </c>
      <c r="O3108" t="inlineStr">
        <is>
          <t>PREDICTED: uncharacterized protein LOC102366391</t>
        </is>
      </c>
    </row>
    <row r="3109">
      <c r="A3109" t="inlineStr"/>
      <c r="B3109" t="inlineStr"/>
      <c r="C3109" t="inlineStr"/>
      <c r="D3109" t="inlineStr"/>
      <c r="E3109">
        <f>HYPERLINK("https://www.ncbi.nlm.nih.gov/gene/?term=CAI5645030.1", "CAI5645030.1")</f>
        <v/>
      </c>
      <c r="F3109" t="n">
        <v>29.7</v>
      </c>
      <c r="G3109" t="n">
        <v>118</v>
      </c>
      <c r="H3109" t="n">
        <v>7.19e-06</v>
      </c>
      <c r="I3109" t="inlineStr">
        <is>
          <t>Nr</t>
        </is>
      </c>
      <c r="J3109" t="inlineStr"/>
      <c r="K3109" t="inlineStr"/>
      <c r="L3109" t="inlineStr">
        <is>
          <t>CAI5645030.1 unnamed protein product [Mustela putorius furo]</t>
        </is>
      </c>
      <c r="M3109" t="n">
        <v>1089</v>
      </c>
      <c r="N3109" t="inlineStr">
        <is>
          <t>Mustela putorius furo</t>
        </is>
      </c>
      <c r="O3109" t="inlineStr">
        <is>
          <t>unnamed protein product</t>
        </is>
      </c>
    </row>
    <row r="3110">
      <c r="A3110" t="inlineStr"/>
      <c r="B3110" t="inlineStr"/>
      <c r="C3110" t="inlineStr"/>
      <c r="D3110" t="inlineStr"/>
      <c r="E3110">
        <f>HYPERLINK("https://www.uniprot.org/uniprotkb/P08548/entry", "P08548")</f>
        <v/>
      </c>
      <c r="F3110" t="n">
        <v>29.6</v>
      </c>
      <c r="G3110" t="n">
        <v>98</v>
      </c>
      <c r="H3110" t="n">
        <v>2.28e-05</v>
      </c>
      <c r="I3110" t="inlineStr">
        <is>
          <t>Swiss-Prot</t>
        </is>
      </c>
      <c r="J3110" t="inlineStr"/>
      <c r="K3110" t="inlineStr">
        <is>
          <t>LIN1_NYCCO</t>
        </is>
      </c>
      <c r="L3110" t="inlineStr">
        <is>
          <t>sp|P08548|LIN1_NYCCO LINE-1 reverse transcriptase homolog OS=Nycticebus coucang OX=9470 PE=4 SV=1</t>
        </is>
      </c>
      <c r="M3110" t="n">
        <v>1260</v>
      </c>
      <c r="N3110" t="inlineStr">
        <is>
          <t>Nycticebus coucang</t>
        </is>
      </c>
      <c r="O3110" t="inlineStr">
        <is>
          <t>LINE-1 reverse transcriptase homolog</t>
        </is>
      </c>
    </row>
    <row r="3111">
      <c r="A3111" t="inlineStr"/>
      <c r="B3111" t="inlineStr"/>
      <c r="C3111" t="inlineStr"/>
      <c r="D3111" t="inlineStr"/>
      <c r="E3111">
        <f>HYPERLINK("https://www.uniprot.org/uniprotkb/P11260/entry", "P11260")</f>
        <v/>
      </c>
      <c r="F3111" t="n">
        <v>23.8</v>
      </c>
      <c r="G3111" t="n">
        <v>189</v>
      </c>
      <c r="H3111" t="n">
        <v>0.000192</v>
      </c>
      <c r="I3111" t="inlineStr">
        <is>
          <t>Swiss-Prot</t>
        </is>
      </c>
      <c r="J3111" t="inlineStr">
        <is>
          <t>Lire1</t>
        </is>
      </c>
      <c r="K3111" t="inlineStr">
        <is>
          <t>LORF1_MOUSE</t>
        </is>
      </c>
      <c r="L3111" t="inlineStr">
        <is>
          <t>sp|P11260|LORF1_MOUSE LINE-1 retrotransposable element ORF1 protein OS=Mus musculus OX=10090 GN=Lire1 PE=1 SV=2</t>
        </is>
      </c>
      <c r="M3111" t="n">
        <v>357</v>
      </c>
      <c r="N3111" t="inlineStr">
        <is>
          <t>Mus musculus</t>
        </is>
      </c>
      <c r="O3111" t="inlineStr">
        <is>
          <t>LINE-1 retrotransposable element ORF1 protein</t>
        </is>
      </c>
    </row>
    <row r="3112">
      <c r="A3112" t="inlineStr"/>
      <c r="B3112" t="inlineStr"/>
      <c r="C3112" t="inlineStr"/>
      <c r="D3112" t="inlineStr"/>
      <c r="E3112">
        <f>HYPERLINK("https://www.uniprot.org/uniprotkb/Q05118/entry", "Q05118")</f>
        <v/>
      </c>
      <c r="F3112" t="n">
        <v>24.4</v>
      </c>
      <c r="G3112" t="n">
        <v>270</v>
      </c>
      <c r="H3112" t="n">
        <v>0.00075</v>
      </c>
      <c r="I3112" t="inlineStr">
        <is>
          <t>Swiss-Prot</t>
        </is>
      </c>
      <c r="J3112" t="inlineStr"/>
      <c r="K3112" t="inlineStr">
        <is>
          <t>PO23_POPJA</t>
        </is>
      </c>
      <c r="L3112" t="inlineStr">
        <is>
          <t>sp|Q05118|PO23_POPJA Retrovirus-related Pol polyprotein from type-1 retrotransposable element R2 (Fragment) OS=Popillia japonica OX=7064 PE=4 SV=1</t>
        </is>
      </c>
      <c r="M3112" t="n">
        <v>606</v>
      </c>
      <c r="N3112" t="inlineStr">
        <is>
          <t>Popillia japonica</t>
        </is>
      </c>
      <c r="O3112" t="inlineStr">
        <is>
          <t>Retrovirus-related Pol polyprotein from type-1 retrotransposable element R2 (Fragment)</t>
        </is>
      </c>
    </row>
    <row r="3113">
      <c r="A3113" t="inlineStr"/>
      <c r="B3113" t="inlineStr"/>
      <c r="C3113" t="inlineStr"/>
      <c r="D3113" t="inlineStr"/>
      <c r="E3113">
        <f>HYPERLINK("https://www.uniprot.org/uniprotkb/Q587J6/entry", "Q587J6")</f>
        <v/>
      </c>
      <c r="F3113" t="n">
        <v>23.7</v>
      </c>
      <c r="G3113" t="n">
        <v>211</v>
      </c>
      <c r="H3113" t="n">
        <v>0.000846</v>
      </c>
      <c r="I3113" t="inlineStr">
        <is>
          <t>Swiss-Prot</t>
        </is>
      </c>
      <c r="J3113" t="inlineStr">
        <is>
          <t>L1td1</t>
        </is>
      </c>
      <c r="K3113" t="inlineStr">
        <is>
          <t>LITD1_MOUSE</t>
        </is>
      </c>
      <c r="L3113" t="inlineStr">
        <is>
          <t>sp|Q587J6|LITD1_MOUSE LINE-1 type transposase domain-containing protein 1 OS=Mus musculus OX=10090 GN=L1td1 PE=2 SV=1</t>
        </is>
      </c>
      <c r="M3113" t="n">
        <v>782</v>
      </c>
      <c r="N3113" t="inlineStr">
        <is>
          <t>Mus musculus</t>
        </is>
      </c>
      <c r="O3113" t="inlineStr">
        <is>
          <t>LINE-1 type transposase domain-containing protein 1</t>
        </is>
      </c>
    </row>
    <row r="3114">
      <c r="A3114" t="inlineStr">
        <is>
          <t>NODE_20611_length_4783_cov_13.583121_g7123_i0</t>
        </is>
      </c>
      <c r="B3114" t="inlineStr">
        <is>
          <t>bombina_pachypus_blastx</t>
        </is>
      </c>
      <c r="C3114" t="n">
        <v>-6.70854954749677</v>
      </c>
      <c r="D3114" t="n">
        <v>8.398966595592411e-14</v>
      </c>
      <c r="E3114">
        <f>HYPERLINK("https://www.uniprot.org/uniprotkb/A0A803J3S5/entry", "A0A803J3S5")</f>
        <v/>
      </c>
      <c r="F3114" t="n">
        <v>37.8</v>
      </c>
      <c r="G3114" t="n">
        <v>164</v>
      </c>
      <c r="H3114" t="n">
        <v>7.070000000000001e-31</v>
      </c>
      <c r="I3114" t="inlineStr">
        <is>
          <t>TrEMBL</t>
        </is>
      </c>
      <c r="J3114" t="inlineStr"/>
      <c r="K3114" t="inlineStr">
        <is>
          <t>A0A803J3S5_XENTR</t>
        </is>
      </c>
      <c r="L3114" t="inlineStr">
        <is>
          <t>tr|A0A803J3S5|A0A803J3S5_XENTR Endo/exonuclease/phosphatase domain-containing protein OS=Xenopus tropicalis OX=8364 PE=4 SV=1</t>
        </is>
      </c>
      <c r="M3114" t="n">
        <v>205</v>
      </c>
      <c r="N3114" t="inlineStr">
        <is>
          <t>Xenopus tropicalis</t>
        </is>
      </c>
      <c r="O3114" t="inlineStr">
        <is>
          <t>Endo/exonuclease/phosphatase domain-containing protein</t>
        </is>
      </c>
    </row>
    <row r="3115">
      <c r="A3115" t="inlineStr"/>
      <c r="B3115" t="inlineStr"/>
      <c r="C3115" t="inlineStr"/>
      <c r="D3115" t="inlineStr"/>
      <c r="E3115">
        <f>HYPERLINK("https://www.uniprot.org/uniprotkb/A0A803JUS9/entry", "A0A803JUS9")</f>
        <v/>
      </c>
      <c r="F3115" t="n">
        <v>42</v>
      </c>
      <c r="G3115" t="n">
        <v>150</v>
      </c>
      <c r="H3115" t="n">
        <v>2.2e-30</v>
      </c>
      <c r="I3115" t="inlineStr">
        <is>
          <t>TrEMBL</t>
        </is>
      </c>
      <c r="J3115" t="inlineStr"/>
      <c r="K3115" t="inlineStr">
        <is>
          <t>A0A803JUS9_XENTR</t>
        </is>
      </c>
      <c r="L3115" t="inlineStr">
        <is>
          <t>tr|A0A803JUS9|A0A803JUS9_XENTR Reverse transcriptase domain-containing protein OS=Xenopus tropicalis OX=8364 PE=4 SV=1</t>
        </is>
      </c>
      <c r="M3115" t="n">
        <v>1298</v>
      </c>
      <c r="N3115" t="inlineStr">
        <is>
          <t>Xenopus tropicalis</t>
        </is>
      </c>
      <c r="O3115" t="inlineStr">
        <is>
          <t>Reverse transcriptase domain-containing protein</t>
        </is>
      </c>
    </row>
    <row r="3116">
      <c r="A3116" t="inlineStr"/>
      <c r="B3116" t="inlineStr"/>
      <c r="C3116" t="inlineStr"/>
      <c r="D3116" t="inlineStr"/>
      <c r="E3116">
        <f>HYPERLINK("https://www.uniprot.org/uniprotkb/A0A8C6UT24/entry", "A0A8C6UT24")</f>
        <v/>
      </c>
      <c r="F3116" t="n">
        <v>39.7</v>
      </c>
      <c r="G3116" t="n">
        <v>151</v>
      </c>
      <c r="H3116" t="n">
        <v>7.27e-30</v>
      </c>
      <c r="I3116" t="inlineStr">
        <is>
          <t>TrEMBL</t>
        </is>
      </c>
      <c r="J3116" t="inlineStr"/>
      <c r="K3116" t="inlineStr">
        <is>
          <t>A0A8C6UT24_9GOBI</t>
        </is>
      </c>
      <c r="L3116" t="inlineStr">
        <is>
          <t>tr|A0A8C6UT24|A0A8C6UT24_9GOBI Endo/exonuclease/phosphatase domain-containing protein OS=Neogobius melanostomus OX=47308 PE=4 SV=1</t>
        </is>
      </c>
      <c r="M3116" t="n">
        <v>215</v>
      </c>
      <c r="N3116" t="inlineStr">
        <is>
          <t>Neogobius melanostomus</t>
        </is>
      </c>
      <c r="O3116" t="inlineStr">
        <is>
          <t>Endo/exonuclease/phosphatase domain-containing protein</t>
        </is>
      </c>
    </row>
    <row r="3117">
      <c r="A3117" t="inlineStr"/>
      <c r="B3117" t="inlineStr"/>
      <c r="C3117" t="inlineStr"/>
      <c r="D3117" t="inlineStr"/>
      <c r="E3117">
        <f>HYPERLINK("https://www.uniprot.org/uniprotkb/A0A667X9Y1/entry", "A0A667X9Y1")</f>
        <v/>
      </c>
      <c r="F3117" t="n">
        <v>38.8</v>
      </c>
      <c r="G3117" t="n">
        <v>152</v>
      </c>
      <c r="H3117" t="n">
        <v>7.649999999999999e-30</v>
      </c>
      <c r="I3117" t="inlineStr">
        <is>
          <t>TrEMBL</t>
        </is>
      </c>
      <c r="J3117" t="inlineStr"/>
      <c r="K3117" t="inlineStr">
        <is>
          <t>A0A667X9Y1_9TELE</t>
        </is>
      </c>
      <c r="L3117" t="inlineStr">
        <is>
          <t>tr|A0A667X9Y1|A0A667X9Y1_9TELE Endo/exonuclease/phosphatase domain-containing protein OS=Myripristis murdjan OX=586833 PE=4 SV=1</t>
        </is>
      </c>
      <c r="M3117" t="n">
        <v>245</v>
      </c>
      <c r="N3117" t="inlineStr">
        <is>
          <t>Myripristis murdjan</t>
        </is>
      </c>
      <c r="O3117" t="inlineStr">
        <is>
          <t>Endo/exonuclease/phosphatase domain-containing protein</t>
        </is>
      </c>
    </row>
    <row r="3118">
      <c r="A3118" t="inlineStr"/>
      <c r="B3118" t="inlineStr"/>
      <c r="C3118" t="inlineStr"/>
      <c r="D3118" t="inlineStr"/>
      <c r="E3118">
        <f>HYPERLINK("https://www.uniprot.org/uniprotkb/A0A803JAB7/entry", "A0A803JAB7")</f>
        <v/>
      </c>
      <c r="F3118" t="n">
        <v>40.7</v>
      </c>
      <c r="G3118" t="n">
        <v>150</v>
      </c>
      <c r="H3118" t="n">
        <v>3.54e-29</v>
      </c>
      <c r="I3118" t="inlineStr">
        <is>
          <t>TrEMBL</t>
        </is>
      </c>
      <c r="J3118" t="inlineStr"/>
      <c r="K3118" t="inlineStr">
        <is>
          <t>A0A803JAB7_XENTR</t>
        </is>
      </c>
      <c r="L3118" t="inlineStr">
        <is>
          <t>tr|A0A803JAB7|A0A803JAB7_XENTR Reverse transcriptase domain-containing protein OS=Xenopus tropicalis OX=8364 PE=4 SV=1</t>
        </is>
      </c>
      <c r="M3118" t="n">
        <v>1216</v>
      </c>
      <c r="N3118" t="inlineStr">
        <is>
          <t>Xenopus tropicalis</t>
        </is>
      </c>
      <c r="O3118" t="inlineStr">
        <is>
          <t>Reverse transcriptase domain-containing protein</t>
        </is>
      </c>
    </row>
    <row r="3119">
      <c r="A3119" t="inlineStr"/>
      <c r="B3119" t="inlineStr"/>
      <c r="C3119" t="inlineStr"/>
      <c r="D3119" t="inlineStr"/>
      <c r="E3119">
        <f>HYPERLINK("https://www.uniprot.org/uniprotkb/A0A667ZXY0/entry", "A0A667ZXY0")</f>
        <v/>
      </c>
      <c r="F3119" t="n">
        <v>37.1</v>
      </c>
      <c r="G3119" t="n">
        <v>151</v>
      </c>
      <c r="H3119" t="n">
        <v>2.43e-28</v>
      </c>
      <c r="I3119" t="inlineStr">
        <is>
          <t>TrEMBL</t>
        </is>
      </c>
      <c r="J3119" t="inlineStr"/>
      <c r="K3119" t="inlineStr">
        <is>
          <t>A0A667ZXY0_9TELE</t>
        </is>
      </c>
      <c r="L3119" t="inlineStr">
        <is>
          <t>tr|A0A667ZXY0|A0A667ZXY0_9TELE Endo/exonuclease/phosphatase domain-containing protein OS=Myripristis murdjan OX=586833 PE=4 SV=1</t>
        </is>
      </c>
      <c r="M3119" t="n">
        <v>204</v>
      </c>
      <c r="N3119" t="inlineStr">
        <is>
          <t>Myripristis murdjan</t>
        </is>
      </c>
      <c r="O3119" t="inlineStr">
        <is>
          <t>Endo/exonuclease/phosphatase domain-containing protein</t>
        </is>
      </c>
    </row>
    <row r="3120">
      <c r="A3120" t="inlineStr"/>
      <c r="B3120" t="inlineStr"/>
      <c r="C3120" t="inlineStr"/>
      <c r="D3120" t="inlineStr"/>
      <c r="E3120">
        <f>HYPERLINK("https://www.uniprot.org/uniprotkb/A0A1A8FGJ1/entry", "A0A1A8FGJ1")</f>
        <v/>
      </c>
      <c r="F3120" t="n">
        <v>38.3</v>
      </c>
      <c r="G3120" t="n">
        <v>149</v>
      </c>
      <c r="H3120" t="n">
        <v>1.11e-27</v>
      </c>
      <c r="I3120" t="inlineStr">
        <is>
          <t>TrEMBL</t>
        </is>
      </c>
      <c r="J3120" t="inlineStr">
        <is>
          <t>Nfu_g_1_025934</t>
        </is>
      </c>
      <c r="K3120" t="inlineStr">
        <is>
          <t>A0A1A8FGJ1_9TELE</t>
        </is>
      </c>
      <c r="L3120" t="inlineStr">
        <is>
          <t>tr|A0A1A8FGJ1|A0A1A8FGJ1_9TELE Endo/exonuclease/phosphatase domain-containing protein (Fragment) OS=Nothobranchius korthausae OX=1143690 GN=Nfu_g_1_025934 PE=4 SV=1</t>
        </is>
      </c>
      <c r="M3120" t="n">
        <v>170</v>
      </c>
      <c r="N3120" t="inlineStr">
        <is>
          <t>Nothobranchius korthausae</t>
        </is>
      </c>
      <c r="O3120" t="inlineStr">
        <is>
          <t>Endo/exonuclease/phosphatase domain-containing protein (Fragment)</t>
        </is>
      </c>
    </row>
    <row r="3121">
      <c r="A3121" t="inlineStr"/>
      <c r="B3121" t="inlineStr"/>
      <c r="C3121" t="inlineStr"/>
      <c r="D3121" t="inlineStr"/>
      <c r="E3121">
        <f>HYPERLINK("https://www.uniprot.org/uniprotkb/A0A3Q4I192/entry", "A0A3Q4I192")</f>
        <v/>
      </c>
      <c r="F3121" t="n">
        <v>37.3</v>
      </c>
      <c r="G3121" t="n">
        <v>158</v>
      </c>
      <c r="H3121" t="n">
        <v>7.650000000000001e-27</v>
      </c>
      <c r="I3121" t="inlineStr">
        <is>
          <t>TrEMBL</t>
        </is>
      </c>
      <c r="J3121" t="inlineStr"/>
      <c r="K3121" t="inlineStr">
        <is>
          <t>A0A3Q4I192_NEOBR</t>
        </is>
      </c>
      <c r="L3121" t="inlineStr">
        <is>
          <t>tr|A0A3Q4I192|A0A3Q4I192_NEOBR Endo/exonuclease/phosphatase domain-containing protein OS=Neolamprologus brichardi OX=32507 PE=4 SV=1</t>
        </is>
      </c>
      <c r="M3121" t="n">
        <v>333</v>
      </c>
      <c r="N3121" t="inlineStr">
        <is>
          <t>Neolamprologus brichardi</t>
        </is>
      </c>
      <c r="O3121" t="inlineStr">
        <is>
          <t>Endo/exonuclease/phosphatase domain-containing protein</t>
        </is>
      </c>
    </row>
    <row r="3122">
      <c r="A3122" t="inlineStr"/>
      <c r="B3122" t="inlineStr"/>
      <c r="C3122" t="inlineStr"/>
      <c r="D3122" t="inlineStr"/>
      <c r="E3122">
        <f>HYPERLINK("https://www.uniprot.org/uniprotkb/A0A3B1J2S8/entry", "A0A3B1J2S8")</f>
        <v/>
      </c>
      <c r="F3122" t="n">
        <v>38</v>
      </c>
      <c r="G3122" t="n">
        <v>163</v>
      </c>
      <c r="H3122" t="n">
        <v>9.540000000000001e-27</v>
      </c>
      <c r="I3122" t="inlineStr">
        <is>
          <t>TrEMBL</t>
        </is>
      </c>
      <c r="J3122" t="inlineStr"/>
      <c r="K3122" t="inlineStr">
        <is>
          <t>A0A3B1J2S8_ASTMX</t>
        </is>
      </c>
      <c r="L3122" t="inlineStr">
        <is>
          <t>tr|A0A3B1J2S8|A0A3B1J2S8_ASTMX Endo/exonuclease/phosphatase domain-containing protein OS=Astyanax mexicanus OX=7994 PE=4 SV=1</t>
        </is>
      </c>
      <c r="M3122" t="n">
        <v>242</v>
      </c>
      <c r="N3122" t="inlineStr">
        <is>
          <t>Astyanax mexicanus</t>
        </is>
      </c>
      <c r="O3122" t="inlineStr">
        <is>
          <t>Endo/exonuclease/phosphatase domain-containing protein</t>
        </is>
      </c>
    </row>
    <row r="3123">
      <c r="A3123" t="inlineStr"/>
      <c r="B3123" t="inlineStr"/>
      <c r="C3123" t="inlineStr"/>
      <c r="D3123" t="inlineStr"/>
      <c r="E3123">
        <f>HYPERLINK("https://www.uniprot.org/uniprotkb/A0A8C6WHA8/entry", "A0A8C6WHA8")</f>
        <v/>
      </c>
      <c r="F3123" t="n">
        <v>35.6</v>
      </c>
      <c r="G3123" t="n">
        <v>160</v>
      </c>
      <c r="H3123" t="n">
        <v>1.02e-26</v>
      </c>
      <c r="I3123" t="inlineStr">
        <is>
          <t>TrEMBL</t>
        </is>
      </c>
      <c r="J3123" t="inlineStr"/>
      <c r="K3123" t="inlineStr">
        <is>
          <t>A0A8C6WHA8_9GOBI</t>
        </is>
      </c>
      <c r="L3123" t="inlineStr">
        <is>
          <t>tr|A0A8C6WHA8|A0A8C6WHA8_9GOBI Endo/exonuclease/phosphatase domain-containing protein OS=Neogobius melanostomus OX=47308 PE=4 SV=1</t>
        </is>
      </c>
      <c r="M3123" t="n">
        <v>230</v>
      </c>
      <c r="N3123" t="inlineStr">
        <is>
          <t>Neogobius melanostomus</t>
        </is>
      </c>
      <c r="O3123" t="inlineStr">
        <is>
          <t>Endo/exonuclease/phosphatase domain-containing protein</t>
        </is>
      </c>
    </row>
    <row r="3124">
      <c r="A3124" t="inlineStr"/>
      <c r="B3124" t="inlineStr"/>
      <c r="C3124" t="inlineStr"/>
      <c r="D3124" t="inlineStr"/>
      <c r="E3124">
        <f>HYPERLINK("https://www.uniprot.org/uniprotkb/A0A3B4Z9Q3/entry", "A0A3B4Z9Q3")</f>
        <v/>
      </c>
      <c r="F3124" t="n">
        <v>37.2</v>
      </c>
      <c r="G3124" t="n">
        <v>148</v>
      </c>
      <c r="H3124" t="n">
        <v>1.56e-26</v>
      </c>
      <c r="I3124" t="inlineStr">
        <is>
          <t>TrEMBL</t>
        </is>
      </c>
      <c r="J3124" t="inlineStr"/>
      <c r="K3124" t="inlineStr">
        <is>
          <t>A0A3B4Z9Q3_9TELE</t>
        </is>
      </c>
      <c r="L3124" t="inlineStr">
        <is>
          <t>tr|A0A3B4Z9Q3|A0A3B4Z9Q3_9TELE Endo/exonuclease/phosphatase domain-containing protein OS=Stegastes partitus OX=144197 PE=4 SV=1</t>
        </is>
      </c>
      <c r="M3124" t="n">
        <v>379</v>
      </c>
      <c r="N3124" t="inlineStr">
        <is>
          <t>Stegastes partitus</t>
        </is>
      </c>
      <c r="O3124" t="inlineStr">
        <is>
          <t>Endo/exonuclease/phosphatase domain-containing protein</t>
        </is>
      </c>
    </row>
    <row r="3125">
      <c r="A3125" t="inlineStr"/>
      <c r="B3125" t="inlineStr"/>
      <c r="C3125" t="inlineStr"/>
      <c r="D3125" t="inlineStr"/>
      <c r="E3125">
        <f>HYPERLINK("https://www.uniprot.org/uniprotkb/A0A3P8NC16/entry", "A0A3P8NC16")</f>
        <v/>
      </c>
      <c r="F3125" t="n">
        <v>37.8</v>
      </c>
      <c r="G3125" t="n">
        <v>148</v>
      </c>
      <c r="H3125" t="n">
        <v>9.890000000000001e-26</v>
      </c>
      <c r="I3125" t="inlineStr">
        <is>
          <t>TrEMBL</t>
        </is>
      </c>
      <c r="J3125" t="inlineStr"/>
      <c r="K3125" t="inlineStr">
        <is>
          <t>A0A3P8NC16_ASTCA</t>
        </is>
      </c>
      <c r="L3125" t="inlineStr">
        <is>
          <t>tr|A0A3P8NC16|A0A3P8NC16_ASTCA Endo/exonuclease/phosphatase domain-containing protein OS=Astatotilapia calliptera OX=8154 PE=4 SV=1</t>
        </is>
      </c>
      <c r="M3125" t="n">
        <v>346</v>
      </c>
      <c r="N3125" t="inlineStr">
        <is>
          <t>Astatotilapia calliptera</t>
        </is>
      </c>
      <c r="O3125" t="inlineStr">
        <is>
          <t>Endo/exonuclease/phosphatase domain-containing protein</t>
        </is>
      </c>
    </row>
    <row r="3126">
      <c r="A3126" t="inlineStr"/>
      <c r="B3126" t="inlineStr"/>
      <c r="C3126" t="inlineStr"/>
      <c r="D3126" t="inlineStr"/>
      <c r="E3126">
        <f>HYPERLINK("https://www.uniprot.org/uniprotkb/A0A3P8RWJ4/entry", "A0A3P8RWJ4")</f>
        <v/>
      </c>
      <c r="F3126" t="n">
        <v>39.9</v>
      </c>
      <c r="G3126" t="n">
        <v>153</v>
      </c>
      <c r="H3126" t="n">
        <v>1.1e-25</v>
      </c>
      <c r="I3126" t="inlineStr">
        <is>
          <t>TrEMBL</t>
        </is>
      </c>
      <c r="J3126" t="inlineStr"/>
      <c r="K3126" t="inlineStr">
        <is>
          <t>A0A3P8RWJ4_AMPPE</t>
        </is>
      </c>
      <c r="L3126" t="inlineStr">
        <is>
          <t>tr|A0A3P8RWJ4|A0A3P8RWJ4_AMPPE Reverse transcriptase domain-containing protein OS=Amphiprion percula OX=161767 PE=4 SV=1</t>
        </is>
      </c>
      <c r="M3126" t="n">
        <v>1250</v>
      </c>
      <c r="N3126" t="inlineStr">
        <is>
          <t>Amphiprion percula</t>
        </is>
      </c>
      <c r="O3126" t="inlineStr">
        <is>
          <t>Reverse transcriptase domain-containing protein</t>
        </is>
      </c>
    </row>
    <row r="3127">
      <c r="A3127" t="inlineStr"/>
      <c r="B3127" t="inlineStr"/>
      <c r="C3127" t="inlineStr"/>
      <c r="D3127" t="inlineStr"/>
      <c r="E3127">
        <f>HYPERLINK("https://www.uniprot.org/uniprotkb/A0A3P8T0F2/entry", "A0A3P8T0F2")</f>
        <v/>
      </c>
      <c r="F3127" t="n">
        <v>39.9</v>
      </c>
      <c r="G3127" t="n">
        <v>153</v>
      </c>
      <c r="H3127" t="n">
        <v>1.1e-25</v>
      </c>
      <c r="I3127" t="inlineStr">
        <is>
          <t>TrEMBL</t>
        </is>
      </c>
      <c r="J3127" t="inlineStr"/>
      <c r="K3127" t="inlineStr">
        <is>
          <t>A0A3P8T0F2_AMPPE</t>
        </is>
      </c>
      <c r="L3127" t="inlineStr">
        <is>
          <t>tr|A0A3P8T0F2|A0A3P8T0F2_AMPPE Reverse transcriptase domain-containing protein OS=Amphiprion percula OX=161767 PE=4 SV=1</t>
        </is>
      </c>
      <c r="M3127" t="n">
        <v>1250</v>
      </c>
      <c r="N3127" t="inlineStr">
        <is>
          <t>Amphiprion percula</t>
        </is>
      </c>
      <c r="O3127" t="inlineStr">
        <is>
          <t>Reverse transcriptase domain-containing protein</t>
        </is>
      </c>
    </row>
    <row r="3128">
      <c r="A3128" t="inlineStr"/>
      <c r="B3128" t="inlineStr"/>
      <c r="C3128" t="inlineStr"/>
      <c r="D3128" t="inlineStr"/>
      <c r="E3128">
        <f>HYPERLINK("https://www.uniprot.org/uniprotkb/A0A667WFD7/entry", "A0A667WFD7")</f>
        <v/>
      </c>
      <c r="F3128" t="n">
        <v>35.8</v>
      </c>
      <c r="G3128" t="n">
        <v>148</v>
      </c>
      <c r="H3128" t="n">
        <v>1.11e-25</v>
      </c>
      <c r="I3128" t="inlineStr">
        <is>
          <t>TrEMBL</t>
        </is>
      </c>
      <c r="J3128" t="inlineStr"/>
      <c r="K3128" t="inlineStr">
        <is>
          <t>A0A667WFD7_9TELE</t>
        </is>
      </c>
      <c r="L3128" t="inlineStr">
        <is>
          <t>tr|A0A667WFD7|A0A667WFD7_9TELE Endo/exonuclease/phosphatase domain-containing protein OS=Myripristis murdjan OX=586833 PE=4 SV=1</t>
        </is>
      </c>
      <c r="M3128" t="n">
        <v>161</v>
      </c>
      <c r="N3128" t="inlineStr">
        <is>
          <t>Myripristis murdjan</t>
        </is>
      </c>
      <c r="O3128" t="inlineStr">
        <is>
          <t>Endo/exonuclease/phosphatase domain-containing protein</t>
        </is>
      </c>
    </row>
    <row r="3129">
      <c r="A3129" t="inlineStr"/>
      <c r="B3129" t="inlineStr"/>
      <c r="C3129" t="inlineStr"/>
      <c r="D3129" t="inlineStr"/>
      <c r="E3129">
        <f>HYPERLINK("https://www.uniprot.org/uniprotkb/A0A667ZJD3/entry", "A0A667ZJD3")</f>
        <v/>
      </c>
      <c r="F3129" t="n">
        <v>37.6</v>
      </c>
      <c r="G3129" t="n">
        <v>149</v>
      </c>
      <c r="H3129" t="n">
        <v>1.83e-25</v>
      </c>
      <c r="I3129" t="inlineStr">
        <is>
          <t>TrEMBL</t>
        </is>
      </c>
      <c r="J3129" t="inlineStr"/>
      <c r="K3129" t="inlineStr">
        <is>
          <t>A0A667ZJD3_9TELE</t>
        </is>
      </c>
      <c r="L3129" t="inlineStr">
        <is>
          <t>tr|A0A667ZJD3|A0A667ZJD3_9TELE Endo/exonuclease/phosphatase domain-containing protein OS=Myripristis murdjan OX=586833 PE=4 SV=1</t>
        </is>
      </c>
      <c r="M3129" t="n">
        <v>252</v>
      </c>
      <c r="N3129" t="inlineStr">
        <is>
          <t>Myripristis murdjan</t>
        </is>
      </c>
      <c r="O3129" t="inlineStr">
        <is>
          <t>Endo/exonuclease/phosphatase domain-containing protein</t>
        </is>
      </c>
    </row>
    <row r="3130">
      <c r="A3130" t="inlineStr"/>
      <c r="B3130" t="inlineStr"/>
      <c r="C3130" t="inlineStr"/>
      <c r="D3130" t="inlineStr"/>
      <c r="E3130">
        <f>HYPERLINK("https://www.uniprot.org/uniprotkb/A0A3P8NSN4/entry", "A0A3P8NSN4")</f>
        <v/>
      </c>
      <c r="F3130" t="n">
        <v>35.4</v>
      </c>
      <c r="G3130" t="n">
        <v>158</v>
      </c>
      <c r="H3130" t="n">
        <v>3.62e-25</v>
      </c>
      <c r="I3130" t="inlineStr">
        <is>
          <t>TrEMBL</t>
        </is>
      </c>
      <c r="J3130" t="inlineStr"/>
      <c r="K3130" t="inlineStr">
        <is>
          <t>A0A3P8NSN4_ASTCA</t>
        </is>
      </c>
      <c r="L3130" t="inlineStr">
        <is>
          <t>tr|A0A3P8NSN4|A0A3P8NSN4_ASTCA Endo/exonuclease/phosphatase domain-containing protein OS=Astatotilapia calliptera OX=8154 PE=4 SV=1</t>
        </is>
      </c>
      <c r="M3130" t="n">
        <v>252</v>
      </c>
      <c r="N3130" t="inlineStr">
        <is>
          <t>Astatotilapia calliptera</t>
        </is>
      </c>
      <c r="O3130" t="inlineStr">
        <is>
          <t>Endo/exonuclease/phosphatase domain-containing protein</t>
        </is>
      </c>
    </row>
    <row r="3131">
      <c r="A3131" t="inlineStr"/>
      <c r="B3131" t="inlineStr"/>
      <c r="C3131" t="inlineStr"/>
      <c r="D3131" t="inlineStr"/>
      <c r="E3131">
        <f>HYPERLINK("https://www.uniprot.org/uniprotkb/A0A3P8QZP4/entry", "A0A3P8QZP4")</f>
        <v/>
      </c>
      <c r="F3131" t="n">
        <v>40.4</v>
      </c>
      <c r="G3131" t="n">
        <v>156</v>
      </c>
      <c r="H3131" t="n">
        <v>4.03e-25</v>
      </c>
      <c r="I3131" t="inlineStr">
        <is>
          <t>TrEMBL</t>
        </is>
      </c>
      <c r="J3131" t="inlineStr"/>
      <c r="K3131" t="inlineStr">
        <is>
          <t>A0A3P8QZP4_ASTCA</t>
        </is>
      </c>
      <c r="L3131" t="inlineStr">
        <is>
          <t>tr|A0A3P8QZP4|A0A3P8QZP4_ASTCA Endo/exonuclease/phosphatase domain-containing protein OS=Astatotilapia calliptera OX=8154 PE=4 SV=1</t>
        </is>
      </c>
      <c r="M3131" t="n">
        <v>466</v>
      </c>
      <c r="N3131" t="inlineStr">
        <is>
          <t>Astatotilapia calliptera</t>
        </is>
      </c>
      <c r="O3131" t="inlineStr">
        <is>
          <t>Endo/exonuclease/phosphatase domain-containing protein</t>
        </is>
      </c>
    </row>
    <row r="3132">
      <c r="A3132" t="inlineStr"/>
      <c r="B3132" t="inlineStr"/>
      <c r="C3132" t="inlineStr"/>
      <c r="D3132" t="inlineStr"/>
      <c r="E3132">
        <f>HYPERLINK("https://www.uniprot.org/uniprotkb/A0A3Q2QE32/entry", "A0A3Q2QE32")</f>
        <v/>
      </c>
      <c r="F3132" t="n">
        <v>39.9</v>
      </c>
      <c r="G3132" t="n">
        <v>153</v>
      </c>
      <c r="H3132" t="n">
        <v>4.91e-25</v>
      </c>
      <c r="I3132" t="inlineStr">
        <is>
          <t>TrEMBL</t>
        </is>
      </c>
      <c r="J3132" t="inlineStr"/>
      <c r="K3132" t="inlineStr">
        <is>
          <t>A0A3Q2QE32_FUNHE</t>
        </is>
      </c>
      <c r="L3132" t="inlineStr">
        <is>
          <t>tr|A0A3Q2QE32|A0A3Q2QE32_FUNHE Endo/exonuclease/phosphatase domain-containing protein OS=Fundulus heteroclitus OX=8078 PE=4 SV=1</t>
        </is>
      </c>
      <c r="M3132" t="n">
        <v>451</v>
      </c>
      <c r="N3132" t="inlineStr">
        <is>
          <t>Fundulus heteroclitus</t>
        </is>
      </c>
      <c r="O3132" t="inlineStr">
        <is>
          <t>Endo/exonuclease/phosphatase domain-containing protein</t>
        </is>
      </c>
    </row>
    <row r="3133">
      <c r="A3133" t="inlineStr"/>
      <c r="B3133" t="inlineStr"/>
      <c r="C3133" t="inlineStr"/>
      <c r="D3133" t="inlineStr"/>
      <c r="E3133">
        <f>HYPERLINK("https://www.uniprot.org/uniprotkb/A0A671WDK1/entry", "A0A671WDK1")</f>
        <v/>
      </c>
      <c r="F3133" t="n">
        <v>35.3</v>
      </c>
      <c r="G3133" t="n">
        <v>153</v>
      </c>
      <c r="H3133" t="n">
        <v>5.19e-25</v>
      </c>
      <c r="I3133" t="inlineStr">
        <is>
          <t>TrEMBL</t>
        </is>
      </c>
      <c r="J3133" t="inlineStr"/>
      <c r="K3133" t="inlineStr">
        <is>
          <t>A0A671WDK1_SPAAU</t>
        </is>
      </c>
      <c r="L3133" t="inlineStr">
        <is>
          <t>tr|A0A671WDK1|A0A671WDK1_SPAAU Reverse transcriptase domain-containing protein OS=Sparus aurata OX=8175 PE=4 SV=1</t>
        </is>
      </c>
      <c r="M3133" t="n">
        <v>1263</v>
      </c>
      <c r="N3133" t="inlineStr">
        <is>
          <t>Sparus aurata</t>
        </is>
      </c>
      <c r="O3133" t="inlineStr">
        <is>
          <t>Reverse transcriptase domain-containing protein</t>
        </is>
      </c>
    </row>
    <row r="3134">
      <c r="A3134" t="inlineStr"/>
      <c r="B3134" t="inlineStr"/>
      <c r="C3134" t="inlineStr"/>
      <c r="D3134" t="inlineStr"/>
      <c r="E3134">
        <f>HYPERLINK("https://www.uniprot.org/uniprotkb/A0A3Q3A000/entry", "A0A3Q3A000")</f>
        <v/>
      </c>
      <c r="F3134" t="n">
        <v>36.5</v>
      </c>
      <c r="G3134" t="n">
        <v>167</v>
      </c>
      <c r="H3134" t="n">
        <v>5.19e-25</v>
      </c>
      <c r="I3134" t="inlineStr">
        <is>
          <t>TrEMBL</t>
        </is>
      </c>
      <c r="J3134" t="inlineStr"/>
      <c r="K3134" t="inlineStr">
        <is>
          <t>A0A3Q3A000_KRYMA</t>
        </is>
      </c>
      <c r="L3134" t="inlineStr">
        <is>
          <t>tr|A0A3Q3A000|A0A3Q3A000_KRYMA Reverse transcriptase domain-containing protein OS=Kryptolebias marmoratus OX=37003 PE=4 SV=1</t>
        </is>
      </c>
      <c r="M3134" t="n">
        <v>1270</v>
      </c>
      <c r="N3134" t="inlineStr">
        <is>
          <t>Kryptolebias marmoratus</t>
        </is>
      </c>
      <c r="O3134" t="inlineStr">
        <is>
          <t>Reverse transcriptase domain-containing protein</t>
        </is>
      </c>
    </row>
    <row r="3135">
      <c r="A3135" t="inlineStr"/>
      <c r="B3135" t="inlineStr"/>
      <c r="C3135" t="inlineStr"/>
      <c r="D3135" t="inlineStr"/>
      <c r="E3135">
        <f>HYPERLINK("https://www.uniprot.org/uniprotkb/A0A8C5PV52/entry", "A0A8C5PV52")</f>
        <v/>
      </c>
      <c r="F3135" t="n">
        <v>34.6</v>
      </c>
      <c r="G3135" t="n">
        <v>153</v>
      </c>
      <c r="H3135" t="n">
        <v>5.94e-25</v>
      </c>
      <c r="I3135" t="inlineStr">
        <is>
          <t>TrEMBL</t>
        </is>
      </c>
      <c r="J3135" t="inlineStr"/>
      <c r="K3135" t="inlineStr">
        <is>
          <t>A0A8C5PV52_9ANUR</t>
        </is>
      </c>
      <c r="L3135" t="inlineStr">
        <is>
          <t>tr|A0A8C5PV52|A0A8C5PV52_9ANUR Endo/exonuclease/phosphatase domain-containing protein OS=Leptobrachium leishanense OX=445787 PE=4 SV=1</t>
        </is>
      </c>
      <c r="M3135" t="n">
        <v>276</v>
      </c>
      <c r="N3135" t="inlineStr">
        <is>
          <t>Leptobrachium leishanense</t>
        </is>
      </c>
      <c r="O3135" t="inlineStr">
        <is>
          <t>Endo/exonuclease/phosphatase domain-containing protein</t>
        </is>
      </c>
    </row>
    <row r="3136">
      <c r="A3136" t="inlineStr"/>
      <c r="B3136" t="inlineStr"/>
      <c r="C3136" t="inlineStr"/>
      <c r="D3136" t="inlineStr"/>
      <c r="E3136">
        <f>HYPERLINK("https://www.ncbi.nlm.nih.gov/gene/?term=XP_015815569.1", "XP_015815569.1")</f>
        <v/>
      </c>
      <c r="F3136" t="n">
        <v>37.6</v>
      </c>
      <c r="G3136" t="n">
        <v>149</v>
      </c>
      <c r="H3136" t="n">
        <v>6.81e-25</v>
      </c>
      <c r="I3136" t="inlineStr">
        <is>
          <t>Nr</t>
        </is>
      </c>
      <c r="J3136" t="inlineStr"/>
      <c r="K3136" t="inlineStr"/>
      <c r="L3136" t="inlineStr">
        <is>
          <t>XP_015815569.1 PREDICTED: uncharacterized protein LOC107385925 [Nothobranchius furzeri]</t>
        </is>
      </c>
      <c r="M3136" t="n">
        <v>818</v>
      </c>
      <c r="N3136" t="inlineStr">
        <is>
          <t>Nothobranchius furzeri</t>
        </is>
      </c>
      <c r="O3136" t="inlineStr">
        <is>
          <t>PREDICTED: uncharacterized protein LOC107385925</t>
        </is>
      </c>
    </row>
    <row r="3137">
      <c r="A3137" t="inlineStr"/>
      <c r="B3137" t="inlineStr"/>
      <c r="C3137" t="inlineStr"/>
      <c r="D3137" t="inlineStr"/>
      <c r="E3137">
        <f>HYPERLINK("https://www.uniprot.org/uniprotkb/A0A3P9DB37/entry", "A0A3P9DB37")</f>
        <v/>
      </c>
      <c r="F3137" t="n">
        <v>33.3</v>
      </c>
      <c r="G3137" t="n">
        <v>153</v>
      </c>
      <c r="H3137" t="n">
        <v>7.35e-25</v>
      </c>
      <c r="I3137" t="inlineStr">
        <is>
          <t>TrEMBL</t>
        </is>
      </c>
      <c r="J3137" t="inlineStr"/>
      <c r="K3137" t="inlineStr">
        <is>
          <t>A0A3P9DB37_9CICH</t>
        </is>
      </c>
      <c r="L3137" t="inlineStr">
        <is>
          <t>tr|A0A3P9DB37|A0A3P9DB37_9CICH Endo/exonuclease/phosphatase domain-containing protein OS=Maylandia zebra OX=106582 PE=4 SV=1</t>
        </is>
      </c>
      <c r="M3137" t="n">
        <v>194</v>
      </c>
      <c r="N3137" t="inlineStr">
        <is>
          <t>Maylandia zebra</t>
        </is>
      </c>
      <c r="O3137" t="inlineStr">
        <is>
          <t>Endo/exonuclease/phosphatase domain-containing protein</t>
        </is>
      </c>
    </row>
    <row r="3138">
      <c r="A3138" t="inlineStr"/>
      <c r="B3138" t="inlineStr"/>
      <c r="C3138" t="inlineStr"/>
      <c r="D3138" t="inlineStr"/>
      <c r="E3138">
        <f>HYPERLINK("https://www.uniprot.org/uniprotkb/A0A668SST9/entry", "A0A668SST9")</f>
        <v/>
      </c>
      <c r="F3138" t="n">
        <v>36.9</v>
      </c>
      <c r="G3138" t="n">
        <v>157</v>
      </c>
      <c r="H3138" t="n">
        <v>1.16e-24</v>
      </c>
      <c r="I3138" t="inlineStr">
        <is>
          <t>TrEMBL</t>
        </is>
      </c>
      <c r="J3138" t="inlineStr"/>
      <c r="K3138" t="inlineStr">
        <is>
          <t>A0A668SST9_OREAU</t>
        </is>
      </c>
      <c r="L3138" t="inlineStr">
        <is>
          <t>tr|A0A668SST9|A0A668SST9_OREAU Endo/exonuclease/phosphatase domain-containing protein OS=Oreochromis aureus OX=47969 PE=4 SV=1</t>
        </is>
      </c>
      <c r="M3138" t="n">
        <v>438</v>
      </c>
      <c r="N3138" t="inlineStr">
        <is>
          <t>Oreochromis aureus</t>
        </is>
      </c>
      <c r="O3138" t="inlineStr">
        <is>
          <t>Endo/exonuclease/phosphatase domain-containing protein</t>
        </is>
      </c>
    </row>
    <row r="3139">
      <c r="A3139" t="inlineStr"/>
      <c r="B3139" t="inlineStr"/>
      <c r="C3139" t="inlineStr"/>
      <c r="D3139" t="inlineStr"/>
      <c r="E3139">
        <f>HYPERLINK("https://www.uniprot.org/uniprotkb/A0A3Q2ZAE4/entry", "A0A3Q2ZAE4")</f>
        <v/>
      </c>
      <c r="F3139" t="n">
        <v>34.8</v>
      </c>
      <c r="G3139" t="n">
        <v>164</v>
      </c>
      <c r="H3139" t="n">
        <v>2.39e-24</v>
      </c>
      <c r="I3139" t="inlineStr">
        <is>
          <t>TrEMBL</t>
        </is>
      </c>
      <c r="J3139" t="inlineStr"/>
      <c r="K3139" t="inlineStr">
        <is>
          <t>A0A3Q2ZAE4_KRYMA</t>
        </is>
      </c>
      <c r="L3139" t="inlineStr">
        <is>
          <t>tr|A0A3Q2ZAE4|A0A3Q2ZAE4_KRYMA Reverse transcriptase domain-containing protein OS=Kryptolebias marmoratus OX=37003 PE=4 SV=1</t>
        </is>
      </c>
      <c r="M3139" t="n">
        <v>1066</v>
      </c>
      <c r="N3139" t="inlineStr">
        <is>
          <t>Kryptolebias marmoratus</t>
        </is>
      </c>
      <c r="O3139" t="inlineStr">
        <is>
          <t>Reverse transcriptase domain-containing protein</t>
        </is>
      </c>
    </row>
    <row r="3140">
      <c r="A3140" t="inlineStr"/>
      <c r="B3140" t="inlineStr"/>
      <c r="C3140" t="inlineStr"/>
      <c r="D3140" t="inlineStr"/>
      <c r="E3140">
        <f>HYPERLINK("https://www.ncbi.nlm.nih.gov/gene/?term=XP_030074184.1", "XP_030074184.1")</f>
        <v/>
      </c>
      <c r="F3140" t="n">
        <v>34.5</v>
      </c>
      <c r="G3140" t="n">
        <v>165</v>
      </c>
      <c r="H3140" t="n">
        <v>1.62e-23</v>
      </c>
      <c r="I3140" t="inlineStr">
        <is>
          <t>Nr</t>
        </is>
      </c>
      <c r="J3140" t="inlineStr"/>
      <c r="K3140" t="inlineStr"/>
      <c r="L3140" t="inlineStr">
        <is>
          <t>XP_030074184.1 cilia- and flagella-associated protein 251 [Microcaecilia unicolor]</t>
        </is>
      </c>
      <c r="M3140" t="n">
        <v>1748</v>
      </c>
      <c r="N3140" t="inlineStr">
        <is>
          <t>Microcaecilia unicolor</t>
        </is>
      </c>
      <c r="O3140" t="inlineStr">
        <is>
          <t>cilia- and flagella-associated protein 251</t>
        </is>
      </c>
    </row>
    <row r="3141">
      <c r="A3141" t="inlineStr"/>
      <c r="B3141" t="inlineStr"/>
      <c r="C3141" t="inlineStr"/>
      <c r="D3141" t="inlineStr"/>
      <c r="E3141">
        <f>HYPERLINK("https://www.ncbi.nlm.nih.gov/gene/?term=CAG5947255.1", "CAG5947255.1")</f>
        <v/>
      </c>
      <c r="F3141" t="n">
        <v>34.9</v>
      </c>
      <c r="G3141" t="n">
        <v>166</v>
      </c>
      <c r="H3141" t="n">
        <v>5.35e-23</v>
      </c>
      <c r="I3141" t="inlineStr">
        <is>
          <t>Nr</t>
        </is>
      </c>
      <c r="J3141" t="inlineStr"/>
      <c r="K3141" t="inlineStr"/>
      <c r="L3141" t="inlineStr">
        <is>
          <t>CAG5947255.1 unnamed protein product, partial [Menidia menidia]</t>
        </is>
      </c>
      <c r="M3141" t="n">
        <v>1059</v>
      </c>
      <c r="N3141" t="inlineStr">
        <is>
          <t>Menidia menidia</t>
        </is>
      </c>
      <c r="O3141" t="inlineStr">
        <is>
          <t>unnamed protein product, partial</t>
        </is>
      </c>
    </row>
    <row r="3142">
      <c r="A3142" t="inlineStr"/>
      <c r="B3142" t="inlineStr"/>
      <c r="C3142" t="inlineStr"/>
      <c r="D3142" t="inlineStr"/>
      <c r="E3142">
        <f>HYPERLINK("https://www.ncbi.nlm.nih.gov/gene/?term=XP_040285891.1", "XP_040285891.1")</f>
        <v/>
      </c>
      <c r="F3142" t="n">
        <v>35.6</v>
      </c>
      <c r="G3142" t="n">
        <v>149</v>
      </c>
      <c r="H3142" t="n">
        <v>6.469999999999999e-23</v>
      </c>
      <c r="I3142" t="inlineStr">
        <is>
          <t>Nr</t>
        </is>
      </c>
      <c r="J3142" t="inlineStr"/>
      <c r="K3142" t="inlineStr"/>
      <c r="L3142" t="inlineStr">
        <is>
          <t>XP_040285891.1 exodeoxyribonuclease-like [Bufo bufo]</t>
        </is>
      </c>
      <c r="M3142" t="n">
        <v>184</v>
      </c>
      <c r="N3142" t="inlineStr">
        <is>
          <t>Bufo bufo</t>
        </is>
      </c>
      <c r="O3142" t="inlineStr">
        <is>
          <t>exodeoxyribonuclease-like</t>
        </is>
      </c>
    </row>
    <row r="3143">
      <c r="A3143" t="inlineStr"/>
      <c r="B3143" t="inlineStr"/>
      <c r="C3143" t="inlineStr"/>
      <c r="D3143" t="inlineStr"/>
      <c r="E3143">
        <f>HYPERLINK("https://www.ncbi.nlm.nih.gov/gene/?term=KAI5102639.1", "KAI5102639.1")</f>
        <v/>
      </c>
      <c r="F3143" t="n">
        <v>37</v>
      </c>
      <c r="G3143" t="n">
        <v>146</v>
      </c>
      <c r="H3143" t="n">
        <v>1.03e-22</v>
      </c>
      <c r="I3143" t="inlineStr">
        <is>
          <t>Nr</t>
        </is>
      </c>
      <c r="J3143" t="inlineStr"/>
      <c r="K3143" t="inlineStr"/>
      <c r="L3143" t="inlineStr">
        <is>
          <t>KAI5102639.1 hypothetical protein C0J45_7991, partial [Silurus meridionalis]</t>
        </is>
      </c>
      <c r="M3143" t="n">
        <v>266</v>
      </c>
      <c r="N3143" t="inlineStr">
        <is>
          <t>Silurus meridionalis</t>
        </is>
      </c>
      <c r="O3143" t="inlineStr">
        <is>
          <t>hypothetical protein C0J45_7991, partial</t>
        </is>
      </c>
    </row>
    <row r="3144">
      <c r="A3144" t="inlineStr"/>
      <c r="B3144" t="inlineStr"/>
      <c r="C3144" t="inlineStr"/>
      <c r="D3144" t="inlineStr"/>
      <c r="E3144">
        <f>HYPERLINK("https://www.ncbi.nlm.nih.gov/gene/?term=KAI5089733.1", "KAI5089733.1")</f>
        <v/>
      </c>
      <c r="F3144" t="n">
        <v>37.8</v>
      </c>
      <c r="G3144" t="n">
        <v>143</v>
      </c>
      <c r="H3144" t="n">
        <v>1.55e-21</v>
      </c>
      <c r="I3144" t="inlineStr">
        <is>
          <t>Nr</t>
        </is>
      </c>
      <c r="J3144" t="inlineStr"/>
      <c r="K3144" t="inlineStr"/>
      <c r="L3144" t="inlineStr">
        <is>
          <t>KAI5089733.1 hypothetical protein C0J45_19868, partial [Silurus meridionalis]</t>
        </is>
      </c>
      <c r="M3144" t="n">
        <v>202</v>
      </c>
      <c r="N3144" t="inlineStr">
        <is>
          <t>Silurus meridionalis</t>
        </is>
      </c>
      <c r="O3144" t="inlineStr">
        <is>
          <t>hypothetical protein C0J45_19868, partial</t>
        </is>
      </c>
    </row>
    <row r="3145">
      <c r="A3145" t="inlineStr"/>
      <c r="B3145" t="inlineStr"/>
      <c r="C3145" t="inlineStr"/>
      <c r="D3145" t="inlineStr"/>
      <c r="E3145">
        <f>HYPERLINK("https://www.ncbi.nlm.nih.gov/gene/?term=KAI5085954.1", "KAI5085954.1")</f>
        <v/>
      </c>
      <c r="F3145" t="n">
        <v>35.4</v>
      </c>
      <c r="G3145" t="n">
        <v>158</v>
      </c>
      <c r="H3145" t="n">
        <v>2.24e-21</v>
      </c>
      <c r="I3145" t="inlineStr">
        <is>
          <t>Nr</t>
        </is>
      </c>
      <c r="J3145" t="inlineStr"/>
      <c r="K3145" t="inlineStr"/>
      <c r="L3145" t="inlineStr">
        <is>
          <t>KAI5085954.1 hypothetical protein C0J45_23531, partial [Silurus meridionalis]</t>
        </is>
      </c>
      <c r="M3145" t="n">
        <v>203</v>
      </c>
      <c r="N3145" t="inlineStr">
        <is>
          <t>Silurus meridionalis</t>
        </is>
      </c>
      <c r="O3145" t="inlineStr">
        <is>
          <t>hypothetical protein C0J45_23531, partial</t>
        </is>
      </c>
    </row>
    <row r="3146">
      <c r="A3146" t="inlineStr"/>
      <c r="B3146" t="inlineStr"/>
      <c r="C3146" t="inlineStr"/>
      <c r="D3146" t="inlineStr"/>
      <c r="E3146">
        <f>HYPERLINK("https://www.ncbi.nlm.nih.gov/gene/?term=CAB3264543.1", "CAB3264543.1")</f>
        <v/>
      </c>
      <c r="F3146" t="n">
        <v>33.3</v>
      </c>
      <c r="G3146" t="n">
        <v>147</v>
      </c>
      <c r="H3146" t="n">
        <v>4.57e-21</v>
      </c>
      <c r="I3146" t="inlineStr">
        <is>
          <t>Nr</t>
        </is>
      </c>
      <c r="J3146" t="inlineStr"/>
      <c r="K3146" t="inlineStr"/>
      <c r="L3146" t="inlineStr">
        <is>
          <t>CAB3264543.1 pol-like protein [Phallusia mammillata]</t>
        </is>
      </c>
      <c r="M3146" t="n">
        <v>563</v>
      </c>
      <c r="N3146" t="inlineStr">
        <is>
          <t>Phallusia mammillata</t>
        </is>
      </c>
      <c r="O3146" t="inlineStr">
        <is>
          <t>pol-like protein</t>
        </is>
      </c>
    </row>
    <row r="3147">
      <c r="A3147" t="inlineStr"/>
      <c r="B3147" t="inlineStr"/>
      <c r="C3147" t="inlineStr"/>
      <c r="D3147" t="inlineStr"/>
      <c r="E3147">
        <f>HYPERLINK("https://www.ncbi.nlm.nih.gov/gene/?term=KAI5628117.1", "KAI5628117.1")</f>
        <v/>
      </c>
      <c r="F3147" t="n">
        <v>36.7</v>
      </c>
      <c r="G3147" t="n">
        <v>158</v>
      </c>
      <c r="H3147" t="n">
        <v>5.480000000000001e-21</v>
      </c>
      <c r="I3147" t="inlineStr">
        <is>
          <t>Nr</t>
        </is>
      </c>
      <c r="J3147" t="inlineStr"/>
      <c r="K3147" t="inlineStr"/>
      <c r="L3147" t="inlineStr">
        <is>
          <t>KAI5628117.1 hypothetical protein C0J50_8261, partial [Silurus asotus]</t>
        </is>
      </c>
      <c r="M3147" t="n">
        <v>1003</v>
      </c>
      <c r="N3147" t="inlineStr">
        <is>
          <t>Silurus asotus</t>
        </is>
      </c>
      <c r="O3147" t="inlineStr">
        <is>
          <t>hypothetical protein C0J50_8261, partial</t>
        </is>
      </c>
    </row>
    <row r="3148">
      <c r="A3148" t="inlineStr"/>
      <c r="B3148" t="inlineStr"/>
      <c r="C3148" t="inlineStr"/>
      <c r="D3148" t="inlineStr"/>
      <c r="E3148">
        <f>HYPERLINK("https://www.ncbi.nlm.nih.gov/gene/?term=KAI5630257.1", "KAI5630257.1")</f>
        <v/>
      </c>
      <c r="F3148" t="n">
        <v>36.7</v>
      </c>
      <c r="G3148" t="n">
        <v>158</v>
      </c>
      <c r="H3148" t="n">
        <v>5.480000000000001e-21</v>
      </c>
      <c r="I3148" t="inlineStr">
        <is>
          <t>Nr</t>
        </is>
      </c>
      <c r="J3148" t="inlineStr"/>
      <c r="K3148" t="inlineStr"/>
      <c r="L3148" t="inlineStr">
        <is>
          <t>KAI5630257.1 hypothetical protein C0J50_10332, partial [Silurus asotus]</t>
        </is>
      </c>
      <c r="M3148" t="n">
        <v>1016</v>
      </c>
      <c r="N3148" t="inlineStr">
        <is>
          <t>Silurus asotus</t>
        </is>
      </c>
      <c r="O3148" t="inlineStr">
        <is>
          <t>hypothetical protein C0J50_10332, partial</t>
        </is>
      </c>
    </row>
    <row r="3149">
      <c r="A3149" t="inlineStr"/>
      <c r="B3149" t="inlineStr"/>
      <c r="C3149" t="inlineStr"/>
      <c r="D3149" t="inlineStr"/>
      <c r="E3149">
        <f>HYPERLINK("https://www.ncbi.nlm.nih.gov/gene/?term=CAI5668015.1", "CAI5668015.1")</f>
        <v/>
      </c>
      <c r="F3149" t="n">
        <v>34.6</v>
      </c>
      <c r="G3149" t="n">
        <v>153</v>
      </c>
      <c r="H3149" t="n">
        <v>7.59e-21</v>
      </c>
      <c r="I3149" t="inlineStr">
        <is>
          <t>Nr</t>
        </is>
      </c>
      <c r="J3149" t="inlineStr"/>
      <c r="K3149" t="inlineStr"/>
      <c r="L3149" t="inlineStr">
        <is>
          <t>CAI5668015.1 unnamed protein product [Mustela putorius furo]</t>
        </is>
      </c>
      <c r="M3149" t="n">
        <v>1180</v>
      </c>
      <c r="N3149" t="inlineStr">
        <is>
          <t>Mustela putorius furo</t>
        </is>
      </c>
      <c r="O3149" t="inlineStr">
        <is>
          <t>unnamed protein product</t>
        </is>
      </c>
    </row>
    <row r="3150">
      <c r="A3150" t="inlineStr"/>
      <c r="B3150" t="inlineStr"/>
      <c r="C3150" t="inlineStr"/>
      <c r="D3150" t="inlineStr"/>
      <c r="E3150">
        <f>HYPERLINK("https://www.ncbi.nlm.nih.gov/gene/?term=CAI5637690.1", "CAI5637690.1")</f>
        <v/>
      </c>
      <c r="F3150" t="n">
        <v>35.2</v>
      </c>
      <c r="G3150" t="n">
        <v>165</v>
      </c>
      <c r="H3150" t="n">
        <v>7.650000000000001e-21</v>
      </c>
      <c r="I3150" t="inlineStr">
        <is>
          <t>Nr</t>
        </is>
      </c>
      <c r="J3150" t="inlineStr"/>
      <c r="K3150" t="inlineStr"/>
      <c r="L3150" t="inlineStr">
        <is>
          <t>CAI5637690.1 unnamed protein product [Mustela putorius furo]</t>
        </is>
      </c>
      <c r="M3150" t="n">
        <v>1270</v>
      </c>
      <c r="N3150" t="inlineStr">
        <is>
          <t>Mustela putorius furo</t>
        </is>
      </c>
      <c r="O3150" t="inlineStr">
        <is>
          <t>unnamed protein product</t>
        </is>
      </c>
    </row>
    <row r="3151">
      <c r="A3151" t="inlineStr"/>
      <c r="B3151" t="inlineStr"/>
      <c r="C3151" t="inlineStr"/>
      <c r="D3151" t="inlineStr"/>
      <c r="E3151">
        <f>HYPERLINK("https://www.ncbi.nlm.nih.gov/gene/?term=CAI5681772.1", "CAI5681772.1")</f>
        <v/>
      </c>
      <c r="F3151" t="n">
        <v>34.6</v>
      </c>
      <c r="G3151" t="n">
        <v>153</v>
      </c>
      <c r="H3151" t="n">
        <v>7.650000000000001e-21</v>
      </c>
      <c r="I3151" t="inlineStr">
        <is>
          <t>Nr</t>
        </is>
      </c>
      <c r="J3151" t="inlineStr"/>
      <c r="K3151" t="inlineStr"/>
      <c r="L3151" t="inlineStr">
        <is>
          <t>CAI5681772.1 unnamed protein product [Mustela putorius furo]</t>
        </is>
      </c>
      <c r="M3151" t="n">
        <v>1273</v>
      </c>
      <c r="N3151" t="inlineStr">
        <is>
          <t>Mustela putorius furo</t>
        </is>
      </c>
      <c r="O3151" t="inlineStr">
        <is>
          <t>unnamed protein product</t>
        </is>
      </c>
    </row>
    <row r="3152">
      <c r="A3152" t="inlineStr"/>
      <c r="B3152" t="inlineStr"/>
      <c r="C3152" t="inlineStr"/>
      <c r="D3152" t="inlineStr"/>
      <c r="E3152">
        <f>HYPERLINK("https://www.ncbi.nlm.nih.gov/gene/?term=KAF7645018.1", "KAF7645018.1")</f>
        <v/>
      </c>
      <c r="F3152" t="n">
        <v>37.4</v>
      </c>
      <c r="G3152" t="n">
        <v>155</v>
      </c>
      <c r="H3152" t="n">
        <v>9.020000000000001e-21</v>
      </c>
      <c r="I3152" t="inlineStr">
        <is>
          <t>Nr</t>
        </is>
      </c>
      <c r="J3152" t="inlineStr"/>
      <c r="K3152" t="inlineStr"/>
      <c r="L3152" t="inlineStr">
        <is>
          <t>KAF7645018.1 hypothetical protein LDENG_00211650 [Lucifuga dentata]</t>
        </is>
      </c>
      <c r="M3152" t="n">
        <v>290</v>
      </c>
      <c r="N3152" t="inlineStr">
        <is>
          <t>Lucifuga dentata</t>
        </is>
      </c>
      <c r="O3152" t="inlineStr">
        <is>
          <t>hypothetical protein LDENG_00211650</t>
        </is>
      </c>
    </row>
    <row r="3153">
      <c r="A3153" t="inlineStr"/>
      <c r="B3153" t="inlineStr"/>
      <c r="C3153" t="inlineStr"/>
      <c r="D3153" t="inlineStr"/>
      <c r="E3153">
        <f>HYPERLINK("https://www.ncbi.nlm.nih.gov/gene/?term=CAI5674000.1", "CAI5674000.1")</f>
        <v/>
      </c>
      <c r="F3153" t="n">
        <v>33.3</v>
      </c>
      <c r="G3153" t="n">
        <v>156</v>
      </c>
      <c r="H3153" t="n">
        <v>1.15e-20</v>
      </c>
      <c r="I3153" t="inlineStr">
        <is>
          <t>Nr</t>
        </is>
      </c>
      <c r="J3153" t="inlineStr"/>
      <c r="K3153" t="inlineStr"/>
      <c r="L3153" t="inlineStr">
        <is>
          <t>CAI5674000.1 unnamed protein product [Mustela putorius furo]</t>
        </is>
      </c>
      <c r="M3153" t="n">
        <v>554</v>
      </c>
      <c r="N3153" t="inlineStr">
        <is>
          <t>Mustela putorius furo</t>
        </is>
      </c>
      <c r="O3153" t="inlineStr">
        <is>
          <t>unnamed protein product</t>
        </is>
      </c>
    </row>
    <row r="3154">
      <c r="A3154" t="inlineStr"/>
      <c r="B3154" t="inlineStr"/>
      <c r="C3154" t="inlineStr"/>
      <c r="D3154" t="inlineStr"/>
      <c r="E3154">
        <f>HYPERLINK("https://www.ncbi.nlm.nih.gov/gene/?term=XP_025766329.1", "XP_025766329.1")</f>
        <v/>
      </c>
      <c r="F3154" t="n">
        <v>33.3</v>
      </c>
      <c r="G3154" t="n">
        <v>156</v>
      </c>
      <c r="H3154" t="n">
        <v>1.15e-20</v>
      </c>
      <c r="I3154" t="inlineStr">
        <is>
          <t>Nr</t>
        </is>
      </c>
      <c r="J3154" t="inlineStr"/>
      <c r="K3154" t="inlineStr"/>
      <c r="L3154" t="inlineStr">
        <is>
          <t>XP_025766329.1 uncharacterized protein LOC106098505 [Oreochromis niloticus]</t>
        </is>
      </c>
      <c r="M3154" t="n">
        <v>554</v>
      </c>
      <c r="N3154" t="inlineStr">
        <is>
          <t>Oreochromis niloticus</t>
        </is>
      </c>
      <c r="O3154" t="inlineStr">
        <is>
          <t>uncharacterized protein LOC106098505</t>
        </is>
      </c>
    </row>
    <row r="3155">
      <c r="A3155" t="inlineStr"/>
      <c r="B3155" t="inlineStr"/>
      <c r="C3155" t="inlineStr"/>
      <c r="D3155" t="inlineStr"/>
      <c r="E3155">
        <f>HYPERLINK("https://www.ncbi.nlm.nih.gov/gene/?term=KAA0723022.1", "KAA0723022.1")</f>
        <v/>
      </c>
      <c r="F3155" t="n">
        <v>33.1</v>
      </c>
      <c r="G3155" t="n">
        <v>166</v>
      </c>
      <c r="H3155" t="n">
        <v>1.42e-20</v>
      </c>
      <c r="I3155" t="inlineStr">
        <is>
          <t>Nr</t>
        </is>
      </c>
      <c r="J3155" t="inlineStr"/>
      <c r="K3155" t="inlineStr"/>
      <c r="L3155" t="inlineStr">
        <is>
          <t>KAA0723022.1 LINE-1 reverse transcriptase -like protein [Triplophysa tibetana]</t>
        </is>
      </c>
      <c r="M3155" t="n">
        <v>1273</v>
      </c>
      <c r="N3155" t="inlineStr">
        <is>
          <t>Triplophysa tibetana</t>
        </is>
      </c>
      <c r="O3155" t="inlineStr">
        <is>
          <t>LINE-1 reverse transcriptase -like protein</t>
        </is>
      </c>
    </row>
    <row r="3156">
      <c r="A3156" t="inlineStr"/>
      <c r="B3156" t="inlineStr"/>
      <c r="C3156" t="inlineStr"/>
      <c r="D3156" t="inlineStr"/>
      <c r="E3156">
        <f>HYPERLINK("https://www.ncbi.nlm.nih.gov/gene/?term=KAA0709662.1", "KAA0709662.1")</f>
        <v/>
      </c>
      <c r="F3156" t="n">
        <v>33.1</v>
      </c>
      <c r="G3156" t="n">
        <v>166</v>
      </c>
      <c r="H3156" t="n">
        <v>1.42e-20</v>
      </c>
      <c r="I3156" t="inlineStr">
        <is>
          <t>Nr</t>
        </is>
      </c>
      <c r="J3156" t="inlineStr"/>
      <c r="K3156" t="inlineStr"/>
      <c r="L3156" t="inlineStr">
        <is>
          <t>KAA0709662.1 LINE-1 reverse transcriptase -like protein [Triplophysa tibetana]</t>
        </is>
      </c>
      <c r="M3156" t="n">
        <v>1273</v>
      </c>
      <c r="N3156" t="inlineStr">
        <is>
          <t>Triplophysa tibetana</t>
        </is>
      </c>
      <c r="O3156" t="inlineStr">
        <is>
          <t>LINE-1 reverse transcriptase -like protein</t>
        </is>
      </c>
    </row>
    <row r="3157">
      <c r="A3157" t="inlineStr"/>
      <c r="B3157" t="inlineStr"/>
      <c r="C3157" t="inlineStr"/>
      <c r="D3157" t="inlineStr"/>
      <c r="E3157">
        <f>HYPERLINK("https://www.ncbi.nlm.nih.gov/gene/?term=KAA0701525.1", "KAA0701525.1")</f>
        <v/>
      </c>
      <c r="F3157" t="n">
        <v>33.1</v>
      </c>
      <c r="G3157" t="n">
        <v>166</v>
      </c>
      <c r="H3157" t="n">
        <v>1.42e-20</v>
      </c>
      <c r="I3157" t="inlineStr">
        <is>
          <t>Nr</t>
        </is>
      </c>
      <c r="J3157" t="inlineStr"/>
      <c r="K3157" t="inlineStr"/>
      <c r="L3157" t="inlineStr">
        <is>
          <t>KAA0701525.1 LINE-1 reverse transcriptase -like protein [Triplophysa tibetana]</t>
        </is>
      </c>
      <c r="M3157" t="n">
        <v>1273</v>
      </c>
      <c r="N3157" t="inlineStr">
        <is>
          <t>Triplophysa tibetana</t>
        </is>
      </c>
      <c r="O3157" t="inlineStr">
        <is>
          <t>LINE-1 reverse transcriptase -like protein</t>
        </is>
      </c>
    </row>
    <row r="3158">
      <c r="A3158" t="inlineStr"/>
      <c r="B3158" t="inlineStr"/>
      <c r="C3158" t="inlineStr"/>
      <c r="D3158" t="inlineStr"/>
      <c r="E3158">
        <f>HYPERLINK("https://www.ncbi.nlm.nih.gov/gene/?term=KAI5085203.1", "KAI5085203.1")</f>
        <v/>
      </c>
      <c r="F3158" t="n">
        <v>35.1</v>
      </c>
      <c r="G3158" t="n">
        <v>154</v>
      </c>
      <c r="H3158" t="n">
        <v>1.74e-20</v>
      </c>
      <c r="I3158" t="inlineStr">
        <is>
          <t>Nr</t>
        </is>
      </c>
      <c r="J3158" t="inlineStr"/>
      <c r="K3158" t="inlineStr"/>
      <c r="L3158" t="inlineStr">
        <is>
          <t>KAI5085203.1 hypothetical protein C0J45_3278, partial [Silurus meridionalis]</t>
        </is>
      </c>
      <c r="M3158" t="n">
        <v>644</v>
      </c>
      <c r="N3158" t="inlineStr">
        <is>
          <t>Silurus meridionalis</t>
        </is>
      </c>
      <c r="O3158" t="inlineStr">
        <is>
          <t>hypothetical protein C0J45_3278, partial</t>
        </is>
      </c>
    </row>
    <row r="3159">
      <c r="A3159" t="inlineStr"/>
      <c r="B3159" t="inlineStr"/>
      <c r="C3159" t="inlineStr"/>
      <c r="D3159" t="inlineStr"/>
      <c r="E3159">
        <f>HYPERLINK("https://www.ncbi.nlm.nih.gov/gene/?term=CAI5680005.1", "CAI5680005.1")</f>
        <v/>
      </c>
      <c r="F3159" t="n">
        <v>34</v>
      </c>
      <c r="G3159" t="n">
        <v>153</v>
      </c>
      <c r="H3159" t="n">
        <v>1.93e-20</v>
      </c>
      <c r="I3159" t="inlineStr">
        <is>
          <t>Nr</t>
        </is>
      </c>
      <c r="J3159" t="inlineStr"/>
      <c r="K3159" t="inlineStr"/>
      <c r="L3159" t="inlineStr">
        <is>
          <t>CAI5680005.1 unnamed protein product [Mustela putorius furo]</t>
        </is>
      </c>
      <c r="M3159" t="n">
        <v>1273</v>
      </c>
      <c r="N3159" t="inlineStr">
        <is>
          <t>Mustela putorius furo</t>
        </is>
      </c>
      <c r="O3159" t="inlineStr">
        <is>
          <t>unnamed protein product</t>
        </is>
      </c>
    </row>
    <row r="3160">
      <c r="A3160" t="inlineStr"/>
      <c r="B3160" t="inlineStr"/>
      <c r="C3160" t="inlineStr"/>
      <c r="D3160" t="inlineStr"/>
      <c r="E3160">
        <f>HYPERLINK("https://www.uniprot.org/uniprotkb/O00370/entry", "O00370")</f>
        <v/>
      </c>
      <c r="F3160" t="n">
        <v>29.3</v>
      </c>
      <c r="G3160" t="n">
        <v>157</v>
      </c>
      <c r="H3160" t="n">
        <v>2.32e-20</v>
      </c>
      <c r="I3160" t="inlineStr">
        <is>
          <t>Swiss-Prot</t>
        </is>
      </c>
      <c r="J3160" t="inlineStr"/>
      <c r="K3160" t="inlineStr">
        <is>
          <t>LORF2_HUMAN</t>
        </is>
      </c>
      <c r="L3160" t="inlineStr">
        <is>
          <t>sp|O00370|LORF2_HUMAN LINE-1 retrotransposable element ORF2 protein OS=Homo sapiens OX=9606 PE=1 SV=1</t>
        </is>
      </c>
      <c r="M3160" t="n">
        <v>1275</v>
      </c>
      <c r="N3160" t="inlineStr">
        <is>
          <t>Homo sapiens</t>
        </is>
      </c>
      <c r="O3160" t="inlineStr">
        <is>
          <t>LINE-1 retrotransposable element ORF2 protein</t>
        </is>
      </c>
    </row>
    <row r="3161">
      <c r="A3161" t="inlineStr"/>
      <c r="B3161" t="inlineStr"/>
      <c r="C3161" t="inlineStr"/>
      <c r="D3161" t="inlineStr"/>
      <c r="E3161">
        <f>HYPERLINK("https://www.ncbi.nlm.nih.gov/gene/?term=EFB25472.1", "EFB25472.1")</f>
        <v/>
      </c>
      <c r="F3161" t="n">
        <v>30.1</v>
      </c>
      <c r="G3161" t="n">
        <v>163</v>
      </c>
      <c r="H3161" t="n">
        <v>2.49e-20</v>
      </c>
      <c r="I3161" t="inlineStr">
        <is>
          <t>Nr</t>
        </is>
      </c>
      <c r="J3161" t="inlineStr"/>
      <c r="K3161" t="inlineStr"/>
      <c r="L3161" t="inlineStr">
        <is>
          <t>EFB25472.1 hypothetical protein PANDA_006397, partial [Ailuropoda melanoleuca]</t>
        </is>
      </c>
      <c r="M3161" t="n">
        <v>363</v>
      </c>
      <c r="N3161" t="inlineStr">
        <is>
          <t>Ailuropoda melanoleuca</t>
        </is>
      </c>
      <c r="O3161" t="inlineStr">
        <is>
          <t>hypothetical protein PANDA_006397, partial</t>
        </is>
      </c>
    </row>
    <row r="3162">
      <c r="A3162" t="inlineStr"/>
      <c r="B3162" t="inlineStr"/>
      <c r="C3162" t="inlineStr"/>
      <c r="D3162" t="inlineStr"/>
      <c r="E3162">
        <f>HYPERLINK("https://www.uniprot.org/uniprotkb/P08548/entry", "P08548")</f>
        <v/>
      </c>
      <c r="F3162" t="n">
        <v>29.2</v>
      </c>
      <c r="G3162" t="n">
        <v>161</v>
      </c>
      <c r="H3162" t="n">
        <v>3.16e-20</v>
      </c>
      <c r="I3162" t="inlineStr">
        <is>
          <t>Swiss-Prot</t>
        </is>
      </c>
      <c r="J3162" t="inlineStr"/>
      <c r="K3162" t="inlineStr">
        <is>
          <t>LIN1_NYCCO</t>
        </is>
      </c>
      <c r="L3162" t="inlineStr">
        <is>
          <t>sp|P08548|LIN1_NYCCO LINE-1 reverse transcriptase homolog OS=Nycticebus coucang OX=9470 PE=4 SV=1</t>
        </is>
      </c>
      <c r="M3162" t="n">
        <v>1260</v>
      </c>
      <c r="N3162" t="inlineStr">
        <is>
          <t>Nycticebus coucang</t>
        </is>
      </c>
      <c r="O3162" t="inlineStr">
        <is>
          <t>LINE-1 reverse transcriptase homolog</t>
        </is>
      </c>
    </row>
    <row r="3163">
      <c r="A3163" t="inlineStr"/>
      <c r="B3163" t="inlineStr"/>
      <c r="C3163" t="inlineStr"/>
      <c r="D3163" t="inlineStr"/>
      <c r="E3163">
        <f>HYPERLINK("https://www.ncbi.nlm.nih.gov/gene/?term=CAI5653097.1", "CAI5653097.1")</f>
        <v/>
      </c>
      <c r="F3163" t="n">
        <v>33.1</v>
      </c>
      <c r="G3163" t="n">
        <v>160</v>
      </c>
      <c r="H3163" t="n">
        <v>3.19e-20</v>
      </c>
      <c r="I3163" t="inlineStr">
        <is>
          <t>Nr</t>
        </is>
      </c>
      <c r="J3163" t="inlineStr"/>
      <c r="K3163" t="inlineStr"/>
      <c r="L3163" t="inlineStr">
        <is>
          <t>CAI5653097.1 unnamed protein product [Mustela putorius furo]</t>
        </is>
      </c>
      <c r="M3163" t="n">
        <v>480</v>
      </c>
      <c r="N3163" t="inlineStr">
        <is>
          <t>Mustela putorius furo</t>
        </is>
      </c>
      <c r="O3163" t="inlineStr">
        <is>
          <t>unnamed protein product</t>
        </is>
      </c>
    </row>
    <row r="3164">
      <c r="A3164" t="inlineStr"/>
      <c r="B3164" t="inlineStr"/>
      <c r="C3164" t="inlineStr"/>
      <c r="D3164" t="inlineStr"/>
      <c r="E3164">
        <f>HYPERLINK("https://www.ncbi.nlm.nih.gov/gene/?term=XP_052327179.1", "XP_052327179.1")</f>
        <v/>
      </c>
      <c r="F3164" t="n">
        <v>35</v>
      </c>
      <c r="G3164" t="n">
        <v>157</v>
      </c>
      <c r="H3164" t="n">
        <v>3.35e-20</v>
      </c>
      <c r="I3164" t="inlineStr">
        <is>
          <t>Nr</t>
        </is>
      </c>
      <c r="J3164" t="inlineStr"/>
      <c r="K3164" t="inlineStr"/>
      <c r="L3164" t="inlineStr">
        <is>
          <t>XP_052327179.1 protein arginine methyltransferase NDUFAF7, mitochondrial isoform X1 [Oncorhynchus keta]</t>
        </is>
      </c>
      <c r="M3164" t="n">
        <v>751</v>
      </c>
      <c r="N3164" t="inlineStr">
        <is>
          <t>Oncorhynchus keta</t>
        </is>
      </c>
      <c r="O3164" t="inlineStr">
        <is>
          <t>protein arginine methyltransferase NDUFAF7, mitochondrial isoform X1</t>
        </is>
      </c>
    </row>
    <row r="3165">
      <c r="A3165" t="inlineStr"/>
      <c r="B3165" t="inlineStr"/>
      <c r="C3165" t="inlineStr"/>
      <c r="D3165" t="inlineStr"/>
      <c r="E3165">
        <f>HYPERLINK("https://www.ncbi.nlm.nih.gov/gene/?term=CAB3264531.1", "CAB3264531.1")</f>
        <v/>
      </c>
      <c r="F3165" t="n">
        <v>32.1</v>
      </c>
      <c r="G3165" t="n">
        <v>159</v>
      </c>
      <c r="H3165" t="n">
        <v>3.58e-20</v>
      </c>
      <c r="I3165" t="inlineStr">
        <is>
          <t>Nr</t>
        </is>
      </c>
      <c r="J3165" t="inlineStr"/>
      <c r="K3165" t="inlineStr"/>
      <c r="L3165" t="inlineStr">
        <is>
          <t>CAB3264531.1 pol-like protein [Phallusia mammillata]</t>
        </is>
      </c>
      <c r="M3165" t="n">
        <v>1251</v>
      </c>
      <c r="N3165" t="inlineStr">
        <is>
          <t>Phallusia mammillata</t>
        </is>
      </c>
      <c r="O3165" t="inlineStr">
        <is>
          <t>pol-like protein</t>
        </is>
      </c>
    </row>
    <row r="3166">
      <c r="A3166" t="inlineStr"/>
      <c r="B3166" t="inlineStr"/>
      <c r="C3166" t="inlineStr"/>
      <c r="D3166" t="inlineStr"/>
      <c r="E3166">
        <f>HYPERLINK("https://www.uniprot.org/uniprotkb/P11369/entry", "P11369")</f>
        <v/>
      </c>
      <c r="F3166" t="n">
        <v>30.6</v>
      </c>
      <c r="G3166" t="n">
        <v>147</v>
      </c>
      <c r="H3166" t="n">
        <v>1.31e-16</v>
      </c>
      <c r="I3166" t="inlineStr">
        <is>
          <t>Swiss-Prot</t>
        </is>
      </c>
      <c r="J3166" t="inlineStr">
        <is>
          <t>Pol</t>
        </is>
      </c>
      <c r="K3166" t="inlineStr">
        <is>
          <t>LORF2_MOUSE</t>
        </is>
      </c>
      <c r="L3166" t="inlineStr">
        <is>
          <t>sp|P11369|LORF2_MOUSE LINE-1 retrotransposable element ORF2 protein OS=Mus musculus OX=10090 GN=Pol PE=1 SV=2</t>
        </is>
      </c>
      <c r="M3166" t="n">
        <v>1281</v>
      </c>
      <c r="N3166" t="inlineStr">
        <is>
          <t>Mus musculus</t>
        </is>
      </c>
      <c r="O3166" t="inlineStr">
        <is>
          <t>LINE-1 retrotransposable element ORF2 protein</t>
        </is>
      </c>
    </row>
    <row r="3167">
      <c r="A3167" t="inlineStr"/>
      <c r="B3167" t="inlineStr"/>
      <c r="C3167" t="inlineStr"/>
      <c r="D3167" t="inlineStr"/>
      <c r="E3167">
        <f>HYPERLINK("https://www.uniprot.org/uniprotkb/A0A8C5PCI5/entry", "A0A8C5PCI5")</f>
        <v/>
      </c>
      <c r="F3167" t="n">
        <v>43.4</v>
      </c>
      <c r="G3167" t="n">
        <v>99</v>
      </c>
      <c r="H3167" t="n">
        <v>8.35e-14</v>
      </c>
      <c r="I3167" t="inlineStr">
        <is>
          <t>TrEMBL</t>
        </is>
      </c>
      <c r="J3167" t="inlineStr"/>
      <c r="K3167" t="inlineStr">
        <is>
          <t>A0A8C5PCI5_9ANUR</t>
        </is>
      </c>
      <c r="L3167" t="inlineStr">
        <is>
          <t>tr|A0A8C5PCI5|A0A8C5PCI5_9ANUR LINE-1 type transposase domain-containing 1 OS=Leptobrachium leishanense OX=445787 PE=4 SV=1</t>
        </is>
      </c>
      <c r="M3167" t="n">
        <v>304</v>
      </c>
      <c r="N3167" t="inlineStr">
        <is>
          <t>Leptobrachium leishanense</t>
        </is>
      </c>
      <c r="O3167" t="inlineStr">
        <is>
          <t>LINE-1 type transposase domain-containing 1</t>
        </is>
      </c>
    </row>
    <row r="3168">
      <c r="A3168" t="inlineStr"/>
      <c r="B3168" t="inlineStr"/>
      <c r="C3168" t="inlineStr"/>
      <c r="D3168" t="inlineStr"/>
      <c r="E3168">
        <f>HYPERLINK("https://www.uniprot.org/uniprotkb/A0A668SST7/entry", "A0A668SST7")</f>
        <v/>
      </c>
      <c r="F3168" t="n">
        <v>32.7</v>
      </c>
      <c r="G3168" t="n">
        <v>113</v>
      </c>
      <c r="H3168" t="n">
        <v>5.27e-11</v>
      </c>
      <c r="I3168" t="inlineStr">
        <is>
          <t>TrEMBL</t>
        </is>
      </c>
      <c r="J3168" t="inlineStr"/>
      <c r="K3168" t="inlineStr">
        <is>
          <t>A0A668SST7_OREAU</t>
        </is>
      </c>
      <c r="L3168" t="inlineStr">
        <is>
          <t>tr|A0A668SST7|A0A668SST7_OREAU Transposase_22 domain-containing protein OS=Oreochromis aureus OX=47969 PE=4 SV=1</t>
        </is>
      </c>
      <c r="M3168" t="n">
        <v>244</v>
      </c>
      <c r="N3168" t="inlineStr">
        <is>
          <t>Oreochromis aureus</t>
        </is>
      </c>
      <c r="O3168" t="inlineStr">
        <is>
          <t>Transposase_22 domain-containing protein</t>
        </is>
      </c>
    </row>
    <row r="3169">
      <c r="A3169" t="inlineStr"/>
      <c r="B3169" t="inlineStr"/>
      <c r="C3169" t="inlineStr"/>
      <c r="D3169" t="inlineStr"/>
      <c r="E3169">
        <f>HYPERLINK("https://www.uniprot.org/uniprotkb/A0A8C5WKG5/entry", "A0A8C5WKG5")</f>
        <v/>
      </c>
      <c r="F3169" t="n">
        <v>39.8</v>
      </c>
      <c r="G3169" t="n">
        <v>161</v>
      </c>
      <c r="H3169" t="n">
        <v>5.39e-11</v>
      </c>
      <c r="I3169" t="inlineStr">
        <is>
          <t>TrEMBL</t>
        </is>
      </c>
      <c r="J3169" t="inlineStr"/>
      <c r="K3169" t="inlineStr">
        <is>
          <t>A0A8C5WKG5_9ANUR</t>
        </is>
      </c>
      <c r="L3169" t="inlineStr">
        <is>
          <t>tr|A0A8C5WKG5|A0A8C5WKG5_9ANUR Tick transposon OS=Leptobrachium leishanense OX=445787 PE=4 SV=1</t>
        </is>
      </c>
      <c r="M3169" t="n">
        <v>311</v>
      </c>
      <c r="N3169" t="inlineStr">
        <is>
          <t>Leptobrachium leishanense</t>
        </is>
      </c>
      <c r="O3169" t="inlineStr">
        <is>
          <t>Tick transposon</t>
        </is>
      </c>
    </row>
    <row r="3170">
      <c r="A3170" t="inlineStr"/>
      <c r="B3170" t="inlineStr"/>
      <c r="C3170" t="inlineStr"/>
      <c r="D3170" t="inlineStr"/>
      <c r="E3170">
        <f>HYPERLINK("https://www.uniprot.org/uniprotkb/A0A087YS91/entry", "A0A087YS91")</f>
        <v/>
      </c>
      <c r="F3170" t="n">
        <v>37.8</v>
      </c>
      <c r="G3170" t="n">
        <v>90</v>
      </c>
      <c r="H3170" t="n">
        <v>1.9e-10</v>
      </c>
      <c r="I3170" t="inlineStr">
        <is>
          <t>TrEMBL</t>
        </is>
      </c>
      <c r="J3170" t="inlineStr"/>
      <c r="K3170" t="inlineStr">
        <is>
          <t>A0A087YS91_POEFO</t>
        </is>
      </c>
      <c r="L3170" t="inlineStr">
        <is>
          <t>tr|A0A087YS91|A0A087YS91_POEFO LINE-1 type transposase domain-containing protein 1 OS=Poecilia formosa OX=48698 PE=4 SV=1</t>
        </is>
      </c>
      <c r="M3170" t="n">
        <v>310</v>
      </c>
      <c r="N3170" t="inlineStr">
        <is>
          <t>Poecilia formosa</t>
        </is>
      </c>
      <c r="O3170" t="inlineStr">
        <is>
          <t>LINE-1 type transposase domain-containing protein 1</t>
        </is>
      </c>
    </row>
    <row r="3171">
      <c r="A3171" t="inlineStr"/>
      <c r="B3171" t="inlineStr"/>
      <c r="C3171" t="inlineStr"/>
      <c r="D3171" t="inlineStr"/>
      <c r="E3171">
        <f>HYPERLINK("https://www.ncbi.nlm.nih.gov/gene/?term=KAI7800009.1", "KAI7800009.1")</f>
        <v/>
      </c>
      <c r="F3171" t="n">
        <v>35</v>
      </c>
      <c r="G3171" t="n">
        <v>100</v>
      </c>
      <c r="H3171" t="n">
        <v>3.18e-10</v>
      </c>
      <c r="I3171" t="inlineStr">
        <is>
          <t>Nr</t>
        </is>
      </c>
      <c r="J3171" t="inlineStr"/>
      <c r="K3171" t="inlineStr"/>
      <c r="L3171" t="inlineStr">
        <is>
          <t>KAI7800009.1 putative LINE-1 type transposase domain-containing protein 1-like [Triplophysa rosa]</t>
        </is>
      </c>
      <c r="M3171" t="n">
        <v>295</v>
      </c>
      <c r="N3171" t="inlineStr">
        <is>
          <t>Triplophysa rosa</t>
        </is>
      </c>
      <c r="O3171" t="inlineStr">
        <is>
          <t>putative LINE-1 type transposase domain-containing protein 1-like</t>
        </is>
      </c>
    </row>
    <row r="3172">
      <c r="A3172" t="inlineStr"/>
      <c r="B3172" t="inlineStr"/>
      <c r="C3172" t="inlineStr"/>
      <c r="D3172" t="inlineStr"/>
      <c r="E3172">
        <f>HYPERLINK("https://www.uniprot.org/uniprotkb/A0A3S2NW15/entry", "A0A3S2NW15")</f>
        <v/>
      </c>
      <c r="F3172" t="n">
        <v>44.4</v>
      </c>
      <c r="G3172" t="n">
        <v>81</v>
      </c>
      <c r="H3172" t="n">
        <v>3.35e-10</v>
      </c>
      <c r="I3172" t="inlineStr">
        <is>
          <t>TrEMBL</t>
        </is>
      </c>
      <c r="J3172" t="inlineStr">
        <is>
          <t>OJAV_G00183180</t>
        </is>
      </c>
      <c r="K3172" t="inlineStr">
        <is>
          <t>A0A3S2NW15_ORYJA</t>
        </is>
      </c>
      <c r="L3172" t="inlineStr">
        <is>
          <t>tr|A0A3S2NW15|A0A3S2NW15_ORYJA LINE-1 type transposase domain-containing protein 1 OS=Oryzias javanicus OX=123683 GN=OJAV_G00183180 PE=4 SV=1</t>
        </is>
      </c>
      <c r="M3172" t="n">
        <v>264</v>
      </c>
      <c r="N3172" t="inlineStr">
        <is>
          <t>Oryzias javanicus</t>
        </is>
      </c>
      <c r="O3172" t="inlineStr">
        <is>
          <t>LINE-1 type transposase domain-containing protein 1</t>
        </is>
      </c>
    </row>
    <row r="3173">
      <c r="A3173" t="inlineStr"/>
      <c r="B3173" t="inlineStr"/>
      <c r="C3173" t="inlineStr"/>
      <c r="D3173" t="inlineStr"/>
      <c r="E3173">
        <f>HYPERLINK("https://www.uniprot.org/uniprotkb/A0A498P354/entry", "A0A498P354")</f>
        <v/>
      </c>
      <c r="F3173" t="n">
        <v>40.6</v>
      </c>
      <c r="G3173" t="n">
        <v>101</v>
      </c>
      <c r="H3173" t="n">
        <v>4.11e-10</v>
      </c>
      <c r="I3173" t="inlineStr">
        <is>
          <t>TrEMBL</t>
        </is>
      </c>
      <c r="J3173" t="inlineStr">
        <is>
          <t>ROHU_001201</t>
        </is>
      </c>
      <c r="K3173" t="inlineStr">
        <is>
          <t>A0A498P354_LABRO</t>
        </is>
      </c>
      <c r="L3173" t="inlineStr">
        <is>
          <t>tr|A0A498P354|A0A498P354_LABRO LINE-1 type transposase domain-containing 1 OS=Labeo rohita OX=84645 GN=ROHU_001201 PE=4 SV=1</t>
        </is>
      </c>
      <c r="M3173" t="n">
        <v>286</v>
      </c>
      <c r="N3173" t="inlineStr">
        <is>
          <t>Labeo rohita</t>
        </is>
      </c>
      <c r="O3173" t="inlineStr">
        <is>
          <t>LINE-1 type transposase domain-containing 1</t>
        </is>
      </c>
    </row>
    <row r="3174">
      <c r="A3174" t="inlineStr"/>
      <c r="B3174" t="inlineStr"/>
      <c r="C3174" t="inlineStr"/>
      <c r="D3174" t="inlineStr"/>
      <c r="E3174">
        <f>HYPERLINK("https://www.ncbi.nlm.nih.gov/gene/?term=KAJ1109767.1", "KAJ1109767.1")</f>
        <v/>
      </c>
      <c r="F3174" t="n">
        <v>32.6</v>
      </c>
      <c r="G3174" t="n">
        <v>95</v>
      </c>
      <c r="H3174" t="n">
        <v>4.65e-10</v>
      </c>
      <c r="I3174" t="inlineStr">
        <is>
          <t>Nr</t>
        </is>
      </c>
      <c r="J3174" t="inlineStr"/>
      <c r="K3174" t="inlineStr"/>
      <c r="L3174" t="inlineStr">
        <is>
          <t>KAJ1109767.1 hypothetical protein NDU88_007126 [Pleurodeles waltl]</t>
        </is>
      </c>
      <c r="M3174" t="n">
        <v>159</v>
      </c>
      <c r="N3174" t="inlineStr">
        <is>
          <t>Pleurodeles waltl</t>
        </is>
      </c>
      <c r="O3174" t="inlineStr">
        <is>
          <t>hypothetical protein NDU88_007126</t>
        </is>
      </c>
    </row>
    <row r="3175">
      <c r="A3175" t="inlineStr"/>
      <c r="B3175" t="inlineStr"/>
      <c r="C3175" t="inlineStr"/>
      <c r="D3175" t="inlineStr"/>
      <c r="E3175">
        <f>HYPERLINK("https://www.uniprot.org/uniprotkb/A0A8C5QXN8/entry", "A0A8C5QXN8")</f>
        <v/>
      </c>
      <c r="F3175" t="n">
        <v>39</v>
      </c>
      <c r="G3175" t="n">
        <v>100</v>
      </c>
      <c r="H3175" t="n">
        <v>5.240000000000001e-10</v>
      </c>
      <c r="I3175" t="inlineStr">
        <is>
          <t>TrEMBL</t>
        </is>
      </c>
      <c r="J3175" t="inlineStr"/>
      <c r="K3175" t="inlineStr">
        <is>
          <t>A0A8C5QXN8_9ANUR</t>
        </is>
      </c>
      <c r="L3175" t="inlineStr">
        <is>
          <t>tr|A0A8C5QXN8|A0A8C5QXN8_9ANUR LINE-1 retrotransposable element ORF1 protein OS=Leptobrachium leishanense OX=445787 PE=4 SV=1</t>
        </is>
      </c>
      <c r="M3175" t="n">
        <v>246</v>
      </c>
      <c r="N3175" t="inlineStr">
        <is>
          <t>Leptobrachium leishanense</t>
        </is>
      </c>
      <c r="O3175" t="inlineStr">
        <is>
          <t>LINE-1 retrotransposable element ORF1 protein</t>
        </is>
      </c>
    </row>
    <row r="3176">
      <c r="A3176" t="inlineStr"/>
      <c r="B3176" t="inlineStr"/>
      <c r="C3176" t="inlineStr"/>
      <c r="D3176" t="inlineStr"/>
      <c r="E3176">
        <f>HYPERLINK("https://www.uniprot.org/uniprotkb/A0A437DCP5/entry", "A0A437DCP5")</f>
        <v/>
      </c>
      <c r="F3176" t="n">
        <v>44.4</v>
      </c>
      <c r="G3176" t="n">
        <v>81</v>
      </c>
      <c r="H3176" t="n">
        <v>5.840000000000001e-10</v>
      </c>
      <c r="I3176" t="inlineStr">
        <is>
          <t>TrEMBL</t>
        </is>
      </c>
      <c r="J3176" t="inlineStr">
        <is>
          <t>OJAV_G00039160</t>
        </is>
      </c>
      <c r="K3176" t="inlineStr">
        <is>
          <t>A0A437DCP5_ORYJA</t>
        </is>
      </c>
      <c r="L3176" t="inlineStr">
        <is>
          <t>tr|A0A437DCP5|A0A437DCP5_ORYJA LINE-1 type transposase domain-containing protein 1 OS=Oryzias javanicus OX=123683 GN=OJAV_G00039160 PE=4 SV=1</t>
        </is>
      </c>
      <c r="M3176" t="n">
        <v>290</v>
      </c>
      <c r="N3176" t="inlineStr">
        <is>
          <t>Oryzias javanicus</t>
        </is>
      </c>
      <c r="O3176" t="inlineStr">
        <is>
          <t>LINE-1 type transposase domain-containing protein 1</t>
        </is>
      </c>
    </row>
    <row r="3177">
      <c r="A3177" t="inlineStr"/>
      <c r="B3177" t="inlineStr"/>
      <c r="C3177" t="inlineStr"/>
      <c r="D3177" t="inlineStr"/>
      <c r="E3177">
        <f>HYPERLINK("https://www.uniprot.org/uniprotkb/A0A3B4EZV4/entry", "A0A3B4EZV4")</f>
        <v/>
      </c>
      <c r="F3177" t="n">
        <v>36.6</v>
      </c>
      <c r="G3177" t="n">
        <v>93</v>
      </c>
      <c r="H3177" t="n">
        <v>6.75e-10</v>
      </c>
      <c r="I3177" t="inlineStr">
        <is>
          <t>TrEMBL</t>
        </is>
      </c>
      <c r="J3177" t="inlineStr"/>
      <c r="K3177" t="inlineStr">
        <is>
          <t>A0A3B4EZV4_9CICH</t>
        </is>
      </c>
      <c r="L3177" t="inlineStr">
        <is>
          <t>tr|A0A3B4EZV4|A0A3B4EZV4_9CICH Transposase_22 domain-containing protein OS=Pundamilia nyererei OX=303518 PE=4 SV=1</t>
        </is>
      </c>
      <c r="M3177" t="n">
        <v>270</v>
      </c>
      <c r="N3177" t="inlineStr">
        <is>
          <t>Pundamilia nyererei</t>
        </is>
      </c>
      <c r="O3177" t="inlineStr">
        <is>
          <t>Transposase_22 domain-containing protein</t>
        </is>
      </c>
    </row>
    <row r="3178">
      <c r="A3178" t="inlineStr"/>
      <c r="B3178" t="inlineStr"/>
      <c r="C3178" t="inlineStr"/>
      <c r="D3178" t="inlineStr"/>
      <c r="E3178">
        <f>HYPERLINK("https://www.ncbi.nlm.nih.gov/gene/?term=RVE60656.1", "RVE60656.1")</f>
        <v/>
      </c>
      <c r="F3178" t="n">
        <v>44.4</v>
      </c>
      <c r="G3178" t="n">
        <v>81</v>
      </c>
      <c r="H3178" t="n">
        <v>8.6e-10</v>
      </c>
      <c r="I3178" t="inlineStr">
        <is>
          <t>Nr</t>
        </is>
      </c>
      <c r="J3178" t="inlineStr"/>
      <c r="K3178" t="inlineStr"/>
      <c r="L3178" t="inlineStr">
        <is>
          <t>RVE60656.1 hypothetical protein OJAV_G00183180 [Oryzias javanicus]</t>
        </is>
      </c>
      <c r="M3178" t="n">
        <v>264</v>
      </c>
      <c r="N3178" t="inlineStr">
        <is>
          <t>Oryzias javanicus</t>
        </is>
      </c>
      <c r="O3178" t="inlineStr">
        <is>
          <t>hypothetical protein OJAV_G00183180</t>
        </is>
      </c>
    </row>
    <row r="3179">
      <c r="A3179" t="inlineStr"/>
      <c r="B3179" t="inlineStr"/>
      <c r="C3179" t="inlineStr"/>
      <c r="D3179" t="inlineStr"/>
      <c r="E3179">
        <f>HYPERLINK("https://www.ncbi.nlm.nih.gov/gene/?term=KAJ1109959.1", "KAJ1109959.1")</f>
        <v/>
      </c>
      <c r="F3179" t="n">
        <v>38.5</v>
      </c>
      <c r="G3179" t="n">
        <v>96</v>
      </c>
      <c r="H3179" t="n">
        <v>1.02e-09</v>
      </c>
      <c r="I3179" t="inlineStr">
        <is>
          <t>Nr</t>
        </is>
      </c>
      <c r="J3179" t="inlineStr"/>
      <c r="K3179" t="inlineStr"/>
      <c r="L3179" t="inlineStr">
        <is>
          <t>KAJ1109959.1 hypothetical protein NDU88_007316 [Pleurodeles waltl]</t>
        </is>
      </c>
      <c r="M3179" t="n">
        <v>133</v>
      </c>
      <c r="N3179" t="inlineStr">
        <is>
          <t>Pleurodeles waltl</t>
        </is>
      </c>
      <c r="O3179" t="inlineStr">
        <is>
          <t>hypothetical protein NDU88_007316</t>
        </is>
      </c>
    </row>
    <row r="3180">
      <c r="A3180" t="inlineStr"/>
      <c r="B3180" t="inlineStr"/>
      <c r="C3180" t="inlineStr"/>
      <c r="D3180" t="inlineStr"/>
      <c r="E3180">
        <f>HYPERLINK("https://www.ncbi.nlm.nih.gov/gene/?term=RXN14917.1", "RXN14917.1")</f>
        <v/>
      </c>
      <c r="F3180" t="n">
        <v>40.6</v>
      </c>
      <c r="G3180" t="n">
        <v>101</v>
      </c>
      <c r="H3180" t="n">
        <v>1.06e-09</v>
      </c>
      <c r="I3180" t="inlineStr">
        <is>
          <t>Nr</t>
        </is>
      </c>
      <c r="J3180" t="inlineStr"/>
      <c r="K3180" t="inlineStr"/>
      <c r="L3180" t="inlineStr">
        <is>
          <t>RXN14917.1 LINE-1 type transposase domain-containing 1 [Labeo rohita]</t>
        </is>
      </c>
      <c r="M3180" t="n">
        <v>286</v>
      </c>
      <c r="N3180" t="inlineStr">
        <is>
          <t>Labeo rohita</t>
        </is>
      </c>
      <c r="O3180" t="inlineStr">
        <is>
          <t>LINE-1 type transposase domain-containing 1</t>
        </is>
      </c>
    </row>
    <row r="3181">
      <c r="A3181" t="inlineStr"/>
      <c r="B3181" t="inlineStr"/>
      <c r="C3181" t="inlineStr"/>
      <c r="D3181" t="inlineStr"/>
      <c r="E3181">
        <f>HYPERLINK("https://www.uniprot.org/uniprotkb/A0A3S2UGT3/entry", "A0A3S2UGT3")</f>
        <v/>
      </c>
      <c r="F3181" t="n">
        <v>44.4</v>
      </c>
      <c r="G3181" t="n">
        <v>81</v>
      </c>
      <c r="H3181" t="n">
        <v>1.1e-09</v>
      </c>
      <c r="I3181" t="inlineStr">
        <is>
          <t>TrEMBL</t>
        </is>
      </c>
      <c r="J3181" t="inlineStr">
        <is>
          <t>OJAV_G00066540</t>
        </is>
      </c>
      <c r="K3181" t="inlineStr">
        <is>
          <t>A0A3S2UGT3_ORYJA</t>
        </is>
      </c>
      <c r="L3181" t="inlineStr">
        <is>
          <t>tr|A0A3S2UGT3|A0A3S2UGT3_ORYJA LINE-1 type transposase domain-containing protein 1 OS=Oryzias javanicus OX=123683 GN=OJAV_G00066540 PE=4 SV=1</t>
        </is>
      </c>
      <c r="M3181" t="n">
        <v>290</v>
      </c>
      <c r="N3181" t="inlineStr">
        <is>
          <t>Oryzias javanicus</t>
        </is>
      </c>
      <c r="O3181" t="inlineStr">
        <is>
          <t>LINE-1 type transposase domain-containing protein 1</t>
        </is>
      </c>
    </row>
    <row r="3182">
      <c r="A3182" t="inlineStr"/>
      <c r="B3182" t="inlineStr"/>
      <c r="C3182" t="inlineStr"/>
      <c r="D3182" t="inlineStr"/>
      <c r="E3182">
        <f>HYPERLINK("https://www.ncbi.nlm.nih.gov/gene/?term=RVE72614.1", "RVE72614.1")</f>
        <v/>
      </c>
      <c r="F3182" t="n">
        <v>44.4</v>
      </c>
      <c r="G3182" t="n">
        <v>81</v>
      </c>
      <c r="H3182" t="n">
        <v>1.5e-09</v>
      </c>
      <c r="I3182" t="inlineStr">
        <is>
          <t>Nr</t>
        </is>
      </c>
      <c r="J3182" t="inlineStr"/>
      <c r="K3182" t="inlineStr"/>
      <c r="L3182" t="inlineStr">
        <is>
          <t>RVE72614.1 hypothetical protein OJAV_G00039160 [Oryzias javanicus]</t>
        </is>
      </c>
      <c r="M3182" t="n">
        <v>290</v>
      </c>
      <c r="N3182" t="inlineStr">
        <is>
          <t>Oryzias javanicus</t>
        </is>
      </c>
      <c r="O3182" t="inlineStr">
        <is>
          <t>hypothetical protein OJAV_G00039160</t>
        </is>
      </c>
    </row>
    <row r="3183">
      <c r="A3183" t="inlineStr"/>
      <c r="B3183" t="inlineStr"/>
      <c r="C3183" t="inlineStr"/>
      <c r="D3183" t="inlineStr"/>
      <c r="E3183">
        <f>HYPERLINK("https://www.uniprot.org/uniprotkb/A0A8C5M437/entry", "A0A8C5M437")</f>
        <v/>
      </c>
      <c r="F3183" t="n">
        <v>39.4</v>
      </c>
      <c r="G3183" t="n">
        <v>99</v>
      </c>
      <c r="H3183" t="n">
        <v>1.89e-09</v>
      </c>
      <c r="I3183" t="inlineStr">
        <is>
          <t>TrEMBL</t>
        </is>
      </c>
      <c r="J3183" t="inlineStr"/>
      <c r="K3183" t="inlineStr">
        <is>
          <t>A0A8C5M437_9ANUR</t>
        </is>
      </c>
      <c r="L3183" t="inlineStr">
        <is>
          <t>tr|A0A8C5M437|A0A8C5M437_9ANUR LINE-1 type transposase domain-containing 1 OS=Leptobrachium leishanense OX=445787 PE=4 SV=1</t>
        </is>
      </c>
      <c r="M3183" t="n">
        <v>326</v>
      </c>
      <c r="N3183" t="inlineStr">
        <is>
          <t>Leptobrachium leishanense</t>
        </is>
      </c>
      <c r="O3183" t="inlineStr">
        <is>
          <t>LINE-1 type transposase domain-containing 1</t>
        </is>
      </c>
    </row>
    <row r="3184">
      <c r="A3184" t="inlineStr"/>
      <c r="B3184" t="inlineStr"/>
      <c r="C3184" t="inlineStr"/>
      <c r="D3184" t="inlineStr"/>
      <c r="E3184">
        <f>HYPERLINK("https://www.ncbi.nlm.nih.gov/gene/?term=RVE70636.1", "RVE70636.1")</f>
        <v/>
      </c>
      <c r="F3184" t="n">
        <v>44.4</v>
      </c>
      <c r="G3184" t="n">
        <v>81</v>
      </c>
      <c r="H3184" t="n">
        <v>2.83e-09</v>
      </c>
      <c r="I3184" t="inlineStr">
        <is>
          <t>Nr</t>
        </is>
      </c>
      <c r="J3184" t="inlineStr"/>
      <c r="K3184" t="inlineStr"/>
      <c r="L3184" t="inlineStr">
        <is>
          <t>RVE70636.1 hypothetical protein OJAV_G00066540 [Oryzias javanicus]</t>
        </is>
      </c>
      <c r="M3184" t="n">
        <v>290</v>
      </c>
      <c r="N3184" t="inlineStr">
        <is>
          <t>Oryzias javanicus</t>
        </is>
      </c>
      <c r="O3184" t="inlineStr">
        <is>
          <t>hypothetical protein OJAV_G00066540</t>
        </is>
      </c>
    </row>
    <row r="3185">
      <c r="A3185" t="inlineStr"/>
      <c r="B3185" t="inlineStr"/>
      <c r="C3185" t="inlineStr"/>
      <c r="D3185" t="inlineStr"/>
      <c r="E3185">
        <f>HYPERLINK("https://www.uniprot.org/uniprotkb/A0A8C5Q8A4/entry", "A0A8C5Q8A4")</f>
        <v/>
      </c>
      <c r="F3185" t="n">
        <v>29.5</v>
      </c>
      <c r="G3185" t="n">
        <v>156</v>
      </c>
      <c r="H3185" t="n">
        <v>2.98e-09</v>
      </c>
      <c r="I3185" t="inlineStr">
        <is>
          <t>TrEMBL</t>
        </is>
      </c>
      <c r="J3185" t="inlineStr"/>
      <c r="K3185" t="inlineStr">
        <is>
          <t>A0A8C5Q8A4_9ANUR</t>
        </is>
      </c>
      <c r="L3185" t="inlineStr">
        <is>
          <t>tr|A0A8C5Q8A4|A0A8C5Q8A4_9ANUR LINE-1 type transposase domain-containing 1 OS=Leptobrachium leishanense OX=445787 PE=4 SV=1</t>
        </is>
      </c>
      <c r="M3185" t="n">
        <v>258</v>
      </c>
      <c r="N3185" t="inlineStr">
        <is>
          <t>Leptobrachium leishanense</t>
        </is>
      </c>
      <c r="O3185" t="inlineStr">
        <is>
          <t>LINE-1 type transposase domain-containing 1</t>
        </is>
      </c>
    </row>
    <row r="3186">
      <c r="A3186" t="inlineStr"/>
      <c r="B3186" t="inlineStr"/>
      <c r="C3186" t="inlineStr"/>
      <c r="D3186" t="inlineStr"/>
      <c r="E3186">
        <f>HYPERLINK("https://www.ncbi.nlm.nih.gov/gene/?term=KAJ1217765.1", "KAJ1217765.1")</f>
        <v/>
      </c>
      <c r="F3186" t="n">
        <v>39.8</v>
      </c>
      <c r="G3186" t="n">
        <v>83</v>
      </c>
      <c r="H3186" t="n">
        <v>4.7e-09</v>
      </c>
      <c r="I3186" t="inlineStr">
        <is>
          <t>Nr</t>
        </is>
      </c>
      <c r="J3186" t="inlineStr"/>
      <c r="K3186" t="inlineStr"/>
      <c r="L3186" t="inlineStr">
        <is>
          <t>KAJ1217765.1 hypothetical protein NDU88_005355 [Pleurodeles waltl]</t>
        </is>
      </c>
      <c r="M3186" t="n">
        <v>195</v>
      </c>
      <c r="N3186" t="inlineStr">
        <is>
          <t>Pleurodeles waltl</t>
        </is>
      </c>
      <c r="O3186" t="inlineStr">
        <is>
          <t>hypothetical protein NDU88_005355</t>
        </is>
      </c>
    </row>
    <row r="3187">
      <c r="A3187" t="inlineStr"/>
      <c r="B3187" t="inlineStr"/>
      <c r="C3187" t="inlineStr"/>
      <c r="D3187" t="inlineStr"/>
      <c r="E3187">
        <f>HYPERLINK("https://www.ncbi.nlm.nih.gov/gene/?term=KAJ1092152.1", "KAJ1092152.1")</f>
        <v/>
      </c>
      <c r="F3187" t="n">
        <v>37</v>
      </c>
      <c r="G3187" t="n">
        <v>92</v>
      </c>
      <c r="H3187" t="n">
        <v>5.08e-09</v>
      </c>
      <c r="I3187" t="inlineStr">
        <is>
          <t>Nr</t>
        </is>
      </c>
      <c r="J3187" t="inlineStr"/>
      <c r="K3187" t="inlineStr"/>
      <c r="L3187" t="inlineStr">
        <is>
          <t>KAJ1092152.1 hypothetical protein NDU88_005264 [Pleurodeles waltl]</t>
        </is>
      </c>
      <c r="M3187" t="n">
        <v>162</v>
      </c>
      <c r="N3187" t="inlineStr">
        <is>
          <t>Pleurodeles waltl</t>
        </is>
      </c>
      <c r="O3187" t="inlineStr">
        <is>
          <t>hypothetical protein NDU88_005264</t>
        </is>
      </c>
    </row>
    <row r="3188">
      <c r="A3188" t="inlineStr"/>
      <c r="B3188" t="inlineStr"/>
      <c r="C3188" t="inlineStr"/>
      <c r="D3188" t="inlineStr"/>
      <c r="E3188">
        <f>HYPERLINK("https://www.ncbi.nlm.nih.gov/gene/?term=KAJ1189565.1", "KAJ1189565.1")</f>
        <v/>
      </c>
      <c r="F3188" t="n">
        <v>38.5</v>
      </c>
      <c r="G3188" t="n">
        <v>96</v>
      </c>
      <c r="H3188" t="n">
        <v>5.29e-09</v>
      </c>
      <c r="I3188" t="inlineStr">
        <is>
          <t>Nr</t>
        </is>
      </c>
      <c r="J3188" t="inlineStr"/>
      <c r="K3188" t="inlineStr"/>
      <c r="L3188" t="inlineStr">
        <is>
          <t>KAJ1189565.1 hypothetical protein NDU88_006309 [Pleurodeles waltl]</t>
        </is>
      </c>
      <c r="M3188" t="n">
        <v>117</v>
      </c>
      <c r="N3188" t="inlineStr">
        <is>
          <t>Pleurodeles waltl</t>
        </is>
      </c>
      <c r="O3188" t="inlineStr">
        <is>
          <t>hypothetical protein NDU88_006309</t>
        </is>
      </c>
    </row>
    <row r="3189">
      <c r="A3189" t="inlineStr"/>
      <c r="B3189" t="inlineStr"/>
      <c r="C3189" t="inlineStr"/>
      <c r="D3189" t="inlineStr"/>
      <c r="E3189">
        <f>HYPERLINK("https://www.ncbi.nlm.nih.gov/gene/?term=KAJ1214873.1", "KAJ1214873.1")</f>
        <v/>
      </c>
      <c r="F3189" t="n">
        <v>37.9</v>
      </c>
      <c r="G3189" t="n">
        <v>95</v>
      </c>
      <c r="H3189" t="n">
        <v>7.790000000000001e-09</v>
      </c>
      <c r="I3189" t="inlineStr">
        <is>
          <t>Nr</t>
        </is>
      </c>
      <c r="J3189" t="inlineStr"/>
      <c r="K3189" t="inlineStr"/>
      <c r="L3189" t="inlineStr">
        <is>
          <t>KAJ1214873.1 hypothetical protein NDU88_002484 [Pleurodeles waltl]</t>
        </is>
      </c>
      <c r="M3189" t="n">
        <v>150</v>
      </c>
      <c r="N3189" t="inlineStr">
        <is>
          <t>Pleurodeles waltl</t>
        </is>
      </c>
      <c r="O3189" t="inlineStr">
        <is>
          <t>hypothetical protein NDU88_002484</t>
        </is>
      </c>
    </row>
    <row r="3190">
      <c r="A3190" t="inlineStr"/>
      <c r="B3190" t="inlineStr"/>
      <c r="C3190" t="inlineStr"/>
      <c r="D3190" t="inlineStr"/>
      <c r="E3190">
        <f>HYPERLINK("https://www.ncbi.nlm.nih.gov/gene/?term=KAJ1191544.1", "KAJ1191544.1")</f>
        <v/>
      </c>
      <c r="F3190" t="n">
        <v>35.6</v>
      </c>
      <c r="G3190" t="n">
        <v>90</v>
      </c>
      <c r="H3190" t="n">
        <v>8.07e-09</v>
      </c>
      <c r="I3190" t="inlineStr">
        <is>
          <t>Nr</t>
        </is>
      </c>
      <c r="J3190" t="inlineStr"/>
      <c r="K3190" t="inlineStr"/>
      <c r="L3190" t="inlineStr">
        <is>
          <t>KAJ1191544.1 hypothetical protein NDU88_000860 [Pleurodeles waltl]</t>
        </is>
      </c>
      <c r="M3190" t="n">
        <v>209</v>
      </c>
      <c r="N3190" t="inlineStr">
        <is>
          <t>Pleurodeles waltl</t>
        </is>
      </c>
      <c r="O3190" t="inlineStr">
        <is>
          <t>hypothetical protein NDU88_000860</t>
        </is>
      </c>
    </row>
    <row r="3191">
      <c r="A3191" t="inlineStr"/>
      <c r="B3191" t="inlineStr"/>
      <c r="C3191" t="inlineStr"/>
      <c r="D3191" t="inlineStr"/>
      <c r="E3191">
        <f>HYPERLINK("https://www.ncbi.nlm.nih.gov/gene/?term=KAJ1181934.1", "KAJ1181934.1")</f>
        <v/>
      </c>
      <c r="F3191" t="n">
        <v>38.5</v>
      </c>
      <c r="G3191" t="n">
        <v>96</v>
      </c>
      <c r="H3191" t="n">
        <v>8.56e-09</v>
      </c>
      <c r="I3191" t="inlineStr">
        <is>
          <t>Nr</t>
        </is>
      </c>
      <c r="J3191" t="inlineStr"/>
      <c r="K3191" t="inlineStr"/>
      <c r="L3191" t="inlineStr">
        <is>
          <t>KAJ1181934.1 hypothetical protein NDU88_007133 [Pleurodeles waltl]</t>
        </is>
      </c>
      <c r="M3191" t="n">
        <v>270</v>
      </c>
      <c r="N3191" t="inlineStr">
        <is>
          <t>Pleurodeles waltl</t>
        </is>
      </c>
      <c r="O3191" t="inlineStr">
        <is>
          <t>hypothetical protein NDU88_007133</t>
        </is>
      </c>
    </row>
    <row r="3192">
      <c r="A3192" t="inlineStr"/>
      <c r="B3192" t="inlineStr"/>
      <c r="C3192" t="inlineStr"/>
      <c r="D3192" t="inlineStr"/>
      <c r="E3192">
        <f>HYPERLINK("https://www.uniprot.org/uniprotkb/A0A3P9D9C9/entry", "A0A3P9D9C9")</f>
        <v/>
      </c>
      <c r="F3192" t="n">
        <v>35.5</v>
      </c>
      <c r="G3192" t="n">
        <v>93</v>
      </c>
      <c r="H3192" t="n">
        <v>8.729999999999999e-09</v>
      </c>
      <c r="I3192" t="inlineStr">
        <is>
          <t>TrEMBL</t>
        </is>
      </c>
      <c r="J3192" t="inlineStr"/>
      <c r="K3192" t="inlineStr">
        <is>
          <t>A0A3P9D9C9_9CICH</t>
        </is>
      </c>
      <c r="L3192" t="inlineStr">
        <is>
          <t>tr|A0A3P9D9C9|A0A3P9D9C9_9CICH Transposase_22 domain-containing protein OS=Maylandia zebra OX=106582 PE=4 SV=1</t>
        </is>
      </c>
      <c r="M3192" t="n">
        <v>271</v>
      </c>
      <c r="N3192" t="inlineStr">
        <is>
          <t>Maylandia zebra</t>
        </is>
      </c>
      <c r="O3192" t="inlineStr">
        <is>
          <t>Transposase_22 domain-containing protein</t>
        </is>
      </c>
    </row>
    <row r="3193">
      <c r="A3193" t="inlineStr"/>
      <c r="B3193" t="inlineStr"/>
      <c r="C3193" t="inlineStr"/>
      <c r="D3193" t="inlineStr"/>
      <c r="E3193">
        <f>HYPERLINK("https://www.uniprot.org/uniprotkb/A0A3P8NTG0/entry", "A0A3P8NTG0")</f>
        <v/>
      </c>
      <c r="F3193" t="n">
        <v>34.4</v>
      </c>
      <c r="G3193" t="n">
        <v>96</v>
      </c>
      <c r="H3193" t="n">
        <v>1.08e-08</v>
      </c>
      <c r="I3193" t="inlineStr">
        <is>
          <t>TrEMBL</t>
        </is>
      </c>
      <c r="J3193" t="inlineStr"/>
      <c r="K3193" t="inlineStr">
        <is>
          <t>A0A3P8NTG0_ASTCA</t>
        </is>
      </c>
      <c r="L3193" t="inlineStr">
        <is>
          <t>tr|A0A3P8NTG0|A0A3P8NTG0_ASTCA Reverse transcriptase domain-containing protein OS=Astatotilapia calliptera OX=8154 PE=4 SV=1</t>
        </is>
      </c>
      <c r="M3193" t="n">
        <v>1279</v>
      </c>
      <c r="N3193" t="inlineStr">
        <is>
          <t>Astatotilapia calliptera</t>
        </is>
      </c>
      <c r="O3193" t="inlineStr">
        <is>
          <t>Reverse transcriptase domain-containing protein</t>
        </is>
      </c>
    </row>
    <row r="3194">
      <c r="A3194" t="inlineStr"/>
      <c r="B3194" t="inlineStr"/>
      <c r="C3194" t="inlineStr"/>
      <c r="D3194" t="inlineStr"/>
      <c r="E3194">
        <f>HYPERLINK("https://www.uniprot.org/uniprotkb/A0A087YRQ6/entry", "A0A087YRQ6")</f>
        <v/>
      </c>
      <c r="F3194" t="n">
        <v>41.4</v>
      </c>
      <c r="G3194" t="n">
        <v>87</v>
      </c>
      <c r="H3194" t="n">
        <v>1.19e-08</v>
      </c>
      <c r="I3194" t="inlineStr">
        <is>
          <t>TrEMBL</t>
        </is>
      </c>
      <c r="J3194" t="inlineStr"/>
      <c r="K3194" t="inlineStr">
        <is>
          <t>A0A087YRQ6_POEFO</t>
        </is>
      </c>
      <c r="L3194" t="inlineStr">
        <is>
          <t>tr|A0A087YRQ6|A0A087YRQ6_POEFO Transposase_22 domain-containing protein OS=Poecilia formosa OX=48698 PE=4 SV=1</t>
        </is>
      </c>
      <c r="M3194" t="n">
        <v>270</v>
      </c>
      <c r="N3194" t="inlineStr">
        <is>
          <t>Poecilia formosa</t>
        </is>
      </c>
      <c r="O3194" t="inlineStr">
        <is>
          <t>Transposase_22 domain-containing protein</t>
        </is>
      </c>
    </row>
    <row r="3195">
      <c r="A3195" t="inlineStr"/>
      <c r="B3195" t="inlineStr"/>
      <c r="C3195" t="inlineStr"/>
      <c r="D3195" t="inlineStr"/>
      <c r="E3195">
        <f>HYPERLINK("https://www.ncbi.nlm.nih.gov/gene/?term=KAJ1207739.1", "KAJ1207739.1")</f>
        <v/>
      </c>
      <c r="F3195" t="n">
        <v>37.5</v>
      </c>
      <c r="G3195" t="n">
        <v>96</v>
      </c>
      <c r="H3195" t="n">
        <v>1.21e-08</v>
      </c>
      <c r="I3195" t="inlineStr">
        <is>
          <t>Nr</t>
        </is>
      </c>
      <c r="J3195" t="inlineStr"/>
      <c r="K3195" t="inlineStr"/>
      <c r="L3195" t="inlineStr">
        <is>
          <t>KAJ1207739.1 hypothetical protein NDU88_003129 [Pleurodeles waltl]</t>
        </is>
      </c>
      <c r="M3195" t="n">
        <v>173</v>
      </c>
      <c r="N3195" t="inlineStr">
        <is>
          <t>Pleurodeles waltl</t>
        </is>
      </c>
      <c r="O3195" t="inlineStr">
        <is>
          <t>hypothetical protein NDU88_003129</t>
        </is>
      </c>
    </row>
    <row r="3196">
      <c r="A3196" t="inlineStr"/>
      <c r="B3196" t="inlineStr"/>
      <c r="C3196" t="inlineStr"/>
      <c r="D3196" t="inlineStr"/>
      <c r="E3196">
        <f>HYPERLINK("https://www.uniprot.org/uniprotkb/A0A669F5I5/entry", "A0A669F5I5")</f>
        <v/>
      </c>
      <c r="F3196" t="n">
        <v>34.4</v>
      </c>
      <c r="G3196" t="n">
        <v>96</v>
      </c>
      <c r="H3196" t="n">
        <v>1.43e-08</v>
      </c>
      <c r="I3196" t="inlineStr">
        <is>
          <t>TrEMBL</t>
        </is>
      </c>
      <c r="J3196" t="inlineStr"/>
      <c r="K3196" t="inlineStr">
        <is>
          <t>A0A669F5I5_ORENI</t>
        </is>
      </c>
      <c r="L3196" t="inlineStr">
        <is>
          <t>tr|A0A669F5I5|A0A669F5I5_ORENI Reverse transcriptase domain-containing protein OS=Oreochromis niloticus OX=8128 PE=4 SV=1</t>
        </is>
      </c>
      <c r="M3196" t="n">
        <v>844</v>
      </c>
      <c r="N3196" t="inlineStr">
        <is>
          <t>Oreochromis niloticus</t>
        </is>
      </c>
      <c r="O3196" t="inlineStr">
        <is>
          <t>Reverse transcriptase domain-containing protein</t>
        </is>
      </c>
    </row>
    <row r="3197">
      <c r="A3197" t="inlineStr"/>
      <c r="B3197" t="inlineStr"/>
      <c r="C3197" t="inlineStr"/>
      <c r="D3197" t="inlineStr"/>
      <c r="E3197">
        <f>HYPERLINK("https://www.uniprot.org/uniprotkb/A0A8C5CUP8/entry", "A0A8C5CUP8")</f>
        <v/>
      </c>
      <c r="F3197" t="n">
        <v>33.3</v>
      </c>
      <c r="G3197" t="n">
        <v>93</v>
      </c>
      <c r="H3197" t="n">
        <v>1.48e-08</v>
      </c>
      <c r="I3197" t="inlineStr">
        <is>
          <t>TrEMBL</t>
        </is>
      </c>
      <c r="J3197" t="inlineStr"/>
      <c r="K3197" t="inlineStr">
        <is>
          <t>A0A8C5CUP8_GADMO</t>
        </is>
      </c>
      <c r="L3197" t="inlineStr">
        <is>
          <t>tr|A0A8C5CUP8|A0A8C5CUP8_GADMO Reverse transcriptase domain-containing protein OS=Gadus morhua OX=8049 PE=4 SV=1</t>
        </is>
      </c>
      <c r="M3197" t="n">
        <v>1263</v>
      </c>
      <c r="N3197" t="inlineStr">
        <is>
          <t>Gadus morhua</t>
        </is>
      </c>
      <c r="O3197" t="inlineStr">
        <is>
          <t>Reverse transcriptase domain-containing protein</t>
        </is>
      </c>
    </row>
    <row r="3198">
      <c r="A3198" t="inlineStr"/>
      <c r="B3198" t="inlineStr"/>
      <c r="C3198" t="inlineStr"/>
      <c r="D3198" t="inlineStr"/>
      <c r="E3198">
        <f>HYPERLINK("https://www.uniprot.org/uniprotkb/A0A669EVQ7/entry", "A0A669EVQ7")</f>
        <v/>
      </c>
      <c r="F3198" t="n">
        <v>34.4</v>
      </c>
      <c r="G3198" t="n">
        <v>96</v>
      </c>
      <c r="H3198" t="n">
        <v>1.48e-08</v>
      </c>
      <c r="I3198" t="inlineStr">
        <is>
          <t>TrEMBL</t>
        </is>
      </c>
      <c r="J3198" t="inlineStr"/>
      <c r="K3198" t="inlineStr">
        <is>
          <t>A0A669EVQ7_ORENI</t>
        </is>
      </c>
      <c r="L3198" t="inlineStr">
        <is>
          <t>tr|A0A669EVQ7|A0A669EVQ7_ORENI Reverse transcriptase domain-containing protein OS=Oreochromis niloticus OX=8128 PE=4 SV=1</t>
        </is>
      </c>
      <c r="M3198" t="n">
        <v>1297</v>
      </c>
      <c r="N3198" t="inlineStr">
        <is>
          <t>Oreochromis niloticus</t>
        </is>
      </c>
      <c r="O3198" t="inlineStr">
        <is>
          <t>Reverse transcriptase domain-containing protein</t>
        </is>
      </c>
    </row>
    <row r="3199">
      <c r="A3199" t="inlineStr"/>
      <c r="B3199" t="inlineStr"/>
      <c r="C3199" t="inlineStr"/>
      <c r="D3199" t="inlineStr"/>
      <c r="E3199">
        <f>HYPERLINK("https://www.ncbi.nlm.nih.gov/gene/?term=KAJ1180920.1", "KAJ1180920.1")</f>
        <v/>
      </c>
      <c r="F3199" t="n">
        <v>34.8</v>
      </c>
      <c r="G3199" t="n">
        <v>92</v>
      </c>
      <c r="H3199" t="n">
        <v>1.72e-08</v>
      </c>
      <c r="I3199" t="inlineStr">
        <is>
          <t>Nr</t>
        </is>
      </c>
      <c r="J3199" t="inlineStr"/>
      <c r="K3199" t="inlineStr"/>
      <c r="L3199" t="inlineStr">
        <is>
          <t>KAJ1180920.1 hypothetical protein NDU88_006131 [Pleurodeles waltl]</t>
        </is>
      </c>
      <c r="M3199" t="n">
        <v>194</v>
      </c>
      <c r="N3199" t="inlineStr">
        <is>
          <t>Pleurodeles waltl</t>
        </is>
      </c>
      <c r="O3199" t="inlineStr">
        <is>
          <t>hypothetical protein NDU88_006131</t>
        </is>
      </c>
    </row>
    <row r="3200">
      <c r="A3200" t="inlineStr"/>
      <c r="B3200" t="inlineStr"/>
      <c r="C3200" t="inlineStr"/>
      <c r="D3200" t="inlineStr"/>
      <c r="E3200">
        <f>HYPERLINK("https://www.uniprot.org/uniprotkb/A0A8C5QRW1/entry", "A0A8C5QRW1")</f>
        <v/>
      </c>
      <c r="F3200" t="n">
        <v>34.1</v>
      </c>
      <c r="G3200" t="n">
        <v>91</v>
      </c>
      <c r="H3200" t="n">
        <v>2.01e-08</v>
      </c>
      <c r="I3200" t="inlineStr">
        <is>
          <t>TrEMBL</t>
        </is>
      </c>
      <c r="J3200" t="inlineStr"/>
      <c r="K3200" t="inlineStr">
        <is>
          <t>A0A8C5QRW1_9ANUR</t>
        </is>
      </c>
      <c r="L3200" t="inlineStr">
        <is>
          <t>tr|A0A8C5QRW1|A0A8C5QRW1_9ANUR Tick transposon OS=Leptobrachium leishanense OX=445787 PE=4 SV=1</t>
        </is>
      </c>
      <c r="M3200" t="n">
        <v>257</v>
      </c>
      <c r="N3200" t="inlineStr">
        <is>
          <t>Leptobrachium leishanense</t>
        </is>
      </c>
      <c r="O3200" t="inlineStr">
        <is>
          <t>Tick transposon</t>
        </is>
      </c>
    </row>
    <row r="3201">
      <c r="A3201" t="inlineStr"/>
      <c r="B3201" t="inlineStr"/>
      <c r="C3201" t="inlineStr"/>
      <c r="D3201" t="inlineStr"/>
      <c r="E3201">
        <f>HYPERLINK("https://www.uniprot.org/uniprotkb/A0A669DF80/entry", "A0A669DF80")</f>
        <v/>
      </c>
      <c r="F3201" t="n">
        <v>34.4</v>
      </c>
      <c r="G3201" t="n">
        <v>96</v>
      </c>
      <c r="H3201" t="n">
        <v>2.01e-08</v>
      </c>
      <c r="I3201" t="inlineStr">
        <is>
          <t>TrEMBL</t>
        </is>
      </c>
      <c r="J3201" t="inlineStr"/>
      <c r="K3201" t="inlineStr">
        <is>
          <t>A0A669DF80_ORENI</t>
        </is>
      </c>
      <c r="L3201" t="inlineStr">
        <is>
          <t>tr|A0A669DF80|A0A669DF80_ORENI Reverse transcriptase domain-containing protein OS=Oreochromis niloticus OX=8128 PE=4 SV=1</t>
        </is>
      </c>
      <c r="M3201" t="n">
        <v>1279</v>
      </c>
      <c r="N3201" t="inlineStr">
        <is>
          <t>Oreochromis niloticus</t>
        </is>
      </c>
      <c r="O3201" t="inlineStr">
        <is>
          <t>Reverse transcriptase domain-containing protein</t>
        </is>
      </c>
    </row>
    <row r="3202">
      <c r="A3202" t="inlineStr"/>
      <c r="B3202" t="inlineStr"/>
      <c r="C3202" t="inlineStr"/>
      <c r="D3202" t="inlineStr"/>
      <c r="E3202">
        <f>HYPERLINK("https://www.uniprot.org/uniprotkb/A0A669B8A8/entry", "A0A669B8A8")</f>
        <v/>
      </c>
      <c r="F3202" t="n">
        <v>34.4</v>
      </c>
      <c r="G3202" t="n">
        <v>96</v>
      </c>
      <c r="H3202" t="n">
        <v>2.02e-08</v>
      </c>
      <c r="I3202" t="inlineStr">
        <is>
          <t>TrEMBL</t>
        </is>
      </c>
      <c r="J3202" t="inlineStr"/>
      <c r="K3202" t="inlineStr">
        <is>
          <t>A0A669B8A8_ORENI</t>
        </is>
      </c>
      <c r="L3202" t="inlineStr">
        <is>
          <t>tr|A0A669B8A8|A0A669B8A8_ORENI Reverse transcriptase domain-containing protein OS=Oreochromis niloticus OX=8128 PE=4 SV=1</t>
        </is>
      </c>
      <c r="M3202" t="n">
        <v>1297</v>
      </c>
      <c r="N3202" t="inlineStr">
        <is>
          <t>Oreochromis niloticus</t>
        </is>
      </c>
      <c r="O3202" t="inlineStr">
        <is>
          <t>Reverse transcriptase domain-containing protein</t>
        </is>
      </c>
    </row>
    <row r="3203">
      <c r="A3203" t="inlineStr"/>
      <c r="B3203" t="inlineStr"/>
      <c r="C3203" t="inlineStr"/>
      <c r="D3203" t="inlineStr"/>
      <c r="E3203">
        <f>HYPERLINK("https://www.ncbi.nlm.nih.gov/gene/?term=XP_040283419.1", "XP_040283419.1")</f>
        <v/>
      </c>
      <c r="F3203" t="n">
        <v>45.5</v>
      </c>
      <c r="G3203" t="n">
        <v>88</v>
      </c>
      <c r="H3203" t="n">
        <v>2.03e-08</v>
      </c>
      <c r="I3203" t="inlineStr">
        <is>
          <t>Nr</t>
        </is>
      </c>
      <c r="J3203" t="inlineStr"/>
      <c r="K3203" t="inlineStr"/>
      <c r="L3203" t="inlineStr">
        <is>
          <t>XP_040283419.1 zinc finger protein 665-like [Bufo bufo]</t>
        </is>
      </c>
      <c r="M3203" t="n">
        <v>1169</v>
      </c>
      <c r="N3203" t="inlineStr">
        <is>
          <t>Bufo bufo</t>
        </is>
      </c>
      <c r="O3203" t="inlineStr">
        <is>
          <t>zinc finger protein 665-like</t>
        </is>
      </c>
    </row>
    <row r="3204">
      <c r="A3204" t="inlineStr"/>
      <c r="B3204" t="inlineStr"/>
      <c r="C3204" t="inlineStr"/>
      <c r="D3204" t="inlineStr"/>
      <c r="E3204">
        <f>HYPERLINK("https://www.ncbi.nlm.nih.gov/gene/?term=KAJ1123948.1", "KAJ1123948.1")</f>
        <v/>
      </c>
      <c r="F3204" t="n">
        <v>34.8</v>
      </c>
      <c r="G3204" t="n">
        <v>92</v>
      </c>
      <c r="H3204" t="n">
        <v>2.04e-08</v>
      </c>
      <c r="I3204" t="inlineStr">
        <is>
          <t>Nr</t>
        </is>
      </c>
      <c r="J3204" t="inlineStr"/>
      <c r="K3204" t="inlineStr"/>
      <c r="L3204" t="inlineStr">
        <is>
          <t>KAJ1123948.1 hypothetical protein NDU88_002415 [Pleurodeles waltl]</t>
        </is>
      </c>
      <c r="M3204" t="n">
        <v>302</v>
      </c>
      <c r="N3204" t="inlineStr">
        <is>
          <t>Pleurodeles waltl</t>
        </is>
      </c>
      <c r="O3204" t="inlineStr">
        <is>
          <t>hypothetical protein NDU88_002415</t>
        </is>
      </c>
    </row>
    <row r="3205">
      <c r="A3205" t="inlineStr"/>
      <c r="B3205" t="inlineStr"/>
      <c r="C3205" t="inlineStr"/>
      <c r="D3205" t="inlineStr"/>
      <c r="E3205">
        <f>HYPERLINK("https://www.ncbi.nlm.nih.gov/gene/?term=KAJ1215243.1", "KAJ1215243.1")</f>
        <v/>
      </c>
      <c r="F3205" t="n">
        <v>39.6</v>
      </c>
      <c r="G3205" t="n">
        <v>96</v>
      </c>
      <c r="H3205" t="n">
        <v>2.19e-08</v>
      </c>
      <c r="I3205" t="inlineStr">
        <is>
          <t>Nr</t>
        </is>
      </c>
      <c r="J3205" t="inlineStr"/>
      <c r="K3205" t="inlineStr"/>
      <c r="L3205" t="inlineStr">
        <is>
          <t>KAJ1215243.1 hypothetical protein NDU88_002852 [Pleurodeles waltl]</t>
        </is>
      </c>
      <c r="M3205" t="n">
        <v>236</v>
      </c>
      <c r="N3205" t="inlineStr">
        <is>
          <t>Pleurodeles waltl</t>
        </is>
      </c>
      <c r="O3205" t="inlineStr">
        <is>
          <t>hypothetical protein NDU88_002852</t>
        </is>
      </c>
    </row>
    <row r="3206">
      <c r="A3206" t="inlineStr"/>
      <c r="B3206" t="inlineStr"/>
      <c r="C3206" t="inlineStr"/>
      <c r="D3206" t="inlineStr"/>
      <c r="E3206">
        <f>HYPERLINK("https://www.uniprot.org/uniprotkb/A0A3N0YKF6/entry", "A0A3N0YKF6")</f>
        <v/>
      </c>
      <c r="F3206" t="n">
        <v>34.7</v>
      </c>
      <c r="G3206" t="n">
        <v>101</v>
      </c>
      <c r="H3206" t="n">
        <v>2.64e-08</v>
      </c>
      <c r="I3206" t="inlineStr">
        <is>
          <t>TrEMBL</t>
        </is>
      </c>
      <c r="J3206" t="inlineStr">
        <is>
          <t>DPX16_21102</t>
        </is>
      </c>
      <c r="K3206" t="inlineStr">
        <is>
          <t>A0A3N0YKF6_ANAGA</t>
        </is>
      </c>
      <c r="L3206" t="inlineStr">
        <is>
          <t>tr|A0A3N0YKF6|A0A3N0YKF6_ANAGA LINE-1 retrotransposable element ORF1 protein OS=Anabarilius grahami OX=495550 GN=DPX16_21102 PE=4 SV=1</t>
        </is>
      </c>
      <c r="M3206" t="n">
        <v>293</v>
      </c>
      <c r="N3206" t="inlineStr">
        <is>
          <t>Anabarilius grahami</t>
        </is>
      </c>
      <c r="O3206" t="inlineStr">
        <is>
          <t>LINE-1 retrotransposable element ORF1 protein</t>
        </is>
      </c>
    </row>
    <row r="3207">
      <c r="A3207" t="inlineStr"/>
      <c r="B3207" t="inlineStr"/>
      <c r="C3207" t="inlineStr"/>
      <c r="D3207" t="inlineStr"/>
      <c r="E3207">
        <f>HYPERLINK("https://www.ncbi.nlm.nih.gov/gene/?term=OCT89975.1", "OCT89975.1")</f>
        <v/>
      </c>
      <c r="F3207" t="n">
        <v>28.2</v>
      </c>
      <c r="G3207" t="n">
        <v>163</v>
      </c>
      <c r="H3207" t="n">
        <v>2.77e-08</v>
      </c>
      <c r="I3207" t="inlineStr">
        <is>
          <t>Nr</t>
        </is>
      </c>
      <c r="J3207" t="inlineStr"/>
      <c r="K3207" t="inlineStr"/>
      <c r="L3207" t="inlineStr">
        <is>
          <t>OCT89975.1 hypothetical protein XELAEV_18018590mg [Xenopus laevis]</t>
        </is>
      </c>
      <c r="M3207" t="n">
        <v>204</v>
      </c>
      <c r="N3207" t="inlineStr">
        <is>
          <t>Xenopus laevis</t>
        </is>
      </c>
      <c r="O3207" t="inlineStr">
        <is>
          <t>hypothetical protein XELAEV_18018590mg</t>
        </is>
      </c>
    </row>
    <row r="3208">
      <c r="A3208" t="inlineStr"/>
      <c r="B3208" t="inlineStr"/>
      <c r="C3208" t="inlineStr"/>
      <c r="D3208" t="inlineStr"/>
      <c r="E3208">
        <f>HYPERLINK("https://www.ncbi.nlm.nih.gov/gene/?term=OCT94557.1", "OCT94557.1")</f>
        <v/>
      </c>
      <c r="F3208" t="n">
        <v>25.5</v>
      </c>
      <c r="G3208" t="n">
        <v>188</v>
      </c>
      <c r="H3208" t="n">
        <v>2.97e-08</v>
      </c>
      <c r="I3208" t="inlineStr">
        <is>
          <t>Nr</t>
        </is>
      </c>
      <c r="J3208" t="inlineStr"/>
      <c r="K3208" t="inlineStr"/>
      <c r="L3208" t="inlineStr">
        <is>
          <t>OCT94557.1 hypothetical protein XELAEV_18012232mg [Xenopus laevis]</t>
        </is>
      </c>
      <c r="M3208" t="n">
        <v>209</v>
      </c>
      <c r="N3208" t="inlineStr">
        <is>
          <t>Xenopus laevis</t>
        </is>
      </c>
      <c r="O3208" t="inlineStr">
        <is>
          <t>hypothetical protein XELAEV_18012232mg</t>
        </is>
      </c>
    </row>
    <row r="3209">
      <c r="A3209" t="inlineStr"/>
      <c r="B3209" t="inlineStr"/>
      <c r="C3209" t="inlineStr"/>
      <c r="D3209" t="inlineStr"/>
      <c r="E3209">
        <f>HYPERLINK("https://www.ncbi.nlm.nih.gov/gene/?term=KAJ3593267.1", "KAJ3593267.1")</f>
        <v/>
      </c>
      <c r="F3209" t="n">
        <v>34.3</v>
      </c>
      <c r="G3209" t="n">
        <v>99</v>
      </c>
      <c r="H3209" t="n">
        <v>3.01e-08</v>
      </c>
      <c r="I3209" t="inlineStr">
        <is>
          <t>Nr</t>
        </is>
      </c>
      <c r="J3209" t="inlineStr"/>
      <c r="K3209" t="inlineStr"/>
      <c r="L3209" t="inlineStr">
        <is>
          <t>KAJ3593267.1 hypothetical protein NHX12_005602 [Muraenolepis orangiensis]</t>
        </is>
      </c>
      <c r="M3209" t="n">
        <v>188</v>
      </c>
      <c r="N3209" t="inlineStr">
        <is>
          <t>Muraenolepis orangiensis</t>
        </is>
      </c>
      <c r="O3209" t="inlineStr">
        <is>
          <t>hypothetical protein NHX12_005602</t>
        </is>
      </c>
    </row>
    <row r="3210">
      <c r="A3210" t="inlineStr"/>
      <c r="B3210" t="inlineStr"/>
      <c r="C3210" t="inlineStr"/>
      <c r="D3210" t="inlineStr"/>
      <c r="E3210">
        <f>HYPERLINK("https://www.uniprot.org/uniprotkb/A0A498MB07/entry", "A0A498MB07")</f>
        <v/>
      </c>
      <c r="F3210" t="n">
        <v>34.3</v>
      </c>
      <c r="G3210" t="n">
        <v>99</v>
      </c>
      <c r="H3210" t="n">
        <v>3.63e-08</v>
      </c>
      <c r="I3210" t="inlineStr">
        <is>
          <t>TrEMBL</t>
        </is>
      </c>
      <c r="J3210" t="inlineStr">
        <is>
          <t>ROHU_027157</t>
        </is>
      </c>
      <c r="K3210" t="inlineStr">
        <is>
          <t>A0A498MB07_LABRO</t>
        </is>
      </c>
      <c r="L3210" t="inlineStr">
        <is>
          <t>tr|A0A498MB07|A0A498MB07_LABRO peptidylprolyl isomerase OS=Labeo rohita OX=84645 GN=ROHU_027157 PE=4 SV=1</t>
        </is>
      </c>
      <c r="M3210" t="n">
        <v>1201</v>
      </c>
      <c r="N3210" t="inlineStr">
        <is>
          <t>Labeo rohita</t>
        </is>
      </c>
      <c r="O3210" t="inlineStr">
        <is>
          <t>peptidylprolyl isomerase</t>
        </is>
      </c>
    </row>
    <row r="3211">
      <c r="A3211" t="inlineStr"/>
      <c r="B3211" t="inlineStr"/>
      <c r="C3211" t="inlineStr"/>
      <c r="D3211" t="inlineStr"/>
      <c r="E3211">
        <f>HYPERLINK("https://www.ncbi.nlm.nih.gov/gene/?term=KAJ1207298.1", "KAJ1207298.1")</f>
        <v/>
      </c>
      <c r="F3211" t="n">
        <v>37.9</v>
      </c>
      <c r="G3211" t="n">
        <v>95</v>
      </c>
      <c r="H3211" t="n">
        <v>3.73e-08</v>
      </c>
      <c r="I3211" t="inlineStr">
        <is>
          <t>Nr</t>
        </is>
      </c>
      <c r="J3211" t="inlineStr"/>
      <c r="K3211" t="inlineStr"/>
      <c r="L3211" t="inlineStr">
        <is>
          <t>KAJ1207298.1 hypothetical protein NDU88_002689 [Pleurodeles waltl]</t>
        </is>
      </c>
      <c r="M3211" t="n">
        <v>380</v>
      </c>
      <c r="N3211" t="inlineStr">
        <is>
          <t>Pleurodeles waltl</t>
        </is>
      </c>
      <c r="O3211" t="inlineStr">
        <is>
          <t>hypothetical protein NDU88_002689</t>
        </is>
      </c>
    </row>
    <row r="3212">
      <c r="A3212" t="inlineStr"/>
      <c r="B3212" t="inlineStr"/>
      <c r="C3212" t="inlineStr"/>
      <c r="D3212" t="inlineStr"/>
      <c r="E3212">
        <f>HYPERLINK("https://www.ncbi.nlm.nih.gov/gene/?term=KAJ1141947.1", "KAJ1141947.1")</f>
        <v/>
      </c>
      <c r="F3212" t="n">
        <v>39</v>
      </c>
      <c r="G3212" t="n">
        <v>82</v>
      </c>
      <c r="H3212" t="n">
        <v>3.94e-08</v>
      </c>
      <c r="I3212" t="inlineStr">
        <is>
          <t>Nr</t>
        </is>
      </c>
      <c r="J3212" t="inlineStr"/>
      <c r="K3212" t="inlineStr"/>
      <c r="L3212" t="inlineStr">
        <is>
          <t>KAJ1141947.1 hypothetical protein NDU88_008275 [Pleurodeles waltl]</t>
        </is>
      </c>
      <c r="M3212" t="n">
        <v>231</v>
      </c>
      <c r="N3212" t="inlineStr">
        <is>
          <t>Pleurodeles waltl</t>
        </is>
      </c>
      <c r="O3212" t="inlineStr">
        <is>
          <t>hypothetical protein NDU88_008275</t>
        </is>
      </c>
    </row>
    <row r="3213">
      <c r="A3213" t="inlineStr"/>
      <c r="B3213" t="inlineStr"/>
      <c r="C3213" t="inlineStr"/>
      <c r="D3213" t="inlineStr"/>
      <c r="E3213">
        <f>HYPERLINK("https://www.ncbi.nlm.nih.gov/gene/?term=KAI2644544.1", "KAI2644544.1")</f>
        <v/>
      </c>
      <c r="F3213" t="n">
        <v>34.3</v>
      </c>
      <c r="G3213" t="n">
        <v>99</v>
      </c>
      <c r="H3213" t="n">
        <v>4.09e-08</v>
      </c>
      <c r="I3213" t="inlineStr">
        <is>
          <t>Nr</t>
        </is>
      </c>
      <c r="J3213" t="inlineStr"/>
      <c r="K3213" t="inlineStr"/>
      <c r="L3213" t="inlineStr">
        <is>
          <t>KAI2644544.1 LINE-1 type transposase domain-containing protein 1 [Labeo rohita]</t>
        </is>
      </c>
      <c r="M3213" t="n">
        <v>267</v>
      </c>
      <c r="N3213" t="inlineStr">
        <is>
          <t>Labeo rohita</t>
        </is>
      </c>
      <c r="O3213" t="inlineStr">
        <is>
          <t>LINE-1 type transposase domain-containing protein 1</t>
        </is>
      </c>
    </row>
    <row r="3214">
      <c r="A3214" t="inlineStr"/>
      <c r="B3214" t="inlineStr"/>
      <c r="C3214" t="inlineStr"/>
      <c r="D3214" t="inlineStr"/>
      <c r="E3214">
        <f>HYPERLINK("https://www.uniprot.org/uniprotkb/A0A0S7HC06/entry", "A0A0S7HC06")</f>
        <v/>
      </c>
      <c r="F3214" t="n">
        <v>33</v>
      </c>
      <c r="G3214" t="n">
        <v>94</v>
      </c>
      <c r="H3214" t="n">
        <v>4.22e-08</v>
      </c>
      <c r="I3214" t="inlineStr">
        <is>
          <t>TrEMBL</t>
        </is>
      </c>
      <c r="J3214" t="inlineStr">
        <is>
          <t>LIN1</t>
        </is>
      </c>
      <c r="K3214" t="inlineStr">
        <is>
          <t>A0A0S7HC06_9TELE</t>
        </is>
      </c>
      <c r="L3214" t="inlineStr">
        <is>
          <t>tr|A0A0S7HC06|A0A0S7HC06_9TELE LIN1 (Fragment) OS=Poeciliopsis prolifica OX=188132 GN=LIN1 PE=4 SV=1</t>
        </is>
      </c>
      <c r="M3214" t="n">
        <v>363</v>
      </c>
      <c r="N3214" t="inlineStr">
        <is>
          <t>Poeciliopsis prolifica</t>
        </is>
      </c>
      <c r="O3214" t="inlineStr">
        <is>
          <t>LIN1 (Fragment)</t>
        </is>
      </c>
    </row>
    <row r="3215">
      <c r="A3215" t="inlineStr"/>
      <c r="B3215" t="inlineStr"/>
      <c r="C3215" t="inlineStr"/>
      <c r="D3215" t="inlineStr"/>
      <c r="E3215">
        <f>HYPERLINK("https://www.ncbi.nlm.nih.gov/gene/?term=KAJ1092716.1", "KAJ1092716.1")</f>
        <v/>
      </c>
      <c r="F3215" t="n">
        <v>36.3</v>
      </c>
      <c r="G3215" t="n">
        <v>102</v>
      </c>
      <c r="H3215" t="n">
        <v>4.31e-08</v>
      </c>
      <c r="I3215" t="inlineStr">
        <is>
          <t>Nr</t>
        </is>
      </c>
      <c r="J3215" t="inlineStr"/>
      <c r="K3215" t="inlineStr"/>
      <c r="L3215" t="inlineStr">
        <is>
          <t>KAJ1092716.1 hypothetical protein NDU88_005826 [Pleurodeles waltl]</t>
        </is>
      </c>
      <c r="M3215" t="n">
        <v>239</v>
      </c>
      <c r="N3215" t="inlineStr">
        <is>
          <t>Pleurodeles waltl</t>
        </is>
      </c>
      <c r="O3215" t="inlineStr">
        <is>
          <t>hypothetical protein NDU88_005826</t>
        </is>
      </c>
    </row>
    <row r="3216">
      <c r="A3216" t="inlineStr"/>
      <c r="B3216" t="inlineStr"/>
      <c r="C3216" t="inlineStr"/>
      <c r="D3216" t="inlineStr"/>
      <c r="E3216">
        <f>HYPERLINK("https://www.uniprot.org/uniprotkb/A0A8C1VPR1/entry", "A0A8C1VPR1")</f>
        <v/>
      </c>
      <c r="F3216" t="n">
        <v>33.7</v>
      </c>
      <c r="G3216" t="n">
        <v>101</v>
      </c>
      <c r="H3216" t="n">
        <v>5.07e-08</v>
      </c>
      <c r="I3216" t="inlineStr">
        <is>
          <t>TrEMBL</t>
        </is>
      </c>
      <c r="J3216" t="inlineStr"/>
      <c r="K3216" t="inlineStr">
        <is>
          <t>A0A8C1VPR1_CYPCA</t>
        </is>
      </c>
      <c r="L3216" t="inlineStr">
        <is>
          <t>tr|A0A8C1VPR1|A0A8C1VPR1_CYPCA LINE-1 type transposase domain-containing protein 1 OS=Cyprinus carpio OX=7962 PE=4 SV=1</t>
        </is>
      </c>
      <c r="M3216" t="n">
        <v>254</v>
      </c>
      <c r="N3216" t="inlineStr">
        <is>
          <t>Cyprinus carpio</t>
        </is>
      </c>
      <c r="O3216" t="inlineStr">
        <is>
          <t>LINE-1 type transposase domain-containing protein 1</t>
        </is>
      </c>
    </row>
    <row r="3217">
      <c r="A3217" t="inlineStr"/>
      <c r="B3217" t="inlineStr"/>
      <c r="C3217" t="inlineStr"/>
      <c r="D3217" t="inlineStr"/>
      <c r="E3217">
        <f>HYPERLINK("https://www.uniprot.org/uniprotkb/A0A3P8STI7/entry", "A0A3P8STI7")</f>
        <v/>
      </c>
      <c r="F3217" t="n">
        <v>35.8</v>
      </c>
      <c r="G3217" t="n">
        <v>106</v>
      </c>
      <c r="H3217" t="n">
        <v>6.47e-08</v>
      </c>
      <c r="I3217" t="inlineStr">
        <is>
          <t>TrEMBL</t>
        </is>
      </c>
      <c r="J3217" t="inlineStr"/>
      <c r="K3217" t="inlineStr">
        <is>
          <t>A0A3P8STI7_AMPPE</t>
        </is>
      </c>
      <c r="L3217" t="inlineStr">
        <is>
          <t>tr|A0A3P8STI7|A0A3P8STI7_AMPPE LINE-1 type transposase domain-containing protein 1 OS=Amphiprion percula OX=161767 PE=4 SV=1</t>
        </is>
      </c>
      <c r="M3217" t="n">
        <v>286</v>
      </c>
      <c r="N3217" t="inlineStr">
        <is>
          <t>Amphiprion percula</t>
        </is>
      </c>
      <c r="O3217" t="inlineStr">
        <is>
          <t>LINE-1 type transposase domain-containing protein 1</t>
        </is>
      </c>
    </row>
    <row r="3218">
      <c r="A3218" t="inlineStr"/>
      <c r="B3218" t="inlineStr"/>
      <c r="C3218" t="inlineStr"/>
      <c r="D3218" t="inlineStr"/>
      <c r="E3218">
        <f>HYPERLINK("https://www.uniprot.org/uniprotkb/A0A3N0Y9C0/entry", "A0A3N0Y9C0")</f>
        <v/>
      </c>
      <c r="F3218" t="n">
        <v>38.1</v>
      </c>
      <c r="G3218" t="n">
        <v>84</v>
      </c>
      <c r="H3218" t="n">
        <v>6.75e-08</v>
      </c>
      <c r="I3218" t="inlineStr">
        <is>
          <t>TrEMBL</t>
        </is>
      </c>
      <c r="J3218" t="inlineStr">
        <is>
          <t>DPX16_8605</t>
        </is>
      </c>
      <c r="K3218" t="inlineStr">
        <is>
          <t>A0A3N0Y9C0_ANAGA</t>
        </is>
      </c>
      <c r="L3218" t="inlineStr">
        <is>
          <t>tr|A0A3N0Y9C0|A0A3N0Y9C0_ANAGA LINE-1 retrotransposable element ORF1 protein OS=Anabarilius grahami OX=495550 GN=DPX16_8605 PE=4 SV=1</t>
        </is>
      </c>
      <c r="M3218" t="n">
        <v>293</v>
      </c>
      <c r="N3218" t="inlineStr">
        <is>
          <t>Anabarilius grahami</t>
        </is>
      </c>
      <c r="O3218" t="inlineStr">
        <is>
          <t>LINE-1 retrotransposable element ORF1 protein</t>
        </is>
      </c>
    </row>
    <row r="3219">
      <c r="A3219" t="inlineStr"/>
      <c r="B3219" t="inlineStr"/>
      <c r="C3219" t="inlineStr"/>
      <c r="D3219" t="inlineStr"/>
      <c r="E3219">
        <f>HYPERLINK("https://www.uniprot.org/uniprotkb/A0A498NUP7/entry", "A0A498NUP7")</f>
        <v/>
      </c>
      <c r="F3219" t="n">
        <v>41.5</v>
      </c>
      <c r="G3219" t="n">
        <v>82</v>
      </c>
      <c r="H3219" t="n">
        <v>7.64e-08</v>
      </c>
      <c r="I3219" t="inlineStr">
        <is>
          <t>TrEMBL</t>
        </is>
      </c>
      <c r="J3219" t="inlineStr">
        <is>
          <t>ROHU_014240</t>
        </is>
      </c>
      <c r="K3219" t="inlineStr">
        <is>
          <t>A0A498NUP7_LABRO</t>
        </is>
      </c>
      <c r="L3219" t="inlineStr">
        <is>
          <t>tr|A0A498NUP7|A0A498NUP7_LABRO LINE-1 type transposase domain-containing 1 OS=Labeo rohita OX=84645 GN=ROHU_014240 PE=4 SV=1</t>
        </is>
      </c>
      <c r="M3219" t="n">
        <v>265</v>
      </c>
      <c r="N3219" t="inlineStr">
        <is>
          <t>Labeo rohita</t>
        </is>
      </c>
      <c r="O3219" t="inlineStr">
        <is>
          <t>LINE-1 type transposase domain-containing 1</t>
        </is>
      </c>
    </row>
    <row r="3220">
      <c r="A3220" t="inlineStr"/>
      <c r="B3220" t="inlineStr"/>
      <c r="C3220" t="inlineStr"/>
      <c r="D3220" t="inlineStr"/>
      <c r="E3220">
        <f>HYPERLINK("https://www.uniprot.org/uniprotkb/A0A498MWV1/entry", "A0A498MWV1")</f>
        <v/>
      </c>
      <c r="F3220" t="n">
        <v>41.5</v>
      </c>
      <c r="G3220" t="n">
        <v>82</v>
      </c>
      <c r="H3220" t="n">
        <v>8.86e-08</v>
      </c>
      <c r="I3220" t="inlineStr">
        <is>
          <t>TrEMBL</t>
        </is>
      </c>
      <c r="J3220" t="inlineStr">
        <is>
          <t>ROHU_002007</t>
        </is>
      </c>
      <c r="K3220" t="inlineStr">
        <is>
          <t>A0A498MWV1_LABRO</t>
        </is>
      </c>
      <c r="L3220" t="inlineStr">
        <is>
          <t>tr|A0A498MWV1|A0A498MWV1_LABRO LINE-1 type transposase domain-containing 1 OS=Labeo rohita OX=84645 GN=ROHU_002007 PE=4 SV=1</t>
        </is>
      </c>
      <c r="M3220" t="n">
        <v>286</v>
      </c>
      <c r="N3220" t="inlineStr">
        <is>
          <t>Labeo rohita</t>
        </is>
      </c>
      <c r="O3220" t="inlineStr">
        <is>
          <t>LINE-1 type transposase domain-containing 1</t>
        </is>
      </c>
    </row>
    <row r="3221">
      <c r="A3221" t="inlineStr"/>
      <c r="B3221" t="inlineStr"/>
      <c r="C3221" t="inlineStr"/>
      <c r="D3221" t="inlineStr"/>
      <c r="E3221">
        <f>HYPERLINK("https://www.uniprot.org/uniprotkb/A0A669BY32/entry", "A0A669BY32")</f>
        <v/>
      </c>
      <c r="F3221" t="n">
        <v>34.4</v>
      </c>
      <c r="G3221" t="n">
        <v>96</v>
      </c>
      <c r="H3221" t="n">
        <v>9e-08</v>
      </c>
      <c r="I3221" t="inlineStr">
        <is>
          <t>TrEMBL</t>
        </is>
      </c>
      <c r="J3221" t="inlineStr"/>
      <c r="K3221" t="inlineStr">
        <is>
          <t>A0A669BY32_ORENI</t>
        </is>
      </c>
      <c r="L3221" t="inlineStr">
        <is>
          <t>tr|A0A669BY32|A0A669BY32_ORENI Reverse transcriptase domain-containing protein OS=Oreochromis niloticus OX=8128 PE=4 SV=1</t>
        </is>
      </c>
      <c r="M3221" t="n">
        <v>679</v>
      </c>
      <c r="N3221" t="inlineStr">
        <is>
          <t>Oreochromis niloticus</t>
        </is>
      </c>
      <c r="O3221" t="inlineStr">
        <is>
          <t>Reverse transcriptase domain-containing protein</t>
        </is>
      </c>
    </row>
    <row r="3222">
      <c r="A3222" t="inlineStr"/>
      <c r="B3222" t="inlineStr"/>
      <c r="C3222" t="inlineStr"/>
      <c r="D3222" t="inlineStr"/>
      <c r="E3222">
        <f>HYPERLINK("https://www.uniprot.org/uniprotkb/A0A8J0U6J5/entry", "A0A8J0U6J5")</f>
        <v/>
      </c>
      <c r="F3222" t="n">
        <v>34.7</v>
      </c>
      <c r="G3222" t="n">
        <v>98</v>
      </c>
      <c r="H3222" t="n">
        <v>1.03e-07</v>
      </c>
      <c r="I3222" t="inlineStr">
        <is>
          <t>TrEMBL</t>
        </is>
      </c>
      <c r="J3222" t="inlineStr">
        <is>
          <t>LOC108708144</t>
        </is>
      </c>
      <c r="K3222" t="inlineStr">
        <is>
          <t>A0A8J0U6J5_XENLA</t>
        </is>
      </c>
      <c r="L3222" t="inlineStr">
        <is>
          <t>tr|A0A8J0U6J5|A0A8J0U6J5_XENLA mitogen-activated protein kinase 13 isoform X4 OS=Xenopus laevis OX=8355 GN=LOC108708144 PE=4 SV=1</t>
        </is>
      </c>
      <c r="M3222" t="n">
        <v>314</v>
      </c>
      <c r="N3222" t="inlineStr">
        <is>
          <t>Xenopus laevis</t>
        </is>
      </c>
      <c r="O3222" t="inlineStr">
        <is>
          <t>mitogen-activated protein kinase 13 isoform X4</t>
        </is>
      </c>
    </row>
    <row r="3223">
      <c r="A3223" t="inlineStr"/>
      <c r="B3223" t="inlineStr"/>
      <c r="C3223" t="inlineStr"/>
      <c r="D3223" t="inlineStr"/>
      <c r="E3223">
        <f>HYPERLINK("https://www.uniprot.org/uniprotkb/A0A8J1MA51/entry", "A0A8J1MA51")</f>
        <v/>
      </c>
      <c r="F3223" t="n">
        <v>34.7</v>
      </c>
      <c r="G3223" t="n">
        <v>98</v>
      </c>
      <c r="H3223" t="n">
        <v>1.1e-07</v>
      </c>
      <c r="I3223" t="inlineStr">
        <is>
          <t>TrEMBL</t>
        </is>
      </c>
      <c r="J3223" t="inlineStr">
        <is>
          <t>LOC108708144</t>
        </is>
      </c>
      <c r="K3223" t="inlineStr">
        <is>
          <t>A0A8J1MA51_XENLA</t>
        </is>
      </c>
      <c r="L3223" t="inlineStr">
        <is>
          <t>tr|A0A8J1MA51|A0A8J1MA51_XENLA mitogen-activated protein kinase OS=Xenopus laevis OX=8355 GN=LOC108708144 PE=4 SV=1</t>
        </is>
      </c>
      <c r="M3223" t="n">
        <v>331</v>
      </c>
      <c r="N3223" t="inlineStr">
        <is>
          <t>Xenopus laevis</t>
        </is>
      </c>
      <c r="O3223" t="inlineStr">
        <is>
          <t>mitogen-activated protein kinase</t>
        </is>
      </c>
    </row>
    <row r="3224">
      <c r="A3224" t="inlineStr"/>
      <c r="B3224" t="inlineStr"/>
      <c r="C3224" t="inlineStr"/>
      <c r="D3224" t="inlineStr"/>
      <c r="E3224">
        <f>HYPERLINK("https://www.uniprot.org/uniprotkb/A0A7J6A1M0/entry", "A0A7J6A1M0")</f>
        <v/>
      </c>
      <c r="F3224" t="n">
        <v>34.1</v>
      </c>
      <c r="G3224" t="n">
        <v>91</v>
      </c>
      <c r="H3224" t="n">
        <v>1.25e-07</v>
      </c>
      <c r="I3224" t="inlineStr">
        <is>
          <t>TrEMBL</t>
        </is>
      </c>
      <c r="J3224" t="inlineStr">
        <is>
          <t>AMELA_G00216970</t>
        </is>
      </c>
      <c r="K3224" t="inlineStr">
        <is>
          <t>A0A7J6A1M0_AMEME</t>
        </is>
      </c>
      <c r="L3224" t="inlineStr">
        <is>
          <t>tr|A0A7J6A1M0|A0A7J6A1M0_AMEME Condensin complex subunit 1 OS=Ameiurus melas OX=219545 GN=AMELA_G00216970 PE=3 SV=1</t>
        </is>
      </c>
      <c r="M3224" t="n">
        <v>1557</v>
      </c>
      <c r="N3224" t="inlineStr">
        <is>
          <t>Ameiurus melas</t>
        </is>
      </c>
      <c r="O3224" t="inlineStr">
        <is>
          <t>Condensin complex subunit 1</t>
        </is>
      </c>
    </row>
    <row r="3225">
      <c r="A3225" t="inlineStr"/>
      <c r="B3225" t="inlineStr"/>
      <c r="C3225" t="inlineStr"/>
      <c r="D3225" t="inlineStr"/>
      <c r="E3225">
        <f>HYPERLINK("https://www.uniprot.org/uniprotkb/A0A8C6SR27/entry", "A0A8C6SR27")</f>
        <v/>
      </c>
      <c r="F3225" t="n">
        <v>33.7</v>
      </c>
      <c r="G3225" t="n">
        <v>92</v>
      </c>
      <c r="H3225" t="n">
        <v>1.27e-07</v>
      </c>
      <c r="I3225" t="inlineStr">
        <is>
          <t>TrEMBL</t>
        </is>
      </c>
      <c r="J3225" t="inlineStr"/>
      <c r="K3225" t="inlineStr">
        <is>
          <t>A0A8C6SR27_9GOBI</t>
        </is>
      </c>
      <c r="L3225" t="inlineStr">
        <is>
          <t>tr|A0A8C6SR27|A0A8C6SR27_9GOBI Reverse transcriptase domain-containing protein OS=Neogobius melanostomus OX=47308 PE=4 SV=1</t>
        </is>
      </c>
      <c r="M3225" t="n">
        <v>999</v>
      </c>
      <c r="N3225" t="inlineStr">
        <is>
          <t>Neogobius melanostomus</t>
        </is>
      </c>
      <c r="O3225" t="inlineStr">
        <is>
          <t>Reverse transcriptase domain-containing protein</t>
        </is>
      </c>
    </row>
    <row r="3226">
      <c r="A3226" t="inlineStr"/>
      <c r="B3226" t="inlineStr"/>
      <c r="C3226" t="inlineStr"/>
      <c r="D3226" t="inlineStr"/>
      <c r="E3226">
        <f>HYPERLINK("https://www.ncbi.nlm.nih.gov/gene/?term=CAI5697409.1", "CAI5697409.1")</f>
        <v/>
      </c>
      <c r="F3226" t="n">
        <v>28.3</v>
      </c>
      <c r="G3226" t="n">
        <v>152</v>
      </c>
      <c r="H3226" t="n">
        <v>1.4e-07</v>
      </c>
      <c r="I3226" t="inlineStr">
        <is>
          <t>Nr</t>
        </is>
      </c>
      <c r="J3226" t="inlineStr"/>
      <c r="K3226" t="inlineStr"/>
      <c r="L3226" t="inlineStr">
        <is>
          <t>CAI5697409.1 unnamed protein product [Mustela putorius furo]</t>
        </is>
      </c>
      <c r="M3226" t="n">
        <v>791</v>
      </c>
      <c r="N3226" t="inlineStr">
        <is>
          <t>Mustela putorius furo</t>
        </is>
      </c>
      <c r="O3226" t="inlineStr">
        <is>
          <t>unnamed protein product</t>
        </is>
      </c>
    </row>
    <row r="3227">
      <c r="A3227" t="inlineStr"/>
      <c r="B3227" t="inlineStr"/>
      <c r="C3227" t="inlineStr"/>
      <c r="D3227" t="inlineStr"/>
      <c r="E3227">
        <f>HYPERLINK("https://www.ncbi.nlm.nih.gov/gene/?term=CAI5646505.1", "CAI5646505.1")</f>
        <v/>
      </c>
      <c r="F3227" t="n">
        <v>28.3</v>
      </c>
      <c r="G3227" t="n">
        <v>152</v>
      </c>
      <c r="H3227" t="n">
        <v>1.4e-07</v>
      </c>
      <c r="I3227" t="inlineStr">
        <is>
          <t>Nr</t>
        </is>
      </c>
      <c r="J3227" t="inlineStr"/>
      <c r="K3227" t="inlineStr"/>
      <c r="L3227" t="inlineStr">
        <is>
          <t>CAI5646505.1 unnamed protein product [Mustela putorius furo]</t>
        </is>
      </c>
      <c r="M3227" t="n">
        <v>791</v>
      </c>
      <c r="N3227" t="inlineStr">
        <is>
          <t>Mustela putorius furo</t>
        </is>
      </c>
      <c r="O3227" t="inlineStr">
        <is>
          <t>unnamed protein product</t>
        </is>
      </c>
    </row>
    <row r="3228">
      <c r="A3228" t="inlineStr"/>
      <c r="B3228" t="inlineStr"/>
      <c r="C3228" t="inlineStr"/>
      <c r="D3228" t="inlineStr"/>
      <c r="E3228">
        <f>HYPERLINK("https://www.ncbi.nlm.nih.gov/gene/?term=MBN3292926.1", "MBN3292926.1")</f>
        <v/>
      </c>
      <c r="F3228" t="n">
        <v>31.9</v>
      </c>
      <c r="G3228" t="n">
        <v>94</v>
      </c>
      <c r="H3228" t="n">
        <v>1.5e-07</v>
      </c>
      <c r="I3228" t="inlineStr">
        <is>
          <t>Nr</t>
        </is>
      </c>
      <c r="J3228" t="inlineStr"/>
      <c r="K3228" t="inlineStr"/>
      <c r="L3228" t="inlineStr">
        <is>
          <t>MBN3292926.1 LIN1 transcriptase [Polypterus senegalus]</t>
        </is>
      </c>
      <c r="M3228" t="n">
        <v>371</v>
      </c>
      <c r="N3228" t="inlineStr">
        <is>
          <t>Polypterus senegalus</t>
        </is>
      </c>
      <c r="O3228" t="inlineStr">
        <is>
          <t>LIN1 transcriptase</t>
        </is>
      </c>
    </row>
    <row r="3229">
      <c r="A3229" t="inlineStr"/>
      <c r="B3229" t="inlineStr"/>
      <c r="C3229" t="inlineStr"/>
      <c r="D3229" t="inlineStr"/>
      <c r="E3229">
        <f>HYPERLINK("https://www.uniprot.org/uniprotkb/A0A672II19/entry", "A0A672II19")</f>
        <v/>
      </c>
      <c r="F3229" t="n">
        <v>31.9</v>
      </c>
      <c r="G3229" t="n">
        <v>94</v>
      </c>
      <c r="H3229" t="n">
        <v>1.95e-07</v>
      </c>
      <c r="I3229" t="inlineStr">
        <is>
          <t>TrEMBL</t>
        </is>
      </c>
      <c r="J3229" t="inlineStr"/>
      <c r="K3229" t="inlineStr">
        <is>
          <t>A0A672II19_SALFA</t>
        </is>
      </c>
      <c r="L3229" t="inlineStr">
        <is>
          <t>tr|A0A672II19|A0A672II19_SALFA Zf-RVT domain-containing protein OS=Salarias fasciatus OX=181472 PE=4 SV=1</t>
        </is>
      </c>
      <c r="M3229" t="n">
        <v>344</v>
      </c>
      <c r="N3229" t="inlineStr">
        <is>
          <t>Salarias fasciatus</t>
        </is>
      </c>
      <c r="O3229" t="inlineStr">
        <is>
          <t>Zf-RVT domain-containing protein</t>
        </is>
      </c>
    </row>
    <row r="3230">
      <c r="A3230" t="inlineStr"/>
      <c r="B3230" t="inlineStr"/>
      <c r="C3230" t="inlineStr"/>
      <c r="D3230" t="inlineStr"/>
      <c r="E3230">
        <f>HYPERLINK("https://www.uniprot.org/uniprotkb/A0A8C2PXY0/entry", "A0A8C2PXY0")</f>
        <v/>
      </c>
      <c r="F3230" t="n">
        <v>27.9</v>
      </c>
      <c r="G3230" t="n">
        <v>122</v>
      </c>
      <c r="H3230" t="n">
        <v>1.96e-07</v>
      </c>
      <c r="I3230" t="inlineStr">
        <is>
          <t>TrEMBL</t>
        </is>
      </c>
      <c r="J3230" t="inlineStr"/>
      <c r="K3230" t="inlineStr">
        <is>
          <t>A0A8C2PXY0_CYPCA</t>
        </is>
      </c>
      <c r="L3230" t="inlineStr">
        <is>
          <t>tr|A0A8C2PXY0|A0A8C2PXY0_CYPCA Reverse transcriptase domain-containing protein OS=Cyprinus carpio OX=7962 PE=4 SV=1</t>
        </is>
      </c>
      <c r="M3230" t="n">
        <v>1264</v>
      </c>
      <c r="N3230" t="inlineStr">
        <is>
          <t>Cyprinus carpio</t>
        </is>
      </c>
      <c r="O3230" t="inlineStr">
        <is>
          <t>Reverse transcriptase domain-containing protein</t>
        </is>
      </c>
    </row>
    <row r="3231">
      <c r="A3231" t="inlineStr"/>
      <c r="B3231" t="inlineStr"/>
      <c r="C3231" t="inlineStr"/>
      <c r="D3231" t="inlineStr"/>
      <c r="E3231">
        <f>HYPERLINK("https://www.uniprot.org/uniprotkb/A0A672FFJ4/entry", "A0A672FFJ4")</f>
        <v/>
      </c>
      <c r="F3231" t="n">
        <v>31.9</v>
      </c>
      <c r="G3231" t="n">
        <v>94</v>
      </c>
      <c r="H3231" t="n">
        <v>2.69e-07</v>
      </c>
      <c r="I3231" t="inlineStr">
        <is>
          <t>TrEMBL</t>
        </is>
      </c>
      <c r="J3231" t="inlineStr"/>
      <c r="K3231" t="inlineStr">
        <is>
          <t>A0A672FFJ4_SALFA</t>
        </is>
      </c>
      <c r="L3231" t="inlineStr">
        <is>
          <t>tr|A0A672FFJ4|A0A672FFJ4_SALFA Zf-RVT domain-containing protein OS=Salarias fasciatus OX=181472 PE=4 SV=1</t>
        </is>
      </c>
      <c r="M3231" t="n">
        <v>351</v>
      </c>
      <c r="N3231" t="inlineStr">
        <is>
          <t>Salarias fasciatus</t>
        </is>
      </c>
      <c r="O3231" t="inlineStr">
        <is>
          <t>Zf-RVT domain-containing protein</t>
        </is>
      </c>
    </row>
    <row r="3232">
      <c r="A3232" t="inlineStr"/>
      <c r="B3232" t="inlineStr"/>
      <c r="C3232" t="inlineStr"/>
      <c r="D3232" t="inlineStr"/>
      <c r="E3232">
        <f>HYPERLINK("https://www.uniprot.org/uniprotkb/A0A672J408/entry", "A0A672J408")</f>
        <v/>
      </c>
      <c r="F3232" t="n">
        <v>31.9</v>
      </c>
      <c r="G3232" t="n">
        <v>94</v>
      </c>
      <c r="H3232" t="n">
        <v>2.69e-07</v>
      </c>
      <c r="I3232" t="inlineStr">
        <is>
          <t>TrEMBL</t>
        </is>
      </c>
      <c r="J3232" t="inlineStr"/>
      <c r="K3232" t="inlineStr">
        <is>
          <t>A0A672J408_SALFA</t>
        </is>
      </c>
      <c r="L3232" t="inlineStr">
        <is>
          <t>tr|A0A672J408|A0A672J408_SALFA Zf-RVT domain-containing protein OS=Salarias fasciatus OX=181472 PE=4 SV=1</t>
        </is>
      </c>
      <c r="M3232" t="n">
        <v>351</v>
      </c>
      <c r="N3232" t="inlineStr">
        <is>
          <t>Salarias fasciatus</t>
        </is>
      </c>
      <c r="O3232" t="inlineStr">
        <is>
          <t>Zf-RVT domain-containing protein</t>
        </is>
      </c>
    </row>
    <row r="3233">
      <c r="A3233" t="inlineStr"/>
      <c r="B3233" t="inlineStr"/>
      <c r="C3233" t="inlineStr"/>
      <c r="D3233" t="inlineStr"/>
      <c r="E3233">
        <f>HYPERLINK("https://www.uniprot.org/uniprotkb/A0A672IS14/entry", "A0A672IS14")</f>
        <v/>
      </c>
      <c r="F3233" t="n">
        <v>31.9</v>
      </c>
      <c r="G3233" t="n">
        <v>94</v>
      </c>
      <c r="H3233" t="n">
        <v>2.77e-07</v>
      </c>
      <c r="I3233" t="inlineStr">
        <is>
          <t>TrEMBL</t>
        </is>
      </c>
      <c r="J3233" t="inlineStr"/>
      <c r="K3233" t="inlineStr">
        <is>
          <t>A0A672IS14_SALFA</t>
        </is>
      </c>
      <c r="L3233" t="inlineStr">
        <is>
          <t>tr|A0A672IS14|A0A672IS14_SALFA Zf-RVT domain-containing protein OS=Salarias fasciatus OX=181472 PE=4 SV=1</t>
        </is>
      </c>
      <c r="M3233" t="n">
        <v>371</v>
      </c>
      <c r="N3233" t="inlineStr">
        <is>
          <t>Salarias fasciatus</t>
        </is>
      </c>
      <c r="O3233" t="inlineStr">
        <is>
          <t>Zf-RVT domain-containing protein</t>
        </is>
      </c>
    </row>
    <row r="3234">
      <c r="A3234" t="inlineStr"/>
      <c r="B3234" t="inlineStr"/>
      <c r="C3234" t="inlineStr"/>
      <c r="D3234" t="inlineStr"/>
      <c r="E3234">
        <f>HYPERLINK("https://www.uniprot.org/uniprotkb/A0A672JAJ3/entry", "A0A672JAJ3")</f>
        <v/>
      </c>
      <c r="F3234" t="n">
        <v>31.9</v>
      </c>
      <c r="G3234" t="n">
        <v>94</v>
      </c>
      <c r="H3234" t="n">
        <v>2.82e-07</v>
      </c>
      <c r="I3234" t="inlineStr">
        <is>
          <t>TrEMBL</t>
        </is>
      </c>
      <c r="J3234" t="inlineStr"/>
      <c r="K3234" t="inlineStr">
        <is>
          <t>A0A672JAJ3_SALFA</t>
        </is>
      </c>
      <c r="L3234" t="inlineStr">
        <is>
          <t>tr|A0A672JAJ3|A0A672JAJ3_SALFA Zf-RVT domain-containing protein OS=Salarias fasciatus OX=181472 PE=4 SV=1</t>
        </is>
      </c>
      <c r="M3234" t="n">
        <v>390</v>
      </c>
      <c r="N3234" t="inlineStr">
        <is>
          <t>Salarias fasciatus</t>
        </is>
      </c>
      <c r="O3234" t="inlineStr">
        <is>
          <t>Zf-RVT domain-containing protein</t>
        </is>
      </c>
    </row>
    <row r="3235">
      <c r="A3235" t="inlineStr"/>
      <c r="B3235" t="inlineStr"/>
      <c r="C3235" t="inlineStr"/>
      <c r="D3235" t="inlineStr"/>
      <c r="E3235">
        <f>HYPERLINK("https://www.uniprot.org/uniprotkb/A0A8T2MTK7/entry", "A0A8T2MTK7")</f>
        <v/>
      </c>
      <c r="F3235" t="n">
        <v>32.3</v>
      </c>
      <c r="G3235" t="n">
        <v>93</v>
      </c>
      <c r="H3235" t="n">
        <v>4.32e-07</v>
      </c>
      <c r="I3235" t="inlineStr">
        <is>
          <t>TrEMBL</t>
        </is>
      </c>
      <c r="J3235" t="inlineStr">
        <is>
          <t>AMEX_G2740</t>
        </is>
      </c>
      <c r="K3235" t="inlineStr">
        <is>
          <t>A0A8T2MTK7_ASTMX</t>
        </is>
      </c>
      <c r="L3235" t="inlineStr">
        <is>
          <t>tr|A0A8T2MTK7|A0A8T2MTK7_ASTMX WD repeat-containing protein 3 isoform X1 OS=Astyanax mexicanus OX=7994 GN=AMEX_G2740 PE=4 SV=1</t>
        </is>
      </c>
      <c r="M3235" t="n">
        <v>818</v>
      </c>
      <c r="N3235" t="inlineStr">
        <is>
          <t>Astyanax mexicanus</t>
        </is>
      </c>
      <c r="O3235" t="inlineStr">
        <is>
          <t>WD repeat-containing protein 3 isoform X1</t>
        </is>
      </c>
    </row>
    <row r="3236">
      <c r="A3236" t="inlineStr"/>
      <c r="B3236" t="inlineStr"/>
      <c r="C3236" t="inlineStr"/>
      <c r="D3236" t="inlineStr"/>
      <c r="E3236">
        <f>HYPERLINK("https://www.uniprot.org/uniprotkb/A0A669DJ55/entry", "A0A669DJ55")</f>
        <v/>
      </c>
      <c r="F3236" t="n">
        <v>30.9</v>
      </c>
      <c r="G3236" t="n">
        <v>97</v>
      </c>
      <c r="H3236" t="n">
        <v>4.43e-07</v>
      </c>
      <c r="I3236" t="inlineStr">
        <is>
          <t>TrEMBL</t>
        </is>
      </c>
      <c r="J3236" t="inlineStr"/>
      <c r="K3236" t="inlineStr">
        <is>
          <t>A0A669DJ55_ORENI</t>
        </is>
      </c>
      <c r="L3236" t="inlineStr">
        <is>
          <t>tr|A0A669DJ55|A0A669DJ55_ORENI Reverse transcriptase domain-containing protein OS=Oreochromis niloticus OX=8128 PE=4 SV=1</t>
        </is>
      </c>
      <c r="M3236" t="n">
        <v>1142</v>
      </c>
      <c r="N3236" t="inlineStr">
        <is>
          <t>Oreochromis niloticus</t>
        </is>
      </c>
      <c r="O3236" t="inlineStr">
        <is>
          <t>Reverse transcriptase domain-containing protein</t>
        </is>
      </c>
    </row>
    <row r="3237">
      <c r="A3237" t="inlineStr"/>
      <c r="B3237" t="inlineStr"/>
      <c r="C3237" t="inlineStr"/>
      <c r="D3237" t="inlineStr"/>
      <c r="E3237">
        <f>HYPERLINK("https://www.ncbi.nlm.nih.gov/gene/?term=KAJ1110459.1", "KAJ1110459.1")</f>
        <v/>
      </c>
      <c r="F3237" t="n">
        <v>30.8</v>
      </c>
      <c r="G3237" t="n">
        <v>104</v>
      </c>
      <c r="H3237" t="n">
        <v>6.01e-07</v>
      </c>
      <c r="I3237" t="inlineStr">
        <is>
          <t>Nr</t>
        </is>
      </c>
      <c r="J3237" t="inlineStr"/>
      <c r="K3237" t="inlineStr"/>
      <c r="L3237" t="inlineStr">
        <is>
          <t>KAJ1110459.1 hypothetical protein NDU88_007810 [Pleurodeles waltl]</t>
        </is>
      </c>
      <c r="M3237" t="n">
        <v>330</v>
      </c>
      <c r="N3237" t="inlineStr">
        <is>
          <t>Pleurodeles waltl</t>
        </is>
      </c>
      <c r="O3237" t="inlineStr">
        <is>
          <t>hypothetical protein NDU88_007810</t>
        </is>
      </c>
    </row>
    <row r="3238">
      <c r="A3238" t="inlineStr"/>
      <c r="B3238" t="inlineStr"/>
      <c r="C3238" t="inlineStr"/>
      <c r="D3238" t="inlineStr"/>
      <c r="E3238">
        <f>HYPERLINK("https://www.uniprot.org/uniprotkb/A0A3Q1EXS2/entry", "A0A3Q1EXS2")</f>
        <v/>
      </c>
      <c r="F3238" t="n">
        <v>35.3</v>
      </c>
      <c r="G3238" t="n">
        <v>102</v>
      </c>
      <c r="H3238" t="n">
        <v>8.23e-07</v>
      </c>
      <c r="I3238" t="inlineStr">
        <is>
          <t>TrEMBL</t>
        </is>
      </c>
      <c r="J3238" t="inlineStr"/>
      <c r="K3238" t="inlineStr">
        <is>
          <t>A0A3Q1EXS2_9TELE</t>
        </is>
      </c>
      <c r="L3238" t="inlineStr">
        <is>
          <t>tr|A0A3Q1EXS2|A0A3Q1EXS2_9TELE Reverse transcriptase domain-containing protein OS=Acanthochromis polyacanthus OX=80966 PE=4 SV=1</t>
        </is>
      </c>
      <c r="M3238" t="n">
        <v>1132</v>
      </c>
      <c r="N3238" t="inlineStr">
        <is>
          <t>Acanthochromis polyacanthus</t>
        </is>
      </c>
      <c r="O3238" t="inlineStr">
        <is>
          <t>Reverse transcriptase domain-containing protein</t>
        </is>
      </c>
    </row>
    <row r="3239">
      <c r="A3239" t="inlineStr"/>
      <c r="B3239" t="inlineStr"/>
      <c r="C3239" t="inlineStr"/>
      <c r="D3239" t="inlineStr"/>
      <c r="E3239">
        <f>HYPERLINK("https://www.uniprot.org/uniprotkb/A0A3Q2Z9S0/entry", "A0A3Q2Z9S0")</f>
        <v/>
      </c>
      <c r="F3239" t="n">
        <v>28.9</v>
      </c>
      <c r="G3239" t="n">
        <v>121</v>
      </c>
      <c r="H3239" t="n">
        <v>8.76e-07</v>
      </c>
      <c r="I3239" t="inlineStr">
        <is>
          <t>TrEMBL</t>
        </is>
      </c>
      <c r="J3239" t="inlineStr"/>
      <c r="K3239" t="inlineStr">
        <is>
          <t>A0A3Q2Z9S0_KRYMA</t>
        </is>
      </c>
      <c r="L3239" t="inlineStr">
        <is>
          <t>tr|A0A3Q2Z9S0|A0A3Q2Z9S0_KRYMA Reverse transcriptase domain-containing protein OS=Kryptolebias marmoratus OX=37003 PE=4 SV=1</t>
        </is>
      </c>
      <c r="M3239" t="n">
        <v>1096</v>
      </c>
      <c r="N3239" t="inlineStr">
        <is>
          <t>Kryptolebias marmoratus</t>
        </is>
      </c>
      <c r="O3239" t="inlineStr">
        <is>
          <t>Reverse transcriptase domain-containing protein</t>
        </is>
      </c>
    </row>
    <row r="3240">
      <c r="A3240" t="inlineStr"/>
      <c r="B3240" t="inlineStr"/>
      <c r="C3240" t="inlineStr"/>
      <c r="D3240" t="inlineStr"/>
      <c r="E3240">
        <f>HYPERLINK("https://www.uniprot.org/uniprotkb/E7F4C8/entry", "E7F4C8")</f>
        <v/>
      </c>
      <c r="F3240" t="n">
        <v>33</v>
      </c>
      <c r="G3240" t="n">
        <v>94</v>
      </c>
      <c r="H3240" t="n">
        <v>1.09e-06</v>
      </c>
      <c r="I3240" t="inlineStr">
        <is>
          <t>TrEMBL</t>
        </is>
      </c>
      <c r="J3240" t="inlineStr"/>
      <c r="K3240" t="inlineStr">
        <is>
          <t>E7F4C8_DANRE</t>
        </is>
      </c>
      <c r="L3240" t="inlineStr">
        <is>
          <t>tr|E7F4C8|E7F4C8_DANRE Reverse transcriptase domain-containing protein OS=Danio rerio OX=7955 PE=4 SV=2</t>
        </is>
      </c>
      <c r="M3240" t="n">
        <v>793</v>
      </c>
      <c r="N3240" t="inlineStr">
        <is>
          <t>Danio rerio</t>
        </is>
      </c>
      <c r="O3240" t="inlineStr">
        <is>
          <t>Reverse transcriptase domain-containing protein</t>
        </is>
      </c>
    </row>
    <row r="3241">
      <c r="A3241" t="inlineStr"/>
      <c r="B3241" t="inlineStr"/>
      <c r="C3241" t="inlineStr"/>
      <c r="D3241" t="inlineStr"/>
      <c r="E3241">
        <f>HYPERLINK("https://www.ncbi.nlm.nih.gov/gene/?term=KAG9283901.1", "KAG9283901.1")</f>
        <v/>
      </c>
      <c r="F3241" t="n">
        <v>32.3</v>
      </c>
      <c r="G3241" t="n">
        <v>93</v>
      </c>
      <c r="H3241" t="n">
        <v>1.11e-06</v>
      </c>
      <c r="I3241" t="inlineStr">
        <is>
          <t>Nr</t>
        </is>
      </c>
      <c r="J3241" t="inlineStr"/>
      <c r="K3241" t="inlineStr"/>
      <c r="L3241" t="inlineStr">
        <is>
          <t>KAG9283901.1 WD repeat-containing protein 3 isoform X1 [Astyanax mexicanus]</t>
        </is>
      </c>
      <c r="M3241" t="n">
        <v>818</v>
      </c>
      <c r="N3241" t="inlineStr">
        <is>
          <t>Astyanax mexicanus</t>
        </is>
      </c>
      <c r="O3241" t="inlineStr">
        <is>
          <t>WD repeat-containing protein 3 isoform X1</t>
        </is>
      </c>
    </row>
    <row r="3242">
      <c r="A3242" t="inlineStr"/>
      <c r="B3242" t="inlineStr"/>
      <c r="C3242" t="inlineStr"/>
      <c r="D3242" t="inlineStr"/>
      <c r="E3242">
        <f>HYPERLINK("https://www.uniprot.org/uniprotkb/A0A0S7LLX6/entry", "A0A0S7LLX6")</f>
        <v/>
      </c>
      <c r="F3242" t="n">
        <v>30.1</v>
      </c>
      <c r="G3242" t="n">
        <v>93</v>
      </c>
      <c r="H3242" t="n">
        <v>1.2e-06</v>
      </c>
      <c r="I3242" t="inlineStr">
        <is>
          <t>TrEMBL</t>
        </is>
      </c>
      <c r="J3242" t="inlineStr">
        <is>
          <t>LIN1</t>
        </is>
      </c>
      <c r="K3242" t="inlineStr">
        <is>
          <t>A0A0S7LLX6_9TELE</t>
        </is>
      </c>
      <c r="L3242" t="inlineStr">
        <is>
          <t>tr|A0A0S7LLX6|A0A0S7LLX6_9TELE LIN1 (Fragment) OS=Poeciliopsis prolifica OX=188132 GN=LIN1 PE=4 SV=1</t>
        </is>
      </c>
      <c r="M3242" t="n">
        <v>315</v>
      </c>
      <c r="N3242" t="inlineStr">
        <is>
          <t>Poeciliopsis prolifica</t>
        </is>
      </c>
      <c r="O3242" t="inlineStr">
        <is>
          <t>LIN1 (Fragment)</t>
        </is>
      </c>
    </row>
    <row r="3243">
      <c r="A3243" t="inlineStr"/>
      <c r="B3243" t="inlineStr"/>
      <c r="C3243" t="inlineStr"/>
      <c r="D3243" t="inlineStr"/>
      <c r="E3243">
        <f>HYPERLINK("https://www.uniprot.org/uniprotkb/A0A3Q3A000/entry", "A0A3Q3A000")</f>
        <v/>
      </c>
      <c r="F3243" t="n">
        <v>31.3</v>
      </c>
      <c r="G3243" t="n">
        <v>112</v>
      </c>
      <c r="H3243" t="n">
        <v>1.54e-06</v>
      </c>
      <c r="I3243" t="inlineStr">
        <is>
          <t>TrEMBL</t>
        </is>
      </c>
      <c r="J3243" t="inlineStr"/>
      <c r="K3243" t="inlineStr">
        <is>
          <t>A0A3Q3A000_KRYMA</t>
        </is>
      </c>
      <c r="L3243" t="inlineStr">
        <is>
          <t>tr|A0A3Q3A000|A0A3Q3A000_KRYMA Reverse transcriptase domain-containing protein OS=Kryptolebias marmoratus OX=37003 PE=4 SV=1</t>
        </is>
      </c>
      <c r="M3243" t="n">
        <v>1270</v>
      </c>
      <c r="N3243" t="inlineStr">
        <is>
          <t>Kryptolebias marmoratus</t>
        </is>
      </c>
      <c r="O3243" t="inlineStr">
        <is>
          <t>Reverse transcriptase domain-containing protein</t>
        </is>
      </c>
    </row>
    <row r="3244">
      <c r="A3244" t="inlineStr"/>
      <c r="B3244" t="inlineStr"/>
      <c r="C3244" t="inlineStr"/>
      <c r="D3244" t="inlineStr"/>
      <c r="E3244">
        <f>HYPERLINK("https://www.uniprot.org/uniprotkb/A0A3Q1AVG2/entry", "A0A3Q1AVG2")</f>
        <v/>
      </c>
      <c r="F3244" t="n">
        <v>33</v>
      </c>
      <c r="G3244" t="n">
        <v>103</v>
      </c>
      <c r="H3244" t="n">
        <v>2.11e-06</v>
      </c>
      <c r="I3244" t="inlineStr">
        <is>
          <t>TrEMBL</t>
        </is>
      </c>
      <c r="J3244" t="inlineStr"/>
      <c r="K3244" t="inlineStr">
        <is>
          <t>A0A3Q1AVG2_AMPOC</t>
        </is>
      </c>
      <c r="L3244" t="inlineStr">
        <is>
          <t>tr|A0A3Q1AVG2|A0A3Q1AVG2_AMPOC Reverse transcriptase domain-containing protein OS=Amphiprion ocellaris OX=80972 PE=4 SV=1</t>
        </is>
      </c>
      <c r="M3244" t="n">
        <v>1445</v>
      </c>
      <c r="N3244" t="inlineStr">
        <is>
          <t>Amphiprion ocellaris</t>
        </is>
      </c>
      <c r="O3244" t="inlineStr">
        <is>
          <t>Reverse transcriptase domain-containing protein</t>
        </is>
      </c>
    </row>
    <row r="3245">
      <c r="A3245" t="inlineStr"/>
      <c r="B3245" t="inlineStr"/>
      <c r="C3245" t="inlineStr"/>
      <c r="D3245" t="inlineStr"/>
      <c r="E3245">
        <f>HYPERLINK("https://www.uniprot.org/uniprotkb/A0A3Q1BKU0/entry", "A0A3Q1BKU0")</f>
        <v/>
      </c>
      <c r="F3245" t="n">
        <v>31.8</v>
      </c>
      <c r="G3245" t="n">
        <v>110</v>
      </c>
      <c r="H3245" t="n">
        <v>2.25e-06</v>
      </c>
      <c r="I3245" t="inlineStr">
        <is>
          <t>TrEMBL</t>
        </is>
      </c>
      <c r="J3245" t="inlineStr"/>
      <c r="K3245" t="inlineStr">
        <is>
          <t>A0A3Q1BKU0_AMPOC</t>
        </is>
      </c>
      <c r="L3245" t="inlineStr">
        <is>
          <t>tr|A0A3Q1BKU0|A0A3Q1BKU0_AMPOC Maturase K OS=Amphiprion ocellaris OX=80972 PE=4 SV=1</t>
        </is>
      </c>
      <c r="M3245" t="n">
        <v>317</v>
      </c>
      <c r="N3245" t="inlineStr">
        <is>
          <t>Amphiprion ocellaris</t>
        </is>
      </c>
      <c r="O3245" t="inlineStr">
        <is>
          <t>Maturase K</t>
        </is>
      </c>
    </row>
    <row r="3246">
      <c r="A3246" t="inlineStr"/>
      <c r="B3246" t="inlineStr"/>
      <c r="C3246" t="inlineStr"/>
      <c r="D3246" t="inlineStr"/>
      <c r="E3246">
        <f>HYPERLINK("https://www.uniprot.org/uniprotkb/A0A8C6WLN3/entry", "A0A8C6WLN3")</f>
        <v/>
      </c>
      <c r="F3246" t="n">
        <v>30</v>
      </c>
      <c r="G3246" t="n">
        <v>110</v>
      </c>
      <c r="H3246" t="n">
        <v>2.59e-06</v>
      </c>
      <c r="I3246" t="inlineStr">
        <is>
          <t>TrEMBL</t>
        </is>
      </c>
      <c r="J3246" t="inlineStr"/>
      <c r="K3246" t="inlineStr">
        <is>
          <t>A0A8C6WLN3_9GOBI</t>
        </is>
      </c>
      <c r="L3246" t="inlineStr">
        <is>
          <t>tr|A0A8C6WLN3|A0A8C6WLN3_9GOBI Zf-RVT domain-containing protein OS=Neogobius melanostomus OX=47308 PE=4 SV=1</t>
        </is>
      </c>
      <c r="M3246" t="n">
        <v>485</v>
      </c>
      <c r="N3246" t="inlineStr">
        <is>
          <t>Neogobius melanostomus</t>
        </is>
      </c>
      <c r="O3246" t="inlineStr">
        <is>
          <t>Zf-RVT domain-containing protein</t>
        </is>
      </c>
    </row>
    <row r="3247">
      <c r="A3247" t="inlineStr"/>
      <c r="B3247" t="inlineStr"/>
      <c r="C3247" t="inlineStr"/>
      <c r="D3247" t="inlineStr"/>
      <c r="E3247">
        <f>HYPERLINK("https://www.uniprot.org/uniprotkb/A0A669DYY4/entry", "A0A669DYY4")</f>
        <v/>
      </c>
      <c r="F3247" t="n">
        <v>32.6</v>
      </c>
      <c r="G3247" t="n">
        <v>95</v>
      </c>
      <c r="H3247" t="n">
        <v>2.82e-06</v>
      </c>
      <c r="I3247" t="inlineStr">
        <is>
          <t>TrEMBL</t>
        </is>
      </c>
      <c r="J3247" t="inlineStr"/>
      <c r="K3247" t="inlineStr">
        <is>
          <t>A0A669DYY4_ORENI</t>
        </is>
      </c>
      <c r="L3247" t="inlineStr">
        <is>
          <t>tr|A0A669DYY4|A0A669DYY4_ORENI Reverse transcriptase domain-containing protein OS=Oreochromis niloticus OX=8128 PE=4 SV=1</t>
        </is>
      </c>
      <c r="M3247" t="n">
        <v>1011</v>
      </c>
      <c r="N3247" t="inlineStr">
        <is>
          <t>Oreochromis niloticus</t>
        </is>
      </c>
      <c r="O3247" t="inlineStr">
        <is>
          <t>Reverse transcriptase domain-containing protein</t>
        </is>
      </c>
    </row>
    <row r="3248">
      <c r="A3248" t="inlineStr"/>
      <c r="B3248" t="inlineStr"/>
      <c r="C3248" t="inlineStr"/>
      <c r="D3248" t="inlineStr"/>
      <c r="E3248">
        <f>HYPERLINK("https://www.uniprot.org/uniprotkb/A0A3P9H232/entry", "A0A3P9H232")</f>
        <v/>
      </c>
      <c r="F3248" t="n">
        <v>25</v>
      </c>
      <c r="G3248" t="n">
        <v>152</v>
      </c>
      <c r="H3248" t="n">
        <v>2.99e-06</v>
      </c>
      <c r="I3248" t="inlineStr">
        <is>
          <t>TrEMBL</t>
        </is>
      </c>
      <c r="J3248" t="inlineStr"/>
      <c r="K3248" t="inlineStr">
        <is>
          <t>A0A3P9H232_ORYLA</t>
        </is>
      </c>
      <c r="L3248" t="inlineStr">
        <is>
          <t>tr|A0A3P9H232|A0A3P9H232_ORYLA Reverse transcriptase domain-containing protein OS=Oryzias latipes OX=8090 PE=4 SV=1</t>
        </is>
      </c>
      <c r="M3248" t="n">
        <v>1283</v>
      </c>
      <c r="N3248" t="inlineStr">
        <is>
          <t>Oryzias latipes</t>
        </is>
      </c>
      <c r="O3248" t="inlineStr">
        <is>
          <t>Reverse transcriptase domain-containing protein</t>
        </is>
      </c>
    </row>
    <row r="3249">
      <c r="A3249" t="inlineStr"/>
      <c r="B3249" t="inlineStr"/>
      <c r="C3249" t="inlineStr"/>
      <c r="D3249" t="inlineStr"/>
      <c r="E3249">
        <f>HYPERLINK("https://www.ncbi.nlm.nih.gov/gene/?term=CAI5657826.1", "CAI5657826.1")</f>
        <v/>
      </c>
      <c r="F3249" t="n">
        <v>28.3</v>
      </c>
      <c r="G3249" t="n">
        <v>152</v>
      </c>
      <c r="H3249" t="n">
        <v>3.35e-06</v>
      </c>
      <c r="I3249" t="inlineStr">
        <is>
          <t>Nr</t>
        </is>
      </c>
      <c r="J3249" t="inlineStr"/>
      <c r="K3249" t="inlineStr"/>
      <c r="L3249" t="inlineStr">
        <is>
          <t>CAI5657826.1 unnamed protein product [Mustela putorius furo]</t>
        </is>
      </c>
      <c r="M3249" t="n">
        <v>441</v>
      </c>
      <c r="N3249" t="inlineStr">
        <is>
          <t>Mustela putorius furo</t>
        </is>
      </c>
      <c r="O3249" t="inlineStr">
        <is>
          <t>unnamed protein product</t>
        </is>
      </c>
    </row>
    <row r="3250">
      <c r="A3250" t="inlineStr"/>
      <c r="B3250" t="inlineStr"/>
      <c r="C3250" t="inlineStr"/>
      <c r="D3250" t="inlineStr"/>
      <c r="E3250">
        <f>HYPERLINK("https://www.uniprot.org/uniprotkb/A0A8P4GNT1/entry", "A0A8P4GNT1")</f>
        <v/>
      </c>
      <c r="F3250" t="n">
        <v>27</v>
      </c>
      <c r="G3250" t="n">
        <v>152</v>
      </c>
      <c r="H3250" t="n">
        <v>3.65e-06</v>
      </c>
      <c r="I3250" t="inlineStr">
        <is>
          <t>TrEMBL</t>
        </is>
      </c>
      <c r="J3250" t="inlineStr"/>
      <c r="K3250" t="inlineStr">
        <is>
          <t>A0A8P4GNT1_DICLA</t>
        </is>
      </c>
      <c r="L3250" t="inlineStr">
        <is>
          <t>tr|A0A8P4GNT1|A0A8P4GNT1_DICLA Reverse transcriptase domain-containing protein OS=Dicentrarchus labrax OX=13489 PE=4 SV=1</t>
        </is>
      </c>
      <c r="M3250" t="n">
        <v>670</v>
      </c>
      <c r="N3250" t="inlineStr">
        <is>
          <t>Dicentrarchus labrax</t>
        </is>
      </c>
      <c r="O3250" t="inlineStr">
        <is>
          <t>Reverse transcriptase domain-containing protein</t>
        </is>
      </c>
    </row>
    <row r="3251">
      <c r="A3251" t="inlineStr"/>
      <c r="B3251" t="inlineStr"/>
      <c r="C3251" t="inlineStr"/>
      <c r="D3251" t="inlineStr"/>
      <c r="E3251">
        <f>HYPERLINK("https://www.uniprot.org/uniprotkb/A0A8K9V8C7/entry", "A0A8K9V8C7")</f>
        <v/>
      </c>
      <c r="F3251" t="n">
        <v>30.9</v>
      </c>
      <c r="G3251" t="n">
        <v>94</v>
      </c>
      <c r="H3251" t="n">
        <v>3.74e-06</v>
      </c>
      <c r="I3251" t="inlineStr">
        <is>
          <t>TrEMBL</t>
        </is>
      </c>
      <c r="J3251" t="inlineStr"/>
      <c r="K3251" t="inlineStr">
        <is>
          <t>A0A8K9V8C7_ONCMY</t>
        </is>
      </c>
      <c r="L3251" t="inlineStr">
        <is>
          <t>tr|A0A8K9V8C7|A0A8K9V8C7_ONCMY Reverse transcriptase domain-containing protein OS=Oncorhynchus mykiss OX=8022 PE=4 SV=1</t>
        </is>
      </c>
      <c r="M3251" t="n">
        <v>748</v>
      </c>
      <c r="N3251" t="inlineStr">
        <is>
          <t>Oncorhynchus mykiss</t>
        </is>
      </c>
      <c r="O3251" t="inlineStr">
        <is>
          <t>Reverse transcriptase domain-containing protein</t>
        </is>
      </c>
    </row>
    <row r="3252">
      <c r="A3252" t="inlineStr"/>
      <c r="B3252" t="inlineStr"/>
      <c r="C3252" t="inlineStr"/>
      <c r="D3252" t="inlineStr"/>
      <c r="E3252">
        <f>HYPERLINK("https://www.uniprot.org/uniprotkb/A0A8C1X9X2/entry", "A0A8C1X9X2")</f>
        <v/>
      </c>
      <c r="F3252" t="n">
        <v>30</v>
      </c>
      <c r="G3252" t="n">
        <v>130</v>
      </c>
      <c r="H3252" t="n">
        <v>4.03e-06</v>
      </c>
      <c r="I3252" t="inlineStr">
        <is>
          <t>TrEMBL</t>
        </is>
      </c>
      <c r="J3252" t="inlineStr"/>
      <c r="K3252" t="inlineStr">
        <is>
          <t>A0A8C1X9X2_CYPCA</t>
        </is>
      </c>
      <c r="L3252" t="inlineStr">
        <is>
          <t>tr|A0A8C1X9X2|A0A8C1X9X2_CYPCA Reverse transcriptase domain-containing protein OS=Cyprinus carpio OX=7962 PE=4 SV=1</t>
        </is>
      </c>
      <c r="M3252" t="n">
        <v>1256</v>
      </c>
      <c r="N3252" t="inlineStr">
        <is>
          <t>Cyprinus carpio</t>
        </is>
      </c>
      <c r="O3252" t="inlineStr">
        <is>
          <t>Reverse transcriptase domain-containing protein</t>
        </is>
      </c>
    </row>
    <row r="3253">
      <c r="A3253" t="inlineStr"/>
      <c r="B3253" t="inlineStr"/>
      <c r="C3253" t="inlineStr"/>
      <c r="D3253" t="inlineStr"/>
      <c r="E3253">
        <f>HYPERLINK("https://www.ncbi.nlm.nih.gov/gene/?term=KAJ1129535.1", "KAJ1129535.1")</f>
        <v/>
      </c>
      <c r="F3253" t="n">
        <v>25.9</v>
      </c>
      <c r="G3253" t="n">
        <v>158</v>
      </c>
      <c r="H3253" t="n">
        <v>4.34e-06</v>
      </c>
      <c r="I3253" t="inlineStr">
        <is>
          <t>Nr</t>
        </is>
      </c>
      <c r="J3253" t="inlineStr"/>
      <c r="K3253" t="inlineStr"/>
      <c r="L3253" t="inlineStr">
        <is>
          <t>KAJ1129535.1 hypothetical protein NDU88_007903 [Pleurodeles waltl]</t>
        </is>
      </c>
      <c r="M3253" t="n">
        <v>287</v>
      </c>
      <c r="N3253" t="inlineStr">
        <is>
          <t>Pleurodeles waltl</t>
        </is>
      </c>
      <c r="O3253" t="inlineStr">
        <is>
          <t>hypothetical protein NDU88_007903</t>
        </is>
      </c>
    </row>
    <row r="3254">
      <c r="A3254" t="inlineStr"/>
      <c r="B3254" t="inlineStr"/>
      <c r="C3254" t="inlineStr"/>
      <c r="D3254" t="inlineStr"/>
      <c r="E3254">
        <f>HYPERLINK("https://www.uniprot.org/uniprotkb/A0A3B3HVX2/entry", "A0A3B3HVX2")</f>
        <v/>
      </c>
      <c r="F3254" t="n">
        <v>25</v>
      </c>
      <c r="G3254" t="n">
        <v>152</v>
      </c>
      <c r="H3254" t="n">
        <v>5.46e-06</v>
      </c>
      <c r="I3254" t="inlineStr">
        <is>
          <t>TrEMBL</t>
        </is>
      </c>
      <c r="J3254" t="inlineStr"/>
      <c r="K3254" t="inlineStr">
        <is>
          <t>A0A3B3HVX2_ORYLA</t>
        </is>
      </c>
      <c r="L3254" t="inlineStr">
        <is>
          <t>tr|A0A3B3HVX2|A0A3B3HVX2_ORYLA Reverse transcriptase domain-containing protein OS=Oryzias latipes OX=8090 PE=4 SV=1</t>
        </is>
      </c>
      <c r="M3254" t="n">
        <v>1283</v>
      </c>
      <c r="N3254" t="inlineStr">
        <is>
          <t>Oryzias latipes</t>
        </is>
      </c>
      <c r="O3254" t="inlineStr">
        <is>
          <t>Reverse transcriptase domain-containing protein</t>
        </is>
      </c>
    </row>
    <row r="3255">
      <c r="A3255" t="inlineStr"/>
      <c r="B3255" t="inlineStr"/>
      <c r="C3255" t="inlineStr"/>
      <c r="D3255" t="inlineStr"/>
      <c r="E3255">
        <f>HYPERLINK("https://www.uniprot.org/uniprotkb/A0A8C7XNT8/entry", "A0A8C7XNT8")</f>
        <v/>
      </c>
      <c r="F3255" t="n">
        <v>27</v>
      </c>
      <c r="G3255" t="n">
        <v>152</v>
      </c>
      <c r="H3255" t="n">
        <v>6.95e-06</v>
      </c>
      <c r="I3255" t="inlineStr">
        <is>
          <t>TrEMBL</t>
        </is>
      </c>
      <c r="J3255" t="inlineStr"/>
      <c r="K3255" t="inlineStr">
        <is>
          <t>A0A8C7XNT8_9TELE</t>
        </is>
      </c>
      <c r="L3255" t="inlineStr">
        <is>
          <t>tr|A0A8C7XNT8|A0A8C7XNT8_9TELE Reverse transcriptase domain-containing protein OS=Oryzias sinensis OX=183150 PE=4 SV=1</t>
        </is>
      </c>
      <c r="M3255" t="n">
        <v>822</v>
      </c>
      <c r="N3255" t="inlineStr">
        <is>
          <t>Oryzias sinensis</t>
        </is>
      </c>
      <c r="O3255" t="inlineStr">
        <is>
          <t>Reverse transcriptase domain-containing protein</t>
        </is>
      </c>
    </row>
    <row r="3256">
      <c r="A3256" t="inlineStr"/>
      <c r="B3256" t="inlineStr"/>
      <c r="C3256" t="inlineStr"/>
      <c r="D3256" t="inlineStr"/>
      <c r="E3256">
        <f>HYPERLINK("https://www.uniprot.org/uniprotkb/A0A3Q3G8L9/entry", "A0A3Q3G8L9")</f>
        <v/>
      </c>
      <c r="F3256" t="n">
        <v>28.4</v>
      </c>
      <c r="G3256" t="n">
        <v>116</v>
      </c>
      <c r="H3256" t="n">
        <v>7.37e-06</v>
      </c>
      <c r="I3256" t="inlineStr">
        <is>
          <t>TrEMBL</t>
        </is>
      </c>
      <c r="J3256" t="inlineStr"/>
      <c r="K3256" t="inlineStr">
        <is>
          <t>A0A3Q3G8L9_KRYMA</t>
        </is>
      </c>
      <c r="L3256" t="inlineStr">
        <is>
          <t>tr|A0A3Q3G8L9|A0A3Q3G8L9_KRYMA Reverse transcriptase domain-containing protein OS=Kryptolebias marmoratus OX=37003 PE=4 SV=1</t>
        </is>
      </c>
      <c r="M3256" t="n">
        <v>1258</v>
      </c>
      <c r="N3256" t="inlineStr">
        <is>
          <t>Kryptolebias marmoratus</t>
        </is>
      </c>
      <c r="O3256" t="inlineStr">
        <is>
          <t>Reverse transcriptase domain-containing protein</t>
        </is>
      </c>
    </row>
    <row r="3257">
      <c r="A3257" t="inlineStr"/>
      <c r="B3257" t="inlineStr"/>
      <c r="C3257" t="inlineStr"/>
      <c r="D3257" t="inlineStr"/>
      <c r="E3257">
        <f>HYPERLINK("https://www.uniprot.org/uniprotkb/H3ALW6/entry", "H3ALW6")</f>
        <v/>
      </c>
      <c r="F3257" t="n">
        <v>27</v>
      </c>
      <c r="G3257" t="n">
        <v>111</v>
      </c>
      <c r="H3257" t="n">
        <v>1.07e-05</v>
      </c>
      <c r="I3257" t="inlineStr">
        <is>
          <t>TrEMBL</t>
        </is>
      </c>
      <c r="J3257" t="inlineStr"/>
      <c r="K3257" t="inlineStr">
        <is>
          <t>H3ALW6_LATCH</t>
        </is>
      </c>
      <c r="L3257" t="inlineStr">
        <is>
          <t>tr|H3ALW6|H3ALW6_LATCH Zf-RVT domain-containing protein OS=Latimeria chalumnae OX=7897 PE=4 SV=1</t>
        </is>
      </c>
      <c r="M3257" t="n">
        <v>286</v>
      </c>
      <c r="N3257" t="inlineStr">
        <is>
          <t>Latimeria chalumnae</t>
        </is>
      </c>
      <c r="O3257" t="inlineStr">
        <is>
          <t>Zf-RVT domain-containing protein</t>
        </is>
      </c>
    </row>
    <row r="3258">
      <c r="A3258" t="inlineStr"/>
      <c r="B3258" t="inlineStr"/>
      <c r="C3258" t="inlineStr"/>
      <c r="D3258" t="inlineStr"/>
      <c r="E3258">
        <f>HYPERLINK("https://www.ncbi.nlm.nih.gov/gene/?term=CAI5662355.1", "CAI5662355.1")</f>
        <v/>
      </c>
      <c r="F3258" t="n">
        <v>31.9</v>
      </c>
      <c r="G3258" t="n">
        <v>116</v>
      </c>
      <c r="H3258" t="n">
        <v>1.1e-05</v>
      </c>
      <c r="I3258" t="inlineStr">
        <is>
          <t>Nr</t>
        </is>
      </c>
      <c r="J3258" t="inlineStr"/>
      <c r="K3258" t="inlineStr"/>
      <c r="L3258" t="inlineStr">
        <is>
          <t>CAI5662355.1 unnamed protein product [Mustela putorius furo]</t>
        </is>
      </c>
      <c r="M3258" t="n">
        <v>325</v>
      </c>
      <c r="N3258" t="inlineStr">
        <is>
          <t>Mustela putorius furo</t>
        </is>
      </c>
      <c r="O3258" t="inlineStr">
        <is>
          <t>unnamed protein product</t>
        </is>
      </c>
    </row>
    <row r="3259">
      <c r="A3259" t="inlineStr"/>
      <c r="B3259" t="inlineStr"/>
      <c r="C3259" t="inlineStr"/>
      <c r="D3259" t="inlineStr"/>
      <c r="E3259">
        <f>HYPERLINK("https://www.ncbi.nlm.nih.gov/gene/?term=XP_028270679.1", "XP_028270679.1")</f>
        <v/>
      </c>
      <c r="F3259" t="n">
        <v>32.4</v>
      </c>
      <c r="G3259" t="n">
        <v>102</v>
      </c>
      <c r="H3259" t="n">
        <v>1.11e-05</v>
      </c>
      <c r="I3259" t="inlineStr">
        <is>
          <t>Nr</t>
        </is>
      </c>
      <c r="J3259" t="inlineStr"/>
      <c r="K3259" t="inlineStr"/>
      <c r="L3259" t="inlineStr">
        <is>
          <t>XP_028270679.1 uncharacterized protein LOC114441791 [Parambassis ranga]</t>
        </is>
      </c>
      <c r="M3259" t="n">
        <v>332</v>
      </c>
      <c r="N3259" t="inlineStr">
        <is>
          <t>Parambassis ranga</t>
        </is>
      </c>
      <c r="O3259" t="inlineStr">
        <is>
          <t>uncharacterized protein LOC114441791</t>
        </is>
      </c>
    </row>
    <row r="3260">
      <c r="A3260" t="inlineStr"/>
      <c r="B3260" t="inlineStr"/>
      <c r="C3260" t="inlineStr"/>
      <c r="D3260" t="inlineStr"/>
      <c r="E3260">
        <f>HYPERLINK("https://www.uniprot.org/uniprotkb/A0A8C1RYU3/entry", "A0A8C1RYU3")</f>
        <v/>
      </c>
      <c r="F3260" t="n">
        <v>31.9</v>
      </c>
      <c r="G3260" t="n">
        <v>113</v>
      </c>
      <c r="H3260" t="n">
        <v>1.35e-05</v>
      </c>
      <c r="I3260" t="inlineStr">
        <is>
          <t>TrEMBL</t>
        </is>
      </c>
      <c r="J3260" t="inlineStr"/>
      <c r="K3260" t="inlineStr">
        <is>
          <t>A0A8C1RYU3_CYPCA</t>
        </is>
      </c>
      <c r="L3260" t="inlineStr">
        <is>
          <t>tr|A0A8C1RYU3|A0A8C1RYU3_CYPCA Reverse transcriptase domain-containing protein OS=Cyprinus carpio OX=7962 PE=4 SV=1</t>
        </is>
      </c>
      <c r="M3260" t="n">
        <v>1256</v>
      </c>
      <c r="N3260" t="inlineStr">
        <is>
          <t>Cyprinus carpio</t>
        </is>
      </c>
      <c r="O3260" t="inlineStr">
        <is>
          <t>Reverse transcriptase domain-containing protein</t>
        </is>
      </c>
    </row>
    <row r="3261">
      <c r="A3261" t="inlineStr"/>
      <c r="B3261" t="inlineStr"/>
      <c r="C3261" t="inlineStr"/>
      <c r="D3261" t="inlineStr"/>
      <c r="E3261">
        <f>HYPERLINK("https://www.ncbi.nlm.nih.gov/gene/?term=KAF7244640.1", "KAF7244640.1")</f>
        <v/>
      </c>
      <c r="F3261" t="n">
        <v>23.2</v>
      </c>
      <c r="G3261" t="n">
        <v>151</v>
      </c>
      <c r="H3261" t="n">
        <v>1.4e-05</v>
      </c>
      <c r="I3261" t="inlineStr">
        <is>
          <t>Nr</t>
        </is>
      </c>
      <c r="J3261" t="inlineStr"/>
      <c r="K3261" t="inlineStr"/>
      <c r="L3261" t="inlineStr">
        <is>
          <t>KAF7244640.1 hypothetical protein EYD10_09237 [Varanus komodoensis]</t>
        </is>
      </c>
      <c r="M3261" t="n">
        <v>1275</v>
      </c>
      <c r="N3261" t="inlineStr">
        <is>
          <t>Varanus komodoensis</t>
        </is>
      </c>
      <c r="O3261" t="inlineStr">
        <is>
          <t>hypothetical protein EYD10_09237</t>
        </is>
      </c>
    </row>
    <row r="3262">
      <c r="A3262" t="inlineStr"/>
      <c r="B3262" t="inlineStr"/>
      <c r="C3262" t="inlineStr"/>
      <c r="D3262" t="inlineStr"/>
      <c r="E3262">
        <f>HYPERLINK("https://www.uniprot.org/uniprotkb/A0A2G9Q9K5/entry", "A0A2G9Q9K5")</f>
        <v/>
      </c>
      <c r="F3262" t="n">
        <v>24.5</v>
      </c>
      <c r="G3262" t="n">
        <v>147</v>
      </c>
      <c r="H3262" t="n">
        <v>1.73e-05</v>
      </c>
      <c r="I3262" t="inlineStr">
        <is>
          <t>TrEMBL</t>
        </is>
      </c>
      <c r="J3262" t="inlineStr">
        <is>
          <t>AB205_0045360</t>
        </is>
      </c>
      <c r="K3262" t="inlineStr">
        <is>
          <t>A0A2G9Q9K5_LITCT</t>
        </is>
      </c>
      <c r="L3262" t="inlineStr">
        <is>
          <t>tr|A0A2G9Q9K5|A0A2G9Q9K5_LITCT Zf-RVT domain-containing protein OS=Lithobates catesbeianus OX=8400 GN=AB205_0045360 PE=4 SV=1</t>
        </is>
      </c>
      <c r="M3262" t="n">
        <v>340</v>
      </c>
      <c r="N3262" t="inlineStr">
        <is>
          <t>Lithobates catesbeianus</t>
        </is>
      </c>
      <c r="O3262" t="inlineStr">
        <is>
          <t>Zf-RVT domain-containing protein</t>
        </is>
      </c>
    </row>
    <row r="3263">
      <c r="A3263" t="inlineStr"/>
      <c r="B3263" t="inlineStr"/>
      <c r="C3263" t="inlineStr"/>
      <c r="D3263" t="inlineStr"/>
      <c r="E3263">
        <f>HYPERLINK("https://www.ncbi.nlm.nih.gov/gene/?term=CAI5685761.1", "CAI5685761.1")</f>
        <v/>
      </c>
      <c r="F3263" t="n">
        <v>32.6</v>
      </c>
      <c r="G3263" t="n">
        <v>95</v>
      </c>
      <c r="H3263" t="n">
        <v>2.31e-05</v>
      </c>
      <c r="I3263" t="inlineStr">
        <is>
          <t>Nr</t>
        </is>
      </c>
      <c r="J3263" t="inlineStr"/>
      <c r="K3263" t="inlineStr"/>
      <c r="L3263" t="inlineStr">
        <is>
          <t>CAI5685761.1 unnamed protein product [Mustela putorius furo]</t>
        </is>
      </c>
      <c r="M3263" t="n">
        <v>499</v>
      </c>
      <c r="N3263" t="inlineStr">
        <is>
          <t>Mustela putorius furo</t>
        </is>
      </c>
      <c r="O3263" t="inlineStr">
        <is>
          <t>unnamed protein product</t>
        </is>
      </c>
    </row>
    <row r="3264">
      <c r="A3264" t="inlineStr"/>
      <c r="B3264" t="inlineStr"/>
      <c r="C3264" t="inlineStr"/>
      <c r="D3264" t="inlineStr"/>
      <c r="E3264">
        <f>HYPERLINK("https://www.uniprot.org/uniprotkb/A0A2R8QHP1/entry", "A0A2R8QHP1")</f>
        <v/>
      </c>
      <c r="F3264" t="n">
        <v>22.4</v>
      </c>
      <c r="G3264" t="n">
        <v>152</v>
      </c>
      <c r="H3264" t="n">
        <v>2.44e-05</v>
      </c>
      <c r="I3264" t="inlineStr">
        <is>
          <t>TrEMBL</t>
        </is>
      </c>
      <c r="J3264" t="inlineStr"/>
      <c r="K3264" t="inlineStr">
        <is>
          <t>A0A2R8QHP1_DANRE</t>
        </is>
      </c>
      <c r="L3264" t="inlineStr">
        <is>
          <t>tr|A0A2R8QHP1|A0A2R8QHP1_DANRE Reverse transcriptase domain-containing protein OS=Danio rerio OX=7955 PE=4 SV=1</t>
        </is>
      </c>
      <c r="M3264" t="n">
        <v>1174</v>
      </c>
      <c r="N3264" t="inlineStr">
        <is>
          <t>Danio rerio</t>
        </is>
      </c>
      <c r="O3264" t="inlineStr">
        <is>
          <t>Reverse transcriptase domain-containing protein</t>
        </is>
      </c>
    </row>
    <row r="3265">
      <c r="A3265" t="inlineStr"/>
      <c r="B3265" t="inlineStr"/>
      <c r="C3265" t="inlineStr"/>
      <c r="D3265" t="inlineStr"/>
      <c r="E3265">
        <f>HYPERLINK("https://www.ncbi.nlm.nih.gov/gene/?term=PIO13089.1", "PIO13089.1")</f>
        <v/>
      </c>
      <c r="F3265" t="n">
        <v>28.7</v>
      </c>
      <c r="G3265" t="n">
        <v>101</v>
      </c>
      <c r="H3265" t="n">
        <v>2.98e-05</v>
      </c>
      <c r="I3265" t="inlineStr">
        <is>
          <t>Nr</t>
        </is>
      </c>
      <c r="J3265" t="inlineStr"/>
      <c r="K3265" t="inlineStr"/>
      <c r="L3265" t="inlineStr">
        <is>
          <t>PIO13089.1 hypothetical protein AB205_0019550, partial [Lithobates catesbeianus]</t>
        </is>
      </c>
      <c r="M3265" t="n">
        <v>380</v>
      </c>
      <c r="N3265" t="inlineStr">
        <is>
          <t>Lithobates catesbeianus</t>
        </is>
      </c>
      <c r="O3265" t="inlineStr">
        <is>
          <t>hypothetical protein AB205_0019550, partial</t>
        </is>
      </c>
    </row>
    <row r="3266">
      <c r="A3266" t="inlineStr"/>
      <c r="B3266" t="inlineStr"/>
      <c r="C3266" t="inlineStr"/>
      <c r="D3266" t="inlineStr"/>
      <c r="E3266">
        <f>HYPERLINK("https://www.uniprot.org/uniprotkb/A0A6I8RW77/entry", "A0A6I8RW77")</f>
        <v/>
      </c>
      <c r="F3266" t="n">
        <v>24.2</v>
      </c>
      <c r="G3266" t="n">
        <v>149</v>
      </c>
      <c r="H3266" t="n">
        <v>3.29e-05</v>
      </c>
      <c r="I3266" t="inlineStr">
        <is>
          <t>TrEMBL</t>
        </is>
      </c>
      <c r="J3266" t="inlineStr"/>
      <c r="K3266" t="inlineStr">
        <is>
          <t>A0A6I8RW77_XENTR</t>
        </is>
      </c>
      <c r="L3266" t="inlineStr">
        <is>
          <t>tr|A0A6I8RW77|A0A6I8RW77_XENTR Reverse transcriptase domain-containing protein OS=Xenopus tropicalis OX=8364 PE=4 SV=2</t>
        </is>
      </c>
      <c r="M3266" t="n">
        <v>1148</v>
      </c>
      <c r="N3266" t="inlineStr">
        <is>
          <t>Xenopus tropicalis</t>
        </is>
      </c>
      <c r="O3266" t="inlineStr">
        <is>
          <t>Reverse transcriptase domain-containing protein</t>
        </is>
      </c>
    </row>
    <row r="3267">
      <c r="A3267" t="inlineStr"/>
      <c r="B3267" t="inlineStr"/>
      <c r="C3267" t="inlineStr"/>
      <c r="D3267" t="inlineStr"/>
      <c r="E3267">
        <f>HYPERLINK("https://www.ncbi.nlm.nih.gov/gene/?term=CAH2329509.1", "CAH2329509.1")</f>
        <v/>
      </c>
      <c r="F3267" t="n">
        <v>24.5</v>
      </c>
      <c r="G3267" t="n">
        <v>159</v>
      </c>
      <c r="H3267" t="n">
        <v>3.48e-05</v>
      </c>
      <c r="I3267" t="inlineStr">
        <is>
          <t>Nr</t>
        </is>
      </c>
      <c r="J3267" t="inlineStr"/>
      <c r="K3267" t="inlineStr"/>
      <c r="L3267" t="inlineStr">
        <is>
          <t>CAH2329509.1 Hypothetical predicted protein [Pelobates cultripes]</t>
        </is>
      </c>
      <c r="M3267" t="n">
        <v>271</v>
      </c>
      <c r="N3267" t="inlineStr">
        <is>
          <t>Pelobates cultripes</t>
        </is>
      </c>
      <c r="O3267" t="inlineStr">
        <is>
          <t>Hypothetical predicted protein</t>
        </is>
      </c>
    </row>
    <row r="3268">
      <c r="A3268" t="inlineStr"/>
      <c r="B3268" t="inlineStr"/>
      <c r="C3268" t="inlineStr"/>
      <c r="D3268" t="inlineStr"/>
      <c r="E3268">
        <f>HYPERLINK("https://www.uniprot.org/uniprotkb/A0A670KIL2/entry", "A0A670KIL2")</f>
        <v/>
      </c>
      <c r="F3268" t="n">
        <v>27.4</v>
      </c>
      <c r="G3268" t="n">
        <v>124</v>
      </c>
      <c r="H3268" t="n">
        <v>4.07e-05</v>
      </c>
      <c r="I3268" t="inlineStr">
        <is>
          <t>TrEMBL</t>
        </is>
      </c>
      <c r="J3268" t="inlineStr"/>
      <c r="K3268" t="inlineStr">
        <is>
          <t>A0A670KIL2_PODMU</t>
        </is>
      </c>
      <c r="L3268" t="inlineStr">
        <is>
          <t>tr|A0A670KIL2|A0A670KIL2_PODMU Zf-RVT domain-containing protein OS=Podarcis muralis OX=64176 PE=4 SV=1</t>
        </is>
      </c>
      <c r="M3268" t="n">
        <v>317</v>
      </c>
      <c r="N3268" t="inlineStr">
        <is>
          <t>Podarcis muralis</t>
        </is>
      </c>
      <c r="O3268" t="inlineStr">
        <is>
          <t>Zf-RVT domain-containing protein</t>
        </is>
      </c>
    </row>
    <row r="3269">
      <c r="A3269" t="inlineStr"/>
      <c r="B3269" t="inlineStr"/>
      <c r="C3269" t="inlineStr"/>
      <c r="D3269" t="inlineStr"/>
      <c r="E3269">
        <f>HYPERLINK("https://www.uniprot.org/uniprotkb/A0A8C5GTV9/entry", "A0A8C5GTV9")</f>
        <v/>
      </c>
      <c r="F3269" t="n">
        <v>25.7</v>
      </c>
      <c r="G3269" t="n">
        <v>144</v>
      </c>
      <c r="H3269" t="n">
        <v>4.15e-05</v>
      </c>
      <c r="I3269" t="inlineStr">
        <is>
          <t>TrEMBL</t>
        </is>
      </c>
      <c r="J3269" t="inlineStr"/>
      <c r="K3269" t="inlineStr">
        <is>
          <t>A0A8C5GTV9_9TELE</t>
        </is>
      </c>
      <c r="L3269" t="inlineStr">
        <is>
          <t>tr|A0A8C5GTV9|A0A8C5GTV9_9TELE Reverse transcriptase domain-containing protein OS=Gouania willdenowi OX=441366 PE=4 SV=1</t>
        </is>
      </c>
      <c r="M3269" t="n">
        <v>920</v>
      </c>
      <c r="N3269" t="inlineStr">
        <is>
          <t>Gouania willdenowi</t>
        </is>
      </c>
      <c r="O3269" t="inlineStr">
        <is>
          <t>Reverse transcriptase domain-containing protein</t>
        </is>
      </c>
    </row>
    <row r="3270">
      <c r="A3270" t="inlineStr"/>
      <c r="B3270" t="inlineStr"/>
      <c r="C3270" t="inlineStr"/>
      <c r="D3270" t="inlineStr"/>
      <c r="E3270">
        <f>HYPERLINK("https://www.ncbi.nlm.nih.gov/gene/?term=XP_033770198.1", "XP_033770198.1")</f>
        <v/>
      </c>
      <c r="F3270" t="n">
        <v>27.9</v>
      </c>
      <c r="G3270" t="n">
        <v>86</v>
      </c>
      <c r="H3270" t="n">
        <v>4.22e-05</v>
      </c>
      <c r="I3270" t="inlineStr">
        <is>
          <t>Nr</t>
        </is>
      </c>
      <c r="J3270" t="inlineStr"/>
      <c r="K3270" t="inlineStr"/>
      <c r="L3270" t="inlineStr">
        <is>
          <t>XP_033770198.1 uncharacterized protein LOC117345527 [Geotrypetes seraphini]</t>
        </is>
      </c>
      <c r="M3270" t="n">
        <v>457</v>
      </c>
      <c r="N3270" t="inlineStr">
        <is>
          <t>Geotrypetes seraphini</t>
        </is>
      </c>
      <c r="O3270" t="inlineStr">
        <is>
          <t>uncharacterized protein LOC117345527</t>
        </is>
      </c>
    </row>
    <row r="3271">
      <c r="A3271" t="inlineStr"/>
      <c r="B3271" t="inlineStr"/>
      <c r="C3271" t="inlineStr"/>
      <c r="D3271" t="inlineStr"/>
      <c r="E3271">
        <f>HYPERLINK("https://www.ncbi.nlm.nih.gov/gene/?term=PIO12292.1", "PIO12292.1")</f>
        <v/>
      </c>
      <c r="F3271" t="n">
        <v>24.5</v>
      </c>
      <c r="G3271" t="n">
        <v>147</v>
      </c>
      <c r="H3271" t="n">
        <v>4.44e-05</v>
      </c>
      <c r="I3271" t="inlineStr">
        <is>
          <t>Nr</t>
        </is>
      </c>
      <c r="J3271" t="inlineStr"/>
      <c r="K3271" t="inlineStr"/>
      <c r="L3271" t="inlineStr">
        <is>
          <t>PIO12292.1 hypothetical protein AB205_0045360 [Lithobates catesbeianus]</t>
        </is>
      </c>
      <c r="M3271" t="n">
        <v>340</v>
      </c>
      <c r="N3271" t="inlineStr">
        <is>
          <t>Lithobates catesbeianus</t>
        </is>
      </c>
      <c r="O3271" t="inlineStr">
        <is>
          <t>hypothetical protein AB205_0045360</t>
        </is>
      </c>
    </row>
    <row r="3272">
      <c r="A3272" t="inlineStr"/>
      <c r="B3272" t="inlineStr"/>
      <c r="C3272" t="inlineStr"/>
      <c r="D3272" t="inlineStr"/>
      <c r="E3272">
        <f>HYPERLINK("https://www.uniprot.org/uniprotkb/A0A3P9JW43/entry", "A0A3P9JW43")</f>
        <v/>
      </c>
      <c r="F3272" t="n">
        <v>24</v>
      </c>
      <c r="G3272" t="n">
        <v>121</v>
      </c>
      <c r="H3272" t="n">
        <v>4.48e-05</v>
      </c>
      <c r="I3272" t="inlineStr">
        <is>
          <t>TrEMBL</t>
        </is>
      </c>
      <c r="J3272" t="inlineStr"/>
      <c r="K3272" t="inlineStr">
        <is>
          <t>A0A3P9JW43_ORYLA</t>
        </is>
      </c>
      <c r="L3272" t="inlineStr">
        <is>
          <t>tr|A0A3P9JW43|A0A3P9JW43_ORYLA Reverse transcriptase domain-containing protein OS=Oryzias latipes OX=8090 PE=4 SV=1</t>
        </is>
      </c>
      <c r="M3272" t="n">
        <v>1227</v>
      </c>
      <c r="N3272" t="inlineStr">
        <is>
          <t>Oryzias latipes</t>
        </is>
      </c>
      <c r="O3272" t="inlineStr">
        <is>
          <t>Reverse transcriptase domain-containing protein</t>
        </is>
      </c>
    </row>
    <row r="3273">
      <c r="A3273" t="inlineStr"/>
      <c r="B3273" t="inlineStr"/>
      <c r="C3273" t="inlineStr"/>
      <c r="D3273" t="inlineStr"/>
      <c r="E3273">
        <f>HYPERLINK("https://www.ncbi.nlm.nih.gov/gene/?term=CAI5669518.1", "CAI5669518.1")</f>
        <v/>
      </c>
      <c r="F3273" t="n">
        <v>29.8</v>
      </c>
      <c r="G3273" t="n">
        <v>94</v>
      </c>
      <c r="H3273" t="n">
        <v>4.7e-05</v>
      </c>
      <c r="I3273" t="inlineStr">
        <is>
          <t>Nr</t>
        </is>
      </c>
      <c r="J3273" t="inlineStr"/>
      <c r="K3273" t="inlineStr"/>
      <c r="L3273" t="inlineStr">
        <is>
          <t>CAI5669518.1 unnamed protein product [Mustela putorius furo]</t>
        </is>
      </c>
      <c r="M3273" t="n">
        <v>1266</v>
      </c>
      <c r="N3273" t="inlineStr">
        <is>
          <t>Mustela putorius furo</t>
        </is>
      </c>
      <c r="O3273" t="inlineStr">
        <is>
          <t>unnamed protein product</t>
        </is>
      </c>
    </row>
    <row r="3274">
      <c r="A3274" t="inlineStr"/>
      <c r="B3274" t="inlineStr"/>
      <c r="C3274" t="inlineStr"/>
      <c r="D3274" t="inlineStr"/>
      <c r="E3274">
        <f>HYPERLINK("https://www.ncbi.nlm.nih.gov/gene/?term=CAI5681033.1", "CAI5681033.1")</f>
        <v/>
      </c>
      <c r="F3274" t="n">
        <v>32.7</v>
      </c>
      <c r="G3274" t="n">
        <v>110</v>
      </c>
      <c r="H3274" t="n">
        <v>5.52e-05</v>
      </c>
      <c r="I3274" t="inlineStr">
        <is>
          <t>Nr</t>
        </is>
      </c>
      <c r="J3274" t="inlineStr"/>
      <c r="K3274" t="inlineStr"/>
      <c r="L3274" t="inlineStr">
        <is>
          <t>CAI5681033.1 unnamed protein product [Mustela putorius furo]</t>
        </is>
      </c>
      <c r="M3274" t="n">
        <v>377</v>
      </c>
      <c r="N3274" t="inlineStr">
        <is>
          <t>Mustela putorius furo</t>
        </is>
      </c>
      <c r="O3274" t="inlineStr">
        <is>
          <t>unnamed protein product</t>
        </is>
      </c>
    </row>
    <row r="3275">
      <c r="A3275" t="inlineStr"/>
      <c r="B3275" t="inlineStr"/>
      <c r="C3275" t="inlineStr"/>
      <c r="D3275" t="inlineStr"/>
      <c r="E3275">
        <f>HYPERLINK("https://www.uniprot.org/uniprotkb/A0A3Q1BK66/entry", "A0A3Q1BK66")</f>
        <v/>
      </c>
      <c r="F3275" t="n">
        <v>22.4</v>
      </c>
      <c r="G3275" t="n">
        <v>156</v>
      </c>
      <c r="H3275" t="n">
        <v>5.97e-05</v>
      </c>
      <c r="I3275" t="inlineStr">
        <is>
          <t>TrEMBL</t>
        </is>
      </c>
      <c r="J3275" t="inlineStr"/>
      <c r="K3275" t="inlineStr">
        <is>
          <t>A0A3Q1BK66_AMPOC</t>
        </is>
      </c>
      <c r="L3275" t="inlineStr">
        <is>
          <t>tr|A0A3Q1BK66|A0A3Q1BK66_AMPOC Reverse transcriptase domain-containing protein OS=Amphiprion ocellaris OX=80972 PE=4 SV=1</t>
        </is>
      </c>
      <c r="M3275" t="n">
        <v>1089</v>
      </c>
      <c r="N3275" t="inlineStr">
        <is>
          <t>Amphiprion ocellaris</t>
        </is>
      </c>
      <c r="O3275" t="inlineStr">
        <is>
          <t>Reverse transcriptase domain-containing protein</t>
        </is>
      </c>
    </row>
    <row r="3276">
      <c r="A3276" t="inlineStr"/>
      <c r="B3276" t="inlineStr"/>
      <c r="C3276" t="inlineStr"/>
      <c r="D3276" t="inlineStr"/>
      <c r="E3276">
        <f>HYPERLINK("https://www.uniprot.org/uniprotkb/E7F4C8/entry", "E7F4C8")</f>
        <v/>
      </c>
      <c r="F3276" t="n">
        <v>22.8</v>
      </c>
      <c r="G3276" t="n">
        <v>149</v>
      </c>
      <c r="H3276" t="n">
        <v>7.69e-05</v>
      </c>
      <c r="I3276" t="inlineStr">
        <is>
          <t>TrEMBL</t>
        </is>
      </c>
      <c r="J3276" t="inlineStr"/>
      <c r="K3276" t="inlineStr">
        <is>
          <t>E7F4C8_DANRE</t>
        </is>
      </c>
      <c r="L3276" t="inlineStr">
        <is>
          <t>tr|E7F4C8|E7F4C8_DANRE Reverse transcriptase domain-containing protein OS=Danio rerio OX=7955 PE=4 SV=2</t>
        </is>
      </c>
      <c r="M3276" t="n">
        <v>793</v>
      </c>
      <c r="N3276" t="inlineStr">
        <is>
          <t>Danio rerio</t>
        </is>
      </c>
      <c r="O3276" t="inlineStr">
        <is>
          <t>Reverse transcriptase domain-containing protein</t>
        </is>
      </c>
    </row>
    <row r="3277">
      <c r="A3277" t="inlineStr"/>
      <c r="B3277" t="inlineStr"/>
      <c r="C3277" t="inlineStr"/>
      <c r="D3277" t="inlineStr"/>
      <c r="E3277">
        <f>HYPERLINK("https://www.uniprot.org/uniprotkb/A0A671YPU5/entry", "A0A671YPU5")</f>
        <v/>
      </c>
      <c r="F3277" t="n">
        <v>24.8</v>
      </c>
      <c r="G3277" t="n">
        <v>129</v>
      </c>
      <c r="H3277" t="n">
        <v>7.76e-05</v>
      </c>
      <c r="I3277" t="inlineStr">
        <is>
          <t>TrEMBL</t>
        </is>
      </c>
      <c r="J3277" t="inlineStr"/>
      <c r="K3277" t="inlineStr">
        <is>
          <t>A0A671YPU5_SPAAU</t>
        </is>
      </c>
      <c r="L3277" t="inlineStr">
        <is>
          <t>tr|A0A671YPU5|A0A671YPU5_SPAAU Reverse transcriptase domain-containing protein OS=Sparus aurata OX=8175 PE=4 SV=1</t>
        </is>
      </c>
      <c r="M3277" t="n">
        <v>838</v>
      </c>
      <c r="N3277" t="inlineStr">
        <is>
          <t>Sparus aurata</t>
        </is>
      </c>
      <c r="O3277" t="inlineStr">
        <is>
          <t>Reverse transcriptase domain-containing protein</t>
        </is>
      </c>
    </row>
    <row r="3278">
      <c r="A3278" t="inlineStr"/>
      <c r="B3278" t="inlineStr"/>
      <c r="C3278" t="inlineStr"/>
      <c r="D3278" t="inlineStr"/>
      <c r="E3278">
        <f>HYPERLINK("https://www.uniprot.org/uniprotkb/A0A667Z2M2/entry", "A0A667Z2M2")</f>
        <v/>
      </c>
      <c r="F3278" t="n">
        <v>24.6</v>
      </c>
      <c r="G3278" t="n">
        <v>134</v>
      </c>
      <c r="H3278" t="n">
        <v>9.03e-05</v>
      </c>
      <c r="I3278" t="inlineStr">
        <is>
          <t>TrEMBL</t>
        </is>
      </c>
      <c r="J3278" t="inlineStr"/>
      <c r="K3278" t="inlineStr">
        <is>
          <t>A0A667Z2M2_9TELE</t>
        </is>
      </c>
      <c r="L3278" t="inlineStr">
        <is>
          <t>tr|A0A667Z2M2|A0A667Z2M2_9TELE Zf-RVT domain-containing protein OS=Myripristis murdjan OX=586833 PE=4 SV=1</t>
        </is>
      </c>
      <c r="M3278" t="n">
        <v>456</v>
      </c>
      <c r="N3278" t="inlineStr">
        <is>
          <t>Myripristis murdjan</t>
        </is>
      </c>
      <c r="O3278" t="inlineStr">
        <is>
          <t>Zf-RVT domain-containing protein</t>
        </is>
      </c>
    </row>
    <row r="3279">
      <c r="A3279" t="inlineStr"/>
      <c r="B3279" t="inlineStr"/>
      <c r="C3279" t="inlineStr"/>
      <c r="D3279" t="inlineStr"/>
      <c r="E3279">
        <f>HYPERLINK("https://www.uniprot.org/uniprotkb/A0A8C5QI79/entry", "A0A8C5QI79")</f>
        <v/>
      </c>
      <c r="F3279" t="n">
        <v>22.6</v>
      </c>
      <c r="G3279" t="n">
        <v>159</v>
      </c>
      <c r="H3279" t="n">
        <v>0.000103</v>
      </c>
      <c r="I3279" t="inlineStr">
        <is>
          <t>TrEMBL</t>
        </is>
      </c>
      <c r="J3279" t="inlineStr"/>
      <c r="K3279" t="inlineStr">
        <is>
          <t>A0A8C5QI79_9ANUR</t>
        </is>
      </c>
      <c r="L3279" t="inlineStr">
        <is>
          <t>tr|A0A8C5QI79|A0A8C5QI79_9ANUR Reverse transcriptase domain-containing protein OS=Leptobrachium leishanense OX=445787 PE=4 SV=1</t>
        </is>
      </c>
      <c r="M3279" t="n">
        <v>771</v>
      </c>
      <c r="N3279" t="inlineStr">
        <is>
          <t>Leptobrachium leishanense</t>
        </is>
      </c>
      <c r="O3279" t="inlineStr">
        <is>
          <t>Reverse transcriptase domain-containing protein</t>
        </is>
      </c>
    </row>
    <row r="3280">
      <c r="A3280" t="inlineStr"/>
      <c r="B3280" t="inlineStr"/>
      <c r="C3280" t="inlineStr"/>
      <c r="D3280" t="inlineStr"/>
      <c r="E3280">
        <f>HYPERLINK("https://www.uniprot.org/uniprotkb/A0A1A8NN13/entry", "A0A1A8NN13")</f>
        <v/>
      </c>
      <c r="F3280" t="n">
        <v>23.9</v>
      </c>
      <c r="G3280" t="n">
        <v>159</v>
      </c>
      <c r="H3280" t="n">
        <v>0.000104</v>
      </c>
      <c r="I3280" t="inlineStr">
        <is>
          <t>TrEMBL</t>
        </is>
      </c>
      <c r="J3280" t="inlineStr">
        <is>
          <t>CR855327.1</t>
        </is>
      </c>
      <c r="K3280" t="inlineStr">
        <is>
          <t>A0A1A8NN13_9TELE</t>
        </is>
      </c>
      <c r="L3280" t="inlineStr">
        <is>
          <t>tr|A0A1A8NN13|A0A1A8NN13_9TELE Zf-RVT domain-containing protein (Fragment) OS=Nothobranchius pienaari OX=704102 GN=CR855327.1 PE=4 SV=1</t>
        </is>
      </c>
      <c r="M3280" t="n">
        <v>250</v>
      </c>
      <c r="N3280" t="inlineStr">
        <is>
          <t>Nothobranchius pienaari</t>
        </is>
      </c>
      <c r="O3280" t="inlineStr">
        <is>
          <t>Zf-RVT domain-containing protein (Fragment)</t>
        </is>
      </c>
    </row>
    <row r="3281">
      <c r="A3281" t="inlineStr"/>
      <c r="B3281" t="inlineStr"/>
      <c r="C3281" t="inlineStr"/>
      <c r="D3281" t="inlineStr"/>
      <c r="E3281">
        <f>HYPERLINK("https://www.uniprot.org/uniprotkb/A0A3B5RB71/entry", "A0A3B5RB71")</f>
        <v/>
      </c>
      <c r="F3281" t="n">
        <v>23.6</v>
      </c>
      <c r="G3281" t="n">
        <v>157</v>
      </c>
      <c r="H3281" t="n">
        <v>0.000109</v>
      </c>
      <c r="I3281" t="inlineStr">
        <is>
          <t>TrEMBL</t>
        </is>
      </c>
      <c r="J3281" t="inlineStr"/>
      <c r="K3281" t="inlineStr">
        <is>
          <t>A0A3B5RB71_XIPMA</t>
        </is>
      </c>
      <c r="L3281" t="inlineStr">
        <is>
          <t>tr|A0A3B5RB71|A0A3B5RB71_XIPMA Reverse transcriptase domain-containing protein OS=Xiphophorus maculatus OX=8083 PE=4 SV=1</t>
        </is>
      </c>
      <c r="M3281" t="n">
        <v>1125</v>
      </c>
      <c r="N3281" t="inlineStr">
        <is>
          <t>Xiphophorus maculatus</t>
        </is>
      </c>
      <c r="O3281" t="inlineStr">
        <is>
          <t>Reverse transcriptase domain-containing protein</t>
        </is>
      </c>
    </row>
    <row r="3282">
      <c r="A3282" t="inlineStr"/>
      <c r="B3282" t="inlineStr"/>
      <c r="C3282" t="inlineStr"/>
      <c r="D3282" t="inlineStr"/>
      <c r="E3282">
        <f>HYPERLINK("https://www.uniprot.org/uniprotkb/A0A0G2KJS8/entry", "A0A0G2KJS8")</f>
        <v/>
      </c>
      <c r="F3282" t="n">
        <v>24.8</v>
      </c>
      <c r="G3282" t="n">
        <v>161</v>
      </c>
      <c r="H3282" t="n">
        <v>0.000111</v>
      </c>
      <c r="I3282" t="inlineStr">
        <is>
          <t>TrEMBL</t>
        </is>
      </c>
      <c r="J3282" t="inlineStr"/>
      <c r="K3282" t="inlineStr">
        <is>
          <t>A0A0G2KJS8_DANRE</t>
        </is>
      </c>
      <c r="L3282" t="inlineStr">
        <is>
          <t>tr|A0A0G2KJS8|A0A0G2KJS8_DANRE Reverse transcriptase domain-containing protein OS=Danio rerio OX=7955 PE=4 SV=2</t>
        </is>
      </c>
      <c r="M3282" t="n">
        <v>1271</v>
      </c>
      <c r="N3282" t="inlineStr">
        <is>
          <t>Danio rerio</t>
        </is>
      </c>
      <c r="O3282" t="inlineStr">
        <is>
          <t>Reverse transcriptase domain-containing protein</t>
        </is>
      </c>
    </row>
    <row r="3283">
      <c r="A3283" t="inlineStr"/>
      <c r="B3283" t="inlineStr"/>
      <c r="C3283" t="inlineStr"/>
      <c r="D3283" t="inlineStr"/>
      <c r="E3283">
        <f>HYPERLINK("https://www.uniprot.org/uniprotkb/A0A8C1J811/entry", "A0A8C1J811")</f>
        <v/>
      </c>
      <c r="F3283" t="n">
        <v>24.3</v>
      </c>
      <c r="G3283" t="n">
        <v>148</v>
      </c>
      <c r="H3283" t="n">
        <v>0.000135</v>
      </c>
      <c r="I3283" t="inlineStr">
        <is>
          <t>TrEMBL</t>
        </is>
      </c>
      <c r="J3283" t="inlineStr"/>
      <c r="K3283" t="inlineStr">
        <is>
          <t>A0A8C1J811_CYPCA</t>
        </is>
      </c>
      <c r="L3283" t="inlineStr">
        <is>
          <t>tr|A0A8C1J811|A0A8C1J811_CYPCA Reverse transcriptase domain-containing protein OS=Cyprinus carpio OX=7962 PE=4 SV=1</t>
        </is>
      </c>
      <c r="M3283" t="n">
        <v>663</v>
      </c>
      <c r="N3283" t="inlineStr">
        <is>
          <t>Cyprinus carpio</t>
        </is>
      </c>
      <c r="O3283" t="inlineStr">
        <is>
          <t>Reverse transcriptase domain-containing protein</t>
        </is>
      </c>
    </row>
    <row r="3284">
      <c r="A3284" t="inlineStr"/>
      <c r="B3284" t="inlineStr"/>
      <c r="C3284" t="inlineStr"/>
      <c r="D3284" t="inlineStr"/>
      <c r="E3284">
        <f>HYPERLINK("https://www.uniprot.org/uniprotkb/A0A8C5MAY2/entry", "A0A8C5MAY2")</f>
        <v/>
      </c>
      <c r="F3284" t="n">
        <v>27.8</v>
      </c>
      <c r="G3284" t="n">
        <v>115</v>
      </c>
      <c r="H3284" t="n">
        <v>0.000139</v>
      </c>
      <c r="I3284" t="inlineStr">
        <is>
          <t>TrEMBL</t>
        </is>
      </c>
      <c r="J3284" t="inlineStr"/>
      <c r="K3284" t="inlineStr">
        <is>
          <t>A0A8C5MAY2_9ANUR</t>
        </is>
      </c>
      <c r="L3284" t="inlineStr">
        <is>
          <t>tr|A0A8C5MAY2|A0A8C5MAY2_9ANUR Reverse transcriptase domain-containing protein OS=Leptobrachium leishanense OX=445787 PE=4 SV=1</t>
        </is>
      </c>
      <c r="M3284" t="n">
        <v>764</v>
      </c>
      <c r="N3284" t="inlineStr">
        <is>
          <t>Leptobrachium leishanense</t>
        </is>
      </c>
      <c r="O3284" t="inlineStr">
        <is>
          <t>Reverse transcriptase domain-containing protein</t>
        </is>
      </c>
    </row>
    <row r="3285">
      <c r="A3285" t="inlineStr"/>
      <c r="B3285" t="inlineStr"/>
      <c r="C3285" t="inlineStr"/>
      <c r="D3285" t="inlineStr"/>
      <c r="E3285">
        <f>HYPERLINK("https://www.ncbi.nlm.nih.gov/gene/?term=KAJ1083664.1", "KAJ1083664.1")</f>
        <v/>
      </c>
      <c r="F3285" t="n">
        <v>21.1</v>
      </c>
      <c r="G3285" t="n">
        <v>142</v>
      </c>
      <c r="H3285" t="n">
        <v>0.000172</v>
      </c>
      <c r="I3285" t="inlineStr">
        <is>
          <t>Nr</t>
        </is>
      </c>
      <c r="J3285" t="inlineStr"/>
      <c r="K3285" t="inlineStr"/>
      <c r="L3285" t="inlineStr">
        <is>
          <t>KAJ1083664.1 hypothetical protein NDU88_003819 [Pleurodeles waltl]</t>
        </is>
      </c>
      <c r="M3285" t="n">
        <v>231</v>
      </c>
      <c r="N3285" t="inlineStr">
        <is>
          <t>Pleurodeles waltl</t>
        </is>
      </c>
      <c r="O3285" t="inlineStr">
        <is>
          <t>hypothetical protein NDU88_003819</t>
        </is>
      </c>
    </row>
    <row r="3286">
      <c r="A3286" t="inlineStr"/>
      <c r="B3286" t="inlineStr"/>
      <c r="C3286" t="inlineStr"/>
      <c r="D3286" t="inlineStr"/>
      <c r="E3286">
        <f>HYPERLINK("https://www.ncbi.nlm.nih.gov/gene/?term=XP_025758512.1", "XP_025758512.1")</f>
        <v/>
      </c>
      <c r="F3286" t="n">
        <v>31.6</v>
      </c>
      <c r="G3286" t="n">
        <v>98</v>
      </c>
      <c r="H3286" t="n">
        <v>0.000176</v>
      </c>
      <c r="I3286" t="inlineStr">
        <is>
          <t>Nr</t>
        </is>
      </c>
      <c r="J3286" t="inlineStr"/>
      <c r="K3286" t="inlineStr"/>
      <c r="L3286" t="inlineStr">
        <is>
          <t>XP_025758512.1 uncharacterized protein LOC112843768 [Oreochromis niloticus]</t>
        </is>
      </c>
      <c r="M3286" t="n">
        <v>306</v>
      </c>
      <c r="N3286" t="inlineStr">
        <is>
          <t>Oreochromis niloticus</t>
        </is>
      </c>
      <c r="O3286" t="inlineStr">
        <is>
          <t>uncharacterized protein LOC112843768</t>
        </is>
      </c>
    </row>
    <row r="3287">
      <c r="A3287" t="inlineStr"/>
      <c r="B3287" t="inlineStr"/>
      <c r="C3287" t="inlineStr"/>
      <c r="D3287" t="inlineStr"/>
      <c r="E3287">
        <f>HYPERLINK("https://www.ncbi.nlm.nih.gov/gene/?term=CAI5669836.1", "CAI5669836.1")</f>
        <v/>
      </c>
      <c r="F3287" t="n">
        <v>35.2</v>
      </c>
      <c r="G3287" t="n">
        <v>71</v>
      </c>
      <c r="H3287" t="n">
        <v>0.000199</v>
      </c>
      <c r="I3287" t="inlineStr">
        <is>
          <t>Nr</t>
        </is>
      </c>
      <c r="J3287" t="inlineStr"/>
      <c r="K3287" t="inlineStr"/>
      <c r="L3287" t="inlineStr">
        <is>
          <t>CAI5669836.1 unnamed protein product [Mustela putorius furo]</t>
        </is>
      </c>
      <c r="M3287" t="n">
        <v>473</v>
      </c>
      <c r="N3287" t="inlineStr">
        <is>
          <t>Mustela putorius furo</t>
        </is>
      </c>
      <c r="O3287" t="inlineStr">
        <is>
          <t>unnamed protein product</t>
        </is>
      </c>
    </row>
    <row r="3288">
      <c r="A3288" t="inlineStr"/>
      <c r="B3288" t="inlineStr"/>
      <c r="C3288" t="inlineStr"/>
      <c r="D3288" t="inlineStr"/>
      <c r="E3288">
        <f>HYPERLINK("https://www.ncbi.nlm.nih.gov/gene/?term=CAI5637690.1", "CAI5637690.1")</f>
        <v/>
      </c>
      <c r="F3288" t="n">
        <v>30.9</v>
      </c>
      <c r="G3288" t="n">
        <v>94</v>
      </c>
      <c r="H3288" t="n">
        <v>0.000221</v>
      </c>
      <c r="I3288" t="inlineStr">
        <is>
          <t>Nr</t>
        </is>
      </c>
      <c r="J3288" t="inlineStr"/>
      <c r="K3288" t="inlineStr"/>
      <c r="L3288" t="inlineStr">
        <is>
          <t>CAI5637690.1 unnamed protein product [Mustela putorius furo]</t>
        </is>
      </c>
      <c r="M3288" t="n">
        <v>1270</v>
      </c>
      <c r="N3288" t="inlineStr">
        <is>
          <t>Mustela putorius furo</t>
        </is>
      </c>
      <c r="O3288" t="inlineStr">
        <is>
          <t>unnamed protein product</t>
        </is>
      </c>
    </row>
    <row r="3289">
      <c r="A3289" t="inlineStr"/>
      <c r="B3289" t="inlineStr"/>
      <c r="C3289" t="inlineStr"/>
      <c r="D3289" t="inlineStr"/>
      <c r="E3289">
        <f>HYPERLINK("https://www.ncbi.nlm.nih.gov/gene/?term=CDQ88136.1", "CDQ88136.1")</f>
        <v/>
      </c>
      <c r="F3289" t="n">
        <v>29.8</v>
      </c>
      <c r="G3289" t="n">
        <v>94</v>
      </c>
      <c r="H3289" t="n">
        <v>0.000299</v>
      </c>
      <c r="I3289" t="inlineStr">
        <is>
          <t>Nr</t>
        </is>
      </c>
      <c r="J3289" t="inlineStr"/>
      <c r="K3289" t="inlineStr"/>
      <c r="L3289" t="inlineStr">
        <is>
          <t>CDQ88136.1 unnamed protein product [Oncorhynchus mykiss]</t>
        </is>
      </c>
      <c r="M3289" t="n">
        <v>269</v>
      </c>
      <c r="N3289" t="inlineStr">
        <is>
          <t>Oncorhynchus mykiss</t>
        </is>
      </c>
      <c r="O3289" t="inlineStr">
        <is>
          <t>unnamed protein product</t>
        </is>
      </c>
    </row>
    <row r="3290">
      <c r="A3290" t="inlineStr"/>
      <c r="B3290" t="inlineStr"/>
      <c r="C3290" t="inlineStr"/>
      <c r="D3290" t="inlineStr"/>
      <c r="E3290">
        <f>HYPERLINK("https://www.ncbi.nlm.nih.gov/gene/?term=CAI5671647.1", "CAI5671647.1")</f>
        <v/>
      </c>
      <c r="F3290" t="n">
        <v>31.6</v>
      </c>
      <c r="G3290" t="n">
        <v>98</v>
      </c>
      <c r="H3290" t="n">
        <v>0.000328</v>
      </c>
      <c r="I3290" t="inlineStr">
        <is>
          <t>Nr</t>
        </is>
      </c>
      <c r="J3290" t="inlineStr"/>
      <c r="K3290" t="inlineStr"/>
      <c r="L3290" t="inlineStr">
        <is>
          <t>CAI5671647.1 unnamed protein product [Mustela putorius furo]</t>
        </is>
      </c>
      <c r="M3290" t="n">
        <v>306</v>
      </c>
      <c r="N3290" t="inlineStr">
        <is>
          <t>Mustela putorius furo</t>
        </is>
      </c>
      <c r="O3290" t="inlineStr">
        <is>
          <t>unnamed protein product</t>
        </is>
      </c>
    </row>
    <row r="3291">
      <c r="A3291" t="inlineStr"/>
      <c r="B3291" t="inlineStr"/>
      <c r="C3291" t="inlineStr"/>
      <c r="D3291" t="inlineStr"/>
      <c r="E3291">
        <f>HYPERLINK("https://www.ncbi.nlm.nih.gov/gene/?term=XP_044058214.1", "XP_044058214.1")</f>
        <v/>
      </c>
      <c r="F3291" t="n">
        <v>29.5</v>
      </c>
      <c r="G3291" t="n">
        <v>112</v>
      </c>
      <c r="H3291" t="n">
        <v>0.00033</v>
      </c>
      <c r="I3291" t="inlineStr">
        <is>
          <t>Nr</t>
        </is>
      </c>
      <c r="J3291" t="inlineStr"/>
      <c r="K3291" t="inlineStr"/>
      <c r="L3291" t="inlineStr">
        <is>
          <t>XP_044058214.1 uncharacterized protein LOC122878838 [Siniperca chuatsi]</t>
        </is>
      </c>
      <c r="M3291" t="n">
        <v>536</v>
      </c>
      <c r="N3291" t="inlineStr">
        <is>
          <t>Siniperca chuatsi</t>
        </is>
      </c>
      <c r="O3291" t="inlineStr">
        <is>
          <t>uncharacterized protein LOC122878838</t>
        </is>
      </c>
    </row>
    <row r="3292">
      <c r="A3292" t="inlineStr"/>
      <c r="B3292" t="inlineStr"/>
      <c r="C3292" t="inlineStr"/>
      <c r="D3292" t="inlineStr"/>
      <c r="E3292">
        <f>HYPERLINK("https://www.ncbi.nlm.nih.gov/gene/?term=XP_033800821.1", "XP_033800821.1")</f>
        <v/>
      </c>
      <c r="F3292" t="n">
        <v>27.9</v>
      </c>
      <c r="G3292" t="n">
        <v>86</v>
      </c>
      <c r="H3292" t="n">
        <v>0.000342</v>
      </c>
      <c r="I3292" t="inlineStr">
        <is>
          <t>Nr</t>
        </is>
      </c>
      <c r="J3292" t="inlineStr"/>
      <c r="K3292" t="inlineStr"/>
      <c r="L3292" t="inlineStr">
        <is>
          <t>XP_033800821.1 uncharacterized protein LOC117360698 [Geotrypetes seraphini]</t>
        </is>
      </c>
      <c r="M3292" t="n">
        <v>336</v>
      </c>
      <c r="N3292" t="inlineStr">
        <is>
          <t>Geotrypetes seraphini</t>
        </is>
      </c>
      <c r="O3292" t="inlineStr">
        <is>
          <t>uncharacterized protein LOC117360698</t>
        </is>
      </c>
    </row>
    <row r="3293">
      <c r="A3293" t="inlineStr"/>
      <c r="B3293" t="inlineStr"/>
      <c r="C3293" t="inlineStr"/>
      <c r="D3293" t="inlineStr"/>
      <c r="E3293">
        <f>HYPERLINK("https://www.ncbi.nlm.nih.gov/gene/?term=KAF3858701.1", "KAF3858701.1")</f>
        <v/>
      </c>
      <c r="F3293" t="n">
        <v>30.7</v>
      </c>
      <c r="G3293" t="n">
        <v>101</v>
      </c>
      <c r="H3293" t="n">
        <v>0.000365</v>
      </c>
      <c r="I3293" t="inlineStr">
        <is>
          <t>Nr</t>
        </is>
      </c>
      <c r="J3293" t="inlineStr"/>
      <c r="K3293" t="inlineStr"/>
      <c r="L3293" t="inlineStr">
        <is>
          <t>KAF3858701.1 hypothetical protein F7725_011902 [Dissostichus mawsoni]</t>
        </is>
      </c>
      <c r="M3293" t="n">
        <v>197</v>
      </c>
      <c r="N3293" t="inlineStr">
        <is>
          <t>Dissostichus mawsoni</t>
        </is>
      </c>
      <c r="O3293" t="inlineStr">
        <is>
          <t>hypothetical protein F7725_011902</t>
        </is>
      </c>
    </row>
    <row r="3294">
      <c r="A3294" t="inlineStr"/>
      <c r="B3294" t="inlineStr"/>
      <c r="C3294" t="inlineStr"/>
      <c r="D3294" t="inlineStr"/>
      <c r="E3294">
        <f>HYPERLINK("https://www.ncbi.nlm.nih.gov/gene/?term=XP_019208580.1", "XP_019208580.1")</f>
        <v/>
      </c>
      <c r="F3294" t="n">
        <v>38.6</v>
      </c>
      <c r="G3294" t="n">
        <v>70</v>
      </c>
      <c r="H3294" t="n">
        <v>0.000369</v>
      </c>
      <c r="I3294" t="inlineStr">
        <is>
          <t>Nr</t>
        </is>
      </c>
      <c r="J3294" t="inlineStr"/>
      <c r="K3294" t="inlineStr"/>
      <c r="L3294" t="inlineStr">
        <is>
          <t>XP_019208580.1 uncharacterized protein LOC102079249 isoform X1 [Oreochromis niloticus]</t>
        </is>
      </c>
      <c r="M3294" t="n">
        <v>465</v>
      </c>
      <c r="N3294" t="inlineStr">
        <is>
          <t>Oreochromis niloticus</t>
        </is>
      </c>
      <c r="O3294" t="inlineStr">
        <is>
          <t>uncharacterized protein LOC102079249 isoform X1</t>
        </is>
      </c>
    </row>
    <row r="3295">
      <c r="A3295" t="inlineStr"/>
      <c r="B3295" t="inlineStr"/>
      <c r="C3295" t="inlineStr"/>
      <c r="D3295" t="inlineStr"/>
      <c r="E3295">
        <f>HYPERLINK("https://www.ncbi.nlm.nih.gov/gene/?term=CAI5681919.1", "CAI5681919.1")</f>
        <v/>
      </c>
      <c r="F3295" t="n">
        <v>24</v>
      </c>
      <c r="G3295" t="n">
        <v>150</v>
      </c>
      <c r="H3295" t="n">
        <v>0.000388</v>
      </c>
      <c r="I3295" t="inlineStr">
        <is>
          <t>Nr</t>
        </is>
      </c>
      <c r="J3295" t="inlineStr"/>
      <c r="K3295" t="inlineStr"/>
      <c r="L3295" t="inlineStr">
        <is>
          <t>CAI5681919.1 unnamed protein product [Mustela putorius furo]</t>
        </is>
      </c>
      <c r="M3295" t="n">
        <v>369</v>
      </c>
      <c r="N3295" t="inlineStr">
        <is>
          <t>Mustela putorius furo</t>
        </is>
      </c>
      <c r="O3295" t="inlineStr">
        <is>
          <t>unnamed protein product</t>
        </is>
      </c>
    </row>
    <row r="3296">
      <c r="A3296" t="inlineStr"/>
      <c r="B3296" t="inlineStr"/>
      <c r="C3296" t="inlineStr"/>
      <c r="D3296" t="inlineStr"/>
      <c r="E3296">
        <f>HYPERLINK("https://www.ncbi.nlm.nih.gov/gene/?term=CAI5656281.1", "CAI5656281.1")</f>
        <v/>
      </c>
      <c r="F3296" t="n">
        <v>38.6</v>
      </c>
      <c r="G3296" t="n">
        <v>70</v>
      </c>
      <c r="H3296" t="n">
        <v>0.000503</v>
      </c>
      <c r="I3296" t="inlineStr">
        <is>
          <t>Nr</t>
        </is>
      </c>
      <c r="J3296" t="inlineStr"/>
      <c r="K3296" t="inlineStr"/>
      <c r="L3296" t="inlineStr">
        <is>
          <t>CAI5656281.1 unnamed protein product [Mustela putorius furo]</t>
        </is>
      </c>
      <c r="M3296" t="n">
        <v>465</v>
      </c>
      <c r="N3296" t="inlineStr">
        <is>
          <t>Mustela putorius furo</t>
        </is>
      </c>
      <c r="O3296" t="inlineStr">
        <is>
          <t>unnamed protein product</t>
        </is>
      </c>
    </row>
    <row r="3297">
      <c r="A3297" t="inlineStr"/>
      <c r="B3297" t="inlineStr"/>
      <c r="C3297" t="inlineStr"/>
      <c r="D3297" t="inlineStr"/>
      <c r="E3297">
        <f>HYPERLINK("https://www.ncbi.nlm.nih.gov/gene/?term=CAG5855662.1", "CAG5855662.1")</f>
        <v/>
      </c>
      <c r="F3297" t="n">
        <v>30.1</v>
      </c>
      <c r="G3297" t="n">
        <v>103</v>
      </c>
      <c r="H3297" t="n">
        <v>0.000557</v>
      </c>
      <c r="I3297" t="inlineStr">
        <is>
          <t>Nr</t>
        </is>
      </c>
      <c r="J3297" t="inlineStr"/>
      <c r="K3297" t="inlineStr"/>
      <c r="L3297" t="inlineStr">
        <is>
          <t>CAG5855662.1 unnamed protein product [Menidia menidia]</t>
        </is>
      </c>
      <c r="M3297" t="n">
        <v>1234</v>
      </c>
      <c r="N3297" t="inlineStr">
        <is>
          <t>Menidia menidia</t>
        </is>
      </c>
      <c r="O3297" t="inlineStr">
        <is>
          <t>unnamed protein product</t>
        </is>
      </c>
    </row>
    <row r="3298">
      <c r="A3298" t="inlineStr"/>
      <c r="B3298" t="inlineStr"/>
      <c r="C3298" t="inlineStr"/>
      <c r="D3298" t="inlineStr"/>
      <c r="E3298">
        <f>HYPERLINK("https://www.uniprot.org/uniprotkb/A0A6P7X2T0/entry", "A0A6P7X2T0")</f>
        <v/>
      </c>
      <c r="F3298" t="n">
        <v>29.5</v>
      </c>
      <c r="G3298" t="n">
        <v>129</v>
      </c>
      <c r="H3298" t="n">
        <v>0.000652</v>
      </c>
      <c r="I3298" t="inlineStr">
        <is>
          <t>TrEMBL</t>
        </is>
      </c>
      <c r="J3298" t="inlineStr">
        <is>
          <t>LOC115461786</t>
        </is>
      </c>
      <c r="K3298" t="inlineStr">
        <is>
          <t>A0A6P7X2T0_9AMPH</t>
        </is>
      </c>
      <c r="L3298" t="inlineStr">
        <is>
          <t>tr|A0A6P7X2T0|A0A6P7X2T0_9AMPH transitional endoplasmic reticulum ATPase-like OS=Microcaecilia unicolor OX=1415580 GN=LOC115461786 PE=3 SV=1</t>
        </is>
      </c>
      <c r="M3298" t="n">
        <v>1064</v>
      </c>
      <c r="N3298" t="inlineStr">
        <is>
          <t>Microcaecilia unicolor</t>
        </is>
      </c>
      <c r="O3298" t="inlineStr">
        <is>
          <t>transitional endoplasmic reticulum ATPase-like</t>
        </is>
      </c>
    </row>
    <row r="3299">
      <c r="A3299" t="inlineStr"/>
      <c r="B3299" t="inlineStr"/>
      <c r="C3299" t="inlineStr"/>
      <c r="D3299" t="inlineStr"/>
      <c r="E3299">
        <f>HYPERLINK("https://www.ncbi.nlm.nih.gov/gene/?term=KAE8597138.1", "KAE8597138.1")</f>
        <v/>
      </c>
      <c r="F3299" t="n">
        <v>26.5</v>
      </c>
      <c r="G3299" t="n">
        <v>151</v>
      </c>
      <c r="H3299" t="n">
        <v>0.000754</v>
      </c>
      <c r="I3299" t="inlineStr">
        <is>
          <t>Nr</t>
        </is>
      </c>
      <c r="J3299" t="inlineStr"/>
      <c r="K3299" t="inlineStr"/>
      <c r="L3299" t="inlineStr">
        <is>
          <t>KAE8597138.1 hypothetical protein XENTR_v10016367 [Xenopus tropicalis]</t>
        </is>
      </c>
      <c r="M3299" t="n">
        <v>427</v>
      </c>
      <c r="N3299" t="inlineStr">
        <is>
          <t>Xenopus tropicalis</t>
        </is>
      </c>
      <c r="O3299" t="inlineStr">
        <is>
          <t>hypothetical protein XENTR_v10016367</t>
        </is>
      </c>
    </row>
    <row r="3300">
      <c r="A3300" t="inlineStr"/>
      <c r="B3300" t="inlineStr"/>
      <c r="C3300" t="inlineStr"/>
      <c r="D3300" t="inlineStr"/>
      <c r="E3300">
        <f>HYPERLINK("https://www.ncbi.nlm.nih.gov/gene/?term=CAI5674631.1", "CAI5674631.1")</f>
        <v/>
      </c>
      <c r="F3300" t="n">
        <v>38</v>
      </c>
      <c r="G3300" t="n">
        <v>71</v>
      </c>
      <c r="H3300" t="n">
        <v>0.00076</v>
      </c>
      <c r="I3300" t="inlineStr">
        <is>
          <t>Nr</t>
        </is>
      </c>
      <c r="J3300" t="inlineStr"/>
      <c r="K3300" t="inlineStr"/>
      <c r="L3300" t="inlineStr">
        <is>
          <t>CAI5674631.1 unnamed protein product [Mustela putorius furo]</t>
        </is>
      </c>
      <c r="M3300" t="n">
        <v>1270</v>
      </c>
      <c r="N3300" t="inlineStr">
        <is>
          <t>Mustela putorius furo</t>
        </is>
      </c>
      <c r="O3300" t="inlineStr">
        <is>
          <t>unnamed protein product</t>
        </is>
      </c>
    </row>
    <row r="3301">
      <c r="A3301" t="inlineStr"/>
      <c r="B3301" t="inlineStr"/>
      <c r="C3301" t="inlineStr"/>
      <c r="D3301" t="inlineStr"/>
      <c r="E3301">
        <f>HYPERLINK("https://www.ncbi.nlm.nih.gov/gene/?term=XP_038160561.1", "XP_038160561.1")</f>
        <v/>
      </c>
      <c r="F3301" t="n">
        <v>25.3</v>
      </c>
      <c r="G3301" t="n">
        <v>150</v>
      </c>
      <c r="H3301" t="n">
        <v>0.000935</v>
      </c>
      <c r="I3301" t="inlineStr">
        <is>
          <t>Nr</t>
        </is>
      </c>
      <c r="J3301" t="inlineStr"/>
      <c r="K3301" t="inlineStr"/>
      <c r="L3301" t="inlineStr">
        <is>
          <t>XP_038160561.1 uncharacterized protein LOC119796199 [Cyprinodon tularosa]</t>
        </is>
      </c>
      <c r="M3301" t="n">
        <v>353</v>
      </c>
      <c r="N3301" t="inlineStr">
        <is>
          <t>Cyprinodon tularosa</t>
        </is>
      </c>
      <c r="O3301" t="inlineStr">
        <is>
          <t>uncharacterized protein LOC119796199</t>
        </is>
      </c>
    </row>
    <row r="3302">
      <c r="A3302" t="inlineStr"/>
      <c r="B3302" t="inlineStr"/>
      <c r="C3302" t="inlineStr"/>
      <c r="D3302" t="inlineStr"/>
      <c r="E3302">
        <f>HYPERLINK("https://www.ncbi.nlm.nih.gov/gene/?term=KAF3848746.1", "KAF3848746.1")</f>
        <v/>
      </c>
      <c r="F3302" t="n">
        <v>27</v>
      </c>
      <c r="G3302" t="n">
        <v>100</v>
      </c>
      <c r="H3302" t="n">
        <v>0.000942</v>
      </c>
      <c r="I3302" t="inlineStr">
        <is>
          <t>Nr</t>
        </is>
      </c>
      <c r="J3302" t="inlineStr"/>
      <c r="K3302" t="inlineStr"/>
      <c r="L3302" t="inlineStr">
        <is>
          <t>KAF3848746.1 hypothetical protein F7725_015243 [Dissostichus mawsoni]</t>
        </is>
      </c>
      <c r="M3302" t="n">
        <v>491</v>
      </c>
      <c r="N3302" t="inlineStr">
        <is>
          <t>Dissostichus mawsoni</t>
        </is>
      </c>
      <c r="O3302" t="inlineStr">
        <is>
          <t>hypothetical protein F7725_015243</t>
        </is>
      </c>
    </row>
    <row r="3303">
      <c r="A3303" t="inlineStr"/>
      <c r="B3303" t="inlineStr"/>
      <c r="C3303" t="inlineStr"/>
      <c r="D3303" t="inlineStr"/>
      <c r="E3303">
        <f>HYPERLINK("https://www.ncbi.nlm.nih.gov/gene/?term=KAF3859782.1", "KAF3859782.1")</f>
        <v/>
      </c>
      <c r="F3303" t="n">
        <v>27</v>
      </c>
      <c r="G3303" t="n">
        <v>100</v>
      </c>
      <c r="H3303" t="n">
        <v>0.0009479999999999999</v>
      </c>
      <c r="I3303" t="inlineStr">
        <is>
          <t>Nr</t>
        </is>
      </c>
      <c r="J3303" t="inlineStr"/>
      <c r="K3303" t="inlineStr"/>
      <c r="L3303" t="inlineStr">
        <is>
          <t>KAF3859782.1 hypothetical protein F7725_022181 [Dissostichus mawsoni]</t>
        </is>
      </c>
      <c r="M3303" t="n">
        <v>513</v>
      </c>
      <c r="N3303" t="inlineStr">
        <is>
          <t>Dissostichus mawsoni</t>
        </is>
      </c>
      <c r="O3303" t="inlineStr">
        <is>
          <t>hypothetical protein F7725_022181</t>
        </is>
      </c>
    </row>
    <row r="3304">
      <c r="A3304" t="inlineStr"/>
      <c r="B3304" t="inlineStr"/>
      <c r="C3304" t="inlineStr"/>
      <c r="D3304" t="inlineStr"/>
      <c r="E3304">
        <f>HYPERLINK("https://www.ncbi.nlm.nih.gov/gene/?term=CAI5685737.1", "CAI5685737.1")</f>
        <v/>
      </c>
      <c r="F3304" t="n">
        <v>35.2</v>
      </c>
      <c r="G3304" t="n">
        <v>71</v>
      </c>
      <c r="H3304" t="n">
        <v>0.000985</v>
      </c>
      <c r="I3304" t="inlineStr">
        <is>
          <t>Nr</t>
        </is>
      </c>
      <c r="J3304" t="inlineStr"/>
      <c r="K3304" t="inlineStr"/>
      <c r="L3304" t="inlineStr">
        <is>
          <t>CAI5685737.1 unnamed protein product [Mustela putorius furo]</t>
        </is>
      </c>
      <c r="M3304" t="n">
        <v>686</v>
      </c>
      <c r="N3304" t="inlineStr">
        <is>
          <t>Mustela putorius furo</t>
        </is>
      </c>
      <c r="O3304" t="inlineStr">
        <is>
          <t>unnamed protein product</t>
        </is>
      </c>
    </row>
    <row r="3305">
      <c r="A3305" t="inlineStr">
        <is>
          <t>NODE_210540_length_739_cov_1.302083_g119940_i0</t>
        </is>
      </c>
      <c r="B3305" t="inlineStr">
        <is>
          <t>bombina_pachypus_blastx</t>
        </is>
      </c>
      <c r="C3305" t="n">
        <v>7.30249023161576</v>
      </c>
      <c r="D3305" t="n">
        <v>0.0067299073147908</v>
      </c>
      <c r="E3305">
        <f>HYPERLINK("https://www.uniprot.org/uniprotkb/A0A803KCG6/entry", "A0A803KCG6")</f>
        <v/>
      </c>
      <c r="F3305" t="n">
        <v>29.1</v>
      </c>
      <c r="G3305" t="n">
        <v>175</v>
      </c>
      <c r="H3305" t="n">
        <v>6.19e-11</v>
      </c>
      <c r="I3305" t="inlineStr">
        <is>
          <t>TrEMBL</t>
        </is>
      </c>
      <c r="J3305" t="inlineStr"/>
      <c r="K3305" t="inlineStr">
        <is>
          <t>A0A803KCG6_XENTR</t>
        </is>
      </c>
      <c r="L3305" t="inlineStr">
        <is>
          <t>tr|A0A803KCG6|A0A803KCG6_XENTR Reverse transcriptase domain-containing protein OS=Xenopus tropicalis OX=8364 PE=4 SV=1</t>
        </is>
      </c>
      <c r="M3305" t="n">
        <v>762</v>
      </c>
      <c r="N3305" t="inlineStr">
        <is>
          <t>Xenopus tropicalis</t>
        </is>
      </c>
      <c r="O3305" t="inlineStr">
        <is>
          <t>Reverse transcriptase domain-containing protein</t>
        </is>
      </c>
    </row>
    <row r="3306">
      <c r="A3306" t="inlineStr"/>
      <c r="B3306" t="inlineStr"/>
      <c r="C3306" t="inlineStr"/>
      <c r="D3306" t="inlineStr"/>
      <c r="E3306">
        <f>HYPERLINK("https://www.ncbi.nlm.nih.gov/gene/?term=OCT55838.1", "OCT55838.1")</f>
        <v/>
      </c>
      <c r="F3306" t="n">
        <v>28</v>
      </c>
      <c r="G3306" t="n">
        <v>211</v>
      </c>
      <c r="H3306" t="n">
        <v>2.83e-07</v>
      </c>
      <c r="I3306" t="inlineStr">
        <is>
          <t>Nr</t>
        </is>
      </c>
      <c r="J3306" t="inlineStr"/>
      <c r="K3306" t="inlineStr"/>
      <c r="L3306" t="inlineStr">
        <is>
          <t>OCT55838.1 hypothetical protein XELAEV_18003200mg, partial [Xenopus laevis]</t>
        </is>
      </c>
      <c r="M3306" t="n">
        <v>209</v>
      </c>
      <c r="N3306" t="inlineStr">
        <is>
          <t>Xenopus laevis</t>
        </is>
      </c>
      <c r="O3306" t="inlineStr">
        <is>
          <t>hypothetical protein XELAEV_18003200mg, partial</t>
        </is>
      </c>
    </row>
    <row r="3307">
      <c r="A3307" t="inlineStr"/>
      <c r="B3307" t="inlineStr"/>
      <c r="C3307" t="inlineStr"/>
      <c r="D3307" t="inlineStr"/>
      <c r="E3307">
        <f>HYPERLINK("https://www.uniprot.org/uniprotkb/A0A803JIM5/entry", "A0A803JIM5")</f>
        <v/>
      </c>
      <c r="F3307" t="n">
        <v>24.6</v>
      </c>
      <c r="G3307" t="n">
        <v>203</v>
      </c>
      <c r="H3307" t="n">
        <v>2.91e-07</v>
      </c>
      <c r="I3307" t="inlineStr">
        <is>
          <t>TrEMBL</t>
        </is>
      </c>
      <c r="J3307" t="inlineStr"/>
      <c r="K3307" t="inlineStr">
        <is>
          <t>A0A803JIM5_XENTR</t>
        </is>
      </c>
      <c r="L3307" t="inlineStr">
        <is>
          <t>tr|A0A803JIM5|A0A803JIM5_XENTR GIY-YIG domain-containing protein OS=Xenopus tropicalis OX=8364 PE=4 SV=1</t>
        </is>
      </c>
      <c r="M3307" t="n">
        <v>661</v>
      </c>
      <c r="N3307" t="inlineStr">
        <is>
          <t>Xenopus tropicalis</t>
        </is>
      </c>
      <c r="O3307" t="inlineStr">
        <is>
          <t>GIY-YIG domain-containing protein</t>
        </is>
      </c>
    </row>
    <row r="3308">
      <c r="A3308" t="inlineStr"/>
      <c r="B3308" t="inlineStr"/>
      <c r="C3308" t="inlineStr"/>
      <c r="D3308" t="inlineStr"/>
      <c r="E3308">
        <f>HYPERLINK("https://www.uniprot.org/uniprotkb/A0A8J1L5X3/entry", "A0A8J1L5X3")</f>
        <v/>
      </c>
      <c r="F3308" t="n">
        <v>28.1</v>
      </c>
      <c r="G3308" t="n">
        <v>153</v>
      </c>
      <c r="H3308" t="n">
        <v>1.2e-06</v>
      </c>
      <c r="I3308" t="inlineStr">
        <is>
          <t>TrEMBL</t>
        </is>
      </c>
      <c r="J3308" t="inlineStr">
        <is>
          <t>LOC121395456</t>
        </is>
      </c>
      <c r="K3308" t="inlineStr">
        <is>
          <t>A0A8J1L5X3_XENLA</t>
        </is>
      </c>
      <c r="L3308" t="inlineStr">
        <is>
          <t>tr|A0A8J1L5X3|A0A8J1L5X3_XENLA uncharacterized protein LOC121395456 isoform X1 OS=Xenopus laevis OX=8355 GN=LOC121395456 PE=4 SV=1</t>
        </is>
      </c>
      <c r="M3308" t="n">
        <v>494</v>
      </c>
      <c r="N3308" t="inlineStr">
        <is>
          <t>Xenopus laevis</t>
        </is>
      </c>
      <c r="O3308" t="inlineStr">
        <is>
          <t>uncharacterized protein LOC121395456 isoform X1</t>
        </is>
      </c>
    </row>
    <row r="3309">
      <c r="A3309" t="inlineStr"/>
      <c r="B3309" t="inlineStr"/>
      <c r="C3309" t="inlineStr"/>
      <c r="D3309" t="inlineStr"/>
      <c r="E3309">
        <f>HYPERLINK("https://www.ncbi.nlm.nih.gov/gene/?term=OCT90035.1", "OCT90035.1")</f>
        <v/>
      </c>
      <c r="F3309" t="n">
        <v>30.9</v>
      </c>
      <c r="G3309" t="n">
        <v>207</v>
      </c>
      <c r="H3309" t="n">
        <v>1.36e-06</v>
      </c>
      <c r="I3309" t="inlineStr">
        <is>
          <t>Nr</t>
        </is>
      </c>
      <c r="J3309" t="inlineStr"/>
      <c r="K3309" t="inlineStr"/>
      <c r="L3309" t="inlineStr">
        <is>
          <t>OCT90035.1 hypothetical protein XELAEV_18018650mg, partial [Xenopus laevis]</t>
        </is>
      </c>
      <c r="M3309" t="n">
        <v>273</v>
      </c>
      <c r="N3309" t="inlineStr">
        <is>
          <t>Xenopus laevis</t>
        </is>
      </c>
      <c r="O3309" t="inlineStr">
        <is>
          <t>hypothetical protein XELAEV_18018650mg, partial</t>
        </is>
      </c>
    </row>
    <row r="3310">
      <c r="A3310" t="inlineStr"/>
      <c r="B3310" t="inlineStr"/>
      <c r="C3310" t="inlineStr"/>
      <c r="D3310" t="inlineStr"/>
      <c r="E3310">
        <f>HYPERLINK("https://www.ncbi.nlm.nih.gov/gene/?term=OCT91964.1", "OCT91964.1")</f>
        <v/>
      </c>
      <c r="F3310" t="n">
        <v>27.8</v>
      </c>
      <c r="G3310" t="n">
        <v>198</v>
      </c>
      <c r="H3310" t="n">
        <v>1.45e-06</v>
      </c>
      <c r="I3310" t="inlineStr">
        <is>
          <t>Nr</t>
        </is>
      </c>
      <c r="J3310" t="inlineStr"/>
      <c r="K3310" t="inlineStr"/>
      <c r="L3310" t="inlineStr">
        <is>
          <t>OCT91964.1 hypothetical protein XELAEV_18015021mg, partial [Xenopus laevis]</t>
        </is>
      </c>
      <c r="M3310" t="n">
        <v>363</v>
      </c>
      <c r="N3310" t="inlineStr">
        <is>
          <t>Xenopus laevis</t>
        </is>
      </c>
      <c r="O3310" t="inlineStr">
        <is>
          <t>hypothetical protein XELAEV_18015021mg, partial</t>
        </is>
      </c>
    </row>
    <row r="3311">
      <c r="A3311" t="inlineStr"/>
      <c r="B3311" t="inlineStr"/>
      <c r="C3311" t="inlineStr"/>
      <c r="D3311" t="inlineStr"/>
      <c r="E3311">
        <f>HYPERLINK("https://www.ncbi.nlm.nih.gov/gene/?term=XP_040188254.1", "XP_040188254.1")</f>
        <v/>
      </c>
      <c r="F3311" t="n">
        <v>32.3</v>
      </c>
      <c r="G3311" t="n">
        <v>155</v>
      </c>
      <c r="H3311" t="n">
        <v>1.81e-06</v>
      </c>
      <c r="I3311" t="inlineStr">
        <is>
          <t>Nr</t>
        </is>
      </c>
      <c r="J3311" t="inlineStr"/>
      <c r="K3311" t="inlineStr"/>
      <c r="L3311" t="inlineStr">
        <is>
          <t>XP_040188254.1 uncharacterized protein LOC120920313 [Rana temporaria]</t>
        </is>
      </c>
      <c r="M3311" t="n">
        <v>618</v>
      </c>
      <c r="N3311" t="inlineStr">
        <is>
          <t>Rana temporaria</t>
        </is>
      </c>
      <c r="O3311" t="inlineStr">
        <is>
          <t>uncharacterized protein LOC120920313</t>
        </is>
      </c>
    </row>
    <row r="3312">
      <c r="A3312" t="inlineStr"/>
      <c r="B3312" t="inlineStr"/>
      <c r="C3312" t="inlineStr"/>
      <c r="D3312" t="inlineStr"/>
      <c r="E3312">
        <f>HYPERLINK("https://www.ncbi.nlm.nih.gov/gene/?term=XP_041424947.1", "XP_041424947.1")</f>
        <v/>
      </c>
      <c r="F3312" t="n">
        <v>28.1</v>
      </c>
      <c r="G3312" t="n">
        <v>153</v>
      </c>
      <c r="H3312" t="n">
        <v>3.1e-06</v>
      </c>
      <c r="I3312" t="inlineStr">
        <is>
          <t>Nr</t>
        </is>
      </c>
      <c r="J3312" t="inlineStr"/>
      <c r="K3312" t="inlineStr"/>
      <c r="L3312" t="inlineStr">
        <is>
          <t>XP_041424947.1 uncharacterized protein LOC121395456 isoform X1 [Xenopus laevis]</t>
        </is>
      </c>
      <c r="M3312" t="n">
        <v>494</v>
      </c>
      <c r="N3312" t="inlineStr">
        <is>
          <t>Xenopus laevis</t>
        </is>
      </c>
      <c r="O3312" t="inlineStr">
        <is>
          <t>uncharacterized protein LOC121395456 isoform X1</t>
        </is>
      </c>
    </row>
    <row r="3313">
      <c r="A3313" t="inlineStr"/>
      <c r="B3313" t="inlineStr"/>
      <c r="C3313" t="inlineStr"/>
      <c r="D3313" t="inlineStr"/>
      <c r="E3313">
        <f>HYPERLINK("https://www.ncbi.nlm.nih.gov/gene/?term=OCT92634.1", "OCT92634.1")</f>
        <v/>
      </c>
      <c r="F3313" t="n">
        <v>29.5</v>
      </c>
      <c r="G3313" t="n">
        <v>207</v>
      </c>
      <c r="H3313" t="n">
        <v>1.09e-05</v>
      </c>
      <c r="I3313" t="inlineStr">
        <is>
          <t>Nr</t>
        </is>
      </c>
      <c r="J3313" t="inlineStr"/>
      <c r="K3313" t="inlineStr"/>
      <c r="L3313" t="inlineStr">
        <is>
          <t>OCT92634.1 hypothetical protein XELAEV_18015692mg, partial [Xenopus laevis]</t>
        </is>
      </c>
      <c r="M3313" t="n">
        <v>322</v>
      </c>
      <c r="N3313" t="inlineStr">
        <is>
          <t>Xenopus laevis</t>
        </is>
      </c>
      <c r="O3313" t="inlineStr">
        <is>
          <t>hypothetical protein XELAEV_18015692mg, partial</t>
        </is>
      </c>
    </row>
    <row r="3314">
      <c r="A3314" t="inlineStr"/>
      <c r="B3314" t="inlineStr"/>
      <c r="C3314" t="inlineStr"/>
      <c r="D3314" t="inlineStr"/>
      <c r="E3314">
        <f>HYPERLINK("https://www.ncbi.nlm.nih.gov/gene/?term=OCT58240.1", "OCT58240.1")</f>
        <v/>
      </c>
      <c r="F3314" t="n">
        <v>28.2</v>
      </c>
      <c r="G3314" t="n">
        <v>206</v>
      </c>
      <c r="H3314" t="n">
        <v>1.1e-05</v>
      </c>
      <c r="I3314" t="inlineStr">
        <is>
          <t>Nr</t>
        </is>
      </c>
      <c r="J3314" t="inlineStr"/>
      <c r="K3314" t="inlineStr"/>
      <c r="L3314" t="inlineStr">
        <is>
          <t>OCT58240.1 hypothetical protein XELAEV_180024281mg, partial [Xenopus laevis]</t>
        </is>
      </c>
      <c r="M3314" t="n">
        <v>260</v>
      </c>
      <c r="N3314" t="inlineStr">
        <is>
          <t>Xenopus laevis</t>
        </is>
      </c>
      <c r="O3314" t="inlineStr">
        <is>
          <t>hypothetical protein XELAEV_180024281mg, partial</t>
        </is>
      </c>
    </row>
    <row r="3315">
      <c r="A3315" t="inlineStr"/>
      <c r="B3315" t="inlineStr"/>
      <c r="C3315" t="inlineStr"/>
      <c r="D3315" t="inlineStr"/>
      <c r="E3315">
        <f>HYPERLINK("https://www.ncbi.nlm.nih.gov/gene/?term=OCT98066.1", "OCT98066.1")</f>
        <v/>
      </c>
      <c r="F3315" t="n">
        <v>27.2</v>
      </c>
      <c r="G3315" t="n">
        <v>206</v>
      </c>
      <c r="H3315" t="n">
        <v>1.1e-05</v>
      </c>
      <c r="I3315" t="inlineStr">
        <is>
          <t>Nr</t>
        </is>
      </c>
      <c r="J3315" t="inlineStr"/>
      <c r="K3315" t="inlineStr"/>
      <c r="L3315" t="inlineStr">
        <is>
          <t>OCT98066.1 hypothetical protein XELAEV_18010294mg [Xenopus laevis]</t>
        </is>
      </c>
      <c r="M3315" t="n">
        <v>260</v>
      </c>
      <c r="N3315" t="inlineStr">
        <is>
          <t>Xenopus laevis</t>
        </is>
      </c>
      <c r="O3315" t="inlineStr">
        <is>
          <t>hypothetical protein XELAEV_18010294mg</t>
        </is>
      </c>
    </row>
    <row r="3316">
      <c r="A3316" t="inlineStr"/>
      <c r="B3316" t="inlineStr"/>
      <c r="C3316" t="inlineStr"/>
      <c r="D3316" t="inlineStr"/>
      <c r="E3316">
        <f>HYPERLINK("https://www.ncbi.nlm.nih.gov/gene/?term=OCT95583.1", "OCT95583.1")</f>
        <v/>
      </c>
      <c r="F3316" t="n">
        <v>28.5</v>
      </c>
      <c r="G3316" t="n">
        <v>207</v>
      </c>
      <c r="H3316" t="n">
        <v>1.96e-05</v>
      </c>
      <c r="I3316" t="inlineStr">
        <is>
          <t>Nr</t>
        </is>
      </c>
      <c r="J3316" t="inlineStr"/>
      <c r="K3316" t="inlineStr"/>
      <c r="L3316" t="inlineStr">
        <is>
          <t>OCT95583.1 hypothetical protein XELAEV_18013271mg [Xenopus laevis]</t>
        </is>
      </c>
      <c r="M3316" t="n">
        <v>554</v>
      </c>
      <c r="N3316" t="inlineStr">
        <is>
          <t>Xenopus laevis</t>
        </is>
      </c>
      <c r="O3316" t="inlineStr">
        <is>
          <t>hypothetical protein XELAEV_18013271mg</t>
        </is>
      </c>
    </row>
    <row r="3317">
      <c r="A3317" t="inlineStr"/>
      <c r="B3317" t="inlineStr"/>
      <c r="C3317" t="inlineStr"/>
      <c r="D3317" t="inlineStr"/>
      <c r="E3317">
        <f>HYPERLINK("https://www.uniprot.org/uniprotkb/A0A821FKV8/entry", "A0A821FKV8")</f>
        <v/>
      </c>
      <c r="F3317" t="n">
        <v>28</v>
      </c>
      <c r="G3317" t="n">
        <v>161</v>
      </c>
      <c r="H3317" t="n">
        <v>2.06e-05</v>
      </c>
      <c r="I3317" t="inlineStr">
        <is>
          <t>TrEMBL</t>
        </is>
      </c>
      <c r="J3317" t="inlineStr">
        <is>
          <t>RIMITATOR_LOCUS1024303</t>
        </is>
      </c>
      <c r="K3317" t="inlineStr">
        <is>
          <t>A0A821FKV8_9NEOB</t>
        </is>
      </c>
      <c r="L3317" t="inlineStr">
        <is>
          <t>tr|A0A821FKV8|A0A821FKV8_9NEOB (mimic poison frog) hypothetical protein OS=Ranitomeya imitator OX=111125 GN=RIMITATOR_LOCUS1024303 PE=4 SV=1</t>
        </is>
      </c>
      <c r="M3317" t="n">
        <v>345</v>
      </c>
      <c r="N3317" t="inlineStr">
        <is>
          <t>Ranitomeya imitator</t>
        </is>
      </c>
      <c r="O3317" t="inlineStr">
        <is>
          <t>(mimic poison frog) hypothetical protein</t>
        </is>
      </c>
    </row>
    <row r="3318">
      <c r="A3318" t="inlineStr"/>
      <c r="B3318" t="inlineStr"/>
      <c r="C3318" t="inlineStr"/>
      <c r="D3318" t="inlineStr"/>
      <c r="E3318">
        <f>HYPERLINK("https://www.ncbi.nlm.nih.gov/gene/?term=OCT82942.1", "OCT82942.1")</f>
        <v/>
      </c>
      <c r="F3318" t="n">
        <v>26.1</v>
      </c>
      <c r="G3318" t="n">
        <v>153</v>
      </c>
      <c r="H3318" t="n">
        <v>2.51e-05</v>
      </c>
      <c r="I3318" t="inlineStr">
        <is>
          <t>Nr</t>
        </is>
      </c>
      <c r="J3318" t="inlineStr"/>
      <c r="K3318" t="inlineStr"/>
      <c r="L3318" t="inlineStr">
        <is>
          <t>OCT82942.1 hypothetical protein XELAEV_18025477mg, partial [Xenopus laevis]</t>
        </is>
      </c>
      <c r="M3318" t="n">
        <v>245</v>
      </c>
      <c r="N3318" t="inlineStr">
        <is>
          <t>Xenopus laevis</t>
        </is>
      </c>
      <c r="O3318" t="inlineStr">
        <is>
          <t>hypothetical protein XELAEV_18025477mg, partial</t>
        </is>
      </c>
    </row>
    <row r="3319">
      <c r="A3319" t="inlineStr"/>
      <c r="B3319" t="inlineStr"/>
      <c r="C3319" t="inlineStr"/>
      <c r="D3319" t="inlineStr"/>
      <c r="E3319">
        <f>HYPERLINK("https://www.ncbi.nlm.nih.gov/gene/?term=XP_035254901.1", "XP_035254901.1")</f>
        <v/>
      </c>
      <c r="F3319" t="n">
        <v>26.5</v>
      </c>
      <c r="G3319" t="n">
        <v>211</v>
      </c>
      <c r="H3319" t="n">
        <v>4.11e-05</v>
      </c>
      <c r="I3319" t="inlineStr">
        <is>
          <t>Nr</t>
        </is>
      </c>
      <c r="J3319" t="inlineStr"/>
      <c r="K3319" t="inlineStr"/>
      <c r="L3319" t="inlineStr">
        <is>
          <t>XP_035254901.1 uncharacterized protein LOC118217183, partial [Anguilla anguilla]</t>
        </is>
      </c>
      <c r="M3319" t="n">
        <v>229</v>
      </c>
      <c r="N3319" t="inlineStr">
        <is>
          <t>Anguilla anguilla</t>
        </is>
      </c>
      <c r="O3319" t="inlineStr">
        <is>
          <t>uncharacterized protein LOC118217183, partial</t>
        </is>
      </c>
    </row>
    <row r="3320">
      <c r="A3320" t="inlineStr"/>
      <c r="B3320" t="inlineStr"/>
      <c r="C3320" t="inlineStr"/>
      <c r="D3320" t="inlineStr"/>
      <c r="E3320">
        <f>HYPERLINK("https://www.uniprot.org/uniprotkb/A0A8J1LMJ6/entry", "A0A8J1LMJ6")</f>
        <v/>
      </c>
      <c r="F3320" t="n">
        <v>28.5</v>
      </c>
      <c r="G3320" t="n">
        <v>179</v>
      </c>
      <c r="H3320" t="n">
        <v>6.62e-05</v>
      </c>
      <c r="I3320" t="inlineStr">
        <is>
          <t>TrEMBL</t>
        </is>
      </c>
      <c r="J3320" t="inlineStr">
        <is>
          <t>LOC108700086</t>
        </is>
      </c>
      <c r="K3320" t="inlineStr">
        <is>
          <t>A0A8J1LMJ6_XENLA</t>
        </is>
      </c>
      <c r="L3320" t="inlineStr">
        <is>
          <t>tr|A0A8J1LMJ6|A0A8J1LMJ6_XENLA uncharacterized protein LOC108700086 OS=Xenopus laevis OX=8355 GN=LOC108700086 PE=4 SV=1</t>
        </is>
      </c>
      <c r="M3320" t="n">
        <v>703</v>
      </c>
      <c r="N3320" t="inlineStr">
        <is>
          <t>Xenopus laevis</t>
        </is>
      </c>
      <c r="O3320" t="inlineStr">
        <is>
          <t>uncharacterized protein LOC108700086</t>
        </is>
      </c>
    </row>
    <row r="3321">
      <c r="A3321" t="inlineStr"/>
      <c r="B3321" t="inlineStr"/>
      <c r="C3321" t="inlineStr"/>
      <c r="D3321" t="inlineStr"/>
      <c r="E3321">
        <f>HYPERLINK("https://www.ncbi.nlm.nih.gov/gene/?term=OCT63445.1", "OCT63445.1")</f>
        <v/>
      </c>
      <c r="F3321" t="n">
        <v>28.6</v>
      </c>
      <c r="G3321" t="n">
        <v>203</v>
      </c>
      <c r="H3321" t="n">
        <v>0.000105</v>
      </c>
      <c r="I3321" t="inlineStr">
        <is>
          <t>Nr</t>
        </is>
      </c>
      <c r="J3321" t="inlineStr"/>
      <c r="K3321" t="inlineStr"/>
      <c r="L3321" t="inlineStr">
        <is>
          <t>OCT63445.1 hypothetical protein XELAEV_18044541mg [Xenopus laevis]</t>
        </is>
      </c>
      <c r="M3321" t="n">
        <v>277</v>
      </c>
      <c r="N3321" t="inlineStr">
        <is>
          <t>Xenopus laevis</t>
        </is>
      </c>
      <c r="O3321" t="inlineStr">
        <is>
          <t>hypothetical protein XELAEV_18044541mg</t>
        </is>
      </c>
    </row>
    <row r="3322">
      <c r="A3322" t="inlineStr"/>
      <c r="B3322" t="inlineStr"/>
      <c r="C3322" t="inlineStr"/>
      <c r="D3322" t="inlineStr"/>
      <c r="E3322">
        <f>HYPERLINK("https://www.ncbi.nlm.nih.gov/gene/?term=XP_041430795.1", "XP_041430795.1")</f>
        <v/>
      </c>
      <c r="F3322" t="n">
        <v>28.5</v>
      </c>
      <c r="G3322" t="n">
        <v>179</v>
      </c>
      <c r="H3322" t="n">
        <v>0.00017</v>
      </c>
      <c r="I3322" t="inlineStr">
        <is>
          <t>Nr</t>
        </is>
      </c>
      <c r="J3322" t="inlineStr"/>
      <c r="K3322" t="inlineStr"/>
      <c r="L3322" t="inlineStr">
        <is>
          <t>XP_041430795.1 uncharacterized protein LOC108700086 [Xenopus laevis]</t>
        </is>
      </c>
      <c r="M3322" t="n">
        <v>703</v>
      </c>
      <c r="N3322" t="inlineStr">
        <is>
          <t>Xenopus laevis</t>
        </is>
      </c>
      <c r="O3322" t="inlineStr">
        <is>
          <t>uncharacterized protein LOC108700086</t>
        </is>
      </c>
    </row>
    <row r="3323">
      <c r="A3323" t="inlineStr"/>
      <c r="B3323" t="inlineStr"/>
      <c r="C3323" t="inlineStr"/>
      <c r="D3323" t="inlineStr"/>
      <c r="E3323">
        <f>HYPERLINK("https://www.ncbi.nlm.nih.gov/gene/?term=OCT72087.1", "OCT72087.1")</f>
        <v/>
      </c>
      <c r="F3323" t="n">
        <v>28.8</v>
      </c>
      <c r="G3323" t="n">
        <v>153</v>
      </c>
      <c r="H3323" t="n">
        <v>0.00018</v>
      </c>
      <c r="I3323" t="inlineStr">
        <is>
          <t>Nr</t>
        </is>
      </c>
      <c r="J3323" t="inlineStr"/>
      <c r="K3323" t="inlineStr"/>
      <c r="L3323" t="inlineStr">
        <is>
          <t>OCT72087.1 hypothetical protein XELAEV_18035061mg [Xenopus laevis]</t>
        </is>
      </c>
      <c r="M3323" t="n">
        <v>146</v>
      </c>
      <c r="N3323" t="inlineStr">
        <is>
          <t>Xenopus laevis</t>
        </is>
      </c>
      <c r="O3323" t="inlineStr">
        <is>
          <t>hypothetical protein XELAEV_18035061mg</t>
        </is>
      </c>
    </row>
    <row r="3324">
      <c r="A3324" t="inlineStr"/>
      <c r="B3324" t="inlineStr"/>
      <c r="C3324" t="inlineStr"/>
      <c r="D3324" t="inlineStr"/>
      <c r="E3324">
        <f>HYPERLINK("https://www.uniprot.org/uniprotkb/A0A8C5MMS5/entry", "A0A8C5MMS5")</f>
        <v/>
      </c>
      <c r="F3324" t="n">
        <v>26.6</v>
      </c>
      <c r="G3324" t="n">
        <v>203</v>
      </c>
      <c r="H3324" t="n">
        <v>0.000217</v>
      </c>
      <c r="I3324" t="inlineStr">
        <is>
          <t>TrEMBL</t>
        </is>
      </c>
      <c r="J3324" t="inlineStr"/>
      <c r="K3324" t="inlineStr">
        <is>
          <t>A0A8C5MMS5_9ANUR</t>
        </is>
      </c>
      <c r="L3324" t="inlineStr">
        <is>
          <t>tr|A0A8C5MMS5|A0A8C5MMS5_9ANUR Reverse transcriptase domain-containing protein OS=Leptobrachium leishanense OX=445787 PE=4 SV=1</t>
        </is>
      </c>
      <c r="M3324" t="n">
        <v>664</v>
      </c>
      <c r="N3324" t="inlineStr">
        <is>
          <t>Leptobrachium leishanense</t>
        </is>
      </c>
      <c r="O3324" t="inlineStr">
        <is>
          <t>Reverse transcriptase domain-containing protein</t>
        </is>
      </c>
    </row>
    <row r="3325">
      <c r="A3325" t="inlineStr"/>
      <c r="B3325" t="inlineStr"/>
      <c r="C3325" t="inlineStr"/>
      <c r="D3325" t="inlineStr"/>
      <c r="E3325">
        <f>HYPERLINK("https://www.ncbi.nlm.nih.gov/gene/?term=OCT72347.1", "OCT72347.1")</f>
        <v/>
      </c>
      <c r="F3325" t="n">
        <v>38.4</v>
      </c>
      <c r="G3325" t="n">
        <v>73</v>
      </c>
      <c r="H3325" t="n">
        <v>0.0009890000000000001</v>
      </c>
      <c r="I3325" t="inlineStr">
        <is>
          <t>Nr</t>
        </is>
      </c>
      <c r="J3325" t="inlineStr"/>
      <c r="K3325" t="inlineStr"/>
      <c r="L3325" t="inlineStr">
        <is>
          <t>OCT72347.1 hypothetical protein XELAEV_18035323mg [Xenopus laevis]</t>
        </is>
      </c>
      <c r="M3325" t="n">
        <v>116</v>
      </c>
      <c r="N3325" t="inlineStr">
        <is>
          <t>Xenopus laevis</t>
        </is>
      </c>
      <c r="O3325" t="inlineStr">
        <is>
          <t>hypothetical protein XELAEV_18035323mg</t>
        </is>
      </c>
    </row>
    <row r="3326">
      <c r="A3326" t="inlineStr">
        <is>
          <t>NODE_2132_length_9518_cov_26.117554_g139_i1</t>
        </is>
      </c>
      <c r="B3326" t="inlineStr">
        <is>
          <t>bombina_pachypus_blastx</t>
        </is>
      </c>
      <c r="C3326" t="n">
        <v>-4.01643628358625</v>
      </c>
      <c r="D3326" t="n">
        <v>0.0389505241976891</v>
      </c>
      <c r="E3326">
        <f>HYPERLINK("https://www.ncbi.nlm.nih.gov/gene/?term=XP_053317651.1", "XP_053317651.1")</f>
        <v/>
      </c>
      <c r="F3326" t="n">
        <v>83.3</v>
      </c>
      <c r="G3326" t="n">
        <v>1337</v>
      </c>
      <c r="H3326" t="n">
        <v>0</v>
      </c>
      <c r="I3326" t="inlineStr">
        <is>
          <t>Nr</t>
        </is>
      </c>
      <c r="J3326" t="inlineStr"/>
      <c r="K3326" t="inlineStr"/>
      <c r="L3326" t="inlineStr">
        <is>
          <t>XP_053317651.1 extracellular matrix organizing protein FRAS1 [Spea bombifrons]</t>
        </is>
      </c>
      <c r="M3326" t="n">
        <v>4017</v>
      </c>
      <c r="N3326" t="inlineStr">
        <is>
          <t>Spea bombifrons</t>
        </is>
      </c>
      <c r="O3326" t="inlineStr">
        <is>
          <t>extracellular matrix organizing protein FRAS1</t>
        </is>
      </c>
    </row>
    <row r="3327">
      <c r="A3327" t="inlineStr"/>
      <c r="B3327" t="inlineStr"/>
      <c r="C3327" t="inlineStr"/>
      <c r="D3327" t="inlineStr"/>
      <c r="E3327">
        <f>HYPERLINK("https://www.ncbi.nlm.nih.gov/gene/?term=XP_031759282.1", "XP_031759282.1")</f>
        <v/>
      </c>
      <c r="F3327" t="n">
        <v>81.2</v>
      </c>
      <c r="G3327" t="n">
        <v>1351</v>
      </c>
      <c r="H3327" t="n">
        <v>0</v>
      </c>
      <c r="I3327" t="inlineStr">
        <is>
          <t>Nr</t>
        </is>
      </c>
      <c r="J3327" t="inlineStr"/>
      <c r="K3327" t="inlineStr"/>
      <c r="L3327" t="inlineStr">
        <is>
          <t>XP_031759282.1 extracellular matrix protein FRAS1 isoform X2 [Xenopus tropicalis]</t>
        </is>
      </c>
      <c r="M3327" t="n">
        <v>3967</v>
      </c>
      <c r="N3327" t="inlineStr">
        <is>
          <t>Xenopus tropicalis</t>
        </is>
      </c>
      <c r="O3327" t="inlineStr">
        <is>
          <t>extracellular matrix protein FRAS1 isoform X2</t>
        </is>
      </c>
    </row>
    <row r="3328">
      <c r="A3328" t="inlineStr"/>
      <c r="B3328" t="inlineStr"/>
      <c r="C3328" t="inlineStr"/>
      <c r="D3328" t="inlineStr"/>
      <c r="E3328">
        <f>HYPERLINK("https://www.ncbi.nlm.nih.gov/gene/?term=XP_002935497.2", "XP_002935497.2")</f>
        <v/>
      </c>
      <c r="F3328" t="n">
        <v>81.2</v>
      </c>
      <c r="G3328" t="n">
        <v>1351</v>
      </c>
      <c r="H3328" t="n">
        <v>0</v>
      </c>
      <c r="I3328" t="inlineStr">
        <is>
          <t>Nr</t>
        </is>
      </c>
      <c r="J3328" t="inlineStr"/>
      <c r="K3328" t="inlineStr"/>
      <c r="L3328" t="inlineStr">
        <is>
          <t>XP_002935497.2 extracellular matrix protein FRAS1 isoform X1 [Xenopus tropicalis]</t>
        </is>
      </c>
      <c r="M3328" t="n">
        <v>4014</v>
      </c>
      <c r="N3328" t="inlineStr">
        <is>
          <t>Xenopus tropicalis</t>
        </is>
      </c>
      <c r="O3328" t="inlineStr">
        <is>
          <t>extracellular matrix protein FRAS1 isoform X1</t>
        </is>
      </c>
    </row>
    <row r="3329">
      <c r="A3329" t="inlineStr"/>
      <c r="B3329" t="inlineStr"/>
      <c r="C3329" t="inlineStr"/>
      <c r="D3329" t="inlineStr"/>
      <c r="E3329">
        <f>HYPERLINK("https://www.ncbi.nlm.nih.gov/gene/?term=KAE8631115.1", "KAE8631115.1")</f>
        <v/>
      </c>
      <c r="F3329" t="n">
        <v>81.2</v>
      </c>
      <c r="G3329" t="n">
        <v>1351</v>
      </c>
      <c r="H3329" t="n">
        <v>0</v>
      </c>
      <c r="I3329" t="inlineStr">
        <is>
          <t>Nr</t>
        </is>
      </c>
      <c r="J3329" t="inlineStr"/>
      <c r="K3329" t="inlineStr"/>
      <c r="L3329" t="inlineStr">
        <is>
          <t>KAE8631115.1 hypothetical protein XENTR_v10001087 [Xenopus tropicalis]</t>
        </is>
      </c>
      <c r="M3329" t="n">
        <v>3528</v>
      </c>
      <c r="N3329" t="inlineStr">
        <is>
          <t>Xenopus tropicalis</t>
        </is>
      </c>
      <c r="O3329" t="inlineStr">
        <is>
          <t>hypothetical protein XENTR_v10001087</t>
        </is>
      </c>
    </row>
    <row r="3330">
      <c r="A3330" t="inlineStr"/>
      <c r="B3330" t="inlineStr"/>
      <c r="C3330" t="inlineStr"/>
      <c r="D3330" t="inlineStr"/>
      <c r="E3330">
        <f>HYPERLINK("https://www.ncbi.nlm.nih.gov/gene/?term=KAE8631116.1", "KAE8631116.1")</f>
        <v/>
      </c>
      <c r="F3330" t="n">
        <v>81.2</v>
      </c>
      <c r="G3330" t="n">
        <v>1351</v>
      </c>
      <c r="H3330" t="n">
        <v>0</v>
      </c>
      <c r="I3330" t="inlineStr">
        <is>
          <t>Nr</t>
        </is>
      </c>
      <c r="J3330" t="inlineStr"/>
      <c r="K3330" t="inlineStr"/>
      <c r="L3330" t="inlineStr">
        <is>
          <t>KAE8631116.1 hypothetical protein XENTR_v10001087 [Xenopus tropicalis]</t>
        </is>
      </c>
      <c r="M3330" t="n">
        <v>2915</v>
      </c>
      <c r="N3330" t="inlineStr">
        <is>
          <t>Xenopus tropicalis</t>
        </is>
      </c>
      <c r="O3330" t="inlineStr">
        <is>
          <t>hypothetical protein XENTR_v10001087</t>
        </is>
      </c>
    </row>
    <row r="3331">
      <c r="A3331" t="inlineStr"/>
      <c r="B3331" t="inlineStr"/>
      <c r="C3331" t="inlineStr"/>
      <c r="D3331" t="inlineStr"/>
      <c r="E3331">
        <f>HYPERLINK("https://www.ncbi.nlm.nih.gov/gene/?term=KAE8631114.1", "KAE8631114.1")</f>
        <v/>
      </c>
      <c r="F3331" t="n">
        <v>81.2</v>
      </c>
      <c r="G3331" t="n">
        <v>1351</v>
      </c>
      <c r="H3331" t="n">
        <v>0</v>
      </c>
      <c r="I3331" t="inlineStr">
        <is>
          <t>Nr</t>
        </is>
      </c>
      <c r="J3331" t="inlineStr"/>
      <c r="K3331" t="inlineStr"/>
      <c r="L3331" t="inlineStr">
        <is>
          <t>KAE8631114.1 hypothetical protein XENTR_v10001087 [Xenopus tropicalis]</t>
        </is>
      </c>
      <c r="M3331" t="n">
        <v>3841</v>
      </c>
      <c r="N3331" t="inlineStr">
        <is>
          <t>Xenopus tropicalis</t>
        </is>
      </c>
      <c r="O3331" t="inlineStr">
        <is>
          <t>hypothetical protein XENTR_v10001087</t>
        </is>
      </c>
    </row>
    <row r="3332">
      <c r="A3332" t="inlineStr"/>
      <c r="B3332" t="inlineStr"/>
      <c r="C3332" t="inlineStr"/>
      <c r="D3332" t="inlineStr"/>
      <c r="E3332">
        <f>HYPERLINK("https://www.ncbi.nlm.nih.gov/gene/?term=XP_041447020.1", "XP_041447020.1")</f>
        <v/>
      </c>
      <c r="F3332" t="n">
        <v>81.59999999999999</v>
      </c>
      <c r="G3332" t="n">
        <v>1337</v>
      </c>
      <c r="H3332" t="n">
        <v>0</v>
      </c>
      <c r="I3332" t="inlineStr">
        <is>
          <t>Nr</t>
        </is>
      </c>
      <c r="J3332" t="inlineStr"/>
      <c r="K3332" t="inlineStr"/>
      <c r="L3332" t="inlineStr">
        <is>
          <t>XP_041447020.1 extracellular matrix organizing protein FRAS1 isoform X1 [Xenopus laevis]</t>
        </is>
      </c>
      <c r="M3332" t="n">
        <v>4035</v>
      </c>
      <c r="N3332" t="inlineStr">
        <is>
          <t>Xenopus laevis</t>
        </is>
      </c>
      <c r="O3332" t="inlineStr">
        <is>
          <t>extracellular matrix organizing protein FRAS1 isoform X1</t>
        </is>
      </c>
    </row>
    <row r="3333">
      <c r="A3333" t="inlineStr"/>
      <c r="B3333" t="inlineStr"/>
      <c r="C3333" t="inlineStr"/>
      <c r="D3333" t="inlineStr"/>
      <c r="E3333">
        <f>HYPERLINK("https://www.ncbi.nlm.nih.gov/gene/?term=XP_041447021.1", "XP_041447021.1")</f>
        <v/>
      </c>
      <c r="F3333" t="n">
        <v>81.59999999999999</v>
      </c>
      <c r="G3333" t="n">
        <v>1337</v>
      </c>
      <c r="H3333" t="n">
        <v>0</v>
      </c>
      <c r="I3333" t="inlineStr">
        <is>
          <t>Nr</t>
        </is>
      </c>
      <c r="J3333" t="inlineStr"/>
      <c r="K3333" t="inlineStr"/>
      <c r="L3333" t="inlineStr">
        <is>
          <t>XP_041447021.1 extracellular matrix organizing protein FRAS1 isoform X2 [Xenopus laevis]</t>
        </is>
      </c>
      <c r="M3333" t="n">
        <v>4026</v>
      </c>
      <c r="N3333" t="inlineStr">
        <is>
          <t>Xenopus laevis</t>
        </is>
      </c>
      <c r="O3333" t="inlineStr">
        <is>
          <t>extracellular matrix organizing protein FRAS1 isoform X2</t>
        </is>
      </c>
    </row>
    <row r="3334">
      <c r="A3334" t="inlineStr"/>
      <c r="B3334" t="inlineStr"/>
      <c r="C3334" t="inlineStr"/>
      <c r="D3334" t="inlineStr"/>
      <c r="E3334">
        <f>HYPERLINK("https://www.ncbi.nlm.nih.gov/gene/?term=XP_041447022.1", "XP_041447022.1")</f>
        <v/>
      </c>
      <c r="F3334" t="n">
        <v>81.59999999999999</v>
      </c>
      <c r="G3334" t="n">
        <v>1337</v>
      </c>
      <c r="H3334" t="n">
        <v>0</v>
      </c>
      <c r="I3334" t="inlineStr">
        <is>
          <t>Nr</t>
        </is>
      </c>
      <c r="J3334" t="inlineStr"/>
      <c r="K3334" t="inlineStr"/>
      <c r="L3334" t="inlineStr">
        <is>
          <t>XP_041447022.1 extracellular matrix organizing protein FRAS1 isoform X3 [Xenopus laevis]</t>
        </is>
      </c>
      <c r="M3334" t="n">
        <v>4007</v>
      </c>
      <c r="N3334" t="inlineStr">
        <is>
          <t>Xenopus laevis</t>
        </is>
      </c>
      <c r="O3334" t="inlineStr">
        <is>
          <t>extracellular matrix organizing protein FRAS1 isoform X3</t>
        </is>
      </c>
    </row>
    <row r="3335">
      <c r="A3335" t="inlineStr"/>
      <c r="B3335" t="inlineStr"/>
      <c r="C3335" t="inlineStr"/>
      <c r="D3335" t="inlineStr"/>
      <c r="E3335">
        <f>HYPERLINK("https://www.ncbi.nlm.nih.gov/gene/?term=XP_018413400.1", "XP_018413400.1")</f>
        <v/>
      </c>
      <c r="F3335" t="n">
        <v>81.59999999999999</v>
      </c>
      <c r="G3335" t="n">
        <v>1342</v>
      </c>
      <c r="H3335" t="n">
        <v>0</v>
      </c>
      <c r="I3335" t="inlineStr">
        <is>
          <t>Nr</t>
        </is>
      </c>
      <c r="J3335" t="inlineStr"/>
      <c r="K3335" t="inlineStr"/>
      <c r="L3335" t="inlineStr">
        <is>
          <t>XP_018413400.1 PREDICTED: extracellular matrix protein FRAS1 [Nanorana parkeri]</t>
        </is>
      </c>
      <c r="M3335" t="n">
        <v>4025</v>
      </c>
      <c r="N3335" t="inlineStr">
        <is>
          <t>Nanorana parkeri</t>
        </is>
      </c>
      <c r="O3335" t="inlineStr">
        <is>
          <t>PREDICTED: extracellular matrix protein FRAS1</t>
        </is>
      </c>
    </row>
    <row r="3336">
      <c r="A3336" t="inlineStr"/>
      <c r="B3336" t="inlineStr"/>
      <c r="C3336" t="inlineStr"/>
      <c r="D3336" t="inlineStr"/>
      <c r="E3336">
        <f>HYPERLINK("https://www.ncbi.nlm.nih.gov/gene/?term=XP_040180159.1", "XP_040180159.1")</f>
        <v/>
      </c>
      <c r="F3336" t="n">
        <v>80.90000000000001</v>
      </c>
      <c r="G3336" t="n">
        <v>1342</v>
      </c>
      <c r="H3336" t="n">
        <v>0</v>
      </c>
      <c r="I3336" t="inlineStr">
        <is>
          <t>Nr</t>
        </is>
      </c>
      <c r="J3336" t="inlineStr"/>
      <c r="K3336" t="inlineStr"/>
      <c r="L3336" t="inlineStr">
        <is>
          <t>XP_040180159.1 extracellular matrix organizing protein FRAS1 [Rana temporaria]</t>
        </is>
      </c>
      <c r="M3336" t="n">
        <v>4015</v>
      </c>
      <c r="N3336" t="inlineStr">
        <is>
          <t>Rana temporaria</t>
        </is>
      </c>
      <c r="O3336" t="inlineStr">
        <is>
          <t>extracellular matrix organizing protein FRAS1</t>
        </is>
      </c>
    </row>
    <row r="3337">
      <c r="A3337" t="inlineStr"/>
      <c r="B3337" t="inlineStr"/>
      <c r="C3337" t="inlineStr"/>
      <c r="D3337" t="inlineStr"/>
      <c r="E3337">
        <f>HYPERLINK("https://www.ncbi.nlm.nih.gov/gene/?term=KAG8454257.1", "KAG8454257.1")</f>
        <v/>
      </c>
      <c r="F3337" t="n">
        <v>80.5</v>
      </c>
      <c r="G3337" t="n">
        <v>1337</v>
      </c>
      <c r="H3337" t="n">
        <v>0</v>
      </c>
      <c r="I3337" t="inlineStr">
        <is>
          <t>Nr</t>
        </is>
      </c>
      <c r="J3337" t="inlineStr"/>
      <c r="K3337" t="inlineStr"/>
      <c r="L3337" t="inlineStr">
        <is>
          <t>KAG8454257.1 hypothetical protein GDO86_000773 [Hymenochirus boettgeri]</t>
        </is>
      </c>
      <c r="M3337" t="n">
        <v>3830</v>
      </c>
      <c r="N3337" t="inlineStr">
        <is>
          <t>Hymenochirus boettgeri</t>
        </is>
      </c>
      <c r="O3337" t="inlineStr">
        <is>
          <t>hypothetical protein GDO86_000773</t>
        </is>
      </c>
    </row>
    <row r="3338">
      <c r="A3338" t="inlineStr"/>
      <c r="B3338" t="inlineStr"/>
      <c r="C3338" t="inlineStr"/>
      <c r="D3338" t="inlineStr"/>
      <c r="E3338">
        <f>HYPERLINK("https://www.ncbi.nlm.nih.gov/gene/?term=XP_040273960.1", "XP_040273960.1")</f>
        <v/>
      </c>
      <c r="F3338" t="n">
        <v>79.90000000000001</v>
      </c>
      <c r="G3338" t="n">
        <v>1351</v>
      </c>
      <c r="H3338" t="n">
        <v>0</v>
      </c>
      <c r="I3338" t="inlineStr">
        <is>
          <t>Nr</t>
        </is>
      </c>
      <c r="J3338" t="inlineStr"/>
      <c r="K3338" t="inlineStr"/>
      <c r="L3338" t="inlineStr">
        <is>
          <t>XP_040273960.1 extracellular matrix organizing protein FRAS1 [Bufo bufo]</t>
        </is>
      </c>
      <c r="M3338" t="n">
        <v>4016</v>
      </c>
      <c r="N3338" t="inlineStr">
        <is>
          <t>Bufo bufo</t>
        </is>
      </c>
      <c r="O3338" t="inlineStr">
        <is>
          <t>extracellular matrix organizing protein FRAS1</t>
        </is>
      </c>
    </row>
    <row r="3339">
      <c r="A3339" t="inlineStr"/>
      <c r="B3339" t="inlineStr"/>
      <c r="C3339" t="inlineStr"/>
      <c r="D3339" t="inlineStr"/>
      <c r="E3339">
        <f>HYPERLINK("https://www.ncbi.nlm.nih.gov/gene/?term=XP_044160387.1", "XP_044160387.1")</f>
        <v/>
      </c>
      <c r="F3339" t="n">
        <v>80.3</v>
      </c>
      <c r="G3339" t="n">
        <v>1337</v>
      </c>
      <c r="H3339" t="n">
        <v>0</v>
      </c>
      <c r="I3339" t="inlineStr">
        <is>
          <t>Nr</t>
        </is>
      </c>
      <c r="J3339" t="inlineStr"/>
      <c r="K3339" t="inlineStr"/>
      <c r="L3339" t="inlineStr">
        <is>
          <t>XP_044160387.1 extracellular matrix organizing protein FRAS1 [Bufo gargarizans]</t>
        </is>
      </c>
      <c r="M3339" t="n">
        <v>4018</v>
      </c>
      <c r="N3339" t="inlineStr">
        <is>
          <t>Bufo gargarizans</t>
        </is>
      </c>
      <c r="O3339" t="inlineStr">
        <is>
          <t>extracellular matrix organizing protein FRAS1</t>
        </is>
      </c>
    </row>
    <row r="3340">
      <c r="A3340" t="inlineStr"/>
      <c r="B3340" t="inlineStr"/>
      <c r="C3340" t="inlineStr"/>
      <c r="D3340" t="inlineStr"/>
      <c r="E3340">
        <f>HYPERLINK("https://www.ncbi.nlm.nih.gov/gene/?term=KAG8593556.1", "KAG8593556.1")</f>
        <v/>
      </c>
      <c r="F3340" t="n">
        <v>79.5</v>
      </c>
      <c r="G3340" t="n">
        <v>1351</v>
      </c>
      <c r="H3340" t="n">
        <v>0</v>
      </c>
      <c r="I3340" t="inlineStr">
        <is>
          <t>Nr</t>
        </is>
      </c>
      <c r="J3340" t="inlineStr"/>
      <c r="K3340" t="inlineStr"/>
      <c r="L3340" t="inlineStr">
        <is>
          <t>KAG8593556.1 hypothetical protein GDO81_000875 [Engystomops pustulosus]</t>
        </is>
      </c>
      <c r="M3340" t="n">
        <v>4017</v>
      </c>
      <c r="N3340" t="inlineStr">
        <is>
          <t>Engystomops pustulosus</t>
        </is>
      </c>
      <c r="O3340" t="inlineStr">
        <is>
          <t>hypothetical protein GDO81_000875</t>
        </is>
      </c>
    </row>
    <row r="3341">
      <c r="A3341" t="inlineStr"/>
      <c r="B3341" t="inlineStr"/>
      <c r="C3341" t="inlineStr"/>
      <c r="D3341" t="inlineStr"/>
      <c r="E3341">
        <f>HYPERLINK("https://www.ncbi.nlm.nih.gov/gene/?term=KAG8593557.1", "KAG8593557.1")</f>
        <v/>
      </c>
      <c r="F3341" t="n">
        <v>79.5</v>
      </c>
      <c r="G3341" t="n">
        <v>1351</v>
      </c>
      <c r="H3341" t="n">
        <v>0</v>
      </c>
      <c r="I3341" t="inlineStr">
        <is>
          <t>Nr</t>
        </is>
      </c>
      <c r="J3341" t="inlineStr"/>
      <c r="K3341" t="inlineStr"/>
      <c r="L3341" t="inlineStr">
        <is>
          <t>KAG8593557.1 hypothetical protein GDO81_000875 [Engystomops pustulosus]</t>
        </is>
      </c>
      <c r="M3341" t="n">
        <v>3961</v>
      </c>
      <c r="N3341" t="inlineStr">
        <is>
          <t>Engystomops pustulosus</t>
        </is>
      </c>
      <c r="O3341" t="inlineStr">
        <is>
          <t>hypothetical protein GDO81_000875</t>
        </is>
      </c>
    </row>
    <row r="3342">
      <c r="A3342" t="inlineStr"/>
      <c r="B3342" t="inlineStr"/>
      <c r="C3342" t="inlineStr"/>
      <c r="D3342" t="inlineStr"/>
      <c r="E3342">
        <f>HYPERLINK("https://www.ncbi.nlm.nih.gov/gene/?term=KAG8593555.1", "KAG8593555.1")</f>
        <v/>
      </c>
      <c r="F3342" t="n">
        <v>79.5</v>
      </c>
      <c r="G3342" t="n">
        <v>1351</v>
      </c>
      <c r="H3342" t="n">
        <v>0</v>
      </c>
      <c r="I3342" t="inlineStr">
        <is>
          <t>Nr</t>
        </is>
      </c>
      <c r="J3342" t="inlineStr"/>
      <c r="K3342" t="inlineStr"/>
      <c r="L3342" t="inlineStr">
        <is>
          <t>KAG8593555.1 hypothetical protein GDO81_000875 [Engystomops pustulosus]</t>
        </is>
      </c>
      <c r="M3342" t="n">
        <v>4018</v>
      </c>
      <c r="N3342" t="inlineStr">
        <is>
          <t>Engystomops pustulosus</t>
        </is>
      </c>
      <c r="O3342" t="inlineStr">
        <is>
          <t>hypothetical protein GDO81_000875</t>
        </is>
      </c>
    </row>
    <row r="3343">
      <c r="A3343" t="inlineStr"/>
      <c r="B3343" t="inlineStr"/>
      <c r="C3343" t="inlineStr"/>
      <c r="D3343" t="inlineStr"/>
      <c r="E3343">
        <f>HYPERLINK("https://www.ncbi.nlm.nih.gov/gene/?term=OCU00085.1", "OCU00085.1")</f>
        <v/>
      </c>
      <c r="F3343" t="n">
        <v>78.7</v>
      </c>
      <c r="G3343" t="n">
        <v>1336</v>
      </c>
      <c r="H3343" t="n">
        <v>0</v>
      </c>
      <c r="I3343" t="inlineStr">
        <is>
          <t>Nr</t>
        </is>
      </c>
      <c r="J3343" t="inlineStr"/>
      <c r="K3343" t="inlineStr"/>
      <c r="L3343" t="inlineStr">
        <is>
          <t>OCU00085.1 hypothetical protein XELAEV_18005869mg [Xenopus laevis]</t>
        </is>
      </c>
      <c r="M3343" t="n">
        <v>3935</v>
      </c>
      <c r="N3343" t="inlineStr">
        <is>
          <t>Xenopus laevis</t>
        </is>
      </c>
      <c r="O3343" t="inlineStr">
        <is>
          <t>hypothetical protein XELAEV_18005869mg</t>
        </is>
      </c>
    </row>
    <row r="3344">
      <c r="A3344" t="inlineStr"/>
      <c r="B3344" t="inlineStr"/>
      <c r="C3344" t="inlineStr"/>
      <c r="D3344" t="inlineStr"/>
      <c r="E3344">
        <f>HYPERLINK("https://www.ncbi.nlm.nih.gov/gene/?term=OCT97312.1", "OCT97312.1")</f>
        <v/>
      </c>
      <c r="F3344" t="n">
        <v>76.8</v>
      </c>
      <c r="G3344" t="n">
        <v>1349</v>
      </c>
      <c r="H3344" t="n">
        <v>0</v>
      </c>
      <c r="I3344" t="inlineStr">
        <is>
          <t>Nr</t>
        </is>
      </c>
      <c r="J3344" t="inlineStr"/>
      <c r="K3344" t="inlineStr"/>
      <c r="L3344" t="inlineStr">
        <is>
          <t>OCT97312.1 hypothetical protein XELAEV_18009537mg [Xenopus laevis]</t>
        </is>
      </c>
      <c r="M3344" t="n">
        <v>3915</v>
      </c>
      <c r="N3344" t="inlineStr">
        <is>
          <t>Xenopus laevis</t>
        </is>
      </c>
      <c r="O3344" t="inlineStr">
        <is>
          <t>hypothetical protein XELAEV_18009537mg</t>
        </is>
      </c>
    </row>
    <row r="3345">
      <c r="A3345" t="inlineStr"/>
      <c r="B3345" t="inlineStr"/>
      <c r="C3345" t="inlineStr"/>
      <c r="D3345" t="inlineStr"/>
      <c r="E3345">
        <f>HYPERLINK("https://www.ncbi.nlm.nih.gov/gene/?term=XP_029456248.1", "XP_029456248.1")</f>
        <v/>
      </c>
      <c r="F3345" t="n">
        <v>73.8</v>
      </c>
      <c r="G3345" t="n">
        <v>1337</v>
      </c>
      <c r="H3345" t="n">
        <v>0</v>
      </c>
      <c r="I3345" t="inlineStr">
        <is>
          <t>Nr</t>
        </is>
      </c>
      <c r="J3345" t="inlineStr"/>
      <c r="K3345" t="inlineStr"/>
      <c r="L3345" t="inlineStr">
        <is>
          <t>XP_029456248.1 extracellular matrix protein FRAS1 isoform X1 [Rhinatrema bivittatum]</t>
        </is>
      </c>
      <c r="M3345" t="n">
        <v>4011</v>
      </c>
      <c r="N3345" t="inlineStr">
        <is>
          <t>Rhinatrema bivittatum</t>
        </is>
      </c>
      <c r="O3345" t="inlineStr">
        <is>
          <t>extracellular matrix protein FRAS1 isoform X1</t>
        </is>
      </c>
    </row>
    <row r="3346">
      <c r="A3346" t="inlineStr"/>
      <c r="B3346" t="inlineStr"/>
      <c r="C3346" t="inlineStr"/>
      <c r="D3346" t="inlineStr"/>
      <c r="E3346">
        <f>HYPERLINK("https://www.ncbi.nlm.nih.gov/gene/?term=XP_029456255.1", "XP_029456255.1")</f>
        <v/>
      </c>
      <c r="F3346" t="n">
        <v>73.8</v>
      </c>
      <c r="G3346" t="n">
        <v>1337</v>
      </c>
      <c r="H3346" t="n">
        <v>0</v>
      </c>
      <c r="I3346" t="inlineStr">
        <is>
          <t>Nr</t>
        </is>
      </c>
      <c r="J3346" t="inlineStr"/>
      <c r="K3346" t="inlineStr"/>
      <c r="L3346" t="inlineStr">
        <is>
          <t>XP_029456255.1 extracellular matrix protein FRAS1 isoform X2 [Rhinatrema bivittatum]</t>
        </is>
      </c>
      <c r="M3346" t="n">
        <v>3120</v>
      </c>
      <c r="N3346" t="inlineStr">
        <is>
          <t>Rhinatrema bivittatum</t>
        </is>
      </c>
      <c r="O3346" t="inlineStr">
        <is>
          <t>extracellular matrix protein FRAS1 isoform X2</t>
        </is>
      </c>
    </row>
    <row r="3347">
      <c r="A3347" t="inlineStr"/>
      <c r="B3347" t="inlineStr"/>
      <c r="C3347" t="inlineStr"/>
      <c r="D3347" t="inlineStr"/>
      <c r="E3347">
        <f>HYPERLINK("https://www.ncbi.nlm.nih.gov/gene/?term=XP_029767779.1", "XP_029767779.1")</f>
        <v/>
      </c>
      <c r="F3347" t="n">
        <v>73.09999999999999</v>
      </c>
      <c r="G3347" t="n">
        <v>1335</v>
      </c>
      <c r="H3347" t="n">
        <v>0</v>
      </c>
      <c r="I3347" t="inlineStr">
        <is>
          <t>Nr</t>
        </is>
      </c>
      <c r="J3347" t="inlineStr"/>
      <c r="K3347" t="inlineStr"/>
      <c r="L3347" t="inlineStr">
        <is>
          <t>XP_029767779.1 extracellular matrix protein FRAS1 [Terrapene carolina triunguis]</t>
        </is>
      </c>
      <c r="M3347" t="n">
        <v>3906</v>
      </c>
      <c r="N3347" t="inlineStr">
        <is>
          <t>Terrapene carolina triunguis</t>
        </is>
      </c>
      <c r="O3347" t="inlineStr">
        <is>
          <t>extracellular matrix protein FRAS1</t>
        </is>
      </c>
    </row>
    <row r="3348">
      <c r="A3348" t="inlineStr"/>
      <c r="B3348" t="inlineStr"/>
      <c r="C3348" t="inlineStr"/>
      <c r="D3348" t="inlineStr"/>
      <c r="E3348">
        <f>HYPERLINK("https://www.ncbi.nlm.nih.gov/gene/?term=XP_042712299.1", "XP_042712299.1")</f>
        <v/>
      </c>
      <c r="F3348" t="n">
        <v>72.90000000000001</v>
      </c>
      <c r="G3348" t="n">
        <v>1335</v>
      </c>
      <c r="H3348" t="n">
        <v>0</v>
      </c>
      <c r="I3348" t="inlineStr">
        <is>
          <t>Nr</t>
        </is>
      </c>
      <c r="J3348" t="inlineStr"/>
      <c r="K3348" t="inlineStr"/>
      <c r="L3348" t="inlineStr">
        <is>
          <t>XP_042712299.1 extracellular matrix organizing protein FRAS1 isoform X4 [Chrysemys picta bellii]</t>
        </is>
      </c>
      <c r="M3348" t="n">
        <v>3999</v>
      </c>
      <c r="N3348" t="inlineStr">
        <is>
          <t>Chrysemys picta bellii</t>
        </is>
      </c>
      <c r="O3348" t="inlineStr">
        <is>
          <t>extracellular matrix organizing protein FRAS1 isoform X4</t>
        </is>
      </c>
    </row>
    <row r="3349">
      <c r="A3349" t="inlineStr"/>
      <c r="B3349" t="inlineStr"/>
      <c r="C3349" t="inlineStr"/>
      <c r="D3349" t="inlineStr"/>
      <c r="E3349">
        <f>HYPERLINK("https://www.ncbi.nlm.nih.gov/gene/?term=XP_042712300.1", "XP_042712300.1")</f>
        <v/>
      </c>
      <c r="F3349" t="n">
        <v>72.90000000000001</v>
      </c>
      <c r="G3349" t="n">
        <v>1335</v>
      </c>
      <c r="H3349" t="n">
        <v>0</v>
      </c>
      <c r="I3349" t="inlineStr">
        <is>
          <t>Nr</t>
        </is>
      </c>
      <c r="J3349" t="inlineStr"/>
      <c r="K3349" t="inlineStr"/>
      <c r="L3349" t="inlineStr">
        <is>
          <t>XP_042712300.1 extracellular matrix organizing protein FRAS1 isoform X5 [Chrysemys picta bellii]</t>
        </is>
      </c>
      <c r="M3349" t="n">
        <v>3964</v>
      </c>
      <c r="N3349" t="inlineStr">
        <is>
          <t>Chrysemys picta bellii</t>
        </is>
      </c>
      <c r="O3349" t="inlineStr">
        <is>
          <t>extracellular matrix organizing protein FRAS1 isoform X5</t>
        </is>
      </c>
    </row>
    <row r="3350">
      <c r="A3350" t="inlineStr"/>
      <c r="B3350" t="inlineStr"/>
      <c r="C3350" t="inlineStr"/>
      <c r="D3350" t="inlineStr"/>
      <c r="E3350">
        <f>HYPERLINK("https://www.ncbi.nlm.nih.gov/gene/?term=XP_042712298.1", "XP_042712298.1")</f>
        <v/>
      </c>
      <c r="F3350" t="n">
        <v>72.90000000000001</v>
      </c>
      <c r="G3350" t="n">
        <v>1335</v>
      </c>
      <c r="H3350" t="n">
        <v>0</v>
      </c>
      <c r="I3350" t="inlineStr">
        <is>
          <t>Nr</t>
        </is>
      </c>
      <c r="J3350" t="inlineStr"/>
      <c r="K3350" t="inlineStr"/>
      <c r="L3350" t="inlineStr">
        <is>
          <t>XP_042712298.1 extracellular matrix organizing protein FRAS1 isoform X3 [Chrysemys picta bellii]</t>
        </is>
      </c>
      <c r="M3350" t="n">
        <v>4010</v>
      </c>
      <c r="N3350" t="inlineStr">
        <is>
          <t>Chrysemys picta bellii</t>
        </is>
      </c>
      <c r="O3350" t="inlineStr">
        <is>
          <t>extracellular matrix organizing protein FRAS1 isoform X3</t>
        </is>
      </c>
    </row>
    <row r="3351">
      <c r="A3351" t="inlineStr"/>
      <c r="B3351" t="inlineStr"/>
      <c r="C3351" t="inlineStr"/>
      <c r="D3351" t="inlineStr"/>
      <c r="E3351">
        <f>HYPERLINK("https://www.ncbi.nlm.nih.gov/gene/?term=XP_040180159.1", "XP_040180159.1")</f>
        <v/>
      </c>
      <c r="F3351" t="n">
        <v>71.90000000000001</v>
      </c>
      <c r="G3351" t="n">
        <v>1559</v>
      </c>
      <c r="H3351" t="n">
        <v>0</v>
      </c>
      <c r="I3351" t="inlineStr">
        <is>
          <t>Nr</t>
        </is>
      </c>
      <c r="J3351" t="inlineStr"/>
      <c r="K3351" t="inlineStr"/>
      <c r="L3351" t="inlineStr">
        <is>
          <t>XP_040180159.1 extracellular matrix organizing protein FRAS1 [Rana temporaria]</t>
        </is>
      </c>
      <c r="M3351" t="n">
        <v>4015</v>
      </c>
      <c r="N3351" t="inlineStr">
        <is>
          <t>Rana temporaria</t>
        </is>
      </c>
      <c r="O3351" t="inlineStr">
        <is>
          <t>extracellular matrix organizing protein FRAS1</t>
        </is>
      </c>
    </row>
    <row r="3352">
      <c r="A3352" t="inlineStr"/>
      <c r="B3352" t="inlineStr"/>
      <c r="C3352" t="inlineStr"/>
      <c r="D3352" t="inlineStr"/>
      <c r="E3352">
        <f>HYPERLINK("https://www.ncbi.nlm.nih.gov/gene/?term=XP_053317651.1", "XP_053317651.1")</f>
        <v/>
      </c>
      <c r="F3352" t="n">
        <v>72.8</v>
      </c>
      <c r="G3352" t="n">
        <v>1567</v>
      </c>
      <c r="H3352" t="n">
        <v>0</v>
      </c>
      <c r="I3352" t="inlineStr">
        <is>
          <t>Nr</t>
        </is>
      </c>
      <c r="J3352" t="inlineStr"/>
      <c r="K3352" t="inlineStr"/>
      <c r="L3352" t="inlineStr">
        <is>
          <t>XP_053317651.1 extracellular matrix organizing protein FRAS1 [Spea bombifrons]</t>
        </is>
      </c>
      <c r="M3352" t="n">
        <v>4017</v>
      </c>
      <c r="N3352" t="inlineStr">
        <is>
          <t>Spea bombifrons</t>
        </is>
      </c>
      <c r="O3352" t="inlineStr">
        <is>
          <t>extracellular matrix organizing protein FRAS1</t>
        </is>
      </c>
    </row>
    <row r="3353">
      <c r="A3353" t="inlineStr"/>
      <c r="B3353" t="inlineStr"/>
      <c r="C3353" t="inlineStr"/>
      <c r="D3353" t="inlineStr"/>
      <c r="E3353">
        <f>HYPERLINK("https://www.ncbi.nlm.nih.gov/gene/?term=KAG8593556.1", "KAG8593556.1")</f>
        <v/>
      </c>
      <c r="F3353" t="n">
        <v>72.7</v>
      </c>
      <c r="G3353" t="n">
        <v>1554</v>
      </c>
      <c r="H3353" t="n">
        <v>0</v>
      </c>
      <c r="I3353" t="inlineStr">
        <is>
          <t>Nr</t>
        </is>
      </c>
      <c r="J3353" t="inlineStr"/>
      <c r="K3353" t="inlineStr"/>
      <c r="L3353" t="inlineStr">
        <is>
          <t>KAG8593556.1 hypothetical protein GDO81_000875 [Engystomops pustulosus]</t>
        </is>
      </c>
      <c r="M3353" t="n">
        <v>4017</v>
      </c>
      <c r="N3353" t="inlineStr">
        <is>
          <t>Engystomops pustulosus</t>
        </is>
      </c>
      <c r="O3353" t="inlineStr">
        <is>
          <t>hypothetical protein GDO81_000875</t>
        </is>
      </c>
    </row>
    <row r="3354">
      <c r="A3354" t="inlineStr"/>
      <c r="B3354" t="inlineStr"/>
      <c r="C3354" t="inlineStr"/>
      <c r="D3354" t="inlineStr"/>
      <c r="E3354">
        <f>HYPERLINK("https://www.ncbi.nlm.nih.gov/gene/?term=KAG8593555.1", "KAG8593555.1")</f>
        <v/>
      </c>
      <c r="F3354" t="n">
        <v>72.7</v>
      </c>
      <c r="G3354" t="n">
        <v>1554</v>
      </c>
      <c r="H3354" t="n">
        <v>0</v>
      </c>
      <c r="I3354" t="inlineStr">
        <is>
          <t>Nr</t>
        </is>
      </c>
      <c r="J3354" t="inlineStr"/>
      <c r="K3354" t="inlineStr"/>
      <c r="L3354" t="inlineStr">
        <is>
          <t>KAG8593555.1 hypothetical protein GDO81_000875 [Engystomops pustulosus]</t>
        </is>
      </c>
      <c r="M3354" t="n">
        <v>4018</v>
      </c>
      <c r="N3354" t="inlineStr">
        <is>
          <t>Engystomops pustulosus</t>
        </is>
      </c>
      <c r="O3354" t="inlineStr">
        <is>
          <t>hypothetical protein GDO81_000875</t>
        </is>
      </c>
    </row>
    <row r="3355">
      <c r="A3355" t="inlineStr"/>
      <c r="B3355" t="inlineStr"/>
      <c r="C3355" t="inlineStr"/>
      <c r="D3355" t="inlineStr"/>
      <c r="E3355">
        <f>HYPERLINK("https://www.ncbi.nlm.nih.gov/gene/?term=XP_044160387.1", "XP_044160387.1")</f>
        <v/>
      </c>
      <c r="F3355" t="n">
        <v>71.7</v>
      </c>
      <c r="G3355" t="n">
        <v>1560</v>
      </c>
      <c r="H3355" t="n">
        <v>0</v>
      </c>
      <c r="I3355" t="inlineStr">
        <is>
          <t>Nr</t>
        </is>
      </c>
      <c r="J3355" t="inlineStr"/>
      <c r="K3355" t="inlineStr"/>
      <c r="L3355" t="inlineStr">
        <is>
          <t>XP_044160387.1 extracellular matrix organizing protein FRAS1 [Bufo gargarizans]</t>
        </is>
      </c>
      <c r="M3355" t="n">
        <v>4018</v>
      </c>
      <c r="N3355" t="inlineStr">
        <is>
          <t>Bufo gargarizans</t>
        </is>
      </c>
      <c r="O3355" t="inlineStr">
        <is>
          <t>extracellular matrix organizing protein FRAS1</t>
        </is>
      </c>
    </row>
    <row r="3356">
      <c r="A3356" t="inlineStr"/>
      <c r="B3356" t="inlineStr"/>
      <c r="C3356" t="inlineStr"/>
      <c r="D3356" t="inlineStr"/>
      <c r="E3356">
        <f>HYPERLINK("https://www.ncbi.nlm.nih.gov/gene/?term=XP_040273960.1", "XP_040273960.1")</f>
        <v/>
      </c>
      <c r="F3356" t="n">
        <v>71.09999999999999</v>
      </c>
      <c r="G3356" t="n">
        <v>1560</v>
      </c>
      <c r="H3356" t="n">
        <v>0</v>
      </c>
      <c r="I3356" t="inlineStr">
        <is>
          <t>Nr</t>
        </is>
      </c>
      <c r="J3356" t="inlineStr"/>
      <c r="K3356" t="inlineStr"/>
      <c r="L3356" t="inlineStr">
        <is>
          <t>XP_040273960.1 extracellular matrix organizing protein FRAS1 [Bufo bufo]</t>
        </is>
      </c>
      <c r="M3356" t="n">
        <v>4016</v>
      </c>
      <c r="N3356" t="inlineStr">
        <is>
          <t>Bufo bufo</t>
        </is>
      </c>
      <c r="O3356" t="inlineStr">
        <is>
          <t>extracellular matrix organizing protein FRAS1</t>
        </is>
      </c>
    </row>
    <row r="3357">
      <c r="A3357" t="inlineStr"/>
      <c r="B3357" t="inlineStr"/>
      <c r="C3357" t="inlineStr"/>
      <c r="D3357" t="inlineStr"/>
      <c r="E3357">
        <f>HYPERLINK("https://www.ncbi.nlm.nih.gov/gene/?term=XP_002935497.2", "XP_002935497.2")</f>
        <v/>
      </c>
      <c r="F3357" t="n">
        <v>69.59999999999999</v>
      </c>
      <c r="G3357" t="n">
        <v>1567</v>
      </c>
      <c r="H3357" t="n">
        <v>0</v>
      </c>
      <c r="I3357" t="inlineStr">
        <is>
          <t>Nr</t>
        </is>
      </c>
      <c r="J3357" t="inlineStr"/>
      <c r="K3357" t="inlineStr"/>
      <c r="L3357" t="inlineStr">
        <is>
          <t>XP_002935497.2 extracellular matrix protein FRAS1 isoform X1 [Xenopus tropicalis]</t>
        </is>
      </c>
      <c r="M3357" t="n">
        <v>4014</v>
      </c>
      <c r="N3357" t="inlineStr">
        <is>
          <t>Xenopus tropicalis</t>
        </is>
      </c>
      <c r="O3357" t="inlineStr">
        <is>
          <t>extracellular matrix protein FRAS1 isoform X1</t>
        </is>
      </c>
    </row>
    <row r="3358">
      <c r="A3358" t="inlineStr"/>
      <c r="B3358" t="inlineStr"/>
      <c r="C3358" t="inlineStr"/>
      <c r="D3358" t="inlineStr"/>
      <c r="E3358">
        <f>HYPERLINK("https://www.ncbi.nlm.nih.gov/gene/?term=KAE8631115.1", "KAE8631115.1")</f>
        <v/>
      </c>
      <c r="F3358" t="n">
        <v>69.59999999999999</v>
      </c>
      <c r="G3358" t="n">
        <v>1567</v>
      </c>
      <c r="H3358" t="n">
        <v>0</v>
      </c>
      <c r="I3358" t="inlineStr">
        <is>
          <t>Nr</t>
        </is>
      </c>
      <c r="J3358" t="inlineStr"/>
      <c r="K3358" t="inlineStr"/>
      <c r="L3358" t="inlineStr">
        <is>
          <t>KAE8631115.1 hypothetical protein XENTR_v10001087 [Xenopus tropicalis]</t>
        </is>
      </c>
      <c r="M3358" t="n">
        <v>3528</v>
      </c>
      <c r="N3358" t="inlineStr">
        <is>
          <t>Xenopus tropicalis</t>
        </is>
      </c>
      <c r="O3358" t="inlineStr">
        <is>
          <t>hypothetical protein XENTR_v10001087</t>
        </is>
      </c>
    </row>
    <row r="3359">
      <c r="A3359" t="inlineStr"/>
      <c r="B3359" t="inlineStr"/>
      <c r="C3359" t="inlineStr"/>
      <c r="D3359" t="inlineStr"/>
      <c r="E3359">
        <f>HYPERLINK("https://www.ncbi.nlm.nih.gov/gene/?term=OCU00085.1", "OCU00085.1")</f>
        <v/>
      </c>
      <c r="F3359" t="n">
        <v>69.90000000000001</v>
      </c>
      <c r="G3359" t="n">
        <v>1567</v>
      </c>
      <c r="H3359" t="n">
        <v>0</v>
      </c>
      <c r="I3359" t="inlineStr">
        <is>
          <t>Nr</t>
        </is>
      </c>
      <c r="J3359" t="inlineStr"/>
      <c r="K3359" t="inlineStr"/>
      <c r="L3359" t="inlineStr">
        <is>
          <t>OCU00085.1 hypothetical protein XELAEV_18005869mg [Xenopus laevis]</t>
        </is>
      </c>
      <c r="M3359" t="n">
        <v>3935</v>
      </c>
      <c r="N3359" t="inlineStr">
        <is>
          <t>Xenopus laevis</t>
        </is>
      </c>
      <c r="O3359" t="inlineStr">
        <is>
          <t>hypothetical protein XELAEV_18005869mg</t>
        </is>
      </c>
    </row>
    <row r="3360">
      <c r="A3360" t="inlineStr"/>
      <c r="B3360" t="inlineStr"/>
      <c r="C3360" t="inlineStr"/>
      <c r="D3360" t="inlineStr"/>
      <c r="E3360">
        <f>HYPERLINK("https://www.ncbi.nlm.nih.gov/gene/?term=XP_041447022.1", "XP_041447022.1")</f>
        <v/>
      </c>
      <c r="F3360" t="n">
        <v>69.90000000000001</v>
      </c>
      <c r="G3360" t="n">
        <v>1568</v>
      </c>
      <c r="H3360" t="n">
        <v>0</v>
      </c>
      <c r="I3360" t="inlineStr">
        <is>
          <t>Nr</t>
        </is>
      </c>
      <c r="J3360" t="inlineStr"/>
      <c r="K3360" t="inlineStr"/>
      <c r="L3360" t="inlineStr">
        <is>
          <t>XP_041447022.1 extracellular matrix organizing protein FRAS1 isoform X3 [Xenopus laevis]</t>
        </is>
      </c>
      <c r="M3360" t="n">
        <v>4007</v>
      </c>
      <c r="N3360" t="inlineStr">
        <is>
          <t>Xenopus laevis</t>
        </is>
      </c>
      <c r="O3360" t="inlineStr">
        <is>
          <t>extracellular matrix organizing protein FRAS1 isoform X3</t>
        </is>
      </c>
    </row>
    <row r="3361">
      <c r="A3361" t="inlineStr"/>
      <c r="B3361" t="inlineStr"/>
      <c r="C3361" t="inlineStr"/>
      <c r="D3361" t="inlineStr"/>
      <c r="E3361">
        <f>HYPERLINK("https://www.ncbi.nlm.nih.gov/gene/?term=XP_031759282.1", "XP_031759282.1")</f>
        <v/>
      </c>
      <c r="F3361" t="n">
        <v>67.09999999999999</v>
      </c>
      <c r="G3361" t="n">
        <v>1567</v>
      </c>
      <c r="H3361" t="n">
        <v>0</v>
      </c>
      <c r="I3361" t="inlineStr">
        <is>
          <t>Nr</t>
        </is>
      </c>
      <c r="J3361" t="inlineStr"/>
      <c r="K3361" t="inlineStr"/>
      <c r="L3361" t="inlineStr">
        <is>
          <t>XP_031759282.1 extracellular matrix protein FRAS1 isoform X2 [Xenopus tropicalis]</t>
        </is>
      </c>
      <c r="M3361" t="n">
        <v>3967</v>
      </c>
      <c r="N3361" t="inlineStr">
        <is>
          <t>Xenopus tropicalis</t>
        </is>
      </c>
      <c r="O3361" t="inlineStr">
        <is>
          <t>extracellular matrix protein FRAS1 isoform X2</t>
        </is>
      </c>
    </row>
    <row r="3362">
      <c r="A3362" t="inlineStr"/>
      <c r="B3362" t="inlineStr"/>
      <c r="C3362" t="inlineStr"/>
      <c r="D3362" t="inlineStr"/>
      <c r="E3362">
        <f>HYPERLINK("https://www.ncbi.nlm.nih.gov/gene/?term=XP_041447020.1", "XP_041447020.1")</f>
        <v/>
      </c>
      <c r="F3362" t="n">
        <v>70.40000000000001</v>
      </c>
      <c r="G3362" t="n">
        <v>1553</v>
      </c>
      <c r="H3362" t="n">
        <v>0</v>
      </c>
      <c r="I3362" t="inlineStr">
        <is>
          <t>Nr</t>
        </is>
      </c>
      <c r="J3362" t="inlineStr"/>
      <c r="K3362" t="inlineStr"/>
      <c r="L3362" t="inlineStr">
        <is>
          <t>XP_041447020.1 extracellular matrix organizing protein FRAS1 isoform X1 [Xenopus laevis]</t>
        </is>
      </c>
      <c r="M3362" t="n">
        <v>4035</v>
      </c>
      <c r="N3362" t="inlineStr">
        <is>
          <t>Xenopus laevis</t>
        </is>
      </c>
      <c r="O3362" t="inlineStr">
        <is>
          <t>extracellular matrix organizing protein FRAS1 isoform X1</t>
        </is>
      </c>
    </row>
    <row r="3363">
      <c r="A3363" t="inlineStr"/>
      <c r="B3363" t="inlineStr"/>
      <c r="C3363" t="inlineStr"/>
      <c r="D3363" t="inlineStr"/>
      <c r="E3363">
        <f>HYPERLINK("https://www.ncbi.nlm.nih.gov/gene/?term=XP_041447021.1", "XP_041447021.1")</f>
        <v/>
      </c>
      <c r="F3363" t="n">
        <v>69.09999999999999</v>
      </c>
      <c r="G3363" t="n">
        <v>1587</v>
      </c>
      <c r="H3363" t="n">
        <v>0</v>
      </c>
      <c r="I3363" t="inlineStr">
        <is>
          <t>Nr</t>
        </is>
      </c>
      <c r="J3363" t="inlineStr"/>
      <c r="K3363" t="inlineStr"/>
      <c r="L3363" t="inlineStr">
        <is>
          <t>XP_041447021.1 extracellular matrix organizing protein FRAS1 isoform X2 [Xenopus laevis]</t>
        </is>
      </c>
      <c r="M3363" t="n">
        <v>4026</v>
      </c>
      <c r="N3363" t="inlineStr">
        <is>
          <t>Xenopus laevis</t>
        </is>
      </c>
      <c r="O3363" t="inlineStr">
        <is>
          <t>extracellular matrix organizing protein FRAS1 isoform X2</t>
        </is>
      </c>
    </row>
    <row r="3364">
      <c r="A3364" t="inlineStr"/>
      <c r="B3364" t="inlineStr"/>
      <c r="C3364" t="inlineStr"/>
      <c r="D3364" t="inlineStr"/>
      <c r="E3364">
        <f>HYPERLINK("https://www.ncbi.nlm.nih.gov/gene/?term=KAG8593557.1", "KAG8593557.1")</f>
        <v/>
      </c>
      <c r="F3364" t="n">
        <v>72.8</v>
      </c>
      <c r="G3364" t="n">
        <v>1498</v>
      </c>
      <c r="H3364" t="n">
        <v>0</v>
      </c>
      <c r="I3364" t="inlineStr">
        <is>
          <t>Nr</t>
        </is>
      </c>
      <c r="J3364" t="inlineStr"/>
      <c r="K3364" t="inlineStr"/>
      <c r="L3364" t="inlineStr">
        <is>
          <t>KAG8593557.1 hypothetical protein GDO81_000875 [Engystomops pustulosus]</t>
        </is>
      </c>
      <c r="M3364" t="n">
        <v>3961</v>
      </c>
      <c r="N3364" t="inlineStr">
        <is>
          <t>Engystomops pustulosus</t>
        </is>
      </c>
      <c r="O3364" t="inlineStr">
        <is>
          <t>hypothetical protein GDO81_000875</t>
        </is>
      </c>
    </row>
    <row r="3365">
      <c r="A3365" t="inlineStr"/>
      <c r="B3365" t="inlineStr"/>
      <c r="C3365" t="inlineStr"/>
      <c r="D3365" t="inlineStr"/>
      <c r="E3365">
        <f>HYPERLINK("https://www.ncbi.nlm.nih.gov/gene/?term=XP_041434029.1", "XP_041434029.1")</f>
        <v/>
      </c>
      <c r="F3365" t="n">
        <v>70.59999999999999</v>
      </c>
      <c r="G3365" t="n">
        <v>1567</v>
      </c>
      <c r="H3365" t="n">
        <v>0</v>
      </c>
      <c r="I3365" t="inlineStr">
        <is>
          <t>Nr</t>
        </is>
      </c>
      <c r="J3365" t="inlineStr"/>
      <c r="K3365" t="inlineStr"/>
      <c r="L3365" t="inlineStr">
        <is>
          <t>XP_041434029.1 extracellular matrix organizing protein FRAS1-like, partial [Xenopus laevis]</t>
        </is>
      </c>
      <c r="M3365" t="n">
        <v>3928</v>
      </c>
      <c r="N3365" t="inlineStr">
        <is>
          <t>Xenopus laevis</t>
        </is>
      </c>
      <c r="O3365" t="inlineStr">
        <is>
          <t>extracellular matrix organizing protein FRAS1-like, partial</t>
        </is>
      </c>
    </row>
    <row r="3366">
      <c r="A3366" t="inlineStr"/>
      <c r="B3366" t="inlineStr"/>
      <c r="C3366" t="inlineStr"/>
      <c r="D3366" t="inlineStr"/>
      <c r="E3366">
        <f>HYPERLINK("https://www.ncbi.nlm.nih.gov/gene/?term=XP_018413400.1", "XP_018413400.1")</f>
        <v/>
      </c>
      <c r="F3366" t="n">
        <v>71.90000000000001</v>
      </c>
      <c r="G3366" t="n">
        <v>1464</v>
      </c>
      <c r="H3366" t="n">
        <v>0</v>
      </c>
      <c r="I3366" t="inlineStr">
        <is>
          <t>Nr</t>
        </is>
      </c>
      <c r="J3366" t="inlineStr"/>
      <c r="K3366" t="inlineStr"/>
      <c r="L3366" t="inlineStr">
        <is>
          <t>XP_018413400.1 PREDICTED: extracellular matrix protein FRAS1 [Nanorana parkeri]</t>
        </is>
      </c>
      <c r="M3366" t="n">
        <v>4025</v>
      </c>
      <c r="N3366" t="inlineStr">
        <is>
          <t>Nanorana parkeri</t>
        </is>
      </c>
      <c r="O3366" t="inlineStr">
        <is>
          <t>PREDICTED: extracellular matrix protein FRAS1</t>
        </is>
      </c>
    </row>
    <row r="3367">
      <c r="A3367" t="inlineStr"/>
      <c r="B3367" t="inlineStr"/>
      <c r="C3367" t="inlineStr"/>
      <c r="D3367" t="inlineStr"/>
      <c r="E3367">
        <f>HYPERLINK("https://www.ncbi.nlm.nih.gov/gene/?term=OCT97312.1", "OCT97312.1")</f>
        <v/>
      </c>
      <c r="F3367" t="n">
        <v>68.8</v>
      </c>
      <c r="G3367" t="n">
        <v>1567</v>
      </c>
      <c r="H3367" t="n">
        <v>0</v>
      </c>
      <c r="I3367" t="inlineStr">
        <is>
          <t>Nr</t>
        </is>
      </c>
      <c r="J3367" t="inlineStr"/>
      <c r="K3367" t="inlineStr"/>
      <c r="L3367" t="inlineStr">
        <is>
          <t>OCT97312.1 hypothetical protein XELAEV_18009537mg [Xenopus laevis]</t>
        </is>
      </c>
      <c r="M3367" t="n">
        <v>3915</v>
      </c>
      <c r="N3367" t="inlineStr">
        <is>
          <t>Xenopus laevis</t>
        </is>
      </c>
      <c r="O3367" t="inlineStr">
        <is>
          <t>hypothetical protein XELAEV_18009537mg</t>
        </is>
      </c>
    </row>
    <row r="3368">
      <c r="A3368" t="inlineStr"/>
      <c r="B3368" t="inlineStr"/>
      <c r="C3368" t="inlineStr"/>
      <c r="D3368" t="inlineStr"/>
      <c r="E3368">
        <f>HYPERLINK("https://www.ncbi.nlm.nih.gov/gene/?term=XP_030046409.1", "XP_030046409.1")</f>
        <v/>
      </c>
      <c r="F3368" t="n">
        <v>61.6</v>
      </c>
      <c r="G3368" t="n">
        <v>1567</v>
      </c>
      <c r="H3368" t="n">
        <v>0</v>
      </c>
      <c r="I3368" t="inlineStr">
        <is>
          <t>Nr</t>
        </is>
      </c>
      <c r="J3368" t="inlineStr"/>
      <c r="K3368" t="inlineStr"/>
      <c r="L3368" t="inlineStr">
        <is>
          <t>XP_030046409.1 LOW QUALITY PROTEIN: extracellular matrix protein FRAS1 [Microcaecilia unicolor]</t>
        </is>
      </c>
      <c r="M3368" t="n">
        <v>4013</v>
      </c>
      <c r="N3368" t="inlineStr">
        <is>
          <t>Microcaecilia unicolor</t>
        </is>
      </c>
      <c r="O3368" t="inlineStr">
        <is>
          <t>LOW QUALITY PROTEIN: extracellular matrix protein FRAS1</t>
        </is>
      </c>
    </row>
    <row r="3369">
      <c r="A3369" t="inlineStr"/>
      <c r="B3369" t="inlineStr"/>
      <c r="C3369" t="inlineStr"/>
      <c r="D3369" t="inlineStr"/>
      <c r="E3369">
        <f>HYPERLINK("https://www.ncbi.nlm.nih.gov/gene/?term=KAE8631114.1", "KAE8631114.1")</f>
        <v/>
      </c>
      <c r="F3369" t="n">
        <v>69.90000000000001</v>
      </c>
      <c r="G3369" t="n">
        <v>1403</v>
      </c>
      <c r="H3369" t="n">
        <v>0</v>
      </c>
      <c r="I3369" t="inlineStr">
        <is>
          <t>Nr</t>
        </is>
      </c>
      <c r="J3369" t="inlineStr"/>
      <c r="K3369" t="inlineStr"/>
      <c r="L3369" t="inlineStr">
        <is>
          <t>KAE8631114.1 hypothetical protein XENTR_v10001087 [Xenopus tropicalis]</t>
        </is>
      </c>
      <c r="M3369" t="n">
        <v>3841</v>
      </c>
      <c r="N3369" t="inlineStr">
        <is>
          <t>Xenopus tropicalis</t>
        </is>
      </c>
      <c r="O3369" t="inlineStr">
        <is>
          <t>hypothetical protein XENTR_v10001087</t>
        </is>
      </c>
    </row>
    <row r="3370">
      <c r="A3370" t="inlineStr"/>
      <c r="B3370" t="inlineStr"/>
      <c r="C3370" t="inlineStr"/>
      <c r="D3370" t="inlineStr"/>
      <c r="E3370">
        <f>HYPERLINK("https://www.ncbi.nlm.nih.gov/gene/?term=XP_048702770.1", "XP_048702770.1")</f>
        <v/>
      </c>
      <c r="F3370" t="n">
        <v>61.7</v>
      </c>
      <c r="G3370" t="n">
        <v>1571</v>
      </c>
      <c r="H3370" t="n">
        <v>0</v>
      </c>
      <c r="I3370" t="inlineStr">
        <is>
          <t>Nr</t>
        </is>
      </c>
      <c r="J3370" t="inlineStr"/>
      <c r="K3370" t="inlineStr"/>
      <c r="L3370" t="inlineStr">
        <is>
          <t>XP_048702770.1 extracellular matrix organizing protein FRAS1 isoform X1 [Caretta caretta]</t>
        </is>
      </c>
      <c r="M3370" t="n">
        <v>4013</v>
      </c>
      <c r="N3370" t="inlineStr">
        <is>
          <t>Caretta caretta</t>
        </is>
      </c>
      <c r="O3370" t="inlineStr">
        <is>
          <t>extracellular matrix organizing protein FRAS1 isoform X1</t>
        </is>
      </c>
    </row>
    <row r="3371">
      <c r="A3371" t="inlineStr"/>
      <c r="B3371" t="inlineStr"/>
      <c r="C3371" t="inlineStr"/>
      <c r="D3371" t="inlineStr"/>
      <c r="E3371">
        <f>HYPERLINK("https://www.ncbi.nlm.nih.gov/gene/?term=XP_048702772.1", "XP_048702772.1")</f>
        <v/>
      </c>
      <c r="F3371" t="n">
        <v>61.7</v>
      </c>
      <c r="G3371" t="n">
        <v>1571</v>
      </c>
      <c r="H3371" t="n">
        <v>0</v>
      </c>
      <c r="I3371" t="inlineStr">
        <is>
          <t>Nr</t>
        </is>
      </c>
      <c r="J3371" t="inlineStr"/>
      <c r="K3371" t="inlineStr"/>
      <c r="L3371" t="inlineStr">
        <is>
          <t>XP_048702772.1 extracellular matrix organizing protein FRAS1 isoform X3 [Caretta caretta]</t>
        </is>
      </c>
      <c r="M3371" t="n">
        <v>2937</v>
      </c>
      <c r="N3371" t="inlineStr">
        <is>
          <t>Caretta caretta</t>
        </is>
      </c>
      <c r="O3371" t="inlineStr">
        <is>
          <t>extracellular matrix organizing protein FRAS1 isoform X3</t>
        </is>
      </c>
    </row>
    <row r="3372">
      <c r="A3372" t="inlineStr"/>
      <c r="B3372" t="inlineStr"/>
      <c r="C3372" t="inlineStr"/>
      <c r="D3372" t="inlineStr"/>
      <c r="E3372">
        <f>HYPERLINK("https://www.ncbi.nlm.nih.gov/gene/?term=XP_039396750.1", "XP_039396750.1")</f>
        <v/>
      </c>
      <c r="F3372" t="n">
        <v>61</v>
      </c>
      <c r="G3372" t="n">
        <v>1571</v>
      </c>
      <c r="H3372" t="n">
        <v>0</v>
      </c>
      <c r="I3372" t="inlineStr">
        <is>
          <t>Nr</t>
        </is>
      </c>
      <c r="J3372" t="inlineStr"/>
      <c r="K3372" t="inlineStr"/>
      <c r="L3372" t="inlineStr">
        <is>
          <t>XP_039396750.1 extracellular matrix organizing protein FRAS1 [Mauremys reevesii]</t>
        </is>
      </c>
      <c r="M3372" t="n">
        <v>4012</v>
      </c>
      <c r="N3372" t="inlineStr">
        <is>
          <t>Mauremys reevesii</t>
        </is>
      </c>
      <c r="O3372" t="inlineStr">
        <is>
          <t>extracellular matrix organizing protein FRAS1</t>
        </is>
      </c>
    </row>
    <row r="3373">
      <c r="A3373" t="inlineStr"/>
      <c r="B3373" t="inlineStr"/>
      <c r="C3373" t="inlineStr"/>
      <c r="D3373" t="inlineStr"/>
      <c r="E3373">
        <f>HYPERLINK("https://www.ncbi.nlm.nih.gov/gene/?term=XP_043400787.1", "XP_043400787.1")</f>
        <v/>
      </c>
      <c r="F3373" t="n">
        <v>59.6</v>
      </c>
      <c r="G3373" t="n">
        <v>1571</v>
      </c>
      <c r="H3373" t="n">
        <v>0</v>
      </c>
      <c r="I3373" t="inlineStr">
        <is>
          <t>Nr</t>
        </is>
      </c>
      <c r="J3373" t="inlineStr"/>
      <c r="K3373" t="inlineStr"/>
      <c r="L3373" t="inlineStr">
        <is>
          <t>XP_043400787.1 extracellular matrix organizing protein FRAS1 isoform X1 [Chelonia mydas]</t>
        </is>
      </c>
      <c r="M3373" t="n">
        <v>4013</v>
      </c>
      <c r="N3373" t="inlineStr">
        <is>
          <t>Chelonia mydas</t>
        </is>
      </c>
      <c r="O3373" t="inlineStr">
        <is>
          <t>extracellular matrix organizing protein FRAS1 isoform X1</t>
        </is>
      </c>
    </row>
    <row r="3374">
      <c r="A3374" t="inlineStr"/>
      <c r="B3374" t="inlineStr"/>
      <c r="C3374" t="inlineStr"/>
      <c r="D3374" t="inlineStr"/>
      <c r="E3374">
        <f>HYPERLINK("https://www.ncbi.nlm.nih.gov/gene/?term=XP_043400788.1", "XP_043400788.1")</f>
        <v/>
      </c>
      <c r="F3374" t="n">
        <v>59.6</v>
      </c>
      <c r="G3374" t="n">
        <v>1571</v>
      </c>
      <c r="H3374" t="n">
        <v>0</v>
      </c>
      <c r="I3374" t="inlineStr">
        <is>
          <t>Nr</t>
        </is>
      </c>
      <c r="J3374" t="inlineStr"/>
      <c r="K3374" t="inlineStr"/>
      <c r="L3374" t="inlineStr">
        <is>
          <t>XP_043400788.1 extracellular matrix organizing protein FRAS1 isoform X3 [Chelonia mydas]</t>
        </is>
      </c>
      <c r="M3374" t="n">
        <v>2426</v>
      </c>
      <c r="N3374" t="inlineStr">
        <is>
          <t>Chelonia mydas</t>
        </is>
      </c>
      <c r="O3374" t="inlineStr">
        <is>
          <t>extracellular matrix organizing protein FRAS1 isoform X3</t>
        </is>
      </c>
    </row>
    <row r="3375">
      <c r="A3375" t="inlineStr"/>
      <c r="B3375" t="inlineStr"/>
      <c r="C3375" t="inlineStr"/>
      <c r="D3375" t="inlineStr"/>
      <c r="E3375">
        <f>HYPERLINK("https://www.ncbi.nlm.nih.gov/gene/?term=XP_048702771.1", "XP_048702771.1")</f>
        <v/>
      </c>
      <c r="F3375" t="n">
        <v>61.4</v>
      </c>
      <c r="G3375" t="n">
        <v>1571</v>
      </c>
      <c r="H3375" t="n">
        <v>0</v>
      </c>
      <c r="I3375" t="inlineStr">
        <is>
          <t>Nr</t>
        </is>
      </c>
      <c r="J3375" t="inlineStr"/>
      <c r="K3375" t="inlineStr"/>
      <c r="L3375" t="inlineStr">
        <is>
          <t>XP_048702771.1 extracellular matrix organizing protein FRAS1 isoform X2 [Caretta caretta]</t>
        </is>
      </c>
      <c r="M3375" t="n">
        <v>4000</v>
      </c>
      <c r="N3375" t="inlineStr">
        <is>
          <t>Caretta caretta</t>
        </is>
      </c>
      <c r="O3375" t="inlineStr">
        <is>
          <t>extracellular matrix organizing protein FRAS1 isoform X2</t>
        </is>
      </c>
    </row>
    <row r="3376">
      <c r="A3376" t="inlineStr"/>
      <c r="B3376" t="inlineStr"/>
      <c r="C3376" t="inlineStr"/>
      <c r="D3376" t="inlineStr"/>
      <c r="E3376">
        <f>HYPERLINK("https://www.uniprot.org/uniprotkb/A0A6I8QTE1/entry", "A0A6I8QTE1")</f>
        <v/>
      </c>
      <c r="F3376" t="n">
        <v>81.2</v>
      </c>
      <c r="G3376" t="n">
        <v>1351</v>
      </c>
      <c r="H3376" t="n">
        <v>0</v>
      </c>
      <c r="I3376" t="inlineStr">
        <is>
          <t>TrEMBL</t>
        </is>
      </c>
      <c r="J3376" t="inlineStr">
        <is>
          <t>fras1</t>
        </is>
      </c>
      <c r="K3376" t="inlineStr">
        <is>
          <t>A0A6I8QTE1_XENTR</t>
        </is>
      </c>
      <c r="L3376" t="inlineStr">
        <is>
          <t>tr|A0A6I8QTE1|A0A6I8QTE1_XENTR Fraser extracellular matrix complex subunit 1 OS=Xenopus tropicalis OX=8364 GN=fras1 PE=3 SV=2</t>
        </is>
      </c>
      <c r="M3376" t="n">
        <v>3967</v>
      </c>
      <c r="N3376" t="inlineStr">
        <is>
          <t>Xenopus tropicalis</t>
        </is>
      </c>
      <c r="O3376" t="inlineStr">
        <is>
          <t>Fraser extracellular matrix complex subunit 1</t>
        </is>
      </c>
    </row>
    <row r="3377">
      <c r="A3377" t="inlineStr"/>
      <c r="B3377" t="inlineStr"/>
      <c r="C3377" t="inlineStr"/>
      <c r="D3377" t="inlineStr"/>
      <c r="E3377">
        <f>HYPERLINK("https://www.uniprot.org/uniprotkb/A0A6I8QBY6/entry", "A0A6I8QBY6")</f>
        <v/>
      </c>
      <c r="F3377" t="n">
        <v>81.2</v>
      </c>
      <c r="G3377" t="n">
        <v>1351</v>
      </c>
      <c r="H3377" t="n">
        <v>0</v>
      </c>
      <c r="I3377" t="inlineStr">
        <is>
          <t>TrEMBL</t>
        </is>
      </c>
      <c r="J3377" t="inlineStr">
        <is>
          <t>fras1</t>
        </is>
      </c>
      <c r="K3377" t="inlineStr">
        <is>
          <t>A0A6I8QBY6_XENTR</t>
        </is>
      </c>
      <c r="L3377" t="inlineStr">
        <is>
          <t>tr|A0A6I8QBY6|A0A6I8QBY6_XENTR Fraser extracellular matrix complex subunit 1 OS=Xenopus tropicalis OX=8364 GN=fras1 PE=3 SV=2</t>
        </is>
      </c>
      <c r="M3377" t="n">
        <v>4014</v>
      </c>
      <c r="N3377" t="inlineStr">
        <is>
          <t>Xenopus tropicalis</t>
        </is>
      </c>
      <c r="O3377" t="inlineStr">
        <is>
          <t>Fraser extracellular matrix complex subunit 1</t>
        </is>
      </c>
    </row>
    <row r="3378">
      <c r="A3378" t="inlineStr"/>
      <c r="B3378" t="inlineStr"/>
      <c r="C3378" t="inlineStr"/>
      <c r="D3378" t="inlineStr"/>
      <c r="E3378">
        <f>HYPERLINK("https://www.uniprot.org/uniprotkb/A0A8J1MZV6/entry", "A0A8J1MZV6")</f>
        <v/>
      </c>
      <c r="F3378" t="n">
        <v>81.59999999999999</v>
      </c>
      <c r="G3378" t="n">
        <v>1337</v>
      </c>
      <c r="H3378" t="n">
        <v>0</v>
      </c>
      <c r="I3378" t="inlineStr">
        <is>
          <t>TrEMBL</t>
        </is>
      </c>
      <c r="J3378" t="inlineStr">
        <is>
          <t>fras1.L</t>
        </is>
      </c>
      <c r="K3378" t="inlineStr">
        <is>
          <t>A0A8J1MZV6_XENLA</t>
        </is>
      </c>
      <c r="L3378" t="inlineStr">
        <is>
          <t>tr|A0A8J1MZV6|A0A8J1MZV6_XENLA extracellular matrix organizing protein FRAS1 isoform X2 OS=Xenopus laevis OX=8355 GN=fras1.L PE=3 SV=1</t>
        </is>
      </c>
      <c r="M3378" t="n">
        <v>4026</v>
      </c>
      <c r="N3378" t="inlineStr">
        <is>
          <t>Xenopus laevis</t>
        </is>
      </c>
      <c r="O3378" t="inlineStr">
        <is>
          <t>extracellular matrix organizing protein FRAS1 isoform X2</t>
        </is>
      </c>
    </row>
    <row r="3379">
      <c r="A3379" t="inlineStr"/>
      <c r="B3379" t="inlineStr"/>
      <c r="C3379" t="inlineStr"/>
      <c r="D3379" t="inlineStr"/>
      <c r="E3379">
        <f>HYPERLINK("https://www.uniprot.org/uniprotkb/A0A8J1MZ04/entry", "A0A8J1MZ04")</f>
        <v/>
      </c>
      <c r="F3379" t="n">
        <v>81.59999999999999</v>
      </c>
      <c r="G3379" t="n">
        <v>1337</v>
      </c>
      <c r="H3379" t="n">
        <v>0</v>
      </c>
      <c r="I3379" t="inlineStr">
        <is>
          <t>TrEMBL</t>
        </is>
      </c>
      <c r="J3379" t="inlineStr">
        <is>
          <t>fras1.L</t>
        </is>
      </c>
      <c r="K3379" t="inlineStr">
        <is>
          <t>A0A8J1MZ04_XENLA</t>
        </is>
      </c>
      <c r="L3379" t="inlineStr">
        <is>
          <t>tr|A0A8J1MZ04|A0A8J1MZ04_XENLA extracellular matrix organizing protein FRAS1 isoform X3 OS=Xenopus laevis OX=8355 GN=fras1.L PE=3 SV=1</t>
        </is>
      </c>
      <c r="M3379" t="n">
        <v>4007</v>
      </c>
      <c r="N3379" t="inlineStr">
        <is>
          <t>Xenopus laevis</t>
        </is>
      </c>
      <c r="O3379" t="inlineStr">
        <is>
          <t>extracellular matrix organizing protein FRAS1 isoform X3</t>
        </is>
      </c>
    </row>
    <row r="3380">
      <c r="A3380" t="inlineStr"/>
      <c r="B3380" t="inlineStr"/>
      <c r="C3380" t="inlineStr"/>
      <c r="D3380" t="inlineStr"/>
      <c r="E3380">
        <f>HYPERLINK("https://www.uniprot.org/uniprotkb/A0A8J1N1B0/entry", "A0A8J1N1B0")</f>
        <v/>
      </c>
      <c r="F3380" t="n">
        <v>81.59999999999999</v>
      </c>
      <c r="G3380" t="n">
        <v>1337</v>
      </c>
      <c r="H3380" t="n">
        <v>0</v>
      </c>
      <c r="I3380" t="inlineStr">
        <is>
          <t>TrEMBL</t>
        </is>
      </c>
      <c r="J3380" t="inlineStr">
        <is>
          <t>fras1.L</t>
        </is>
      </c>
      <c r="K3380" t="inlineStr">
        <is>
          <t>A0A8J1N1B0_XENLA</t>
        </is>
      </c>
      <c r="L3380" t="inlineStr">
        <is>
          <t>tr|A0A8J1N1B0|A0A8J1N1B0_XENLA extracellular matrix organizing protein FRAS1 isoform X1 OS=Xenopus laevis OX=8355 GN=fras1.L PE=3 SV=1</t>
        </is>
      </c>
      <c r="M3380" t="n">
        <v>4035</v>
      </c>
      <c r="N3380" t="inlineStr">
        <is>
          <t>Xenopus laevis</t>
        </is>
      </c>
      <c r="O3380" t="inlineStr">
        <is>
          <t>extracellular matrix organizing protein FRAS1 isoform X1</t>
        </is>
      </c>
    </row>
    <row r="3381">
      <c r="A3381" t="inlineStr"/>
      <c r="B3381" t="inlineStr"/>
      <c r="C3381" t="inlineStr"/>
      <c r="D3381" t="inlineStr"/>
      <c r="E3381">
        <f>HYPERLINK("https://www.uniprot.org/uniprotkb/A0A8T2KFT4/entry", "A0A8T2KFT4")</f>
        <v/>
      </c>
      <c r="F3381" t="n">
        <v>80.5</v>
      </c>
      <c r="G3381" t="n">
        <v>1337</v>
      </c>
      <c r="H3381" t="n">
        <v>0</v>
      </c>
      <c r="I3381" t="inlineStr">
        <is>
          <t>TrEMBL</t>
        </is>
      </c>
      <c r="J3381" t="inlineStr">
        <is>
          <t>GDO86_000773</t>
        </is>
      </c>
      <c r="K3381" t="inlineStr">
        <is>
          <t>A0A8T2KFT4_9PIPI</t>
        </is>
      </c>
      <c r="L3381" t="inlineStr">
        <is>
          <t>tr|A0A8T2KFT4|A0A8T2KFT4_9PIPI Extracellular matrix protein FRAS1 OS=Hymenochirus boettgeri OX=247094 GN=GDO86_000773 PE=3 SV=1</t>
        </is>
      </c>
      <c r="M3381" t="n">
        <v>3830</v>
      </c>
      <c r="N3381" t="inlineStr">
        <is>
          <t>Hymenochirus boettgeri</t>
        </is>
      </c>
      <c r="O3381" t="inlineStr">
        <is>
          <t>Extracellular matrix protein FRAS1</t>
        </is>
      </c>
    </row>
    <row r="3382">
      <c r="A3382" t="inlineStr"/>
      <c r="B3382" t="inlineStr"/>
      <c r="C3382" t="inlineStr"/>
      <c r="D3382" t="inlineStr"/>
      <c r="E3382">
        <f>HYPERLINK("https://www.uniprot.org/uniprotkb/A0A674I730/entry", "A0A674I730")</f>
        <v/>
      </c>
      <c r="F3382" t="n">
        <v>73.09999999999999</v>
      </c>
      <c r="G3382" t="n">
        <v>1335</v>
      </c>
      <c r="H3382" t="n">
        <v>0</v>
      </c>
      <c r="I3382" t="inlineStr">
        <is>
          <t>TrEMBL</t>
        </is>
      </c>
      <c r="J3382" t="inlineStr">
        <is>
          <t>FRAS1</t>
        </is>
      </c>
      <c r="K3382" t="inlineStr">
        <is>
          <t>A0A674I730_TERCA</t>
        </is>
      </c>
      <c r="L3382" t="inlineStr">
        <is>
          <t>tr|A0A674I730|A0A674I730_TERCA Fraser extracellular matrix complex subunit 1 OS=Terrapene carolina triunguis OX=2587831 GN=FRAS1 PE=3 SV=1</t>
        </is>
      </c>
      <c r="M3382" t="n">
        <v>3967</v>
      </c>
      <c r="N3382" t="inlineStr">
        <is>
          <t>Terrapene carolina triunguis</t>
        </is>
      </c>
      <c r="O3382" t="inlineStr">
        <is>
          <t>Fraser extracellular matrix complex subunit 1</t>
        </is>
      </c>
    </row>
    <row r="3383">
      <c r="A3383" t="inlineStr"/>
      <c r="B3383" t="inlineStr"/>
      <c r="C3383" t="inlineStr"/>
      <c r="D3383" t="inlineStr"/>
      <c r="E3383">
        <f>HYPERLINK("https://www.uniprot.org/uniprotkb/A0A8C3P734/entry", "A0A8C3P734")</f>
        <v/>
      </c>
      <c r="F3383" t="n">
        <v>72.90000000000001</v>
      </c>
      <c r="G3383" t="n">
        <v>1335</v>
      </c>
      <c r="H3383" t="n">
        <v>0</v>
      </c>
      <c r="I3383" t="inlineStr">
        <is>
          <t>TrEMBL</t>
        </is>
      </c>
      <c r="J3383" t="inlineStr"/>
      <c r="K3383" t="inlineStr">
        <is>
          <t>A0A8C3P734_CHRPI</t>
        </is>
      </c>
      <c r="L3383" t="inlineStr">
        <is>
          <t>tr|A0A8C3P734|A0A8C3P734_CHRPI FRAS1 OS=Chrysemys picta bellii OX=8478 PE=3 SV=1</t>
        </is>
      </c>
      <c r="M3383" t="n">
        <v>3988</v>
      </c>
      <c r="N3383" t="inlineStr">
        <is>
          <t>Chrysemys picta bellii</t>
        </is>
      </c>
      <c r="O3383" t="inlineStr">
        <is>
          <t>FRAS1</t>
        </is>
      </c>
    </row>
    <row r="3384">
      <c r="A3384" t="inlineStr"/>
      <c r="B3384" t="inlineStr"/>
      <c r="C3384" t="inlineStr"/>
      <c r="D3384" t="inlineStr"/>
      <c r="E3384">
        <f>HYPERLINK("https://www.uniprot.org/uniprotkb/A0A8C4VQS9/entry", "A0A8C4VQS9")</f>
        <v/>
      </c>
      <c r="F3384" t="n">
        <v>72.59999999999999</v>
      </c>
      <c r="G3384" t="n">
        <v>1335</v>
      </c>
      <c r="H3384" t="n">
        <v>0</v>
      </c>
      <c r="I3384" t="inlineStr">
        <is>
          <t>TrEMBL</t>
        </is>
      </c>
      <c r="J3384" t="inlineStr"/>
      <c r="K3384" t="inlineStr">
        <is>
          <t>A0A8C4VQS9_9SAUR</t>
        </is>
      </c>
      <c r="L3384" t="inlineStr">
        <is>
          <t>tr|A0A8C4VQS9|A0A8C4VQS9_9SAUR Extracellular matrix protein FRAS1 OS=Gopherus evgoodei OX=1825980 PE=3 SV=1</t>
        </is>
      </c>
      <c r="M3384" t="n">
        <v>3977</v>
      </c>
      <c r="N3384" t="inlineStr">
        <is>
          <t>Gopherus evgoodei</t>
        </is>
      </c>
      <c r="O3384" t="inlineStr">
        <is>
          <t>Extracellular matrix protein FRAS1</t>
        </is>
      </c>
    </row>
    <row r="3385">
      <c r="A3385" t="inlineStr"/>
      <c r="B3385" t="inlineStr"/>
      <c r="C3385" t="inlineStr"/>
      <c r="D3385" t="inlineStr"/>
      <c r="E3385">
        <f>HYPERLINK("https://www.uniprot.org/uniprotkb/A0A8J1LXC3/entry", "A0A8J1LXC3")</f>
        <v/>
      </c>
      <c r="F3385" t="n">
        <v>73.8</v>
      </c>
      <c r="G3385" t="n">
        <v>1353</v>
      </c>
      <c r="H3385" t="n">
        <v>0</v>
      </c>
      <c r="I3385" t="inlineStr">
        <is>
          <t>TrEMBL</t>
        </is>
      </c>
      <c r="J3385" t="inlineStr">
        <is>
          <t>fras1.S</t>
        </is>
      </c>
      <c r="K3385" t="inlineStr">
        <is>
          <t>A0A8J1LXC3_XENLA</t>
        </is>
      </c>
      <c r="L3385" t="inlineStr">
        <is>
          <t>tr|A0A8J1LXC3|A0A8J1LXC3_XENLA extracellular matrix organizing protein FRAS1-like OS=Xenopus laevis OX=8355 GN=fras1.S PE=3 SV=1</t>
        </is>
      </c>
      <c r="M3385" t="n">
        <v>3928</v>
      </c>
      <c r="N3385" t="inlineStr">
        <is>
          <t>Xenopus laevis</t>
        </is>
      </c>
      <c r="O3385" t="inlineStr">
        <is>
          <t>extracellular matrix organizing protein FRAS1-like</t>
        </is>
      </c>
    </row>
    <row r="3386">
      <c r="A3386" t="inlineStr"/>
      <c r="B3386" t="inlineStr"/>
      <c r="C3386" t="inlineStr"/>
      <c r="D3386" t="inlineStr"/>
      <c r="E3386">
        <f>HYPERLINK("https://www.uniprot.org/uniprotkb/A0A4D9E402/entry", "A0A4D9E402")</f>
        <v/>
      </c>
      <c r="F3386" t="n">
        <v>72.5</v>
      </c>
      <c r="G3386" t="n">
        <v>1340</v>
      </c>
      <c r="H3386" t="n">
        <v>0</v>
      </c>
      <c r="I3386" t="inlineStr">
        <is>
          <t>TrEMBL</t>
        </is>
      </c>
      <c r="J3386" t="inlineStr">
        <is>
          <t>DR999_PMT14807</t>
        </is>
      </c>
      <c r="K3386" t="inlineStr">
        <is>
          <t>A0A4D9E402_9SAUR</t>
        </is>
      </c>
      <c r="L3386" t="inlineStr">
        <is>
          <t>tr|A0A4D9E402|A0A4D9E402_9SAUR WD repeat-containing protein 7 OS=Platysternon megacephalum OX=55544 GN=DR999_PMT14807 PE=3 SV=1</t>
        </is>
      </c>
      <c r="M3386" t="n">
        <v>3969</v>
      </c>
      <c r="N3386" t="inlineStr">
        <is>
          <t>Platysternon megacephalum</t>
        </is>
      </c>
      <c r="O3386" t="inlineStr">
        <is>
          <t>WD repeat-containing protein 7</t>
        </is>
      </c>
    </row>
    <row r="3387">
      <c r="A3387" t="inlineStr"/>
      <c r="B3387" t="inlineStr"/>
      <c r="C3387" t="inlineStr"/>
      <c r="D3387" t="inlineStr"/>
      <c r="E3387">
        <f>HYPERLINK("https://www.uniprot.org/uniprotkb/A0A8C0G321/entry", "A0A8C0G321")</f>
        <v/>
      </c>
      <c r="F3387" t="n">
        <v>72.40000000000001</v>
      </c>
      <c r="G3387" t="n">
        <v>1335</v>
      </c>
      <c r="H3387" t="n">
        <v>0</v>
      </c>
      <c r="I3387" t="inlineStr">
        <is>
          <t>TrEMBL</t>
        </is>
      </c>
      <c r="J3387" t="inlineStr"/>
      <c r="K3387" t="inlineStr">
        <is>
          <t>A0A8C0G321_CHEAB</t>
        </is>
      </c>
      <c r="L3387" t="inlineStr">
        <is>
          <t>tr|A0A8C0G321|A0A8C0G321_CHEAB Extracellular matrix protein FRAS1 OS=Chelonoidis abingdonii OX=106734 PE=3 SV=1</t>
        </is>
      </c>
      <c r="M3387" t="n">
        <v>3988</v>
      </c>
      <c r="N3387" t="inlineStr">
        <is>
          <t>Chelonoidis abingdonii</t>
        </is>
      </c>
      <c r="O3387" t="inlineStr">
        <is>
          <t>Extracellular matrix protein FRAS1</t>
        </is>
      </c>
    </row>
    <row r="3388">
      <c r="A3388" t="inlineStr"/>
      <c r="B3388" t="inlineStr"/>
      <c r="C3388" t="inlineStr"/>
      <c r="D3388" t="inlineStr"/>
      <c r="E3388">
        <f>HYPERLINK("https://www.uniprot.org/uniprotkb/A0A8T1ST17/entry", "A0A8T1ST17")</f>
        <v/>
      </c>
      <c r="F3388" t="n">
        <v>71.8</v>
      </c>
      <c r="G3388" t="n">
        <v>1335</v>
      </c>
      <c r="H3388" t="n">
        <v>0</v>
      </c>
      <c r="I3388" t="inlineStr">
        <is>
          <t>TrEMBL</t>
        </is>
      </c>
      <c r="J3388" t="inlineStr">
        <is>
          <t>FRAS1</t>
        </is>
      </c>
      <c r="K3388" t="inlineStr">
        <is>
          <t>A0A8T1ST17_CHESE</t>
        </is>
      </c>
      <c r="L3388" t="inlineStr">
        <is>
          <t>tr|A0A8T1ST17|A0A8T1ST17_CHESE Fraser extracellular matrix complex subunit 1 OS=Chelydra serpentina OX=8475 GN=FRAS1 PE=3 SV=1</t>
        </is>
      </c>
      <c r="M3388" t="n">
        <v>3685</v>
      </c>
      <c r="N3388" t="inlineStr">
        <is>
          <t>Chelydra serpentina</t>
        </is>
      </c>
      <c r="O3388" t="inlineStr">
        <is>
          <t>Fraser extracellular matrix complex subunit 1</t>
        </is>
      </c>
    </row>
    <row r="3389">
      <c r="A3389" t="inlineStr"/>
      <c r="B3389" t="inlineStr"/>
      <c r="C3389" t="inlineStr"/>
      <c r="D3389" t="inlineStr"/>
      <c r="E3389">
        <f>HYPERLINK("https://www.uniprot.org/uniprotkb/A0A3Q0GRD2/entry", "A0A3Q0GRD2")</f>
        <v/>
      </c>
      <c r="F3389" t="n">
        <v>71.7</v>
      </c>
      <c r="G3389" t="n">
        <v>1337</v>
      </c>
      <c r="H3389" t="n">
        <v>0</v>
      </c>
      <c r="I3389" t="inlineStr">
        <is>
          <t>TrEMBL</t>
        </is>
      </c>
      <c r="J3389" t="inlineStr">
        <is>
          <t>FRAS1</t>
        </is>
      </c>
      <c r="K3389" t="inlineStr">
        <is>
          <t>A0A3Q0GRD2_ALLSI</t>
        </is>
      </c>
      <c r="L3389" t="inlineStr">
        <is>
          <t>tr|A0A3Q0GRD2|A0A3Q0GRD2_ALLSI extracellular matrix protein FRAS1 isoform X2 OS=Alligator sinensis OX=38654 GN=FRAS1 PE=3 SV=1</t>
        </is>
      </c>
      <c r="M3389" t="n">
        <v>4341</v>
      </c>
      <c r="N3389" t="inlineStr">
        <is>
          <t>Alligator sinensis</t>
        </is>
      </c>
      <c r="O3389" t="inlineStr">
        <is>
          <t>extracellular matrix protein FRAS1 isoform X2</t>
        </is>
      </c>
    </row>
    <row r="3390">
      <c r="A3390" t="inlineStr"/>
      <c r="B3390" t="inlineStr"/>
      <c r="C3390" t="inlineStr"/>
      <c r="D3390" t="inlineStr"/>
      <c r="E3390">
        <f>HYPERLINK("https://www.uniprot.org/uniprotkb/A0A3Q0GRD9/entry", "A0A3Q0GRD9")</f>
        <v/>
      </c>
      <c r="F3390" t="n">
        <v>71.7</v>
      </c>
      <c r="G3390" t="n">
        <v>1337</v>
      </c>
      <c r="H3390" t="n">
        <v>0</v>
      </c>
      <c r="I3390" t="inlineStr">
        <is>
          <t>TrEMBL</t>
        </is>
      </c>
      <c r="J3390" t="inlineStr">
        <is>
          <t>FRAS1</t>
        </is>
      </c>
      <c r="K3390" t="inlineStr">
        <is>
          <t>A0A3Q0GRD9_ALLSI</t>
        </is>
      </c>
      <c r="L3390" t="inlineStr">
        <is>
          <t>tr|A0A3Q0GRD9|A0A3Q0GRD9_ALLSI extracellular matrix protein FRAS1 isoform X14 OS=Alligator sinensis OX=38654 GN=FRAS1 PE=3 SV=1</t>
        </is>
      </c>
      <c r="M3390" t="n">
        <v>4278</v>
      </c>
      <c r="N3390" t="inlineStr">
        <is>
          <t>Alligator sinensis</t>
        </is>
      </c>
      <c r="O3390" t="inlineStr">
        <is>
          <t>extracellular matrix protein FRAS1 isoform X14</t>
        </is>
      </c>
    </row>
    <row r="3391">
      <c r="A3391" t="inlineStr"/>
      <c r="B3391" t="inlineStr"/>
      <c r="C3391" t="inlineStr"/>
      <c r="D3391" t="inlineStr"/>
      <c r="E3391">
        <f>HYPERLINK("https://www.uniprot.org/uniprotkb/A0A3Q0GSG4/entry", "A0A3Q0GSG4")</f>
        <v/>
      </c>
      <c r="F3391" t="n">
        <v>71.7</v>
      </c>
      <c r="G3391" t="n">
        <v>1337</v>
      </c>
      <c r="H3391" t="n">
        <v>0</v>
      </c>
      <c r="I3391" t="inlineStr">
        <is>
          <t>TrEMBL</t>
        </is>
      </c>
      <c r="J3391" t="inlineStr">
        <is>
          <t>FRAS1</t>
        </is>
      </c>
      <c r="K3391" t="inlineStr">
        <is>
          <t>A0A3Q0GSG4_ALLSI</t>
        </is>
      </c>
      <c r="L3391" t="inlineStr">
        <is>
          <t>tr|A0A3Q0GSG4|A0A3Q0GSG4_ALLSI extracellular matrix protein FRAS1 isoform X17 OS=Alligator sinensis OX=38654 GN=FRAS1 PE=3 SV=1</t>
        </is>
      </c>
      <c r="M3391" t="n">
        <v>3999</v>
      </c>
      <c r="N3391" t="inlineStr">
        <is>
          <t>Alligator sinensis</t>
        </is>
      </c>
      <c r="O3391" t="inlineStr">
        <is>
          <t>extracellular matrix protein FRAS1 isoform X17</t>
        </is>
      </c>
    </row>
    <row r="3392">
      <c r="A3392" t="inlineStr"/>
      <c r="B3392" t="inlineStr"/>
      <c r="C3392" t="inlineStr"/>
      <c r="D3392" t="inlineStr"/>
      <c r="E3392">
        <f>HYPERLINK("https://www.uniprot.org/uniprotkb/A0A3Q0GSF4/entry", "A0A3Q0GSF4")</f>
        <v/>
      </c>
      <c r="F3392" t="n">
        <v>71.7</v>
      </c>
      <c r="G3392" t="n">
        <v>1337</v>
      </c>
      <c r="H3392" t="n">
        <v>0</v>
      </c>
      <c r="I3392" t="inlineStr">
        <is>
          <t>TrEMBL</t>
        </is>
      </c>
      <c r="J3392" t="inlineStr">
        <is>
          <t>FRAS1</t>
        </is>
      </c>
      <c r="K3392" t="inlineStr">
        <is>
          <t>A0A3Q0GSF4_ALLSI</t>
        </is>
      </c>
      <c r="L3392" t="inlineStr">
        <is>
          <t>tr|A0A3Q0GSF4|A0A3Q0GSF4_ALLSI extracellular matrix protein FRAS1 isoform X8 OS=Alligator sinensis OX=38654 GN=FRAS1 PE=3 SV=1</t>
        </is>
      </c>
      <c r="M3392" t="n">
        <v>4313</v>
      </c>
      <c r="N3392" t="inlineStr">
        <is>
          <t>Alligator sinensis</t>
        </is>
      </c>
      <c r="O3392" t="inlineStr">
        <is>
          <t>extracellular matrix protein FRAS1 isoform X8</t>
        </is>
      </c>
    </row>
    <row r="3393">
      <c r="A3393" t="inlineStr"/>
      <c r="B3393" t="inlineStr"/>
      <c r="C3393" t="inlineStr"/>
      <c r="D3393" t="inlineStr"/>
      <c r="E3393">
        <f>HYPERLINK("https://www.uniprot.org/uniprotkb/A0A3Q0GRD1/entry", "A0A3Q0GRD1")</f>
        <v/>
      </c>
      <c r="F3393" t="n">
        <v>71.7</v>
      </c>
      <c r="G3393" t="n">
        <v>1337</v>
      </c>
      <c r="H3393" t="n">
        <v>0</v>
      </c>
      <c r="I3393" t="inlineStr">
        <is>
          <t>TrEMBL</t>
        </is>
      </c>
      <c r="J3393" t="inlineStr">
        <is>
          <t>FRAS1</t>
        </is>
      </c>
      <c r="K3393" t="inlineStr">
        <is>
          <t>A0A3Q0GRD1_ALLSI</t>
        </is>
      </c>
      <c r="L3393" t="inlineStr">
        <is>
          <t>tr|A0A3Q0GRD1|A0A3Q0GRD1_ALLSI extracellular matrix protein FRAS1 isoform X5 OS=Alligator sinensis OX=38654 GN=FRAS1 PE=3 SV=1</t>
        </is>
      </c>
      <c r="M3393" t="n">
        <v>4324</v>
      </c>
      <c r="N3393" t="inlineStr">
        <is>
          <t>Alligator sinensis</t>
        </is>
      </c>
      <c r="O3393" t="inlineStr">
        <is>
          <t>extracellular matrix protein FRAS1 isoform X5</t>
        </is>
      </c>
    </row>
    <row r="3394">
      <c r="A3394" t="inlineStr"/>
      <c r="B3394" t="inlineStr"/>
      <c r="C3394" t="inlineStr"/>
      <c r="D3394" t="inlineStr"/>
      <c r="E3394">
        <f>HYPERLINK("https://www.uniprot.org/uniprotkb/A0A3Q0GW06/entry", "A0A3Q0GW06")</f>
        <v/>
      </c>
      <c r="F3394" t="n">
        <v>71.7</v>
      </c>
      <c r="G3394" t="n">
        <v>1337</v>
      </c>
      <c r="H3394" t="n">
        <v>0</v>
      </c>
      <c r="I3394" t="inlineStr">
        <is>
          <t>TrEMBL</t>
        </is>
      </c>
      <c r="J3394" t="inlineStr">
        <is>
          <t>FRAS1</t>
        </is>
      </c>
      <c r="K3394" t="inlineStr">
        <is>
          <t>A0A3Q0GW06_ALLSI</t>
        </is>
      </c>
      <c r="L3394" t="inlineStr">
        <is>
          <t>tr|A0A3Q0GW06|A0A3Q0GW06_ALLSI extracellular matrix protein FRAS1 isoform X13 OS=Alligator sinensis OX=38654 GN=FRAS1 PE=3 SV=1</t>
        </is>
      </c>
      <c r="M3394" t="n">
        <v>4289</v>
      </c>
      <c r="N3394" t="inlineStr">
        <is>
          <t>Alligator sinensis</t>
        </is>
      </c>
      <c r="O3394" t="inlineStr">
        <is>
          <t>extracellular matrix protein FRAS1 isoform X13</t>
        </is>
      </c>
    </row>
    <row r="3395">
      <c r="A3395" t="inlineStr"/>
      <c r="B3395" t="inlineStr"/>
      <c r="C3395" t="inlineStr"/>
      <c r="D3395" t="inlineStr"/>
      <c r="E3395">
        <f>HYPERLINK("https://www.uniprot.org/uniprotkb/A0A3Q0GRD4/entry", "A0A3Q0GRD4")</f>
        <v/>
      </c>
      <c r="F3395" t="n">
        <v>71.7</v>
      </c>
      <c r="G3395" t="n">
        <v>1337</v>
      </c>
      <c r="H3395" t="n">
        <v>0</v>
      </c>
      <c r="I3395" t="inlineStr">
        <is>
          <t>TrEMBL</t>
        </is>
      </c>
      <c r="J3395" t="inlineStr">
        <is>
          <t>FRAS1</t>
        </is>
      </c>
      <c r="K3395" t="inlineStr">
        <is>
          <t>A0A3Q0GRD4_ALLSI</t>
        </is>
      </c>
      <c r="L3395" t="inlineStr">
        <is>
          <t>tr|A0A3Q0GRD4|A0A3Q0GRD4_ALLSI extracellular matrix protein FRAS1 isoform X7 OS=Alligator sinensis OX=38654 GN=FRAS1 PE=3 SV=1</t>
        </is>
      </c>
      <c r="M3395" t="n">
        <v>4317</v>
      </c>
      <c r="N3395" t="inlineStr">
        <is>
          <t>Alligator sinensis</t>
        </is>
      </c>
      <c r="O3395" t="inlineStr">
        <is>
          <t>extracellular matrix protein FRAS1 isoform X7</t>
        </is>
      </c>
    </row>
    <row r="3396">
      <c r="A3396" t="inlineStr"/>
      <c r="B3396" t="inlineStr"/>
      <c r="C3396" t="inlineStr"/>
      <c r="D3396" t="inlineStr"/>
      <c r="E3396">
        <f>HYPERLINK("https://www.uniprot.org/uniprotkb/A0A3Q0GRE2/entry", "A0A3Q0GRE2")</f>
        <v/>
      </c>
      <c r="F3396" t="n">
        <v>71.7</v>
      </c>
      <c r="G3396" t="n">
        <v>1337</v>
      </c>
      <c r="H3396" t="n">
        <v>0</v>
      </c>
      <c r="I3396" t="inlineStr">
        <is>
          <t>TrEMBL</t>
        </is>
      </c>
      <c r="J3396" t="inlineStr">
        <is>
          <t>FRAS1</t>
        </is>
      </c>
      <c r="K3396" t="inlineStr">
        <is>
          <t>A0A3Q0GRE2_ALLSI</t>
        </is>
      </c>
      <c r="L3396" t="inlineStr">
        <is>
          <t>tr|A0A3Q0GRE2|A0A3Q0GRE2_ALLSI extracellular matrix protein FRAS1 isoform X16 OS=Alligator sinensis OX=38654 GN=FRAS1 PE=3 SV=1</t>
        </is>
      </c>
      <c r="M3396" t="n">
        <v>4047</v>
      </c>
      <c r="N3396" t="inlineStr">
        <is>
          <t>Alligator sinensis</t>
        </is>
      </c>
      <c r="O3396" t="inlineStr">
        <is>
          <t>extracellular matrix protein FRAS1 isoform X16</t>
        </is>
      </c>
    </row>
    <row r="3397">
      <c r="A3397" t="inlineStr"/>
      <c r="B3397" t="inlineStr"/>
      <c r="C3397" t="inlineStr"/>
      <c r="D3397" t="inlineStr"/>
      <c r="E3397">
        <f>HYPERLINK("https://www.uniprot.org/uniprotkb/A0A3Q0GSE9/entry", "A0A3Q0GSE9")</f>
        <v/>
      </c>
      <c r="F3397" t="n">
        <v>71.7</v>
      </c>
      <c r="G3397" t="n">
        <v>1337</v>
      </c>
      <c r="H3397" t="n">
        <v>0</v>
      </c>
      <c r="I3397" t="inlineStr">
        <is>
          <t>TrEMBL</t>
        </is>
      </c>
      <c r="J3397" t="inlineStr">
        <is>
          <t>FRAS1</t>
        </is>
      </c>
      <c r="K3397" t="inlineStr">
        <is>
          <t>A0A3Q0GSE9_ALLSI</t>
        </is>
      </c>
      <c r="L3397" t="inlineStr">
        <is>
          <t>tr|A0A3Q0GSE9|A0A3Q0GSE9_ALLSI extracellular matrix protein FRAS1 isoform X3 OS=Alligator sinensis OX=38654 GN=FRAS1 PE=3 SV=1</t>
        </is>
      </c>
      <c r="M3397" t="n">
        <v>4333</v>
      </c>
      <c r="N3397" t="inlineStr">
        <is>
          <t>Alligator sinensis</t>
        </is>
      </c>
      <c r="O3397" t="inlineStr">
        <is>
          <t>extracellular matrix protein FRAS1 isoform X3</t>
        </is>
      </c>
    </row>
    <row r="3398">
      <c r="A3398" t="inlineStr"/>
      <c r="B3398" t="inlineStr"/>
      <c r="C3398" t="inlineStr"/>
      <c r="D3398" t="inlineStr"/>
      <c r="E3398">
        <f>HYPERLINK("https://www.uniprot.org/uniprotkb/A0A3Q0GVY2/entry", "A0A3Q0GVY2")</f>
        <v/>
      </c>
      <c r="F3398" t="n">
        <v>71.7</v>
      </c>
      <c r="G3398" t="n">
        <v>1337</v>
      </c>
      <c r="H3398" t="n">
        <v>0</v>
      </c>
      <c r="I3398" t="inlineStr">
        <is>
          <t>TrEMBL</t>
        </is>
      </c>
      <c r="J3398" t="inlineStr">
        <is>
          <t>FRAS1</t>
        </is>
      </c>
      <c r="K3398" t="inlineStr">
        <is>
          <t>A0A3Q0GVY2_ALLSI</t>
        </is>
      </c>
      <c r="L3398" t="inlineStr">
        <is>
          <t>tr|A0A3Q0GVY2|A0A3Q0GVY2_ALLSI extracellular matrix protein FRAS1 isoform X1 OS=Alligator sinensis OX=38654 GN=FRAS1 PE=3 SV=1</t>
        </is>
      </c>
      <c r="M3398" t="n">
        <v>4360</v>
      </c>
      <c r="N3398" t="inlineStr">
        <is>
          <t>Alligator sinensis</t>
        </is>
      </c>
      <c r="O3398" t="inlineStr">
        <is>
          <t>extracellular matrix protein FRAS1 isoform X1</t>
        </is>
      </c>
    </row>
    <row r="3399">
      <c r="A3399" t="inlineStr"/>
      <c r="B3399" t="inlineStr"/>
      <c r="C3399" t="inlineStr"/>
      <c r="D3399" t="inlineStr"/>
      <c r="E3399">
        <f>HYPERLINK("https://www.uniprot.org/uniprotkb/A0A3Q0GVZ8/entry", "A0A3Q0GVZ8")</f>
        <v/>
      </c>
      <c r="F3399" t="n">
        <v>71.7</v>
      </c>
      <c r="G3399" t="n">
        <v>1337</v>
      </c>
      <c r="H3399" t="n">
        <v>0</v>
      </c>
      <c r="I3399" t="inlineStr">
        <is>
          <t>TrEMBL</t>
        </is>
      </c>
      <c r="J3399" t="inlineStr">
        <is>
          <t>FRAS1</t>
        </is>
      </c>
      <c r="K3399" t="inlineStr">
        <is>
          <t>A0A3Q0GVZ8_ALLSI</t>
        </is>
      </c>
      <c r="L3399" t="inlineStr">
        <is>
          <t>tr|A0A3Q0GVZ8|A0A3Q0GVZ8_ALLSI extracellular matrix protein FRAS1 isoform X15 OS=Alligator sinensis OX=38654 GN=FRAS1 PE=3 SV=1</t>
        </is>
      </c>
      <c r="M3399" t="n">
        <v>4066</v>
      </c>
      <c r="N3399" t="inlineStr">
        <is>
          <t>Alligator sinensis</t>
        </is>
      </c>
      <c r="O3399" t="inlineStr">
        <is>
          <t>extracellular matrix protein FRAS1 isoform X15</t>
        </is>
      </c>
    </row>
    <row r="3400">
      <c r="A3400" t="inlineStr"/>
      <c r="B3400" t="inlineStr"/>
      <c r="C3400" t="inlineStr"/>
      <c r="D3400" t="inlineStr"/>
      <c r="E3400">
        <f>HYPERLINK("https://www.uniprot.org/uniprotkb/A0A3Q0GVZ7/entry", "A0A3Q0GVZ7")</f>
        <v/>
      </c>
      <c r="F3400" t="n">
        <v>71.7</v>
      </c>
      <c r="G3400" t="n">
        <v>1337</v>
      </c>
      <c r="H3400" t="n">
        <v>0</v>
      </c>
      <c r="I3400" t="inlineStr">
        <is>
          <t>TrEMBL</t>
        </is>
      </c>
      <c r="J3400" t="inlineStr">
        <is>
          <t>FRAS1</t>
        </is>
      </c>
      <c r="K3400" t="inlineStr">
        <is>
          <t>A0A3Q0GVZ7_ALLSI</t>
        </is>
      </c>
      <c r="L3400" t="inlineStr">
        <is>
          <t>tr|A0A3Q0GVZ7|A0A3Q0GVZ7_ALLSI extracellular matrix protein FRAS1 isoform X9 OS=Alligator sinensis OX=38654 GN=FRAS1 PE=3 SV=1</t>
        </is>
      </c>
      <c r="M3400" t="n">
        <v>4312</v>
      </c>
      <c r="N3400" t="inlineStr">
        <is>
          <t>Alligator sinensis</t>
        </is>
      </c>
      <c r="O3400" t="inlineStr">
        <is>
          <t>extracellular matrix protein FRAS1 isoform X9</t>
        </is>
      </c>
    </row>
    <row r="3401">
      <c r="A3401" t="inlineStr"/>
      <c r="B3401" t="inlineStr"/>
      <c r="C3401" t="inlineStr"/>
      <c r="D3401" t="inlineStr"/>
      <c r="E3401">
        <f>HYPERLINK("https://www.uniprot.org/uniprotkb/A0A6I8QBY6/entry", "A0A6I8QBY6")</f>
        <v/>
      </c>
      <c r="F3401" t="n">
        <v>69.59999999999999</v>
      </c>
      <c r="G3401" t="n">
        <v>1567</v>
      </c>
      <c r="H3401" t="n">
        <v>0</v>
      </c>
      <c r="I3401" t="inlineStr">
        <is>
          <t>TrEMBL</t>
        </is>
      </c>
      <c r="J3401" t="inlineStr">
        <is>
          <t>fras1</t>
        </is>
      </c>
      <c r="K3401" t="inlineStr">
        <is>
          <t>A0A6I8QBY6_XENTR</t>
        </is>
      </c>
      <c r="L3401" t="inlineStr">
        <is>
          <t>tr|A0A6I8QBY6|A0A6I8QBY6_XENTR Fraser extracellular matrix complex subunit 1 OS=Xenopus tropicalis OX=8364 GN=fras1 PE=3 SV=2</t>
        </is>
      </c>
      <c r="M3401" t="n">
        <v>4014</v>
      </c>
      <c r="N3401" t="inlineStr">
        <is>
          <t>Xenopus tropicalis</t>
        </is>
      </c>
      <c r="O3401" t="inlineStr">
        <is>
          <t>Fraser extracellular matrix complex subunit 1</t>
        </is>
      </c>
    </row>
    <row r="3402">
      <c r="A3402" t="inlineStr"/>
      <c r="B3402" t="inlineStr"/>
      <c r="C3402" t="inlineStr"/>
      <c r="D3402" t="inlineStr"/>
      <c r="E3402">
        <f>HYPERLINK("https://www.uniprot.org/uniprotkb/A0A8J1MZ04/entry", "A0A8J1MZ04")</f>
        <v/>
      </c>
      <c r="F3402" t="n">
        <v>69.90000000000001</v>
      </c>
      <c r="G3402" t="n">
        <v>1568</v>
      </c>
      <c r="H3402" t="n">
        <v>0</v>
      </c>
      <c r="I3402" t="inlineStr">
        <is>
          <t>TrEMBL</t>
        </is>
      </c>
      <c r="J3402" t="inlineStr">
        <is>
          <t>fras1.L</t>
        </is>
      </c>
      <c r="K3402" t="inlineStr">
        <is>
          <t>A0A8J1MZ04_XENLA</t>
        </is>
      </c>
      <c r="L3402" t="inlineStr">
        <is>
          <t>tr|A0A8J1MZ04|A0A8J1MZ04_XENLA extracellular matrix organizing protein FRAS1 isoform X3 OS=Xenopus laevis OX=8355 GN=fras1.L PE=3 SV=1</t>
        </is>
      </c>
      <c r="M3402" t="n">
        <v>4007</v>
      </c>
      <c r="N3402" t="inlineStr">
        <is>
          <t>Xenopus laevis</t>
        </is>
      </c>
      <c r="O3402" t="inlineStr">
        <is>
          <t>extracellular matrix organizing protein FRAS1 isoform X3</t>
        </is>
      </c>
    </row>
    <row r="3403">
      <c r="A3403" t="inlineStr"/>
      <c r="B3403" t="inlineStr"/>
      <c r="C3403" t="inlineStr"/>
      <c r="D3403" t="inlineStr"/>
      <c r="E3403">
        <f>HYPERLINK("https://www.uniprot.org/uniprotkb/A0A6I8QTE1/entry", "A0A6I8QTE1")</f>
        <v/>
      </c>
      <c r="F3403" t="n">
        <v>67.09999999999999</v>
      </c>
      <c r="G3403" t="n">
        <v>1567</v>
      </c>
      <c r="H3403" t="n">
        <v>0</v>
      </c>
      <c r="I3403" t="inlineStr">
        <is>
          <t>TrEMBL</t>
        </is>
      </c>
      <c r="J3403" t="inlineStr">
        <is>
          <t>fras1</t>
        </is>
      </c>
      <c r="K3403" t="inlineStr">
        <is>
          <t>A0A6I8QTE1_XENTR</t>
        </is>
      </c>
      <c r="L3403" t="inlineStr">
        <is>
          <t>tr|A0A6I8QTE1|A0A6I8QTE1_XENTR Fraser extracellular matrix complex subunit 1 OS=Xenopus tropicalis OX=8364 GN=fras1 PE=3 SV=2</t>
        </is>
      </c>
      <c r="M3403" t="n">
        <v>3967</v>
      </c>
      <c r="N3403" t="inlineStr">
        <is>
          <t>Xenopus tropicalis</t>
        </is>
      </c>
      <c r="O3403" t="inlineStr">
        <is>
          <t>Fraser extracellular matrix complex subunit 1</t>
        </is>
      </c>
    </row>
    <row r="3404">
      <c r="A3404" t="inlineStr"/>
      <c r="B3404" t="inlineStr"/>
      <c r="C3404" t="inlineStr"/>
      <c r="D3404" t="inlineStr"/>
      <c r="E3404">
        <f>HYPERLINK("https://www.uniprot.org/uniprotkb/A0A8J1N1B0/entry", "A0A8J1N1B0")</f>
        <v/>
      </c>
      <c r="F3404" t="n">
        <v>70.40000000000001</v>
      </c>
      <c r="G3404" t="n">
        <v>1553</v>
      </c>
      <c r="H3404" t="n">
        <v>0</v>
      </c>
      <c r="I3404" t="inlineStr">
        <is>
          <t>TrEMBL</t>
        </is>
      </c>
      <c r="J3404" t="inlineStr">
        <is>
          <t>fras1.L</t>
        </is>
      </c>
      <c r="K3404" t="inlineStr">
        <is>
          <t>A0A8J1N1B0_XENLA</t>
        </is>
      </c>
      <c r="L3404" t="inlineStr">
        <is>
          <t>tr|A0A8J1N1B0|A0A8J1N1B0_XENLA extracellular matrix organizing protein FRAS1 isoform X1 OS=Xenopus laevis OX=8355 GN=fras1.L PE=3 SV=1</t>
        </is>
      </c>
      <c r="M3404" t="n">
        <v>4035</v>
      </c>
      <c r="N3404" t="inlineStr">
        <is>
          <t>Xenopus laevis</t>
        </is>
      </c>
      <c r="O3404" t="inlineStr">
        <is>
          <t>extracellular matrix organizing protein FRAS1 isoform X1</t>
        </is>
      </c>
    </row>
    <row r="3405">
      <c r="A3405" t="inlineStr"/>
      <c r="B3405" t="inlineStr"/>
      <c r="C3405" t="inlineStr"/>
      <c r="D3405" t="inlineStr"/>
      <c r="E3405">
        <f>HYPERLINK("https://www.uniprot.org/uniprotkb/A0A8J1MZV6/entry", "A0A8J1MZV6")</f>
        <v/>
      </c>
      <c r="F3405" t="n">
        <v>69.09999999999999</v>
      </c>
      <c r="G3405" t="n">
        <v>1587</v>
      </c>
      <c r="H3405" t="n">
        <v>0</v>
      </c>
      <c r="I3405" t="inlineStr">
        <is>
          <t>TrEMBL</t>
        </is>
      </c>
      <c r="J3405" t="inlineStr">
        <is>
          <t>fras1.L</t>
        </is>
      </c>
      <c r="K3405" t="inlineStr">
        <is>
          <t>A0A8J1MZV6_XENLA</t>
        </is>
      </c>
      <c r="L3405" t="inlineStr">
        <is>
          <t>tr|A0A8J1MZV6|A0A8J1MZV6_XENLA extracellular matrix organizing protein FRAS1 isoform X2 OS=Xenopus laevis OX=8355 GN=fras1.L PE=3 SV=1</t>
        </is>
      </c>
      <c r="M3405" t="n">
        <v>4026</v>
      </c>
      <c r="N3405" t="inlineStr">
        <is>
          <t>Xenopus laevis</t>
        </is>
      </c>
      <c r="O3405" t="inlineStr">
        <is>
          <t>extracellular matrix organizing protein FRAS1 isoform X2</t>
        </is>
      </c>
    </row>
    <row r="3406">
      <c r="A3406" t="inlineStr"/>
      <c r="B3406" t="inlineStr"/>
      <c r="C3406" t="inlineStr"/>
      <c r="D3406" t="inlineStr"/>
      <c r="E3406">
        <f>HYPERLINK("https://www.uniprot.org/uniprotkb/A0A8J1LXC3/entry", "A0A8J1LXC3")</f>
        <v/>
      </c>
      <c r="F3406" t="n">
        <v>70.59999999999999</v>
      </c>
      <c r="G3406" t="n">
        <v>1567</v>
      </c>
      <c r="H3406" t="n">
        <v>0</v>
      </c>
      <c r="I3406" t="inlineStr">
        <is>
          <t>TrEMBL</t>
        </is>
      </c>
      <c r="J3406" t="inlineStr">
        <is>
          <t>fras1.S</t>
        </is>
      </c>
      <c r="K3406" t="inlineStr">
        <is>
          <t>A0A8J1LXC3_XENLA</t>
        </is>
      </c>
      <c r="L3406" t="inlineStr">
        <is>
          <t>tr|A0A8J1LXC3|A0A8J1LXC3_XENLA extracellular matrix organizing protein FRAS1-like OS=Xenopus laevis OX=8355 GN=fras1.S PE=3 SV=1</t>
        </is>
      </c>
      <c r="M3406" t="n">
        <v>3928</v>
      </c>
      <c r="N3406" t="inlineStr">
        <is>
          <t>Xenopus laevis</t>
        </is>
      </c>
      <c r="O3406" t="inlineStr">
        <is>
          <t>extracellular matrix organizing protein FRAS1-like</t>
        </is>
      </c>
    </row>
    <row r="3407">
      <c r="A3407" t="inlineStr"/>
      <c r="B3407" t="inlineStr"/>
      <c r="C3407" t="inlineStr"/>
      <c r="D3407" t="inlineStr"/>
      <c r="E3407">
        <f>HYPERLINK("https://www.uniprot.org/uniprotkb/A0A6P7X8A2/entry", "A0A6P7X8A2")</f>
        <v/>
      </c>
      <c r="F3407" t="n">
        <v>61.6</v>
      </c>
      <c r="G3407" t="n">
        <v>1567</v>
      </c>
      <c r="H3407" t="n">
        <v>0</v>
      </c>
      <c r="I3407" t="inlineStr">
        <is>
          <t>TrEMBL</t>
        </is>
      </c>
      <c r="J3407" t="inlineStr">
        <is>
          <t>FRAS1</t>
        </is>
      </c>
      <c r="K3407" t="inlineStr">
        <is>
          <t>A0A6P7X8A2_9AMPH</t>
        </is>
      </c>
      <c r="L3407" t="inlineStr">
        <is>
          <t>tr|A0A6P7X8A2|A0A6P7X8A2_9AMPH LOW QUALITY PROTEIN: extracellular matrix protein FRAS1 OS=Microcaecilia unicolor OX=1415580 GN=FRAS1 PE=3 SV=1</t>
        </is>
      </c>
      <c r="M3407" t="n">
        <v>4013</v>
      </c>
      <c r="N3407" t="inlineStr">
        <is>
          <t>Microcaecilia unicolor</t>
        </is>
      </c>
      <c r="O3407" t="inlineStr">
        <is>
          <t>LOW QUALITY PROTEIN: extracellular matrix protein FRAS1</t>
        </is>
      </c>
    </row>
    <row r="3408">
      <c r="A3408" t="inlineStr"/>
      <c r="B3408" t="inlineStr"/>
      <c r="C3408" t="inlineStr"/>
      <c r="D3408" t="inlineStr"/>
      <c r="E3408">
        <f>HYPERLINK("https://www.uniprot.org/uniprotkb/A0A6P8SL95/entry", "A0A6P8SL95")</f>
        <v/>
      </c>
      <c r="F3408" t="n">
        <v>59.3</v>
      </c>
      <c r="G3408" t="n">
        <v>1567</v>
      </c>
      <c r="H3408" t="n">
        <v>0</v>
      </c>
      <c r="I3408" t="inlineStr">
        <is>
          <t>TrEMBL</t>
        </is>
      </c>
      <c r="J3408" t="inlineStr">
        <is>
          <t>FRAS1</t>
        </is>
      </c>
      <c r="K3408" t="inlineStr">
        <is>
          <t>A0A6P8SL95_GEOSA</t>
        </is>
      </c>
      <c r="L3408" t="inlineStr">
        <is>
          <t>tr|A0A6P8SL95|A0A6P8SL95_GEOSA extracellular matrix protein FRAS1 isoform X2 OS=Geotrypetes seraphini OX=260995 GN=FRAS1 PE=3 SV=1</t>
        </is>
      </c>
      <c r="M3408" t="n">
        <v>4013</v>
      </c>
      <c r="N3408" t="inlineStr">
        <is>
          <t>Geotrypetes seraphini</t>
        </is>
      </c>
      <c r="O3408" t="inlineStr">
        <is>
          <t>extracellular matrix protein FRAS1 isoform X2</t>
        </is>
      </c>
    </row>
    <row r="3409">
      <c r="A3409" t="inlineStr"/>
      <c r="B3409" t="inlineStr"/>
      <c r="C3409" t="inlineStr"/>
      <c r="D3409" t="inlineStr"/>
      <c r="E3409">
        <f>HYPERLINK("https://www.uniprot.org/uniprotkb/A0A6P8ST57/entry", "A0A6P8ST57")</f>
        <v/>
      </c>
      <c r="F3409" t="n">
        <v>59.6</v>
      </c>
      <c r="G3409" t="n">
        <v>1533</v>
      </c>
      <c r="H3409" t="n">
        <v>0</v>
      </c>
      <c r="I3409" t="inlineStr">
        <is>
          <t>TrEMBL</t>
        </is>
      </c>
      <c r="J3409" t="inlineStr">
        <is>
          <t>FRAS1</t>
        </is>
      </c>
      <c r="K3409" t="inlineStr">
        <is>
          <t>A0A6P8ST57_GEOSA</t>
        </is>
      </c>
      <c r="L3409" t="inlineStr">
        <is>
          <t>tr|A0A6P8ST57|A0A6P8ST57_GEOSA extracellular matrix protein FRAS1 isoform X1 OS=Geotrypetes seraphini OX=260995 GN=FRAS1 PE=3 SV=1</t>
        </is>
      </c>
      <c r="M3409" t="n">
        <v>4014</v>
      </c>
      <c r="N3409" t="inlineStr">
        <is>
          <t>Geotrypetes seraphini</t>
        </is>
      </c>
      <c r="O3409" t="inlineStr">
        <is>
          <t>extracellular matrix protein FRAS1 isoform X1</t>
        </is>
      </c>
    </row>
    <row r="3410">
      <c r="A3410" t="inlineStr"/>
      <c r="B3410" t="inlineStr"/>
      <c r="C3410" t="inlineStr"/>
      <c r="D3410" t="inlineStr"/>
      <c r="E3410">
        <f>HYPERLINK("https://www.uniprot.org/uniprotkb/A0A6P8SLA7/entry", "A0A6P8SLA7")</f>
        <v/>
      </c>
      <c r="F3410" t="n">
        <v>59.6</v>
      </c>
      <c r="G3410" t="n">
        <v>1533</v>
      </c>
      <c r="H3410" t="n">
        <v>0</v>
      </c>
      <c r="I3410" t="inlineStr">
        <is>
          <t>TrEMBL</t>
        </is>
      </c>
      <c r="J3410" t="inlineStr">
        <is>
          <t>FRAS1</t>
        </is>
      </c>
      <c r="K3410" t="inlineStr">
        <is>
          <t>A0A6P8SLA7_GEOSA</t>
        </is>
      </c>
      <c r="L3410" t="inlineStr">
        <is>
          <t>tr|A0A6P8SLA7|A0A6P8SLA7_GEOSA extracellular matrix protein FRAS1 isoform X3 OS=Geotrypetes seraphini OX=260995 GN=FRAS1 PE=3 SV=1</t>
        </is>
      </c>
      <c r="M3410" t="n">
        <v>4013</v>
      </c>
      <c r="N3410" t="inlineStr">
        <is>
          <t>Geotrypetes seraphini</t>
        </is>
      </c>
      <c r="O3410" t="inlineStr">
        <is>
          <t>extracellular matrix protein FRAS1 isoform X3</t>
        </is>
      </c>
    </row>
    <row r="3411">
      <c r="A3411" t="inlineStr"/>
      <c r="B3411" t="inlineStr"/>
      <c r="C3411" t="inlineStr"/>
      <c r="D3411" t="inlineStr"/>
      <c r="E3411">
        <f>HYPERLINK("https://www.uniprot.org/uniprotkb/A0A4D9E402/entry", "A0A4D9E402")</f>
        <v/>
      </c>
      <c r="F3411" t="n">
        <v>58.2</v>
      </c>
      <c r="G3411" t="n">
        <v>1571</v>
      </c>
      <c r="H3411" t="n">
        <v>0</v>
      </c>
      <c r="I3411" t="inlineStr">
        <is>
          <t>TrEMBL</t>
        </is>
      </c>
      <c r="J3411" t="inlineStr">
        <is>
          <t>DR999_PMT14807</t>
        </is>
      </c>
      <c r="K3411" t="inlineStr">
        <is>
          <t>A0A4D9E402_9SAUR</t>
        </is>
      </c>
      <c r="L3411" t="inlineStr">
        <is>
          <t>tr|A0A4D9E402|A0A4D9E402_9SAUR WD repeat-containing protein 7 OS=Platysternon megacephalum OX=55544 GN=DR999_PMT14807 PE=3 SV=1</t>
        </is>
      </c>
      <c r="M3411" t="n">
        <v>3969</v>
      </c>
      <c r="N3411" t="inlineStr">
        <is>
          <t>Platysternon megacephalum</t>
        </is>
      </c>
      <c r="O3411" t="inlineStr">
        <is>
          <t>WD repeat-containing protein 7</t>
        </is>
      </c>
    </row>
    <row r="3412">
      <c r="A3412" t="inlineStr"/>
      <c r="B3412" t="inlineStr"/>
      <c r="C3412" t="inlineStr"/>
      <c r="D3412" t="inlineStr"/>
      <c r="E3412">
        <f>HYPERLINK("https://www.uniprot.org/uniprotkb/A0A8C4VQS9/entry", "A0A8C4VQS9")</f>
        <v/>
      </c>
      <c r="F3412" t="n">
        <v>60.7</v>
      </c>
      <c r="G3412" t="n">
        <v>1534</v>
      </c>
      <c r="H3412" t="n">
        <v>0</v>
      </c>
      <c r="I3412" t="inlineStr">
        <is>
          <t>TrEMBL</t>
        </is>
      </c>
      <c r="J3412" t="inlineStr"/>
      <c r="K3412" t="inlineStr">
        <is>
          <t>A0A8C4VQS9_9SAUR</t>
        </is>
      </c>
      <c r="L3412" t="inlineStr">
        <is>
          <t>tr|A0A8C4VQS9|A0A8C4VQS9_9SAUR Extracellular matrix protein FRAS1 OS=Gopherus evgoodei OX=1825980 PE=3 SV=1</t>
        </is>
      </c>
      <c r="M3412" t="n">
        <v>3977</v>
      </c>
      <c r="N3412" t="inlineStr">
        <is>
          <t>Gopherus evgoodei</t>
        </is>
      </c>
      <c r="O3412" t="inlineStr">
        <is>
          <t>Extracellular matrix protein FRAS1</t>
        </is>
      </c>
    </row>
    <row r="3413">
      <c r="A3413" t="inlineStr"/>
      <c r="B3413" t="inlineStr"/>
      <c r="C3413" t="inlineStr"/>
      <c r="D3413" t="inlineStr"/>
      <c r="E3413">
        <f>HYPERLINK("https://www.uniprot.org/uniprotkb/A0A8T2KFT4/entry", "A0A8T2KFT4")</f>
        <v/>
      </c>
      <c r="F3413" t="n">
        <v>70.40000000000001</v>
      </c>
      <c r="G3413" t="n">
        <v>1393</v>
      </c>
      <c r="H3413" t="n">
        <v>0</v>
      </c>
      <c r="I3413" t="inlineStr">
        <is>
          <t>TrEMBL</t>
        </is>
      </c>
      <c r="J3413" t="inlineStr">
        <is>
          <t>GDO86_000773</t>
        </is>
      </c>
      <c r="K3413" t="inlineStr">
        <is>
          <t>A0A8T2KFT4_9PIPI</t>
        </is>
      </c>
      <c r="L3413" t="inlineStr">
        <is>
          <t>tr|A0A8T2KFT4|A0A8T2KFT4_9PIPI Extracellular matrix protein FRAS1 OS=Hymenochirus boettgeri OX=247094 GN=GDO86_000773 PE=3 SV=1</t>
        </is>
      </c>
      <c r="M3413" t="n">
        <v>3830</v>
      </c>
      <c r="N3413" t="inlineStr">
        <is>
          <t>Hymenochirus boettgeri</t>
        </is>
      </c>
      <c r="O3413" t="inlineStr">
        <is>
          <t>Extracellular matrix protein FRAS1</t>
        </is>
      </c>
    </row>
    <row r="3414">
      <c r="A3414" t="inlineStr"/>
      <c r="B3414" t="inlineStr"/>
      <c r="C3414" t="inlineStr"/>
      <c r="D3414" t="inlineStr"/>
      <c r="E3414">
        <f>HYPERLINK("https://www.uniprot.org/uniprotkb/A0A8C3TCC3/entry", "A0A8C3TCC3")</f>
        <v/>
      </c>
      <c r="F3414" t="n">
        <v>60.7</v>
      </c>
      <c r="G3414" t="n">
        <v>1534</v>
      </c>
      <c r="H3414" t="n">
        <v>0</v>
      </c>
      <c r="I3414" t="inlineStr">
        <is>
          <t>TrEMBL</t>
        </is>
      </c>
      <c r="J3414" t="inlineStr"/>
      <c r="K3414" t="inlineStr">
        <is>
          <t>A0A8C3TCC3_CHESE</t>
        </is>
      </c>
      <c r="L3414" t="inlineStr">
        <is>
          <t>tr|A0A8C3TCC3|A0A8C3TCC3_CHESE FRAS1 protein OS=Chelydra serpentina OX=8475 PE=3 SV=1</t>
        </is>
      </c>
      <c r="M3414" t="n">
        <v>3950</v>
      </c>
      <c r="N3414" t="inlineStr">
        <is>
          <t>Chelydra serpentina</t>
        </is>
      </c>
      <c r="O3414" t="inlineStr">
        <is>
          <t>FRAS1 protein</t>
        </is>
      </c>
    </row>
    <row r="3415">
      <c r="A3415" t="inlineStr"/>
      <c r="B3415" t="inlineStr"/>
      <c r="C3415" t="inlineStr"/>
      <c r="D3415" t="inlineStr"/>
      <c r="E3415">
        <f>HYPERLINK("https://www.uniprot.org/uniprotkb/A0A7L0AQL1/entry", "A0A7L0AQL1")</f>
        <v/>
      </c>
      <c r="F3415" t="n">
        <v>59.5</v>
      </c>
      <c r="G3415" t="n">
        <v>1537</v>
      </c>
      <c r="H3415" t="n">
        <v>0</v>
      </c>
      <c r="I3415" t="inlineStr">
        <is>
          <t>TrEMBL</t>
        </is>
      </c>
      <c r="J3415" t="inlineStr">
        <is>
          <t>Fras1</t>
        </is>
      </c>
      <c r="K3415" t="inlineStr">
        <is>
          <t>A0A7L0AQL1_9AVES</t>
        </is>
      </c>
      <c r="L3415" t="inlineStr">
        <is>
          <t>tr|A0A7L0AQL1|A0A7L0AQL1_9AVES FRAS1 protein (Fragment) OS=Ciconia maguari OX=52777 GN=Fras1 PE=3 SV=1</t>
        </is>
      </c>
      <c r="M3415" t="n">
        <v>3967</v>
      </c>
      <c r="N3415" t="inlineStr">
        <is>
          <t>Ciconia maguari</t>
        </is>
      </c>
      <c r="O3415" t="inlineStr">
        <is>
          <t>FRAS1 protein (Fragment)</t>
        </is>
      </c>
    </row>
    <row r="3416">
      <c r="A3416" t="inlineStr"/>
      <c r="B3416" t="inlineStr"/>
      <c r="C3416" t="inlineStr"/>
      <c r="D3416" t="inlineStr"/>
      <c r="E3416">
        <f>HYPERLINK("https://www.uniprot.org/uniprotkb/A0A8K0FV94/entry", "A0A8K0FV94")</f>
        <v/>
      </c>
      <c r="F3416" t="n">
        <v>59.7</v>
      </c>
      <c r="G3416" t="n">
        <v>1537</v>
      </c>
      <c r="H3416" t="n">
        <v>0</v>
      </c>
      <c r="I3416" t="inlineStr">
        <is>
          <t>TrEMBL</t>
        </is>
      </c>
      <c r="J3416" t="inlineStr">
        <is>
          <t>FRAS1</t>
        </is>
      </c>
      <c r="K3416" t="inlineStr">
        <is>
          <t>A0A8K0FV94_9AVES</t>
        </is>
      </c>
      <c r="L3416" t="inlineStr">
        <is>
          <t>tr|A0A8K0FV94|A0A8K0FV94_9AVES Extracellular matrix protein FRAS1 (Fragment) OS=Eudyptes robustus OX=345251 GN=FRAS1 PE=3 SV=1</t>
        </is>
      </c>
      <c r="M3416" t="n">
        <v>3968</v>
      </c>
      <c r="N3416" t="inlineStr">
        <is>
          <t>Eudyptes robustus</t>
        </is>
      </c>
      <c r="O3416" t="inlineStr">
        <is>
          <t>Extracellular matrix protein FRAS1 (Fragment)</t>
        </is>
      </c>
    </row>
    <row r="3417">
      <c r="A3417" t="inlineStr"/>
      <c r="B3417" t="inlineStr"/>
      <c r="C3417" t="inlineStr"/>
      <c r="D3417" t="inlineStr"/>
      <c r="E3417">
        <f>HYPERLINK("https://www.uniprot.org/uniprotkb/A0A7L0SR75/entry", "A0A7L0SR75")</f>
        <v/>
      </c>
      <c r="F3417" t="n">
        <v>59.5</v>
      </c>
      <c r="G3417" t="n">
        <v>1535</v>
      </c>
      <c r="H3417" t="n">
        <v>0</v>
      </c>
      <c r="I3417" t="inlineStr">
        <is>
          <t>TrEMBL</t>
        </is>
      </c>
      <c r="J3417" t="inlineStr">
        <is>
          <t>Fras1</t>
        </is>
      </c>
      <c r="K3417" t="inlineStr">
        <is>
          <t>A0A7L0SR75_PODPO</t>
        </is>
      </c>
      <c r="L3417" t="inlineStr">
        <is>
          <t>tr|A0A7L0SR75|A0A7L0SR75_PODPO FRAS1 protein (Fragment) OS=Podilymbus podiceps OX=9252 GN=Fras1 PE=3 SV=1</t>
        </is>
      </c>
      <c r="M3417" t="n">
        <v>3961</v>
      </c>
      <c r="N3417" t="inlineStr">
        <is>
          <t>Podilymbus podiceps</t>
        </is>
      </c>
      <c r="O3417" t="inlineStr">
        <is>
          <t>FRAS1 protein (Fragment)</t>
        </is>
      </c>
    </row>
    <row r="3418">
      <c r="A3418" t="inlineStr"/>
      <c r="B3418" t="inlineStr"/>
      <c r="C3418" t="inlineStr"/>
      <c r="D3418" t="inlineStr"/>
      <c r="E3418">
        <f>HYPERLINK("https://www.uniprot.org/uniprotkb/A0A851ALT6/entry", "A0A851ALT6")</f>
        <v/>
      </c>
      <c r="F3418" t="n">
        <v>58.9</v>
      </c>
      <c r="G3418" t="n">
        <v>1537</v>
      </c>
      <c r="H3418" t="n">
        <v>0</v>
      </c>
      <c r="I3418" t="inlineStr">
        <is>
          <t>TrEMBL</t>
        </is>
      </c>
      <c r="J3418" t="inlineStr">
        <is>
          <t>Fras1_0</t>
        </is>
      </c>
      <c r="K3418" t="inlineStr">
        <is>
          <t>A0A851ALT6_SULDA</t>
        </is>
      </c>
      <c r="L3418" t="inlineStr">
        <is>
          <t>tr|A0A851ALT6|A0A851ALT6_SULDA FRAS1 protein (Fragment) OS=Sula dactylatra OX=56068 GN=Fras1_0 PE=3 SV=1</t>
        </is>
      </c>
      <c r="M3418" t="n">
        <v>3722</v>
      </c>
      <c r="N3418" t="inlineStr">
        <is>
          <t>Sula dactylatra</t>
        </is>
      </c>
      <c r="O3418" t="inlineStr">
        <is>
          <t>FRAS1 protein (Fragment)</t>
        </is>
      </c>
    </row>
    <row r="3419">
      <c r="A3419" t="inlineStr"/>
      <c r="B3419" t="inlineStr"/>
      <c r="C3419" t="inlineStr"/>
      <c r="D3419" t="inlineStr"/>
      <c r="E3419">
        <f>HYPERLINK("https://www.uniprot.org/uniprotkb/A0A7L0GNS5/entry", "A0A7L0GNS5")</f>
        <v/>
      </c>
      <c r="F3419" t="n">
        <v>60.1</v>
      </c>
      <c r="G3419" t="n">
        <v>1538</v>
      </c>
      <c r="H3419" t="n">
        <v>0</v>
      </c>
      <c r="I3419" t="inlineStr">
        <is>
          <t>TrEMBL</t>
        </is>
      </c>
      <c r="J3419" t="inlineStr">
        <is>
          <t>Fras1</t>
        </is>
      </c>
      <c r="K3419" t="inlineStr">
        <is>
          <t>A0A7L0GNS5_HERCA</t>
        </is>
      </c>
      <c r="L3419" t="inlineStr">
        <is>
          <t>tr|A0A7L0GNS5|A0A7L0GNS5_HERCA FRAS1 protein (Fragment) OS=Herpetotheres cachinnans OX=56343 GN=Fras1 PE=3 SV=1</t>
        </is>
      </c>
      <c r="M3419" t="n">
        <v>3966</v>
      </c>
      <c r="N3419" t="inlineStr">
        <is>
          <t>Herpetotheres cachinnans</t>
        </is>
      </c>
      <c r="O3419" t="inlineStr">
        <is>
          <t>FRAS1 protein (Fragment)</t>
        </is>
      </c>
    </row>
    <row r="3420">
      <c r="A3420" t="inlineStr"/>
      <c r="B3420" t="inlineStr"/>
      <c r="C3420" t="inlineStr"/>
      <c r="D3420" t="inlineStr"/>
      <c r="E3420">
        <f>HYPERLINK("https://www.uniprot.org/uniprotkb/A0A6P8SZC9/entry", "A0A6P8SZC9")</f>
        <v/>
      </c>
      <c r="F3420" t="n">
        <v>57.6</v>
      </c>
      <c r="G3420" t="n">
        <v>1533</v>
      </c>
      <c r="H3420" t="n">
        <v>0</v>
      </c>
      <c r="I3420" t="inlineStr">
        <is>
          <t>TrEMBL</t>
        </is>
      </c>
      <c r="J3420" t="inlineStr">
        <is>
          <t>FRAS1</t>
        </is>
      </c>
      <c r="K3420" t="inlineStr">
        <is>
          <t>A0A6P8SZC9_GEOSA</t>
        </is>
      </c>
      <c r="L3420" t="inlineStr">
        <is>
          <t>tr|A0A6P8SZC9|A0A6P8SZC9_GEOSA extracellular matrix protein FRAS1 isoform X4 OS=Geotrypetes seraphini OX=260995 GN=FRAS1 PE=3 SV=1</t>
        </is>
      </c>
      <c r="M3420" t="n">
        <v>3967</v>
      </c>
      <c r="N3420" t="inlineStr">
        <is>
          <t>Geotrypetes seraphini</t>
        </is>
      </c>
      <c r="O3420" t="inlineStr">
        <is>
          <t>extracellular matrix protein FRAS1 isoform X4</t>
        </is>
      </c>
    </row>
    <row r="3421">
      <c r="A3421" t="inlineStr"/>
      <c r="B3421" t="inlineStr"/>
      <c r="C3421" t="inlineStr"/>
      <c r="D3421" t="inlineStr"/>
      <c r="E3421">
        <f>HYPERLINK("https://www.uniprot.org/uniprotkb/A0A8J4I2E9/entry", "A0A8J4I2E9")</f>
        <v/>
      </c>
      <c r="F3421" t="n">
        <v>59.7</v>
      </c>
      <c r="G3421" t="n">
        <v>1537</v>
      </c>
      <c r="H3421" t="n">
        <v>0</v>
      </c>
      <c r="I3421" t="inlineStr">
        <is>
          <t>TrEMBL</t>
        </is>
      </c>
      <c r="J3421" t="inlineStr">
        <is>
          <t>FRAS1</t>
        </is>
      </c>
      <c r="K3421" t="inlineStr">
        <is>
          <t>A0A8J4I2E9_SPHME</t>
        </is>
      </c>
      <c r="L3421" t="inlineStr">
        <is>
          <t>tr|A0A8J4I2E9|A0A8J4I2E9_SPHME Extracellular matrix protein FRAS1 (Fragment) OS=Spheniscus mendiculus OX=156760 GN=FRAS1 PE=3 SV=1</t>
        </is>
      </c>
      <c r="M3421" t="n">
        <v>3968</v>
      </c>
      <c r="N3421" t="inlineStr">
        <is>
          <t>Spheniscus mendiculus</t>
        </is>
      </c>
      <c r="O3421" t="inlineStr">
        <is>
          <t>Extracellular matrix protein FRAS1 (Fragment)</t>
        </is>
      </c>
    </row>
    <row r="3422">
      <c r="A3422" t="inlineStr"/>
      <c r="B3422" t="inlineStr"/>
      <c r="C3422" t="inlineStr"/>
      <c r="D3422" t="inlineStr"/>
      <c r="E3422">
        <f>HYPERLINK("https://www.uniprot.org/uniprotkb/A0A7L2UEC7/entry", "A0A7L2UEC7")</f>
        <v/>
      </c>
      <c r="F3422" t="n">
        <v>59.4</v>
      </c>
      <c r="G3422" t="n">
        <v>1528</v>
      </c>
      <c r="H3422" t="n">
        <v>0</v>
      </c>
      <c r="I3422" t="inlineStr">
        <is>
          <t>TrEMBL</t>
        </is>
      </c>
      <c r="J3422" t="inlineStr">
        <is>
          <t>Fras1</t>
        </is>
      </c>
      <c r="K3422" t="inlineStr">
        <is>
          <t>A0A7L2UEC7_BALRX</t>
        </is>
      </c>
      <c r="L3422" t="inlineStr">
        <is>
          <t>tr|A0A7L2UEC7|A0A7L2UEC7_BALRX FRAS1 protein (Fragment) OS=Balaeniceps rex OX=33584 GN=Fras1 PE=3 SV=1</t>
        </is>
      </c>
      <c r="M3422" t="n">
        <v>3962</v>
      </c>
      <c r="N3422" t="inlineStr">
        <is>
          <t>Balaeniceps rex</t>
        </is>
      </c>
      <c r="O3422" t="inlineStr">
        <is>
          <t>FRAS1 protein (Fragment)</t>
        </is>
      </c>
    </row>
    <row r="3423">
      <c r="A3423" t="inlineStr"/>
      <c r="B3423" t="inlineStr"/>
      <c r="C3423" t="inlineStr"/>
      <c r="D3423" t="inlineStr"/>
      <c r="E3423">
        <f>HYPERLINK("https://www.uniprot.org/uniprotkb/A0A7K7U5X4/entry", "A0A7K7U5X4")</f>
        <v/>
      </c>
      <c r="F3423" t="n">
        <v>59.2</v>
      </c>
      <c r="G3423" t="n">
        <v>1528</v>
      </c>
      <c r="H3423" t="n">
        <v>0</v>
      </c>
      <c r="I3423" t="inlineStr">
        <is>
          <t>TrEMBL</t>
        </is>
      </c>
      <c r="J3423" t="inlineStr">
        <is>
          <t>Fras1_0</t>
        </is>
      </c>
      <c r="K3423" t="inlineStr">
        <is>
          <t>A0A7K7U5X4_9CHAR</t>
        </is>
      </c>
      <c r="L3423" t="inlineStr">
        <is>
          <t>tr|A0A7K7U5X4|A0A7K7U5X4_9CHAR FRAS1 protein (Fragment) OS=Ibidorhyncha struthersii OX=425643 GN=Fras1_0 PE=3 SV=1</t>
        </is>
      </c>
      <c r="M3423" t="n">
        <v>3497</v>
      </c>
      <c r="N3423" t="inlineStr">
        <is>
          <t>Ibidorhyncha struthersii</t>
        </is>
      </c>
      <c r="O3423" t="inlineStr">
        <is>
          <t>FRAS1 protein (Fragment)</t>
        </is>
      </c>
    </row>
    <row r="3424">
      <c r="A3424" t="inlineStr"/>
      <c r="B3424" t="inlineStr"/>
      <c r="C3424" t="inlineStr"/>
      <c r="D3424" t="inlineStr"/>
      <c r="E3424">
        <f>HYPERLINK("https://www.uniprot.org/uniprotkb/A0A7K8VFN5/entry", "A0A7K8VFN5")</f>
        <v/>
      </c>
      <c r="F3424" t="n">
        <v>58.7</v>
      </c>
      <c r="G3424" t="n">
        <v>1537</v>
      </c>
      <c r="H3424" t="n">
        <v>0</v>
      </c>
      <c r="I3424" t="inlineStr">
        <is>
          <t>TrEMBL</t>
        </is>
      </c>
      <c r="J3424" t="inlineStr">
        <is>
          <t>Fras1</t>
        </is>
      </c>
      <c r="K3424" t="inlineStr">
        <is>
          <t>A0A7K8VFN5_9STRI</t>
        </is>
      </c>
      <c r="L3424" t="inlineStr">
        <is>
          <t>tr|A0A7K8VFN5|A0A7K8VFN5_9STRI FRAS1 protein (Fragment) OS=Ciccaba nigrolineata OX=1118524 GN=Fras1 PE=3 SV=1</t>
        </is>
      </c>
      <c r="M3424" t="n">
        <v>3964</v>
      </c>
      <c r="N3424" t="inlineStr">
        <is>
          <t>Ciccaba nigrolineata</t>
        </is>
      </c>
      <c r="O3424" t="inlineStr">
        <is>
          <t>FRAS1 protein (Fragment)</t>
        </is>
      </c>
    </row>
    <row r="3425">
      <c r="A3425" t="inlineStr"/>
      <c r="B3425" t="inlineStr"/>
      <c r="C3425" t="inlineStr"/>
      <c r="D3425" t="inlineStr"/>
      <c r="E3425">
        <f>HYPERLINK("https://www.uniprot.org/uniprotkb/A0A7L1KAD1/entry", "A0A7L1KAD1")</f>
        <v/>
      </c>
      <c r="F3425" t="n">
        <v>59.1</v>
      </c>
      <c r="G3425" t="n">
        <v>1537</v>
      </c>
      <c r="H3425" t="n">
        <v>0</v>
      </c>
      <c r="I3425" t="inlineStr">
        <is>
          <t>TrEMBL</t>
        </is>
      </c>
      <c r="J3425" t="inlineStr">
        <is>
          <t>Fras1</t>
        </is>
      </c>
      <c r="K3425" t="inlineStr">
        <is>
          <t>A0A7L1KAD1_RYNNI</t>
        </is>
      </c>
      <c r="L3425" t="inlineStr">
        <is>
          <t>tr|A0A7L1KAD1|A0A7L1KAD1_RYNNI FRAS1 protein (Fragment) OS=Rynchops niger OX=227184 GN=Fras1 PE=3 SV=1</t>
        </is>
      </c>
      <c r="M3425" t="n">
        <v>3962</v>
      </c>
      <c r="N3425" t="inlineStr">
        <is>
          <t>Rynchops niger</t>
        </is>
      </c>
      <c r="O3425" t="inlineStr">
        <is>
          <t>FRAS1 protein (Fragment)</t>
        </is>
      </c>
    </row>
    <row r="3426">
      <c r="A3426" t="inlineStr"/>
      <c r="B3426" t="inlineStr"/>
      <c r="C3426" t="inlineStr"/>
      <c r="D3426" t="inlineStr"/>
      <c r="E3426">
        <f>HYPERLINK("https://www.uniprot.org/uniprotkb/Q86XX4/entry", "Q86XX4")</f>
        <v/>
      </c>
      <c r="F3426" t="n">
        <v>67.8</v>
      </c>
      <c r="G3426" t="n">
        <v>1340</v>
      </c>
      <c r="H3426" t="n">
        <v>0</v>
      </c>
      <c r="I3426" t="inlineStr">
        <is>
          <t>Swiss-Prot</t>
        </is>
      </c>
      <c r="J3426" t="inlineStr">
        <is>
          <t>FRAS1</t>
        </is>
      </c>
      <c r="K3426" t="inlineStr">
        <is>
          <t>FRAS1_HUMAN</t>
        </is>
      </c>
      <c r="L3426" t="inlineStr">
        <is>
          <t>sp|Q86XX4|FRAS1_HUMAN Extracellular matrix organizing protein FRAS1 OS=Homo sapiens OX=9606 GN=FRAS1 PE=1 SV=2</t>
        </is>
      </c>
      <c r="M3426" t="n">
        <v>4008</v>
      </c>
      <c r="N3426" t="inlineStr">
        <is>
          <t>Homo sapiens</t>
        </is>
      </c>
      <c r="O3426" t="inlineStr">
        <is>
          <t>Extracellular matrix organizing protein FRAS1</t>
        </is>
      </c>
    </row>
    <row r="3427">
      <c r="A3427" t="inlineStr"/>
      <c r="B3427" t="inlineStr"/>
      <c r="C3427" t="inlineStr"/>
      <c r="D3427" t="inlineStr"/>
      <c r="E3427">
        <f>HYPERLINK("https://www.uniprot.org/uniprotkb/Q80T14/entry", "Q80T14")</f>
        <v/>
      </c>
      <c r="F3427" t="n">
        <v>65.5</v>
      </c>
      <c r="G3427" t="n">
        <v>1338</v>
      </c>
      <c r="H3427" t="n">
        <v>0</v>
      </c>
      <c r="I3427" t="inlineStr">
        <is>
          <t>Swiss-Prot</t>
        </is>
      </c>
      <c r="J3427" t="inlineStr">
        <is>
          <t>Fras1</t>
        </is>
      </c>
      <c r="K3427" t="inlineStr">
        <is>
          <t>FRAS1_MOUSE</t>
        </is>
      </c>
      <c r="L3427" t="inlineStr">
        <is>
          <t>sp|Q80T14|FRAS1_MOUSE Extracellular matrix organizing protein FRAS1 OS=Mus musculus OX=10090 GN=Fras1 PE=1 SV=2</t>
        </is>
      </c>
      <c r="M3427" t="n">
        <v>4010</v>
      </c>
      <c r="N3427" t="inlineStr">
        <is>
          <t>Mus musculus</t>
        </is>
      </c>
      <c r="O3427" t="inlineStr">
        <is>
          <t>Extracellular matrix organizing protein FRAS1</t>
        </is>
      </c>
    </row>
    <row r="3428">
      <c r="A3428" t="inlineStr"/>
      <c r="B3428" t="inlineStr"/>
      <c r="C3428" t="inlineStr"/>
      <c r="D3428" t="inlineStr"/>
      <c r="E3428">
        <f>HYPERLINK("https://www.uniprot.org/uniprotkb/Q86XX4/entry", "Q86XX4")</f>
        <v/>
      </c>
      <c r="F3428" t="n">
        <v>55.7</v>
      </c>
      <c r="G3428" t="n">
        <v>1566</v>
      </c>
      <c r="H3428" t="n">
        <v>0</v>
      </c>
      <c r="I3428" t="inlineStr">
        <is>
          <t>Swiss-Prot</t>
        </is>
      </c>
      <c r="J3428" t="inlineStr">
        <is>
          <t>FRAS1</t>
        </is>
      </c>
      <c r="K3428" t="inlineStr">
        <is>
          <t>FRAS1_HUMAN</t>
        </is>
      </c>
      <c r="L3428" t="inlineStr">
        <is>
          <t>sp|Q86XX4|FRAS1_HUMAN Extracellular matrix organizing protein FRAS1 OS=Homo sapiens OX=9606 GN=FRAS1 PE=1 SV=2</t>
        </is>
      </c>
      <c r="M3428" t="n">
        <v>4008</v>
      </c>
      <c r="N3428" t="inlineStr">
        <is>
          <t>Homo sapiens</t>
        </is>
      </c>
      <c r="O3428" t="inlineStr">
        <is>
          <t>Extracellular matrix organizing protein FRAS1</t>
        </is>
      </c>
    </row>
    <row r="3429">
      <c r="A3429" t="inlineStr"/>
      <c r="B3429" t="inlineStr"/>
      <c r="C3429" t="inlineStr"/>
      <c r="D3429" t="inlineStr"/>
      <c r="E3429">
        <f>HYPERLINK("https://www.uniprot.org/uniprotkb/Q80T14/entry", "Q80T14")</f>
        <v/>
      </c>
      <c r="F3429" t="n">
        <v>56.3</v>
      </c>
      <c r="G3429" t="n">
        <v>1569</v>
      </c>
      <c r="H3429" t="n">
        <v>0</v>
      </c>
      <c r="I3429" t="inlineStr">
        <is>
          <t>Swiss-Prot</t>
        </is>
      </c>
      <c r="J3429" t="inlineStr">
        <is>
          <t>Fras1</t>
        </is>
      </c>
      <c r="K3429" t="inlineStr">
        <is>
          <t>FRAS1_MOUSE</t>
        </is>
      </c>
      <c r="L3429" t="inlineStr">
        <is>
          <t>sp|Q80T14|FRAS1_MOUSE Extracellular matrix organizing protein FRAS1 OS=Mus musculus OX=10090 GN=Fras1 PE=1 SV=2</t>
        </is>
      </c>
      <c r="M3429" t="n">
        <v>4010</v>
      </c>
      <c r="N3429" t="inlineStr">
        <is>
          <t>Mus musculus</t>
        </is>
      </c>
      <c r="O3429" t="inlineStr">
        <is>
          <t>Extracellular matrix organizing protein FRAS1</t>
        </is>
      </c>
    </row>
    <row r="3430">
      <c r="A3430" t="inlineStr"/>
      <c r="B3430" t="inlineStr"/>
      <c r="C3430" t="inlineStr"/>
      <c r="D3430" t="inlineStr"/>
      <c r="E3430">
        <f>HYPERLINK("https://www.uniprot.org/uniprotkb/Q9GV77/entry", "Q9GV77")</f>
        <v/>
      </c>
      <c r="F3430" t="n">
        <v>32.6</v>
      </c>
      <c r="G3430" t="n">
        <v>1357</v>
      </c>
      <c r="H3430" t="n">
        <v>5.6e-177</v>
      </c>
      <c r="I3430" t="inlineStr">
        <is>
          <t>Swiss-Prot</t>
        </is>
      </c>
      <c r="J3430" t="inlineStr">
        <is>
          <t>ECM3</t>
        </is>
      </c>
      <c r="K3430" t="inlineStr">
        <is>
          <t>FREM2_LYTVA</t>
        </is>
      </c>
      <c r="L3430" t="inlineStr">
        <is>
          <t>sp|Q9GV77|FREM2_LYTVA Extracellular matrix protein 3 OS=Lytechinus variegatus OX=7654 GN=ECM3 PE=1 SV=1</t>
        </is>
      </c>
      <c r="M3430" t="n">
        <v>3103</v>
      </c>
      <c r="N3430" t="inlineStr">
        <is>
          <t>Lytechinus variegatus</t>
        </is>
      </c>
      <c r="O3430" t="inlineStr">
        <is>
          <t>Extracellular matrix protein 3</t>
        </is>
      </c>
    </row>
    <row r="3431">
      <c r="A3431" t="inlineStr"/>
      <c r="B3431" t="inlineStr"/>
      <c r="C3431" t="inlineStr"/>
      <c r="D3431" t="inlineStr"/>
      <c r="E3431">
        <f>HYPERLINK("https://www.uniprot.org/uniprotkb/Q5SZK8/entry", "Q5SZK8")</f>
        <v/>
      </c>
      <c r="F3431" t="n">
        <v>31.9</v>
      </c>
      <c r="G3431" t="n">
        <v>1353</v>
      </c>
      <c r="H3431" t="n">
        <v>2.4e-169</v>
      </c>
      <c r="I3431" t="inlineStr">
        <is>
          <t>Swiss-Prot</t>
        </is>
      </c>
      <c r="J3431" t="inlineStr">
        <is>
          <t>FREM2</t>
        </is>
      </c>
      <c r="K3431" t="inlineStr">
        <is>
          <t>FREM2_HUMAN</t>
        </is>
      </c>
      <c r="L3431" t="inlineStr">
        <is>
          <t>sp|Q5SZK8|FREM2_HUMAN FRAS1-related extracellular matrix protein 2 OS=Homo sapiens OX=9606 GN=FREM2 PE=1 SV=3</t>
        </is>
      </c>
      <c r="M3431" t="n">
        <v>3169</v>
      </c>
      <c r="N3431" t="inlineStr">
        <is>
          <t>Homo sapiens</t>
        </is>
      </c>
      <c r="O3431" t="inlineStr">
        <is>
          <t>FRAS1-related extracellular matrix protein 2</t>
        </is>
      </c>
    </row>
    <row r="3432">
      <c r="A3432" t="inlineStr"/>
      <c r="B3432" t="inlineStr"/>
      <c r="C3432" t="inlineStr"/>
      <c r="D3432" t="inlineStr"/>
      <c r="E3432">
        <f>HYPERLINK("https://www.uniprot.org/uniprotkb/Q6NVD0/entry", "Q6NVD0")</f>
        <v/>
      </c>
      <c r="F3432" t="n">
        <v>31</v>
      </c>
      <c r="G3432" t="n">
        <v>1353</v>
      </c>
      <c r="H3432" t="n">
        <v>8.110000000000001e-166</v>
      </c>
      <c r="I3432" t="inlineStr">
        <is>
          <t>Swiss-Prot</t>
        </is>
      </c>
      <c r="J3432" t="inlineStr">
        <is>
          <t>Frem2</t>
        </is>
      </c>
      <c r="K3432" t="inlineStr">
        <is>
          <t>FREM2_MOUSE</t>
        </is>
      </c>
      <c r="L3432" t="inlineStr">
        <is>
          <t>sp|Q6NVD0|FREM2_MOUSE FRAS1-related extracellular matrix protein 2 OS=Mus musculus OX=10090 GN=Frem2 PE=1 SV=2</t>
        </is>
      </c>
      <c r="M3432" t="n">
        <v>3160</v>
      </c>
      <c r="N3432" t="inlineStr">
        <is>
          <t>Mus musculus</t>
        </is>
      </c>
      <c r="O3432" t="inlineStr">
        <is>
          <t>FRAS1-related extracellular matrix protein 2</t>
        </is>
      </c>
    </row>
    <row r="3433">
      <c r="A3433" t="inlineStr"/>
      <c r="B3433" t="inlineStr"/>
      <c r="C3433" t="inlineStr"/>
      <c r="D3433" t="inlineStr"/>
      <c r="E3433">
        <f>HYPERLINK("https://www.uniprot.org/uniprotkb/P0C091/entry", "P0C091")</f>
        <v/>
      </c>
      <c r="F3433" t="n">
        <v>31.1</v>
      </c>
      <c r="G3433" t="n">
        <v>1362</v>
      </c>
      <c r="H3433" t="n">
        <v>9.69e-156</v>
      </c>
      <c r="I3433" t="inlineStr">
        <is>
          <t>Swiss-Prot</t>
        </is>
      </c>
      <c r="J3433" t="inlineStr">
        <is>
          <t>FREM3</t>
        </is>
      </c>
      <c r="K3433" t="inlineStr">
        <is>
          <t>FREM3_HUMAN</t>
        </is>
      </c>
      <c r="L3433" t="inlineStr">
        <is>
          <t>sp|P0C091|FREM3_HUMAN FRAS1-related extracellular matrix protein 3 OS=Homo sapiens OX=9606 GN=FREM3 PE=3 SV=2</t>
        </is>
      </c>
      <c r="M3433" t="n">
        <v>2139</v>
      </c>
      <c r="N3433" t="inlineStr">
        <is>
          <t>Homo sapiens</t>
        </is>
      </c>
      <c r="O3433" t="inlineStr">
        <is>
          <t>FRAS1-related extracellular matrix protein 3</t>
        </is>
      </c>
    </row>
    <row r="3434">
      <c r="A3434" t="inlineStr"/>
      <c r="B3434" t="inlineStr"/>
      <c r="C3434" t="inlineStr"/>
      <c r="D3434" t="inlineStr"/>
      <c r="E3434">
        <f>HYPERLINK("https://www.uniprot.org/uniprotkb/Q5H8B9/entry", "Q5H8B9")</f>
        <v/>
      </c>
      <c r="F3434" t="n">
        <v>29.8</v>
      </c>
      <c r="G3434" t="n">
        <v>1363</v>
      </c>
      <c r="H3434" t="n">
        <v>4.22e-141</v>
      </c>
      <c r="I3434" t="inlineStr">
        <is>
          <t>Swiss-Prot</t>
        </is>
      </c>
      <c r="J3434" t="inlineStr">
        <is>
          <t>Frem3</t>
        </is>
      </c>
      <c r="K3434" t="inlineStr">
        <is>
          <t>FREM3_MOUSE</t>
        </is>
      </c>
      <c r="L3434" t="inlineStr">
        <is>
          <t>sp|Q5H8B9|FREM3_MOUSE FRAS1-related extracellular matrix protein 3 OS=Mus musculus OX=10090 GN=Frem3 PE=2 SV=2</t>
        </is>
      </c>
      <c r="M3434" t="n">
        <v>2123</v>
      </c>
      <c r="N3434" t="inlineStr">
        <is>
          <t>Mus musculus</t>
        </is>
      </c>
      <c r="O3434" t="inlineStr">
        <is>
          <t>FRAS1-related extracellular matrix protein 3</t>
        </is>
      </c>
    </row>
    <row r="3435">
      <c r="A3435" t="inlineStr"/>
      <c r="B3435" t="inlineStr"/>
      <c r="C3435" t="inlineStr"/>
      <c r="D3435" t="inlineStr"/>
      <c r="E3435">
        <f>HYPERLINK("https://www.uniprot.org/uniprotkb/Q5H8C1/entry", "Q5H8C1")</f>
        <v/>
      </c>
      <c r="F3435" t="n">
        <v>29.3</v>
      </c>
      <c r="G3435" t="n">
        <v>1121</v>
      </c>
      <c r="H3435" t="n">
        <v>2.26e-113</v>
      </c>
      <c r="I3435" t="inlineStr">
        <is>
          <t>Swiss-Prot</t>
        </is>
      </c>
      <c r="J3435" t="inlineStr">
        <is>
          <t>FREM1</t>
        </is>
      </c>
      <c r="K3435" t="inlineStr">
        <is>
          <t>FREM1_HUMAN</t>
        </is>
      </c>
      <c r="L3435" t="inlineStr">
        <is>
          <t>sp|Q5H8C1|FREM1_HUMAN FRAS1-related extracellular matrix protein 1 OS=Homo sapiens OX=9606 GN=FREM1 PE=1 SV=3</t>
        </is>
      </c>
      <c r="M3435" t="n">
        <v>2179</v>
      </c>
      <c r="N3435" t="inlineStr">
        <is>
          <t>Homo sapiens</t>
        </is>
      </c>
      <c r="O3435" t="inlineStr">
        <is>
          <t>FRAS1-related extracellular matrix protein 1</t>
        </is>
      </c>
    </row>
    <row r="3436">
      <c r="A3436" t="inlineStr"/>
      <c r="B3436" t="inlineStr"/>
      <c r="C3436" t="inlineStr"/>
      <c r="D3436" t="inlineStr"/>
      <c r="E3436">
        <f>HYPERLINK("https://www.uniprot.org/uniprotkb/Q684R7/entry", "Q684R7")</f>
        <v/>
      </c>
      <c r="F3436" t="n">
        <v>29</v>
      </c>
      <c r="G3436" t="n">
        <v>1120</v>
      </c>
      <c r="H3436" t="n">
        <v>3.48e-110</v>
      </c>
      <c r="I3436" t="inlineStr">
        <is>
          <t>Swiss-Prot</t>
        </is>
      </c>
      <c r="J3436" t="inlineStr">
        <is>
          <t>Frem1</t>
        </is>
      </c>
      <c r="K3436" t="inlineStr">
        <is>
          <t>FREM1_MOUSE</t>
        </is>
      </c>
      <c r="L3436" t="inlineStr">
        <is>
          <t>sp|Q684R7|FREM1_MOUSE FRAS1-related extracellular matrix protein 1 OS=Mus musculus OX=10090 GN=Frem1 PE=1 SV=1</t>
        </is>
      </c>
      <c r="M3436" t="n">
        <v>2191</v>
      </c>
      <c r="N3436" t="inlineStr">
        <is>
          <t>Mus musculus</t>
        </is>
      </c>
      <c r="O3436" t="inlineStr">
        <is>
          <t>FRAS1-related extracellular matrix protein 1</t>
        </is>
      </c>
    </row>
    <row r="3437">
      <c r="A3437" t="inlineStr"/>
      <c r="B3437" t="inlineStr"/>
      <c r="C3437" t="inlineStr"/>
      <c r="D3437" t="inlineStr"/>
      <c r="E3437">
        <f>HYPERLINK("https://www.uniprot.org/uniprotkb/Q9IBG7/entry", "Q9IBG7")</f>
        <v/>
      </c>
      <c r="F3437" t="n">
        <v>32.9</v>
      </c>
      <c r="G3437" t="n">
        <v>386</v>
      </c>
      <c r="H3437" t="n">
        <v>9.17e-44</v>
      </c>
      <c r="I3437" t="inlineStr">
        <is>
          <t>Swiss-Prot</t>
        </is>
      </c>
      <c r="J3437" t="inlineStr">
        <is>
          <t>kcp</t>
        </is>
      </c>
      <c r="K3437" t="inlineStr">
        <is>
          <t>KCP_XENLA</t>
        </is>
      </c>
      <c r="L3437" t="inlineStr">
        <is>
          <t>sp|Q9IBG7|KCP_XENLA Kielin/chordin-like protein OS=Xenopus laevis OX=8355 GN=kcp PE=2 SV=1</t>
        </is>
      </c>
      <c r="M3437" t="n">
        <v>2327</v>
      </c>
      <c r="N3437" t="inlineStr">
        <is>
          <t>Xenopus laevis</t>
        </is>
      </c>
      <c r="O3437" t="inlineStr">
        <is>
          <t>Kielin/chordin-like protein</t>
        </is>
      </c>
    </row>
    <row r="3438">
      <c r="A3438" t="inlineStr"/>
      <c r="B3438" t="inlineStr"/>
      <c r="C3438" t="inlineStr"/>
      <c r="D3438" t="inlineStr"/>
      <c r="E3438">
        <f>HYPERLINK("https://www.uniprot.org/uniprotkb/Q6ZWJ8/entry", "Q6ZWJ8")</f>
        <v/>
      </c>
      <c r="F3438" t="n">
        <v>28.7</v>
      </c>
      <c r="G3438" t="n">
        <v>471</v>
      </c>
      <c r="H3438" t="n">
        <v>1.58e-39</v>
      </c>
      <c r="I3438" t="inlineStr">
        <is>
          <t>Swiss-Prot</t>
        </is>
      </c>
      <c r="J3438" t="inlineStr">
        <is>
          <t>KCP</t>
        </is>
      </c>
      <c r="K3438" t="inlineStr">
        <is>
          <t>KCP_HUMAN</t>
        </is>
      </c>
      <c r="L3438" t="inlineStr">
        <is>
          <t>sp|Q6ZWJ8|KCP_HUMAN Kielin/chordin-like protein OS=Homo sapiens OX=9606 GN=KCP PE=2 SV=3</t>
        </is>
      </c>
      <c r="M3438" t="n">
        <v>1568</v>
      </c>
      <c r="N3438" t="inlineStr">
        <is>
          <t>Homo sapiens</t>
        </is>
      </c>
      <c r="O3438" t="inlineStr">
        <is>
          <t>Kielin/chordin-like protein</t>
        </is>
      </c>
    </row>
    <row r="3439">
      <c r="A3439" t="inlineStr"/>
      <c r="B3439" t="inlineStr"/>
      <c r="C3439" t="inlineStr"/>
      <c r="D3439" t="inlineStr"/>
      <c r="E3439">
        <f>HYPERLINK("https://www.uniprot.org/uniprotkb/Q3U515/entry", "Q3U515")</f>
        <v/>
      </c>
      <c r="F3439" t="n">
        <v>28.2</v>
      </c>
      <c r="G3439" t="n">
        <v>433</v>
      </c>
      <c r="H3439" t="n">
        <v>2.26e-38</v>
      </c>
      <c r="I3439" t="inlineStr">
        <is>
          <t>Swiss-Prot</t>
        </is>
      </c>
      <c r="J3439" t="inlineStr">
        <is>
          <t>Vwce</t>
        </is>
      </c>
      <c r="K3439" t="inlineStr">
        <is>
          <t>VWCE_MOUSE</t>
        </is>
      </c>
      <c r="L3439" t="inlineStr">
        <is>
          <t>sp|Q3U515|VWCE_MOUSE von Willebrand factor C and EGF domain-containing protein OS=Mus musculus OX=10090 GN=Vwce PE=2 SV=2</t>
        </is>
      </c>
      <c r="M3439" t="n">
        <v>929</v>
      </c>
      <c r="N3439" t="inlineStr">
        <is>
          <t>Mus musculus</t>
        </is>
      </c>
      <c r="O3439" t="inlineStr">
        <is>
          <t>von Willebrand factor C and EGF domain-containing protein</t>
        </is>
      </c>
    </row>
    <row r="3440">
      <c r="A3440" t="inlineStr"/>
      <c r="B3440" t="inlineStr"/>
      <c r="C3440" t="inlineStr"/>
      <c r="D3440" t="inlineStr"/>
      <c r="E3440">
        <f>HYPERLINK("https://www.uniprot.org/uniprotkb/Q3U492/entry", "Q3U492")</f>
        <v/>
      </c>
      <c r="F3440" t="n">
        <v>28.8</v>
      </c>
      <c r="G3440" t="n">
        <v>466</v>
      </c>
      <c r="H3440" t="n">
        <v>5.33e-38</v>
      </c>
      <c r="I3440" t="inlineStr">
        <is>
          <t>Swiss-Prot</t>
        </is>
      </c>
      <c r="J3440" t="inlineStr">
        <is>
          <t>Kcp</t>
        </is>
      </c>
      <c r="K3440" t="inlineStr">
        <is>
          <t>KCP_MOUSE</t>
        </is>
      </c>
      <c r="L3440" t="inlineStr">
        <is>
          <t>sp|Q3U492|KCP_MOUSE Kielin/chordin-like protein OS=Mus musculus OX=10090 GN=Kcp PE=1 SV=2</t>
        </is>
      </c>
      <c r="M3440" t="n">
        <v>1550</v>
      </c>
      <c r="N3440" t="inlineStr">
        <is>
          <t>Mus musculus</t>
        </is>
      </c>
      <c r="O3440" t="inlineStr">
        <is>
          <t>Kielin/chordin-like protein</t>
        </is>
      </c>
    </row>
    <row r="3441">
      <c r="A3441" t="inlineStr"/>
      <c r="B3441" t="inlineStr"/>
      <c r="C3441" t="inlineStr"/>
      <c r="D3441" t="inlineStr"/>
      <c r="E3441">
        <f>HYPERLINK("https://www.uniprot.org/uniprotkb/Q8VHY0/entry", "Q8VHY0")</f>
        <v/>
      </c>
      <c r="F3441" t="n">
        <v>22.7</v>
      </c>
      <c r="G3441" t="n">
        <v>969</v>
      </c>
      <c r="H3441" t="n">
        <v>6.699999999999999e-38</v>
      </c>
      <c r="I3441" t="inlineStr">
        <is>
          <t>Swiss-Prot</t>
        </is>
      </c>
      <c r="J3441" t="inlineStr">
        <is>
          <t>Cspg4</t>
        </is>
      </c>
      <c r="K3441" t="inlineStr">
        <is>
          <t>CSPG4_MOUSE</t>
        </is>
      </c>
      <c r="L3441" t="inlineStr">
        <is>
          <t>sp|Q8VHY0|CSPG4_MOUSE Chondroitin sulfate proteoglycan 4 OS=Mus musculus OX=10090 GN=Cspg4 PE=1 SV=3</t>
        </is>
      </c>
      <c r="M3441" t="n">
        <v>2327</v>
      </c>
      <c r="N3441" t="inlineStr">
        <is>
          <t>Mus musculus</t>
        </is>
      </c>
      <c r="O3441" t="inlineStr">
        <is>
          <t>Chondroitin sulfate proteoglycan 4</t>
        </is>
      </c>
    </row>
    <row r="3442">
      <c r="A3442" t="inlineStr"/>
      <c r="B3442" t="inlineStr"/>
      <c r="C3442" t="inlineStr"/>
      <c r="D3442" t="inlineStr"/>
      <c r="E3442">
        <f>HYPERLINK("https://www.uniprot.org/uniprotkb/Q6UVK1/entry", "Q6UVK1")</f>
        <v/>
      </c>
      <c r="F3442" t="n">
        <v>23.3</v>
      </c>
      <c r="G3442" t="n">
        <v>964</v>
      </c>
      <c r="H3442" t="n">
        <v>3.91e-36</v>
      </c>
      <c r="I3442" t="inlineStr">
        <is>
          <t>Swiss-Prot</t>
        </is>
      </c>
      <c r="J3442" t="inlineStr">
        <is>
          <t>CSPG4</t>
        </is>
      </c>
      <c r="K3442" t="inlineStr">
        <is>
          <t>CSPG4_HUMAN</t>
        </is>
      </c>
      <c r="L3442" t="inlineStr">
        <is>
          <t>sp|Q6UVK1|CSPG4_HUMAN Chondroitin sulfate proteoglycan 4 OS=Homo sapiens OX=9606 GN=CSPG4 PE=1 SV=2</t>
        </is>
      </c>
      <c r="M3442" t="n">
        <v>2322</v>
      </c>
      <c r="N3442" t="inlineStr">
        <is>
          <t>Homo sapiens</t>
        </is>
      </c>
      <c r="O3442" t="inlineStr">
        <is>
          <t>Chondroitin sulfate proteoglycan 4</t>
        </is>
      </c>
    </row>
    <row r="3443">
      <c r="A3443" t="inlineStr"/>
      <c r="B3443" t="inlineStr"/>
      <c r="C3443" t="inlineStr"/>
      <c r="D3443" t="inlineStr"/>
      <c r="E3443">
        <f>HYPERLINK("https://www.uniprot.org/uniprotkb/Q00657/entry", "Q00657")</f>
        <v/>
      </c>
      <c r="F3443" t="n">
        <v>22.8</v>
      </c>
      <c r="G3443" t="n">
        <v>976</v>
      </c>
      <c r="H3443" t="n">
        <v>5.12e-36</v>
      </c>
      <c r="I3443" t="inlineStr">
        <is>
          <t>Swiss-Prot</t>
        </is>
      </c>
      <c r="J3443" t="inlineStr">
        <is>
          <t>Cspg4</t>
        </is>
      </c>
      <c r="K3443" t="inlineStr">
        <is>
          <t>CSPG4_RAT</t>
        </is>
      </c>
      <c r="L3443" t="inlineStr">
        <is>
          <t>sp|Q00657|CSPG4_RAT Chondroitin sulfate proteoglycan 4 OS=Rattus norvegicus OX=10116 GN=Cspg4 PE=1 SV=2</t>
        </is>
      </c>
      <c r="M3443" t="n">
        <v>2326</v>
      </c>
      <c r="N3443" t="inlineStr">
        <is>
          <t>Rattus norvegicus</t>
        </is>
      </c>
      <c r="O3443" t="inlineStr">
        <is>
          <t>Chondroitin sulfate proteoglycan 4</t>
        </is>
      </c>
    </row>
    <row r="3444">
      <c r="A3444" t="inlineStr"/>
      <c r="B3444" t="inlineStr"/>
      <c r="C3444" t="inlineStr"/>
      <c r="D3444" t="inlineStr"/>
      <c r="E3444">
        <f>HYPERLINK("https://www.uniprot.org/uniprotkb/Q96DN2/entry", "Q96DN2")</f>
        <v/>
      </c>
      <c r="F3444" t="n">
        <v>28.5</v>
      </c>
      <c r="G3444" t="n">
        <v>407</v>
      </c>
      <c r="H3444" t="n">
        <v>8.12e-36</v>
      </c>
      <c r="I3444" t="inlineStr">
        <is>
          <t>Swiss-Prot</t>
        </is>
      </c>
      <c r="J3444" t="inlineStr">
        <is>
          <t>VWCE</t>
        </is>
      </c>
      <c r="K3444" t="inlineStr">
        <is>
          <t>VWCE_HUMAN</t>
        </is>
      </c>
      <c r="L3444" t="inlineStr">
        <is>
          <t>sp|Q96DN2|VWCE_HUMAN von Willebrand factor C and EGF domain-containing protein OS=Homo sapiens OX=9606 GN=VWCE PE=1 SV=2</t>
        </is>
      </c>
      <c r="M3444" t="n">
        <v>955</v>
      </c>
      <c r="N3444" t="inlineStr">
        <is>
          <t>Homo sapiens</t>
        </is>
      </c>
      <c r="O3444" t="inlineStr">
        <is>
          <t>von Willebrand factor C and EGF domain-containing protein</t>
        </is>
      </c>
    </row>
    <row r="3445">
      <c r="A3445" t="inlineStr"/>
      <c r="B3445" t="inlineStr"/>
      <c r="C3445" t="inlineStr"/>
      <c r="D3445" t="inlineStr"/>
      <c r="E3445">
        <f>HYPERLINK("https://www.uniprot.org/uniprotkb/P0C091/entry", "P0C091")</f>
        <v/>
      </c>
      <c r="F3445" t="n">
        <v>25.9</v>
      </c>
      <c r="G3445" t="n">
        <v>482</v>
      </c>
      <c r="H3445" t="n">
        <v>2.89e-34</v>
      </c>
      <c r="I3445" t="inlineStr">
        <is>
          <t>Swiss-Prot</t>
        </is>
      </c>
      <c r="J3445" t="inlineStr">
        <is>
          <t>FREM3</t>
        </is>
      </c>
      <c r="K3445" t="inlineStr">
        <is>
          <t>FREM3_HUMAN</t>
        </is>
      </c>
      <c r="L3445" t="inlineStr">
        <is>
          <t>sp|P0C091|FREM3_HUMAN FRAS1-related extracellular matrix protein 3 OS=Homo sapiens OX=9606 GN=FREM3 PE=3 SV=2</t>
        </is>
      </c>
      <c r="M3445" t="n">
        <v>2139</v>
      </c>
      <c r="N3445" t="inlineStr">
        <is>
          <t>Homo sapiens</t>
        </is>
      </c>
      <c r="O3445" t="inlineStr">
        <is>
          <t>FRAS1-related extracellular matrix protein 3</t>
        </is>
      </c>
    </row>
    <row r="3446">
      <c r="A3446" t="inlineStr"/>
      <c r="B3446" t="inlineStr"/>
      <c r="C3446" t="inlineStr"/>
      <c r="D3446" t="inlineStr"/>
      <c r="E3446">
        <f>HYPERLINK("https://www.uniprot.org/uniprotkb/Q9NZV1/entry", "Q9NZV1")</f>
        <v/>
      </c>
      <c r="F3446" t="n">
        <v>23.9</v>
      </c>
      <c r="G3446" t="n">
        <v>578</v>
      </c>
      <c r="H3446" t="n">
        <v>1.2e-32</v>
      </c>
      <c r="I3446" t="inlineStr">
        <is>
          <t>Swiss-Prot</t>
        </is>
      </c>
      <c r="J3446" t="inlineStr">
        <is>
          <t>CRIM1</t>
        </is>
      </c>
      <c r="K3446" t="inlineStr">
        <is>
          <t>CRIM1_HUMAN</t>
        </is>
      </c>
      <c r="L3446" t="inlineStr">
        <is>
          <t>sp|Q9NZV1|CRIM1_HUMAN Cysteine-rich motor neuron 1 protein OS=Homo sapiens OX=9606 GN=CRIM1 PE=1 SV=1</t>
        </is>
      </c>
      <c r="M3446" t="n">
        <v>1036</v>
      </c>
      <c r="N3446" t="inlineStr">
        <is>
          <t>Homo sapiens</t>
        </is>
      </c>
      <c r="O3446" t="inlineStr">
        <is>
          <t>Cysteine-rich motor neuron 1 protein</t>
        </is>
      </c>
    </row>
    <row r="3447">
      <c r="A3447" t="inlineStr"/>
      <c r="B3447" t="inlineStr"/>
      <c r="C3447" t="inlineStr"/>
      <c r="D3447" t="inlineStr"/>
      <c r="E3447">
        <f>HYPERLINK("https://www.uniprot.org/uniprotkb/Q9JLL0/entry", "Q9JLL0")</f>
        <v/>
      </c>
      <c r="F3447" t="n">
        <v>23.1</v>
      </c>
      <c r="G3447" t="n">
        <v>571</v>
      </c>
      <c r="H3447" t="n">
        <v>8.17e-32</v>
      </c>
      <c r="I3447" t="inlineStr">
        <is>
          <t>Swiss-Prot</t>
        </is>
      </c>
      <c r="J3447" t="inlineStr">
        <is>
          <t>Crim1</t>
        </is>
      </c>
      <c r="K3447" t="inlineStr">
        <is>
          <t>CRIM1_MOUSE</t>
        </is>
      </c>
      <c r="L3447" t="inlineStr">
        <is>
          <t>sp|Q9JLL0|CRIM1_MOUSE Cysteine-rich motor neuron 1 protein OS=Mus musculus OX=10090 GN=Crim1 PE=2 SV=2</t>
        </is>
      </c>
      <c r="M3447" t="n">
        <v>1037</v>
      </c>
      <c r="N3447" t="inlineStr">
        <is>
          <t>Mus musculus</t>
        </is>
      </c>
      <c r="O3447" t="inlineStr">
        <is>
          <t>Cysteine-rich motor neuron 1 protein</t>
        </is>
      </c>
    </row>
    <row r="3448">
      <c r="A3448" t="inlineStr"/>
      <c r="B3448" t="inlineStr"/>
      <c r="C3448" t="inlineStr"/>
      <c r="D3448" t="inlineStr"/>
      <c r="E3448">
        <f>HYPERLINK("https://www.uniprot.org/uniprotkb/Q8AWW5/entry", "Q8AWW5")</f>
        <v/>
      </c>
      <c r="F3448" t="n">
        <v>28.7</v>
      </c>
      <c r="G3448" t="n">
        <v>275</v>
      </c>
      <c r="H3448" t="n">
        <v>2.2e-30</v>
      </c>
      <c r="I3448" t="inlineStr">
        <is>
          <t>Swiss-Prot</t>
        </is>
      </c>
      <c r="J3448" t="inlineStr">
        <is>
          <t>CRIM1</t>
        </is>
      </c>
      <c r="K3448" t="inlineStr">
        <is>
          <t>CRIM1_CHICK</t>
        </is>
      </c>
      <c r="L3448" t="inlineStr">
        <is>
          <t>sp|Q8AWW5|CRIM1_CHICK Cysteine-rich motor neuron 1 protein OS=Gallus gallus OX=9031 GN=CRIM1 PE=2 SV=1</t>
        </is>
      </c>
      <c r="M3448" t="n">
        <v>1048</v>
      </c>
      <c r="N3448" t="inlineStr">
        <is>
          <t>Gallus gallus</t>
        </is>
      </c>
      <c r="O3448" t="inlineStr">
        <is>
          <t>Cysteine-rich motor neuron 1 protein</t>
        </is>
      </c>
    </row>
    <row r="3449">
      <c r="A3449" t="inlineStr"/>
      <c r="B3449" t="inlineStr"/>
      <c r="C3449" t="inlineStr"/>
      <c r="D3449" t="inlineStr"/>
      <c r="E3449">
        <f>HYPERLINK("https://www.uniprot.org/uniprotkb/Q8N8U9/entry", "Q8N8U9")</f>
        <v/>
      </c>
      <c r="F3449" t="n">
        <v>27.2</v>
      </c>
      <c r="G3449" t="n">
        <v>334</v>
      </c>
      <c r="H3449" t="n">
        <v>2.1e-28</v>
      </c>
      <c r="I3449" t="inlineStr">
        <is>
          <t>Swiss-Prot</t>
        </is>
      </c>
      <c r="J3449" t="inlineStr">
        <is>
          <t>BMPER</t>
        </is>
      </c>
      <c r="K3449" t="inlineStr">
        <is>
          <t>BMPER_HUMAN</t>
        </is>
      </c>
      <c r="L3449" t="inlineStr">
        <is>
          <t>sp|Q8N8U9|BMPER_HUMAN BMP-binding endothelial regulator protein OS=Homo sapiens OX=9606 GN=BMPER PE=1 SV=3</t>
        </is>
      </c>
      <c r="M3449" t="n">
        <v>685</v>
      </c>
      <c r="N3449" t="inlineStr">
        <is>
          <t>Homo sapiens</t>
        </is>
      </c>
      <c r="O3449" t="inlineStr">
        <is>
          <t>BMP-binding endothelial regulator protein</t>
        </is>
      </c>
    </row>
    <row r="3450">
      <c r="A3450" t="inlineStr"/>
      <c r="B3450" t="inlineStr"/>
      <c r="C3450" t="inlineStr"/>
      <c r="D3450" t="inlineStr"/>
      <c r="E3450">
        <f>HYPERLINK("https://www.uniprot.org/uniprotkb/Q9GV77/entry", "Q9GV77")</f>
        <v/>
      </c>
      <c r="F3450" t="n">
        <v>24.9</v>
      </c>
      <c r="G3450" t="n">
        <v>442</v>
      </c>
      <c r="H3450" t="n">
        <v>1.57e-27</v>
      </c>
      <c r="I3450" t="inlineStr">
        <is>
          <t>Swiss-Prot</t>
        </is>
      </c>
      <c r="J3450" t="inlineStr">
        <is>
          <t>ECM3</t>
        </is>
      </c>
      <c r="K3450" t="inlineStr">
        <is>
          <t>FREM2_LYTVA</t>
        </is>
      </c>
      <c r="L3450" t="inlineStr">
        <is>
          <t>sp|Q9GV77|FREM2_LYTVA Extracellular matrix protein 3 OS=Lytechinus variegatus OX=7654 GN=ECM3 PE=1 SV=1</t>
        </is>
      </c>
      <c r="M3450" t="n">
        <v>3103</v>
      </c>
      <c r="N3450" t="inlineStr">
        <is>
          <t>Lytechinus variegatus</t>
        </is>
      </c>
      <c r="O3450" t="inlineStr">
        <is>
          <t>Extracellular matrix protein 3</t>
        </is>
      </c>
    </row>
    <row r="3451">
      <c r="A3451" t="inlineStr"/>
      <c r="B3451" t="inlineStr"/>
      <c r="C3451" t="inlineStr"/>
      <c r="D3451" t="inlineStr"/>
      <c r="E3451">
        <f>HYPERLINK("https://www.uniprot.org/uniprotkb/Q7T3Q2/entry", "Q7T3Q2")</f>
        <v/>
      </c>
      <c r="F3451" t="n">
        <v>27.6</v>
      </c>
      <c r="G3451" t="n">
        <v>290</v>
      </c>
      <c r="H3451" t="n">
        <v>3.4e-27</v>
      </c>
      <c r="I3451" t="inlineStr">
        <is>
          <t>Swiss-Prot</t>
        </is>
      </c>
      <c r="J3451" t="inlineStr">
        <is>
          <t>crim1</t>
        </is>
      </c>
      <c r="K3451" t="inlineStr">
        <is>
          <t>CRIM1_DANRE</t>
        </is>
      </c>
      <c r="L3451" t="inlineStr">
        <is>
          <t>sp|Q7T3Q2|CRIM1_DANRE Cysteine-rich motor neuron 1 protein OS=Danio rerio OX=7955 GN=crim1 PE=2 SV=1</t>
        </is>
      </c>
      <c r="M3451" t="n">
        <v>1027</v>
      </c>
      <c r="N3451" t="inlineStr">
        <is>
          <t>Danio rerio</t>
        </is>
      </c>
      <c r="O3451" t="inlineStr">
        <is>
          <t>Cysteine-rich motor neuron 1 protein</t>
        </is>
      </c>
    </row>
    <row r="3452">
      <c r="A3452" t="inlineStr"/>
      <c r="B3452" t="inlineStr"/>
      <c r="C3452" t="inlineStr"/>
      <c r="D3452" t="inlineStr"/>
      <c r="E3452">
        <f>HYPERLINK("https://www.uniprot.org/uniprotkb/Q8CJ69/entry", "Q8CJ69")</f>
        <v/>
      </c>
      <c r="F3452" t="n">
        <v>26</v>
      </c>
      <c r="G3452" t="n">
        <v>338</v>
      </c>
      <c r="H3452" t="n">
        <v>2.46e-26</v>
      </c>
      <c r="I3452" t="inlineStr">
        <is>
          <t>Swiss-Prot</t>
        </is>
      </c>
      <c r="J3452" t="inlineStr">
        <is>
          <t>Bmper</t>
        </is>
      </c>
      <c r="K3452" t="inlineStr">
        <is>
          <t>BMPER_MOUSE</t>
        </is>
      </c>
      <c r="L3452" t="inlineStr">
        <is>
          <t>sp|Q8CJ69|BMPER_MOUSE BMP-binding endothelial regulator protein OS=Mus musculus OX=10090 GN=Bmper PE=1 SV=1</t>
        </is>
      </c>
      <c r="M3452" t="n">
        <v>685</v>
      </c>
      <c r="N3452" t="inlineStr">
        <is>
          <t>Mus musculus</t>
        </is>
      </c>
      <c r="O3452" t="inlineStr">
        <is>
          <t>BMP-binding endothelial regulator protein</t>
        </is>
      </c>
    </row>
    <row r="3453">
      <c r="A3453" t="inlineStr"/>
      <c r="B3453" t="inlineStr"/>
      <c r="C3453" t="inlineStr"/>
      <c r="D3453" t="inlineStr"/>
      <c r="E3453">
        <f>HYPERLINK("https://www.uniprot.org/uniprotkb/Q5H8B9/entry", "Q5H8B9")</f>
        <v/>
      </c>
      <c r="F3453" t="n">
        <v>25.3</v>
      </c>
      <c r="G3453" t="n">
        <v>463</v>
      </c>
      <c r="H3453" t="n">
        <v>2.75e-26</v>
      </c>
      <c r="I3453" t="inlineStr">
        <is>
          <t>Swiss-Prot</t>
        </is>
      </c>
      <c r="J3453" t="inlineStr">
        <is>
          <t>Frem3</t>
        </is>
      </c>
      <c r="K3453" t="inlineStr">
        <is>
          <t>FREM3_MOUSE</t>
        </is>
      </c>
      <c r="L3453" t="inlineStr">
        <is>
          <t>sp|Q5H8B9|FREM3_MOUSE FRAS1-related extracellular matrix protein 3 OS=Mus musculus OX=10090 GN=Frem3 PE=2 SV=2</t>
        </is>
      </c>
      <c r="M3453" t="n">
        <v>2123</v>
      </c>
      <c r="N3453" t="inlineStr">
        <is>
          <t>Mus musculus</t>
        </is>
      </c>
      <c r="O3453" t="inlineStr">
        <is>
          <t>FRAS1-related extracellular matrix protein 3</t>
        </is>
      </c>
    </row>
    <row r="3454">
      <c r="A3454" t="inlineStr"/>
      <c r="B3454" t="inlineStr"/>
      <c r="C3454" t="inlineStr"/>
      <c r="D3454" t="inlineStr"/>
      <c r="E3454">
        <f>HYPERLINK("https://www.uniprot.org/uniprotkb/Q6NVD0/entry", "Q6NVD0")</f>
        <v/>
      </c>
      <c r="F3454" t="n">
        <v>26.9</v>
      </c>
      <c r="G3454" t="n">
        <v>449</v>
      </c>
      <c r="H3454" t="n">
        <v>1.97e-23</v>
      </c>
      <c r="I3454" t="inlineStr">
        <is>
          <t>Swiss-Prot</t>
        </is>
      </c>
      <c r="J3454" t="inlineStr">
        <is>
          <t>Frem2</t>
        </is>
      </c>
      <c r="K3454" t="inlineStr">
        <is>
          <t>FREM2_MOUSE</t>
        </is>
      </c>
      <c r="L3454" t="inlineStr">
        <is>
          <t>sp|Q6NVD0|FREM2_MOUSE FRAS1-related extracellular matrix protein 2 OS=Mus musculus OX=10090 GN=Frem2 PE=1 SV=2</t>
        </is>
      </c>
      <c r="M3454" t="n">
        <v>3160</v>
      </c>
      <c r="N3454" t="inlineStr">
        <is>
          <t>Mus musculus</t>
        </is>
      </c>
      <c r="O3454" t="inlineStr">
        <is>
          <t>FRAS1-related extracellular matrix protein 2</t>
        </is>
      </c>
    </row>
    <row r="3455">
      <c r="A3455" t="inlineStr"/>
      <c r="B3455" t="inlineStr"/>
      <c r="C3455" t="inlineStr"/>
      <c r="D3455" t="inlineStr"/>
      <c r="E3455">
        <f>HYPERLINK("https://www.uniprot.org/uniprotkb/Q5H8C1/entry", "Q5H8C1")</f>
        <v/>
      </c>
      <c r="F3455" t="n">
        <v>24.8</v>
      </c>
      <c r="G3455" t="n">
        <v>444</v>
      </c>
      <c r="H3455" t="n">
        <v>9.119999999999999e-23</v>
      </c>
      <c r="I3455" t="inlineStr">
        <is>
          <t>Swiss-Prot</t>
        </is>
      </c>
      <c r="J3455" t="inlineStr">
        <is>
          <t>FREM1</t>
        </is>
      </c>
      <c r="K3455" t="inlineStr">
        <is>
          <t>FREM1_HUMAN</t>
        </is>
      </c>
      <c r="L3455" t="inlineStr">
        <is>
          <t>sp|Q5H8C1|FREM1_HUMAN FRAS1-related extracellular matrix protein 1 OS=Homo sapiens OX=9606 GN=FREM1 PE=1 SV=3</t>
        </is>
      </c>
      <c r="M3455" t="n">
        <v>2179</v>
      </c>
      <c r="N3455" t="inlineStr">
        <is>
          <t>Homo sapiens</t>
        </is>
      </c>
      <c r="O3455" t="inlineStr">
        <is>
          <t>FRAS1-related extracellular matrix protein 1</t>
        </is>
      </c>
    </row>
    <row r="3456">
      <c r="A3456" t="inlineStr"/>
      <c r="B3456" t="inlineStr"/>
      <c r="C3456" t="inlineStr"/>
      <c r="D3456" t="inlineStr"/>
      <c r="E3456">
        <f>HYPERLINK("https://www.uniprot.org/uniprotkb/Q684R7/entry", "Q684R7")</f>
        <v/>
      </c>
      <c r="F3456" t="n">
        <v>25.9</v>
      </c>
      <c r="G3456" t="n">
        <v>394</v>
      </c>
      <c r="H3456" t="n">
        <v>7.91e-22</v>
      </c>
      <c r="I3456" t="inlineStr">
        <is>
          <t>Swiss-Prot</t>
        </is>
      </c>
      <c r="J3456" t="inlineStr">
        <is>
          <t>Frem1</t>
        </is>
      </c>
      <c r="K3456" t="inlineStr">
        <is>
          <t>FREM1_MOUSE</t>
        </is>
      </c>
      <c r="L3456" t="inlineStr">
        <is>
          <t>sp|Q684R7|FREM1_MOUSE FRAS1-related extracellular matrix protein 1 OS=Mus musculus OX=10090 GN=Frem1 PE=1 SV=1</t>
        </is>
      </c>
      <c r="M3456" t="n">
        <v>2191</v>
      </c>
      <c r="N3456" t="inlineStr">
        <is>
          <t>Mus musculus</t>
        </is>
      </c>
      <c r="O3456" t="inlineStr">
        <is>
          <t>FRAS1-related extracellular matrix protein 1</t>
        </is>
      </c>
    </row>
    <row r="3457">
      <c r="A3457" t="inlineStr"/>
      <c r="B3457" t="inlineStr"/>
      <c r="C3457" t="inlineStr"/>
      <c r="D3457" t="inlineStr"/>
      <c r="E3457">
        <f>HYPERLINK("https://www.uniprot.org/uniprotkb/Q5SZK8/entry", "Q5SZK8")</f>
        <v/>
      </c>
      <c r="F3457" t="n">
        <v>26.4</v>
      </c>
      <c r="G3457" t="n">
        <v>363</v>
      </c>
      <c r="H3457" t="n">
        <v>2.17e-20</v>
      </c>
      <c r="I3457" t="inlineStr">
        <is>
          <t>Swiss-Prot</t>
        </is>
      </c>
      <c r="J3457" t="inlineStr">
        <is>
          <t>FREM2</t>
        </is>
      </c>
      <c r="K3457" t="inlineStr">
        <is>
          <t>FREM2_HUMAN</t>
        </is>
      </c>
      <c r="L3457" t="inlineStr">
        <is>
          <t>sp|Q5SZK8|FREM2_HUMAN FRAS1-related extracellular matrix protein 2 OS=Homo sapiens OX=9606 GN=FREM2 PE=1 SV=3</t>
        </is>
      </c>
      <c r="M3457" t="n">
        <v>3169</v>
      </c>
      <c r="N3457" t="inlineStr">
        <is>
          <t>Homo sapiens</t>
        </is>
      </c>
      <c r="O3457" t="inlineStr">
        <is>
          <t>FRAS1-related extracellular matrix protein 2</t>
        </is>
      </c>
    </row>
    <row r="3458">
      <c r="A3458" t="inlineStr"/>
      <c r="B3458" t="inlineStr"/>
      <c r="C3458" t="inlineStr"/>
      <c r="D3458" t="inlineStr"/>
      <c r="E3458">
        <f>HYPERLINK("https://www.uniprot.org/uniprotkb/Q6UVK1/entry", "Q6UVK1")</f>
        <v/>
      </c>
      <c r="F3458" t="n">
        <v>24.9</v>
      </c>
      <c r="G3458" t="n">
        <v>417</v>
      </c>
      <c r="H3458" t="n">
        <v>2.31e-19</v>
      </c>
      <c r="I3458" t="inlineStr">
        <is>
          <t>Swiss-Prot</t>
        </is>
      </c>
      <c r="J3458" t="inlineStr">
        <is>
          <t>CSPG4</t>
        </is>
      </c>
      <c r="K3458" t="inlineStr">
        <is>
          <t>CSPG4_HUMAN</t>
        </is>
      </c>
      <c r="L3458" t="inlineStr">
        <is>
          <t>sp|Q6UVK1|CSPG4_HUMAN Chondroitin sulfate proteoglycan 4 OS=Homo sapiens OX=9606 GN=CSPG4 PE=1 SV=2</t>
        </is>
      </c>
      <c r="M3458" t="n">
        <v>2322</v>
      </c>
      <c r="N3458" t="inlineStr">
        <is>
          <t>Homo sapiens</t>
        </is>
      </c>
      <c r="O3458" t="inlineStr">
        <is>
          <t>Chondroitin sulfate proteoglycan 4</t>
        </is>
      </c>
    </row>
    <row r="3459">
      <c r="A3459" t="inlineStr"/>
      <c r="B3459" t="inlineStr"/>
      <c r="C3459" t="inlineStr"/>
      <c r="D3459" t="inlineStr"/>
      <c r="E3459">
        <f>HYPERLINK("https://www.uniprot.org/uniprotkb/Q00657/entry", "Q00657")</f>
        <v/>
      </c>
      <c r="F3459" t="n">
        <v>24.9</v>
      </c>
      <c r="G3459" t="n">
        <v>422</v>
      </c>
      <c r="H3459" t="n">
        <v>8.72e-17</v>
      </c>
      <c r="I3459" t="inlineStr">
        <is>
          <t>Swiss-Prot</t>
        </is>
      </c>
      <c r="J3459" t="inlineStr">
        <is>
          <t>Cspg4</t>
        </is>
      </c>
      <c r="K3459" t="inlineStr">
        <is>
          <t>CSPG4_RAT</t>
        </is>
      </c>
      <c r="L3459" t="inlineStr">
        <is>
          <t>sp|Q00657|CSPG4_RAT Chondroitin sulfate proteoglycan 4 OS=Rattus norvegicus OX=10116 GN=Cspg4 PE=1 SV=2</t>
        </is>
      </c>
      <c r="M3459" t="n">
        <v>2326</v>
      </c>
      <c r="N3459" t="inlineStr">
        <is>
          <t>Rattus norvegicus</t>
        </is>
      </c>
      <c r="O3459" t="inlineStr">
        <is>
          <t>Chondroitin sulfate proteoglycan 4</t>
        </is>
      </c>
    </row>
    <row r="3460">
      <c r="A3460" t="inlineStr"/>
      <c r="B3460" t="inlineStr"/>
      <c r="C3460" t="inlineStr"/>
      <c r="D3460" t="inlineStr"/>
      <c r="E3460">
        <f>HYPERLINK("https://www.uniprot.org/uniprotkb/Q92832/entry", "Q92832")</f>
        <v/>
      </c>
      <c r="F3460" t="n">
        <v>31.6</v>
      </c>
      <c r="G3460" t="n">
        <v>190</v>
      </c>
      <c r="H3460" t="n">
        <v>3.66e-16</v>
      </c>
      <c r="I3460" t="inlineStr">
        <is>
          <t>Swiss-Prot</t>
        </is>
      </c>
      <c r="J3460" t="inlineStr">
        <is>
          <t>NELL1</t>
        </is>
      </c>
      <c r="K3460" t="inlineStr">
        <is>
          <t>NELL1_HUMAN</t>
        </is>
      </c>
      <c r="L3460" t="inlineStr">
        <is>
          <t>sp|Q92832|NELL1_HUMAN Protein kinase C-binding protein NELL1 OS=Homo sapiens OX=9606 GN=NELL1 PE=1 SV=4</t>
        </is>
      </c>
      <c r="M3460" t="n">
        <v>810</v>
      </c>
      <c r="N3460" t="inlineStr">
        <is>
          <t>Homo sapiens</t>
        </is>
      </c>
      <c r="O3460" t="inlineStr">
        <is>
          <t>Protein kinase C-binding protein NELL1</t>
        </is>
      </c>
    </row>
    <row r="3461">
      <c r="A3461" t="inlineStr"/>
      <c r="B3461" t="inlineStr"/>
      <c r="C3461" t="inlineStr"/>
      <c r="D3461" t="inlineStr"/>
      <c r="E3461">
        <f>HYPERLINK("https://www.uniprot.org/uniprotkb/Q8VHY0/entry", "Q8VHY0")</f>
        <v/>
      </c>
      <c r="F3461" t="n">
        <v>24</v>
      </c>
      <c r="G3461" t="n">
        <v>455</v>
      </c>
      <c r="H3461" t="n">
        <v>7.54e-16</v>
      </c>
      <c r="I3461" t="inlineStr">
        <is>
          <t>Swiss-Prot</t>
        </is>
      </c>
      <c r="J3461" t="inlineStr">
        <is>
          <t>Cspg4</t>
        </is>
      </c>
      <c r="K3461" t="inlineStr">
        <is>
          <t>CSPG4_MOUSE</t>
        </is>
      </c>
      <c r="L3461" t="inlineStr">
        <is>
          <t>sp|Q8VHY0|CSPG4_MOUSE Chondroitin sulfate proteoglycan 4 OS=Mus musculus OX=10090 GN=Cspg4 PE=1 SV=3</t>
        </is>
      </c>
      <c r="M3461" t="n">
        <v>2327</v>
      </c>
      <c r="N3461" t="inlineStr">
        <is>
          <t>Mus musculus</t>
        </is>
      </c>
      <c r="O3461" t="inlineStr">
        <is>
          <t>Chondroitin sulfate proteoglycan 4</t>
        </is>
      </c>
    </row>
    <row r="3462">
      <c r="A3462" t="inlineStr"/>
      <c r="B3462" t="inlineStr"/>
      <c r="C3462" t="inlineStr"/>
      <c r="D3462" t="inlineStr"/>
      <c r="E3462">
        <f>HYPERLINK("https://www.uniprot.org/uniprotkb/Q7ZXL5/entry", "Q7ZXL5")</f>
        <v/>
      </c>
      <c r="F3462" t="n">
        <v>20.9</v>
      </c>
      <c r="G3462" t="n">
        <v>588</v>
      </c>
      <c r="H3462" t="n">
        <v>2.48e-15</v>
      </c>
      <c r="I3462" t="inlineStr">
        <is>
          <t>Swiss-Prot</t>
        </is>
      </c>
      <c r="J3462" t="inlineStr">
        <is>
          <t>nell2</t>
        </is>
      </c>
      <c r="K3462" t="inlineStr">
        <is>
          <t>NELL2_XENLA</t>
        </is>
      </c>
      <c r="L3462" t="inlineStr">
        <is>
          <t>sp|Q7ZXL5|NELL2_XENLA Protein kinase C-binding protein NELL2 OS=Xenopus laevis OX=8355 GN=nell2 PE=2 SV=1</t>
        </is>
      </c>
      <c r="M3462" t="n">
        <v>814</v>
      </c>
      <c r="N3462" t="inlineStr">
        <is>
          <t>Xenopus laevis</t>
        </is>
      </c>
      <c r="O3462" t="inlineStr">
        <is>
          <t>Protein kinase C-binding protein NELL2</t>
        </is>
      </c>
    </row>
    <row r="3463">
      <c r="A3463" t="inlineStr"/>
      <c r="B3463" t="inlineStr"/>
      <c r="C3463" t="inlineStr"/>
      <c r="D3463" t="inlineStr"/>
      <c r="E3463">
        <f>HYPERLINK("https://www.uniprot.org/uniprotkb/Q8WXG9/entry", "Q8WXG9")</f>
        <v/>
      </c>
      <c r="F3463" t="n">
        <v>26.8</v>
      </c>
      <c r="G3463" t="n">
        <v>388</v>
      </c>
      <c r="H3463" t="n">
        <v>2.58e-13</v>
      </c>
      <c r="I3463" t="inlineStr">
        <is>
          <t>Swiss-Prot</t>
        </is>
      </c>
      <c r="J3463" t="inlineStr">
        <is>
          <t>ADGRV1</t>
        </is>
      </c>
      <c r="K3463" t="inlineStr">
        <is>
          <t>AGRV1_HUMAN</t>
        </is>
      </c>
      <c r="L3463" t="inlineStr">
        <is>
          <t>sp|Q8WXG9|AGRV1_HUMAN Adhesion G-protein coupled receptor V1 OS=Homo sapiens OX=9606 GN=ADGRV1 PE=1 SV=2</t>
        </is>
      </c>
      <c r="M3463" t="n">
        <v>6306</v>
      </c>
      <c r="N3463" t="inlineStr">
        <is>
          <t>Homo sapiens</t>
        </is>
      </c>
      <c r="O3463" t="inlineStr">
        <is>
          <t>Adhesion G-protein coupled receptor V1</t>
        </is>
      </c>
    </row>
    <row r="3464">
      <c r="A3464" t="inlineStr"/>
      <c r="B3464" t="inlineStr"/>
      <c r="C3464" t="inlineStr"/>
      <c r="D3464" t="inlineStr"/>
      <c r="E3464">
        <f>HYPERLINK("https://www.uniprot.org/uniprotkb/Q6JAN0/entry", "Q6JAN0")</f>
        <v/>
      </c>
      <c r="F3464" t="n">
        <v>25.4</v>
      </c>
      <c r="G3464" t="n">
        <v>374</v>
      </c>
      <c r="H3464" t="n">
        <v>2.22e-12</v>
      </c>
      <c r="I3464" t="inlineStr">
        <is>
          <t>Swiss-Prot</t>
        </is>
      </c>
      <c r="J3464" t="inlineStr">
        <is>
          <t>adgrv1</t>
        </is>
      </c>
      <c r="K3464" t="inlineStr">
        <is>
          <t>AGRV1_DANRE</t>
        </is>
      </c>
      <c r="L3464" t="inlineStr">
        <is>
          <t>sp|Q6JAN0|AGRV1_DANRE Adhesion G-protein coupled receptor V1 OS=Danio rerio OX=7955 GN=adgrv1 PE=2 SV=1</t>
        </is>
      </c>
      <c r="M3464" t="n">
        <v>6199</v>
      </c>
      <c r="N3464" t="inlineStr">
        <is>
          <t>Danio rerio</t>
        </is>
      </c>
      <c r="O3464" t="inlineStr">
        <is>
          <t>Adhesion G-protein coupled receptor V1</t>
        </is>
      </c>
    </row>
    <row r="3465">
      <c r="A3465" t="inlineStr"/>
      <c r="B3465" t="inlineStr"/>
      <c r="C3465" t="inlineStr"/>
      <c r="D3465" t="inlineStr"/>
      <c r="E3465">
        <f>HYPERLINK("https://www.uniprot.org/uniprotkb/Q8VHN7/entry", "Q8VHN7")</f>
        <v/>
      </c>
      <c r="F3465" t="n">
        <v>26</v>
      </c>
      <c r="G3465" t="n">
        <v>392</v>
      </c>
      <c r="H3465" t="n">
        <v>1.12e-11</v>
      </c>
      <c r="I3465" t="inlineStr">
        <is>
          <t>Swiss-Prot</t>
        </is>
      </c>
      <c r="J3465" t="inlineStr">
        <is>
          <t>Adgrv1</t>
        </is>
      </c>
      <c r="K3465" t="inlineStr">
        <is>
          <t>AGRV1_MOUSE</t>
        </is>
      </c>
      <c r="L3465" t="inlineStr">
        <is>
          <t>sp|Q8VHN7|AGRV1_MOUSE Adhesion G-protein coupled receptor V1 OS=Mus musculus OX=10090 GN=Adgrv1 PE=1 SV=1</t>
        </is>
      </c>
      <c r="M3465" t="n">
        <v>6298</v>
      </c>
      <c r="N3465" t="inlineStr">
        <is>
          <t>Mus musculus</t>
        </is>
      </c>
      <c r="O3465" t="inlineStr">
        <is>
          <t>Adhesion G-protein coupled receptor V1</t>
        </is>
      </c>
    </row>
    <row r="3466">
      <c r="A3466" t="inlineStr"/>
      <c r="B3466" t="inlineStr"/>
      <c r="C3466" t="inlineStr"/>
      <c r="D3466" t="inlineStr"/>
      <c r="E3466">
        <f>HYPERLINK("https://www.uniprot.org/uniprotkb/P23685/entry", "P23685")</f>
        <v/>
      </c>
      <c r="F3466" t="n">
        <v>27.8</v>
      </c>
      <c r="G3466" t="n">
        <v>234</v>
      </c>
      <c r="H3466" t="n">
        <v>1.59e-10</v>
      </c>
      <c r="I3466" t="inlineStr">
        <is>
          <t>Swiss-Prot</t>
        </is>
      </c>
      <c r="J3466" t="inlineStr">
        <is>
          <t>SLC8A1</t>
        </is>
      </c>
      <c r="K3466" t="inlineStr">
        <is>
          <t>NAC1_CANLF</t>
        </is>
      </c>
      <c r="L3466" t="inlineStr">
        <is>
          <t>sp|P23685|NAC1_CANLF Sodium/calcium exchanger 1 OS=Canis lupus familiaris OX=9615 GN=SLC8A1 PE=1 SV=1</t>
        </is>
      </c>
      <c r="M3466" t="n">
        <v>970</v>
      </c>
      <c r="N3466" t="inlineStr">
        <is>
          <t>Canis lupus familiaris</t>
        </is>
      </c>
      <c r="O3466" t="inlineStr">
        <is>
          <t>Sodium/calcium exchanger 1</t>
        </is>
      </c>
    </row>
    <row r="3467">
      <c r="A3467" t="inlineStr"/>
      <c r="B3467" t="inlineStr"/>
      <c r="C3467" t="inlineStr"/>
      <c r="D3467" t="inlineStr"/>
      <c r="E3467">
        <f>HYPERLINK("https://www.uniprot.org/uniprotkb/Q01728/entry", "Q01728")</f>
        <v/>
      </c>
      <c r="F3467" t="n">
        <v>27.7</v>
      </c>
      <c r="G3467" t="n">
        <v>242</v>
      </c>
      <c r="H3467" t="n">
        <v>2.74e-10</v>
      </c>
      <c r="I3467" t="inlineStr">
        <is>
          <t>Swiss-Prot</t>
        </is>
      </c>
      <c r="J3467" t="inlineStr">
        <is>
          <t>Slc8a1</t>
        </is>
      </c>
      <c r="K3467" t="inlineStr">
        <is>
          <t>NAC1_RAT</t>
        </is>
      </c>
      <c r="L3467" t="inlineStr">
        <is>
          <t>sp|Q01728|NAC1_RAT Sodium/calcium exchanger 1 OS=Rattus norvegicus OX=10116 GN=Slc8a1 PE=1 SV=3</t>
        </is>
      </c>
      <c r="M3467" t="n">
        <v>971</v>
      </c>
      <c r="N3467" t="inlineStr">
        <is>
          <t>Rattus norvegicus</t>
        </is>
      </c>
      <c r="O3467" t="inlineStr">
        <is>
          <t>Sodium/calcium exchanger 1</t>
        </is>
      </c>
    </row>
    <row r="3468">
      <c r="A3468" t="inlineStr"/>
      <c r="B3468" t="inlineStr"/>
      <c r="C3468" t="inlineStr"/>
      <c r="D3468" t="inlineStr"/>
      <c r="E3468">
        <f>HYPERLINK("https://www.uniprot.org/uniprotkb/P70414/entry", "P70414")</f>
        <v/>
      </c>
      <c r="F3468" t="n">
        <v>27.7</v>
      </c>
      <c r="G3468" t="n">
        <v>242</v>
      </c>
      <c r="H3468" t="n">
        <v>3.59e-10</v>
      </c>
      <c r="I3468" t="inlineStr">
        <is>
          <t>Swiss-Prot</t>
        </is>
      </c>
      <c r="J3468" t="inlineStr">
        <is>
          <t>Slc8a1</t>
        </is>
      </c>
      <c r="K3468" t="inlineStr">
        <is>
          <t>NAC1_MOUSE</t>
        </is>
      </c>
      <c r="L3468" t="inlineStr">
        <is>
          <t>sp|P70414|NAC1_MOUSE Sodium/calcium exchanger 1 OS=Mus musculus OX=10090 GN=Slc8a1 PE=1 SV=1</t>
        </is>
      </c>
      <c r="M3468" t="n">
        <v>970</v>
      </c>
      <c r="N3468" t="inlineStr">
        <is>
          <t>Mus musculus</t>
        </is>
      </c>
      <c r="O3468" t="inlineStr">
        <is>
          <t>Sodium/calcium exchanger 1</t>
        </is>
      </c>
    </row>
    <row r="3469">
      <c r="A3469" t="inlineStr"/>
      <c r="B3469" t="inlineStr"/>
      <c r="C3469" t="inlineStr"/>
      <c r="D3469" t="inlineStr"/>
      <c r="E3469">
        <f>HYPERLINK("https://www.uniprot.org/uniprotkb/P48765/entry", "P48765")</f>
        <v/>
      </c>
      <c r="F3469" t="n">
        <v>27.4</v>
      </c>
      <c r="G3469" t="n">
        <v>234</v>
      </c>
      <c r="H3469" t="n">
        <v>4.71e-10</v>
      </c>
      <c r="I3469" t="inlineStr">
        <is>
          <t>Swiss-Prot</t>
        </is>
      </c>
      <c r="J3469" t="inlineStr">
        <is>
          <t>SLC8A1</t>
        </is>
      </c>
      <c r="K3469" t="inlineStr">
        <is>
          <t>NAC1_BOVIN</t>
        </is>
      </c>
      <c r="L3469" t="inlineStr">
        <is>
          <t>sp|P48765|NAC1_BOVIN Sodium/calcium exchanger 1 OS=Bos taurus OX=9913 GN=SLC8A1 PE=1 SV=1</t>
        </is>
      </c>
      <c r="M3469" t="n">
        <v>970</v>
      </c>
      <c r="N3469" t="inlineStr">
        <is>
          <t>Bos taurus</t>
        </is>
      </c>
      <c r="O3469" t="inlineStr">
        <is>
          <t>Sodium/calcium exchanger 1</t>
        </is>
      </c>
    </row>
    <row r="3470">
      <c r="A3470" t="inlineStr"/>
      <c r="B3470" t="inlineStr"/>
      <c r="C3470" t="inlineStr"/>
      <c r="D3470" t="inlineStr"/>
      <c r="E3470">
        <f>HYPERLINK("https://www.uniprot.org/uniprotkb/P48766/entry", "P48766")</f>
        <v/>
      </c>
      <c r="F3470" t="n">
        <v>27.4</v>
      </c>
      <c r="G3470" t="n">
        <v>234</v>
      </c>
      <c r="H3470" t="n">
        <v>4.71e-10</v>
      </c>
      <c r="I3470" t="inlineStr">
        <is>
          <t>Swiss-Prot</t>
        </is>
      </c>
      <c r="J3470" t="inlineStr">
        <is>
          <t>SLC8A1</t>
        </is>
      </c>
      <c r="K3470" t="inlineStr">
        <is>
          <t>NAC1_CAVPO</t>
        </is>
      </c>
      <c r="L3470" t="inlineStr">
        <is>
          <t>sp|P48766|NAC1_CAVPO Sodium/calcium exchanger 1 OS=Cavia porcellus OX=10141 GN=SLC8A1 PE=2 SV=1</t>
        </is>
      </c>
      <c r="M3470" t="n">
        <v>970</v>
      </c>
      <c r="N3470" t="inlineStr">
        <is>
          <t>Cavia porcellus</t>
        </is>
      </c>
      <c r="O3470" t="inlineStr">
        <is>
          <t>Sodium/calcium exchanger 1</t>
        </is>
      </c>
    </row>
    <row r="3471">
      <c r="A3471" t="inlineStr"/>
      <c r="B3471" t="inlineStr"/>
      <c r="C3471" t="inlineStr"/>
      <c r="D3471" t="inlineStr"/>
      <c r="E3471">
        <f>HYPERLINK("https://www.uniprot.org/uniprotkb/P48767/entry", "P48767")</f>
        <v/>
      </c>
      <c r="F3471" t="n">
        <v>27.4</v>
      </c>
      <c r="G3471" t="n">
        <v>234</v>
      </c>
      <c r="H3471" t="n">
        <v>4.71e-10</v>
      </c>
      <c r="I3471" t="inlineStr">
        <is>
          <t>Swiss-Prot</t>
        </is>
      </c>
      <c r="J3471" t="inlineStr">
        <is>
          <t>SLC8A1</t>
        </is>
      </c>
      <c r="K3471" t="inlineStr">
        <is>
          <t>NAC1_FELCA</t>
        </is>
      </c>
      <c r="L3471" t="inlineStr">
        <is>
          <t>sp|P48767|NAC1_FELCA Sodium/calcium exchanger 1 OS=Felis catus OX=9685 GN=SLC8A1 PE=1 SV=1</t>
        </is>
      </c>
      <c r="M3471" t="n">
        <v>970</v>
      </c>
      <c r="N3471" t="inlineStr">
        <is>
          <t>Felis catus</t>
        </is>
      </c>
      <c r="O3471" t="inlineStr">
        <is>
          <t>Sodium/calcium exchanger 1</t>
        </is>
      </c>
    </row>
    <row r="3472">
      <c r="A3472" t="inlineStr"/>
      <c r="B3472" t="inlineStr"/>
      <c r="C3472" t="inlineStr"/>
      <c r="D3472" t="inlineStr"/>
      <c r="E3472">
        <f>HYPERLINK("https://www.uniprot.org/uniprotkb/P32418/entry", "P32418")</f>
        <v/>
      </c>
      <c r="F3472" t="n">
        <v>26.9</v>
      </c>
      <c r="G3472" t="n">
        <v>234</v>
      </c>
      <c r="H3472" t="n">
        <v>1.06e-09</v>
      </c>
      <c r="I3472" t="inlineStr">
        <is>
          <t>Swiss-Prot</t>
        </is>
      </c>
      <c r="J3472" t="inlineStr">
        <is>
          <t>SLC8A1</t>
        </is>
      </c>
      <c r="K3472" t="inlineStr">
        <is>
          <t>NAC1_HUMAN</t>
        </is>
      </c>
      <c r="L3472" t="inlineStr">
        <is>
          <t>sp|P32418|NAC1_HUMAN Sodium/calcium exchanger 1 OS=Homo sapiens OX=9606 GN=SLC8A1 PE=1 SV=3</t>
        </is>
      </c>
      <c r="M3472" t="n">
        <v>973</v>
      </c>
      <c r="N3472" t="inlineStr">
        <is>
          <t>Homo sapiens</t>
        </is>
      </c>
      <c r="O3472" t="inlineStr">
        <is>
          <t>Sodium/calcium exchanger 1</t>
        </is>
      </c>
    </row>
    <row r="3473">
      <c r="A3473" t="inlineStr"/>
      <c r="B3473" t="inlineStr"/>
      <c r="C3473" t="inlineStr"/>
      <c r="D3473" t="inlineStr"/>
      <c r="E3473">
        <f>HYPERLINK("https://www.uniprot.org/uniprotkb/P57103/entry", "P57103")</f>
        <v/>
      </c>
      <c r="F3473" t="n">
        <v>27.6</v>
      </c>
      <c r="G3473" t="n">
        <v>243</v>
      </c>
      <c r="H3473" t="n">
        <v>1.38e-07</v>
      </c>
      <c r="I3473" t="inlineStr">
        <is>
          <t>Swiss-Prot</t>
        </is>
      </c>
      <c r="J3473" t="inlineStr">
        <is>
          <t>SLC8A3</t>
        </is>
      </c>
      <c r="K3473" t="inlineStr">
        <is>
          <t>NAC3_HUMAN</t>
        </is>
      </c>
      <c r="L3473" t="inlineStr">
        <is>
          <t>sp|P57103|NAC3_HUMAN Sodium/calcium exchanger 3 OS=Homo sapiens OX=9606 GN=SLC8A3 PE=1 SV=2</t>
        </is>
      </c>
      <c r="M3473" t="n">
        <v>927</v>
      </c>
      <c r="N3473" t="inlineStr">
        <is>
          <t>Homo sapiens</t>
        </is>
      </c>
      <c r="O3473" t="inlineStr">
        <is>
          <t>Sodium/calcium exchanger 3</t>
        </is>
      </c>
    </row>
    <row r="3474">
      <c r="A3474" t="inlineStr"/>
      <c r="B3474" t="inlineStr"/>
      <c r="C3474" t="inlineStr"/>
      <c r="D3474" t="inlineStr"/>
      <c r="E3474">
        <f>HYPERLINK("https://www.uniprot.org/uniprotkb/P70549/entry", "P70549")</f>
        <v/>
      </c>
      <c r="F3474" t="n">
        <v>27.6</v>
      </c>
      <c r="G3474" t="n">
        <v>243</v>
      </c>
      <c r="H3474" t="n">
        <v>1.38e-07</v>
      </c>
      <c r="I3474" t="inlineStr">
        <is>
          <t>Swiss-Prot</t>
        </is>
      </c>
      <c r="J3474" t="inlineStr">
        <is>
          <t>Slc8a3</t>
        </is>
      </c>
      <c r="K3474" t="inlineStr">
        <is>
          <t>NAC3_RAT</t>
        </is>
      </c>
      <c r="L3474" t="inlineStr">
        <is>
          <t>sp|P70549|NAC3_RAT Sodium/calcium exchanger 3 OS=Rattus norvegicus OX=10116 GN=Slc8a3 PE=1 SV=1</t>
        </is>
      </c>
      <c r="M3474" t="n">
        <v>927</v>
      </c>
      <c r="N3474" t="inlineStr">
        <is>
          <t>Rattus norvegicus</t>
        </is>
      </c>
      <c r="O3474" t="inlineStr">
        <is>
          <t>Sodium/calcium exchanger 3</t>
        </is>
      </c>
    </row>
    <row r="3475">
      <c r="A3475" t="inlineStr"/>
      <c r="B3475" t="inlineStr"/>
      <c r="C3475" t="inlineStr"/>
      <c r="D3475" t="inlineStr"/>
      <c r="E3475">
        <f>HYPERLINK("https://www.uniprot.org/uniprotkb/Q9UPR5/entry", "Q9UPR5")</f>
        <v/>
      </c>
      <c r="F3475" t="n">
        <v>26.6</v>
      </c>
      <c r="G3475" t="n">
        <v>237</v>
      </c>
      <c r="H3475" t="n">
        <v>5.36e-07</v>
      </c>
      <c r="I3475" t="inlineStr">
        <is>
          <t>Swiss-Prot</t>
        </is>
      </c>
      <c r="J3475" t="inlineStr">
        <is>
          <t>SLC8A2</t>
        </is>
      </c>
      <c r="K3475" t="inlineStr">
        <is>
          <t>NAC2_HUMAN</t>
        </is>
      </c>
      <c r="L3475" t="inlineStr">
        <is>
          <t>sp|Q9UPR5|NAC2_HUMAN Sodium/calcium exchanger 2 OS=Homo sapiens OX=9606 GN=SLC8A2 PE=2 SV=2</t>
        </is>
      </c>
      <c r="M3475" t="n">
        <v>921</v>
      </c>
      <c r="N3475" t="inlineStr">
        <is>
          <t>Homo sapiens</t>
        </is>
      </c>
      <c r="O3475" t="inlineStr">
        <is>
          <t>Sodium/calcium exchanger 2</t>
        </is>
      </c>
    </row>
    <row r="3476">
      <c r="A3476" t="inlineStr">
        <is>
          <t>NODE_21652_length_4684_cov_146.332034_g7476_i0</t>
        </is>
      </c>
      <c r="B3476" t="inlineStr">
        <is>
          <t>bombina_pachypus_blastx</t>
        </is>
      </c>
      <c r="C3476" t="n">
        <v>-7.35247523794246</v>
      </c>
      <c r="D3476" t="n">
        <v>0.0006033268649868</v>
      </c>
      <c r="E3476">
        <f>HYPERLINK("https://www.ncbi.nlm.nih.gov/gene/?term=XP_040186907.1", "XP_040186907.1")</f>
        <v/>
      </c>
      <c r="F3476" t="n">
        <v>80.2</v>
      </c>
      <c r="G3476" t="n">
        <v>997</v>
      </c>
      <c r="H3476" t="n">
        <v>0</v>
      </c>
      <c r="I3476" t="inlineStr">
        <is>
          <t>Nr</t>
        </is>
      </c>
      <c r="J3476" t="inlineStr"/>
      <c r="K3476" t="inlineStr"/>
      <c r="L3476" t="inlineStr">
        <is>
          <t>XP_040186907.1 angiotensin-converting enzyme [Rana temporaria]</t>
        </is>
      </c>
      <c r="M3476" t="n">
        <v>1284</v>
      </c>
      <c r="N3476" t="inlineStr">
        <is>
          <t>Rana temporaria</t>
        </is>
      </c>
      <c r="O3476" t="inlineStr">
        <is>
          <t>angiotensin-converting enzyme</t>
        </is>
      </c>
    </row>
    <row r="3477">
      <c r="A3477" t="inlineStr"/>
      <c r="B3477" t="inlineStr"/>
      <c r="C3477" t="inlineStr"/>
      <c r="D3477" t="inlineStr"/>
      <c r="E3477">
        <f>HYPERLINK("https://www.ncbi.nlm.nih.gov/gene/?term=NP_001116882.1", "NP_001116882.1")</f>
        <v/>
      </c>
      <c r="F3477" t="n">
        <v>79.5</v>
      </c>
      <c r="G3477" t="n">
        <v>996</v>
      </c>
      <c r="H3477" t="n">
        <v>0</v>
      </c>
      <c r="I3477" t="inlineStr">
        <is>
          <t>Nr</t>
        </is>
      </c>
      <c r="J3477" t="inlineStr"/>
      <c r="K3477" t="inlineStr"/>
      <c r="L3477" t="inlineStr">
        <is>
          <t>NP_001116882.1 angiotensin-converting enzyme precursor [Xenopus tropicalis]</t>
        </is>
      </c>
      <c r="M3477" t="n">
        <v>1284</v>
      </c>
      <c r="N3477" t="inlineStr">
        <is>
          <t>Xenopus tropicalis</t>
        </is>
      </c>
      <c r="O3477" t="inlineStr">
        <is>
          <t>angiotensin-converting enzyme precursor</t>
        </is>
      </c>
    </row>
    <row r="3478">
      <c r="A3478" t="inlineStr"/>
      <c r="B3478" t="inlineStr"/>
      <c r="C3478" t="inlineStr"/>
      <c r="D3478" t="inlineStr"/>
      <c r="E3478">
        <f>HYPERLINK("https://www.ncbi.nlm.nih.gov/gene/?term=KAE8575273.1", "KAE8575273.1")</f>
        <v/>
      </c>
      <c r="F3478" t="n">
        <v>79.5</v>
      </c>
      <c r="G3478" t="n">
        <v>996</v>
      </c>
      <c r="H3478" t="n">
        <v>0</v>
      </c>
      <c r="I3478" t="inlineStr">
        <is>
          <t>Nr</t>
        </is>
      </c>
      <c r="J3478" t="inlineStr"/>
      <c r="K3478" t="inlineStr"/>
      <c r="L3478" t="inlineStr">
        <is>
          <t>KAE8575273.1 hypothetical protein XENTR_v10003790 [Xenopus tropicalis]</t>
        </is>
      </c>
      <c r="M3478" t="n">
        <v>1361</v>
      </c>
      <c r="N3478" t="inlineStr">
        <is>
          <t>Xenopus tropicalis</t>
        </is>
      </c>
      <c r="O3478" t="inlineStr">
        <is>
          <t>hypothetical protein XENTR_v10003790</t>
        </is>
      </c>
    </row>
    <row r="3479">
      <c r="A3479" t="inlineStr"/>
      <c r="B3479" t="inlineStr"/>
      <c r="C3479" t="inlineStr"/>
      <c r="D3479" t="inlineStr"/>
      <c r="E3479">
        <f>HYPERLINK("https://www.ncbi.nlm.nih.gov/gene/?term=XP_041431912.1", "XP_041431912.1")</f>
        <v/>
      </c>
      <c r="F3479" t="n">
        <v>79.40000000000001</v>
      </c>
      <c r="G3479" t="n">
        <v>996</v>
      </c>
      <c r="H3479" t="n">
        <v>0</v>
      </c>
      <c r="I3479" t="inlineStr">
        <is>
          <t>Nr</t>
        </is>
      </c>
      <c r="J3479" t="inlineStr"/>
      <c r="K3479" t="inlineStr"/>
      <c r="L3479" t="inlineStr">
        <is>
          <t>XP_041431912.1 angiotensin-converting enzyme isoform X2 [Xenopus laevis]</t>
        </is>
      </c>
      <c r="M3479" t="n">
        <v>1217</v>
      </c>
      <c r="N3479" t="inlineStr">
        <is>
          <t>Xenopus laevis</t>
        </is>
      </c>
      <c r="O3479" t="inlineStr">
        <is>
          <t>angiotensin-converting enzyme isoform X2</t>
        </is>
      </c>
    </row>
    <row r="3480">
      <c r="A3480" t="inlineStr"/>
      <c r="B3480" t="inlineStr"/>
      <c r="C3480" t="inlineStr"/>
      <c r="D3480" t="inlineStr"/>
      <c r="E3480">
        <f>HYPERLINK("https://www.ncbi.nlm.nih.gov/gene/?term=XP_041431911.1", "XP_041431911.1")</f>
        <v/>
      </c>
      <c r="F3480" t="n">
        <v>79.40000000000001</v>
      </c>
      <c r="G3480" t="n">
        <v>996</v>
      </c>
      <c r="H3480" t="n">
        <v>0</v>
      </c>
      <c r="I3480" t="inlineStr">
        <is>
          <t>Nr</t>
        </is>
      </c>
      <c r="J3480" t="inlineStr"/>
      <c r="K3480" t="inlineStr"/>
      <c r="L3480" t="inlineStr">
        <is>
          <t>XP_041431911.1 angiotensin-converting enzyme isoform X1 [Xenopus laevis]</t>
        </is>
      </c>
      <c r="M3480" t="n">
        <v>1299</v>
      </c>
      <c r="N3480" t="inlineStr">
        <is>
          <t>Xenopus laevis</t>
        </is>
      </c>
      <c r="O3480" t="inlineStr">
        <is>
          <t>angiotensin-converting enzyme isoform X1</t>
        </is>
      </c>
    </row>
    <row r="3481">
      <c r="A3481" t="inlineStr"/>
      <c r="B3481" t="inlineStr"/>
      <c r="C3481" t="inlineStr"/>
      <c r="D3481" t="inlineStr"/>
      <c r="E3481">
        <f>HYPERLINK("https://www.ncbi.nlm.nih.gov/gene/?term=XP_018410703.1", "XP_018410703.1")</f>
        <v/>
      </c>
      <c r="F3481" t="n">
        <v>79.3</v>
      </c>
      <c r="G3481" t="n">
        <v>994</v>
      </c>
      <c r="H3481" t="n">
        <v>0</v>
      </c>
      <c r="I3481" t="inlineStr">
        <is>
          <t>Nr</t>
        </is>
      </c>
      <c r="J3481" t="inlineStr"/>
      <c r="K3481" t="inlineStr"/>
      <c r="L3481" t="inlineStr">
        <is>
          <t>XP_018410703.1 PREDICTED: angiotensin-converting enzyme isoform X4 [Nanorana parkeri]</t>
        </is>
      </c>
      <c r="M3481" t="n">
        <v>1281</v>
      </c>
      <c r="N3481" t="inlineStr">
        <is>
          <t>Nanorana parkeri</t>
        </is>
      </c>
      <c r="O3481" t="inlineStr">
        <is>
          <t>PREDICTED: angiotensin-converting enzyme isoform X4</t>
        </is>
      </c>
    </row>
    <row r="3482">
      <c r="A3482" t="inlineStr"/>
      <c r="B3482" t="inlineStr"/>
      <c r="C3482" t="inlineStr"/>
      <c r="D3482" t="inlineStr"/>
      <c r="E3482">
        <f>HYPERLINK("https://www.ncbi.nlm.nih.gov/gene/?term=XP_053309980.1", "XP_053309980.1")</f>
        <v/>
      </c>
      <c r="F3482" t="n">
        <v>79.5</v>
      </c>
      <c r="G3482" t="n">
        <v>998</v>
      </c>
      <c r="H3482" t="n">
        <v>0</v>
      </c>
      <c r="I3482" t="inlineStr">
        <is>
          <t>Nr</t>
        </is>
      </c>
      <c r="J3482" t="inlineStr"/>
      <c r="K3482" t="inlineStr"/>
      <c r="L3482" t="inlineStr">
        <is>
          <t>XP_053309980.1 angiotensin-converting enzyme [Spea bombifrons]</t>
        </is>
      </c>
      <c r="M3482" t="n">
        <v>1315</v>
      </c>
      <c r="N3482" t="inlineStr">
        <is>
          <t>Spea bombifrons</t>
        </is>
      </c>
      <c r="O3482" t="inlineStr">
        <is>
          <t>angiotensin-converting enzyme</t>
        </is>
      </c>
    </row>
    <row r="3483">
      <c r="A3483" t="inlineStr"/>
      <c r="B3483" t="inlineStr"/>
      <c r="C3483" t="inlineStr"/>
      <c r="D3483" t="inlineStr"/>
      <c r="E3483">
        <f>HYPERLINK("https://www.ncbi.nlm.nih.gov/gene/?term=XP_018410702.1", "XP_018410702.1")</f>
        <v/>
      </c>
      <c r="F3483" t="n">
        <v>79.09999999999999</v>
      </c>
      <c r="G3483" t="n">
        <v>994</v>
      </c>
      <c r="H3483" t="n">
        <v>0</v>
      </c>
      <c r="I3483" t="inlineStr">
        <is>
          <t>Nr</t>
        </is>
      </c>
      <c r="J3483" t="inlineStr"/>
      <c r="K3483" t="inlineStr"/>
      <c r="L3483" t="inlineStr">
        <is>
          <t>XP_018410702.1 PREDICTED: angiotensin-converting enzyme isoform X3 [Nanorana parkeri]</t>
        </is>
      </c>
      <c r="M3483" t="n">
        <v>1283</v>
      </c>
      <c r="N3483" t="inlineStr">
        <is>
          <t>Nanorana parkeri</t>
        </is>
      </c>
      <c r="O3483" t="inlineStr">
        <is>
          <t>PREDICTED: angiotensin-converting enzyme isoform X3</t>
        </is>
      </c>
    </row>
    <row r="3484">
      <c r="A3484" t="inlineStr"/>
      <c r="B3484" t="inlineStr"/>
      <c r="C3484" t="inlineStr"/>
      <c r="D3484" t="inlineStr"/>
      <c r="E3484">
        <f>HYPERLINK("https://www.ncbi.nlm.nih.gov/gene/?term=XP_018410699.1", "XP_018410699.1")</f>
        <v/>
      </c>
      <c r="F3484" t="n">
        <v>79</v>
      </c>
      <c r="G3484" t="n">
        <v>994</v>
      </c>
      <c r="H3484" t="n">
        <v>0</v>
      </c>
      <c r="I3484" t="inlineStr">
        <is>
          <t>Nr</t>
        </is>
      </c>
      <c r="J3484" t="inlineStr"/>
      <c r="K3484" t="inlineStr"/>
      <c r="L3484" t="inlineStr">
        <is>
          <t>XP_018410699.1 PREDICTED: angiotensin-converting enzyme isoform X1 [Nanorana parkeri]</t>
        </is>
      </c>
      <c r="M3484" t="n">
        <v>1287</v>
      </c>
      <c r="N3484" t="inlineStr">
        <is>
          <t>Nanorana parkeri</t>
        </is>
      </c>
      <c r="O3484" t="inlineStr">
        <is>
          <t>PREDICTED: angiotensin-converting enzyme isoform X1</t>
        </is>
      </c>
    </row>
    <row r="3485">
      <c r="A3485" t="inlineStr"/>
      <c r="B3485" t="inlineStr"/>
      <c r="C3485" t="inlineStr"/>
      <c r="D3485" t="inlineStr"/>
      <c r="E3485">
        <f>HYPERLINK("https://www.ncbi.nlm.nih.gov/gene/?term=XP_039372388.1", "XP_039372388.1")</f>
        <v/>
      </c>
      <c r="F3485" t="n">
        <v>77.2</v>
      </c>
      <c r="G3485" t="n">
        <v>995</v>
      </c>
      <c r="H3485" t="n">
        <v>0</v>
      </c>
      <c r="I3485" t="inlineStr">
        <is>
          <t>Nr</t>
        </is>
      </c>
      <c r="J3485" t="inlineStr"/>
      <c r="K3485" t="inlineStr"/>
      <c r="L3485" t="inlineStr">
        <is>
          <t>XP_039372388.1 angiotensin-converting enzyme isoform X2 [Mauremys reevesii]</t>
        </is>
      </c>
      <c r="M3485" t="n">
        <v>1156</v>
      </c>
      <c r="N3485" t="inlineStr">
        <is>
          <t>Mauremys reevesii</t>
        </is>
      </c>
      <c r="O3485" t="inlineStr">
        <is>
          <t>angiotensin-converting enzyme isoform X2</t>
        </is>
      </c>
    </row>
    <row r="3486">
      <c r="A3486" t="inlineStr"/>
      <c r="B3486" t="inlineStr"/>
      <c r="C3486" t="inlineStr"/>
      <c r="D3486" t="inlineStr"/>
      <c r="E3486">
        <f>HYPERLINK("https://www.ncbi.nlm.nih.gov/gene/?term=XP_039372387.1", "XP_039372387.1")</f>
        <v/>
      </c>
      <c r="F3486" t="n">
        <v>77.2</v>
      </c>
      <c r="G3486" t="n">
        <v>995</v>
      </c>
      <c r="H3486" t="n">
        <v>0</v>
      </c>
      <c r="I3486" t="inlineStr">
        <is>
          <t>Nr</t>
        </is>
      </c>
      <c r="J3486" t="inlineStr"/>
      <c r="K3486" t="inlineStr"/>
      <c r="L3486" t="inlineStr">
        <is>
          <t>XP_039372387.1 angiotensin-converting enzyme isoform X1 [Mauremys reevesii]</t>
        </is>
      </c>
      <c r="M3486" t="n">
        <v>1290</v>
      </c>
      <c r="N3486" t="inlineStr">
        <is>
          <t>Mauremys reevesii</t>
        </is>
      </c>
      <c r="O3486" t="inlineStr">
        <is>
          <t>angiotensin-converting enzyme isoform X1</t>
        </is>
      </c>
    </row>
    <row r="3487">
      <c r="A3487" t="inlineStr"/>
      <c r="B3487" t="inlineStr"/>
      <c r="C3487" t="inlineStr"/>
      <c r="D3487" t="inlineStr"/>
      <c r="E3487">
        <f>HYPERLINK("https://www.ncbi.nlm.nih.gov/gene/?term=XP_044855268.1", "XP_044855268.1")</f>
        <v/>
      </c>
      <c r="F3487" t="n">
        <v>76.7</v>
      </c>
      <c r="G3487" t="n">
        <v>995</v>
      </c>
      <c r="H3487" t="n">
        <v>0</v>
      </c>
      <c r="I3487" t="inlineStr">
        <is>
          <t>Nr</t>
        </is>
      </c>
      <c r="J3487" t="inlineStr"/>
      <c r="K3487" t="inlineStr"/>
      <c r="L3487" t="inlineStr">
        <is>
          <t>XP_044855268.1 angiotensin-converting enzyme isoform X3 [Mauremys mutica]</t>
        </is>
      </c>
      <c r="M3487" t="n">
        <v>1232</v>
      </c>
      <c r="N3487" t="inlineStr">
        <is>
          <t>Mauremys mutica</t>
        </is>
      </c>
      <c r="O3487" t="inlineStr">
        <is>
          <t>angiotensin-converting enzyme isoform X3</t>
        </is>
      </c>
    </row>
    <row r="3488">
      <c r="A3488" t="inlineStr"/>
      <c r="B3488" t="inlineStr"/>
      <c r="C3488" t="inlineStr"/>
      <c r="D3488" t="inlineStr"/>
      <c r="E3488">
        <f>HYPERLINK("https://www.ncbi.nlm.nih.gov/gene/?term=XP_044855266.1", "XP_044855266.1")</f>
        <v/>
      </c>
      <c r="F3488" t="n">
        <v>76.7</v>
      </c>
      <c r="G3488" t="n">
        <v>995</v>
      </c>
      <c r="H3488" t="n">
        <v>0</v>
      </c>
      <c r="I3488" t="inlineStr">
        <is>
          <t>Nr</t>
        </is>
      </c>
      <c r="J3488" t="inlineStr"/>
      <c r="K3488" t="inlineStr"/>
      <c r="L3488" t="inlineStr">
        <is>
          <t>XP_044855266.1 angiotensin-converting enzyme isoform X1 [Mauremys mutica]</t>
        </is>
      </c>
      <c r="M3488" t="n">
        <v>1290</v>
      </c>
      <c r="N3488" t="inlineStr">
        <is>
          <t>Mauremys mutica</t>
        </is>
      </c>
      <c r="O3488" t="inlineStr">
        <is>
          <t>angiotensin-converting enzyme isoform X1</t>
        </is>
      </c>
    </row>
    <row r="3489">
      <c r="A3489" t="inlineStr"/>
      <c r="B3489" t="inlineStr"/>
      <c r="C3489" t="inlineStr"/>
      <c r="D3489" t="inlineStr"/>
      <c r="E3489">
        <f>HYPERLINK("https://www.ncbi.nlm.nih.gov/gene/?term=XP_044855267.1", "XP_044855267.1")</f>
        <v/>
      </c>
      <c r="F3489" t="n">
        <v>76.7</v>
      </c>
      <c r="G3489" t="n">
        <v>995</v>
      </c>
      <c r="H3489" t="n">
        <v>0</v>
      </c>
      <c r="I3489" t="inlineStr">
        <is>
          <t>Nr</t>
        </is>
      </c>
      <c r="J3489" t="inlineStr"/>
      <c r="K3489" t="inlineStr"/>
      <c r="L3489" t="inlineStr">
        <is>
          <t>XP_044855267.1 angiotensin-converting enzyme isoform X2 [Mauremys mutica]</t>
        </is>
      </c>
      <c r="M3489" t="n">
        <v>1156</v>
      </c>
      <c r="N3489" t="inlineStr">
        <is>
          <t>Mauremys mutica</t>
        </is>
      </c>
      <c r="O3489" t="inlineStr">
        <is>
          <t>angiotensin-converting enzyme isoform X2</t>
        </is>
      </c>
    </row>
    <row r="3490">
      <c r="A3490" t="inlineStr"/>
      <c r="B3490" t="inlineStr"/>
      <c r="C3490" t="inlineStr"/>
      <c r="D3490" t="inlineStr"/>
      <c r="E3490">
        <f>HYPERLINK("https://www.ncbi.nlm.nih.gov/gene/?term=XP_050791098.1", "XP_050791098.1")</f>
        <v/>
      </c>
      <c r="F3490" t="n">
        <v>77.09999999999999</v>
      </c>
      <c r="G3490" t="n">
        <v>995</v>
      </c>
      <c r="H3490" t="n">
        <v>0</v>
      </c>
      <c r="I3490" t="inlineStr">
        <is>
          <t>Nr</t>
        </is>
      </c>
      <c r="J3490" t="inlineStr"/>
      <c r="K3490" t="inlineStr"/>
      <c r="L3490" t="inlineStr">
        <is>
          <t>XP_050791098.1 angiotensin-converting enzyme isoform X1 [Gopherus flavomarginatus]</t>
        </is>
      </c>
      <c r="M3490" t="n">
        <v>1286</v>
      </c>
      <c r="N3490" t="inlineStr">
        <is>
          <t>Gopherus flavomarginatus</t>
        </is>
      </c>
      <c r="O3490" t="inlineStr">
        <is>
          <t>angiotensin-converting enzyme isoform X1</t>
        </is>
      </c>
    </row>
    <row r="3491">
      <c r="A3491" t="inlineStr"/>
      <c r="B3491" t="inlineStr"/>
      <c r="C3491" t="inlineStr"/>
      <c r="D3491" t="inlineStr"/>
      <c r="E3491">
        <f>HYPERLINK("https://www.ncbi.nlm.nih.gov/gene/?term=XP_050791099.1", "XP_050791099.1")</f>
        <v/>
      </c>
      <c r="F3491" t="n">
        <v>77.09999999999999</v>
      </c>
      <c r="G3491" t="n">
        <v>995</v>
      </c>
      <c r="H3491" t="n">
        <v>0</v>
      </c>
      <c r="I3491" t="inlineStr">
        <is>
          <t>Nr</t>
        </is>
      </c>
      <c r="J3491" t="inlineStr"/>
      <c r="K3491" t="inlineStr"/>
      <c r="L3491" t="inlineStr">
        <is>
          <t>XP_050791099.1 angiotensin-converting enzyme isoform X2 [Gopherus flavomarginatus]</t>
        </is>
      </c>
      <c r="M3491" t="n">
        <v>1152</v>
      </c>
      <c r="N3491" t="inlineStr">
        <is>
          <t>Gopherus flavomarginatus</t>
        </is>
      </c>
      <c r="O3491" t="inlineStr">
        <is>
          <t>angiotensin-converting enzyme isoform X2</t>
        </is>
      </c>
    </row>
    <row r="3492">
      <c r="A3492" t="inlineStr"/>
      <c r="B3492" t="inlineStr"/>
      <c r="C3492" t="inlineStr"/>
      <c r="D3492" t="inlineStr"/>
      <c r="E3492">
        <f>HYPERLINK("https://www.ncbi.nlm.nih.gov/gene/?term=XP_032661352.1", "XP_032661352.1")</f>
        <v/>
      </c>
      <c r="F3492" t="n">
        <v>76.90000000000001</v>
      </c>
      <c r="G3492" t="n">
        <v>995</v>
      </c>
      <c r="H3492" t="n">
        <v>0</v>
      </c>
      <c r="I3492" t="inlineStr">
        <is>
          <t>Nr</t>
        </is>
      </c>
      <c r="J3492" t="inlineStr"/>
      <c r="K3492" t="inlineStr"/>
      <c r="L3492" t="inlineStr">
        <is>
          <t>XP_032661352.1 angiotensin-converting enzyme [Chelonoidis abingdonii]</t>
        </is>
      </c>
      <c r="M3492" t="n">
        <v>1290</v>
      </c>
      <c r="N3492" t="inlineStr">
        <is>
          <t>Chelonoidis abingdonii</t>
        </is>
      </c>
      <c r="O3492" t="inlineStr">
        <is>
          <t>angiotensin-converting enzyme</t>
        </is>
      </c>
    </row>
    <row r="3493">
      <c r="A3493" t="inlineStr"/>
      <c r="B3493" t="inlineStr"/>
      <c r="C3493" t="inlineStr"/>
      <c r="D3493" t="inlineStr"/>
      <c r="E3493">
        <f>HYPERLINK("https://www.ncbi.nlm.nih.gov/gene/?term=XP_044154099.1", "XP_044154099.1")</f>
        <v/>
      </c>
      <c r="F3493" t="n">
        <v>77.3</v>
      </c>
      <c r="G3493" t="n">
        <v>994</v>
      </c>
      <c r="H3493" t="n">
        <v>0</v>
      </c>
      <c r="I3493" t="inlineStr">
        <is>
          <t>Nr</t>
        </is>
      </c>
      <c r="J3493" t="inlineStr"/>
      <c r="K3493" t="inlineStr"/>
      <c r="L3493" t="inlineStr">
        <is>
          <t>XP_044154099.1 angiotensin-converting enzyme isoform X1 [Bufo gargarizans]</t>
        </is>
      </c>
      <c r="M3493" t="n">
        <v>1298</v>
      </c>
      <c r="N3493" t="inlineStr">
        <is>
          <t>Bufo gargarizans</t>
        </is>
      </c>
      <c r="O3493" t="inlineStr">
        <is>
          <t>angiotensin-converting enzyme isoform X1</t>
        </is>
      </c>
    </row>
    <row r="3494">
      <c r="A3494" t="inlineStr"/>
      <c r="B3494" t="inlineStr"/>
      <c r="C3494" t="inlineStr"/>
      <c r="D3494" t="inlineStr"/>
      <c r="E3494">
        <f>HYPERLINK("https://www.ncbi.nlm.nih.gov/gene/?term=KAG8566674.1", "KAG8566674.1")</f>
        <v/>
      </c>
      <c r="F3494" t="n">
        <v>77.09999999999999</v>
      </c>
      <c r="G3494" t="n">
        <v>995</v>
      </c>
      <c r="H3494" t="n">
        <v>0</v>
      </c>
      <c r="I3494" t="inlineStr">
        <is>
          <t>Nr</t>
        </is>
      </c>
      <c r="J3494" t="inlineStr"/>
      <c r="K3494" t="inlineStr"/>
      <c r="L3494" t="inlineStr">
        <is>
          <t>KAG8566674.1 hypothetical protein GDO81_013341 [Engystomops pustulosus]</t>
        </is>
      </c>
      <c r="M3494" t="n">
        <v>1292</v>
      </c>
      <c r="N3494" t="inlineStr">
        <is>
          <t>Engystomops pustulosus</t>
        </is>
      </c>
      <c r="O3494" t="inlineStr">
        <is>
          <t>hypothetical protein GDO81_013341</t>
        </is>
      </c>
    </row>
    <row r="3495">
      <c r="A3495" t="inlineStr"/>
      <c r="B3495" t="inlineStr"/>
      <c r="C3495" t="inlineStr"/>
      <c r="D3495" t="inlineStr"/>
      <c r="E3495">
        <f>HYPERLINK("https://www.ncbi.nlm.nih.gov/gene/?term=KAG8566672.1", "KAG8566672.1")</f>
        <v/>
      </c>
      <c r="F3495" t="n">
        <v>77.09999999999999</v>
      </c>
      <c r="G3495" t="n">
        <v>995</v>
      </c>
      <c r="H3495" t="n">
        <v>0</v>
      </c>
      <c r="I3495" t="inlineStr">
        <is>
          <t>Nr</t>
        </is>
      </c>
      <c r="J3495" t="inlineStr"/>
      <c r="K3495" t="inlineStr"/>
      <c r="L3495" t="inlineStr">
        <is>
          <t>KAG8566672.1 hypothetical protein GDO81_013341 [Engystomops pustulosus]</t>
        </is>
      </c>
      <c r="M3495" t="n">
        <v>1308</v>
      </c>
      <c r="N3495" t="inlineStr">
        <is>
          <t>Engystomops pustulosus</t>
        </is>
      </c>
      <c r="O3495" t="inlineStr">
        <is>
          <t>hypothetical protein GDO81_013341</t>
        </is>
      </c>
    </row>
    <row r="3496">
      <c r="A3496" t="inlineStr"/>
      <c r="B3496" t="inlineStr"/>
      <c r="C3496" t="inlineStr"/>
      <c r="D3496" t="inlineStr"/>
      <c r="E3496">
        <f>HYPERLINK("https://www.ncbi.nlm.nih.gov/gene/?term=XP_030396963.1", "XP_030396963.1")</f>
        <v/>
      </c>
      <c r="F3496" t="n">
        <v>76.7</v>
      </c>
      <c r="G3496" t="n">
        <v>995</v>
      </c>
      <c r="H3496" t="n">
        <v>0</v>
      </c>
      <c r="I3496" t="inlineStr">
        <is>
          <t>Nr</t>
        </is>
      </c>
      <c r="J3496" t="inlineStr"/>
      <c r="K3496" t="inlineStr"/>
      <c r="L3496" t="inlineStr">
        <is>
          <t>XP_030396963.1 angiotensin-converting enzyme [Gopherus evgoodei]</t>
        </is>
      </c>
      <c r="M3496" t="n">
        <v>1286</v>
      </c>
      <c r="N3496" t="inlineStr">
        <is>
          <t>Gopherus evgoodei</t>
        </is>
      </c>
      <c r="O3496" t="inlineStr">
        <is>
          <t>angiotensin-converting enzyme</t>
        </is>
      </c>
    </row>
    <row r="3497">
      <c r="A3497" t="inlineStr"/>
      <c r="B3497" t="inlineStr"/>
      <c r="C3497" t="inlineStr"/>
      <c r="D3497" t="inlineStr"/>
      <c r="E3497">
        <f>HYPERLINK("https://www.ncbi.nlm.nih.gov/gene/?term=KAG8566675.1", "KAG8566675.1")</f>
        <v/>
      </c>
      <c r="F3497" t="n">
        <v>77.09999999999999</v>
      </c>
      <c r="G3497" t="n">
        <v>995</v>
      </c>
      <c r="H3497" t="n">
        <v>0</v>
      </c>
      <c r="I3497" t="inlineStr">
        <is>
          <t>Nr</t>
        </is>
      </c>
      <c r="J3497" t="inlineStr"/>
      <c r="K3497" t="inlineStr"/>
      <c r="L3497" t="inlineStr">
        <is>
          <t>KAG8566675.1 hypothetical protein GDO81_013341 [Engystomops pustulosus]</t>
        </is>
      </c>
      <c r="M3497" t="n">
        <v>1280</v>
      </c>
      <c r="N3497" t="inlineStr">
        <is>
          <t>Engystomops pustulosus</t>
        </is>
      </c>
      <c r="O3497" t="inlineStr">
        <is>
          <t>hypothetical protein GDO81_013341</t>
        </is>
      </c>
    </row>
    <row r="3498">
      <c r="A3498" t="inlineStr"/>
      <c r="B3498" t="inlineStr"/>
      <c r="C3498" t="inlineStr"/>
      <c r="D3498" t="inlineStr"/>
      <c r="E3498">
        <f>HYPERLINK("https://www.ncbi.nlm.nih.gov/gene/?term=XP_048686114.1", "XP_048686114.1")</f>
        <v/>
      </c>
      <c r="F3498" t="n">
        <v>76.59999999999999</v>
      </c>
      <c r="G3498" t="n">
        <v>995</v>
      </c>
      <c r="H3498" t="n">
        <v>0</v>
      </c>
      <c r="I3498" t="inlineStr">
        <is>
          <t>Nr</t>
        </is>
      </c>
      <c r="J3498" t="inlineStr"/>
      <c r="K3498" t="inlineStr"/>
      <c r="L3498" t="inlineStr">
        <is>
          <t>XP_048686114.1 angiotensin-converting enzyme isoform X1 [Caretta caretta]</t>
        </is>
      </c>
      <c r="M3498" t="n">
        <v>1280</v>
      </c>
      <c r="N3498" t="inlineStr">
        <is>
          <t>Caretta caretta</t>
        </is>
      </c>
      <c r="O3498" t="inlineStr">
        <is>
          <t>angiotensin-converting enzyme isoform X1</t>
        </is>
      </c>
    </row>
    <row r="3499">
      <c r="A3499" t="inlineStr"/>
      <c r="B3499" t="inlineStr"/>
      <c r="C3499" t="inlineStr"/>
      <c r="D3499" t="inlineStr"/>
      <c r="E3499">
        <f>HYPERLINK("https://www.ncbi.nlm.nih.gov/gene/?term=XP_048686115.1", "XP_048686115.1")</f>
        <v/>
      </c>
      <c r="F3499" t="n">
        <v>76.59999999999999</v>
      </c>
      <c r="G3499" t="n">
        <v>995</v>
      </c>
      <c r="H3499" t="n">
        <v>0</v>
      </c>
      <c r="I3499" t="inlineStr">
        <is>
          <t>Nr</t>
        </is>
      </c>
      <c r="J3499" t="inlineStr"/>
      <c r="K3499" t="inlineStr"/>
      <c r="L3499" t="inlineStr">
        <is>
          <t>XP_048686115.1 angiotensin-converting enzyme isoform X2 [Caretta caretta]</t>
        </is>
      </c>
      <c r="M3499" t="n">
        <v>1117</v>
      </c>
      <c r="N3499" t="inlineStr">
        <is>
          <t>Caretta caretta</t>
        </is>
      </c>
      <c r="O3499" t="inlineStr">
        <is>
          <t>angiotensin-converting enzyme isoform X2</t>
        </is>
      </c>
    </row>
    <row r="3500">
      <c r="A3500" t="inlineStr"/>
      <c r="B3500" t="inlineStr"/>
      <c r="C3500" t="inlineStr"/>
      <c r="D3500" t="inlineStr"/>
      <c r="E3500">
        <f>HYPERLINK("https://www.ncbi.nlm.nih.gov/gene/?term=KAG8566673.1", "KAG8566673.1")</f>
        <v/>
      </c>
      <c r="F3500" t="n">
        <v>77.09999999999999</v>
      </c>
      <c r="G3500" t="n">
        <v>995</v>
      </c>
      <c r="H3500" t="n">
        <v>0</v>
      </c>
      <c r="I3500" t="inlineStr">
        <is>
          <t>Nr</t>
        </is>
      </c>
      <c r="J3500" t="inlineStr"/>
      <c r="K3500" t="inlineStr"/>
      <c r="L3500" t="inlineStr">
        <is>
          <t>KAG8566673.1 hypothetical protein GDO81_013341 [Engystomops pustulosus]</t>
        </is>
      </c>
      <c r="M3500" t="n">
        <v>1296</v>
      </c>
      <c r="N3500" t="inlineStr">
        <is>
          <t>Engystomops pustulosus</t>
        </is>
      </c>
      <c r="O3500" t="inlineStr">
        <is>
          <t>hypothetical protein GDO81_013341</t>
        </is>
      </c>
    </row>
    <row r="3501">
      <c r="A3501" t="inlineStr"/>
      <c r="B3501" t="inlineStr"/>
      <c r="C3501" t="inlineStr"/>
      <c r="D3501" t="inlineStr"/>
      <c r="E3501">
        <f>HYPERLINK("https://www.uniprot.org/uniprotkb/B0JZU8/entry", "B0JZU8")</f>
        <v/>
      </c>
      <c r="F3501" t="n">
        <v>79.5</v>
      </c>
      <c r="G3501" t="n">
        <v>996</v>
      </c>
      <c r="H3501" t="n">
        <v>0</v>
      </c>
      <c r="I3501" t="inlineStr">
        <is>
          <t>TrEMBL</t>
        </is>
      </c>
      <c r="J3501" t="inlineStr">
        <is>
          <t>ace</t>
        </is>
      </c>
      <c r="K3501" t="inlineStr">
        <is>
          <t>B0JZU8_XENTR</t>
        </is>
      </c>
      <c r="L3501" t="inlineStr">
        <is>
          <t>tr|B0JZU8|B0JZU8_XENTR Angiotensin-converting enzyme OS=Xenopus tropicalis OX=8364 GN=ace PE=2 SV=1</t>
        </is>
      </c>
      <c r="M3501" t="n">
        <v>1284</v>
      </c>
      <c r="N3501" t="inlineStr">
        <is>
          <t>Xenopus tropicalis</t>
        </is>
      </c>
      <c r="O3501" t="inlineStr">
        <is>
          <t>Angiotensin-converting enzyme</t>
        </is>
      </c>
    </row>
    <row r="3502">
      <c r="A3502" t="inlineStr"/>
      <c r="B3502" t="inlineStr"/>
      <c r="C3502" t="inlineStr"/>
      <c r="D3502" t="inlineStr"/>
      <c r="E3502">
        <f>HYPERLINK("https://www.uniprot.org/uniprotkb/A0A6I8SWZ1/entry", "A0A6I8SWZ1")</f>
        <v/>
      </c>
      <c r="F3502" t="n">
        <v>79.5</v>
      </c>
      <c r="G3502" t="n">
        <v>996</v>
      </c>
      <c r="H3502" t="n">
        <v>0</v>
      </c>
      <c r="I3502" t="inlineStr">
        <is>
          <t>TrEMBL</t>
        </is>
      </c>
      <c r="J3502" t="inlineStr">
        <is>
          <t>ace</t>
        </is>
      </c>
      <c r="K3502" t="inlineStr">
        <is>
          <t>A0A6I8SWZ1_XENTR</t>
        </is>
      </c>
      <c r="L3502" t="inlineStr">
        <is>
          <t>tr|A0A6I8SWZ1|A0A6I8SWZ1_XENTR Angiotensin-converting enzyme OS=Xenopus tropicalis OX=8364 GN=ace PE=3 SV=2</t>
        </is>
      </c>
      <c r="M3502" t="n">
        <v>1361</v>
      </c>
      <c r="N3502" t="inlineStr">
        <is>
          <t>Xenopus tropicalis</t>
        </is>
      </c>
      <c r="O3502" t="inlineStr">
        <is>
          <t>Angiotensin-converting enzyme</t>
        </is>
      </c>
    </row>
    <row r="3503">
      <c r="A3503" t="inlineStr"/>
      <c r="B3503" t="inlineStr"/>
      <c r="C3503" t="inlineStr"/>
      <c r="D3503" t="inlineStr"/>
      <c r="E3503">
        <f>HYPERLINK("https://www.uniprot.org/uniprotkb/A0A8J1LQW2/entry", "A0A8J1LQW2")</f>
        <v/>
      </c>
      <c r="F3503" t="n">
        <v>79.40000000000001</v>
      </c>
      <c r="G3503" t="n">
        <v>996</v>
      </c>
      <c r="H3503" t="n">
        <v>0</v>
      </c>
      <c r="I3503" t="inlineStr">
        <is>
          <t>TrEMBL</t>
        </is>
      </c>
      <c r="J3503" t="inlineStr">
        <is>
          <t>LOC108701765</t>
        </is>
      </c>
      <c r="K3503" t="inlineStr">
        <is>
          <t>A0A8J1LQW2_XENLA</t>
        </is>
      </c>
      <c r="L3503" t="inlineStr">
        <is>
          <t>tr|A0A8J1LQW2|A0A8J1LQW2_XENLA Angiotensin-converting enzyme OS=Xenopus laevis OX=8355 GN=LOC108701765 PE=3 SV=1</t>
        </is>
      </c>
      <c r="M3503" t="n">
        <v>1217</v>
      </c>
      <c r="N3503" t="inlineStr">
        <is>
          <t>Xenopus laevis</t>
        </is>
      </c>
      <c r="O3503" t="inlineStr">
        <is>
          <t>Angiotensin-converting enzyme</t>
        </is>
      </c>
    </row>
    <row r="3504">
      <c r="A3504" t="inlineStr"/>
      <c r="B3504" t="inlineStr"/>
      <c r="C3504" t="inlineStr"/>
      <c r="D3504" t="inlineStr"/>
      <c r="E3504">
        <f>HYPERLINK("https://www.uniprot.org/uniprotkb/A0A8J1LS50/entry", "A0A8J1LS50")</f>
        <v/>
      </c>
      <c r="F3504" t="n">
        <v>79.40000000000001</v>
      </c>
      <c r="G3504" t="n">
        <v>996</v>
      </c>
      <c r="H3504" t="n">
        <v>0</v>
      </c>
      <c r="I3504" t="inlineStr">
        <is>
          <t>TrEMBL</t>
        </is>
      </c>
      <c r="J3504" t="inlineStr">
        <is>
          <t>LOC108701765</t>
        </is>
      </c>
      <c r="K3504" t="inlineStr">
        <is>
          <t>A0A8J1LS50_XENLA</t>
        </is>
      </c>
      <c r="L3504" t="inlineStr">
        <is>
          <t>tr|A0A8J1LS50|A0A8J1LS50_XENLA Angiotensin-converting enzyme OS=Xenopus laevis OX=8355 GN=LOC108701765 PE=3 SV=1</t>
        </is>
      </c>
      <c r="M3504" t="n">
        <v>1299</v>
      </c>
      <c r="N3504" t="inlineStr">
        <is>
          <t>Xenopus laevis</t>
        </is>
      </c>
      <c r="O3504" t="inlineStr">
        <is>
          <t>Angiotensin-converting enzyme</t>
        </is>
      </c>
    </row>
    <row r="3505">
      <c r="A3505" t="inlineStr"/>
      <c r="B3505" t="inlineStr"/>
      <c r="C3505" t="inlineStr"/>
      <c r="D3505" t="inlineStr"/>
      <c r="E3505">
        <f>HYPERLINK("https://www.uniprot.org/uniprotkb/A0A8C5N3T6/entry", "A0A8C5N3T6")</f>
        <v/>
      </c>
      <c r="F3505" t="n">
        <v>79.5</v>
      </c>
      <c r="G3505" t="n">
        <v>975</v>
      </c>
      <c r="H3505" t="n">
        <v>0</v>
      </c>
      <c r="I3505" t="inlineStr">
        <is>
          <t>TrEMBL</t>
        </is>
      </c>
      <c r="J3505" t="inlineStr"/>
      <c r="K3505" t="inlineStr">
        <is>
          <t>A0A8C5N3T6_9ANUR</t>
        </is>
      </c>
      <c r="L3505" t="inlineStr">
        <is>
          <t>tr|A0A8C5N3T6|A0A8C5N3T6_9ANUR Angiotensin-converting enzyme OS=Leptobrachium leishanense OX=445787 PE=3 SV=1</t>
        </is>
      </c>
      <c r="M3505" t="n">
        <v>1320</v>
      </c>
      <c r="N3505" t="inlineStr">
        <is>
          <t>Leptobrachium leishanense</t>
        </is>
      </c>
      <c r="O3505" t="inlineStr">
        <is>
          <t>Angiotensin-converting enzyme</t>
        </is>
      </c>
    </row>
    <row r="3506">
      <c r="A3506" t="inlineStr"/>
      <c r="B3506" t="inlineStr"/>
      <c r="C3506" t="inlineStr"/>
      <c r="D3506" t="inlineStr"/>
      <c r="E3506">
        <f>HYPERLINK("https://www.uniprot.org/uniprotkb/F6QYH4/entry", "F6QYH4")</f>
        <v/>
      </c>
      <c r="F3506" t="n">
        <v>77.90000000000001</v>
      </c>
      <c r="G3506" t="n">
        <v>996</v>
      </c>
      <c r="H3506" t="n">
        <v>0</v>
      </c>
      <c r="I3506" t="inlineStr">
        <is>
          <t>TrEMBL</t>
        </is>
      </c>
      <c r="J3506" t="inlineStr">
        <is>
          <t>micu1</t>
        </is>
      </c>
      <c r="K3506" t="inlineStr">
        <is>
          <t>F6QYH4_XENTR</t>
        </is>
      </c>
      <c r="L3506" t="inlineStr">
        <is>
          <t>tr|F6QYH4|F6QYH4_XENTR Angiotensin-converting enzyme OS=Xenopus tropicalis OX=8364 GN=micu1 PE=3 SV=2</t>
        </is>
      </c>
      <c r="M3506" t="n">
        <v>1283</v>
      </c>
      <c r="N3506" t="inlineStr">
        <is>
          <t>Xenopus tropicalis</t>
        </is>
      </c>
      <c r="O3506" t="inlineStr">
        <is>
          <t>Angiotensin-converting enzyme</t>
        </is>
      </c>
    </row>
    <row r="3507">
      <c r="A3507" t="inlineStr"/>
      <c r="B3507" t="inlineStr"/>
      <c r="C3507" t="inlineStr"/>
      <c r="D3507" t="inlineStr"/>
      <c r="E3507">
        <f>HYPERLINK("https://www.uniprot.org/uniprotkb/A0A8C0G3C6/entry", "A0A8C0G3C6")</f>
        <v/>
      </c>
      <c r="F3507" t="n">
        <v>76.90000000000001</v>
      </c>
      <c r="G3507" t="n">
        <v>995</v>
      </c>
      <c r="H3507" t="n">
        <v>0</v>
      </c>
      <c r="I3507" t="inlineStr">
        <is>
          <t>TrEMBL</t>
        </is>
      </c>
      <c r="J3507" t="inlineStr"/>
      <c r="K3507" t="inlineStr">
        <is>
          <t>A0A8C0G3C6_CHEAB</t>
        </is>
      </c>
      <c r="L3507" t="inlineStr">
        <is>
          <t>tr|A0A8C0G3C6|A0A8C0G3C6_CHEAB Angiotensin-converting enzyme OS=Chelonoidis abingdonii OX=106734 PE=3 SV=1</t>
        </is>
      </c>
      <c r="M3507" t="n">
        <v>1290</v>
      </c>
      <c r="N3507" t="inlineStr">
        <is>
          <t>Chelonoidis abingdonii</t>
        </is>
      </c>
      <c r="O3507" t="inlineStr">
        <is>
          <t>Angiotensin-converting enzyme</t>
        </is>
      </c>
    </row>
    <row r="3508">
      <c r="A3508" t="inlineStr"/>
      <c r="B3508" t="inlineStr"/>
      <c r="C3508" t="inlineStr"/>
      <c r="D3508" t="inlineStr"/>
      <c r="E3508">
        <f>HYPERLINK("https://www.uniprot.org/uniprotkb/A0A452HSC6/entry", "A0A452HSC6")</f>
        <v/>
      </c>
      <c r="F3508" t="n">
        <v>76.90000000000001</v>
      </c>
      <c r="G3508" t="n">
        <v>995</v>
      </c>
      <c r="H3508" t="n">
        <v>0</v>
      </c>
      <c r="I3508" t="inlineStr">
        <is>
          <t>TrEMBL</t>
        </is>
      </c>
      <c r="J3508" t="inlineStr"/>
      <c r="K3508" t="inlineStr">
        <is>
          <t>A0A452HSC6_9SAUR</t>
        </is>
      </c>
      <c r="L3508" t="inlineStr">
        <is>
          <t>tr|A0A452HSC6|A0A452HSC6_9SAUR Angiotensin-converting enzyme OS=Gopherus agassizii OX=38772 PE=3 SV=1</t>
        </is>
      </c>
      <c r="M3508" t="n">
        <v>1152</v>
      </c>
      <c r="N3508" t="inlineStr">
        <is>
          <t>Gopherus agassizii</t>
        </is>
      </c>
      <c r="O3508" t="inlineStr">
        <is>
          <t>Angiotensin-converting enzyme</t>
        </is>
      </c>
    </row>
    <row r="3509">
      <c r="A3509" t="inlineStr"/>
      <c r="B3509" t="inlineStr"/>
      <c r="C3509" t="inlineStr"/>
      <c r="D3509" t="inlineStr"/>
      <c r="E3509">
        <f>HYPERLINK("https://www.uniprot.org/uniprotkb/A0A452HSI8/entry", "A0A452HSI8")</f>
        <v/>
      </c>
      <c r="F3509" t="n">
        <v>76.8</v>
      </c>
      <c r="G3509" t="n">
        <v>995</v>
      </c>
      <c r="H3509" t="n">
        <v>0</v>
      </c>
      <c r="I3509" t="inlineStr">
        <is>
          <t>TrEMBL</t>
        </is>
      </c>
      <c r="J3509" t="inlineStr"/>
      <c r="K3509" t="inlineStr">
        <is>
          <t>A0A452HSI8_9SAUR</t>
        </is>
      </c>
      <c r="L3509" t="inlineStr">
        <is>
          <t>tr|A0A452HSI8|A0A452HSI8_9SAUR Angiotensin-converting enzyme OS=Gopherus agassizii OX=38772 PE=3 SV=1</t>
        </is>
      </c>
      <c r="M3509" t="n">
        <v>1273</v>
      </c>
      <c r="N3509" t="inlineStr">
        <is>
          <t>Gopherus agassizii</t>
        </is>
      </c>
      <c r="O3509" t="inlineStr">
        <is>
          <t>Angiotensin-converting enzyme</t>
        </is>
      </c>
    </row>
    <row r="3510">
      <c r="A3510" t="inlineStr"/>
      <c r="B3510" t="inlineStr"/>
      <c r="C3510" t="inlineStr"/>
      <c r="D3510" t="inlineStr"/>
      <c r="E3510">
        <f>HYPERLINK("https://www.uniprot.org/uniprotkb/A0A8C5F088/entry", "A0A8C5F088")</f>
        <v/>
      </c>
      <c r="F3510" t="n">
        <v>76.7</v>
      </c>
      <c r="G3510" t="n">
        <v>995</v>
      </c>
      <c r="H3510" t="n">
        <v>0</v>
      </c>
      <c r="I3510" t="inlineStr">
        <is>
          <t>TrEMBL</t>
        </is>
      </c>
      <c r="J3510" t="inlineStr">
        <is>
          <t>ACE</t>
        </is>
      </c>
      <c r="K3510" t="inlineStr">
        <is>
          <t>A0A8C5F088_9SAUR</t>
        </is>
      </c>
      <c r="L3510" t="inlineStr">
        <is>
          <t>tr|A0A8C5F088|A0A8C5F088_9SAUR Angiotensin-converting enzyme OS=Gopherus evgoodei OX=1825980 GN=ACE PE=3 SV=1</t>
        </is>
      </c>
      <c r="M3510" t="n">
        <v>1286</v>
      </c>
      <c r="N3510" t="inlineStr">
        <is>
          <t>Gopherus evgoodei</t>
        </is>
      </c>
      <c r="O3510" t="inlineStr">
        <is>
          <t>Angiotensin-converting enzyme</t>
        </is>
      </c>
    </row>
    <row r="3511">
      <c r="A3511" t="inlineStr"/>
      <c r="B3511" t="inlineStr"/>
      <c r="C3511" t="inlineStr"/>
      <c r="D3511" t="inlineStr"/>
      <c r="E3511">
        <f>HYPERLINK("https://www.uniprot.org/uniprotkb/A0A452HSC7/entry", "A0A452HSC7")</f>
        <v/>
      </c>
      <c r="F3511" t="n">
        <v>76.8</v>
      </c>
      <c r="G3511" t="n">
        <v>995</v>
      </c>
      <c r="H3511" t="n">
        <v>0</v>
      </c>
      <c r="I3511" t="inlineStr">
        <is>
          <t>TrEMBL</t>
        </is>
      </c>
      <c r="J3511" t="inlineStr"/>
      <c r="K3511" t="inlineStr">
        <is>
          <t>A0A452HSC7_9SAUR</t>
        </is>
      </c>
      <c r="L3511" t="inlineStr">
        <is>
          <t>tr|A0A452HSC7|A0A452HSC7_9SAUR Angiotensin-converting enzyme OS=Gopherus agassizii OX=38772 PE=3 SV=1</t>
        </is>
      </c>
      <c r="M3511" t="n">
        <v>1277</v>
      </c>
      <c r="N3511" t="inlineStr">
        <is>
          <t>Gopherus agassizii</t>
        </is>
      </c>
      <c r="O3511" t="inlineStr">
        <is>
          <t>Angiotensin-converting enzyme</t>
        </is>
      </c>
    </row>
    <row r="3512">
      <c r="A3512" t="inlineStr"/>
      <c r="B3512" t="inlineStr"/>
      <c r="C3512" t="inlineStr"/>
      <c r="D3512" t="inlineStr"/>
      <c r="E3512">
        <f>HYPERLINK("https://www.uniprot.org/uniprotkb/A0A452HSD2/entry", "A0A452HSD2")</f>
        <v/>
      </c>
      <c r="F3512" t="n">
        <v>76.7</v>
      </c>
      <c r="G3512" t="n">
        <v>996</v>
      </c>
      <c r="H3512" t="n">
        <v>0</v>
      </c>
      <c r="I3512" t="inlineStr">
        <is>
          <t>TrEMBL</t>
        </is>
      </c>
      <c r="J3512" t="inlineStr"/>
      <c r="K3512" t="inlineStr">
        <is>
          <t>A0A452HSD2_9SAUR</t>
        </is>
      </c>
      <c r="L3512" t="inlineStr">
        <is>
          <t>tr|A0A452HSD2|A0A452HSD2_9SAUR Angiotensin-converting enzyme OS=Gopherus agassizii OX=38772 PE=3 SV=1</t>
        </is>
      </c>
      <c r="M3512" t="n">
        <v>1281</v>
      </c>
      <c r="N3512" t="inlineStr">
        <is>
          <t>Gopherus agassizii</t>
        </is>
      </c>
      <c r="O3512" t="inlineStr">
        <is>
          <t>Angiotensin-converting enzyme</t>
        </is>
      </c>
    </row>
    <row r="3513">
      <c r="A3513" t="inlineStr"/>
      <c r="B3513" t="inlineStr"/>
      <c r="C3513" t="inlineStr"/>
      <c r="D3513" t="inlineStr"/>
      <c r="E3513">
        <f>HYPERLINK("https://www.uniprot.org/uniprotkb/A0A0A0AH35/entry", "A0A0A0AH35")</f>
        <v/>
      </c>
      <c r="F3513" t="n">
        <v>77.09999999999999</v>
      </c>
      <c r="G3513" t="n">
        <v>996</v>
      </c>
      <c r="H3513" t="n">
        <v>0</v>
      </c>
      <c r="I3513" t="inlineStr">
        <is>
          <t>TrEMBL</t>
        </is>
      </c>
      <c r="J3513" t="inlineStr">
        <is>
          <t>N301_11531</t>
        </is>
      </c>
      <c r="K3513" t="inlineStr">
        <is>
          <t>A0A0A0AH35_CHAVO</t>
        </is>
      </c>
      <c r="L3513" t="inlineStr">
        <is>
          <t>tr|A0A0A0AH35|A0A0A0AH35_CHAVO Angiotensin-converting enzyme (Fragment) OS=Charadrius vociferus OX=50402 GN=N301_11531 PE=3 SV=1</t>
        </is>
      </c>
      <c r="M3513" t="n">
        <v>1213</v>
      </c>
      <c r="N3513" t="inlineStr">
        <is>
          <t>Charadrius vociferus</t>
        </is>
      </c>
      <c r="O3513" t="inlineStr">
        <is>
          <t>Angiotensin-converting enzyme (Fragment)</t>
        </is>
      </c>
    </row>
    <row r="3514">
      <c r="A3514" t="inlineStr"/>
      <c r="B3514" t="inlineStr"/>
      <c r="C3514" t="inlineStr"/>
      <c r="D3514" t="inlineStr"/>
      <c r="E3514">
        <f>HYPERLINK("https://www.uniprot.org/uniprotkb/A0A7L1KLL7/entry", "A0A7L1KLL7")</f>
        <v/>
      </c>
      <c r="F3514" t="n">
        <v>77</v>
      </c>
      <c r="G3514" t="n">
        <v>996</v>
      </c>
      <c r="H3514" t="n">
        <v>0</v>
      </c>
      <c r="I3514" t="inlineStr">
        <is>
          <t>TrEMBL</t>
        </is>
      </c>
      <c r="J3514" t="inlineStr">
        <is>
          <t>Ace</t>
        </is>
      </c>
      <c r="K3514" t="inlineStr">
        <is>
          <t>A0A7L1KLL7_HIMHI</t>
        </is>
      </c>
      <c r="L3514" t="inlineStr">
        <is>
          <t>tr|A0A7L1KLL7|A0A7L1KLL7_HIMHI Angiotensin-converting enzyme (Fragment) OS=Himantopus himantopus OX=225398 GN=Ace PE=3 SV=1</t>
        </is>
      </c>
      <c r="M3514" t="n">
        <v>1287</v>
      </c>
      <c r="N3514" t="inlineStr">
        <is>
          <t>Himantopus himantopus</t>
        </is>
      </c>
      <c r="O3514" t="inlineStr">
        <is>
          <t>Angiotensin-converting enzyme (Fragment)</t>
        </is>
      </c>
    </row>
    <row r="3515">
      <c r="A3515" t="inlineStr"/>
      <c r="B3515" t="inlineStr"/>
      <c r="C3515" t="inlineStr"/>
      <c r="D3515" t="inlineStr"/>
      <c r="E3515">
        <f>HYPERLINK("https://www.uniprot.org/uniprotkb/A0A8C3IY54/entry", "A0A8C3IY54")</f>
        <v/>
      </c>
      <c r="F3515" t="n">
        <v>76.7</v>
      </c>
      <c r="G3515" t="n">
        <v>995</v>
      </c>
      <c r="H3515" t="n">
        <v>0</v>
      </c>
      <c r="I3515" t="inlineStr">
        <is>
          <t>TrEMBL</t>
        </is>
      </c>
      <c r="J3515" t="inlineStr"/>
      <c r="K3515" t="inlineStr">
        <is>
          <t>A0A8C3IY54_CHRPI</t>
        </is>
      </c>
      <c r="L3515" t="inlineStr">
        <is>
          <t>tr|A0A8C3IY54|A0A8C3IY54_CHRPI Angiotensin-converting enzyme OS=Chrysemys picta bellii OX=8478 PE=3 SV=1</t>
        </is>
      </c>
      <c r="M3515" t="n">
        <v>1290</v>
      </c>
      <c r="N3515" t="inlineStr">
        <is>
          <t>Chrysemys picta bellii</t>
        </is>
      </c>
      <c r="O3515" t="inlineStr">
        <is>
          <t>Angiotensin-converting enzyme</t>
        </is>
      </c>
    </row>
    <row r="3516">
      <c r="A3516" t="inlineStr"/>
      <c r="B3516" t="inlineStr"/>
      <c r="C3516" t="inlineStr"/>
      <c r="D3516" t="inlineStr"/>
      <c r="E3516">
        <f>HYPERLINK("https://www.uniprot.org/uniprotkb/A0A7K8SUG3/entry", "A0A7K8SUG3")</f>
        <v/>
      </c>
      <c r="F3516" t="n">
        <v>76.2</v>
      </c>
      <c r="G3516" t="n">
        <v>996</v>
      </c>
      <c r="H3516" t="n">
        <v>0</v>
      </c>
      <c r="I3516" t="inlineStr">
        <is>
          <t>TrEMBL</t>
        </is>
      </c>
      <c r="J3516" t="inlineStr">
        <is>
          <t>Ace</t>
        </is>
      </c>
      <c r="K3516" t="inlineStr">
        <is>
          <t>A0A7K8SUG3_9AVES</t>
        </is>
      </c>
      <c r="L3516" t="inlineStr">
        <is>
          <t>tr|A0A7K8SUG3|A0A7K8SUG3_9AVES Angiotensin-converting enzyme (Fragment) OS=Nyctibius bracteatus OX=48426 GN=Ace PE=3 SV=1</t>
        </is>
      </c>
      <c r="M3516" t="n">
        <v>1288</v>
      </c>
      <c r="N3516" t="inlineStr">
        <is>
          <t>Nyctibius bracteatus</t>
        </is>
      </c>
      <c r="O3516" t="inlineStr">
        <is>
          <t>Angiotensin-converting enzyme (Fragment)</t>
        </is>
      </c>
    </row>
    <row r="3517">
      <c r="A3517" t="inlineStr"/>
      <c r="B3517" t="inlineStr"/>
      <c r="C3517" t="inlineStr"/>
      <c r="D3517" t="inlineStr"/>
      <c r="E3517">
        <f>HYPERLINK("https://www.uniprot.org/uniprotkb/A0A7K7UMR2/entry", "A0A7K7UMR2")</f>
        <v/>
      </c>
      <c r="F3517" t="n">
        <v>76.7</v>
      </c>
      <c r="G3517" t="n">
        <v>996</v>
      </c>
      <c r="H3517" t="n">
        <v>0</v>
      </c>
      <c r="I3517" t="inlineStr">
        <is>
          <t>TrEMBL</t>
        </is>
      </c>
      <c r="J3517" t="inlineStr">
        <is>
          <t>Ace</t>
        </is>
      </c>
      <c r="K3517" t="inlineStr">
        <is>
          <t>A0A7K7UMR2_9CHAR</t>
        </is>
      </c>
      <c r="L3517" t="inlineStr">
        <is>
          <t>tr|A0A7K7UMR2|A0A7K7UMR2_9CHAR Angiotensin-converting enzyme (Fragment) OS=Ibidorhyncha struthersii OX=425643 GN=Ace PE=3 SV=1</t>
        </is>
      </c>
      <c r="M3517" t="n">
        <v>1217</v>
      </c>
      <c r="N3517" t="inlineStr">
        <is>
          <t>Ibidorhyncha struthersii</t>
        </is>
      </c>
      <c r="O3517" t="inlineStr">
        <is>
          <t>Angiotensin-converting enzyme (Fragment)</t>
        </is>
      </c>
    </row>
    <row r="3518">
      <c r="A3518" t="inlineStr"/>
      <c r="B3518" t="inlineStr"/>
      <c r="C3518" t="inlineStr"/>
      <c r="D3518" t="inlineStr"/>
      <c r="E3518">
        <f>HYPERLINK("https://www.uniprot.org/uniprotkb/A0A850TJB3/entry", "A0A850TJB3")</f>
        <v/>
      </c>
      <c r="F3518" t="n">
        <v>76.5</v>
      </c>
      <c r="G3518" t="n">
        <v>996</v>
      </c>
      <c r="H3518" t="n">
        <v>0</v>
      </c>
      <c r="I3518" t="inlineStr">
        <is>
          <t>TrEMBL</t>
        </is>
      </c>
      <c r="J3518" t="inlineStr">
        <is>
          <t>Ace</t>
        </is>
      </c>
      <c r="K3518" t="inlineStr">
        <is>
          <t>A0A850TJB3_GRUAM</t>
        </is>
      </c>
      <c r="L3518" t="inlineStr">
        <is>
          <t>tr|A0A850TJB3|A0A850TJB3_GRUAM Angiotensin-converting enzyme (Fragment) OS=Grus americana OX=9117 GN=Ace PE=3 SV=1</t>
        </is>
      </c>
      <c r="M3518" t="n">
        <v>1288</v>
      </c>
      <c r="N3518" t="inlineStr">
        <is>
          <t>Grus americana</t>
        </is>
      </c>
      <c r="O3518" t="inlineStr">
        <is>
          <t>Angiotensin-converting enzyme (Fragment)</t>
        </is>
      </c>
    </row>
    <row r="3519">
      <c r="A3519" t="inlineStr"/>
      <c r="B3519" t="inlineStr"/>
      <c r="C3519" t="inlineStr"/>
      <c r="D3519" t="inlineStr"/>
      <c r="E3519">
        <f>HYPERLINK("https://www.uniprot.org/uniprotkb/A0A8J4IPX3/entry", "A0A8J4IPX3")</f>
        <v/>
      </c>
      <c r="F3519" t="n">
        <v>76.09999999999999</v>
      </c>
      <c r="G3519" t="n">
        <v>996</v>
      </c>
      <c r="H3519" t="n">
        <v>0</v>
      </c>
      <c r="I3519" t="inlineStr">
        <is>
          <t>TrEMBL</t>
        </is>
      </c>
      <c r="J3519" t="inlineStr">
        <is>
          <t>FQV24_0006583</t>
        </is>
      </c>
      <c r="K3519" t="inlineStr">
        <is>
          <t>A0A8J4IPX3_SPHME</t>
        </is>
      </c>
      <c r="L3519" t="inlineStr">
        <is>
          <t>tr|A0A8J4IPX3|A0A8J4IPX3_SPHME Angiotensin-converting enzyme (Fragment) OS=Spheniscus mendiculus OX=156760 GN=FQV24_0006583 PE=3 SV=1</t>
        </is>
      </c>
      <c r="M3519" t="n">
        <v>1287</v>
      </c>
      <c r="N3519" t="inlineStr">
        <is>
          <t>Spheniscus mendiculus</t>
        </is>
      </c>
      <c r="O3519" t="inlineStr">
        <is>
          <t>Angiotensin-converting enzyme (Fragment)</t>
        </is>
      </c>
    </row>
    <row r="3520">
      <c r="A3520" t="inlineStr"/>
      <c r="B3520" t="inlineStr"/>
      <c r="C3520" t="inlineStr"/>
      <c r="D3520" t="inlineStr"/>
      <c r="E3520">
        <f>HYPERLINK("https://www.uniprot.org/uniprotkb/A0A8B7JS39/entry", "A0A8B7JS39")</f>
        <v/>
      </c>
      <c r="F3520" t="n">
        <v>76.7</v>
      </c>
      <c r="G3520" t="n">
        <v>996</v>
      </c>
      <c r="H3520" t="n">
        <v>0</v>
      </c>
      <c r="I3520" t="inlineStr">
        <is>
          <t>TrEMBL</t>
        </is>
      </c>
      <c r="J3520" t="inlineStr">
        <is>
          <t>ACE</t>
        </is>
      </c>
      <c r="K3520" t="inlineStr">
        <is>
          <t>A0A8B7JS39_9AVES</t>
        </is>
      </c>
      <c r="L3520" t="inlineStr">
        <is>
          <t>tr|A0A8B7JS39|A0A8B7JS39_9AVES Angiotensin-converting enzyme OS=Apteryx mantelli mantelli OX=202946 GN=ACE PE=3 SV=1</t>
        </is>
      </c>
      <c r="M3520" t="n">
        <v>1382</v>
      </c>
      <c r="N3520" t="inlineStr">
        <is>
          <t>Apteryx mantelli mantelli</t>
        </is>
      </c>
      <c r="O3520" t="inlineStr">
        <is>
          <t>Angiotensin-converting enzyme</t>
        </is>
      </c>
    </row>
    <row r="3521">
      <c r="A3521" t="inlineStr"/>
      <c r="B3521" t="inlineStr"/>
      <c r="C3521" t="inlineStr"/>
      <c r="D3521" t="inlineStr"/>
      <c r="E3521">
        <f>HYPERLINK("https://www.uniprot.org/uniprotkb/A0A7L3SYL4/entry", "A0A7L3SYL4")</f>
        <v/>
      </c>
      <c r="F3521" t="n">
        <v>76.5</v>
      </c>
      <c r="G3521" t="n">
        <v>996</v>
      </c>
      <c r="H3521" t="n">
        <v>0</v>
      </c>
      <c r="I3521" t="inlineStr">
        <is>
          <t>TrEMBL</t>
        </is>
      </c>
      <c r="J3521" t="inlineStr">
        <is>
          <t>Ace</t>
        </is>
      </c>
      <c r="K3521" t="inlineStr">
        <is>
          <t>A0A7L3SYL4_RISTR</t>
        </is>
      </c>
      <c r="L3521" t="inlineStr">
        <is>
          <t>tr|A0A7L3SYL4|A0A7L3SYL4_RISTR Angiotensin-converting enzyme (Fragment) OS=Rissa tridactyla OX=75485 GN=Ace PE=3 SV=1</t>
        </is>
      </c>
      <c r="M3521" t="n">
        <v>1284</v>
      </c>
      <c r="N3521" t="inlineStr">
        <is>
          <t>Rissa tridactyla</t>
        </is>
      </c>
      <c r="O3521" t="inlineStr">
        <is>
          <t>Angiotensin-converting enzyme (Fragment)</t>
        </is>
      </c>
    </row>
    <row r="3522">
      <c r="A3522" t="inlineStr"/>
      <c r="B3522" t="inlineStr"/>
      <c r="C3522" t="inlineStr"/>
      <c r="D3522" t="inlineStr"/>
      <c r="E3522">
        <f>HYPERLINK("https://www.uniprot.org/uniprotkb/A0A6P8PH42/entry", "A0A6P8PH42")</f>
        <v/>
      </c>
      <c r="F3522" t="n">
        <v>76.7</v>
      </c>
      <c r="G3522" t="n">
        <v>997</v>
      </c>
      <c r="H3522" t="n">
        <v>0</v>
      </c>
      <c r="I3522" t="inlineStr">
        <is>
          <t>TrEMBL</t>
        </is>
      </c>
      <c r="J3522" t="inlineStr">
        <is>
          <t>ACE</t>
        </is>
      </c>
      <c r="K3522" t="inlineStr">
        <is>
          <t>A0A6P8PH42_GEOSA</t>
        </is>
      </c>
      <c r="L3522" t="inlineStr">
        <is>
          <t>tr|A0A6P8PH42|A0A6P8PH42_GEOSA Angiotensin-converting enzyme OS=Geotrypetes seraphini OX=260995 GN=ACE PE=3 SV=1</t>
        </is>
      </c>
      <c r="M3522" t="n">
        <v>1285</v>
      </c>
      <c r="N3522" t="inlineStr">
        <is>
          <t>Geotrypetes seraphini</t>
        </is>
      </c>
      <c r="O3522" t="inlineStr">
        <is>
          <t>Angiotensin-converting enzyme</t>
        </is>
      </c>
    </row>
    <row r="3523">
      <c r="A3523" t="inlineStr"/>
      <c r="B3523" t="inlineStr"/>
      <c r="C3523" t="inlineStr"/>
      <c r="D3523" t="inlineStr"/>
      <c r="E3523">
        <f>HYPERLINK("https://www.uniprot.org/uniprotkb/A0A7K4JIM6/entry", "A0A7K4JIM6")</f>
        <v/>
      </c>
      <c r="F3523" t="n">
        <v>76.3</v>
      </c>
      <c r="G3523" t="n">
        <v>996</v>
      </c>
      <c r="H3523" t="n">
        <v>0</v>
      </c>
      <c r="I3523" t="inlineStr">
        <is>
          <t>TrEMBL</t>
        </is>
      </c>
      <c r="J3523" t="inlineStr">
        <is>
          <t>Ace</t>
        </is>
      </c>
      <c r="K3523" t="inlineStr">
        <is>
          <t>A0A7K4JIM6_GEOCA</t>
        </is>
      </c>
      <c r="L3523" t="inlineStr">
        <is>
          <t>tr|A0A7K4JIM6|A0A7K4JIM6_GEOCA Angiotensin-converting enzyme (Fragment) OS=Geococcyx californianus OX=8947 GN=Ace PE=3 SV=1</t>
        </is>
      </c>
      <c r="M3523" t="n">
        <v>1213</v>
      </c>
      <c r="N3523" t="inlineStr">
        <is>
          <t>Geococcyx californianus</t>
        </is>
      </c>
      <c r="O3523" t="inlineStr">
        <is>
          <t>Angiotensin-converting enzyme (Fragment)</t>
        </is>
      </c>
    </row>
    <row r="3524">
      <c r="A3524" t="inlineStr"/>
      <c r="B3524" t="inlineStr"/>
      <c r="C3524" t="inlineStr"/>
      <c r="D3524" t="inlineStr"/>
      <c r="E3524">
        <f>HYPERLINK("https://www.uniprot.org/uniprotkb/A0A7K6TIZ4/entry", "A0A7K6TIZ4")</f>
        <v/>
      </c>
      <c r="F3524" t="n">
        <v>76.7</v>
      </c>
      <c r="G3524" t="n">
        <v>996</v>
      </c>
      <c r="H3524" t="n">
        <v>0</v>
      </c>
      <c r="I3524" t="inlineStr">
        <is>
          <t>TrEMBL</t>
        </is>
      </c>
      <c r="J3524" t="inlineStr">
        <is>
          <t>Ace</t>
        </is>
      </c>
      <c r="K3524" t="inlineStr">
        <is>
          <t>A0A7K6TIZ4_CALNI</t>
        </is>
      </c>
      <c r="L3524" t="inlineStr">
        <is>
          <t>tr|A0A7K6TIZ4|A0A7K6TIZ4_CALNI Angiotensin-converting enzyme (Fragment) OS=Caloenas nicobarica OX=187106 GN=Ace PE=3 SV=1</t>
        </is>
      </c>
      <c r="M3524" t="n">
        <v>1280</v>
      </c>
      <c r="N3524" t="inlineStr">
        <is>
          <t>Caloenas nicobarica</t>
        </is>
      </c>
      <c r="O3524" t="inlineStr">
        <is>
          <t>Angiotensin-converting enzyme (Fragment)</t>
        </is>
      </c>
    </row>
    <row r="3525">
      <c r="A3525" t="inlineStr"/>
      <c r="B3525" t="inlineStr"/>
      <c r="C3525" t="inlineStr"/>
      <c r="D3525" t="inlineStr"/>
      <c r="E3525">
        <f>HYPERLINK("https://www.uniprot.org/uniprotkb/A0A7K7SW23/entry", "A0A7K7SW23")</f>
        <v/>
      </c>
      <c r="F3525" t="n">
        <v>76.09999999999999</v>
      </c>
      <c r="G3525" t="n">
        <v>996</v>
      </c>
      <c r="H3525" t="n">
        <v>0</v>
      </c>
      <c r="I3525" t="inlineStr">
        <is>
          <t>TrEMBL</t>
        </is>
      </c>
      <c r="J3525" t="inlineStr">
        <is>
          <t>Ace</t>
        </is>
      </c>
      <c r="K3525" t="inlineStr">
        <is>
          <t>A0A7K7SW23_9TYRA</t>
        </is>
      </c>
      <c r="L3525" t="inlineStr">
        <is>
          <t>tr|A0A7K7SW23|A0A7K7SW23_9TYRA Angiotensin-converting enzyme (Fragment) OS=Sapayoa aenigma OX=239371 GN=Ace PE=3 SV=1</t>
        </is>
      </c>
      <c r="M3525" t="n">
        <v>1285</v>
      </c>
      <c r="N3525" t="inlineStr">
        <is>
          <t>Sapayoa aenigma</t>
        </is>
      </c>
      <c r="O3525" t="inlineStr">
        <is>
          <t>Angiotensin-converting enzyme (Fragment)</t>
        </is>
      </c>
    </row>
    <row r="3526">
      <c r="A3526" t="inlineStr"/>
      <c r="B3526" t="inlineStr"/>
      <c r="C3526" t="inlineStr"/>
      <c r="D3526" t="inlineStr"/>
      <c r="E3526">
        <f>HYPERLINK("https://www.uniprot.org/uniprotkb/Q10751/entry", "Q10751")</f>
        <v/>
      </c>
      <c r="F3526" t="n">
        <v>76.2</v>
      </c>
      <c r="G3526" t="n">
        <v>996</v>
      </c>
      <c r="H3526" t="n">
        <v>0</v>
      </c>
      <c r="I3526" t="inlineStr">
        <is>
          <t>Swiss-Prot</t>
        </is>
      </c>
      <c r="J3526" t="inlineStr">
        <is>
          <t>ACE</t>
        </is>
      </c>
      <c r="K3526" t="inlineStr">
        <is>
          <t>ACE_CHICK</t>
        </is>
      </c>
      <c r="L3526" t="inlineStr">
        <is>
          <t>sp|Q10751|ACE_CHICK Angiotensin-converting enzyme OS=Gallus gallus OX=9031 GN=ACE PE=2 SV=2</t>
        </is>
      </c>
      <c r="M3526" t="n">
        <v>1281</v>
      </c>
      <c r="N3526" t="inlineStr">
        <is>
          <t>Gallus gallus</t>
        </is>
      </c>
      <c r="O3526" t="inlineStr">
        <is>
          <t>Angiotensin-converting enzyme</t>
        </is>
      </c>
    </row>
    <row r="3527">
      <c r="A3527" t="inlineStr"/>
      <c r="B3527" t="inlineStr"/>
      <c r="C3527" t="inlineStr"/>
      <c r="D3527" t="inlineStr"/>
      <c r="E3527">
        <f>HYPERLINK("https://www.uniprot.org/uniprotkb/P12821/entry", "P12821")</f>
        <v/>
      </c>
      <c r="F3527" t="n">
        <v>66</v>
      </c>
      <c r="G3527" t="n">
        <v>987</v>
      </c>
      <c r="H3527" t="n">
        <v>0</v>
      </c>
      <c r="I3527" t="inlineStr">
        <is>
          <t>Swiss-Prot</t>
        </is>
      </c>
      <c r="J3527" t="inlineStr">
        <is>
          <t>ACE</t>
        </is>
      </c>
      <c r="K3527" t="inlineStr">
        <is>
          <t>ACE_HUMAN</t>
        </is>
      </c>
      <c r="L3527" t="inlineStr">
        <is>
          <t>sp|P12821|ACE_HUMAN Angiotensin-converting enzyme OS=Homo sapiens OX=9606 GN=ACE PE=1 SV=1</t>
        </is>
      </c>
      <c r="M3527" t="n">
        <v>1306</v>
      </c>
      <c r="N3527" t="inlineStr">
        <is>
          <t>Homo sapiens</t>
        </is>
      </c>
      <c r="O3527" t="inlineStr">
        <is>
          <t>Angiotensin-converting enzyme</t>
        </is>
      </c>
    </row>
    <row r="3528">
      <c r="A3528" t="inlineStr"/>
      <c r="B3528" t="inlineStr"/>
      <c r="C3528" t="inlineStr"/>
      <c r="D3528" t="inlineStr"/>
      <c r="E3528">
        <f>HYPERLINK("https://www.uniprot.org/uniprotkb/P09470/entry", "P09470")</f>
        <v/>
      </c>
      <c r="F3528" t="n">
        <v>65.2</v>
      </c>
      <c r="G3528" t="n">
        <v>1005</v>
      </c>
      <c r="H3528" t="n">
        <v>0</v>
      </c>
      <c r="I3528" t="inlineStr">
        <is>
          <t>Swiss-Prot</t>
        </is>
      </c>
      <c r="J3528" t="inlineStr">
        <is>
          <t>Ace</t>
        </is>
      </c>
      <c r="K3528" t="inlineStr">
        <is>
          <t>ACE_MOUSE</t>
        </is>
      </c>
      <c r="L3528" t="inlineStr">
        <is>
          <t>sp|P09470|ACE_MOUSE Angiotensin-converting enzyme OS=Mus musculus OX=10090 GN=Ace PE=1 SV=3</t>
        </is>
      </c>
      <c r="M3528" t="n">
        <v>1312</v>
      </c>
      <c r="N3528" t="inlineStr">
        <is>
          <t>Mus musculus</t>
        </is>
      </c>
      <c r="O3528" t="inlineStr">
        <is>
          <t>Angiotensin-converting enzyme</t>
        </is>
      </c>
    </row>
    <row r="3529">
      <c r="A3529" t="inlineStr"/>
      <c r="B3529" t="inlineStr"/>
      <c r="C3529" t="inlineStr"/>
      <c r="D3529" t="inlineStr"/>
      <c r="E3529">
        <f>HYPERLINK("https://www.uniprot.org/uniprotkb/Q9GLN7/entry", "Q9GLN7")</f>
        <v/>
      </c>
      <c r="F3529" t="n">
        <v>65.8</v>
      </c>
      <c r="G3529" t="n">
        <v>987</v>
      </c>
      <c r="H3529" t="n">
        <v>0</v>
      </c>
      <c r="I3529" t="inlineStr">
        <is>
          <t>Swiss-Prot</t>
        </is>
      </c>
      <c r="J3529" t="inlineStr">
        <is>
          <t>ACE</t>
        </is>
      </c>
      <c r="K3529" t="inlineStr">
        <is>
          <t>ACE_PANTR</t>
        </is>
      </c>
      <c r="L3529" t="inlineStr">
        <is>
          <t>sp|Q9GLN7|ACE_PANTR Angiotensin-converting enzyme OS=Pan troglodytes OX=9598 GN=ACE PE=3 SV=1</t>
        </is>
      </c>
      <c r="M3529" t="n">
        <v>1304</v>
      </c>
      <c r="N3529" t="inlineStr">
        <is>
          <t>Pan troglodytes</t>
        </is>
      </c>
      <c r="O3529" t="inlineStr">
        <is>
          <t>Angiotensin-converting enzyme</t>
        </is>
      </c>
    </row>
    <row r="3530">
      <c r="A3530" t="inlineStr"/>
      <c r="B3530" t="inlineStr"/>
      <c r="C3530" t="inlineStr"/>
      <c r="D3530" t="inlineStr"/>
      <c r="E3530">
        <f>HYPERLINK("https://www.uniprot.org/uniprotkb/P12820/entry", "P12820")</f>
        <v/>
      </c>
      <c r="F3530" t="n">
        <v>64.5</v>
      </c>
      <c r="G3530" t="n">
        <v>1003</v>
      </c>
      <c r="H3530" t="n">
        <v>0</v>
      </c>
      <c r="I3530" t="inlineStr">
        <is>
          <t>Swiss-Prot</t>
        </is>
      </c>
      <c r="J3530" t="inlineStr">
        <is>
          <t>ACE</t>
        </is>
      </c>
      <c r="K3530" t="inlineStr">
        <is>
          <t>ACE_BOVIN</t>
        </is>
      </c>
      <c r="L3530" t="inlineStr">
        <is>
          <t>sp|P12820|ACE_BOVIN Angiotensin-converting enzyme OS=Bos taurus OX=9913 GN=ACE PE=1 SV=3</t>
        </is>
      </c>
      <c r="M3530" t="n">
        <v>1306</v>
      </c>
      <c r="N3530" t="inlineStr">
        <is>
          <t>Bos taurus</t>
        </is>
      </c>
      <c r="O3530" t="inlineStr">
        <is>
          <t>Angiotensin-converting enzyme</t>
        </is>
      </c>
    </row>
    <row r="3531">
      <c r="A3531" t="inlineStr"/>
      <c r="B3531" t="inlineStr"/>
      <c r="C3531" t="inlineStr"/>
      <c r="D3531" t="inlineStr"/>
      <c r="E3531">
        <f>HYPERLINK("https://www.uniprot.org/uniprotkb/P47820/entry", "P47820")</f>
        <v/>
      </c>
      <c r="F3531" t="n">
        <v>64.90000000000001</v>
      </c>
      <c r="G3531" t="n">
        <v>1005</v>
      </c>
      <c r="H3531" t="n">
        <v>0</v>
      </c>
      <c r="I3531" t="inlineStr">
        <is>
          <t>Swiss-Prot</t>
        </is>
      </c>
      <c r="J3531" t="inlineStr">
        <is>
          <t>Ace</t>
        </is>
      </c>
      <c r="K3531" t="inlineStr">
        <is>
          <t>ACE_RAT</t>
        </is>
      </c>
      <c r="L3531" t="inlineStr">
        <is>
          <t>sp|P47820|ACE_RAT Angiotensin-converting enzyme OS=Rattus norvegicus OX=10116 GN=Ace PE=1 SV=1</t>
        </is>
      </c>
      <c r="M3531" t="n">
        <v>1313</v>
      </c>
      <c r="N3531" t="inlineStr">
        <is>
          <t>Rattus norvegicus</t>
        </is>
      </c>
      <c r="O3531" t="inlineStr">
        <is>
          <t>Angiotensin-converting enzyme</t>
        </is>
      </c>
    </row>
    <row r="3532">
      <c r="A3532" t="inlineStr"/>
      <c r="B3532" t="inlineStr"/>
      <c r="C3532" t="inlineStr"/>
      <c r="D3532" t="inlineStr"/>
      <c r="E3532">
        <f>HYPERLINK("https://www.uniprot.org/uniprotkb/Q50JE5/entry", "Q50JE5")</f>
        <v/>
      </c>
      <c r="F3532" t="n">
        <v>64.2</v>
      </c>
      <c r="G3532" t="n">
        <v>1006</v>
      </c>
      <c r="H3532" t="n">
        <v>0</v>
      </c>
      <c r="I3532" t="inlineStr">
        <is>
          <t>Swiss-Prot</t>
        </is>
      </c>
      <c r="J3532" t="inlineStr">
        <is>
          <t>Ace</t>
        </is>
      </c>
      <c r="K3532" t="inlineStr">
        <is>
          <t>ACE_MESAU</t>
        </is>
      </c>
      <c r="L3532" t="inlineStr">
        <is>
          <t>sp|Q50JE5|ACE_MESAU Angiotensin-converting enzyme OS=Mesocricetus auratus OX=10036 GN=Ace PE=2 SV=1</t>
        </is>
      </c>
      <c r="M3532" t="n">
        <v>1314</v>
      </c>
      <c r="N3532" t="inlineStr">
        <is>
          <t>Mesocricetus auratus</t>
        </is>
      </c>
      <c r="O3532" t="inlineStr">
        <is>
          <t>Angiotensin-converting enzyme</t>
        </is>
      </c>
    </row>
    <row r="3533">
      <c r="A3533" t="inlineStr"/>
      <c r="B3533" t="inlineStr"/>
      <c r="C3533" t="inlineStr"/>
      <c r="D3533" t="inlineStr"/>
      <c r="E3533">
        <f>HYPERLINK("https://www.uniprot.org/uniprotkb/P12822/entry", "P12822")</f>
        <v/>
      </c>
      <c r="F3533" t="n">
        <v>64.59999999999999</v>
      </c>
      <c r="G3533" t="n">
        <v>1004</v>
      </c>
      <c r="H3533" t="n">
        <v>0</v>
      </c>
      <c r="I3533" t="inlineStr">
        <is>
          <t>Swiss-Prot</t>
        </is>
      </c>
      <c r="J3533" t="inlineStr">
        <is>
          <t>ACE</t>
        </is>
      </c>
      <c r="K3533" t="inlineStr">
        <is>
          <t>ACE_RABIT</t>
        </is>
      </c>
      <c r="L3533" t="inlineStr">
        <is>
          <t>sp|P12822|ACE_RABIT Angiotensin-converting enzyme OS=Oryctolagus cuniculus OX=9986 GN=ACE PE=1 SV=3</t>
        </is>
      </c>
      <c r="M3533" t="n">
        <v>1310</v>
      </c>
      <c r="N3533" t="inlineStr">
        <is>
          <t>Oryctolagus cuniculus</t>
        </is>
      </c>
      <c r="O3533" t="inlineStr">
        <is>
          <t>Angiotensin-converting enzyme</t>
        </is>
      </c>
    </row>
    <row r="3534">
      <c r="A3534" t="inlineStr"/>
      <c r="B3534" t="inlineStr"/>
      <c r="C3534" t="inlineStr"/>
      <c r="D3534" t="inlineStr"/>
      <c r="E3534">
        <f>HYPERLINK("https://www.uniprot.org/uniprotkb/F1RRW5/entry", "F1RRW5")</f>
        <v/>
      </c>
      <c r="F3534" t="n">
        <v>63.9</v>
      </c>
      <c r="G3534" t="n">
        <v>1003</v>
      </c>
      <c r="H3534" t="n">
        <v>0</v>
      </c>
      <c r="I3534" t="inlineStr">
        <is>
          <t>Swiss-Prot</t>
        </is>
      </c>
      <c r="J3534" t="inlineStr">
        <is>
          <t>ACE</t>
        </is>
      </c>
      <c r="K3534" t="inlineStr">
        <is>
          <t>ACE_PIG</t>
        </is>
      </c>
      <c r="L3534" t="inlineStr">
        <is>
          <t>sp|F1RRW5|ACE_PIG Angiotensin-converting enzyme OS=Sus scrofa OX=9823 GN=ACE PE=1 SV=3</t>
        </is>
      </c>
      <c r="M3534" t="n">
        <v>1309</v>
      </c>
      <c r="N3534" t="inlineStr">
        <is>
          <t>Sus scrofa</t>
        </is>
      </c>
      <c r="O3534" t="inlineStr">
        <is>
          <t>Angiotensin-converting enzyme</t>
        </is>
      </c>
    </row>
    <row r="3535">
      <c r="A3535" t="inlineStr"/>
      <c r="B3535" t="inlineStr"/>
      <c r="C3535" t="inlineStr"/>
      <c r="D3535" t="inlineStr"/>
      <c r="E3535">
        <f>HYPERLINK("https://www.uniprot.org/uniprotkb/D0G895/entry", "D0G895")</f>
        <v/>
      </c>
      <c r="F3535" t="n">
        <v>52.2</v>
      </c>
      <c r="G3535" t="n">
        <v>655</v>
      </c>
      <c r="H3535" t="n">
        <v>1.64e-247</v>
      </c>
      <c r="I3535" t="inlineStr">
        <is>
          <t>Swiss-Prot</t>
        </is>
      </c>
      <c r="J3535" t="inlineStr">
        <is>
          <t>Ace3</t>
        </is>
      </c>
      <c r="K3535" t="inlineStr">
        <is>
          <t>ACE3_MOUSE</t>
        </is>
      </c>
      <c r="L3535" t="inlineStr">
        <is>
          <t>sp|D0G895|ACE3_MOUSE Angiotensin-converting enzyme-like protein Ace3 OS=Mus musculus OX=10090 GN=Ace3 PE=1 SV=1</t>
        </is>
      </c>
      <c r="M3535" t="n">
        <v>737</v>
      </c>
      <c r="N3535" t="inlineStr">
        <is>
          <t>Mus musculus</t>
        </is>
      </c>
      <c r="O3535" t="inlineStr">
        <is>
          <t>Angiotensin-converting enzyme-like protein Ace3</t>
        </is>
      </c>
    </row>
    <row r="3536">
      <c r="A3536" t="inlineStr"/>
      <c r="B3536" t="inlineStr"/>
      <c r="C3536" t="inlineStr"/>
      <c r="D3536" t="inlineStr"/>
      <c r="E3536">
        <f>HYPERLINK("https://www.uniprot.org/uniprotkb/Q6Q4G4/entry", "Q6Q4G4")</f>
        <v/>
      </c>
      <c r="F3536" t="n">
        <v>52.6</v>
      </c>
      <c r="G3536" t="n">
        <v>588</v>
      </c>
      <c r="H3536" t="n">
        <v>1.08e-225</v>
      </c>
      <c r="I3536" t="inlineStr">
        <is>
          <t>Swiss-Prot</t>
        </is>
      </c>
      <c r="J3536" t="inlineStr">
        <is>
          <t>ACE</t>
        </is>
      </c>
      <c r="K3536" t="inlineStr">
        <is>
          <t>ACE_THETS</t>
        </is>
      </c>
      <c r="L3536" t="inlineStr">
        <is>
          <t>sp|Q6Q4G4|ACE_THETS Angiotensin-converting enzyme OS=Theromyzon tessulatum OX=13286 GN=ACE PE=2 SV=1</t>
        </is>
      </c>
      <c r="M3536" t="n">
        <v>616</v>
      </c>
      <c r="N3536" t="inlineStr">
        <is>
          <t>Theromyzon tessulatum</t>
        </is>
      </c>
      <c r="O3536" t="inlineStr">
        <is>
          <t>Angiotensin-converting enzyme</t>
        </is>
      </c>
    </row>
    <row r="3537">
      <c r="A3537" t="inlineStr"/>
      <c r="B3537" t="inlineStr"/>
      <c r="C3537" t="inlineStr"/>
      <c r="D3537" t="inlineStr"/>
      <c r="E3537">
        <f>HYPERLINK("https://www.uniprot.org/uniprotkb/Q10714/entry", "Q10714")</f>
        <v/>
      </c>
      <c r="F3537" t="n">
        <v>46.6</v>
      </c>
      <c r="G3537" t="n">
        <v>592</v>
      </c>
      <c r="H3537" t="n">
        <v>1.22e-185</v>
      </c>
      <c r="I3537" t="inlineStr">
        <is>
          <t>Swiss-Prot</t>
        </is>
      </c>
      <c r="J3537" t="inlineStr">
        <is>
          <t>Ance</t>
        </is>
      </c>
      <c r="K3537" t="inlineStr">
        <is>
          <t>ACE_DROME</t>
        </is>
      </c>
      <c r="L3537" t="inlineStr">
        <is>
          <t>sp|Q10714|ACE_DROME Angiotensin-converting enzyme OS=Drosophila melanogaster OX=7227 GN=Ance PE=1 SV=3</t>
        </is>
      </c>
      <c r="M3537" t="n">
        <v>615</v>
      </c>
      <c r="N3537" t="inlineStr">
        <is>
          <t>Drosophila melanogaster</t>
        </is>
      </c>
      <c r="O3537" t="inlineStr">
        <is>
          <t>Angiotensin-converting enzyme</t>
        </is>
      </c>
    </row>
    <row r="3538">
      <c r="A3538" t="inlineStr"/>
      <c r="B3538" t="inlineStr"/>
      <c r="C3538" t="inlineStr"/>
      <c r="D3538" t="inlineStr"/>
      <c r="E3538">
        <f>HYPERLINK("https://www.uniprot.org/uniprotkb/Q10715/entry", "Q10715")</f>
        <v/>
      </c>
      <c r="F3538" t="n">
        <v>46.5</v>
      </c>
      <c r="G3538" t="n">
        <v>587</v>
      </c>
      <c r="H3538" t="n">
        <v>3.26e-181</v>
      </c>
      <c r="I3538" t="inlineStr">
        <is>
          <t>Swiss-Prot</t>
        </is>
      </c>
      <c r="J3538" t="inlineStr">
        <is>
          <t>ACE</t>
        </is>
      </c>
      <c r="K3538" t="inlineStr">
        <is>
          <t>ACE_HAEIX</t>
        </is>
      </c>
      <c r="L3538" t="inlineStr">
        <is>
          <t>sp|Q10715|ACE_HAEIX Angiotensin-converting enzyme OS=Haematobia irritans exigua OX=34678 GN=ACE PE=2 SV=1</t>
        </is>
      </c>
      <c r="M3538" t="n">
        <v>611</v>
      </c>
      <c r="N3538" t="inlineStr">
        <is>
          <t>Haematobia irritans exigua</t>
        </is>
      </c>
      <c r="O3538" t="inlineStr">
        <is>
          <t>Angiotensin-converting enzyme</t>
        </is>
      </c>
    </row>
    <row r="3539">
      <c r="A3539" t="inlineStr"/>
      <c r="B3539" t="inlineStr"/>
      <c r="C3539" t="inlineStr"/>
      <c r="D3539" t="inlineStr"/>
      <c r="E3539">
        <f>HYPERLINK("https://www.uniprot.org/uniprotkb/Q8R0I0/entry", "Q8R0I0")</f>
        <v/>
      </c>
      <c r="F3539" t="n">
        <v>44.8</v>
      </c>
      <c r="G3539" t="n">
        <v>596</v>
      </c>
      <c r="H3539" t="n">
        <v>6.519999999999999e-170</v>
      </c>
      <c r="I3539" t="inlineStr">
        <is>
          <t>Swiss-Prot</t>
        </is>
      </c>
      <c r="J3539" t="inlineStr">
        <is>
          <t>Ace2</t>
        </is>
      </c>
      <c r="K3539" t="inlineStr">
        <is>
          <t>ACE2_MOUSE</t>
        </is>
      </c>
      <c r="L3539" t="inlineStr">
        <is>
          <t>sp|Q8R0I0|ACE2_MOUSE Angiotensin-converting enzyme 2 OS=Mus musculus OX=10090 GN=Ace2 PE=1 SV=1</t>
        </is>
      </c>
      <c r="M3539" t="n">
        <v>805</v>
      </c>
      <c r="N3539" t="inlineStr">
        <is>
          <t>Mus musculus</t>
        </is>
      </c>
      <c r="O3539" t="inlineStr">
        <is>
          <t>Angiotensin-converting enzyme 2</t>
        </is>
      </c>
    </row>
    <row r="3540">
      <c r="A3540" t="inlineStr"/>
      <c r="B3540" t="inlineStr"/>
      <c r="C3540" t="inlineStr"/>
      <c r="D3540" t="inlineStr"/>
      <c r="E3540">
        <f>HYPERLINK("https://www.uniprot.org/uniprotkb/Q5EGZ1/entry", "Q5EGZ1")</f>
        <v/>
      </c>
      <c r="F3540" t="n">
        <v>44.5</v>
      </c>
      <c r="G3540" t="n">
        <v>596</v>
      </c>
      <c r="H3540" t="n">
        <v>7.13e-169</v>
      </c>
      <c r="I3540" t="inlineStr">
        <is>
          <t>Swiss-Prot</t>
        </is>
      </c>
      <c r="J3540" t="inlineStr">
        <is>
          <t>Ace2</t>
        </is>
      </c>
      <c r="K3540" t="inlineStr">
        <is>
          <t>ACE2_RAT</t>
        </is>
      </c>
      <c r="L3540" t="inlineStr">
        <is>
          <t>sp|Q5EGZ1|ACE2_RAT Angiotensin-converting enzyme 2 OS=Rattus norvegicus OX=10116 GN=Ace2 PE=1 SV=1</t>
        </is>
      </c>
      <c r="M3540" t="n">
        <v>805</v>
      </c>
      <c r="N3540" t="inlineStr">
        <is>
          <t>Rattus norvegicus</t>
        </is>
      </c>
      <c r="O3540" t="inlineStr">
        <is>
          <t>Angiotensin-converting enzyme 2</t>
        </is>
      </c>
    </row>
    <row r="3541">
      <c r="A3541" t="inlineStr"/>
      <c r="B3541" t="inlineStr"/>
      <c r="C3541" t="inlineStr"/>
      <c r="D3541" t="inlineStr"/>
      <c r="E3541">
        <f>HYPERLINK("https://www.uniprot.org/uniprotkb/Q5RFN1/entry", "Q5RFN1")</f>
        <v/>
      </c>
      <c r="F3541" t="n">
        <v>43.8</v>
      </c>
      <c r="G3541" t="n">
        <v>596</v>
      </c>
      <c r="H3541" t="n">
        <v>2.58e-165</v>
      </c>
      <c r="I3541" t="inlineStr">
        <is>
          <t>Swiss-Prot</t>
        </is>
      </c>
      <c r="J3541" t="inlineStr">
        <is>
          <t>ACE2</t>
        </is>
      </c>
      <c r="K3541" t="inlineStr">
        <is>
          <t>ACE2_PONAB</t>
        </is>
      </c>
      <c r="L3541" t="inlineStr">
        <is>
          <t>sp|Q5RFN1|ACE2_PONAB Angiotensin-converting enzyme 2 OS=Pongo abelii OX=9601 GN=ACE2 PE=2 SV=1</t>
        </is>
      </c>
      <c r="M3541" t="n">
        <v>805</v>
      </c>
      <c r="N3541" t="inlineStr">
        <is>
          <t>Pongo abelii</t>
        </is>
      </c>
      <c r="O3541" t="inlineStr">
        <is>
          <t>Angiotensin-converting enzyme 2</t>
        </is>
      </c>
    </row>
    <row r="3542">
      <c r="A3542" t="inlineStr"/>
      <c r="B3542" t="inlineStr"/>
      <c r="C3542" t="inlineStr"/>
      <c r="D3542" t="inlineStr"/>
      <c r="E3542">
        <f>HYPERLINK("https://www.uniprot.org/uniprotkb/Q56H28/entry", "Q56H28")</f>
        <v/>
      </c>
      <c r="F3542" t="n">
        <v>43.1</v>
      </c>
      <c r="G3542" t="n">
        <v>596</v>
      </c>
      <c r="H3542" t="n">
        <v>1.01e-164</v>
      </c>
      <c r="I3542" t="inlineStr">
        <is>
          <t>Swiss-Prot</t>
        </is>
      </c>
      <c r="J3542" t="inlineStr">
        <is>
          <t>ACE2</t>
        </is>
      </c>
      <c r="K3542" t="inlineStr">
        <is>
          <t>ACE2_FELCA</t>
        </is>
      </c>
      <c r="L3542" t="inlineStr">
        <is>
          <t>sp|Q56H28|ACE2_FELCA Angiotensin-converting enzyme 2 OS=Felis catus OX=9685 GN=ACE2 PE=1 SV=1</t>
        </is>
      </c>
      <c r="M3542" t="n">
        <v>805</v>
      </c>
      <c r="N3542" t="inlineStr">
        <is>
          <t>Felis catus</t>
        </is>
      </c>
      <c r="O3542" t="inlineStr">
        <is>
          <t>Angiotensin-converting enzyme 2</t>
        </is>
      </c>
    </row>
    <row r="3543">
      <c r="A3543" t="inlineStr"/>
      <c r="B3543" t="inlineStr"/>
      <c r="C3543" t="inlineStr"/>
      <c r="D3543" t="inlineStr"/>
      <c r="E3543">
        <f>HYPERLINK("https://www.uniprot.org/uniprotkb/Q9BYF1/entry", "Q9BYF1")</f>
        <v/>
      </c>
      <c r="F3543" t="n">
        <v>43.5</v>
      </c>
      <c r="G3543" t="n">
        <v>596</v>
      </c>
      <c r="H3543" t="n">
        <v>5.560000000000001e-164</v>
      </c>
      <c r="I3543" t="inlineStr">
        <is>
          <t>Swiss-Prot</t>
        </is>
      </c>
      <c r="J3543" t="inlineStr">
        <is>
          <t>ACE2</t>
        </is>
      </c>
      <c r="K3543" t="inlineStr">
        <is>
          <t>ACE2_HUMAN</t>
        </is>
      </c>
      <c r="L3543" t="inlineStr">
        <is>
          <t>sp|Q9BYF1|ACE2_HUMAN Angiotensin-converting enzyme 2 OS=Homo sapiens OX=9606 GN=ACE2 PE=1 SV=2</t>
        </is>
      </c>
      <c r="M3543" t="n">
        <v>805</v>
      </c>
      <c r="N3543" t="inlineStr">
        <is>
          <t>Homo sapiens</t>
        </is>
      </c>
      <c r="O3543" t="inlineStr">
        <is>
          <t>Angiotensin-converting enzyme 2</t>
        </is>
      </c>
    </row>
    <row r="3544">
      <c r="A3544" t="inlineStr"/>
      <c r="B3544" t="inlineStr"/>
      <c r="C3544" t="inlineStr"/>
      <c r="D3544" t="inlineStr"/>
      <c r="E3544">
        <f>HYPERLINK("https://www.uniprot.org/uniprotkb/Q56NL1/entry", "Q56NL1")</f>
        <v/>
      </c>
      <c r="F3544" t="n">
        <v>42.8</v>
      </c>
      <c r="G3544" t="n">
        <v>596</v>
      </c>
      <c r="H3544" t="n">
        <v>1.1e-163</v>
      </c>
      <c r="I3544" t="inlineStr">
        <is>
          <t>Swiss-Prot</t>
        </is>
      </c>
      <c r="J3544" t="inlineStr">
        <is>
          <t>ACE2</t>
        </is>
      </c>
      <c r="K3544" t="inlineStr">
        <is>
          <t>ACE2_PAGLA</t>
        </is>
      </c>
      <c r="L3544" t="inlineStr">
        <is>
          <t>sp|Q56NL1|ACE2_PAGLA Angiotensin-converting enzyme 2 OS=Paguma larvata OX=9675 GN=ACE2 PE=1 SV=1</t>
        </is>
      </c>
      <c r="M3544" t="n">
        <v>805</v>
      </c>
      <c r="N3544" t="inlineStr">
        <is>
          <t>Paguma larvata</t>
        </is>
      </c>
      <c r="O3544" t="inlineStr">
        <is>
          <t>Angiotensin-converting enzyme 2</t>
        </is>
      </c>
    </row>
    <row r="3545">
      <c r="A3545" t="inlineStr"/>
      <c r="B3545" t="inlineStr"/>
      <c r="C3545" t="inlineStr"/>
      <c r="D3545" t="inlineStr"/>
      <c r="E3545">
        <f>HYPERLINK("https://www.uniprot.org/uniprotkb/B0JZU8/entry", "B0JZU8")</f>
        <v/>
      </c>
      <c r="F3545" t="n">
        <v>77.59999999999999</v>
      </c>
      <c r="G3545" t="n">
        <v>304</v>
      </c>
      <c r="H3545" t="n">
        <v>4.440000000000001e-163</v>
      </c>
      <c r="I3545" t="inlineStr">
        <is>
          <t>TrEMBL</t>
        </is>
      </c>
      <c r="J3545" t="inlineStr">
        <is>
          <t>ace</t>
        </is>
      </c>
      <c r="K3545" t="inlineStr">
        <is>
          <t>B0JZU8_XENTR</t>
        </is>
      </c>
      <c r="L3545" t="inlineStr">
        <is>
          <t>tr|B0JZU8|B0JZU8_XENTR Angiotensin-converting enzyme OS=Xenopus tropicalis OX=8364 GN=ace PE=2 SV=1</t>
        </is>
      </c>
      <c r="M3545" t="n">
        <v>1284</v>
      </c>
      <c r="N3545" t="inlineStr">
        <is>
          <t>Xenopus tropicalis</t>
        </is>
      </c>
      <c r="O3545" t="inlineStr">
        <is>
          <t>Angiotensin-converting enzyme</t>
        </is>
      </c>
    </row>
    <row r="3546">
      <c r="A3546" t="inlineStr"/>
      <c r="B3546" t="inlineStr"/>
      <c r="C3546" t="inlineStr"/>
      <c r="D3546" t="inlineStr"/>
      <c r="E3546">
        <f>HYPERLINK("https://www.ncbi.nlm.nih.gov/gene/?term=NP_001116882.1", "NP_001116882.1")</f>
        <v/>
      </c>
      <c r="F3546" t="n">
        <v>77.59999999999999</v>
      </c>
      <c r="G3546" t="n">
        <v>304</v>
      </c>
      <c r="H3546" t="n">
        <v>1.14e-162</v>
      </c>
      <c r="I3546" t="inlineStr">
        <is>
          <t>Nr</t>
        </is>
      </c>
      <c r="J3546" t="inlineStr"/>
      <c r="K3546" t="inlineStr"/>
      <c r="L3546" t="inlineStr">
        <is>
          <t>NP_001116882.1 angiotensin-converting enzyme precursor [Xenopus tropicalis]</t>
        </is>
      </c>
      <c r="M3546" t="n">
        <v>1284</v>
      </c>
      <c r="N3546" t="inlineStr">
        <is>
          <t>Xenopus tropicalis</t>
        </is>
      </c>
      <c r="O3546" t="inlineStr">
        <is>
          <t>angiotensin-converting enzyme precursor</t>
        </is>
      </c>
    </row>
    <row r="3547">
      <c r="A3547" t="inlineStr"/>
      <c r="B3547" t="inlineStr"/>
      <c r="C3547" t="inlineStr"/>
      <c r="D3547" t="inlineStr"/>
      <c r="E3547">
        <f>HYPERLINK("https://www.uniprot.org/uniprotkb/F6QYH4/entry", "F6QYH4")</f>
        <v/>
      </c>
      <c r="F3547" t="n">
        <v>78.59999999999999</v>
      </c>
      <c r="G3547" t="n">
        <v>295</v>
      </c>
      <c r="H3547" t="n">
        <v>1.69e-162</v>
      </c>
      <c r="I3547" t="inlineStr">
        <is>
          <t>TrEMBL</t>
        </is>
      </c>
      <c r="J3547" t="inlineStr">
        <is>
          <t>micu1</t>
        </is>
      </c>
      <c r="K3547" t="inlineStr">
        <is>
          <t>F6QYH4_XENTR</t>
        </is>
      </c>
      <c r="L3547" t="inlineStr">
        <is>
          <t>tr|F6QYH4|F6QYH4_XENTR Angiotensin-converting enzyme OS=Xenopus tropicalis OX=8364 GN=micu1 PE=3 SV=2</t>
        </is>
      </c>
      <c r="M3547" t="n">
        <v>1283</v>
      </c>
      <c r="N3547" t="inlineStr">
        <is>
          <t>Xenopus tropicalis</t>
        </is>
      </c>
      <c r="O3547" t="inlineStr">
        <is>
          <t>Angiotensin-converting enzyme</t>
        </is>
      </c>
    </row>
    <row r="3548">
      <c r="A3548" t="inlineStr"/>
      <c r="B3548" t="inlineStr"/>
      <c r="C3548" t="inlineStr"/>
      <c r="D3548" t="inlineStr"/>
      <c r="E3548">
        <f>HYPERLINK("https://www.uniprot.org/uniprotkb/A0A6I8SWZ1/entry", "A0A6I8SWZ1")</f>
        <v/>
      </c>
      <c r="F3548" t="n">
        <v>78.59999999999999</v>
      </c>
      <c r="G3548" t="n">
        <v>295</v>
      </c>
      <c r="H3548" t="n">
        <v>8.19e-162</v>
      </c>
      <c r="I3548" t="inlineStr">
        <is>
          <t>TrEMBL</t>
        </is>
      </c>
      <c r="J3548" t="inlineStr">
        <is>
          <t>ace</t>
        </is>
      </c>
      <c r="K3548" t="inlineStr">
        <is>
          <t>A0A6I8SWZ1_XENTR</t>
        </is>
      </c>
      <c r="L3548" t="inlineStr">
        <is>
          <t>tr|A0A6I8SWZ1|A0A6I8SWZ1_XENTR Angiotensin-converting enzyme OS=Xenopus tropicalis OX=8364 GN=ace PE=3 SV=2</t>
        </is>
      </c>
      <c r="M3548" t="n">
        <v>1361</v>
      </c>
      <c r="N3548" t="inlineStr">
        <is>
          <t>Xenopus tropicalis</t>
        </is>
      </c>
      <c r="O3548" t="inlineStr">
        <is>
          <t>Angiotensin-converting enzyme</t>
        </is>
      </c>
    </row>
    <row r="3549">
      <c r="A3549" t="inlineStr"/>
      <c r="B3549" t="inlineStr"/>
      <c r="C3549" t="inlineStr"/>
      <c r="D3549" t="inlineStr"/>
      <c r="E3549">
        <f>HYPERLINK("https://www.ncbi.nlm.nih.gov/gene/?term=KAE8575273.1", "KAE8575273.1")</f>
        <v/>
      </c>
      <c r="F3549" t="n">
        <v>78.59999999999999</v>
      </c>
      <c r="G3549" t="n">
        <v>295</v>
      </c>
      <c r="H3549" t="n">
        <v>2.1e-161</v>
      </c>
      <c r="I3549" t="inlineStr">
        <is>
          <t>Nr</t>
        </is>
      </c>
      <c r="J3549" t="inlineStr"/>
      <c r="K3549" t="inlineStr"/>
      <c r="L3549" t="inlineStr">
        <is>
          <t>KAE8575273.1 hypothetical protein XENTR_v10003790 [Xenopus tropicalis]</t>
        </is>
      </c>
      <c r="M3549" t="n">
        <v>1361</v>
      </c>
      <c r="N3549" t="inlineStr">
        <is>
          <t>Xenopus tropicalis</t>
        </is>
      </c>
      <c r="O3549" t="inlineStr">
        <is>
          <t>hypothetical protein XENTR_v10003790</t>
        </is>
      </c>
    </row>
    <row r="3550">
      <c r="A3550" t="inlineStr"/>
      <c r="B3550" t="inlineStr"/>
      <c r="C3550" t="inlineStr"/>
      <c r="D3550" t="inlineStr"/>
      <c r="E3550">
        <f>HYPERLINK("https://www.uniprot.org/uniprotkb/A0A8J1LS50/entry", "A0A8J1LS50")</f>
        <v/>
      </c>
      <c r="F3550" t="n">
        <v>77.90000000000001</v>
      </c>
      <c r="G3550" t="n">
        <v>303</v>
      </c>
      <c r="H3550" t="n">
        <v>7.040000000000001e-161</v>
      </c>
      <c r="I3550" t="inlineStr">
        <is>
          <t>TrEMBL</t>
        </is>
      </c>
      <c r="J3550" t="inlineStr">
        <is>
          <t>LOC108701765</t>
        </is>
      </c>
      <c r="K3550" t="inlineStr">
        <is>
          <t>A0A8J1LS50_XENLA</t>
        </is>
      </c>
      <c r="L3550" t="inlineStr">
        <is>
          <t>tr|A0A8J1LS50|A0A8J1LS50_XENLA Angiotensin-converting enzyme OS=Xenopus laevis OX=8355 GN=LOC108701765 PE=3 SV=1</t>
        </is>
      </c>
      <c r="M3550" t="n">
        <v>1299</v>
      </c>
      <c r="N3550" t="inlineStr">
        <is>
          <t>Xenopus laevis</t>
        </is>
      </c>
      <c r="O3550" t="inlineStr">
        <is>
          <t>Angiotensin-converting enzyme</t>
        </is>
      </c>
    </row>
    <row r="3551">
      <c r="A3551" t="inlineStr"/>
      <c r="B3551" t="inlineStr"/>
      <c r="C3551" t="inlineStr"/>
      <c r="D3551" t="inlineStr"/>
      <c r="E3551">
        <f>HYPERLINK("https://www.ncbi.nlm.nih.gov/gene/?term=XP_041431911.1", "XP_041431911.1")</f>
        <v/>
      </c>
      <c r="F3551" t="n">
        <v>77.90000000000001</v>
      </c>
      <c r="G3551" t="n">
        <v>303</v>
      </c>
      <c r="H3551" t="n">
        <v>1.81e-160</v>
      </c>
      <c r="I3551" t="inlineStr">
        <is>
          <t>Nr</t>
        </is>
      </c>
      <c r="J3551" t="inlineStr"/>
      <c r="K3551" t="inlineStr"/>
      <c r="L3551" t="inlineStr">
        <is>
          <t>XP_041431911.1 angiotensin-converting enzyme isoform X1 [Xenopus laevis]</t>
        </is>
      </c>
      <c r="M3551" t="n">
        <v>1299</v>
      </c>
      <c r="N3551" t="inlineStr">
        <is>
          <t>Xenopus laevis</t>
        </is>
      </c>
      <c r="O3551" t="inlineStr">
        <is>
          <t>angiotensin-converting enzyme isoform X1</t>
        </is>
      </c>
    </row>
    <row r="3552">
      <c r="A3552" t="inlineStr"/>
      <c r="B3552" t="inlineStr"/>
      <c r="C3552" t="inlineStr"/>
      <c r="D3552" t="inlineStr"/>
      <c r="E3552">
        <f>HYPERLINK("https://www.uniprot.org/uniprotkb/Q58DD0/entry", "Q58DD0")</f>
        <v/>
      </c>
      <c r="F3552" t="n">
        <v>42.7</v>
      </c>
      <c r="G3552" t="n">
        <v>595</v>
      </c>
      <c r="H3552" t="n">
        <v>3.82e-160</v>
      </c>
      <c r="I3552" t="inlineStr">
        <is>
          <t>Swiss-Prot</t>
        </is>
      </c>
      <c r="J3552" t="inlineStr">
        <is>
          <t>ACE2</t>
        </is>
      </c>
      <c r="K3552" t="inlineStr">
        <is>
          <t>ACE2_BOVIN</t>
        </is>
      </c>
      <c r="L3552" t="inlineStr">
        <is>
          <t>sp|Q58DD0|ACE2_BOVIN Angiotensin-converting enzyme 2 OS=Bos taurus OX=9913 GN=ACE2 PE=1 SV=1</t>
        </is>
      </c>
      <c r="M3552" t="n">
        <v>804</v>
      </c>
      <c r="N3552" t="inlineStr">
        <is>
          <t>Bos taurus</t>
        </is>
      </c>
      <c r="O3552" t="inlineStr">
        <is>
          <t>Angiotensin-converting enzyme 2</t>
        </is>
      </c>
    </row>
    <row r="3553">
      <c r="A3553" t="inlineStr"/>
      <c r="B3553" t="inlineStr"/>
      <c r="C3553" t="inlineStr"/>
      <c r="D3553" t="inlineStr"/>
      <c r="E3553">
        <f>HYPERLINK("https://www.uniprot.org/uniprotkb/A0A8T2JX48/entry", "A0A8T2JX48")</f>
        <v/>
      </c>
      <c r="F3553" t="n">
        <v>75.2</v>
      </c>
      <c r="G3553" t="n">
        <v>303</v>
      </c>
      <c r="H3553" t="n">
        <v>3.6e-157</v>
      </c>
      <c r="I3553" t="inlineStr">
        <is>
          <t>TrEMBL</t>
        </is>
      </c>
      <c r="J3553" t="inlineStr">
        <is>
          <t>GDO86_014445</t>
        </is>
      </c>
      <c r="K3553" t="inlineStr">
        <is>
          <t>A0A8T2JX48_9PIPI</t>
        </is>
      </c>
      <c r="L3553" t="inlineStr">
        <is>
          <t>tr|A0A8T2JX48|A0A8T2JX48_9PIPI Angiotensin-converting enzyme OS=Hymenochirus boettgeri OX=247094 GN=GDO86_014445 PE=3 SV=1</t>
        </is>
      </c>
      <c r="M3553" t="n">
        <v>1157</v>
      </c>
      <c r="N3553" t="inlineStr">
        <is>
          <t>Hymenochirus boettgeri</t>
        </is>
      </c>
      <c r="O3553" t="inlineStr">
        <is>
          <t>Angiotensin-converting enzyme</t>
        </is>
      </c>
    </row>
    <row r="3554">
      <c r="A3554" t="inlineStr"/>
      <c r="B3554" t="inlineStr"/>
      <c r="C3554" t="inlineStr"/>
      <c r="D3554" t="inlineStr"/>
      <c r="E3554">
        <f>HYPERLINK("https://www.ncbi.nlm.nih.gov/gene/?term=XP_053309980.1", "XP_053309980.1")</f>
        <v/>
      </c>
      <c r="F3554" t="n">
        <v>75.90000000000001</v>
      </c>
      <c r="G3554" t="n">
        <v>303</v>
      </c>
      <c r="H3554" t="n">
        <v>8.55e-157</v>
      </c>
      <c r="I3554" t="inlineStr">
        <is>
          <t>Nr</t>
        </is>
      </c>
      <c r="J3554" t="inlineStr"/>
      <c r="K3554" t="inlineStr"/>
      <c r="L3554" t="inlineStr">
        <is>
          <t>XP_053309980.1 angiotensin-converting enzyme [Spea bombifrons]</t>
        </is>
      </c>
      <c r="M3554" t="n">
        <v>1315</v>
      </c>
      <c r="N3554" t="inlineStr">
        <is>
          <t>Spea bombifrons</t>
        </is>
      </c>
      <c r="O3554" t="inlineStr">
        <is>
          <t>angiotensin-converting enzyme</t>
        </is>
      </c>
    </row>
    <row r="3555">
      <c r="A3555" t="inlineStr"/>
      <c r="B3555" t="inlineStr"/>
      <c r="C3555" t="inlineStr"/>
      <c r="D3555" t="inlineStr"/>
      <c r="E3555">
        <f>HYPERLINK("https://www.ncbi.nlm.nih.gov/gene/?term=KAG8447001.1", "KAG8447001.1")</f>
        <v/>
      </c>
      <c r="F3555" t="n">
        <v>75.2</v>
      </c>
      <c r="G3555" t="n">
        <v>303</v>
      </c>
      <c r="H3555" t="n">
        <v>9.25e-157</v>
      </c>
      <c r="I3555" t="inlineStr">
        <is>
          <t>Nr</t>
        </is>
      </c>
      <c r="J3555" t="inlineStr"/>
      <c r="K3555" t="inlineStr"/>
      <c r="L3555" t="inlineStr">
        <is>
          <t>KAG8447001.1 hypothetical protein GDO86_014445 [Hymenochirus boettgeri]</t>
        </is>
      </c>
      <c r="M3555" t="n">
        <v>1157</v>
      </c>
      <c r="N3555" t="inlineStr">
        <is>
          <t>Hymenochirus boettgeri</t>
        </is>
      </c>
      <c r="O3555" t="inlineStr">
        <is>
          <t>hypothetical protein GDO86_014445</t>
        </is>
      </c>
    </row>
    <row r="3556">
      <c r="A3556" t="inlineStr"/>
      <c r="B3556" t="inlineStr"/>
      <c r="C3556" t="inlineStr"/>
      <c r="D3556" t="inlineStr"/>
      <c r="E3556">
        <f>HYPERLINK("https://www.uniprot.org/uniprotkb/A0A8C5N3T6/entry", "A0A8C5N3T6")</f>
        <v/>
      </c>
      <c r="F3556" t="n">
        <v>75.59999999999999</v>
      </c>
      <c r="G3556" t="n">
        <v>303</v>
      </c>
      <c r="H3556" t="n">
        <v>1.42e-156</v>
      </c>
      <c r="I3556" t="inlineStr">
        <is>
          <t>TrEMBL</t>
        </is>
      </c>
      <c r="J3556" t="inlineStr"/>
      <c r="K3556" t="inlineStr">
        <is>
          <t>A0A8C5N3T6_9ANUR</t>
        </is>
      </c>
      <c r="L3556" t="inlineStr">
        <is>
          <t>tr|A0A8C5N3T6|A0A8C5N3T6_9ANUR Angiotensin-converting enzyme OS=Leptobrachium leishanense OX=445787 PE=3 SV=1</t>
        </is>
      </c>
      <c r="M3556" t="n">
        <v>1320</v>
      </c>
      <c r="N3556" t="inlineStr">
        <is>
          <t>Leptobrachium leishanense</t>
        </is>
      </c>
      <c r="O3556" t="inlineStr">
        <is>
          <t>Angiotensin-converting enzyme</t>
        </is>
      </c>
    </row>
    <row r="3557">
      <c r="A3557" t="inlineStr"/>
      <c r="B3557" t="inlineStr"/>
      <c r="C3557" t="inlineStr"/>
      <c r="D3557" t="inlineStr"/>
      <c r="E3557">
        <f>HYPERLINK("https://www.uniprot.org/uniprotkb/Q9VLJ6/entry", "Q9VLJ6")</f>
        <v/>
      </c>
      <c r="F3557" t="n">
        <v>42.7</v>
      </c>
      <c r="G3557" t="n">
        <v>560</v>
      </c>
      <c r="H3557" t="n">
        <v>1.63e-156</v>
      </c>
      <c r="I3557" t="inlineStr">
        <is>
          <t>Swiss-Prot</t>
        </is>
      </c>
      <c r="J3557" t="inlineStr">
        <is>
          <t>Acer</t>
        </is>
      </c>
      <c r="K3557" t="inlineStr">
        <is>
          <t>ACER_DROME</t>
        </is>
      </c>
      <c r="L3557" t="inlineStr">
        <is>
          <t>sp|Q9VLJ6|ACER_DROME Angiotensin-converting enzyme-related protein OS=Drosophila melanogaster OX=7227 GN=Acer PE=1 SV=1</t>
        </is>
      </c>
      <c r="M3557" t="n">
        <v>630</v>
      </c>
      <c r="N3557" t="inlineStr">
        <is>
          <t>Drosophila melanogaster</t>
        </is>
      </c>
      <c r="O3557" t="inlineStr">
        <is>
          <t>Angiotensin-converting enzyme-related protein</t>
        </is>
      </c>
    </row>
    <row r="3558">
      <c r="A3558" t="inlineStr"/>
      <c r="B3558" t="inlineStr"/>
      <c r="C3558" t="inlineStr"/>
      <c r="D3558" t="inlineStr"/>
      <c r="E3558">
        <f>HYPERLINK("https://www.ncbi.nlm.nih.gov/gene/?term=KAJ1136665.1", "KAJ1136665.1")</f>
        <v/>
      </c>
      <c r="F3558" t="n">
        <v>75.3</v>
      </c>
      <c r="G3558" t="n">
        <v>292</v>
      </c>
      <c r="H3558" t="n">
        <v>6.41e-152</v>
      </c>
      <c r="I3558" t="inlineStr">
        <is>
          <t>Nr</t>
        </is>
      </c>
      <c r="J3558" t="inlineStr"/>
      <c r="K3558" t="inlineStr"/>
      <c r="L3558" t="inlineStr">
        <is>
          <t>KAJ1136665.1 hypothetical protein NDU88_003080 [Pleurodeles waltl]</t>
        </is>
      </c>
      <c r="M3558" t="n">
        <v>1283</v>
      </c>
      <c r="N3558" t="inlineStr">
        <is>
          <t>Pleurodeles waltl</t>
        </is>
      </c>
      <c r="O3558" t="inlineStr">
        <is>
          <t>hypothetical protein NDU88_003080</t>
        </is>
      </c>
    </row>
    <row r="3559">
      <c r="A3559" t="inlineStr"/>
      <c r="B3559" t="inlineStr"/>
      <c r="C3559" t="inlineStr"/>
      <c r="D3559" t="inlineStr"/>
      <c r="E3559">
        <f>HYPERLINK("https://www.ncbi.nlm.nih.gov/gene/?term=XP_018410703.1", "XP_018410703.1")</f>
        <v/>
      </c>
      <c r="F3559" t="n">
        <v>74.3</v>
      </c>
      <c r="G3559" t="n">
        <v>300</v>
      </c>
      <c r="H3559" t="n">
        <v>3.35e-151</v>
      </c>
      <c r="I3559" t="inlineStr">
        <is>
          <t>Nr</t>
        </is>
      </c>
      <c r="J3559" t="inlineStr"/>
      <c r="K3559" t="inlineStr"/>
      <c r="L3559" t="inlineStr">
        <is>
          <t>XP_018410703.1 PREDICTED: angiotensin-converting enzyme isoform X4 [Nanorana parkeri]</t>
        </is>
      </c>
      <c r="M3559" t="n">
        <v>1281</v>
      </c>
      <c r="N3559" t="inlineStr">
        <is>
          <t>Nanorana parkeri</t>
        </is>
      </c>
      <c r="O3559" t="inlineStr">
        <is>
          <t>PREDICTED: angiotensin-converting enzyme isoform X4</t>
        </is>
      </c>
    </row>
    <row r="3560">
      <c r="A3560" t="inlineStr"/>
      <c r="B3560" t="inlineStr"/>
      <c r="C3560" t="inlineStr"/>
      <c r="D3560" t="inlineStr"/>
      <c r="E3560">
        <f>HYPERLINK("https://www.ncbi.nlm.nih.gov/gene/?term=XP_018410702.1", "XP_018410702.1")</f>
        <v/>
      </c>
      <c r="F3560" t="n">
        <v>74.3</v>
      </c>
      <c r="G3560" t="n">
        <v>300</v>
      </c>
      <c r="H3560" t="n">
        <v>3.49e-151</v>
      </c>
      <c r="I3560" t="inlineStr">
        <is>
          <t>Nr</t>
        </is>
      </c>
      <c r="J3560" t="inlineStr"/>
      <c r="K3560" t="inlineStr"/>
      <c r="L3560" t="inlineStr">
        <is>
          <t>XP_018410702.1 PREDICTED: angiotensin-converting enzyme isoform X3 [Nanorana parkeri]</t>
        </is>
      </c>
      <c r="M3560" t="n">
        <v>1283</v>
      </c>
      <c r="N3560" t="inlineStr">
        <is>
          <t>Nanorana parkeri</t>
        </is>
      </c>
      <c r="O3560" t="inlineStr">
        <is>
          <t>PREDICTED: angiotensin-converting enzyme isoform X3</t>
        </is>
      </c>
    </row>
    <row r="3561">
      <c r="A3561" t="inlineStr"/>
      <c r="B3561" t="inlineStr"/>
      <c r="C3561" t="inlineStr"/>
      <c r="D3561" t="inlineStr"/>
      <c r="E3561">
        <f>HYPERLINK("https://www.ncbi.nlm.nih.gov/gene/?term=XP_018410699.1", "XP_018410699.1")</f>
        <v/>
      </c>
      <c r="F3561" t="n">
        <v>74.3</v>
      </c>
      <c r="G3561" t="n">
        <v>300</v>
      </c>
      <c r="H3561" t="n">
        <v>3.77e-151</v>
      </c>
      <c r="I3561" t="inlineStr">
        <is>
          <t>Nr</t>
        </is>
      </c>
      <c r="J3561" t="inlineStr"/>
      <c r="K3561" t="inlineStr"/>
      <c r="L3561" t="inlineStr">
        <is>
          <t>XP_018410699.1 PREDICTED: angiotensin-converting enzyme isoform X1 [Nanorana parkeri]</t>
        </is>
      </c>
      <c r="M3561" t="n">
        <v>1287</v>
      </c>
      <c r="N3561" t="inlineStr">
        <is>
          <t>Nanorana parkeri</t>
        </is>
      </c>
      <c r="O3561" t="inlineStr">
        <is>
          <t>PREDICTED: angiotensin-converting enzyme isoform X1</t>
        </is>
      </c>
    </row>
    <row r="3562">
      <c r="A3562" t="inlineStr"/>
      <c r="B3562" t="inlineStr"/>
      <c r="C3562" t="inlineStr"/>
      <c r="D3562" t="inlineStr"/>
      <c r="E3562">
        <f>HYPERLINK("https://www.uniprot.org/uniprotkb/A0A6P7ZUQ2/entry", "A0A6P7ZUQ2")</f>
        <v/>
      </c>
      <c r="F3562" t="n">
        <v>72.90000000000001</v>
      </c>
      <c r="G3562" t="n">
        <v>299</v>
      </c>
      <c r="H3562" t="n">
        <v>3.92e-151</v>
      </c>
      <c r="I3562" t="inlineStr">
        <is>
          <t>TrEMBL</t>
        </is>
      </c>
      <c r="J3562" t="inlineStr">
        <is>
          <t>ACE</t>
        </is>
      </c>
      <c r="K3562" t="inlineStr">
        <is>
          <t>A0A6P7ZUQ2_9AMPH</t>
        </is>
      </c>
      <c r="L3562" t="inlineStr">
        <is>
          <t>tr|A0A6P7ZUQ2|A0A6P7ZUQ2_9AMPH Angiotensin-converting enzyme OS=Microcaecilia unicolor OX=1415580 GN=ACE PE=3 SV=1</t>
        </is>
      </c>
      <c r="M3562" t="n">
        <v>1268</v>
      </c>
      <c r="N3562" t="inlineStr">
        <is>
          <t>Microcaecilia unicolor</t>
        </is>
      </c>
      <c r="O3562" t="inlineStr">
        <is>
          <t>Angiotensin-converting enzyme</t>
        </is>
      </c>
    </row>
    <row r="3563">
      <c r="A3563" t="inlineStr"/>
      <c r="B3563" t="inlineStr"/>
      <c r="C3563" t="inlineStr"/>
      <c r="D3563" t="inlineStr"/>
      <c r="E3563">
        <f>HYPERLINK("https://www.ncbi.nlm.nih.gov/gene/?term=XP_030077179.1", "XP_030077179.1")</f>
        <v/>
      </c>
      <c r="F3563" t="n">
        <v>72.90000000000001</v>
      </c>
      <c r="G3563" t="n">
        <v>299</v>
      </c>
      <c r="H3563" t="n">
        <v>1.01e-150</v>
      </c>
      <c r="I3563" t="inlineStr">
        <is>
          <t>Nr</t>
        </is>
      </c>
      <c r="J3563" t="inlineStr"/>
      <c r="K3563" t="inlineStr"/>
      <c r="L3563" t="inlineStr">
        <is>
          <t>XP_030077179.1 angiotensin-converting enzyme [Microcaecilia unicolor]</t>
        </is>
      </c>
      <c r="M3563" t="n">
        <v>1268</v>
      </c>
      <c r="N3563" t="inlineStr">
        <is>
          <t>Microcaecilia unicolor</t>
        </is>
      </c>
      <c r="O3563" t="inlineStr">
        <is>
          <t>angiotensin-converting enzyme</t>
        </is>
      </c>
    </row>
    <row r="3564">
      <c r="A3564" t="inlineStr"/>
      <c r="B3564" t="inlineStr"/>
      <c r="C3564" t="inlineStr"/>
      <c r="D3564" t="inlineStr"/>
      <c r="E3564">
        <f>HYPERLINK("https://www.uniprot.org/uniprotkb/A0A8C8RMH9/entry", "A0A8C8RMH9")</f>
        <v/>
      </c>
      <c r="F3564" t="n">
        <v>72.09999999999999</v>
      </c>
      <c r="G3564" t="n">
        <v>294</v>
      </c>
      <c r="H3564" t="n">
        <v>1.05e-148</v>
      </c>
      <c r="I3564" t="inlineStr">
        <is>
          <t>TrEMBL</t>
        </is>
      </c>
      <c r="J3564" t="inlineStr"/>
      <c r="K3564" t="inlineStr">
        <is>
          <t>A0A8C8RMH9_9SAUR</t>
        </is>
      </c>
      <c r="L3564" t="inlineStr">
        <is>
          <t>tr|A0A8C8RMH9|A0A8C8RMH9_9SAUR Angiotensin-converting enzyme OS=Pelusios castaneus OX=367368 PE=3 SV=1</t>
        </is>
      </c>
      <c r="M3564" t="n">
        <v>1277</v>
      </c>
      <c r="N3564" t="inlineStr">
        <is>
          <t>Pelusios castaneus</t>
        </is>
      </c>
      <c r="O3564" t="inlineStr">
        <is>
          <t>Angiotensin-converting enzyme</t>
        </is>
      </c>
    </row>
    <row r="3565">
      <c r="A3565" t="inlineStr"/>
      <c r="B3565" t="inlineStr"/>
      <c r="C3565" t="inlineStr"/>
      <c r="D3565" t="inlineStr"/>
      <c r="E3565">
        <f>HYPERLINK("https://www.uniprot.org/uniprotkb/A0A8T1TBX5/entry", "A0A8T1TBX5")</f>
        <v/>
      </c>
      <c r="F3565" t="n">
        <v>70.59999999999999</v>
      </c>
      <c r="G3565" t="n">
        <v>299</v>
      </c>
      <c r="H3565" t="n">
        <v>7.8e-148</v>
      </c>
      <c r="I3565" t="inlineStr">
        <is>
          <t>TrEMBL</t>
        </is>
      </c>
      <c r="J3565" t="inlineStr">
        <is>
          <t>ACE</t>
        </is>
      </c>
      <c r="K3565" t="inlineStr">
        <is>
          <t>A0A8T1TBX5_CHESE</t>
        </is>
      </c>
      <c r="L3565" t="inlineStr">
        <is>
          <t>tr|A0A8T1TBX5|A0A8T1TBX5_CHESE Angiotensin-converting enzyme (Fragment) OS=Chelydra serpentina OX=8475 GN=ACE PE=3 SV=1</t>
        </is>
      </c>
      <c r="M3565" t="n">
        <v>756</v>
      </c>
      <c r="N3565" t="inlineStr">
        <is>
          <t>Chelydra serpentina</t>
        </is>
      </c>
      <c r="O3565" t="inlineStr">
        <is>
          <t>Angiotensin-converting enzyme (Fragment)</t>
        </is>
      </c>
    </row>
    <row r="3566">
      <c r="A3566" t="inlineStr"/>
      <c r="B3566" t="inlineStr"/>
      <c r="C3566" t="inlineStr"/>
      <c r="D3566" t="inlineStr"/>
      <c r="E3566">
        <f>HYPERLINK("https://www.uniprot.org/uniprotkb/A0A8D0DTB7/entry", "A0A8D0DTB7")</f>
        <v/>
      </c>
      <c r="F3566" t="n">
        <v>72</v>
      </c>
      <c r="G3566" t="n">
        <v>296</v>
      </c>
      <c r="H3566" t="n">
        <v>7.86e-148</v>
      </c>
      <c r="I3566" t="inlineStr">
        <is>
          <t>TrEMBL</t>
        </is>
      </c>
      <c r="J3566" t="inlineStr"/>
      <c r="K3566" t="inlineStr">
        <is>
          <t>A0A8D0DTB7_SALMN</t>
        </is>
      </c>
      <c r="L3566" t="inlineStr">
        <is>
          <t>tr|A0A8D0DTB7|A0A8D0DTB7_SALMN Angiotensin-converting enzyme OS=Salvator merianae OX=96440 PE=3 SV=1</t>
        </is>
      </c>
      <c r="M3566" t="n">
        <v>1294</v>
      </c>
      <c r="N3566" t="inlineStr">
        <is>
          <t>Salvator merianae</t>
        </is>
      </c>
      <c r="O3566" t="inlineStr">
        <is>
          <t>Angiotensin-converting enzyme</t>
        </is>
      </c>
    </row>
    <row r="3567">
      <c r="A3567" t="inlineStr"/>
      <c r="B3567" t="inlineStr"/>
      <c r="C3567" t="inlineStr"/>
      <c r="D3567" t="inlineStr"/>
      <c r="E3567">
        <f>HYPERLINK("https://www.ncbi.nlm.nih.gov/gene/?term=KAG6938283.1", "KAG6938283.1")</f>
        <v/>
      </c>
      <c r="F3567" t="n">
        <v>70.59999999999999</v>
      </c>
      <c r="G3567" t="n">
        <v>299</v>
      </c>
      <c r="H3567" t="n">
        <v>2e-147</v>
      </c>
      <c r="I3567" t="inlineStr">
        <is>
          <t>Nr</t>
        </is>
      </c>
      <c r="J3567" t="inlineStr"/>
      <c r="K3567" t="inlineStr"/>
      <c r="L3567" t="inlineStr">
        <is>
          <t>KAG6938283.1 angiotensin I converting enzyme, partial [Chelydra serpentina]</t>
        </is>
      </c>
      <c r="M3567" t="n">
        <v>756</v>
      </c>
      <c r="N3567" t="inlineStr">
        <is>
          <t>Chelydra serpentina</t>
        </is>
      </c>
      <c r="O3567" t="inlineStr">
        <is>
          <t>angiotensin I converting enzyme, partial</t>
        </is>
      </c>
    </row>
    <row r="3568">
      <c r="A3568" t="inlineStr"/>
      <c r="B3568" t="inlineStr"/>
      <c r="C3568" t="inlineStr"/>
      <c r="D3568" t="inlineStr"/>
      <c r="E3568">
        <f>HYPERLINK("https://www.uniprot.org/uniprotkb/A0A7M4ELK3/entry", "A0A7M4ELK3")</f>
        <v/>
      </c>
      <c r="F3568" t="n">
        <v>72.09999999999999</v>
      </c>
      <c r="G3568" t="n">
        <v>297</v>
      </c>
      <c r="H3568" t="n">
        <v>3.53e-147</v>
      </c>
      <c r="I3568" t="inlineStr">
        <is>
          <t>TrEMBL</t>
        </is>
      </c>
      <c r="J3568" t="inlineStr">
        <is>
          <t>ACE</t>
        </is>
      </c>
      <c r="K3568" t="inlineStr">
        <is>
          <t>A0A7M4ELK3_CROPO</t>
        </is>
      </c>
      <c r="L3568" t="inlineStr">
        <is>
          <t>tr|A0A7M4ELK3|A0A7M4ELK3_CROPO Angiotensin-converting enzyme OS=Crocodylus porosus OX=8502 GN=ACE PE=3 SV=1</t>
        </is>
      </c>
      <c r="M3568" t="n">
        <v>1284</v>
      </c>
      <c r="N3568" t="inlineStr">
        <is>
          <t>Crocodylus porosus</t>
        </is>
      </c>
      <c r="O3568" t="inlineStr">
        <is>
          <t>Angiotensin-converting enzyme</t>
        </is>
      </c>
    </row>
    <row r="3569">
      <c r="A3569" t="inlineStr"/>
      <c r="B3569" t="inlineStr"/>
      <c r="C3569" t="inlineStr"/>
      <c r="D3569" t="inlineStr"/>
      <c r="E3569">
        <f>HYPERLINK("https://www.uniprot.org/uniprotkb/A0A8C5F088/entry", "A0A8C5F088")</f>
        <v/>
      </c>
      <c r="F3569" t="n">
        <v>71.7</v>
      </c>
      <c r="G3569" t="n">
        <v>297</v>
      </c>
      <c r="H3569" t="n">
        <v>7.199999999999999e-147</v>
      </c>
      <c r="I3569" t="inlineStr">
        <is>
          <t>TrEMBL</t>
        </is>
      </c>
      <c r="J3569" t="inlineStr">
        <is>
          <t>ACE</t>
        </is>
      </c>
      <c r="K3569" t="inlineStr">
        <is>
          <t>A0A8C5F088_9SAUR</t>
        </is>
      </c>
      <c r="L3569" t="inlineStr">
        <is>
          <t>tr|A0A8C5F088|A0A8C5F088_9SAUR Angiotensin-converting enzyme OS=Gopherus evgoodei OX=1825980 GN=ACE PE=3 SV=1</t>
        </is>
      </c>
      <c r="M3569" t="n">
        <v>1286</v>
      </c>
      <c r="N3569" t="inlineStr">
        <is>
          <t>Gopherus evgoodei</t>
        </is>
      </c>
      <c r="O3569" t="inlineStr">
        <is>
          <t>Angiotensin-converting enzyme</t>
        </is>
      </c>
    </row>
    <row r="3570">
      <c r="A3570" t="inlineStr"/>
      <c r="B3570" t="inlineStr"/>
      <c r="C3570" t="inlineStr"/>
      <c r="D3570" t="inlineStr"/>
      <c r="E3570">
        <f>HYPERLINK("https://www.ncbi.nlm.nih.gov/gene/?term=XP_019404016.1", "XP_019404016.1")</f>
        <v/>
      </c>
      <c r="F3570" t="n">
        <v>72.09999999999999</v>
      </c>
      <c r="G3570" t="n">
        <v>297</v>
      </c>
      <c r="H3570" t="n">
        <v>8.239999999999999e-147</v>
      </c>
      <c r="I3570" t="inlineStr">
        <is>
          <t>Nr</t>
        </is>
      </c>
      <c r="J3570" t="inlineStr"/>
      <c r="K3570" t="inlineStr"/>
      <c r="L3570" t="inlineStr">
        <is>
          <t>XP_019404016.1 PREDICTED: angiotensin-converting enzyme [Crocodylus porosus]</t>
        </is>
      </c>
      <c r="M3570" t="n">
        <v>1279</v>
      </c>
      <c r="N3570" t="inlineStr">
        <is>
          <t>Crocodylus porosus</t>
        </is>
      </c>
      <c r="O3570" t="inlineStr">
        <is>
          <t>PREDICTED: angiotensin-converting enzyme</t>
        </is>
      </c>
    </row>
    <row r="3571">
      <c r="A3571" t="inlineStr"/>
      <c r="B3571" t="inlineStr"/>
      <c r="C3571" t="inlineStr"/>
      <c r="D3571" t="inlineStr"/>
      <c r="E3571">
        <f>HYPERLINK("https://www.ncbi.nlm.nih.gov/gene/?term=XP_033024785.1", "XP_033024785.1")</f>
        <v/>
      </c>
      <c r="F3571" t="n">
        <v>71.09999999999999</v>
      </c>
      <c r="G3571" t="n">
        <v>301</v>
      </c>
      <c r="H3571" t="n">
        <v>1.71e-146</v>
      </c>
      <c r="I3571" t="inlineStr">
        <is>
          <t>Nr</t>
        </is>
      </c>
      <c r="J3571" t="inlineStr"/>
      <c r="K3571" t="inlineStr"/>
      <c r="L3571" t="inlineStr">
        <is>
          <t>XP_033024785.1 angiotensin-converting enzyme isoform X1 [Lacerta agilis]</t>
        </is>
      </c>
      <c r="M3571" t="n">
        <v>1282</v>
      </c>
      <c r="N3571" t="inlineStr">
        <is>
          <t>Lacerta agilis</t>
        </is>
      </c>
      <c r="O3571" t="inlineStr">
        <is>
          <t>angiotensin-converting enzyme isoform X1</t>
        </is>
      </c>
    </row>
    <row r="3572">
      <c r="A3572" t="inlineStr"/>
      <c r="B3572" t="inlineStr"/>
      <c r="C3572" t="inlineStr"/>
      <c r="D3572" t="inlineStr"/>
      <c r="E3572">
        <f>HYPERLINK("https://www.uniprot.org/uniprotkb/A0A1U8CWV0/entry", "A0A1U8CWV0")</f>
        <v/>
      </c>
      <c r="F3572" t="n">
        <v>72.09999999999999</v>
      </c>
      <c r="G3572" t="n">
        <v>297</v>
      </c>
      <c r="H3572" t="n">
        <v>1.74e-146</v>
      </c>
      <c r="I3572" t="inlineStr">
        <is>
          <t>TrEMBL</t>
        </is>
      </c>
      <c r="J3572" t="inlineStr">
        <is>
          <t>ACE</t>
        </is>
      </c>
      <c r="K3572" t="inlineStr">
        <is>
          <t>A0A1U8CWV0_ALLSI</t>
        </is>
      </c>
      <c r="L3572" t="inlineStr">
        <is>
          <t>tr|A0A1U8CWV0|A0A1U8CWV0_ALLSI Angiotensin-converting enzyme OS=Alligator sinensis OX=38654 GN=ACE PE=3 SV=2</t>
        </is>
      </c>
      <c r="M3572" t="n">
        <v>1279</v>
      </c>
      <c r="N3572" t="inlineStr">
        <is>
          <t>Alligator sinensis</t>
        </is>
      </c>
      <c r="O3572" t="inlineStr">
        <is>
          <t>Angiotensin-converting enzyme</t>
        </is>
      </c>
    </row>
    <row r="3573">
      <c r="A3573" t="inlineStr"/>
      <c r="B3573" t="inlineStr"/>
      <c r="C3573" t="inlineStr"/>
      <c r="D3573" t="inlineStr"/>
      <c r="E3573">
        <f>HYPERLINK("https://www.ncbi.nlm.nih.gov/gene/?term=XP_040186907.1", "XP_040186907.1")</f>
        <v/>
      </c>
      <c r="F3573" t="n">
        <v>71.40000000000001</v>
      </c>
      <c r="G3573" t="n">
        <v>301</v>
      </c>
      <c r="H3573" t="n">
        <v>1.78e-146</v>
      </c>
      <c r="I3573" t="inlineStr">
        <is>
          <t>Nr</t>
        </is>
      </c>
      <c r="J3573" t="inlineStr"/>
      <c r="K3573" t="inlineStr"/>
      <c r="L3573" t="inlineStr">
        <is>
          <t>XP_040186907.1 angiotensin-converting enzyme [Rana temporaria]</t>
        </is>
      </c>
      <c r="M3573" t="n">
        <v>1284</v>
      </c>
      <c r="N3573" t="inlineStr">
        <is>
          <t>Rana temporaria</t>
        </is>
      </c>
      <c r="O3573" t="inlineStr">
        <is>
          <t>angiotensin-converting enzyme</t>
        </is>
      </c>
    </row>
    <row r="3574">
      <c r="A3574" t="inlineStr"/>
      <c r="B3574" t="inlineStr"/>
      <c r="C3574" t="inlineStr"/>
      <c r="D3574" t="inlineStr"/>
      <c r="E3574">
        <f>HYPERLINK("https://www.ncbi.nlm.nih.gov/gene/?term=XP_030396963.1", "XP_030396963.1")</f>
        <v/>
      </c>
      <c r="F3574" t="n">
        <v>71.7</v>
      </c>
      <c r="G3574" t="n">
        <v>297</v>
      </c>
      <c r="H3574" t="n">
        <v>1.85e-146</v>
      </c>
      <c r="I3574" t="inlineStr">
        <is>
          <t>Nr</t>
        </is>
      </c>
      <c r="J3574" t="inlineStr"/>
      <c r="K3574" t="inlineStr"/>
      <c r="L3574" t="inlineStr">
        <is>
          <t>XP_030396963.1 angiotensin-converting enzyme [Gopherus evgoodei]</t>
        </is>
      </c>
      <c r="M3574" t="n">
        <v>1286</v>
      </c>
      <c r="N3574" t="inlineStr">
        <is>
          <t>Gopherus evgoodei</t>
        </is>
      </c>
      <c r="O3574" t="inlineStr">
        <is>
          <t>angiotensin-converting enzyme</t>
        </is>
      </c>
    </row>
    <row r="3575">
      <c r="A3575" t="inlineStr"/>
      <c r="B3575" t="inlineStr"/>
      <c r="C3575" t="inlineStr"/>
      <c r="D3575" t="inlineStr"/>
      <c r="E3575">
        <f>HYPERLINK("https://www.uniprot.org/uniprotkb/A0A452HSH5/entry", "A0A452HSH5")</f>
        <v/>
      </c>
      <c r="F3575" t="n">
        <v>71.40000000000001</v>
      </c>
      <c r="G3575" t="n">
        <v>297</v>
      </c>
      <c r="H3575" t="n">
        <v>3.23e-146</v>
      </c>
      <c r="I3575" t="inlineStr">
        <is>
          <t>TrEMBL</t>
        </is>
      </c>
      <c r="J3575" t="inlineStr"/>
      <c r="K3575" t="inlineStr">
        <is>
          <t>A0A452HSH5_9SAUR</t>
        </is>
      </c>
      <c r="L3575" t="inlineStr">
        <is>
          <t>tr|A0A452HSH5|A0A452HSH5_9SAUR Angiotensin-converting enzyme OS=Gopherus agassizii OX=38772 PE=3 SV=1</t>
        </is>
      </c>
      <c r="M3575" t="n">
        <v>1276</v>
      </c>
      <c r="N3575" t="inlineStr">
        <is>
          <t>Gopherus agassizii</t>
        </is>
      </c>
      <c r="O3575" t="inlineStr">
        <is>
          <t>Angiotensin-converting enzyme</t>
        </is>
      </c>
    </row>
    <row r="3576">
      <c r="A3576" t="inlineStr"/>
      <c r="B3576" t="inlineStr"/>
      <c r="C3576" t="inlineStr"/>
      <c r="D3576" t="inlineStr"/>
      <c r="E3576">
        <f>HYPERLINK("https://www.uniprot.org/uniprotkb/A0A452HSC7/entry", "A0A452HSC7")</f>
        <v/>
      </c>
      <c r="F3576" t="n">
        <v>71.40000000000001</v>
      </c>
      <c r="G3576" t="n">
        <v>297</v>
      </c>
      <c r="H3576" t="n">
        <v>3.29e-146</v>
      </c>
      <c r="I3576" t="inlineStr">
        <is>
          <t>TrEMBL</t>
        </is>
      </c>
      <c r="J3576" t="inlineStr"/>
      <c r="K3576" t="inlineStr">
        <is>
          <t>A0A452HSC7_9SAUR</t>
        </is>
      </c>
      <c r="L3576" t="inlineStr">
        <is>
          <t>tr|A0A452HSC7|A0A452HSC7_9SAUR Angiotensin-converting enzyme OS=Gopherus agassizii OX=38772 PE=3 SV=1</t>
        </is>
      </c>
      <c r="M3576" t="n">
        <v>1277</v>
      </c>
      <c r="N3576" t="inlineStr">
        <is>
          <t>Gopherus agassizii</t>
        </is>
      </c>
      <c r="O3576" t="inlineStr">
        <is>
          <t>Angiotensin-converting enzyme</t>
        </is>
      </c>
    </row>
    <row r="3577">
      <c r="A3577" t="inlineStr"/>
      <c r="B3577" t="inlineStr"/>
      <c r="C3577" t="inlineStr"/>
      <c r="D3577" t="inlineStr"/>
      <c r="E3577">
        <f>HYPERLINK("https://www.uniprot.org/uniprotkb/A0A452HSD2/entry", "A0A452HSD2")</f>
        <v/>
      </c>
      <c r="F3577" t="n">
        <v>71.40000000000001</v>
      </c>
      <c r="G3577" t="n">
        <v>297</v>
      </c>
      <c r="H3577" t="n">
        <v>3.55e-146</v>
      </c>
      <c r="I3577" t="inlineStr">
        <is>
          <t>TrEMBL</t>
        </is>
      </c>
      <c r="J3577" t="inlineStr"/>
      <c r="K3577" t="inlineStr">
        <is>
          <t>A0A452HSD2_9SAUR</t>
        </is>
      </c>
      <c r="L3577" t="inlineStr">
        <is>
          <t>tr|A0A452HSD2|A0A452HSD2_9SAUR Angiotensin-converting enzyme OS=Gopherus agassizii OX=38772 PE=3 SV=1</t>
        </is>
      </c>
      <c r="M3577" t="n">
        <v>1281</v>
      </c>
      <c r="N3577" t="inlineStr">
        <is>
          <t>Gopherus agassizii</t>
        </is>
      </c>
      <c r="O3577" t="inlineStr">
        <is>
          <t>Angiotensin-converting enzyme</t>
        </is>
      </c>
    </row>
    <row r="3578">
      <c r="A3578" t="inlineStr"/>
      <c r="B3578" t="inlineStr"/>
      <c r="C3578" t="inlineStr"/>
      <c r="D3578" t="inlineStr"/>
      <c r="E3578">
        <f>HYPERLINK("https://www.ncbi.nlm.nih.gov/gene/?term=XP_053121533.1", "XP_053121533.1")</f>
        <v/>
      </c>
      <c r="F3578" t="n">
        <v>69.59999999999999</v>
      </c>
      <c r="G3578" t="n">
        <v>299</v>
      </c>
      <c r="H3578" t="n">
        <v>4.06e-146</v>
      </c>
      <c r="I3578" t="inlineStr">
        <is>
          <t>Nr</t>
        </is>
      </c>
      <c r="J3578" t="inlineStr"/>
      <c r="K3578" t="inlineStr"/>
      <c r="L3578" t="inlineStr">
        <is>
          <t>XP_053121533.1 angiotensin-converting enzyme isoform X1 [Hemicordylus capensis]</t>
        </is>
      </c>
      <c r="M3578" t="n">
        <v>1292</v>
      </c>
      <c r="N3578" t="inlineStr">
        <is>
          <t>Hemicordylus capensis</t>
        </is>
      </c>
      <c r="O3578" t="inlineStr">
        <is>
          <t>angiotensin-converting enzyme isoform X1</t>
        </is>
      </c>
    </row>
    <row r="3579">
      <c r="A3579" t="inlineStr"/>
      <c r="B3579" t="inlineStr"/>
      <c r="C3579" t="inlineStr"/>
      <c r="D3579" t="inlineStr"/>
      <c r="E3579">
        <f>HYPERLINK("https://www.ncbi.nlm.nih.gov/gene/?term=XP_014372471.2", "XP_014372471.2")</f>
        <v/>
      </c>
      <c r="F3579" t="n">
        <v>72.09999999999999</v>
      </c>
      <c r="G3579" t="n">
        <v>297</v>
      </c>
      <c r="H3579" t="n">
        <v>4.46e-146</v>
      </c>
      <c r="I3579" t="inlineStr">
        <is>
          <t>Nr</t>
        </is>
      </c>
      <c r="J3579" t="inlineStr"/>
      <c r="K3579" t="inlineStr"/>
      <c r="L3579" t="inlineStr">
        <is>
          <t>XP_014372471.2 LOW QUALITY PROTEIN: angiotensin-converting enzyme [Alligator sinensis]</t>
        </is>
      </c>
      <c r="M3579" t="n">
        <v>1279</v>
      </c>
      <c r="N3579" t="inlineStr">
        <is>
          <t>Alligator sinensis</t>
        </is>
      </c>
      <c r="O3579" t="inlineStr">
        <is>
          <t>LOW QUALITY PROTEIN: angiotensin-converting enzyme</t>
        </is>
      </c>
    </row>
    <row r="3580">
      <c r="A3580" t="inlineStr"/>
      <c r="B3580" t="inlineStr"/>
      <c r="C3580" t="inlineStr"/>
      <c r="D3580" t="inlineStr"/>
      <c r="E3580">
        <f>HYPERLINK("https://www.uniprot.org/uniprotkb/A0A6P8PH42/entry", "A0A6P8PH42")</f>
        <v/>
      </c>
      <c r="F3580" t="n">
        <v>71.8</v>
      </c>
      <c r="G3580" t="n">
        <v>298</v>
      </c>
      <c r="H3580" t="n">
        <v>5.36e-146</v>
      </c>
      <c r="I3580" t="inlineStr">
        <is>
          <t>TrEMBL</t>
        </is>
      </c>
      <c r="J3580" t="inlineStr">
        <is>
          <t>ACE</t>
        </is>
      </c>
      <c r="K3580" t="inlineStr">
        <is>
          <t>A0A6P8PH42_GEOSA</t>
        </is>
      </c>
      <c r="L3580" t="inlineStr">
        <is>
          <t>tr|A0A6P8PH42|A0A6P8PH42_GEOSA Angiotensin-converting enzyme OS=Geotrypetes seraphini OX=260995 GN=ACE PE=3 SV=1</t>
        </is>
      </c>
      <c r="M3580" t="n">
        <v>1285</v>
      </c>
      <c r="N3580" t="inlineStr">
        <is>
          <t>Geotrypetes seraphini</t>
        </is>
      </c>
      <c r="O3580" t="inlineStr">
        <is>
          <t>Angiotensin-converting enzyme</t>
        </is>
      </c>
    </row>
    <row r="3581">
      <c r="A3581" t="inlineStr"/>
      <c r="B3581" t="inlineStr"/>
      <c r="C3581" t="inlineStr"/>
      <c r="D3581" t="inlineStr"/>
      <c r="E3581">
        <f>HYPERLINK("https://www.ncbi.nlm.nih.gov/gene/?term=XP_029429421.1", "XP_029429421.1")</f>
        <v/>
      </c>
      <c r="F3581" t="n">
        <v>73.90000000000001</v>
      </c>
      <c r="G3581" t="n">
        <v>295</v>
      </c>
      <c r="H3581" t="n">
        <v>9.04e-146</v>
      </c>
      <c r="I3581" t="inlineStr">
        <is>
          <t>Nr</t>
        </is>
      </c>
      <c r="J3581" t="inlineStr"/>
      <c r="K3581" t="inlineStr"/>
      <c r="L3581" t="inlineStr">
        <is>
          <t>XP_029429421.1 angiotensin-converting enzyme isoform X1 [Rhinatrema bivittatum]</t>
        </is>
      </c>
      <c r="M3581" t="n">
        <v>1456</v>
      </c>
      <c r="N3581" t="inlineStr">
        <is>
          <t>Rhinatrema bivittatum</t>
        </is>
      </c>
      <c r="O3581" t="inlineStr">
        <is>
          <t>angiotensin-converting enzyme isoform X1</t>
        </is>
      </c>
    </row>
    <row r="3582">
      <c r="A3582" t="inlineStr"/>
      <c r="B3582" t="inlineStr"/>
      <c r="C3582" t="inlineStr"/>
      <c r="D3582" t="inlineStr"/>
      <c r="E3582">
        <f>HYPERLINK("https://www.ncbi.nlm.nih.gov/gene/?term=XP_039372387.1", "XP_039372387.1")</f>
        <v/>
      </c>
      <c r="F3582" t="n">
        <v>71.40000000000001</v>
      </c>
      <c r="G3582" t="n">
        <v>297</v>
      </c>
      <c r="H3582" t="n">
        <v>1.08e-145</v>
      </c>
      <c r="I3582" t="inlineStr">
        <is>
          <t>Nr</t>
        </is>
      </c>
      <c r="J3582" t="inlineStr"/>
      <c r="K3582" t="inlineStr"/>
      <c r="L3582" t="inlineStr">
        <is>
          <t>XP_039372387.1 angiotensin-converting enzyme isoform X1 [Mauremys reevesii]</t>
        </is>
      </c>
      <c r="M3582" t="n">
        <v>1290</v>
      </c>
      <c r="N3582" t="inlineStr">
        <is>
          <t>Mauremys reevesii</t>
        </is>
      </c>
      <c r="O3582" t="inlineStr">
        <is>
          <t>angiotensin-converting enzyme isoform X1</t>
        </is>
      </c>
    </row>
    <row r="3583">
      <c r="A3583" t="inlineStr"/>
      <c r="B3583" t="inlineStr"/>
      <c r="C3583" t="inlineStr"/>
      <c r="D3583" t="inlineStr"/>
      <c r="E3583">
        <f>HYPERLINK("https://www.ncbi.nlm.nih.gov/gene/?term=XP_033774941.1", "XP_033774941.1")</f>
        <v/>
      </c>
      <c r="F3583" t="n">
        <v>71.8</v>
      </c>
      <c r="G3583" t="n">
        <v>298</v>
      </c>
      <c r="H3583" t="n">
        <v>1.38e-145</v>
      </c>
      <c r="I3583" t="inlineStr">
        <is>
          <t>Nr</t>
        </is>
      </c>
      <c r="J3583" t="inlineStr"/>
      <c r="K3583" t="inlineStr"/>
      <c r="L3583" t="inlineStr">
        <is>
          <t>XP_033774941.1 angiotensin-converting enzyme [Geotrypetes seraphini]</t>
        </is>
      </c>
      <c r="M3583" t="n">
        <v>1285</v>
      </c>
      <c r="N3583" t="inlineStr">
        <is>
          <t>Geotrypetes seraphini</t>
        </is>
      </c>
      <c r="O3583" t="inlineStr">
        <is>
          <t>angiotensin-converting enzyme</t>
        </is>
      </c>
    </row>
    <row r="3584">
      <c r="A3584" t="inlineStr"/>
      <c r="B3584" t="inlineStr"/>
      <c r="C3584" t="inlineStr"/>
      <c r="D3584" t="inlineStr"/>
      <c r="E3584">
        <f>HYPERLINK("https://www.ncbi.nlm.nih.gov/gene/?term=XP_006271633.2", "XP_006271633.2")</f>
        <v/>
      </c>
      <c r="F3584" t="n">
        <v>71.7</v>
      </c>
      <c r="G3584" t="n">
        <v>297</v>
      </c>
      <c r="H3584" t="n">
        <v>1.72e-145</v>
      </c>
      <c r="I3584" t="inlineStr">
        <is>
          <t>Nr</t>
        </is>
      </c>
      <c r="J3584" t="inlineStr"/>
      <c r="K3584" t="inlineStr"/>
      <c r="L3584" t="inlineStr">
        <is>
          <t>XP_006271633.2 PREDICTED: angiotensin-converting enzyme [Alligator mississippiensis]</t>
        </is>
      </c>
      <c r="M3584" t="n">
        <v>1279</v>
      </c>
      <c r="N3584" t="inlineStr">
        <is>
          <t>Alligator mississippiensis</t>
        </is>
      </c>
      <c r="O3584" t="inlineStr">
        <is>
          <t>PREDICTED: angiotensin-converting enzyme</t>
        </is>
      </c>
    </row>
    <row r="3585">
      <c r="A3585" t="inlineStr"/>
      <c r="B3585" t="inlineStr"/>
      <c r="C3585" t="inlineStr"/>
      <c r="D3585" t="inlineStr"/>
      <c r="E3585">
        <f>HYPERLINK("https://www.uniprot.org/uniprotkb/A0A6J0TXI6/entry", "A0A6J0TXI6")</f>
        <v/>
      </c>
      <c r="F3585" t="n">
        <v>70.3</v>
      </c>
      <c r="G3585" t="n">
        <v>300</v>
      </c>
      <c r="H3585" t="n">
        <v>2.03e-145</v>
      </c>
      <c r="I3585" t="inlineStr">
        <is>
          <t>TrEMBL</t>
        </is>
      </c>
      <c r="J3585" t="inlineStr">
        <is>
          <t>ACE</t>
        </is>
      </c>
      <c r="K3585" t="inlineStr">
        <is>
          <t>A0A6J0TXI6_9SAUR</t>
        </is>
      </c>
      <c r="L3585" t="inlineStr">
        <is>
          <t>tr|A0A6J0TXI6|A0A6J0TXI6_9SAUR Angiotensin-converting enzyme OS=Pogona vitticeps OX=103695 GN=ACE PE=3 SV=1</t>
        </is>
      </c>
      <c r="M3585" t="n">
        <v>1284</v>
      </c>
      <c r="N3585" t="inlineStr">
        <is>
          <t>Pogona vitticeps</t>
        </is>
      </c>
      <c r="O3585" t="inlineStr">
        <is>
          <t>Angiotensin-converting enzyme</t>
        </is>
      </c>
    </row>
    <row r="3586">
      <c r="A3586" t="inlineStr"/>
      <c r="B3586" t="inlineStr"/>
      <c r="C3586" t="inlineStr"/>
      <c r="D3586" t="inlineStr"/>
      <c r="E3586">
        <f>HYPERLINK("https://www.ncbi.nlm.nih.gov/gene/?term=XP_044303200.1", "XP_044303200.1")</f>
        <v/>
      </c>
      <c r="F3586" t="n">
        <v>71.8</v>
      </c>
      <c r="G3586" t="n">
        <v>287</v>
      </c>
      <c r="H3586" t="n">
        <v>2.3e-145</v>
      </c>
      <c r="I3586" t="inlineStr">
        <is>
          <t>Nr</t>
        </is>
      </c>
      <c r="J3586" t="inlineStr"/>
      <c r="K3586" t="inlineStr"/>
      <c r="L3586" t="inlineStr">
        <is>
          <t>XP_044303200.1 angiotensin-converting enzyme isoform X3 [Varanus komodoensis]</t>
        </is>
      </c>
      <c r="M3586" t="n">
        <v>1190</v>
      </c>
      <c r="N3586" t="inlineStr">
        <is>
          <t>Varanus komodoensis</t>
        </is>
      </c>
      <c r="O3586" t="inlineStr">
        <is>
          <t>angiotensin-converting enzyme isoform X3</t>
        </is>
      </c>
    </row>
    <row r="3587">
      <c r="A3587" t="inlineStr"/>
      <c r="B3587" t="inlineStr"/>
      <c r="C3587" t="inlineStr"/>
      <c r="D3587" t="inlineStr"/>
      <c r="E3587">
        <f>HYPERLINK("https://www.ncbi.nlm.nih.gov/gene/?term=XP_032093639.1", "XP_032093639.1")</f>
        <v/>
      </c>
      <c r="F3587" t="n">
        <v>69.5</v>
      </c>
      <c r="G3587" t="n">
        <v>298</v>
      </c>
      <c r="H3587" t="n">
        <v>2.33e-145</v>
      </c>
      <c r="I3587" t="inlineStr">
        <is>
          <t>Nr</t>
        </is>
      </c>
      <c r="J3587" t="inlineStr"/>
      <c r="K3587" t="inlineStr"/>
      <c r="L3587" t="inlineStr">
        <is>
          <t>XP_032093639.1 angiotensin-converting enzyme [Thamnophis elegans]</t>
        </is>
      </c>
      <c r="M3587" t="n">
        <v>1277</v>
      </c>
      <c r="N3587" t="inlineStr">
        <is>
          <t>Thamnophis elegans</t>
        </is>
      </c>
      <c r="O3587" t="inlineStr">
        <is>
          <t>angiotensin-converting enzyme</t>
        </is>
      </c>
    </row>
    <row r="3588">
      <c r="A3588" t="inlineStr"/>
      <c r="B3588" t="inlineStr"/>
      <c r="C3588" t="inlineStr"/>
      <c r="D3588" t="inlineStr"/>
      <c r="E3588">
        <f>HYPERLINK("https://www.ncbi.nlm.nih.gov/gene/?term=XP_015742922.1", "XP_015742922.1")</f>
        <v/>
      </c>
      <c r="F3588" t="n">
        <v>71.3</v>
      </c>
      <c r="G3588" t="n">
        <v>289</v>
      </c>
      <c r="H3588" t="n">
        <v>2.37e-145</v>
      </c>
      <c r="I3588" t="inlineStr">
        <is>
          <t>Nr</t>
        </is>
      </c>
      <c r="J3588" t="inlineStr"/>
      <c r="K3588" t="inlineStr"/>
      <c r="L3588" t="inlineStr">
        <is>
          <t>XP_015742922.1 angiotensin-converting enzyme [Python bivittatus]</t>
        </is>
      </c>
      <c r="M3588" t="n">
        <v>1278</v>
      </c>
      <c r="N3588" t="inlineStr">
        <is>
          <t>Python bivittatus</t>
        </is>
      </c>
      <c r="O3588" t="inlineStr">
        <is>
          <t>angiotensin-converting enzyme</t>
        </is>
      </c>
    </row>
    <row r="3589">
      <c r="A3589" t="inlineStr"/>
      <c r="B3589" t="inlineStr"/>
      <c r="C3589" t="inlineStr"/>
      <c r="D3589" t="inlineStr"/>
      <c r="E3589">
        <f>HYPERLINK("https://www.ncbi.nlm.nih.gov/gene/?term=XP_048373026.1", "XP_048373026.1")</f>
        <v/>
      </c>
      <c r="F3589" t="n">
        <v>70.90000000000001</v>
      </c>
      <c r="G3589" t="n">
        <v>299</v>
      </c>
      <c r="H3589" t="n">
        <v>2.45e-145</v>
      </c>
      <c r="I3589" t="inlineStr">
        <is>
          <t>Nr</t>
        </is>
      </c>
      <c r="J3589" t="inlineStr"/>
      <c r="K3589" t="inlineStr"/>
      <c r="L3589" t="inlineStr">
        <is>
          <t>XP_048373026.1 LOW QUALITY PROTEIN: angiotensin-converting enzyme [Sphaerodactylus townsendi]</t>
        </is>
      </c>
      <c r="M3589" t="n">
        <v>1298</v>
      </c>
      <c r="N3589" t="inlineStr">
        <is>
          <t>Sphaerodactylus townsendi</t>
        </is>
      </c>
      <c r="O3589" t="inlineStr">
        <is>
          <t>LOW QUALITY PROTEIN: angiotensin-converting enzyme</t>
        </is>
      </c>
    </row>
    <row r="3590">
      <c r="A3590" t="inlineStr"/>
      <c r="B3590" t="inlineStr"/>
      <c r="C3590" t="inlineStr"/>
      <c r="D3590" t="inlineStr"/>
      <c r="E3590">
        <f>HYPERLINK("https://www.uniprot.org/uniprotkb/A0A8C3IY54/entry", "A0A8C3IY54")</f>
        <v/>
      </c>
      <c r="F3590" t="n">
        <v>71</v>
      </c>
      <c r="G3590" t="n">
        <v>297</v>
      </c>
      <c r="H3590" t="n">
        <v>3.18e-145</v>
      </c>
      <c r="I3590" t="inlineStr">
        <is>
          <t>TrEMBL</t>
        </is>
      </c>
      <c r="J3590" t="inlineStr"/>
      <c r="K3590" t="inlineStr">
        <is>
          <t>A0A8C3IY54_CHRPI</t>
        </is>
      </c>
      <c r="L3590" t="inlineStr">
        <is>
          <t>tr|A0A8C3IY54|A0A8C3IY54_CHRPI Angiotensin-converting enzyme OS=Chrysemys picta bellii OX=8478 PE=3 SV=1</t>
        </is>
      </c>
      <c r="M3590" t="n">
        <v>1290</v>
      </c>
      <c r="N3590" t="inlineStr">
        <is>
          <t>Chrysemys picta bellii</t>
        </is>
      </c>
      <c r="O3590" t="inlineStr">
        <is>
          <t>Angiotensin-converting enzyme</t>
        </is>
      </c>
    </row>
    <row r="3591">
      <c r="A3591" t="inlineStr"/>
      <c r="B3591" t="inlineStr"/>
      <c r="C3591" t="inlineStr"/>
      <c r="D3591" t="inlineStr"/>
      <c r="E3591">
        <f>HYPERLINK("https://www.uniprot.org/uniprotkb/A0A670J8E1/entry", "A0A670J8E1")</f>
        <v/>
      </c>
      <c r="F3591" t="n">
        <v>71.59999999999999</v>
      </c>
      <c r="G3591" t="n">
        <v>289</v>
      </c>
      <c r="H3591" t="n">
        <v>4.21e-145</v>
      </c>
      <c r="I3591" t="inlineStr">
        <is>
          <t>TrEMBL</t>
        </is>
      </c>
      <c r="J3591" t="inlineStr">
        <is>
          <t>ACE</t>
        </is>
      </c>
      <c r="K3591" t="inlineStr">
        <is>
          <t>A0A670J8E1_PODMU</t>
        </is>
      </c>
      <c r="L3591" t="inlineStr">
        <is>
          <t>tr|A0A670J8E1|A0A670J8E1_PODMU Angiotensin-converting enzyme OS=Podarcis muralis OX=64176 GN=ACE PE=3 SV=1</t>
        </is>
      </c>
      <c r="M3591" t="n">
        <v>1287</v>
      </c>
      <c r="N3591" t="inlineStr">
        <is>
          <t>Podarcis muralis</t>
        </is>
      </c>
      <c r="O3591" t="inlineStr">
        <is>
          <t>Angiotensin-converting enzyme</t>
        </is>
      </c>
    </row>
    <row r="3592">
      <c r="A3592" t="inlineStr"/>
      <c r="B3592" t="inlineStr"/>
      <c r="C3592" t="inlineStr"/>
      <c r="D3592" t="inlineStr"/>
      <c r="E3592">
        <f>HYPERLINK("https://www.uniprot.org/uniprotkb/A0A674IAE6/entry", "A0A674IAE6")</f>
        <v/>
      </c>
      <c r="F3592" t="n">
        <v>70.7</v>
      </c>
      <c r="G3592" t="n">
        <v>297</v>
      </c>
      <c r="H3592" t="n">
        <v>4.35e-145</v>
      </c>
      <c r="I3592" t="inlineStr">
        <is>
          <t>TrEMBL</t>
        </is>
      </c>
      <c r="J3592" t="inlineStr"/>
      <c r="K3592" t="inlineStr">
        <is>
          <t>A0A674IAE6_TERCA</t>
        </is>
      </c>
      <c r="L3592" t="inlineStr">
        <is>
          <t>tr|A0A674IAE6|A0A674IAE6_TERCA Angiotensin-converting enzyme OS=Terrapene carolina triunguis OX=2587831 PE=3 SV=1</t>
        </is>
      </c>
      <c r="M3592" t="n">
        <v>1218</v>
      </c>
      <c r="N3592" t="inlineStr">
        <is>
          <t>Terrapene carolina triunguis</t>
        </is>
      </c>
      <c r="O3592" t="inlineStr">
        <is>
          <t>Angiotensin-converting enzyme</t>
        </is>
      </c>
    </row>
    <row r="3593">
      <c r="A3593" t="inlineStr"/>
      <c r="B3593" t="inlineStr"/>
      <c r="C3593" t="inlineStr"/>
      <c r="D3593" t="inlineStr"/>
      <c r="E3593">
        <f>HYPERLINK("https://www.uniprot.org/uniprotkb/A0A8D2LPK4/entry", "A0A8D2LPK4")</f>
        <v/>
      </c>
      <c r="F3593" t="n">
        <v>71.8</v>
      </c>
      <c r="G3593" t="n">
        <v>287</v>
      </c>
      <c r="H3593" t="n">
        <v>5.69e-145</v>
      </c>
      <c r="I3593" t="inlineStr">
        <is>
          <t>TrEMBL</t>
        </is>
      </c>
      <c r="J3593" t="inlineStr"/>
      <c r="K3593" t="inlineStr">
        <is>
          <t>A0A8D2LPK4_VARKO</t>
        </is>
      </c>
      <c r="L3593" t="inlineStr">
        <is>
          <t>tr|A0A8D2LPK4|A0A8D2LPK4_VARKO Angiotensin-converting enzyme OS=Varanus komodoensis OX=61221 PE=3 SV=1</t>
        </is>
      </c>
      <c r="M3593" t="n">
        <v>1285</v>
      </c>
      <c r="N3593" t="inlineStr">
        <is>
          <t>Varanus komodoensis</t>
        </is>
      </c>
      <c r="O3593" t="inlineStr">
        <is>
          <t>Angiotensin-converting enzyme</t>
        </is>
      </c>
    </row>
    <row r="3594">
      <c r="A3594" t="inlineStr"/>
      <c r="B3594" t="inlineStr"/>
      <c r="C3594" t="inlineStr"/>
      <c r="D3594" t="inlineStr"/>
      <c r="E3594">
        <f>HYPERLINK("https://www.uniprot.org/uniprotkb/A0A8C0G3C6/entry", "A0A8C0G3C6")</f>
        <v/>
      </c>
      <c r="F3594" t="n">
        <v>70.2</v>
      </c>
      <c r="G3594" t="n">
        <v>299</v>
      </c>
      <c r="H3594" t="n">
        <v>6.24e-145</v>
      </c>
      <c r="I3594" t="inlineStr">
        <is>
          <t>TrEMBL</t>
        </is>
      </c>
      <c r="J3594" t="inlineStr"/>
      <c r="K3594" t="inlineStr">
        <is>
          <t>A0A8C0G3C6_CHEAB</t>
        </is>
      </c>
      <c r="L3594" t="inlineStr">
        <is>
          <t>tr|A0A8C0G3C6|A0A8C0G3C6_CHEAB Angiotensin-converting enzyme OS=Chelonoidis abingdonii OX=106734 PE=3 SV=1</t>
        </is>
      </c>
      <c r="M3594" t="n">
        <v>1290</v>
      </c>
      <c r="N3594" t="inlineStr">
        <is>
          <t>Chelonoidis abingdonii</t>
        </is>
      </c>
      <c r="O3594" t="inlineStr">
        <is>
          <t>Angiotensin-converting enzyme</t>
        </is>
      </c>
    </row>
    <row r="3595">
      <c r="A3595" t="inlineStr"/>
      <c r="B3595" t="inlineStr"/>
      <c r="C3595" t="inlineStr"/>
      <c r="D3595" t="inlineStr"/>
      <c r="E3595">
        <f>HYPERLINK("https://www.uniprot.org/uniprotkb/A0A674I8F5/entry", "A0A674I8F5")</f>
        <v/>
      </c>
      <c r="F3595" t="n">
        <v>70.7</v>
      </c>
      <c r="G3595" t="n">
        <v>297</v>
      </c>
      <c r="H3595" t="n">
        <v>8.75e-145</v>
      </c>
      <c r="I3595" t="inlineStr">
        <is>
          <t>TrEMBL</t>
        </is>
      </c>
      <c r="J3595" t="inlineStr"/>
      <c r="K3595" t="inlineStr">
        <is>
          <t>A0A674I8F5_TERCA</t>
        </is>
      </c>
      <c r="L3595" t="inlineStr">
        <is>
          <t>tr|A0A674I8F5|A0A674I8F5_TERCA Angiotensin-converting enzyme OS=Terrapene carolina triunguis OX=2587831 PE=3 SV=1</t>
        </is>
      </c>
      <c r="M3595" t="n">
        <v>1254</v>
      </c>
      <c r="N3595" t="inlineStr">
        <is>
          <t>Terrapene carolina triunguis</t>
        </is>
      </c>
      <c r="O3595" t="inlineStr">
        <is>
          <t>Angiotensin-converting enzyme</t>
        </is>
      </c>
    </row>
    <row r="3596">
      <c r="A3596" t="inlineStr"/>
      <c r="B3596" t="inlineStr"/>
      <c r="C3596" t="inlineStr"/>
      <c r="D3596" t="inlineStr"/>
      <c r="E3596">
        <f>HYPERLINK("https://www.uniprot.org/uniprotkb/A0A674I8D9/entry", "A0A674I8D9")</f>
        <v/>
      </c>
      <c r="F3596" t="n">
        <v>70.7</v>
      </c>
      <c r="G3596" t="n">
        <v>297</v>
      </c>
      <c r="H3596" t="n">
        <v>8.92e-145</v>
      </c>
      <c r="I3596" t="inlineStr">
        <is>
          <t>TrEMBL</t>
        </is>
      </c>
      <c r="J3596" t="inlineStr"/>
      <c r="K3596" t="inlineStr">
        <is>
          <t>A0A674I8D9_TERCA</t>
        </is>
      </c>
      <c r="L3596" t="inlineStr">
        <is>
          <t>tr|A0A674I8D9|A0A674I8D9_TERCA Angiotensin-converting enzyme OS=Terrapene carolina triunguis OX=2587831 PE=3 SV=1</t>
        </is>
      </c>
      <c r="M3596" t="n">
        <v>1255</v>
      </c>
      <c r="N3596" t="inlineStr">
        <is>
          <t>Terrapene carolina triunguis</t>
        </is>
      </c>
      <c r="O3596" t="inlineStr">
        <is>
          <t>Angiotensin-converting enzyme</t>
        </is>
      </c>
    </row>
    <row r="3597">
      <c r="A3597" t="inlineStr"/>
      <c r="B3597" t="inlineStr"/>
      <c r="C3597" t="inlineStr"/>
      <c r="D3597" t="inlineStr"/>
      <c r="E3597">
        <f>HYPERLINK("https://www.uniprot.org/uniprotkb/Q10751/entry", "Q10751")</f>
        <v/>
      </c>
      <c r="F3597" t="n">
        <v>70.09999999999999</v>
      </c>
      <c r="G3597" t="n">
        <v>284</v>
      </c>
      <c r="H3597" t="n">
        <v>5.74e-139</v>
      </c>
      <c r="I3597" t="inlineStr">
        <is>
          <t>Swiss-Prot</t>
        </is>
      </c>
      <c r="J3597" t="inlineStr">
        <is>
          <t>ACE</t>
        </is>
      </c>
      <c r="K3597" t="inlineStr">
        <is>
          <t>ACE_CHICK</t>
        </is>
      </c>
      <c r="L3597" t="inlineStr">
        <is>
          <t>sp|Q10751|ACE_CHICK Angiotensin-converting enzyme OS=Gallus gallus OX=9031 GN=ACE PE=2 SV=2</t>
        </is>
      </c>
      <c r="M3597" t="n">
        <v>1281</v>
      </c>
      <c r="N3597" t="inlineStr">
        <is>
          <t>Gallus gallus</t>
        </is>
      </c>
      <c r="O3597" t="inlineStr">
        <is>
          <t>Angiotensin-converting enzyme</t>
        </is>
      </c>
    </row>
    <row r="3598">
      <c r="A3598" t="inlineStr"/>
      <c r="B3598" t="inlineStr"/>
      <c r="C3598" t="inlineStr"/>
      <c r="D3598" t="inlineStr"/>
      <c r="E3598">
        <f>HYPERLINK("https://www.uniprot.org/uniprotkb/P12821/entry", "P12821")</f>
        <v/>
      </c>
      <c r="F3598" t="n">
        <v>65.09999999999999</v>
      </c>
      <c r="G3598" t="n">
        <v>289</v>
      </c>
      <c r="H3598" t="n">
        <v>1e-135</v>
      </c>
      <c r="I3598" t="inlineStr">
        <is>
          <t>Swiss-Prot</t>
        </is>
      </c>
      <c r="J3598" t="inlineStr">
        <is>
          <t>ACE</t>
        </is>
      </c>
      <c r="K3598" t="inlineStr">
        <is>
          <t>ACE_HUMAN</t>
        </is>
      </c>
      <c r="L3598" t="inlineStr">
        <is>
          <t>sp|P12821|ACE_HUMAN Angiotensin-converting enzyme OS=Homo sapiens OX=9606 GN=ACE PE=1 SV=1</t>
        </is>
      </c>
      <c r="M3598" t="n">
        <v>1306</v>
      </c>
      <c r="N3598" t="inlineStr">
        <is>
          <t>Homo sapiens</t>
        </is>
      </c>
      <c r="O3598" t="inlineStr">
        <is>
          <t>Angiotensin-converting enzyme</t>
        </is>
      </c>
    </row>
    <row r="3599">
      <c r="A3599" t="inlineStr"/>
      <c r="B3599" t="inlineStr"/>
      <c r="C3599" t="inlineStr"/>
      <c r="D3599" t="inlineStr"/>
      <c r="E3599">
        <f>HYPERLINK("https://www.uniprot.org/uniprotkb/Q9GLN7/entry", "Q9GLN7")</f>
        <v/>
      </c>
      <c r="F3599" t="n">
        <v>65.09999999999999</v>
      </c>
      <c r="G3599" t="n">
        <v>289</v>
      </c>
      <c r="H3599" t="n">
        <v>1.35e-135</v>
      </c>
      <c r="I3599" t="inlineStr">
        <is>
          <t>Swiss-Prot</t>
        </is>
      </c>
      <c r="J3599" t="inlineStr">
        <is>
          <t>ACE</t>
        </is>
      </c>
      <c r="K3599" t="inlineStr">
        <is>
          <t>ACE_PANTR</t>
        </is>
      </c>
      <c r="L3599" t="inlineStr">
        <is>
          <t>sp|Q9GLN7|ACE_PANTR Angiotensin-converting enzyme OS=Pan troglodytes OX=9598 GN=ACE PE=3 SV=1</t>
        </is>
      </c>
      <c r="M3599" t="n">
        <v>1304</v>
      </c>
      <c r="N3599" t="inlineStr">
        <is>
          <t>Pan troglodytes</t>
        </is>
      </c>
      <c r="O3599" t="inlineStr">
        <is>
          <t>Angiotensin-converting enzyme</t>
        </is>
      </c>
    </row>
    <row r="3600">
      <c r="A3600" t="inlineStr"/>
      <c r="B3600" t="inlineStr"/>
      <c r="C3600" t="inlineStr"/>
      <c r="D3600" t="inlineStr"/>
      <c r="E3600">
        <f>HYPERLINK("https://www.uniprot.org/uniprotkb/P12820/entry", "P12820")</f>
        <v/>
      </c>
      <c r="F3600" t="n">
        <v>64.3</v>
      </c>
      <c r="G3600" t="n">
        <v>286</v>
      </c>
      <c r="H3600" t="n">
        <v>4.28e-132</v>
      </c>
      <c r="I3600" t="inlineStr">
        <is>
          <t>Swiss-Prot</t>
        </is>
      </c>
      <c r="J3600" t="inlineStr">
        <is>
          <t>ACE</t>
        </is>
      </c>
      <c r="K3600" t="inlineStr">
        <is>
          <t>ACE_BOVIN</t>
        </is>
      </c>
      <c r="L3600" t="inlineStr">
        <is>
          <t>sp|P12820|ACE_BOVIN Angiotensin-converting enzyme OS=Bos taurus OX=9913 GN=ACE PE=1 SV=3</t>
        </is>
      </c>
      <c r="M3600" t="n">
        <v>1306</v>
      </c>
      <c r="N3600" t="inlineStr">
        <is>
          <t>Bos taurus</t>
        </is>
      </c>
      <c r="O3600" t="inlineStr">
        <is>
          <t>Angiotensin-converting enzyme</t>
        </is>
      </c>
    </row>
    <row r="3601">
      <c r="A3601" t="inlineStr"/>
      <c r="B3601" t="inlineStr"/>
      <c r="C3601" t="inlineStr"/>
      <c r="D3601" t="inlineStr"/>
      <c r="E3601">
        <f>HYPERLINK("https://www.uniprot.org/uniprotkb/P12822/entry", "P12822")</f>
        <v/>
      </c>
      <c r="F3601" t="n">
        <v>61.9</v>
      </c>
      <c r="G3601" t="n">
        <v>289</v>
      </c>
      <c r="H3601" t="n">
        <v>9.199999999999999e-131</v>
      </c>
      <c r="I3601" t="inlineStr">
        <is>
          <t>Swiss-Prot</t>
        </is>
      </c>
      <c r="J3601" t="inlineStr">
        <is>
          <t>ACE</t>
        </is>
      </c>
      <c r="K3601" t="inlineStr">
        <is>
          <t>ACE_RABIT</t>
        </is>
      </c>
      <c r="L3601" t="inlineStr">
        <is>
          <t>sp|P12822|ACE_RABIT Angiotensin-converting enzyme OS=Oryctolagus cuniculus OX=9986 GN=ACE PE=1 SV=3</t>
        </is>
      </c>
      <c r="M3601" t="n">
        <v>1310</v>
      </c>
      <c r="N3601" t="inlineStr">
        <is>
          <t>Oryctolagus cuniculus</t>
        </is>
      </c>
      <c r="O3601" t="inlineStr">
        <is>
          <t>Angiotensin-converting enzyme</t>
        </is>
      </c>
    </row>
    <row r="3602">
      <c r="A3602" t="inlineStr"/>
      <c r="B3602" t="inlineStr"/>
      <c r="C3602" t="inlineStr"/>
      <c r="D3602" t="inlineStr"/>
      <c r="E3602">
        <f>HYPERLINK("https://www.uniprot.org/uniprotkb/P09470/entry", "P09470")</f>
        <v/>
      </c>
      <c r="F3602" t="n">
        <v>60.9</v>
      </c>
      <c r="G3602" t="n">
        <v>302</v>
      </c>
      <c r="H3602" t="n">
        <v>1.85e-130</v>
      </c>
      <c r="I3602" t="inlineStr">
        <is>
          <t>Swiss-Prot</t>
        </is>
      </c>
      <c r="J3602" t="inlineStr">
        <is>
          <t>Ace</t>
        </is>
      </c>
      <c r="K3602" t="inlineStr">
        <is>
          <t>ACE_MOUSE</t>
        </is>
      </c>
      <c r="L3602" t="inlineStr">
        <is>
          <t>sp|P09470|ACE_MOUSE Angiotensin-converting enzyme OS=Mus musculus OX=10090 GN=Ace PE=1 SV=3</t>
        </is>
      </c>
      <c r="M3602" t="n">
        <v>1312</v>
      </c>
      <c r="N3602" t="inlineStr">
        <is>
          <t>Mus musculus</t>
        </is>
      </c>
      <c r="O3602" t="inlineStr">
        <is>
          <t>Angiotensin-converting enzyme</t>
        </is>
      </c>
    </row>
    <row r="3603">
      <c r="A3603" t="inlineStr"/>
      <c r="B3603" t="inlineStr"/>
      <c r="C3603" t="inlineStr"/>
      <c r="D3603" t="inlineStr"/>
      <c r="E3603">
        <f>HYPERLINK("https://www.uniprot.org/uniprotkb/P47820/entry", "P47820")</f>
        <v/>
      </c>
      <c r="F3603" t="n">
        <v>62.6</v>
      </c>
      <c r="G3603" t="n">
        <v>289</v>
      </c>
      <c r="H3603" t="n">
        <v>1.94e-129</v>
      </c>
      <c r="I3603" t="inlineStr">
        <is>
          <t>Swiss-Prot</t>
        </is>
      </c>
      <c r="J3603" t="inlineStr">
        <is>
          <t>Ace</t>
        </is>
      </c>
      <c r="K3603" t="inlineStr">
        <is>
          <t>ACE_RAT</t>
        </is>
      </c>
      <c r="L3603" t="inlineStr">
        <is>
          <t>sp|P47820|ACE_RAT Angiotensin-converting enzyme OS=Rattus norvegicus OX=10116 GN=Ace PE=1 SV=1</t>
        </is>
      </c>
      <c r="M3603" t="n">
        <v>1313</v>
      </c>
      <c r="N3603" t="inlineStr">
        <is>
          <t>Rattus norvegicus</t>
        </is>
      </c>
      <c r="O3603" t="inlineStr">
        <is>
          <t>Angiotensin-converting enzyme</t>
        </is>
      </c>
    </row>
    <row r="3604">
      <c r="A3604" t="inlineStr"/>
      <c r="B3604" t="inlineStr"/>
      <c r="C3604" t="inlineStr"/>
      <c r="D3604" t="inlineStr"/>
      <c r="E3604">
        <f>HYPERLINK("https://www.uniprot.org/uniprotkb/F1RRW5/entry", "F1RRW5")</f>
        <v/>
      </c>
      <c r="F3604" t="n">
        <v>61.9</v>
      </c>
      <c r="G3604" t="n">
        <v>289</v>
      </c>
      <c r="H3604" t="n">
        <v>1.42e-126</v>
      </c>
      <c r="I3604" t="inlineStr">
        <is>
          <t>Swiss-Prot</t>
        </is>
      </c>
      <c r="J3604" t="inlineStr">
        <is>
          <t>ACE</t>
        </is>
      </c>
      <c r="K3604" t="inlineStr">
        <is>
          <t>ACE_PIG</t>
        </is>
      </c>
      <c r="L3604" t="inlineStr">
        <is>
          <t>sp|F1RRW5|ACE_PIG Angiotensin-converting enzyme OS=Sus scrofa OX=9823 GN=ACE PE=1 SV=3</t>
        </is>
      </c>
      <c r="M3604" t="n">
        <v>1309</v>
      </c>
      <c r="N3604" t="inlineStr">
        <is>
          <t>Sus scrofa</t>
        </is>
      </c>
      <c r="O3604" t="inlineStr">
        <is>
          <t>Angiotensin-converting enzyme</t>
        </is>
      </c>
    </row>
    <row r="3605">
      <c r="A3605" t="inlineStr"/>
      <c r="B3605" t="inlineStr"/>
      <c r="C3605" t="inlineStr"/>
      <c r="D3605" t="inlineStr"/>
      <c r="E3605">
        <f>HYPERLINK("https://www.uniprot.org/uniprotkb/Q50JE5/entry", "Q50JE5")</f>
        <v/>
      </c>
      <c r="F3605" t="n">
        <v>62.6</v>
      </c>
      <c r="G3605" t="n">
        <v>289</v>
      </c>
      <c r="H3605" t="n">
        <v>4.25e-125</v>
      </c>
      <c r="I3605" t="inlineStr">
        <is>
          <t>Swiss-Prot</t>
        </is>
      </c>
      <c r="J3605" t="inlineStr">
        <is>
          <t>Ace</t>
        </is>
      </c>
      <c r="K3605" t="inlineStr">
        <is>
          <t>ACE_MESAU</t>
        </is>
      </c>
      <c r="L3605" t="inlineStr">
        <is>
          <t>sp|Q50JE5|ACE_MESAU Angiotensin-converting enzyme OS=Mesocricetus auratus OX=10036 GN=Ace PE=2 SV=1</t>
        </is>
      </c>
      <c r="M3605" t="n">
        <v>1314</v>
      </c>
      <c r="N3605" t="inlineStr">
        <is>
          <t>Mesocricetus auratus</t>
        </is>
      </c>
      <c r="O3605" t="inlineStr">
        <is>
          <t>Angiotensin-converting enzyme</t>
        </is>
      </c>
    </row>
    <row r="3606">
      <c r="A3606" t="inlineStr"/>
      <c r="B3606" t="inlineStr"/>
      <c r="C3606" t="inlineStr"/>
      <c r="D3606" t="inlineStr"/>
      <c r="E3606">
        <f>HYPERLINK("https://www.uniprot.org/uniprotkb/D0G895/entry", "D0G895")</f>
        <v/>
      </c>
      <c r="F3606" t="n">
        <v>44.6</v>
      </c>
      <c r="G3606" t="n">
        <v>271</v>
      </c>
      <c r="H3606" t="n">
        <v>1.39e-77</v>
      </c>
      <c r="I3606" t="inlineStr">
        <is>
          <t>Swiss-Prot</t>
        </is>
      </c>
      <c r="J3606" t="inlineStr">
        <is>
          <t>Ace3</t>
        </is>
      </c>
      <c r="K3606" t="inlineStr">
        <is>
          <t>ACE3_MOUSE</t>
        </is>
      </c>
      <c r="L3606" t="inlineStr">
        <is>
          <t>sp|D0G895|ACE3_MOUSE Angiotensin-converting enzyme-like protein Ace3 OS=Mus musculus OX=10090 GN=Ace3 PE=1 SV=1</t>
        </is>
      </c>
      <c r="M3606" t="n">
        <v>737</v>
      </c>
      <c r="N3606" t="inlineStr">
        <is>
          <t>Mus musculus</t>
        </is>
      </c>
      <c r="O3606" t="inlineStr">
        <is>
          <t>Angiotensin-converting enzyme-like protein Ace3</t>
        </is>
      </c>
    </row>
    <row r="3607">
      <c r="A3607" t="inlineStr"/>
      <c r="B3607" t="inlineStr"/>
      <c r="C3607" t="inlineStr"/>
      <c r="D3607" t="inlineStr"/>
      <c r="E3607">
        <f>HYPERLINK("https://www.uniprot.org/uniprotkb/Q18581/entry", "Q18581")</f>
        <v/>
      </c>
      <c r="F3607" t="n">
        <v>28.1</v>
      </c>
      <c r="G3607" t="n">
        <v>663</v>
      </c>
      <c r="H3607" t="n">
        <v>1.58e-74</v>
      </c>
      <c r="I3607" t="inlineStr">
        <is>
          <t>Swiss-Prot</t>
        </is>
      </c>
      <c r="J3607" t="inlineStr">
        <is>
          <t>acn-1</t>
        </is>
      </c>
      <c r="K3607" t="inlineStr">
        <is>
          <t>ACN1_CAEEL</t>
        </is>
      </c>
      <c r="L3607" t="inlineStr">
        <is>
          <t>sp|Q18581|ACN1_CAEEL Inactive angiotensin-converting enzyme-related protein OS=Caenorhabditis elegans OX=6239 GN=acn-1 PE=1 SV=2</t>
        </is>
      </c>
      <c r="M3607" t="n">
        <v>906</v>
      </c>
      <c r="N3607" t="inlineStr">
        <is>
          <t>Caenorhabditis elegans</t>
        </is>
      </c>
      <c r="O3607" t="inlineStr">
        <is>
          <t>Inactive angiotensin-converting enzyme-related protein</t>
        </is>
      </c>
    </row>
    <row r="3608">
      <c r="A3608" t="inlineStr"/>
      <c r="B3608" t="inlineStr"/>
      <c r="C3608" t="inlineStr"/>
      <c r="D3608" t="inlineStr"/>
      <c r="E3608">
        <f>HYPERLINK("https://www.uniprot.org/uniprotkb/Q6Q4G4/entry", "Q6Q4G4")</f>
        <v/>
      </c>
      <c r="F3608" t="n">
        <v>39.9</v>
      </c>
      <c r="G3608" t="n">
        <v>301</v>
      </c>
      <c r="H3608" t="n">
        <v>1.12e-70</v>
      </c>
      <c r="I3608" t="inlineStr">
        <is>
          <t>Swiss-Prot</t>
        </is>
      </c>
      <c r="J3608" t="inlineStr">
        <is>
          <t>ACE</t>
        </is>
      </c>
      <c r="K3608" t="inlineStr">
        <is>
          <t>ACE_THETS</t>
        </is>
      </c>
      <c r="L3608" t="inlineStr">
        <is>
          <t>sp|Q6Q4G4|ACE_THETS Angiotensin-converting enzyme OS=Theromyzon tessulatum OX=13286 GN=ACE PE=2 SV=1</t>
        </is>
      </c>
      <c r="M3608" t="n">
        <v>616</v>
      </c>
      <c r="N3608" t="inlineStr">
        <is>
          <t>Theromyzon tessulatum</t>
        </is>
      </c>
      <c r="O3608" t="inlineStr">
        <is>
          <t>Angiotensin-converting enzyme</t>
        </is>
      </c>
    </row>
    <row r="3609">
      <c r="A3609" t="inlineStr"/>
      <c r="B3609" t="inlineStr"/>
      <c r="C3609" t="inlineStr"/>
      <c r="D3609" t="inlineStr"/>
      <c r="E3609">
        <f>HYPERLINK("https://www.uniprot.org/uniprotkb/Q8R0I0/entry", "Q8R0I0")</f>
        <v/>
      </c>
      <c r="F3609" t="n">
        <v>36.9</v>
      </c>
      <c r="G3609" t="n">
        <v>309</v>
      </c>
      <c r="H3609" t="n">
        <v>6.41e-59</v>
      </c>
      <c r="I3609" t="inlineStr">
        <is>
          <t>Swiss-Prot</t>
        </is>
      </c>
      <c r="J3609" t="inlineStr">
        <is>
          <t>Ace2</t>
        </is>
      </c>
      <c r="K3609" t="inlineStr">
        <is>
          <t>ACE2_MOUSE</t>
        </is>
      </c>
      <c r="L3609" t="inlineStr">
        <is>
          <t>sp|Q8R0I0|ACE2_MOUSE Angiotensin-converting enzyme 2 OS=Mus musculus OX=10090 GN=Ace2 PE=1 SV=1</t>
        </is>
      </c>
      <c r="M3609" t="n">
        <v>805</v>
      </c>
      <c r="N3609" t="inlineStr">
        <is>
          <t>Mus musculus</t>
        </is>
      </c>
      <c r="O3609" t="inlineStr">
        <is>
          <t>Angiotensin-converting enzyme 2</t>
        </is>
      </c>
    </row>
    <row r="3610">
      <c r="A3610" t="inlineStr"/>
      <c r="B3610" t="inlineStr"/>
      <c r="C3610" t="inlineStr"/>
      <c r="D3610" t="inlineStr"/>
      <c r="E3610">
        <f>HYPERLINK("https://www.uniprot.org/uniprotkb/Q5EGZ1/entry", "Q5EGZ1")</f>
        <v/>
      </c>
      <c r="F3610" t="n">
        <v>39.1</v>
      </c>
      <c r="G3610" t="n">
        <v>302</v>
      </c>
      <c r="H3610" t="n">
        <v>1.64e-57</v>
      </c>
      <c r="I3610" t="inlineStr">
        <is>
          <t>Swiss-Prot</t>
        </is>
      </c>
      <c r="J3610" t="inlineStr">
        <is>
          <t>Ace2</t>
        </is>
      </c>
      <c r="K3610" t="inlineStr">
        <is>
          <t>ACE2_RAT</t>
        </is>
      </c>
      <c r="L3610" t="inlineStr">
        <is>
          <t>sp|Q5EGZ1|ACE2_RAT Angiotensin-converting enzyme 2 OS=Rattus norvegicus OX=10116 GN=Ace2 PE=1 SV=1</t>
        </is>
      </c>
      <c r="M3610" t="n">
        <v>805</v>
      </c>
      <c r="N3610" t="inlineStr">
        <is>
          <t>Rattus norvegicus</t>
        </is>
      </c>
      <c r="O3610" t="inlineStr">
        <is>
          <t>Angiotensin-converting enzyme 2</t>
        </is>
      </c>
    </row>
    <row r="3611">
      <c r="A3611" t="inlineStr"/>
      <c r="B3611" t="inlineStr"/>
      <c r="C3611" t="inlineStr"/>
      <c r="D3611" t="inlineStr"/>
      <c r="E3611">
        <f>HYPERLINK("https://www.uniprot.org/uniprotkb/Q56H28/entry", "Q56H28")</f>
        <v/>
      </c>
      <c r="F3611" t="n">
        <v>37.9</v>
      </c>
      <c r="G3611" t="n">
        <v>277</v>
      </c>
      <c r="H3611" t="n">
        <v>5.199999999999999e-54</v>
      </c>
      <c r="I3611" t="inlineStr">
        <is>
          <t>Swiss-Prot</t>
        </is>
      </c>
      <c r="J3611" t="inlineStr">
        <is>
          <t>ACE2</t>
        </is>
      </c>
      <c r="K3611" t="inlineStr">
        <is>
          <t>ACE2_FELCA</t>
        </is>
      </c>
      <c r="L3611" t="inlineStr">
        <is>
          <t>sp|Q56H28|ACE2_FELCA Angiotensin-converting enzyme 2 OS=Felis catus OX=9685 GN=ACE2 PE=1 SV=1</t>
        </is>
      </c>
      <c r="M3611" t="n">
        <v>805</v>
      </c>
      <c r="N3611" t="inlineStr">
        <is>
          <t>Felis catus</t>
        </is>
      </c>
      <c r="O3611" t="inlineStr">
        <is>
          <t>Angiotensin-converting enzyme 2</t>
        </is>
      </c>
    </row>
    <row r="3612">
      <c r="A3612" t="inlineStr"/>
      <c r="B3612" t="inlineStr"/>
      <c r="C3612" t="inlineStr"/>
      <c r="D3612" t="inlineStr"/>
      <c r="E3612">
        <f>HYPERLINK("https://www.uniprot.org/uniprotkb/Q58DD0/entry", "Q58DD0")</f>
        <v/>
      </c>
      <c r="F3612" t="n">
        <v>38.2</v>
      </c>
      <c r="G3612" t="n">
        <v>283</v>
      </c>
      <c r="H3612" t="n">
        <v>7.109999999999999e-54</v>
      </c>
      <c r="I3612" t="inlineStr">
        <is>
          <t>Swiss-Prot</t>
        </is>
      </c>
      <c r="J3612" t="inlineStr">
        <is>
          <t>ACE2</t>
        </is>
      </c>
      <c r="K3612" t="inlineStr">
        <is>
          <t>ACE2_BOVIN</t>
        </is>
      </c>
      <c r="L3612" t="inlineStr">
        <is>
          <t>sp|Q58DD0|ACE2_BOVIN Angiotensin-converting enzyme 2 OS=Bos taurus OX=9913 GN=ACE2 PE=1 SV=1</t>
        </is>
      </c>
      <c r="M3612" t="n">
        <v>804</v>
      </c>
      <c r="N3612" t="inlineStr">
        <is>
          <t>Bos taurus</t>
        </is>
      </c>
      <c r="O3612" t="inlineStr">
        <is>
          <t>Angiotensin-converting enzyme 2</t>
        </is>
      </c>
    </row>
    <row r="3613">
      <c r="A3613" t="inlineStr"/>
      <c r="B3613" t="inlineStr"/>
      <c r="C3613" t="inlineStr"/>
      <c r="D3613" t="inlineStr"/>
      <c r="E3613">
        <f>HYPERLINK("https://www.uniprot.org/uniprotkb/Q56NL1/entry", "Q56NL1")</f>
        <v/>
      </c>
      <c r="F3613" t="n">
        <v>36.1</v>
      </c>
      <c r="G3613" t="n">
        <v>277</v>
      </c>
      <c r="H3613" t="n">
        <v>1.28e-52</v>
      </c>
      <c r="I3613" t="inlineStr">
        <is>
          <t>Swiss-Prot</t>
        </is>
      </c>
      <c r="J3613" t="inlineStr">
        <is>
          <t>ACE2</t>
        </is>
      </c>
      <c r="K3613" t="inlineStr">
        <is>
          <t>ACE2_PAGLA</t>
        </is>
      </c>
      <c r="L3613" t="inlineStr">
        <is>
          <t>sp|Q56NL1|ACE2_PAGLA Angiotensin-converting enzyme 2 OS=Paguma larvata OX=9675 GN=ACE2 PE=1 SV=1</t>
        </is>
      </c>
      <c r="M3613" t="n">
        <v>805</v>
      </c>
      <c r="N3613" t="inlineStr">
        <is>
          <t>Paguma larvata</t>
        </is>
      </c>
      <c r="O3613" t="inlineStr">
        <is>
          <t>Angiotensin-converting enzyme 2</t>
        </is>
      </c>
    </row>
    <row r="3614">
      <c r="A3614" t="inlineStr"/>
      <c r="B3614" t="inlineStr"/>
      <c r="C3614" t="inlineStr"/>
      <c r="D3614" t="inlineStr"/>
      <c r="E3614">
        <f>HYPERLINK("https://www.uniprot.org/uniprotkb/Q5RFN1/entry", "Q5RFN1")</f>
        <v/>
      </c>
      <c r="F3614" t="n">
        <v>37.5</v>
      </c>
      <c r="G3614" t="n">
        <v>283</v>
      </c>
      <c r="H3614" t="n">
        <v>1.77e-52</v>
      </c>
      <c r="I3614" t="inlineStr">
        <is>
          <t>Swiss-Prot</t>
        </is>
      </c>
      <c r="J3614" t="inlineStr">
        <is>
          <t>ACE2</t>
        </is>
      </c>
      <c r="K3614" t="inlineStr">
        <is>
          <t>ACE2_PONAB</t>
        </is>
      </c>
      <c r="L3614" t="inlineStr">
        <is>
          <t>sp|Q5RFN1|ACE2_PONAB Angiotensin-converting enzyme 2 OS=Pongo abelii OX=9601 GN=ACE2 PE=2 SV=1</t>
        </is>
      </c>
      <c r="M3614" t="n">
        <v>805</v>
      </c>
      <c r="N3614" t="inlineStr">
        <is>
          <t>Pongo abelii</t>
        </is>
      </c>
      <c r="O3614" t="inlineStr">
        <is>
          <t>Angiotensin-converting enzyme 2</t>
        </is>
      </c>
    </row>
    <row r="3615">
      <c r="A3615" t="inlineStr"/>
      <c r="B3615" t="inlineStr"/>
      <c r="C3615" t="inlineStr"/>
      <c r="D3615" t="inlineStr"/>
      <c r="E3615">
        <f>HYPERLINK("https://www.uniprot.org/uniprotkb/Q9BYF1/entry", "Q9BYF1")</f>
        <v/>
      </c>
      <c r="F3615" t="n">
        <v>36.4</v>
      </c>
      <c r="G3615" t="n">
        <v>283</v>
      </c>
      <c r="H3615" t="n">
        <v>1.21e-51</v>
      </c>
      <c r="I3615" t="inlineStr">
        <is>
          <t>Swiss-Prot</t>
        </is>
      </c>
      <c r="J3615" t="inlineStr">
        <is>
          <t>ACE2</t>
        </is>
      </c>
      <c r="K3615" t="inlineStr">
        <is>
          <t>ACE2_HUMAN</t>
        </is>
      </c>
      <c r="L3615" t="inlineStr">
        <is>
          <t>sp|Q9BYF1|ACE2_HUMAN Angiotensin-converting enzyme 2 OS=Homo sapiens OX=9606 GN=ACE2 PE=1 SV=2</t>
        </is>
      </c>
      <c r="M3615" t="n">
        <v>805</v>
      </c>
      <c r="N3615" t="inlineStr">
        <is>
          <t>Homo sapiens</t>
        </is>
      </c>
      <c r="O3615" t="inlineStr">
        <is>
          <t>Angiotensin-converting enzyme 2</t>
        </is>
      </c>
    </row>
    <row r="3616">
      <c r="A3616" t="inlineStr"/>
      <c r="B3616" t="inlineStr"/>
      <c r="C3616" t="inlineStr"/>
      <c r="D3616" t="inlineStr"/>
      <c r="E3616">
        <f>HYPERLINK("https://www.uniprot.org/uniprotkb/Q10715/entry", "Q10715")</f>
        <v/>
      </c>
      <c r="F3616" t="n">
        <v>36.5</v>
      </c>
      <c r="G3616" t="n">
        <v>249</v>
      </c>
      <c r="H3616" t="n">
        <v>7.98e-51</v>
      </c>
      <c r="I3616" t="inlineStr">
        <is>
          <t>Swiss-Prot</t>
        </is>
      </c>
      <c r="J3616" t="inlineStr">
        <is>
          <t>ACE</t>
        </is>
      </c>
      <c r="K3616" t="inlineStr">
        <is>
          <t>ACE_HAEIX</t>
        </is>
      </c>
      <c r="L3616" t="inlineStr">
        <is>
          <t>sp|Q10715|ACE_HAEIX Angiotensin-converting enzyme OS=Haematobia irritans exigua OX=34678 GN=ACE PE=2 SV=1</t>
        </is>
      </c>
      <c r="M3616" t="n">
        <v>611</v>
      </c>
      <c r="N3616" t="inlineStr">
        <is>
          <t>Haematobia irritans exigua</t>
        </is>
      </c>
      <c r="O3616" t="inlineStr">
        <is>
          <t>Angiotensin-converting enzyme</t>
        </is>
      </c>
    </row>
    <row r="3617">
      <c r="A3617" t="inlineStr"/>
      <c r="B3617" t="inlineStr"/>
      <c r="C3617" t="inlineStr"/>
      <c r="D3617" t="inlineStr"/>
      <c r="E3617">
        <f>HYPERLINK("https://www.uniprot.org/uniprotkb/Q10714/entry", "Q10714")</f>
        <v/>
      </c>
      <c r="F3617" t="n">
        <v>36.1</v>
      </c>
      <c r="G3617" t="n">
        <v>252</v>
      </c>
      <c r="H3617" t="n">
        <v>2.26e-50</v>
      </c>
      <c r="I3617" t="inlineStr">
        <is>
          <t>Swiss-Prot</t>
        </is>
      </c>
      <c r="J3617" t="inlineStr">
        <is>
          <t>Ance</t>
        </is>
      </c>
      <c r="K3617" t="inlineStr">
        <is>
          <t>ACE_DROME</t>
        </is>
      </c>
      <c r="L3617" t="inlineStr">
        <is>
          <t>sp|Q10714|ACE_DROME Angiotensin-converting enzyme OS=Drosophila melanogaster OX=7227 GN=Ance PE=1 SV=3</t>
        </is>
      </c>
      <c r="M3617" t="n">
        <v>615</v>
      </c>
      <c r="N3617" t="inlineStr">
        <is>
          <t>Drosophila melanogaster</t>
        </is>
      </c>
      <c r="O3617" t="inlineStr">
        <is>
          <t>Angiotensin-converting enzyme</t>
        </is>
      </c>
    </row>
    <row r="3618">
      <c r="A3618" t="inlineStr"/>
      <c r="B3618" t="inlineStr"/>
      <c r="C3618" t="inlineStr"/>
      <c r="D3618" t="inlineStr"/>
      <c r="E3618">
        <f>HYPERLINK("https://www.uniprot.org/uniprotkb/Q9VLJ6/entry", "Q9VLJ6")</f>
        <v/>
      </c>
      <c r="F3618" t="n">
        <v>33.9</v>
      </c>
      <c r="G3618" t="n">
        <v>248</v>
      </c>
      <c r="H3618" t="n">
        <v>3.61e-46</v>
      </c>
      <c r="I3618" t="inlineStr">
        <is>
          <t>Swiss-Prot</t>
        </is>
      </c>
      <c r="J3618" t="inlineStr">
        <is>
          <t>Acer</t>
        </is>
      </c>
      <c r="K3618" t="inlineStr">
        <is>
          <t>ACER_DROME</t>
        </is>
      </c>
      <c r="L3618" t="inlineStr">
        <is>
          <t>sp|Q9VLJ6|ACER_DROME Angiotensin-converting enzyme-related protein OS=Drosophila melanogaster OX=7227 GN=Acer PE=1 SV=1</t>
        </is>
      </c>
      <c r="M3618" t="n">
        <v>630</v>
      </c>
      <c r="N3618" t="inlineStr">
        <is>
          <t>Drosophila melanogaster</t>
        </is>
      </c>
      <c r="O3618" t="inlineStr">
        <is>
          <t>Angiotensin-converting enzyme-related protein</t>
        </is>
      </c>
    </row>
    <row r="3619">
      <c r="A3619" t="inlineStr"/>
      <c r="B3619" t="inlineStr"/>
      <c r="C3619" t="inlineStr"/>
      <c r="D3619" t="inlineStr"/>
      <c r="E3619">
        <f>HYPERLINK("https://www.uniprot.org/uniprotkb/Q18581/entry", "Q18581")</f>
        <v/>
      </c>
      <c r="F3619" t="n">
        <v>22.6</v>
      </c>
      <c r="G3619" t="n">
        <v>288</v>
      </c>
      <c r="H3619" t="n">
        <v>4.04e-15</v>
      </c>
      <c r="I3619" t="inlineStr">
        <is>
          <t>Swiss-Prot</t>
        </is>
      </c>
      <c r="J3619" t="inlineStr">
        <is>
          <t>acn-1</t>
        </is>
      </c>
      <c r="K3619" t="inlineStr">
        <is>
          <t>ACN1_CAEEL</t>
        </is>
      </c>
      <c r="L3619" t="inlineStr">
        <is>
          <t>sp|Q18581|ACN1_CAEEL Inactive angiotensin-converting enzyme-related protein OS=Caenorhabditis elegans OX=6239 GN=acn-1 PE=1 SV=2</t>
        </is>
      </c>
      <c r="M3619" t="n">
        <v>906</v>
      </c>
      <c r="N3619" t="inlineStr">
        <is>
          <t>Caenorhabditis elegans</t>
        </is>
      </c>
      <c r="O3619" t="inlineStr">
        <is>
          <t>Inactive angiotensin-converting enzyme-related protein</t>
        </is>
      </c>
    </row>
    <row r="3620">
      <c r="A3620" t="inlineStr">
        <is>
          <t>NODE_23243_length_4541_cov_166.134555_g4675_i9</t>
        </is>
      </c>
      <c r="B3620" t="inlineStr">
        <is>
          <t>bombina_pachypus_blastx</t>
        </is>
      </c>
      <c r="C3620" t="n">
        <v>-4.83939865320289</v>
      </c>
      <c r="D3620" t="n">
        <v>3.68749894939102e-06</v>
      </c>
      <c r="E3620">
        <f>HYPERLINK("https://www.ncbi.nlm.nih.gov/gene/?term=XP_018421418.1", "XP_018421418.1")</f>
        <v/>
      </c>
      <c r="F3620" t="n">
        <v>86.7</v>
      </c>
      <c r="G3620" t="n">
        <v>60</v>
      </c>
      <c r="H3620" t="n">
        <v>2.25e-28</v>
      </c>
      <c r="I3620" t="inlineStr">
        <is>
          <t>Nr</t>
        </is>
      </c>
      <c r="J3620" t="inlineStr"/>
      <c r="K3620" t="inlineStr"/>
      <c r="L3620" t="inlineStr">
        <is>
          <t>XP_018421418.1 PREDICTED: neurocan core protein [Nanorana parkeri]</t>
        </is>
      </c>
      <c r="M3620" t="n">
        <v>1863</v>
      </c>
      <c r="N3620" t="inlineStr">
        <is>
          <t>Nanorana parkeri</t>
        </is>
      </c>
      <c r="O3620" t="inlineStr">
        <is>
          <t>PREDICTED: neurocan core protein</t>
        </is>
      </c>
    </row>
    <row r="3621">
      <c r="A3621" t="inlineStr"/>
      <c r="B3621" t="inlineStr"/>
      <c r="C3621" t="inlineStr"/>
      <c r="D3621" t="inlineStr"/>
      <c r="E3621">
        <f>HYPERLINK("https://www.ncbi.nlm.nih.gov/gene/?term=XP_053321714.1", "XP_053321714.1")</f>
        <v/>
      </c>
      <c r="F3621" t="n">
        <v>89.7</v>
      </c>
      <c r="G3621" t="n">
        <v>58</v>
      </c>
      <c r="H3621" t="n">
        <v>4.15e-28</v>
      </c>
      <c r="I3621" t="inlineStr">
        <is>
          <t>Nr</t>
        </is>
      </c>
      <c r="J3621" t="inlineStr"/>
      <c r="K3621" t="inlineStr"/>
      <c r="L3621" t="inlineStr">
        <is>
          <t>XP_053321714.1 neurocan core protein [Spea bombifrons]</t>
        </is>
      </c>
      <c r="M3621" t="n">
        <v>1622</v>
      </c>
      <c r="N3621" t="inlineStr">
        <is>
          <t>Spea bombifrons</t>
        </is>
      </c>
      <c r="O3621" t="inlineStr">
        <is>
          <t>neurocan core protein</t>
        </is>
      </c>
    </row>
    <row r="3622">
      <c r="A3622" t="inlineStr"/>
      <c r="B3622" t="inlineStr"/>
      <c r="C3622" t="inlineStr"/>
      <c r="D3622" t="inlineStr"/>
      <c r="E3622">
        <f>HYPERLINK("https://www.uniprot.org/uniprotkb/A0A8C5QCB5/entry", "A0A8C5QCB5")</f>
        <v/>
      </c>
      <c r="F3622" t="n">
        <v>89.8</v>
      </c>
      <c r="G3622" t="n">
        <v>59</v>
      </c>
      <c r="H3622" t="n">
        <v>5.58e-28</v>
      </c>
      <c r="I3622" t="inlineStr">
        <is>
          <t>TrEMBL</t>
        </is>
      </c>
      <c r="J3622" t="inlineStr">
        <is>
          <t>NCAN</t>
        </is>
      </c>
      <c r="K3622" t="inlineStr">
        <is>
          <t>A0A8C5QCB5_9ANUR</t>
        </is>
      </c>
      <c r="L3622" t="inlineStr">
        <is>
          <t>tr|A0A8C5QCB5|A0A8C5QCB5_9ANUR Neurocan OS=Leptobrachium leishanense OX=445787 GN=NCAN PE=4 SV=1</t>
        </is>
      </c>
      <c r="M3622" t="n">
        <v>1599</v>
      </c>
      <c r="N3622" t="inlineStr">
        <is>
          <t>Leptobrachium leishanense</t>
        </is>
      </c>
      <c r="O3622" t="inlineStr">
        <is>
          <t>Neurocan</t>
        </is>
      </c>
    </row>
    <row r="3623">
      <c r="A3623" t="inlineStr"/>
      <c r="B3623" t="inlineStr"/>
      <c r="C3623" t="inlineStr"/>
      <c r="D3623" t="inlineStr"/>
      <c r="E3623">
        <f>HYPERLINK("https://www.uniprot.org/uniprotkb/A0A8C5QBB5/entry", "A0A8C5QBB5")</f>
        <v/>
      </c>
      <c r="F3623" t="n">
        <v>89.8</v>
      </c>
      <c r="G3623" t="n">
        <v>59</v>
      </c>
      <c r="H3623" t="n">
        <v>5.58e-28</v>
      </c>
      <c r="I3623" t="inlineStr">
        <is>
          <t>TrEMBL</t>
        </is>
      </c>
      <c r="J3623" t="inlineStr">
        <is>
          <t>NCAN</t>
        </is>
      </c>
      <c r="K3623" t="inlineStr">
        <is>
          <t>A0A8C5QBB5_9ANUR</t>
        </is>
      </c>
      <c r="L3623" t="inlineStr">
        <is>
          <t>tr|A0A8C5QBB5|A0A8C5QBB5_9ANUR Neurocan OS=Leptobrachium leishanense OX=445787 GN=NCAN PE=4 SV=1</t>
        </is>
      </c>
      <c r="M3623" t="n">
        <v>1602</v>
      </c>
      <c r="N3623" t="inlineStr">
        <is>
          <t>Leptobrachium leishanense</t>
        </is>
      </c>
      <c r="O3623" t="inlineStr">
        <is>
          <t>Neurocan</t>
        </is>
      </c>
    </row>
    <row r="3624">
      <c r="A3624" t="inlineStr"/>
      <c r="B3624" t="inlineStr"/>
      <c r="C3624" t="inlineStr"/>
      <c r="D3624" t="inlineStr"/>
      <c r="E3624">
        <f>HYPERLINK("https://www.uniprot.org/uniprotkb/A0A8C5QDN1/entry", "A0A8C5QDN1")</f>
        <v/>
      </c>
      <c r="F3624" t="n">
        <v>89.8</v>
      </c>
      <c r="G3624" t="n">
        <v>59</v>
      </c>
      <c r="H3624" t="n">
        <v>5.58e-28</v>
      </c>
      <c r="I3624" t="inlineStr">
        <is>
          <t>TrEMBL</t>
        </is>
      </c>
      <c r="J3624" t="inlineStr">
        <is>
          <t>NCAN</t>
        </is>
      </c>
      <c r="K3624" t="inlineStr">
        <is>
          <t>A0A8C5QDN1_9ANUR</t>
        </is>
      </c>
      <c r="L3624" t="inlineStr">
        <is>
          <t>tr|A0A8C5QDN1|A0A8C5QDN1_9ANUR Neurocan OS=Leptobrachium leishanense OX=445787 GN=NCAN PE=4 SV=1</t>
        </is>
      </c>
      <c r="M3624" t="n">
        <v>1602</v>
      </c>
      <c r="N3624" t="inlineStr">
        <is>
          <t>Leptobrachium leishanense</t>
        </is>
      </c>
      <c r="O3624" t="inlineStr">
        <is>
          <t>Neurocan</t>
        </is>
      </c>
    </row>
    <row r="3625">
      <c r="A3625" t="inlineStr"/>
      <c r="B3625" t="inlineStr"/>
      <c r="C3625" t="inlineStr"/>
      <c r="D3625" t="inlineStr"/>
      <c r="E3625">
        <f>HYPERLINK("https://www.ncbi.nlm.nih.gov/gene/?term=KAG8594908.1", "KAG8594908.1")</f>
        <v/>
      </c>
      <c r="F3625" t="n">
        <v>83.3</v>
      </c>
      <c r="G3625" t="n">
        <v>60</v>
      </c>
      <c r="H3625" t="n">
        <v>1.92e-27</v>
      </c>
      <c r="I3625" t="inlineStr">
        <is>
          <t>Nr</t>
        </is>
      </c>
      <c r="J3625" t="inlineStr"/>
      <c r="K3625" t="inlineStr"/>
      <c r="L3625" t="inlineStr">
        <is>
          <t>KAG8594908.1 hypothetical protein GDO81_001358 [Engystomops pustulosus]</t>
        </is>
      </c>
      <c r="M3625" t="n">
        <v>1162</v>
      </c>
      <c r="N3625" t="inlineStr">
        <is>
          <t>Engystomops pustulosus</t>
        </is>
      </c>
      <c r="O3625" t="inlineStr">
        <is>
          <t>hypothetical protein GDO81_001358</t>
        </is>
      </c>
    </row>
    <row r="3626">
      <c r="A3626" t="inlineStr"/>
      <c r="B3626" t="inlineStr"/>
      <c r="C3626" t="inlineStr"/>
      <c r="D3626" t="inlineStr"/>
      <c r="E3626">
        <f>HYPERLINK("https://www.ncbi.nlm.nih.gov/gene/?term=KAG8594907.1", "KAG8594907.1")</f>
        <v/>
      </c>
      <c r="F3626" t="n">
        <v>83.3</v>
      </c>
      <c r="G3626" t="n">
        <v>60</v>
      </c>
      <c r="H3626" t="n">
        <v>1.95e-27</v>
      </c>
      <c r="I3626" t="inlineStr">
        <is>
          <t>Nr</t>
        </is>
      </c>
      <c r="J3626" t="inlineStr"/>
      <c r="K3626" t="inlineStr"/>
      <c r="L3626" t="inlineStr">
        <is>
          <t>KAG8594907.1 hypothetical protein GDO81_001358 [Engystomops pustulosus]</t>
        </is>
      </c>
      <c r="M3626" t="n">
        <v>1527</v>
      </c>
      <c r="N3626" t="inlineStr">
        <is>
          <t>Engystomops pustulosus</t>
        </is>
      </c>
      <c r="O3626" t="inlineStr">
        <is>
          <t>hypothetical protein GDO81_001358</t>
        </is>
      </c>
    </row>
    <row r="3627">
      <c r="A3627" t="inlineStr"/>
      <c r="B3627" t="inlineStr"/>
      <c r="C3627" t="inlineStr"/>
      <c r="D3627" t="inlineStr"/>
      <c r="E3627">
        <f>HYPERLINK("https://www.uniprot.org/uniprotkb/A0A8J6KCD0/entry", "A0A8J6KCD0")</f>
        <v/>
      </c>
      <c r="F3627" t="n">
        <v>84.2</v>
      </c>
      <c r="G3627" t="n">
        <v>57</v>
      </c>
      <c r="H3627" t="n">
        <v>1.65e-26</v>
      </c>
      <c r="I3627" t="inlineStr">
        <is>
          <t>TrEMBL</t>
        </is>
      </c>
      <c r="J3627" t="inlineStr">
        <is>
          <t>GDO78_006714</t>
        </is>
      </c>
      <c r="K3627" t="inlineStr">
        <is>
          <t>A0A8J6KCD0_ELECQ</t>
        </is>
      </c>
      <c r="L3627" t="inlineStr">
        <is>
          <t>tr|A0A8J6KCD0|A0A8J6KCD0_ELECQ Neurocan b OS=Eleutherodactylus coqui OX=57060 GN=GDO78_006714 PE=4 SV=1</t>
        </is>
      </c>
      <c r="M3627" t="n">
        <v>1150</v>
      </c>
      <c r="N3627" t="inlineStr">
        <is>
          <t>Eleutherodactylus coqui</t>
        </is>
      </c>
      <c r="O3627" t="inlineStr">
        <is>
          <t>Neurocan b</t>
        </is>
      </c>
    </row>
    <row r="3628">
      <c r="A3628" t="inlineStr"/>
      <c r="B3628" t="inlineStr"/>
      <c r="C3628" t="inlineStr"/>
      <c r="D3628" t="inlineStr"/>
      <c r="E3628">
        <f>HYPERLINK("https://www.uniprot.org/uniprotkb/A0A1L8HXJ8/entry", "A0A1L8HXJ8")</f>
        <v/>
      </c>
      <c r="F3628" t="n">
        <v>87.7</v>
      </c>
      <c r="G3628" t="n">
        <v>57</v>
      </c>
      <c r="H3628" t="n">
        <v>1.69e-26</v>
      </c>
      <c r="I3628" t="inlineStr">
        <is>
          <t>TrEMBL</t>
        </is>
      </c>
      <c r="J3628" t="inlineStr">
        <is>
          <t>LOC108713422</t>
        </is>
      </c>
      <c r="K3628" t="inlineStr">
        <is>
          <t>A0A1L8HXJ8_XENLA</t>
        </is>
      </c>
      <c r="L3628" t="inlineStr">
        <is>
          <t>tr|A0A1L8HXJ8|A0A1L8HXJ8_XENLA aggrecan core protein OS=Xenopus laevis OX=8355 GN=LOC108713422 PE=4 SV=1</t>
        </is>
      </c>
      <c r="M3628" t="n">
        <v>1611</v>
      </c>
      <c r="N3628" t="inlineStr">
        <is>
          <t>Xenopus laevis</t>
        </is>
      </c>
      <c r="O3628" t="inlineStr">
        <is>
          <t>aggrecan core protein</t>
        </is>
      </c>
    </row>
    <row r="3629">
      <c r="A3629" t="inlineStr"/>
      <c r="B3629" t="inlineStr"/>
      <c r="C3629" t="inlineStr"/>
      <c r="D3629" t="inlineStr"/>
      <c r="E3629">
        <f>HYPERLINK("https://www.uniprot.org/uniprotkb/A0A6I8Q6B6/entry", "A0A6I8Q6B6")</f>
        <v/>
      </c>
      <c r="F3629" t="n">
        <v>91.09999999999999</v>
      </c>
      <c r="G3629" t="n">
        <v>56</v>
      </c>
      <c r="H3629" t="n">
        <v>2.3e-26</v>
      </c>
      <c r="I3629" t="inlineStr">
        <is>
          <t>TrEMBL</t>
        </is>
      </c>
      <c r="J3629" t="inlineStr">
        <is>
          <t>ncan</t>
        </is>
      </c>
      <c r="K3629" t="inlineStr">
        <is>
          <t>A0A6I8Q6B6_XENTR</t>
        </is>
      </c>
      <c r="L3629" t="inlineStr">
        <is>
          <t>tr|A0A6I8Q6B6|A0A6I8Q6B6_XENTR Neurocan OS=Xenopus tropicalis OX=8364 GN=ncan PE=4 SV=2</t>
        </is>
      </c>
      <c r="M3629" t="n">
        <v>1569</v>
      </c>
      <c r="N3629" t="inlineStr">
        <is>
          <t>Xenopus tropicalis</t>
        </is>
      </c>
      <c r="O3629" t="inlineStr">
        <is>
          <t>Neurocan</t>
        </is>
      </c>
    </row>
    <row r="3630">
      <c r="A3630" t="inlineStr"/>
      <c r="B3630" t="inlineStr"/>
      <c r="C3630" t="inlineStr"/>
      <c r="D3630" t="inlineStr"/>
      <c r="E3630">
        <f>HYPERLINK("https://www.uniprot.org/uniprotkb/A0A6I8Q003/entry", "A0A6I8Q003")</f>
        <v/>
      </c>
      <c r="F3630" t="n">
        <v>91.09999999999999</v>
      </c>
      <c r="G3630" t="n">
        <v>56</v>
      </c>
      <c r="H3630" t="n">
        <v>2.3e-26</v>
      </c>
      <c r="I3630" t="inlineStr">
        <is>
          <t>TrEMBL</t>
        </is>
      </c>
      <c r="J3630" t="inlineStr">
        <is>
          <t>ncan</t>
        </is>
      </c>
      <c r="K3630" t="inlineStr">
        <is>
          <t>A0A6I8Q003_XENTR</t>
        </is>
      </c>
      <c r="L3630" t="inlineStr">
        <is>
          <t>tr|A0A6I8Q003|A0A6I8Q003_XENTR Neurocan OS=Xenopus tropicalis OX=8364 GN=ncan PE=4 SV=2</t>
        </is>
      </c>
      <c r="M3630" t="n">
        <v>1604</v>
      </c>
      <c r="N3630" t="inlineStr">
        <is>
          <t>Xenopus tropicalis</t>
        </is>
      </c>
      <c r="O3630" t="inlineStr">
        <is>
          <t>Neurocan</t>
        </is>
      </c>
    </row>
    <row r="3631">
      <c r="A3631" t="inlineStr"/>
      <c r="B3631" t="inlineStr"/>
      <c r="C3631" t="inlineStr"/>
      <c r="D3631" t="inlineStr"/>
      <c r="E3631">
        <f>HYPERLINK("https://www.uniprot.org/uniprotkb/F6YUS7/entry", "F6YUS7")</f>
        <v/>
      </c>
      <c r="F3631" t="n">
        <v>91.09999999999999</v>
      </c>
      <c r="G3631" t="n">
        <v>56</v>
      </c>
      <c r="H3631" t="n">
        <v>2.3e-26</v>
      </c>
      <c r="I3631" t="inlineStr">
        <is>
          <t>TrEMBL</t>
        </is>
      </c>
      <c r="J3631" t="inlineStr">
        <is>
          <t>ncan</t>
        </is>
      </c>
      <c r="K3631" t="inlineStr">
        <is>
          <t>F6YUS7_XENTR</t>
        </is>
      </c>
      <c r="L3631" t="inlineStr">
        <is>
          <t>tr|F6YUS7|F6YUS7_XENTR Neurocan OS=Xenopus tropicalis OX=8364 GN=ncan PE=4 SV=4</t>
        </is>
      </c>
      <c r="M3631" t="n">
        <v>1608</v>
      </c>
      <c r="N3631" t="inlineStr">
        <is>
          <t>Xenopus tropicalis</t>
        </is>
      </c>
      <c r="O3631" t="inlineStr">
        <is>
          <t>Neurocan</t>
        </is>
      </c>
    </row>
    <row r="3632">
      <c r="A3632" t="inlineStr"/>
      <c r="B3632" t="inlineStr"/>
      <c r="C3632" t="inlineStr"/>
      <c r="D3632" t="inlineStr"/>
      <c r="E3632">
        <f>HYPERLINK("https://www.ncbi.nlm.nih.gov/gene/?term=KAG9486485.1", "KAG9486485.1")</f>
        <v/>
      </c>
      <c r="F3632" t="n">
        <v>84.2</v>
      </c>
      <c r="G3632" t="n">
        <v>57</v>
      </c>
      <c r="H3632" t="n">
        <v>4.25e-26</v>
      </c>
      <c r="I3632" t="inlineStr">
        <is>
          <t>Nr</t>
        </is>
      </c>
      <c r="J3632" t="inlineStr"/>
      <c r="K3632" t="inlineStr"/>
      <c r="L3632" t="inlineStr">
        <is>
          <t>KAG9486485.1 hypothetical protein GDO78_006714 [Eleutherodactylus coqui]</t>
        </is>
      </c>
      <c r="M3632" t="n">
        <v>1150</v>
      </c>
      <c r="N3632" t="inlineStr">
        <is>
          <t>Eleutherodactylus coqui</t>
        </is>
      </c>
      <c r="O3632" t="inlineStr">
        <is>
          <t>hypothetical protein GDO78_006714</t>
        </is>
      </c>
    </row>
    <row r="3633">
      <c r="A3633" t="inlineStr"/>
      <c r="B3633" t="inlineStr"/>
      <c r="C3633" t="inlineStr"/>
      <c r="D3633" t="inlineStr"/>
      <c r="E3633">
        <f>HYPERLINK("https://www.ncbi.nlm.nih.gov/gene/?term=XP_018112408.1", "XP_018112408.1")</f>
        <v/>
      </c>
      <c r="F3633" t="n">
        <v>87.7</v>
      </c>
      <c r="G3633" t="n">
        <v>57</v>
      </c>
      <c r="H3633" t="n">
        <v>4.34e-26</v>
      </c>
      <c r="I3633" t="inlineStr">
        <is>
          <t>Nr</t>
        </is>
      </c>
      <c r="J3633" t="inlineStr"/>
      <c r="K3633" t="inlineStr"/>
      <c r="L3633" t="inlineStr">
        <is>
          <t>XP_018112408.1 aggrecan core protein [Xenopus laevis]</t>
        </is>
      </c>
      <c r="M3633" t="n">
        <v>1611</v>
      </c>
      <c r="N3633" t="inlineStr">
        <is>
          <t>Xenopus laevis</t>
        </is>
      </c>
      <c r="O3633" t="inlineStr">
        <is>
          <t>aggrecan core protein</t>
        </is>
      </c>
    </row>
    <row r="3634">
      <c r="A3634" t="inlineStr"/>
      <c r="B3634" t="inlineStr"/>
      <c r="C3634" t="inlineStr"/>
      <c r="D3634" t="inlineStr"/>
      <c r="E3634">
        <f>HYPERLINK("https://www.ncbi.nlm.nih.gov/gene/?term=XP_040176616.1", "XP_040176616.1")</f>
        <v/>
      </c>
      <c r="F3634" t="n">
        <v>86</v>
      </c>
      <c r="G3634" t="n">
        <v>57</v>
      </c>
      <c r="H3634" t="n">
        <v>5.810000000000001e-26</v>
      </c>
      <c r="I3634" t="inlineStr">
        <is>
          <t>Nr</t>
        </is>
      </c>
      <c r="J3634" t="inlineStr"/>
      <c r="K3634" t="inlineStr"/>
      <c r="L3634" t="inlineStr">
        <is>
          <t>XP_040176616.1 neurocan core protein isoform X3 [Rana temporaria]</t>
        </is>
      </c>
      <c r="M3634" t="n">
        <v>1203</v>
      </c>
      <c r="N3634" t="inlineStr">
        <is>
          <t>Rana temporaria</t>
        </is>
      </c>
      <c r="O3634" t="inlineStr">
        <is>
          <t>neurocan core protein isoform X3</t>
        </is>
      </c>
    </row>
    <row r="3635">
      <c r="A3635" t="inlineStr"/>
      <c r="B3635" t="inlineStr"/>
      <c r="C3635" t="inlineStr"/>
      <c r="D3635" t="inlineStr"/>
      <c r="E3635">
        <f>HYPERLINK("https://www.ncbi.nlm.nih.gov/gene/?term=XP_040176607.1", "XP_040176607.1")</f>
        <v/>
      </c>
      <c r="F3635" t="n">
        <v>86</v>
      </c>
      <c r="G3635" t="n">
        <v>57</v>
      </c>
      <c r="H3635" t="n">
        <v>5.880000000000001e-26</v>
      </c>
      <c r="I3635" t="inlineStr">
        <is>
          <t>Nr</t>
        </is>
      </c>
      <c r="J3635" t="inlineStr"/>
      <c r="K3635" t="inlineStr"/>
      <c r="L3635" t="inlineStr">
        <is>
          <t>XP_040176607.1 neurocan core protein isoform X2 [Rana temporaria]</t>
        </is>
      </c>
      <c r="M3635" t="n">
        <v>1441</v>
      </c>
      <c r="N3635" t="inlineStr">
        <is>
          <t>Rana temporaria</t>
        </is>
      </c>
      <c r="O3635" t="inlineStr">
        <is>
          <t>neurocan core protein isoform X2</t>
        </is>
      </c>
    </row>
    <row r="3636">
      <c r="A3636" t="inlineStr"/>
      <c r="B3636" t="inlineStr"/>
      <c r="C3636" t="inlineStr"/>
      <c r="D3636" t="inlineStr"/>
      <c r="E3636">
        <f>HYPERLINK("https://www.ncbi.nlm.nih.gov/gene/?term=XP_040176599.1", "XP_040176599.1")</f>
        <v/>
      </c>
      <c r="F3636" t="n">
        <v>86</v>
      </c>
      <c r="G3636" t="n">
        <v>57</v>
      </c>
      <c r="H3636" t="n">
        <v>5.91e-26</v>
      </c>
      <c r="I3636" t="inlineStr">
        <is>
          <t>Nr</t>
        </is>
      </c>
      <c r="J3636" t="inlineStr"/>
      <c r="K3636" t="inlineStr"/>
      <c r="L3636" t="inlineStr">
        <is>
          <t>XP_040176599.1 neurocan core protein isoform X1 [Rana temporaria]</t>
        </is>
      </c>
      <c r="M3636" t="n">
        <v>1575</v>
      </c>
      <c r="N3636" t="inlineStr">
        <is>
          <t>Rana temporaria</t>
        </is>
      </c>
      <c r="O3636" t="inlineStr">
        <is>
          <t>neurocan core protein isoform X1</t>
        </is>
      </c>
    </row>
    <row r="3637">
      <c r="A3637" t="inlineStr"/>
      <c r="B3637" t="inlineStr"/>
      <c r="C3637" t="inlineStr"/>
      <c r="D3637" t="inlineStr"/>
      <c r="E3637">
        <f>HYPERLINK("https://www.ncbi.nlm.nih.gov/gene/?term=XP_012810121.1", "XP_012810121.1")</f>
        <v/>
      </c>
      <c r="F3637" t="n">
        <v>91.09999999999999</v>
      </c>
      <c r="G3637" t="n">
        <v>56</v>
      </c>
      <c r="H3637" t="n">
        <v>5.92e-26</v>
      </c>
      <c r="I3637" t="inlineStr">
        <is>
          <t>Nr</t>
        </is>
      </c>
      <c r="J3637" t="inlineStr"/>
      <c r="K3637" t="inlineStr"/>
      <c r="L3637" t="inlineStr">
        <is>
          <t>XP_012810121.1 neurocan core protein isoform X2 [Xenopus tropicalis]</t>
        </is>
      </c>
      <c r="M3637" t="n">
        <v>1604</v>
      </c>
      <c r="N3637" t="inlineStr">
        <is>
          <t>Xenopus tropicalis</t>
        </is>
      </c>
      <c r="O3637" t="inlineStr">
        <is>
          <t>neurocan core protein isoform X2</t>
        </is>
      </c>
    </row>
    <row r="3638">
      <c r="A3638" t="inlineStr"/>
      <c r="B3638" t="inlineStr"/>
      <c r="C3638" t="inlineStr"/>
      <c r="D3638" t="inlineStr"/>
      <c r="E3638">
        <f>HYPERLINK("https://www.ncbi.nlm.nih.gov/gene/?term=XP_002936378.2", "XP_002936378.2")</f>
        <v/>
      </c>
      <c r="F3638" t="n">
        <v>91.09999999999999</v>
      </c>
      <c r="G3638" t="n">
        <v>56</v>
      </c>
      <c r="H3638" t="n">
        <v>5.92e-26</v>
      </c>
      <c r="I3638" t="inlineStr">
        <is>
          <t>Nr</t>
        </is>
      </c>
      <c r="J3638" t="inlineStr"/>
      <c r="K3638" t="inlineStr"/>
      <c r="L3638" t="inlineStr">
        <is>
          <t>XP_002936378.2 neurocan core protein isoform X1 [Xenopus tropicalis]</t>
        </is>
      </c>
      <c r="M3638" t="n">
        <v>1608</v>
      </c>
      <c r="N3638" t="inlineStr">
        <is>
          <t>Xenopus tropicalis</t>
        </is>
      </c>
      <c r="O3638" t="inlineStr">
        <is>
          <t>neurocan core protein isoform X1</t>
        </is>
      </c>
    </row>
    <row r="3639">
      <c r="A3639" t="inlineStr"/>
      <c r="B3639" t="inlineStr"/>
      <c r="C3639" t="inlineStr"/>
      <c r="D3639" t="inlineStr"/>
      <c r="E3639">
        <f>HYPERLINK("https://www.uniprot.org/uniprotkb/A0A8T2KEV4/entry", "A0A8T2KEV4")</f>
        <v/>
      </c>
      <c r="F3639" t="n">
        <v>87.5</v>
      </c>
      <c r="G3639" t="n">
        <v>56</v>
      </c>
      <c r="H3639" t="n">
        <v>7.78e-26</v>
      </c>
      <c r="I3639" t="inlineStr">
        <is>
          <t>TrEMBL</t>
        </is>
      </c>
      <c r="J3639" t="inlineStr">
        <is>
          <t>GDO86_001218</t>
        </is>
      </c>
      <c r="K3639" t="inlineStr">
        <is>
          <t>A0A8T2KEV4_9PIPI</t>
        </is>
      </c>
      <c r="L3639" t="inlineStr">
        <is>
          <t>tr|A0A8T2KEV4|A0A8T2KEV4_9PIPI Neurocan core protein OS=Hymenochirus boettgeri OX=247094 GN=GDO86_001218 PE=4 SV=1</t>
        </is>
      </c>
      <c r="M3639" t="n">
        <v>1119</v>
      </c>
      <c r="N3639" t="inlineStr">
        <is>
          <t>Hymenochirus boettgeri</t>
        </is>
      </c>
      <c r="O3639" t="inlineStr">
        <is>
          <t>Neurocan core protein</t>
        </is>
      </c>
    </row>
    <row r="3640">
      <c r="A3640" t="inlineStr"/>
      <c r="B3640" t="inlineStr"/>
      <c r="C3640" t="inlineStr"/>
      <c r="D3640" t="inlineStr"/>
      <c r="E3640">
        <f>HYPERLINK("https://www.uniprot.org/uniprotkb/A0A8T2KK70/entry", "A0A8T2KK70")</f>
        <v/>
      </c>
      <c r="F3640" t="n">
        <v>87.5</v>
      </c>
      <c r="G3640" t="n">
        <v>56</v>
      </c>
      <c r="H3640" t="n">
        <v>7.840000000000001e-26</v>
      </c>
      <c r="I3640" t="inlineStr">
        <is>
          <t>TrEMBL</t>
        </is>
      </c>
      <c r="J3640" t="inlineStr">
        <is>
          <t>GDO86_001218</t>
        </is>
      </c>
      <c r="K3640" t="inlineStr">
        <is>
          <t>A0A8T2KK70_9PIPI</t>
        </is>
      </c>
      <c r="L3640" t="inlineStr">
        <is>
          <t>tr|A0A8T2KK70|A0A8T2KK70_9PIPI EGF-like domain-containing protein OS=Hymenochirus boettgeri OX=247094 GN=GDO86_001218 PE=4 SV=1</t>
        </is>
      </c>
      <c r="M3640" t="n">
        <v>1242</v>
      </c>
      <c r="N3640" t="inlineStr">
        <is>
          <t>Hymenochirus boettgeri</t>
        </is>
      </c>
      <c r="O3640" t="inlineStr">
        <is>
          <t>EGF-like domain-containing protein</t>
        </is>
      </c>
    </row>
    <row r="3641">
      <c r="A3641" t="inlineStr"/>
      <c r="B3641" t="inlineStr"/>
      <c r="C3641" t="inlineStr"/>
      <c r="D3641" t="inlineStr"/>
      <c r="E3641">
        <f>HYPERLINK("https://www.uniprot.org/uniprotkb/A0A8T2KHB3/entry", "A0A8T2KHB3")</f>
        <v/>
      </c>
      <c r="F3641" t="n">
        <v>87.5</v>
      </c>
      <c r="G3641" t="n">
        <v>56</v>
      </c>
      <c r="H3641" t="n">
        <v>7.880000000000001e-26</v>
      </c>
      <c r="I3641" t="inlineStr">
        <is>
          <t>TrEMBL</t>
        </is>
      </c>
      <c r="J3641" t="inlineStr">
        <is>
          <t>GDO86_001218</t>
        </is>
      </c>
      <c r="K3641" t="inlineStr">
        <is>
          <t>A0A8T2KHB3_9PIPI</t>
        </is>
      </c>
      <c r="L3641" t="inlineStr">
        <is>
          <t>tr|A0A8T2KHB3|A0A8T2KHB3_9PIPI Neurocan b OS=Hymenochirus boettgeri OX=247094 GN=GDO86_001218 PE=4 SV=1</t>
        </is>
      </c>
      <c r="M3641" t="n">
        <v>1338</v>
      </c>
      <c r="N3641" t="inlineStr">
        <is>
          <t>Hymenochirus boettgeri</t>
        </is>
      </c>
      <c r="O3641" t="inlineStr">
        <is>
          <t>Neurocan b</t>
        </is>
      </c>
    </row>
    <row r="3642">
      <c r="A3642" t="inlineStr"/>
      <c r="B3642" t="inlineStr"/>
      <c r="C3642" t="inlineStr"/>
      <c r="D3642" t="inlineStr"/>
      <c r="E3642">
        <f>HYPERLINK("https://www.uniprot.org/uniprotkb/A0A8J0U3L5/entry", "A0A8J0U3L5")</f>
        <v/>
      </c>
      <c r="F3642" t="n">
        <v>86.2</v>
      </c>
      <c r="G3642" t="n">
        <v>58</v>
      </c>
      <c r="H3642" t="n">
        <v>7.97e-26</v>
      </c>
      <c r="I3642" t="inlineStr">
        <is>
          <t>TrEMBL</t>
        </is>
      </c>
      <c r="J3642" t="inlineStr">
        <is>
          <t>LOC108703703</t>
        </is>
      </c>
      <c r="K3642" t="inlineStr">
        <is>
          <t>A0A8J0U3L5_XENLA</t>
        </is>
      </c>
      <c r="L3642" t="inlineStr">
        <is>
          <t>tr|A0A8J0U3L5|A0A8J0U3L5_XENLA neurocan core protein OS=Xenopus laevis OX=8355 GN=LOC108703703 PE=4 SV=1</t>
        </is>
      </c>
      <c r="M3642" t="n">
        <v>1610</v>
      </c>
      <c r="N3642" t="inlineStr">
        <is>
          <t>Xenopus laevis</t>
        </is>
      </c>
      <c r="O3642" t="inlineStr">
        <is>
          <t>neurocan core protein</t>
        </is>
      </c>
    </row>
    <row r="3643">
      <c r="A3643" t="inlineStr"/>
      <c r="B3643" t="inlineStr"/>
      <c r="C3643" t="inlineStr"/>
      <c r="D3643" t="inlineStr"/>
      <c r="E3643">
        <f>HYPERLINK("https://www.ncbi.nlm.nih.gov/gene/?term=KAG8454912.1", "KAG8454912.1")</f>
        <v/>
      </c>
      <c r="F3643" t="n">
        <v>87.5</v>
      </c>
      <c r="G3643" t="n">
        <v>56</v>
      </c>
      <c r="H3643" t="n">
        <v>2e-25</v>
      </c>
      <c r="I3643" t="inlineStr">
        <is>
          <t>Nr</t>
        </is>
      </c>
      <c r="J3643" t="inlineStr"/>
      <c r="K3643" t="inlineStr"/>
      <c r="L3643" t="inlineStr">
        <is>
          <t>KAG8454912.1 hypothetical protein GDO86_001218 [Hymenochirus boettgeri]</t>
        </is>
      </c>
      <c r="M3643" t="n">
        <v>1119</v>
      </c>
      <c r="N3643" t="inlineStr">
        <is>
          <t>Hymenochirus boettgeri</t>
        </is>
      </c>
      <c r="O3643" t="inlineStr">
        <is>
          <t>hypothetical protein GDO86_001218</t>
        </is>
      </c>
    </row>
    <row r="3644">
      <c r="A3644" t="inlineStr"/>
      <c r="B3644" t="inlineStr"/>
      <c r="C3644" t="inlineStr"/>
      <c r="D3644" t="inlineStr"/>
      <c r="E3644">
        <f>HYPERLINK("https://www.ncbi.nlm.nih.gov/gene/?term=KAG8454911.1", "KAG8454911.1")</f>
        <v/>
      </c>
      <c r="F3644" t="n">
        <v>87.5</v>
      </c>
      <c r="G3644" t="n">
        <v>56</v>
      </c>
      <c r="H3644" t="n">
        <v>2.01e-25</v>
      </c>
      <c r="I3644" t="inlineStr">
        <is>
          <t>Nr</t>
        </is>
      </c>
      <c r="J3644" t="inlineStr"/>
      <c r="K3644" t="inlineStr"/>
      <c r="L3644" t="inlineStr">
        <is>
          <t>KAG8454911.1 hypothetical protein GDO86_001218 [Hymenochirus boettgeri]</t>
        </is>
      </c>
      <c r="M3644" t="n">
        <v>1242</v>
      </c>
      <c r="N3644" t="inlineStr">
        <is>
          <t>Hymenochirus boettgeri</t>
        </is>
      </c>
      <c r="O3644" t="inlineStr">
        <is>
          <t>hypothetical protein GDO86_001218</t>
        </is>
      </c>
    </row>
    <row r="3645">
      <c r="A3645" t="inlineStr"/>
      <c r="B3645" t="inlineStr"/>
      <c r="C3645" t="inlineStr"/>
      <c r="D3645" t="inlineStr"/>
      <c r="E3645">
        <f>HYPERLINK("https://www.ncbi.nlm.nih.gov/gene/?term=OCT59202.1", "OCT59202.1")</f>
        <v/>
      </c>
      <c r="F3645" t="n">
        <v>86.2</v>
      </c>
      <c r="G3645" t="n">
        <v>58</v>
      </c>
      <c r="H3645" t="n">
        <v>2.02e-25</v>
      </c>
      <c r="I3645" t="inlineStr">
        <is>
          <t>Nr</t>
        </is>
      </c>
      <c r="J3645" t="inlineStr"/>
      <c r="K3645" t="inlineStr"/>
      <c r="L3645" t="inlineStr">
        <is>
          <t>OCT59202.1 hypothetical protein XELAEV_18001154mg [Xenopus laevis]</t>
        </is>
      </c>
      <c r="M3645" t="n">
        <v>1309</v>
      </c>
      <c r="N3645" t="inlineStr">
        <is>
          <t>Xenopus laevis</t>
        </is>
      </c>
      <c r="O3645" t="inlineStr">
        <is>
          <t>hypothetical protein XELAEV_18001154mg</t>
        </is>
      </c>
    </row>
    <row r="3646">
      <c r="A3646" t="inlineStr"/>
      <c r="B3646" t="inlineStr"/>
      <c r="C3646" t="inlineStr"/>
      <c r="D3646" t="inlineStr"/>
      <c r="E3646">
        <f>HYPERLINK("https://www.ncbi.nlm.nih.gov/gene/?term=KAG8454910.1", "KAG8454910.1")</f>
        <v/>
      </c>
      <c r="F3646" t="n">
        <v>87.5</v>
      </c>
      <c r="G3646" t="n">
        <v>56</v>
      </c>
      <c r="H3646" t="n">
        <v>2.02e-25</v>
      </c>
      <c r="I3646" t="inlineStr">
        <is>
          <t>Nr</t>
        </is>
      </c>
      <c r="J3646" t="inlineStr"/>
      <c r="K3646" t="inlineStr"/>
      <c r="L3646" t="inlineStr">
        <is>
          <t>KAG8454910.1 hypothetical protein GDO86_001218 [Hymenochirus boettgeri]</t>
        </is>
      </c>
      <c r="M3646" t="n">
        <v>1338</v>
      </c>
      <c r="N3646" t="inlineStr">
        <is>
          <t>Hymenochirus boettgeri</t>
        </is>
      </c>
      <c r="O3646" t="inlineStr">
        <is>
          <t>hypothetical protein GDO86_001218</t>
        </is>
      </c>
    </row>
    <row r="3647">
      <c r="A3647" t="inlineStr"/>
      <c r="B3647" t="inlineStr"/>
      <c r="C3647" t="inlineStr"/>
      <c r="D3647" t="inlineStr"/>
      <c r="E3647">
        <f>HYPERLINK("https://www.ncbi.nlm.nih.gov/gene/?term=XP_018095360.1", "XP_018095360.1")</f>
        <v/>
      </c>
      <c r="F3647" t="n">
        <v>86.2</v>
      </c>
      <c r="G3647" t="n">
        <v>58</v>
      </c>
      <c r="H3647" t="n">
        <v>2.05e-25</v>
      </c>
      <c r="I3647" t="inlineStr">
        <is>
          <t>Nr</t>
        </is>
      </c>
      <c r="J3647" t="inlineStr"/>
      <c r="K3647" t="inlineStr"/>
      <c r="L3647" t="inlineStr">
        <is>
          <t>XP_018095360.1 neurocan core protein [Xenopus laevis]</t>
        </is>
      </c>
      <c r="M3647" t="n">
        <v>1610</v>
      </c>
      <c r="N3647" t="inlineStr">
        <is>
          <t>Xenopus laevis</t>
        </is>
      </c>
      <c r="O3647" t="inlineStr">
        <is>
          <t>neurocan core protein</t>
        </is>
      </c>
    </row>
    <row r="3648">
      <c r="A3648" t="inlineStr"/>
      <c r="B3648" t="inlineStr"/>
      <c r="C3648" t="inlineStr"/>
      <c r="D3648" t="inlineStr"/>
      <c r="E3648">
        <f>HYPERLINK("https://www.ncbi.nlm.nih.gov/gene/?term=XP_048686641.1", "XP_048686641.1")</f>
        <v/>
      </c>
      <c r="F3648" t="n">
        <v>80</v>
      </c>
      <c r="G3648" t="n">
        <v>60</v>
      </c>
      <c r="H3648" t="n">
        <v>1.8e-24</v>
      </c>
      <c r="I3648" t="inlineStr">
        <is>
          <t>Nr</t>
        </is>
      </c>
      <c r="J3648" t="inlineStr"/>
      <c r="K3648" t="inlineStr"/>
      <c r="L3648" t="inlineStr">
        <is>
          <t>XP_048686641.1 LOW QUALITY PROTEIN: neurocan core protein [Caretta caretta]</t>
        </is>
      </c>
      <c r="M3648" t="n">
        <v>1670</v>
      </c>
      <c r="N3648" t="inlineStr">
        <is>
          <t>Caretta caretta</t>
        </is>
      </c>
      <c r="O3648" t="inlineStr">
        <is>
          <t>LOW QUALITY PROTEIN: neurocan core protein</t>
        </is>
      </c>
    </row>
    <row r="3649">
      <c r="A3649" t="inlineStr"/>
      <c r="B3649" t="inlineStr"/>
      <c r="C3649" t="inlineStr"/>
      <c r="D3649" t="inlineStr"/>
      <c r="E3649">
        <f>HYPERLINK("https://www.uniprot.org/uniprotkb/A0A8C2TI91/entry", "A0A8C2TI91")</f>
        <v/>
      </c>
      <c r="F3649" t="n">
        <v>75</v>
      </c>
      <c r="G3649" t="n">
        <v>60</v>
      </c>
      <c r="H3649" t="n">
        <v>2.38e-24</v>
      </c>
      <c r="I3649" t="inlineStr">
        <is>
          <t>TrEMBL</t>
        </is>
      </c>
      <c r="J3649" t="inlineStr">
        <is>
          <t>NCAN</t>
        </is>
      </c>
      <c r="K3649" t="inlineStr">
        <is>
          <t>A0A8C2TI91_COTJA</t>
        </is>
      </c>
      <c r="L3649" t="inlineStr">
        <is>
          <t>tr|A0A8C2TI91|A0A8C2TI91_COTJA Neurocan OS=Coturnix japonica OX=93934 GN=NCAN PE=4 SV=1</t>
        </is>
      </c>
      <c r="M3649" t="n">
        <v>1271</v>
      </c>
      <c r="N3649" t="inlineStr">
        <is>
          <t>Coturnix japonica</t>
        </is>
      </c>
      <c r="O3649" t="inlineStr">
        <is>
          <t>Neurocan</t>
        </is>
      </c>
    </row>
    <row r="3650">
      <c r="A3650" t="inlineStr"/>
      <c r="B3650" t="inlineStr"/>
      <c r="C3650" t="inlineStr"/>
      <c r="D3650" t="inlineStr"/>
      <c r="E3650">
        <f>HYPERLINK("https://www.uniprot.org/uniprotkb/A0A2I0LPY3/entry", "A0A2I0LPY3")</f>
        <v/>
      </c>
      <c r="F3650" t="n">
        <v>75</v>
      </c>
      <c r="G3650" t="n">
        <v>60</v>
      </c>
      <c r="H3650" t="n">
        <v>4.32e-24</v>
      </c>
      <c r="I3650" t="inlineStr">
        <is>
          <t>TrEMBL</t>
        </is>
      </c>
      <c r="J3650" t="inlineStr">
        <is>
          <t>NCAN</t>
        </is>
      </c>
      <c r="K3650" t="inlineStr">
        <is>
          <t>A0A2I0LPY3_COLLI</t>
        </is>
      </c>
      <c r="L3650" t="inlineStr">
        <is>
          <t>tr|A0A2I0LPY3|A0A2I0LPY3_COLLI Neurocan (Fragment) OS=Columba livia OX=8932 GN=NCAN PE=4 SV=1</t>
        </is>
      </c>
      <c r="M3650" t="n">
        <v>960</v>
      </c>
      <c r="N3650" t="inlineStr">
        <is>
          <t>Columba livia</t>
        </is>
      </c>
      <c r="O3650" t="inlineStr">
        <is>
          <t>Neurocan (Fragment)</t>
        </is>
      </c>
    </row>
    <row r="3651">
      <c r="A3651" t="inlineStr"/>
      <c r="B3651" t="inlineStr"/>
      <c r="C3651" t="inlineStr"/>
      <c r="D3651" t="inlineStr"/>
      <c r="E3651">
        <f>HYPERLINK("https://www.uniprot.org/uniprotkb/H9GPN6/entry", "H9GPN6")</f>
        <v/>
      </c>
      <c r="F3651" t="n">
        <v>75</v>
      </c>
      <c r="G3651" t="n">
        <v>60</v>
      </c>
      <c r="H3651" t="n">
        <v>4.33e-24</v>
      </c>
      <c r="I3651" t="inlineStr">
        <is>
          <t>TrEMBL</t>
        </is>
      </c>
      <c r="J3651" t="inlineStr"/>
      <c r="K3651" t="inlineStr">
        <is>
          <t>H9GPN6_ANOCA</t>
        </is>
      </c>
      <c r="L3651" t="inlineStr">
        <is>
          <t>tr|H9GPN6|H9GPN6_ANOCA Neurocan b OS=Anolis carolinensis OX=28377 PE=4 SV=3</t>
        </is>
      </c>
      <c r="M3651" t="n">
        <v>988</v>
      </c>
      <c r="N3651" t="inlineStr">
        <is>
          <t>Anolis carolinensis</t>
        </is>
      </c>
      <c r="O3651" t="inlineStr">
        <is>
          <t>Neurocan b</t>
        </is>
      </c>
    </row>
    <row r="3652">
      <c r="A3652" t="inlineStr"/>
      <c r="B3652" t="inlineStr"/>
      <c r="C3652" t="inlineStr"/>
      <c r="D3652" t="inlineStr"/>
      <c r="E3652">
        <f>HYPERLINK("https://www.uniprot.org/uniprotkb/A0A1V4KS39/entry", "A0A1V4KS39")</f>
        <v/>
      </c>
      <c r="F3652" t="n">
        <v>73.3</v>
      </c>
      <c r="G3652" t="n">
        <v>60</v>
      </c>
      <c r="H3652" t="n">
        <v>5.899999999999999e-24</v>
      </c>
      <c r="I3652" t="inlineStr">
        <is>
          <t>TrEMBL</t>
        </is>
      </c>
      <c r="J3652" t="inlineStr">
        <is>
          <t>NCAN</t>
        </is>
      </c>
      <c r="K3652" t="inlineStr">
        <is>
          <t>A0A1V4KS39_PATFA</t>
        </is>
      </c>
      <c r="L3652" t="inlineStr">
        <is>
          <t>tr|A0A1V4KS39|A0A1V4KS39_PATFA Neurocan core protein OS=Patagioenas fasciata monilis OX=372326 GN=NCAN PE=4 SV=1</t>
        </is>
      </c>
      <c r="M3652" t="n">
        <v>983</v>
      </c>
      <c r="N3652" t="inlineStr">
        <is>
          <t>Patagioenas fasciata monilis</t>
        </is>
      </c>
      <c r="O3652" t="inlineStr">
        <is>
          <t>Neurocan core protein</t>
        </is>
      </c>
    </row>
    <row r="3653">
      <c r="A3653" t="inlineStr"/>
      <c r="B3653" t="inlineStr"/>
      <c r="C3653" t="inlineStr"/>
      <c r="D3653" t="inlineStr"/>
      <c r="E3653">
        <f>HYPERLINK("https://www.uniprot.org/uniprotkb/A0A7L4FGX0/entry", "A0A7L4FGX0")</f>
        <v/>
      </c>
      <c r="F3653" t="n">
        <v>73.3</v>
      </c>
      <c r="G3653" t="n">
        <v>60</v>
      </c>
      <c r="H3653" t="n">
        <v>6.02e-24</v>
      </c>
      <c r="I3653" t="inlineStr">
        <is>
          <t>TrEMBL</t>
        </is>
      </c>
      <c r="J3653" t="inlineStr">
        <is>
          <t>Ncan</t>
        </is>
      </c>
      <c r="K3653" t="inlineStr">
        <is>
          <t>A0A7L4FGX0_9COLU</t>
        </is>
      </c>
      <c r="L3653" t="inlineStr">
        <is>
          <t>tr|A0A7L4FGX0|A0A7L4FGX0_9COLU NCAN protein (Fragment) OS=Alopecoenas beccarii OX=262131 GN=Ncan PE=4 SV=1</t>
        </is>
      </c>
      <c r="M3653" t="n">
        <v>1277</v>
      </c>
      <c r="N3653" t="inlineStr">
        <is>
          <t>Alopecoenas beccarii</t>
        </is>
      </c>
      <c r="O3653" t="inlineStr">
        <is>
          <t>NCAN protein (Fragment)</t>
        </is>
      </c>
    </row>
    <row r="3654">
      <c r="A3654" t="inlineStr"/>
      <c r="B3654" t="inlineStr"/>
      <c r="C3654" t="inlineStr"/>
      <c r="D3654" t="inlineStr"/>
      <c r="E3654">
        <f>HYPERLINK("https://www.ncbi.nlm.nih.gov/gene/?term=XP_015742252.1", "XP_015742252.1")</f>
        <v/>
      </c>
      <c r="F3654" t="n">
        <v>75</v>
      </c>
      <c r="G3654" t="n">
        <v>60</v>
      </c>
      <c r="H3654" t="n">
        <v>6.1e-24</v>
      </c>
      <c r="I3654" t="inlineStr">
        <is>
          <t>Nr</t>
        </is>
      </c>
      <c r="J3654" t="inlineStr"/>
      <c r="K3654" t="inlineStr"/>
      <c r="L3654" t="inlineStr">
        <is>
          <t>XP_015742252.1 neurocan core protein isoform X2 [Coturnix japonica]</t>
        </is>
      </c>
      <c r="M3654" t="n">
        <v>1271</v>
      </c>
      <c r="N3654" t="inlineStr">
        <is>
          <t>Coturnix japonica</t>
        </is>
      </c>
      <c r="O3654" t="inlineStr">
        <is>
          <t>neurocan core protein isoform X2</t>
        </is>
      </c>
    </row>
    <row r="3655">
      <c r="A3655" t="inlineStr"/>
      <c r="B3655" t="inlineStr"/>
      <c r="C3655" t="inlineStr"/>
      <c r="D3655" t="inlineStr"/>
      <c r="E3655">
        <f>HYPERLINK("https://www.ncbi.nlm.nih.gov/gene/?term=XP_015742251.2", "XP_015742251.2")</f>
        <v/>
      </c>
      <c r="F3655" t="n">
        <v>75</v>
      </c>
      <c r="G3655" t="n">
        <v>60</v>
      </c>
      <c r="H3655" t="n">
        <v>6.12e-24</v>
      </c>
      <c r="I3655" t="inlineStr">
        <is>
          <t>Nr</t>
        </is>
      </c>
      <c r="J3655" t="inlineStr"/>
      <c r="K3655" t="inlineStr"/>
      <c r="L3655" t="inlineStr">
        <is>
          <t>XP_015742251.2 neurocan core protein isoform X1 [Coturnix japonica]</t>
        </is>
      </c>
      <c r="M3655" t="n">
        <v>1333</v>
      </c>
      <c r="N3655" t="inlineStr">
        <is>
          <t>Coturnix japonica</t>
        </is>
      </c>
      <c r="O3655" t="inlineStr">
        <is>
          <t>neurocan core protein isoform X1</t>
        </is>
      </c>
    </row>
    <row r="3656">
      <c r="A3656" t="inlineStr"/>
      <c r="B3656" t="inlineStr"/>
      <c r="C3656" t="inlineStr"/>
      <c r="D3656" t="inlineStr"/>
      <c r="E3656">
        <f>HYPERLINK("https://www.uniprot.org/uniprotkb/A0A6P8S3N7/entry", "A0A6P8S3N7")</f>
        <v/>
      </c>
      <c r="F3656" t="n">
        <v>75</v>
      </c>
      <c r="G3656" t="n">
        <v>60</v>
      </c>
      <c r="H3656" t="n">
        <v>6.14e-24</v>
      </c>
      <c r="I3656" t="inlineStr">
        <is>
          <t>TrEMBL</t>
        </is>
      </c>
      <c r="J3656" t="inlineStr">
        <is>
          <t>NCAN</t>
        </is>
      </c>
      <c r="K3656" t="inlineStr">
        <is>
          <t>A0A6P8S3N7_GEOSA</t>
        </is>
      </c>
      <c r="L3656" t="inlineStr">
        <is>
          <t>tr|A0A6P8S3N7|A0A6P8S3N7_GEOSA neurocan core protein isoform X3 OS=Geotrypetes seraphini OX=260995 GN=NCAN PE=4 SV=1</t>
        </is>
      </c>
      <c r="M3656" t="n">
        <v>1784</v>
      </c>
      <c r="N3656" t="inlineStr">
        <is>
          <t>Geotrypetes seraphini</t>
        </is>
      </c>
      <c r="O3656" t="inlineStr">
        <is>
          <t>neurocan core protein isoform X3</t>
        </is>
      </c>
    </row>
    <row r="3657">
      <c r="A3657" t="inlineStr"/>
      <c r="B3657" t="inlineStr"/>
      <c r="C3657" t="inlineStr"/>
      <c r="D3657" t="inlineStr"/>
      <c r="E3657">
        <f>HYPERLINK("https://www.uniprot.org/uniprotkb/A0A6P8S4R4/entry", "A0A6P8S4R4")</f>
        <v/>
      </c>
      <c r="F3657" t="n">
        <v>75</v>
      </c>
      <c r="G3657" t="n">
        <v>60</v>
      </c>
      <c r="H3657" t="n">
        <v>6.15e-24</v>
      </c>
      <c r="I3657" t="inlineStr">
        <is>
          <t>TrEMBL</t>
        </is>
      </c>
      <c r="J3657" t="inlineStr">
        <is>
          <t>NCAN</t>
        </is>
      </c>
      <c r="K3657" t="inlineStr">
        <is>
          <t>A0A6P8S4R4_GEOSA</t>
        </is>
      </c>
      <c r="L3657" t="inlineStr">
        <is>
          <t>tr|A0A6P8S4R4|A0A6P8S4R4_GEOSA neurocan core protein isoform X2 OS=Geotrypetes seraphini OX=260995 GN=NCAN PE=4 SV=1</t>
        </is>
      </c>
      <c r="M3657" t="n">
        <v>1803</v>
      </c>
      <c r="N3657" t="inlineStr">
        <is>
          <t>Geotrypetes seraphini</t>
        </is>
      </c>
      <c r="O3657" t="inlineStr">
        <is>
          <t>neurocan core protein isoform X2</t>
        </is>
      </c>
    </row>
    <row r="3658">
      <c r="A3658" t="inlineStr"/>
      <c r="B3658" t="inlineStr"/>
      <c r="C3658" t="inlineStr"/>
      <c r="D3658" t="inlineStr"/>
      <c r="E3658">
        <f>HYPERLINK("https://www.uniprot.org/uniprotkb/A0A6P8S179/entry", "A0A6P8S179")</f>
        <v/>
      </c>
      <c r="F3658" t="n">
        <v>75</v>
      </c>
      <c r="G3658" t="n">
        <v>60</v>
      </c>
      <c r="H3658" t="n">
        <v>6.15e-24</v>
      </c>
      <c r="I3658" t="inlineStr">
        <is>
          <t>TrEMBL</t>
        </is>
      </c>
      <c r="J3658" t="inlineStr">
        <is>
          <t>NCAN</t>
        </is>
      </c>
      <c r="K3658" t="inlineStr">
        <is>
          <t>A0A6P8S179_GEOSA</t>
        </is>
      </c>
      <c r="L3658" t="inlineStr">
        <is>
          <t>tr|A0A6P8S179|A0A6P8S179_GEOSA neurocan core protein isoform X1 OS=Geotrypetes seraphini OX=260995 GN=NCAN PE=4 SV=1</t>
        </is>
      </c>
      <c r="M3658" t="n">
        <v>1804</v>
      </c>
      <c r="N3658" t="inlineStr">
        <is>
          <t>Geotrypetes seraphini</t>
        </is>
      </c>
      <c r="O3658" t="inlineStr">
        <is>
          <t>neurocan core protein isoform X1</t>
        </is>
      </c>
    </row>
    <row r="3659">
      <c r="A3659" t="inlineStr"/>
      <c r="B3659" t="inlineStr"/>
      <c r="C3659" t="inlineStr"/>
      <c r="D3659" t="inlineStr"/>
      <c r="E3659">
        <f>HYPERLINK("https://www.ncbi.nlm.nih.gov/gene/?term=PKK19482.1", "PKK19482.1")</f>
        <v/>
      </c>
      <c r="F3659" t="n">
        <v>75</v>
      </c>
      <c r="G3659" t="n">
        <v>60</v>
      </c>
      <c r="H3659" t="n">
        <v>1.11e-23</v>
      </c>
      <c r="I3659" t="inlineStr">
        <is>
          <t>Nr</t>
        </is>
      </c>
      <c r="J3659" t="inlineStr"/>
      <c r="K3659" t="inlineStr"/>
      <c r="L3659" t="inlineStr">
        <is>
          <t>PKK19482.1 neurocan, partial [Columba livia]</t>
        </is>
      </c>
      <c r="M3659" t="n">
        <v>960</v>
      </c>
      <c r="N3659" t="inlineStr">
        <is>
          <t>Columba livia</t>
        </is>
      </c>
      <c r="O3659" t="inlineStr">
        <is>
          <t>neurocan, partial</t>
        </is>
      </c>
    </row>
    <row r="3660">
      <c r="A3660" t="inlineStr"/>
      <c r="B3660" t="inlineStr"/>
      <c r="C3660" t="inlineStr"/>
      <c r="D3660" t="inlineStr"/>
      <c r="E3660">
        <f>HYPERLINK("https://www.ncbi.nlm.nih.gov/gene/?term=XP_021147312.1", "XP_021147312.1")</f>
        <v/>
      </c>
      <c r="F3660" t="n">
        <v>75</v>
      </c>
      <c r="G3660" t="n">
        <v>60</v>
      </c>
      <c r="H3660" t="n">
        <v>1.12e-23</v>
      </c>
      <c r="I3660" t="inlineStr">
        <is>
          <t>Nr</t>
        </is>
      </c>
      <c r="J3660" t="inlineStr"/>
      <c r="K3660" t="inlineStr"/>
      <c r="L3660" t="inlineStr">
        <is>
          <t>XP_021147312.1 LOW QUALITY PROTEIN: neurocan core protein [Columba livia]</t>
        </is>
      </c>
      <c r="M3660" t="n">
        <v>1088</v>
      </c>
      <c r="N3660" t="inlineStr">
        <is>
          <t>Columba livia</t>
        </is>
      </c>
      <c r="O3660" t="inlineStr">
        <is>
          <t>LOW QUALITY PROTEIN: neurocan core protein</t>
        </is>
      </c>
    </row>
    <row r="3661">
      <c r="A3661" t="inlineStr"/>
      <c r="B3661" t="inlineStr"/>
      <c r="C3661" t="inlineStr"/>
      <c r="D3661" t="inlineStr"/>
      <c r="E3661">
        <f>HYPERLINK("https://www.ncbi.nlm.nih.gov/gene/?term=XP_003229955.1", "XP_003229955.1")</f>
        <v/>
      </c>
      <c r="F3661" t="n">
        <v>75</v>
      </c>
      <c r="G3661" t="n">
        <v>60</v>
      </c>
      <c r="H3661" t="n">
        <v>1.14e-23</v>
      </c>
      <c r="I3661" t="inlineStr">
        <is>
          <t>Nr</t>
        </is>
      </c>
      <c r="J3661" t="inlineStr"/>
      <c r="K3661" t="inlineStr"/>
      <c r="L3661" t="inlineStr">
        <is>
          <t>XP_003229955.1 PREDICTED: LOW QUALITY PROTEIN: neurocan core protein [Anolis carolinensis]</t>
        </is>
      </c>
      <c r="M3661" t="n">
        <v>1329</v>
      </c>
      <c r="N3661" t="inlineStr">
        <is>
          <t>Anolis carolinensis</t>
        </is>
      </c>
      <c r="O3661" t="inlineStr">
        <is>
          <t>PREDICTED: LOW QUALITY PROTEIN: neurocan core protein</t>
        </is>
      </c>
    </row>
    <row r="3662">
      <c r="A3662" t="inlineStr"/>
      <c r="B3662" t="inlineStr"/>
      <c r="C3662" t="inlineStr"/>
      <c r="D3662" t="inlineStr"/>
      <c r="E3662">
        <f>HYPERLINK("https://www.uniprot.org/uniprotkb/A0A670KAL0/entry", "A0A670KAL0")</f>
        <v/>
      </c>
      <c r="F3662" t="n">
        <v>75</v>
      </c>
      <c r="G3662" t="n">
        <v>60</v>
      </c>
      <c r="H3662" t="n">
        <v>1.47e-23</v>
      </c>
      <c r="I3662" t="inlineStr">
        <is>
          <t>TrEMBL</t>
        </is>
      </c>
      <c r="J3662" t="inlineStr">
        <is>
          <t>NCAN</t>
        </is>
      </c>
      <c r="K3662" t="inlineStr">
        <is>
          <t>A0A670KAL0_PODMU</t>
        </is>
      </c>
      <c r="L3662" t="inlineStr">
        <is>
          <t>tr|A0A670KAL0|A0A670KAL0_PODMU Neurocan OS=Podarcis muralis OX=64176 GN=NCAN PE=4 SV=1</t>
        </is>
      </c>
      <c r="M3662" t="n">
        <v>851</v>
      </c>
      <c r="N3662" t="inlineStr">
        <is>
          <t>Podarcis muralis</t>
        </is>
      </c>
      <c r="O3662" t="inlineStr">
        <is>
          <t>Neurocan</t>
        </is>
      </c>
    </row>
    <row r="3663">
      <c r="A3663" t="inlineStr"/>
      <c r="B3663" t="inlineStr"/>
      <c r="C3663" t="inlineStr"/>
      <c r="D3663" t="inlineStr"/>
      <c r="E3663">
        <f>HYPERLINK("https://www.uniprot.org/uniprotkb/A0A670K9A5/entry", "A0A670K9A5")</f>
        <v/>
      </c>
      <c r="F3663" t="n">
        <v>75</v>
      </c>
      <c r="G3663" t="n">
        <v>60</v>
      </c>
      <c r="H3663" t="n">
        <v>1.48e-23</v>
      </c>
      <c r="I3663" t="inlineStr">
        <is>
          <t>TrEMBL</t>
        </is>
      </c>
      <c r="J3663" t="inlineStr">
        <is>
          <t>NCAN</t>
        </is>
      </c>
      <c r="K3663" t="inlineStr">
        <is>
          <t>A0A670K9A5_PODMU</t>
        </is>
      </c>
      <c r="L3663" t="inlineStr">
        <is>
          <t>tr|A0A670K9A5|A0A670K9A5_PODMU Neurocan OS=Podarcis muralis OX=64176 GN=NCAN PE=4 SV=1</t>
        </is>
      </c>
      <c r="M3663" t="n">
        <v>881</v>
      </c>
      <c r="N3663" t="inlineStr">
        <is>
          <t>Podarcis muralis</t>
        </is>
      </c>
      <c r="O3663" t="inlineStr">
        <is>
          <t>Neurocan</t>
        </is>
      </c>
    </row>
    <row r="3664">
      <c r="A3664" t="inlineStr"/>
      <c r="B3664" t="inlineStr"/>
      <c r="C3664" t="inlineStr"/>
      <c r="D3664" t="inlineStr"/>
      <c r="E3664">
        <f>HYPERLINK("https://www.uniprot.org/uniprotkb/A0A670KEZ5/entry", "A0A670KEZ5")</f>
        <v/>
      </c>
      <c r="F3664" t="n">
        <v>75</v>
      </c>
      <c r="G3664" t="n">
        <v>60</v>
      </c>
      <c r="H3664" t="n">
        <v>1.51e-23</v>
      </c>
      <c r="I3664" t="inlineStr">
        <is>
          <t>TrEMBL</t>
        </is>
      </c>
      <c r="J3664" t="inlineStr">
        <is>
          <t>NCAN</t>
        </is>
      </c>
      <c r="K3664" t="inlineStr">
        <is>
          <t>A0A670KEZ5_PODMU</t>
        </is>
      </c>
      <c r="L3664" t="inlineStr">
        <is>
          <t>tr|A0A670KEZ5|A0A670KEZ5_PODMU Neurocan OS=Podarcis muralis OX=64176 GN=NCAN PE=4 SV=1</t>
        </is>
      </c>
      <c r="M3664" t="n">
        <v>1129</v>
      </c>
      <c r="N3664" t="inlineStr">
        <is>
          <t>Podarcis muralis</t>
        </is>
      </c>
      <c r="O3664" t="inlineStr">
        <is>
          <t>Neurocan</t>
        </is>
      </c>
    </row>
    <row r="3665">
      <c r="A3665" t="inlineStr"/>
      <c r="B3665" t="inlineStr"/>
      <c r="C3665" t="inlineStr"/>
      <c r="D3665" t="inlineStr"/>
      <c r="E3665">
        <f>HYPERLINK("https://www.ncbi.nlm.nih.gov/gene/?term=OPJ86667.1", "OPJ86667.1")</f>
        <v/>
      </c>
      <c r="F3665" t="n">
        <v>73.3</v>
      </c>
      <c r="G3665" t="n">
        <v>60</v>
      </c>
      <c r="H3665" t="n">
        <v>1.52e-23</v>
      </c>
      <c r="I3665" t="inlineStr">
        <is>
          <t>Nr</t>
        </is>
      </c>
      <c r="J3665" t="inlineStr"/>
      <c r="K3665" t="inlineStr"/>
      <c r="L3665" t="inlineStr">
        <is>
          <t>OPJ86667.1 neurocan core protein [Patagioenas fasciata monilis]</t>
        </is>
      </c>
      <c r="M3665" t="n">
        <v>983</v>
      </c>
      <c r="N3665" t="inlineStr">
        <is>
          <t>Patagioenas fasciata monilis</t>
        </is>
      </c>
      <c r="O3665" t="inlineStr">
        <is>
          <t>neurocan core protein</t>
        </is>
      </c>
    </row>
    <row r="3666">
      <c r="A3666" t="inlineStr"/>
      <c r="B3666" t="inlineStr"/>
      <c r="C3666" t="inlineStr"/>
      <c r="D3666" t="inlineStr"/>
      <c r="E3666">
        <f>HYPERLINK("https://www.ncbi.nlm.nih.gov/gene/?term=NXW85293.1", "NXW85293.1")</f>
        <v/>
      </c>
      <c r="F3666" t="n">
        <v>73.3</v>
      </c>
      <c r="G3666" t="n">
        <v>60</v>
      </c>
      <c r="H3666" t="n">
        <v>1.55e-23</v>
      </c>
      <c r="I3666" t="inlineStr">
        <is>
          <t>Nr</t>
        </is>
      </c>
      <c r="J3666" t="inlineStr"/>
      <c r="K3666" t="inlineStr"/>
      <c r="L3666" t="inlineStr">
        <is>
          <t>NXW85293.1 NCAN protein [Alopecoenas beccarii]</t>
        </is>
      </c>
      <c r="M3666" t="n">
        <v>1277</v>
      </c>
      <c r="N3666" t="inlineStr">
        <is>
          <t>Alopecoenas beccarii</t>
        </is>
      </c>
      <c r="O3666" t="inlineStr">
        <is>
          <t>NCAN protein</t>
        </is>
      </c>
    </row>
    <row r="3667">
      <c r="A3667" t="inlineStr"/>
      <c r="B3667" t="inlineStr"/>
      <c r="C3667" t="inlineStr"/>
      <c r="D3667" t="inlineStr"/>
      <c r="E3667">
        <f>HYPERLINK("https://www.uniprot.org/uniprotkb/A0A8C3P412/entry", "A0A8C3P412")</f>
        <v/>
      </c>
      <c r="F3667" t="n">
        <v>77.59999999999999</v>
      </c>
      <c r="G3667" t="n">
        <v>58</v>
      </c>
      <c r="H3667" t="n">
        <v>1.55e-23</v>
      </c>
      <c r="I3667" t="inlineStr">
        <is>
          <t>TrEMBL</t>
        </is>
      </c>
      <c r="J3667" t="inlineStr">
        <is>
          <t>NCAN</t>
        </is>
      </c>
      <c r="K3667" t="inlineStr">
        <is>
          <t>A0A8C3P412_CHRPI</t>
        </is>
      </c>
      <c r="L3667" t="inlineStr">
        <is>
          <t>tr|A0A8C3P412|A0A8C3P412_CHRPI Neurocan OS=Chrysemys picta bellii OX=8478 GN=NCAN PE=4 SV=1</t>
        </is>
      </c>
      <c r="M3667" t="n">
        <v>1674</v>
      </c>
      <c r="N3667" t="inlineStr">
        <is>
          <t>Chrysemys picta bellii</t>
        </is>
      </c>
      <c r="O3667" t="inlineStr">
        <is>
          <t>Neurocan</t>
        </is>
      </c>
    </row>
    <row r="3668">
      <c r="A3668" t="inlineStr"/>
      <c r="B3668" t="inlineStr"/>
      <c r="C3668" t="inlineStr"/>
      <c r="D3668" t="inlineStr"/>
      <c r="E3668">
        <f>HYPERLINK("https://www.ncbi.nlm.nih.gov/gene/?term=XP_033811878.1", "XP_033811878.1")</f>
        <v/>
      </c>
      <c r="F3668" t="n">
        <v>75</v>
      </c>
      <c r="G3668" t="n">
        <v>60</v>
      </c>
      <c r="H3668" t="n">
        <v>1.58e-23</v>
      </c>
      <c r="I3668" t="inlineStr">
        <is>
          <t>Nr</t>
        </is>
      </c>
      <c r="J3668" t="inlineStr"/>
      <c r="K3668" t="inlineStr"/>
      <c r="L3668" t="inlineStr">
        <is>
          <t>XP_033811878.1 neurocan core protein isoform X3 [Geotrypetes seraphini]</t>
        </is>
      </c>
      <c r="M3668" t="n">
        <v>1784</v>
      </c>
      <c r="N3668" t="inlineStr">
        <is>
          <t>Geotrypetes seraphini</t>
        </is>
      </c>
      <c r="O3668" t="inlineStr">
        <is>
          <t>neurocan core protein isoform X3</t>
        </is>
      </c>
    </row>
    <row r="3669">
      <c r="A3669" t="inlineStr"/>
      <c r="B3669" t="inlineStr"/>
      <c r="C3669" t="inlineStr"/>
      <c r="D3669" t="inlineStr"/>
      <c r="E3669">
        <f>HYPERLINK("https://www.uniprot.org/uniprotkb/A0A2P4SUU8/entry", "A0A2P4SUU8")</f>
        <v/>
      </c>
      <c r="F3669" t="n">
        <v>71.7</v>
      </c>
      <c r="G3669" t="n">
        <v>60</v>
      </c>
      <c r="H3669" t="n">
        <v>1.97e-23</v>
      </c>
      <c r="I3669" t="inlineStr">
        <is>
          <t>TrEMBL</t>
        </is>
      </c>
      <c r="J3669" t="inlineStr">
        <is>
          <t>CIB84_008376</t>
        </is>
      </c>
      <c r="K3669" t="inlineStr">
        <is>
          <t>A0A2P4SUU8_BAMTH</t>
        </is>
      </c>
      <c r="L3669" t="inlineStr">
        <is>
          <t>tr|A0A2P4SUU8|A0A2P4SUU8_BAMTH C-type lectin domain-containing protein (Fragment) OS=Bambusicola thoracicus OX=9083 GN=CIB84_008376 PE=4 SV=1</t>
        </is>
      </c>
      <c r="M3669" t="n">
        <v>743</v>
      </c>
      <c r="N3669" t="inlineStr">
        <is>
          <t>Bambusicola thoracicus</t>
        </is>
      </c>
      <c r="O3669" t="inlineStr">
        <is>
          <t>C-type lectin domain-containing protein (Fragment)</t>
        </is>
      </c>
    </row>
    <row r="3670">
      <c r="A3670" t="inlineStr"/>
      <c r="B3670" t="inlineStr"/>
      <c r="C3670" t="inlineStr"/>
      <c r="D3670" t="inlineStr"/>
      <c r="E3670">
        <f>HYPERLINK("https://www.uniprot.org/uniprotkb/O14594/entry", "O14594")</f>
        <v/>
      </c>
      <c r="F3670" t="n">
        <v>60.3</v>
      </c>
      <c r="G3670" t="n">
        <v>58</v>
      </c>
      <c r="H3670" t="n">
        <v>3.87e-19</v>
      </c>
      <c r="I3670" t="inlineStr">
        <is>
          <t>Swiss-Prot</t>
        </is>
      </c>
      <c r="J3670" t="inlineStr">
        <is>
          <t>NCAN</t>
        </is>
      </c>
      <c r="K3670" t="inlineStr">
        <is>
          <t>NCAN_HUMAN</t>
        </is>
      </c>
      <c r="L3670" t="inlineStr">
        <is>
          <t>sp|O14594|NCAN_HUMAN Neurocan core protein OS=Homo sapiens OX=9606 GN=NCAN PE=1 SV=3</t>
        </is>
      </c>
      <c r="M3670" t="n">
        <v>1321</v>
      </c>
      <c r="N3670" t="inlineStr">
        <is>
          <t>Homo sapiens</t>
        </is>
      </c>
      <c r="O3670" t="inlineStr">
        <is>
          <t>Neurocan core protein</t>
        </is>
      </c>
    </row>
    <row r="3671">
      <c r="A3671" t="inlineStr"/>
      <c r="B3671" t="inlineStr"/>
      <c r="C3671" t="inlineStr"/>
      <c r="D3671" t="inlineStr"/>
      <c r="E3671">
        <f>HYPERLINK("https://www.uniprot.org/uniprotkb/Q5IS41/entry", "Q5IS41")</f>
        <v/>
      </c>
      <c r="F3671" t="n">
        <v>60.3</v>
      </c>
      <c r="G3671" t="n">
        <v>58</v>
      </c>
      <c r="H3671" t="n">
        <v>3.87e-19</v>
      </c>
      <c r="I3671" t="inlineStr">
        <is>
          <t>Swiss-Prot</t>
        </is>
      </c>
      <c r="J3671" t="inlineStr">
        <is>
          <t>NCAN</t>
        </is>
      </c>
      <c r="K3671" t="inlineStr">
        <is>
          <t>NCAN_PANTR</t>
        </is>
      </c>
      <c r="L3671" t="inlineStr">
        <is>
          <t>sp|Q5IS41|NCAN_PANTR Neurocan core protein OS=Pan troglodytes OX=9598 GN=NCAN PE=2 SV=1</t>
        </is>
      </c>
      <c r="M3671" t="n">
        <v>1321</v>
      </c>
      <c r="N3671" t="inlineStr">
        <is>
          <t>Pan troglodytes</t>
        </is>
      </c>
      <c r="O3671" t="inlineStr">
        <is>
          <t>Neurocan core protein</t>
        </is>
      </c>
    </row>
    <row r="3672">
      <c r="A3672" t="inlineStr"/>
      <c r="B3672" t="inlineStr"/>
      <c r="C3672" t="inlineStr"/>
      <c r="D3672" t="inlineStr"/>
      <c r="E3672">
        <f>HYPERLINK("https://www.uniprot.org/uniprotkb/P55067/entry", "P55067")</f>
        <v/>
      </c>
      <c r="F3672" t="n">
        <v>58.6</v>
      </c>
      <c r="G3672" t="n">
        <v>58</v>
      </c>
      <c r="H3672" t="n">
        <v>2.48e-18</v>
      </c>
      <c r="I3672" t="inlineStr">
        <is>
          <t>Swiss-Prot</t>
        </is>
      </c>
      <c r="J3672" t="inlineStr">
        <is>
          <t>Ncan</t>
        </is>
      </c>
      <c r="K3672" t="inlineStr">
        <is>
          <t>NCAN_RAT</t>
        </is>
      </c>
      <c r="L3672" t="inlineStr">
        <is>
          <t>sp|P55067|NCAN_RAT Neurocan core protein OS=Rattus norvegicus OX=10116 GN=Ncan PE=1 SV=1</t>
        </is>
      </c>
      <c r="M3672" t="n">
        <v>1257</v>
      </c>
      <c r="N3672" t="inlineStr">
        <is>
          <t>Rattus norvegicus</t>
        </is>
      </c>
      <c r="O3672" t="inlineStr">
        <is>
          <t>Neurocan core protein</t>
        </is>
      </c>
    </row>
    <row r="3673">
      <c r="A3673" t="inlineStr"/>
      <c r="B3673" t="inlineStr"/>
      <c r="C3673" t="inlineStr"/>
      <c r="D3673" t="inlineStr"/>
      <c r="E3673">
        <f>HYPERLINK("https://www.uniprot.org/uniprotkb/P55066/entry", "P55066")</f>
        <v/>
      </c>
      <c r="F3673" t="n">
        <v>56.9</v>
      </c>
      <c r="G3673" t="n">
        <v>58</v>
      </c>
      <c r="H3673" t="n">
        <v>8.55e-18</v>
      </c>
      <c r="I3673" t="inlineStr">
        <is>
          <t>Swiss-Prot</t>
        </is>
      </c>
      <c r="J3673" t="inlineStr">
        <is>
          <t>Ncan</t>
        </is>
      </c>
      <c r="K3673" t="inlineStr">
        <is>
          <t>NCAN_MOUSE</t>
        </is>
      </c>
      <c r="L3673" t="inlineStr">
        <is>
          <t>sp|P55066|NCAN_MOUSE Neurocan core protein OS=Mus musculus OX=10090 GN=Ncan PE=1 SV=1</t>
        </is>
      </c>
      <c r="M3673" t="n">
        <v>1268</v>
      </c>
      <c r="N3673" t="inlineStr">
        <is>
          <t>Mus musculus</t>
        </is>
      </c>
      <c r="O3673" t="inlineStr">
        <is>
          <t>Neurocan core protein</t>
        </is>
      </c>
    </row>
    <row r="3674">
      <c r="A3674" t="inlineStr"/>
      <c r="B3674" t="inlineStr"/>
      <c r="C3674" t="inlineStr"/>
      <c r="D3674" t="inlineStr"/>
      <c r="E3674">
        <f>HYPERLINK("https://www.uniprot.org/uniprotkb/Q90953/entry", "Q90953")</f>
        <v/>
      </c>
      <c r="F3674" t="n">
        <v>54.4</v>
      </c>
      <c r="G3674" t="n">
        <v>57</v>
      </c>
      <c r="H3674" t="n">
        <v>8.1e-15</v>
      </c>
      <c r="I3674" t="inlineStr">
        <is>
          <t>Swiss-Prot</t>
        </is>
      </c>
      <c r="J3674" t="inlineStr">
        <is>
          <t>VCAN</t>
        </is>
      </c>
      <c r="K3674" t="inlineStr">
        <is>
          <t>CSPG2_CHICK</t>
        </is>
      </c>
      <c r="L3674" t="inlineStr">
        <is>
          <t>sp|Q90953|CSPG2_CHICK Versican core protein OS=Gallus gallus OX=9031 GN=VCAN PE=2 SV=1</t>
        </is>
      </c>
      <c r="M3674" t="n">
        <v>3562</v>
      </c>
      <c r="N3674" t="inlineStr">
        <is>
          <t>Gallus gallus</t>
        </is>
      </c>
      <c r="O3674" t="inlineStr">
        <is>
          <t>Versican core protein</t>
        </is>
      </c>
    </row>
    <row r="3675">
      <c r="A3675" t="inlineStr"/>
      <c r="B3675" t="inlineStr"/>
      <c r="C3675" t="inlineStr"/>
      <c r="D3675" t="inlineStr"/>
      <c r="E3675">
        <f>HYPERLINK("https://www.uniprot.org/uniprotkb/P07898/entry", "P07898")</f>
        <v/>
      </c>
      <c r="F3675" t="n">
        <v>52.9</v>
      </c>
      <c r="G3675" t="n">
        <v>51</v>
      </c>
      <c r="H3675" t="n">
        <v>3.26e-13</v>
      </c>
      <c r="I3675" t="inlineStr">
        <is>
          <t>Swiss-Prot</t>
        </is>
      </c>
      <c r="J3675" t="inlineStr">
        <is>
          <t>ACAN</t>
        </is>
      </c>
      <c r="K3675" t="inlineStr">
        <is>
          <t>PGCA_CHICK</t>
        </is>
      </c>
      <c r="L3675" t="inlineStr">
        <is>
          <t>sp|P07898|PGCA_CHICK Aggrecan core protein OS=Gallus gallus OX=9031 GN=ACAN PE=1 SV=2</t>
        </is>
      </c>
      <c r="M3675" t="n">
        <v>2109</v>
      </c>
      <c r="N3675" t="inlineStr">
        <is>
          <t>Gallus gallus</t>
        </is>
      </c>
      <c r="O3675" t="inlineStr">
        <is>
          <t>Aggrecan core protein</t>
        </is>
      </c>
    </row>
    <row r="3676">
      <c r="A3676" t="inlineStr"/>
      <c r="B3676" t="inlineStr"/>
      <c r="C3676" t="inlineStr"/>
      <c r="D3676" t="inlineStr"/>
      <c r="E3676">
        <f>HYPERLINK("https://www.uniprot.org/uniprotkb/Q9ERB4/entry", "Q9ERB4")</f>
        <v/>
      </c>
      <c r="F3676" t="n">
        <v>50.9</v>
      </c>
      <c r="G3676" t="n">
        <v>57</v>
      </c>
      <c r="H3676" t="n">
        <v>4.48e-13</v>
      </c>
      <c r="I3676" t="inlineStr">
        <is>
          <t>Swiss-Prot</t>
        </is>
      </c>
      <c r="J3676" t="inlineStr">
        <is>
          <t>Vcan</t>
        </is>
      </c>
      <c r="K3676" t="inlineStr">
        <is>
          <t>CSPG2_RAT</t>
        </is>
      </c>
      <c r="L3676" t="inlineStr">
        <is>
          <t>sp|Q9ERB4|CSPG2_RAT Versican core protein (Fragments) OS=Rattus norvegicus OX=10116 GN=Vcan PE=2 SV=2</t>
        </is>
      </c>
      <c r="M3676" t="n">
        <v>2738</v>
      </c>
      <c r="N3676" t="inlineStr">
        <is>
          <t>Rattus norvegicus</t>
        </is>
      </c>
      <c r="O3676" t="inlineStr">
        <is>
          <t>Versican core protein (Fragments)</t>
        </is>
      </c>
    </row>
    <row r="3677">
      <c r="A3677" t="inlineStr"/>
      <c r="B3677" t="inlineStr"/>
      <c r="C3677" t="inlineStr"/>
      <c r="D3677" t="inlineStr"/>
      <c r="E3677">
        <f>HYPERLINK("https://www.uniprot.org/uniprotkb/Q62059/entry", "Q62059")</f>
        <v/>
      </c>
      <c r="F3677" t="n">
        <v>50.9</v>
      </c>
      <c r="G3677" t="n">
        <v>57</v>
      </c>
      <c r="H3677" t="n">
        <v>4.5e-13</v>
      </c>
      <c r="I3677" t="inlineStr">
        <is>
          <t>Swiss-Prot</t>
        </is>
      </c>
      <c r="J3677" t="inlineStr">
        <is>
          <t>Vcan</t>
        </is>
      </c>
      <c r="K3677" t="inlineStr">
        <is>
          <t>CSPG2_MOUSE</t>
        </is>
      </c>
      <c r="L3677" t="inlineStr">
        <is>
          <t>sp|Q62059|CSPG2_MOUSE Versican core protein OS=Mus musculus OX=10090 GN=Vcan PE=1 SV=2</t>
        </is>
      </c>
      <c r="M3677" t="n">
        <v>3357</v>
      </c>
      <c r="N3677" t="inlineStr">
        <is>
          <t>Mus musculus</t>
        </is>
      </c>
      <c r="O3677" t="inlineStr">
        <is>
          <t>Versican core protein</t>
        </is>
      </c>
    </row>
    <row r="3678">
      <c r="A3678" t="inlineStr"/>
      <c r="B3678" t="inlineStr"/>
      <c r="C3678" t="inlineStr"/>
      <c r="D3678" t="inlineStr"/>
      <c r="E3678">
        <f>HYPERLINK("https://www.uniprot.org/uniprotkb/P81282/entry", "P81282")</f>
        <v/>
      </c>
      <c r="F3678" t="n">
        <v>50.9</v>
      </c>
      <c r="G3678" t="n">
        <v>57</v>
      </c>
      <c r="H3678" t="n">
        <v>4.51e-13</v>
      </c>
      <c r="I3678" t="inlineStr">
        <is>
          <t>Swiss-Prot</t>
        </is>
      </c>
      <c r="J3678" t="inlineStr">
        <is>
          <t>VCAN</t>
        </is>
      </c>
      <c r="K3678" t="inlineStr">
        <is>
          <t>CSPG2_BOVIN</t>
        </is>
      </c>
      <c r="L3678" t="inlineStr">
        <is>
          <t>sp|P81282|CSPG2_BOVIN Versican core protein OS=Bos taurus OX=9913 GN=VCAN PE=1 SV=2</t>
        </is>
      </c>
      <c r="M3678" t="n">
        <v>3381</v>
      </c>
      <c r="N3678" t="inlineStr">
        <is>
          <t>Bos taurus</t>
        </is>
      </c>
      <c r="O3678" t="inlineStr">
        <is>
          <t>Versican core protein</t>
        </is>
      </c>
    </row>
    <row r="3679">
      <c r="A3679" t="inlineStr"/>
      <c r="B3679" t="inlineStr"/>
      <c r="C3679" t="inlineStr"/>
      <c r="D3679" t="inlineStr"/>
      <c r="E3679">
        <f>HYPERLINK("https://www.uniprot.org/uniprotkb/Q28343/entry", "Q28343")</f>
        <v/>
      </c>
      <c r="F3679" t="n">
        <v>49</v>
      </c>
      <c r="G3679" t="n">
        <v>51</v>
      </c>
      <c r="H3679" t="n">
        <v>6.07e-13</v>
      </c>
      <c r="I3679" t="inlineStr">
        <is>
          <t>Swiss-Prot</t>
        </is>
      </c>
      <c r="J3679" t="inlineStr">
        <is>
          <t>ACAN</t>
        </is>
      </c>
      <c r="K3679" t="inlineStr">
        <is>
          <t>PGCA_CANLF</t>
        </is>
      </c>
      <c r="L3679" t="inlineStr">
        <is>
          <t>sp|Q28343|PGCA_CANLF Aggrecan core protein OS=Canis lupus familiaris OX=9615 GN=ACAN PE=2 SV=2</t>
        </is>
      </c>
      <c r="M3679" t="n">
        <v>2333</v>
      </c>
      <c r="N3679" t="inlineStr">
        <is>
          <t>Canis lupus familiaris</t>
        </is>
      </c>
      <c r="O3679" t="inlineStr">
        <is>
          <t>Aggrecan core protein</t>
        </is>
      </c>
    </row>
    <row r="3680">
      <c r="A3680" t="inlineStr"/>
      <c r="B3680" t="inlineStr"/>
      <c r="C3680" t="inlineStr"/>
      <c r="D3680" t="inlineStr"/>
      <c r="E3680">
        <f>HYPERLINK("https://www.uniprot.org/uniprotkb/P13611/entry", "P13611")</f>
        <v/>
      </c>
      <c r="F3680" t="n">
        <v>50.9</v>
      </c>
      <c r="G3680" t="n">
        <v>57</v>
      </c>
      <c r="H3680" t="n">
        <v>8.36e-13</v>
      </c>
      <c r="I3680" t="inlineStr">
        <is>
          <t>Swiss-Prot</t>
        </is>
      </c>
      <c r="J3680" t="inlineStr">
        <is>
          <t>VCAN</t>
        </is>
      </c>
      <c r="K3680" t="inlineStr">
        <is>
          <t>CSPG2_HUMAN</t>
        </is>
      </c>
      <c r="L3680" t="inlineStr">
        <is>
          <t>sp|P13611|CSPG2_HUMAN Versican core protein OS=Homo sapiens OX=9606 GN=VCAN PE=1 SV=3</t>
        </is>
      </c>
      <c r="M3680" t="n">
        <v>3396</v>
      </c>
      <c r="N3680" t="inlineStr">
        <is>
          <t>Homo sapiens</t>
        </is>
      </c>
      <c r="O3680" t="inlineStr">
        <is>
          <t>Versican core protein</t>
        </is>
      </c>
    </row>
    <row r="3681">
      <c r="A3681" t="inlineStr"/>
      <c r="B3681" t="inlineStr"/>
      <c r="C3681" t="inlineStr"/>
      <c r="D3681" t="inlineStr"/>
      <c r="E3681">
        <f>HYPERLINK("https://www.uniprot.org/uniprotkb/Q61282/entry", "Q61282")</f>
        <v/>
      </c>
      <c r="F3681" t="n">
        <v>49</v>
      </c>
      <c r="G3681" t="n">
        <v>51</v>
      </c>
      <c r="H3681" t="n">
        <v>1.12e-12</v>
      </c>
      <c r="I3681" t="inlineStr">
        <is>
          <t>Swiss-Prot</t>
        </is>
      </c>
      <c r="J3681" t="inlineStr">
        <is>
          <t>Acan</t>
        </is>
      </c>
      <c r="K3681" t="inlineStr">
        <is>
          <t>PGCA_MOUSE</t>
        </is>
      </c>
      <c r="L3681" t="inlineStr">
        <is>
          <t>sp|Q61282|PGCA_MOUSE Aggrecan core protein OS=Mus musculus OX=10090 GN=Acan PE=1 SV=2</t>
        </is>
      </c>
      <c r="M3681" t="n">
        <v>2132</v>
      </c>
      <c r="N3681" t="inlineStr">
        <is>
          <t>Mus musculus</t>
        </is>
      </c>
      <c r="O3681" t="inlineStr">
        <is>
          <t>Aggrecan core protein</t>
        </is>
      </c>
    </row>
    <row r="3682">
      <c r="A3682" t="inlineStr"/>
      <c r="B3682" t="inlineStr"/>
      <c r="C3682" t="inlineStr"/>
      <c r="D3682" t="inlineStr"/>
      <c r="E3682">
        <f>HYPERLINK("https://www.uniprot.org/uniprotkb/P13608/entry", "P13608")</f>
        <v/>
      </c>
      <c r="F3682" t="n">
        <v>47.1</v>
      </c>
      <c r="G3682" t="n">
        <v>51</v>
      </c>
      <c r="H3682" t="n">
        <v>7.19e-12</v>
      </c>
      <c r="I3682" t="inlineStr">
        <is>
          <t>Swiss-Prot</t>
        </is>
      </c>
      <c r="J3682" t="inlineStr">
        <is>
          <t>ACAN</t>
        </is>
      </c>
      <c r="K3682" t="inlineStr">
        <is>
          <t>PGCA_BOVIN</t>
        </is>
      </c>
      <c r="L3682" t="inlineStr">
        <is>
          <t>sp|P13608|PGCA_BOVIN Aggrecan core protein OS=Bos taurus OX=9913 GN=ACAN PE=1 SV=3</t>
        </is>
      </c>
      <c r="M3682" t="n">
        <v>2364</v>
      </c>
      <c r="N3682" t="inlineStr">
        <is>
          <t>Bos taurus</t>
        </is>
      </c>
      <c r="O3682" t="inlineStr">
        <is>
          <t>Aggrecan core protein</t>
        </is>
      </c>
    </row>
    <row r="3683">
      <c r="A3683" t="inlineStr"/>
      <c r="B3683" t="inlineStr"/>
      <c r="C3683" t="inlineStr"/>
      <c r="D3683" t="inlineStr"/>
      <c r="E3683">
        <f>HYPERLINK("https://www.uniprot.org/uniprotkb/P16112/entry", "P16112")</f>
        <v/>
      </c>
      <c r="F3683" t="n">
        <v>47.1</v>
      </c>
      <c r="G3683" t="n">
        <v>51</v>
      </c>
      <c r="H3683" t="n">
        <v>7.21e-12</v>
      </c>
      <c r="I3683" t="inlineStr">
        <is>
          <t>Swiss-Prot</t>
        </is>
      </c>
      <c r="J3683" t="inlineStr">
        <is>
          <t>ACAN</t>
        </is>
      </c>
      <c r="K3683" t="inlineStr">
        <is>
          <t>PGCA_HUMAN</t>
        </is>
      </c>
      <c r="L3683" t="inlineStr">
        <is>
          <t>sp|P16112|PGCA_HUMAN Aggrecan core protein OS=Homo sapiens OX=9606 GN=ACAN PE=1 SV=3</t>
        </is>
      </c>
      <c r="M3683" t="n">
        <v>2530</v>
      </c>
      <c r="N3683" t="inlineStr">
        <is>
          <t>Homo sapiens</t>
        </is>
      </c>
      <c r="O3683" t="inlineStr">
        <is>
          <t>Aggrecan core protein</t>
        </is>
      </c>
    </row>
    <row r="3684">
      <c r="A3684" t="inlineStr"/>
      <c r="B3684" t="inlineStr"/>
      <c r="C3684" t="inlineStr"/>
      <c r="D3684" t="inlineStr"/>
      <c r="E3684">
        <f>HYPERLINK("https://www.uniprot.org/uniprotkb/P07897/entry", "P07897")</f>
        <v/>
      </c>
      <c r="F3684" t="n">
        <v>47.1</v>
      </c>
      <c r="G3684" t="n">
        <v>51</v>
      </c>
      <c r="H3684" t="n">
        <v>1.33e-11</v>
      </c>
      <c r="I3684" t="inlineStr">
        <is>
          <t>Swiss-Prot</t>
        </is>
      </c>
      <c r="J3684" t="inlineStr">
        <is>
          <t>Acan</t>
        </is>
      </c>
      <c r="K3684" t="inlineStr">
        <is>
          <t>PGCA_RAT</t>
        </is>
      </c>
      <c r="L3684" t="inlineStr">
        <is>
          <t>sp|P07897|PGCA_RAT Aggrecan core protein OS=Rattus norvegicus OX=10116 GN=Acan PE=1 SV=2</t>
        </is>
      </c>
      <c r="M3684" t="n">
        <v>2124</v>
      </c>
      <c r="N3684" t="inlineStr">
        <is>
          <t>Rattus norvegicus</t>
        </is>
      </c>
      <c r="O3684" t="inlineStr">
        <is>
          <t>Aggrecan core protein</t>
        </is>
      </c>
    </row>
    <row r="3685">
      <c r="A3685" t="inlineStr"/>
      <c r="B3685" t="inlineStr"/>
      <c r="C3685" t="inlineStr"/>
      <c r="D3685" t="inlineStr"/>
      <c r="E3685">
        <f>HYPERLINK("https://www.uniprot.org/uniprotkb/Q96GW7/entry", "Q96GW7")</f>
        <v/>
      </c>
      <c r="F3685" t="n">
        <v>47.2</v>
      </c>
      <c r="G3685" t="n">
        <v>53</v>
      </c>
      <c r="H3685" t="n">
        <v>5.11e-10</v>
      </c>
      <c r="I3685" t="inlineStr">
        <is>
          <t>Swiss-Prot</t>
        </is>
      </c>
      <c r="J3685" t="inlineStr">
        <is>
          <t>BCAN</t>
        </is>
      </c>
      <c r="K3685" t="inlineStr">
        <is>
          <t>PGCB_HUMAN</t>
        </is>
      </c>
      <c r="L3685" t="inlineStr">
        <is>
          <t>sp|Q96GW7|PGCB_HUMAN Brevican core protein OS=Homo sapiens OX=9606 GN=BCAN PE=1 SV=2</t>
        </is>
      </c>
      <c r="M3685" t="n">
        <v>911</v>
      </c>
      <c r="N3685" t="inlineStr">
        <is>
          <t>Homo sapiens</t>
        </is>
      </c>
      <c r="O3685" t="inlineStr">
        <is>
          <t>Brevican core protein</t>
        </is>
      </c>
    </row>
    <row r="3686">
      <c r="A3686" t="inlineStr"/>
      <c r="B3686" t="inlineStr"/>
      <c r="C3686" t="inlineStr"/>
      <c r="D3686" t="inlineStr"/>
      <c r="E3686">
        <f>HYPERLINK("https://www.uniprot.org/uniprotkb/Q61361/entry", "Q61361")</f>
        <v/>
      </c>
      <c r="F3686" t="n">
        <v>47.2</v>
      </c>
      <c r="G3686" t="n">
        <v>53</v>
      </c>
      <c r="H3686" t="n">
        <v>6.93e-10</v>
      </c>
      <c r="I3686" t="inlineStr">
        <is>
          <t>Swiss-Prot</t>
        </is>
      </c>
      <c r="J3686" t="inlineStr">
        <is>
          <t>Bcan</t>
        </is>
      </c>
      <c r="K3686" t="inlineStr">
        <is>
          <t>PGCB_MOUSE</t>
        </is>
      </c>
      <c r="L3686" t="inlineStr">
        <is>
          <t>sp|Q61361|PGCB_MOUSE Brevican core protein OS=Mus musculus OX=10090 GN=Bcan PE=1 SV=2</t>
        </is>
      </c>
      <c r="M3686" t="n">
        <v>883</v>
      </c>
      <c r="N3686" t="inlineStr">
        <is>
          <t>Mus musculus</t>
        </is>
      </c>
      <c r="O3686" t="inlineStr">
        <is>
          <t>Brevican core protein</t>
        </is>
      </c>
    </row>
    <row r="3687">
      <c r="A3687" t="inlineStr"/>
      <c r="B3687" t="inlineStr"/>
      <c r="C3687" t="inlineStr"/>
      <c r="D3687" t="inlineStr"/>
      <c r="E3687">
        <f>HYPERLINK("https://www.uniprot.org/uniprotkb/P55068/entry", "P55068")</f>
        <v/>
      </c>
      <c r="F3687" t="n">
        <v>47.2</v>
      </c>
      <c r="G3687" t="n">
        <v>53</v>
      </c>
      <c r="H3687" t="n">
        <v>6.93e-10</v>
      </c>
      <c r="I3687" t="inlineStr">
        <is>
          <t>Swiss-Prot</t>
        </is>
      </c>
      <c r="J3687" t="inlineStr">
        <is>
          <t>Bcan</t>
        </is>
      </c>
      <c r="K3687" t="inlineStr">
        <is>
          <t>PGCB_RAT</t>
        </is>
      </c>
      <c r="L3687" t="inlineStr">
        <is>
          <t>sp|P55068|PGCB_RAT Brevican core protein OS=Rattus norvegicus OX=10116 GN=Bcan PE=1 SV=2</t>
        </is>
      </c>
      <c r="M3687" t="n">
        <v>883</v>
      </c>
      <c r="N3687" t="inlineStr">
        <is>
          <t>Rattus norvegicus</t>
        </is>
      </c>
      <c r="O3687" t="inlineStr">
        <is>
          <t>Brevican core protein</t>
        </is>
      </c>
    </row>
    <row r="3688">
      <c r="A3688" t="inlineStr"/>
      <c r="B3688" t="inlineStr"/>
      <c r="C3688" t="inlineStr"/>
      <c r="D3688" t="inlineStr"/>
      <c r="E3688">
        <f>HYPERLINK("https://www.uniprot.org/uniprotkb/Q28062/entry", "Q28062")</f>
        <v/>
      </c>
      <c r="F3688" t="n">
        <v>47.2</v>
      </c>
      <c r="G3688" t="n">
        <v>53</v>
      </c>
      <c r="H3688" t="n">
        <v>1.75e-09</v>
      </c>
      <c r="I3688" t="inlineStr">
        <is>
          <t>Swiss-Prot</t>
        </is>
      </c>
      <c r="J3688" t="inlineStr">
        <is>
          <t>BCAN</t>
        </is>
      </c>
      <c r="K3688" t="inlineStr">
        <is>
          <t>PGCB_BOVIN</t>
        </is>
      </c>
      <c r="L3688" t="inlineStr">
        <is>
          <t>sp|Q28062|PGCB_BOVIN Brevican core protein OS=Bos taurus OX=9913 GN=BCAN PE=1 SV=1</t>
        </is>
      </c>
      <c r="M3688" t="n">
        <v>912</v>
      </c>
      <c r="N3688" t="inlineStr">
        <is>
          <t>Bos taurus</t>
        </is>
      </c>
      <c r="O3688" t="inlineStr">
        <is>
          <t>Brevican core protein</t>
        </is>
      </c>
    </row>
    <row r="3689">
      <c r="A3689" t="inlineStr">
        <is>
          <t>NODE_23244_length_4541_cov_158.978543_g4872_i1</t>
        </is>
      </c>
      <c r="B3689" t="inlineStr">
        <is>
          <t>bombina_pachypus_blastx</t>
        </is>
      </c>
      <c r="C3689" t="n">
        <v>-2.96801424861774</v>
      </c>
      <c r="D3689" t="n">
        <v>0.0318341646321551</v>
      </c>
      <c r="E3689">
        <f>HYPERLINK("https://www.uniprot.org/uniprotkb/A0A803JGC4/entry", "A0A803JGC4")</f>
        <v/>
      </c>
      <c r="F3689" t="n">
        <v>64.7</v>
      </c>
      <c r="G3689" t="n">
        <v>116</v>
      </c>
      <c r="H3689" t="n">
        <v>2.98e-34</v>
      </c>
      <c r="I3689" t="inlineStr">
        <is>
          <t>TrEMBL</t>
        </is>
      </c>
      <c r="J3689" t="inlineStr"/>
      <c r="K3689" t="inlineStr">
        <is>
          <t>A0A803JGC4_XENTR</t>
        </is>
      </c>
      <c r="L3689" t="inlineStr">
        <is>
          <t>tr|A0A803JGC4|A0A803JGC4_XENTR Core-binding (CB) domain-containing protein OS=Xenopus tropicalis OX=8364 PE=4 SV=1</t>
        </is>
      </c>
      <c r="M3689" t="n">
        <v>743</v>
      </c>
      <c r="N3689" t="inlineStr">
        <is>
          <t>Xenopus tropicalis</t>
        </is>
      </c>
      <c r="O3689" t="inlineStr">
        <is>
          <t>Core-binding (CB) domain-containing protein</t>
        </is>
      </c>
    </row>
    <row r="3690">
      <c r="A3690" t="inlineStr"/>
      <c r="B3690" t="inlineStr"/>
      <c r="C3690" t="inlineStr"/>
      <c r="D3690" t="inlineStr"/>
      <c r="E3690">
        <f>HYPERLINK("https://www.uniprot.org/uniprotkb/A0A6I8RND0/entry", "A0A6I8RND0")</f>
        <v/>
      </c>
      <c r="F3690" t="n">
        <v>65.2</v>
      </c>
      <c r="G3690" t="n">
        <v>115</v>
      </c>
      <c r="H3690" t="n">
        <v>1.19e-33</v>
      </c>
      <c r="I3690" t="inlineStr">
        <is>
          <t>TrEMBL</t>
        </is>
      </c>
      <c r="J3690" t="inlineStr"/>
      <c r="K3690" t="inlineStr">
        <is>
          <t>A0A6I8RND0_XENTR</t>
        </is>
      </c>
      <c r="L3690" t="inlineStr">
        <is>
          <t>tr|A0A6I8RND0|A0A6I8RND0_XENTR Movement protein OS=Xenopus tropicalis OX=8364 PE=4 SV=2</t>
        </is>
      </c>
      <c r="M3690" t="n">
        <v>951</v>
      </c>
      <c r="N3690" t="inlineStr">
        <is>
          <t>Xenopus tropicalis</t>
        </is>
      </c>
      <c r="O3690" t="inlineStr">
        <is>
          <t>Movement protein</t>
        </is>
      </c>
    </row>
    <row r="3691">
      <c r="A3691" t="inlineStr"/>
      <c r="B3691" t="inlineStr"/>
      <c r="C3691" t="inlineStr"/>
      <c r="D3691" t="inlineStr"/>
      <c r="E3691">
        <f>HYPERLINK("https://www.uniprot.org/uniprotkb/A0A8J1LJD0/entry", "A0A8J1LJD0")</f>
        <v/>
      </c>
      <c r="F3691" t="n">
        <v>63.2</v>
      </c>
      <c r="G3691" t="n">
        <v>117</v>
      </c>
      <c r="H3691" t="n">
        <v>1.98e-33</v>
      </c>
      <c r="I3691" t="inlineStr">
        <is>
          <t>TrEMBL</t>
        </is>
      </c>
      <c r="J3691" t="inlineStr">
        <is>
          <t>LOC121397238</t>
        </is>
      </c>
      <c r="K3691" t="inlineStr">
        <is>
          <t>A0A8J1LJD0_XENLA</t>
        </is>
      </c>
      <c r="L3691" t="inlineStr">
        <is>
          <t>tr|A0A8J1LJD0|A0A8J1LJD0_XENLA uncharacterized protein LOC121397238 OS=Xenopus laevis OX=8355 GN=LOC121397238 PE=4 SV=1</t>
        </is>
      </c>
      <c r="M3691" t="n">
        <v>642</v>
      </c>
      <c r="N3691" t="inlineStr">
        <is>
          <t>Xenopus laevis</t>
        </is>
      </c>
      <c r="O3691" t="inlineStr">
        <is>
          <t>uncharacterized protein LOC121397238</t>
        </is>
      </c>
    </row>
    <row r="3692">
      <c r="A3692" t="inlineStr"/>
      <c r="B3692" t="inlineStr"/>
      <c r="C3692" t="inlineStr"/>
      <c r="D3692" t="inlineStr"/>
      <c r="E3692">
        <f>HYPERLINK("https://www.uniprot.org/uniprotkb/A0A8J1LQ31/entry", "A0A8J1LQ31")</f>
        <v/>
      </c>
      <c r="F3692" t="n">
        <v>60.7</v>
      </c>
      <c r="G3692" t="n">
        <v>117</v>
      </c>
      <c r="H3692" t="n">
        <v>4.24e-33</v>
      </c>
      <c r="I3692" t="inlineStr">
        <is>
          <t>TrEMBL</t>
        </is>
      </c>
      <c r="J3692" t="inlineStr">
        <is>
          <t>LOC121397804</t>
        </is>
      </c>
      <c r="K3692" t="inlineStr">
        <is>
          <t>A0A8J1LQ31_XENLA</t>
        </is>
      </c>
      <c r="L3692" t="inlineStr">
        <is>
          <t>tr|A0A8J1LQ31|A0A8J1LQ31_XENLA uncharacterized protein LOC121397804 OS=Xenopus laevis OX=8355 GN=LOC121397804 PE=4 SV=1</t>
        </is>
      </c>
      <c r="M3692" t="n">
        <v>1421</v>
      </c>
      <c r="N3692" t="inlineStr">
        <is>
          <t>Xenopus laevis</t>
        </is>
      </c>
      <c r="O3692" t="inlineStr">
        <is>
          <t>uncharacterized protein LOC121397804</t>
        </is>
      </c>
    </row>
    <row r="3693">
      <c r="A3693" t="inlineStr"/>
      <c r="B3693" t="inlineStr"/>
      <c r="C3693" t="inlineStr"/>
      <c r="D3693" t="inlineStr"/>
      <c r="E3693">
        <f>HYPERLINK("https://www.uniprot.org/uniprotkb/A0A8J1LB69/entry", "A0A8J1LB69")</f>
        <v/>
      </c>
      <c r="F3693" t="n">
        <v>62.6</v>
      </c>
      <c r="G3693" t="n">
        <v>115</v>
      </c>
      <c r="H3693" t="n">
        <v>4.69e-33</v>
      </c>
      <c r="I3693" t="inlineStr">
        <is>
          <t>TrEMBL</t>
        </is>
      </c>
      <c r="J3693" t="inlineStr">
        <is>
          <t>LOC121395697</t>
        </is>
      </c>
      <c r="K3693" t="inlineStr">
        <is>
          <t>A0A8J1LB69_XENLA</t>
        </is>
      </c>
      <c r="L3693" t="inlineStr">
        <is>
          <t>tr|A0A8J1LB69|A0A8J1LB69_XENLA uncharacterized protein LOC121395697 OS=Xenopus laevis OX=8355 GN=LOC121395697 PE=4 SV=1</t>
        </is>
      </c>
      <c r="M3693" t="n">
        <v>325</v>
      </c>
      <c r="N3693" t="inlineStr">
        <is>
          <t>Xenopus laevis</t>
        </is>
      </c>
      <c r="O3693" t="inlineStr">
        <is>
          <t>uncharacterized protein LOC121395697</t>
        </is>
      </c>
    </row>
    <row r="3694">
      <c r="A3694" t="inlineStr"/>
      <c r="B3694" t="inlineStr"/>
      <c r="C3694" t="inlineStr"/>
      <c r="D3694" t="inlineStr"/>
      <c r="E3694">
        <f>HYPERLINK("https://www.ncbi.nlm.nih.gov/gene/?term=XP_041429632.1", "XP_041429632.1")</f>
        <v/>
      </c>
      <c r="F3694" t="n">
        <v>63.2</v>
      </c>
      <c r="G3694" t="n">
        <v>117</v>
      </c>
      <c r="H3694" t="n">
        <v>5.09e-33</v>
      </c>
      <c r="I3694" t="inlineStr">
        <is>
          <t>Nr</t>
        </is>
      </c>
      <c r="J3694" t="inlineStr"/>
      <c r="K3694" t="inlineStr"/>
      <c r="L3694" t="inlineStr">
        <is>
          <t>XP_041429632.1 uncharacterized protein LOC121397238 [Xenopus laevis]</t>
        </is>
      </c>
      <c r="M3694" t="n">
        <v>642</v>
      </c>
      <c r="N3694" t="inlineStr">
        <is>
          <t>Xenopus laevis</t>
        </is>
      </c>
      <c r="O3694" t="inlineStr">
        <is>
          <t>uncharacterized protein LOC121397238</t>
        </is>
      </c>
    </row>
    <row r="3695">
      <c r="A3695" t="inlineStr"/>
      <c r="B3695" t="inlineStr"/>
      <c r="C3695" t="inlineStr"/>
      <c r="D3695" t="inlineStr"/>
      <c r="E3695">
        <f>HYPERLINK("https://www.uniprot.org/uniprotkb/A0A803JM14/entry", "A0A803JM14")</f>
        <v/>
      </c>
      <c r="F3695" t="n">
        <v>59.8</v>
      </c>
      <c r="G3695" t="n">
        <v>117</v>
      </c>
      <c r="H3695" t="n">
        <v>7.610000000000001e-33</v>
      </c>
      <c r="I3695" t="inlineStr">
        <is>
          <t>TrEMBL</t>
        </is>
      </c>
      <c r="J3695" t="inlineStr"/>
      <c r="K3695" t="inlineStr">
        <is>
          <t>A0A803JM14_XENTR</t>
        </is>
      </c>
      <c r="L3695" t="inlineStr">
        <is>
          <t>tr|A0A803JM14|A0A803JM14_XENTR Core-binding (CB) domain-containing protein OS=Xenopus tropicalis OX=8364 PE=4 SV=1</t>
        </is>
      </c>
      <c r="M3695" t="n">
        <v>925</v>
      </c>
      <c r="N3695" t="inlineStr">
        <is>
          <t>Xenopus tropicalis</t>
        </is>
      </c>
      <c r="O3695" t="inlineStr">
        <is>
          <t>Core-binding (CB) domain-containing protein</t>
        </is>
      </c>
    </row>
    <row r="3696">
      <c r="A3696" t="inlineStr"/>
      <c r="B3696" t="inlineStr"/>
      <c r="C3696" t="inlineStr"/>
      <c r="D3696" t="inlineStr"/>
      <c r="E3696">
        <f>HYPERLINK("https://www.ncbi.nlm.nih.gov/gene/?term=XP_041431344.1", "XP_041431344.1")</f>
        <v/>
      </c>
      <c r="F3696" t="n">
        <v>60.7</v>
      </c>
      <c r="G3696" t="n">
        <v>117</v>
      </c>
      <c r="H3696" t="n">
        <v>1.09e-32</v>
      </c>
      <c r="I3696" t="inlineStr">
        <is>
          <t>Nr</t>
        </is>
      </c>
      <c r="J3696" t="inlineStr"/>
      <c r="K3696" t="inlineStr"/>
      <c r="L3696" t="inlineStr">
        <is>
          <t>XP_041431344.1 uncharacterized protein LOC121397804 [Xenopus laevis]</t>
        </is>
      </c>
      <c r="M3696" t="n">
        <v>1421</v>
      </c>
      <c r="N3696" t="inlineStr">
        <is>
          <t>Xenopus laevis</t>
        </is>
      </c>
      <c r="O3696" t="inlineStr">
        <is>
          <t>uncharacterized protein LOC121397804</t>
        </is>
      </c>
    </row>
    <row r="3697">
      <c r="A3697" t="inlineStr"/>
      <c r="B3697" t="inlineStr"/>
      <c r="C3697" t="inlineStr"/>
      <c r="D3697" t="inlineStr"/>
      <c r="E3697">
        <f>HYPERLINK("https://www.ncbi.nlm.nih.gov/gene/?term=XP_041425895.1", "XP_041425895.1")</f>
        <v/>
      </c>
      <c r="F3697" t="n">
        <v>62.6</v>
      </c>
      <c r="G3697" t="n">
        <v>115</v>
      </c>
      <c r="H3697" t="n">
        <v>1.2e-32</v>
      </c>
      <c r="I3697" t="inlineStr">
        <is>
          <t>Nr</t>
        </is>
      </c>
      <c r="J3697" t="inlineStr"/>
      <c r="K3697" t="inlineStr"/>
      <c r="L3697" t="inlineStr">
        <is>
          <t>XP_041425895.1 uncharacterized protein LOC121395697 [Xenopus laevis]</t>
        </is>
      </c>
      <c r="M3697" t="n">
        <v>325</v>
      </c>
      <c r="N3697" t="inlineStr">
        <is>
          <t>Xenopus laevis</t>
        </is>
      </c>
      <c r="O3697" t="inlineStr">
        <is>
          <t>uncharacterized protein LOC121395697</t>
        </is>
      </c>
    </row>
    <row r="3698">
      <c r="A3698" t="inlineStr"/>
      <c r="B3698" t="inlineStr"/>
      <c r="C3698" t="inlineStr"/>
      <c r="D3698" t="inlineStr"/>
      <c r="E3698">
        <f>HYPERLINK("https://www.uniprot.org/uniprotkb/A0A803JVB7/entry", "A0A803JVB7")</f>
        <v/>
      </c>
      <c r="F3698" t="n">
        <v>62.4</v>
      </c>
      <c r="G3698" t="n">
        <v>117</v>
      </c>
      <c r="H3698" t="n">
        <v>1.39e-32</v>
      </c>
      <c r="I3698" t="inlineStr">
        <is>
          <t>TrEMBL</t>
        </is>
      </c>
      <c r="J3698" t="inlineStr"/>
      <c r="K3698" t="inlineStr">
        <is>
          <t>A0A803JVB7_XENTR</t>
        </is>
      </c>
      <c r="L3698" t="inlineStr">
        <is>
          <t>tr|A0A803JVB7|A0A803JVB7_XENTR RING-type domain-containing protein OS=Xenopus tropicalis OX=8364 PE=4 SV=1</t>
        </is>
      </c>
      <c r="M3698" t="n">
        <v>854</v>
      </c>
      <c r="N3698" t="inlineStr">
        <is>
          <t>Xenopus tropicalis</t>
        </is>
      </c>
      <c r="O3698" t="inlineStr">
        <is>
          <t>RING-type domain-containing protein</t>
        </is>
      </c>
    </row>
    <row r="3699">
      <c r="A3699" t="inlineStr"/>
      <c r="B3699" t="inlineStr"/>
      <c r="C3699" t="inlineStr"/>
      <c r="D3699" t="inlineStr"/>
      <c r="E3699">
        <f>HYPERLINK("https://www.uniprot.org/uniprotkb/A0A803JHX3/entry", "A0A803JHX3")</f>
        <v/>
      </c>
      <c r="F3699" t="n">
        <v>58.3</v>
      </c>
      <c r="G3699" t="n">
        <v>115</v>
      </c>
      <c r="H3699" t="n">
        <v>3.49e-32</v>
      </c>
      <c r="I3699" t="inlineStr">
        <is>
          <t>TrEMBL</t>
        </is>
      </c>
      <c r="J3699" t="inlineStr"/>
      <c r="K3699" t="inlineStr">
        <is>
          <t>A0A803JHX3_XENTR</t>
        </is>
      </c>
      <c r="L3699" t="inlineStr">
        <is>
          <t>tr|A0A803JHX3|A0A803JHX3_XENTR Tyr recombinase domain-containing protein OS=Xenopus tropicalis OX=8364 PE=4 SV=1</t>
        </is>
      </c>
      <c r="M3699" t="n">
        <v>643</v>
      </c>
      <c r="N3699" t="inlineStr">
        <is>
          <t>Xenopus tropicalis</t>
        </is>
      </c>
      <c r="O3699" t="inlineStr">
        <is>
          <t>Tyr recombinase domain-containing protein</t>
        </is>
      </c>
    </row>
    <row r="3700">
      <c r="A3700" t="inlineStr"/>
      <c r="B3700" t="inlineStr"/>
      <c r="C3700" t="inlineStr"/>
      <c r="D3700" t="inlineStr"/>
      <c r="E3700">
        <f>HYPERLINK("https://www.ncbi.nlm.nih.gov/gene/?term=KAE8579987.1", "KAE8579987.1")</f>
        <v/>
      </c>
      <c r="F3700" t="n">
        <v>64.3</v>
      </c>
      <c r="G3700" t="n">
        <v>115</v>
      </c>
      <c r="H3700" t="n">
        <v>4.750000000000001e-32</v>
      </c>
      <c r="I3700" t="inlineStr">
        <is>
          <t>Nr</t>
        </is>
      </c>
      <c r="J3700" t="inlineStr"/>
      <c r="K3700" t="inlineStr"/>
      <c r="L3700" t="inlineStr">
        <is>
          <t>KAE8579987.1 hypothetical protein XENTR_v10024262 [Xenopus tropicalis]</t>
        </is>
      </c>
      <c r="M3700" t="n">
        <v>797</v>
      </c>
      <c r="N3700" t="inlineStr">
        <is>
          <t>Xenopus tropicalis</t>
        </is>
      </c>
      <c r="O3700" t="inlineStr">
        <is>
          <t>hypothetical protein XENTR_v10024262</t>
        </is>
      </c>
    </row>
    <row r="3701">
      <c r="A3701" t="inlineStr"/>
      <c r="B3701" t="inlineStr"/>
      <c r="C3701" t="inlineStr"/>
      <c r="D3701" t="inlineStr"/>
      <c r="E3701">
        <f>HYPERLINK("https://www.uniprot.org/uniprotkb/A0A803JZG3/entry", "A0A803JZG3")</f>
        <v/>
      </c>
      <c r="F3701" t="n">
        <v>59.5</v>
      </c>
      <c r="G3701" t="n">
        <v>116</v>
      </c>
      <c r="H3701" t="n">
        <v>6.580000000000001e-32</v>
      </c>
      <c r="I3701" t="inlineStr">
        <is>
          <t>TrEMBL</t>
        </is>
      </c>
      <c r="J3701" t="inlineStr"/>
      <c r="K3701" t="inlineStr">
        <is>
          <t>A0A803JZG3_XENTR</t>
        </is>
      </c>
      <c r="L3701" t="inlineStr">
        <is>
          <t>tr|A0A803JZG3|A0A803JZG3_XENTR Tyr recombinase domain-containing protein OS=Xenopus tropicalis OX=8364 PE=4 SV=1</t>
        </is>
      </c>
      <c r="M3701" t="n">
        <v>854</v>
      </c>
      <c r="N3701" t="inlineStr">
        <is>
          <t>Xenopus tropicalis</t>
        </is>
      </c>
      <c r="O3701" t="inlineStr">
        <is>
          <t>Tyr recombinase domain-containing protein</t>
        </is>
      </c>
    </row>
    <row r="3702">
      <c r="A3702" t="inlineStr"/>
      <c r="B3702" t="inlineStr"/>
      <c r="C3702" t="inlineStr"/>
      <c r="D3702" t="inlineStr"/>
      <c r="E3702">
        <f>HYPERLINK("https://www.uniprot.org/uniprotkb/A0A6I8SDM4/entry", "A0A6I8SDM4")</f>
        <v/>
      </c>
      <c r="F3702" t="n">
        <v>55.6</v>
      </c>
      <c r="G3702" t="n">
        <v>126</v>
      </c>
      <c r="H3702" t="n">
        <v>6.69e-32</v>
      </c>
      <c r="I3702" t="inlineStr">
        <is>
          <t>TrEMBL</t>
        </is>
      </c>
      <c r="J3702" t="inlineStr"/>
      <c r="K3702" t="inlineStr">
        <is>
          <t>A0A6I8SDM4_XENTR</t>
        </is>
      </c>
      <c r="L3702" t="inlineStr">
        <is>
          <t>tr|A0A6I8SDM4|A0A6I8SDM4_XENTR Core-binding (CB) domain-containing protein OS=Xenopus tropicalis OX=8364 PE=4 SV=2</t>
        </is>
      </c>
      <c r="M3702" t="n">
        <v>949</v>
      </c>
      <c r="N3702" t="inlineStr">
        <is>
          <t>Xenopus tropicalis</t>
        </is>
      </c>
      <c r="O3702" t="inlineStr">
        <is>
          <t>Core-binding (CB) domain-containing protein</t>
        </is>
      </c>
    </row>
    <row r="3703">
      <c r="A3703" t="inlineStr"/>
      <c r="B3703" t="inlineStr"/>
      <c r="C3703" t="inlineStr"/>
      <c r="D3703" t="inlineStr"/>
      <c r="E3703">
        <f>HYPERLINK("https://www.uniprot.org/uniprotkb/A0A1B8XUR9/entry", "A0A1B8XUR9")</f>
        <v/>
      </c>
      <c r="F3703" t="n">
        <v>55.6</v>
      </c>
      <c r="G3703" t="n">
        <v>126</v>
      </c>
      <c r="H3703" t="n">
        <v>6.82e-32</v>
      </c>
      <c r="I3703" t="inlineStr">
        <is>
          <t>TrEMBL</t>
        </is>
      </c>
      <c r="J3703" t="inlineStr">
        <is>
          <t>XENTR_v90026850mg</t>
        </is>
      </c>
      <c r="K3703" t="inlineStr">
        <is>
          <t>A0A1B8XUR9_XENTR</t>
        </is>
      </c>
      <c r="L3703" t="inlineStr">
        <is>
          <t>tr|A0A1B8XUR9|A0A1B8XUR9_XENTR LAP2alpha domain-containing protein OS=Xenopus tropicalis OX=8364 GN=XENTR_v90026850mg PE=4 SV=1</t>
        </is>
      </c>
      <c r="M3703" t="n">
        <v>1182</v>
      </c>
      <c r="N3703" t="inlineStr">
        <is>
          <t>Xenopus tropicalis</t>
        </is>
      </c>
      <c r="O3703" t="inlineStr">
        <is>
          <t>LAP2alpha domain-containing protein</t>
        </is>
      </c>
    </row>
    <row r="3704">
      <c r="A3704" t="inlineStr"/>
      <c r="B3704" t="inlineStr"/>
      <c r="C3704" t="inlineStr"/>
      <c r="D3704" t="inlineStr"/>
      <c r="E3704">
        <f>HYPERLINK("https://www.uniprot.org/uniprotkb/A0A803J2D4/entry", "A0A803J2D4")</f>
        <v/>
      </c>
      <c r="F3704" t="n">
        <v>62.9</v>
      </c>
      <c r="G3704" t="n">
        <v>116</v>
      </c>
      <c r="H3704" t="n">
        <v>9.13e-32</v>
      </c>
      <c r="I3704" t="inlineStr">
        <is>
          <t>TrEMBL</t>
        </is>
      </c>
      <c r="J3704" t="inlineStr"/>
      <c r="K3704" t="inlineStr">
        <is>
          <t>A0A803J2D4_XENTR</t>
        </is>
      </c>
      <c r="L3704" t="inlineStr">
        <is>
          <t>tr|A0A803J2D4|A0A803J2D4_XENTR Core-binding (CB) domain-containing protein OS=Xenopus tropicalis OX=8364 PE=4 SV=1</t>
        </is>
      </c>
      <c r="M3704" t="n">
        <v>951</v>
      </c>
      <c r="N3704" t="inlineStr">
        <is>
          <t>Xenopus tropicalis</t>
        </is>
      </c>
      <c r="O3704" t="inlineStr">
        <is>
          <t>Core-binding (CB) domain-containing protein</t>
        </is>
      </c>
    </row>
    <row r="3705">
      <c r="A3705" t="inlineStr"/>
      <c r="B3705" t="inlineStr"/>
      <c r="C3705" t="inlineStr"/>
      <c r="D3705" t="inlineStr"/>
      <c r="E3705">
        <f>HYPERLINK("https://www.uniprot.org/uniprotkb/A0A8J1L8U5/entry", "A0A8J1L8U5")</f>
        <v/>
      </c>
      <c r="F3705" t="n">
        <v>61.7</v>
      </c>
      <c r="G3705" t="n">
        <v>115</v>
      </c>
      <c r="H3705" t="n">
        <v>1.69e-31</v>
      </c>
      <c r="I3705" t="inlineStr">
        <is>
          <t>TrEMBL</t>
        </is>
      </c>
      <c r="J3705" t="inlineStr">
        <is>
          <t>LOC121395599</t>
        </is>
      </c>
      <c r="K3705" t="inlineStr">
        <is>
          <t>A0A8J1L8U5_XENLA</t>
        </is>
      </c>
      <c r="L3705" t="inlineStr">
        <is>
          <t>tr|A0A8J1L8U5|A0A8J1L8U5_XENLA ribonuclease H OS=Xenopus laevis OX=8355 GN=LOC121395599 PE=3 SV=1</t>
        </is>
      </c>
      <c r="M3705" t="n">
        <v>910</v>
      </c>
      <c r="N3705" t="inlineStr">
        <is>
          <t>Xenopus laevis</t>
        </is>
      </c>
      <c r="O3705" t="inlineStr">
        <is>
          <t>ribonuclease H</t>
        </is>
      </c>
    </row>
    <row r="3706">
      <c r="A3706" t="inlineStr"/>
      <c r="B3706" t="inlineStr"/>
      <c r="C3706" t="inlineStr"/>
      <c r="D3706" t="inlineStr"/>
      <c r="E3706">
        <f>HYPERLINK("https://www.uniprot.org/uniprotkb/A0A803JRM4/entry", "A0A803JRM4")</f>
        <v/>
      </c>
      <c r="F3706" t="n">
        <v>54.8</v>
      </c>
      <c r="G3706" t="n">
        <v>126</v>
      </c>
      <c r="H3706" t="n">
        <v>3.15e-31</v>
      </c>
      <c r="I3706" t="inlineStr">
        <is>
          <t>TrEMBL</t>
        </is>
      </c>
      <c r="J3706" t="inlineStr"/>
      <c r="K3706" t="inlineStr">
        <is>
          <t>A0A803JRM4_XENTR</t>
        </is>
      </c>
      <c r="L3706" t="inlineStr">
        <is>
          <t>tr|A0A803JRM4|A0A803JRM4_XENTR Core-binding (CB) domain-containing protein OS=Xenopus tropicalis OX=8364 PE=4 SV=1</t>
        </is>
      </c>
      <c r="M3706" t="n">
        <v>945</v>
      </c>
      <c r="N3706" t="inlineStr">
        <is>
          <t>Xenopus tropicalis</t>
        </is>
      </c>
      <c r="O3706" t="inlineStr">
        <is>
          <t>Core-binding (CB) domain-containing protein</t>
        </is>
      </c>
    </row>
    <row r="3707">
      <c r="A3707" t="inlineStr"/>
      <c r="B3707" t="inlineStr"/>
      <c r="C3707" t="inlineStr"/>
      <c r="D3707" t="inlineStr"/>
      <c r="E3707">
        <f>HYPERLINK("https://www.uniprot.org/uniprotkb/A0A8J1LT71/entry", "A0A8J1LT71")</f>
        <v/>
      </c>
      <c r="F3707" t="n">
        <v>60.9</v>
      </c>
      <c r="G3707" t="n">
        <v>115</v>
      </c>
      <c r="H3707" t="n">
        <v>3.15e-31</v>
      </c>
      <c r="I3707" t="inlineStr">
        <is>
          <t>TrEMBL</t>
        </is>
      </c>
      <c r="J3707" t="inlineStr">
        <is>
          <t>LOC121398141</t>
        </is>
      </c>
      <c r="K3707" t="inlineStr">
        <is>
          <t>A0A8J1LT71_XENLA</t>
        </is>
      </c>
      <c r="L3707" t="inlineStr">
        <is>
          <t>tr|A0A8J1LT71|A0A8J1LT71_XENLA uncharacterized protein LOC121398141 OS=Xenopus laevis OX=8355 GN=LOC121398141 PE=4 SV=1</t>
        </is>
      </c>
      <c r="M3707" t="n">
        <v>948</v>
      </c>
      <c r="N3707" t="inlineStr">
        <is>
          <t>Xenopus laevis</t>
        </is>
      </c>
      <c r="O3707" t="inlineStr">
        <is>
          <t>uncharacterized protein LOC121398141</t>
        </is>
      </c>
    </row>
    <row r="3708">
      <c r="A3708" t="inlineStr"/>
      <c r="B3708" t="inlineStr"/>
      <c r="C3708" t="inlineStr"/>
      <c r="D3708" t="inlineStr"/>
      <c r="E3708">
        <f>HYPERLINK("https://www.uniprot.org/uniprotkb/A0A8J1KY38/entry", "A0A8J1KY38")</f>
        <v/>
      </c>
      <c r="F3708" t="n">
        <v>61.7</v>
      </c>
      <c r="G3708" t="n">
        <v>115</v>
      </c>
      <c r="H3708" t="n">
        <v>4.3e-31</v>
      </c>
      <c r="I3708" t="inlineStr">
        <is>
          <t>TrEMBL</t>
        </is>
      </c>
      <c r="J3708" t="inlineStr">
        <is>
          <t>LOC121394688</t>
        </is>
      </c>
      <c r="K3708" t="inlineStr">
        <is>
          <t>A0A8J1KY38_XENLA</t>
        </is>
      </c>
      <c r="L3708" t="inlineStr">
        <is>
          <t>tr|A0A8J1KY38|A0A8J1KY38_XENLA uncharacterized protein LOC121394688 isoform X1 OS=Xenopus laevis OX=8355 GN=LOC121394688 PE=4 SV=1</t>
        </is>
      </c>
      <c r="M3708" t="n">
        <v>948</v>
      </c>
      <c r="N3708" t="inlineStr">
        <is>
          <t>Xenopus laevis</t>
        </is>
      </c>
      <c r="O3708" t="inlineStr">
        <is>
          <t>uncharacterized protein LOC121394688 isoform X1</t>
        </is>
      </c>
    </row>
    <row r="3709">
      <c r="A3709" t="inlineStr"/>
      <c r="B3709" t="inlineStr"/>
      <c r="C3709" t="inlineStr"/>
      <c r="D3709" t="inlineStr"/>
      <c r="E3709">
        <f>HYPERLINK("https://www.ncbi.nlm.nih.gov/gene/?term=XP_041425389.1", "XP_041425389.1")</f>
        <v/>
      </c>
      <c r="F3709" t="n">
        <v>61.7</v>
      </c>
      <c r="G3709" t="n">
        <v>115</v>
      </c>
      <c r="H3709" t="n">
        <v>4.34e-31</v>
      </c>
      <c r="I3709" t="inlineStr">
        <is>
          <t>Nr</t>
        </is>
      </c>
      <c r="J3709" t="inlineStr"/>
      <c r="K3709" t="inlineStr"/>
      <c r="L3709" t="inlineStr">
        <is>
          <t>XP_041425389.1 uncharacterized protein LOC121395599 [Xenopus laevis]</t>
        </is>
      </c>
      <c r="M3709" t="n">
        <v>910</v>
      </c>
      <c r="N3709" t="inlineStr">
        <is>
          <t>Xenopus laevis</t>
        </is>
      </c>
      <c r="O3709" t="inlineStr">
        <is>
          <t>uncharacterized protein LOC121395599</t>
        </is>
      </c>
    </row>
    <row r="3710">
      <c r="A3710" t="inlineStr"/>
      <c r="B3710" t="inlineStr"/>
      <c r="C3710" t="inlineStr"/>
      <c r="D3710" t="inlineStr"/>
      <c r="E3710">
        <f>HYPERLINK("https://www.uniprot.org/uniprotkb/A0A8J1MXN8/entry", "A0A8J1MXN8")</f>
        <v/>
      </c>
      <c r="F3710" t="n">
        <v>60</v>
      </c>
      <c r="G3710" t="n">
        <v>115</v>
      </c>
      <c r="H3710" t="n">
        <v>5.5e-31</v>
      </c>
      <c r="I3710" t="inlineStr">
        <is>
          <t>TrEMBL</t>
        </is>
      </c>
      <c r="J3710" t="inlineStr">
        <is>
          <t>LOC121403002</t>
        </is>
      </c>
      <c r="K3710" t="inlineStr">
        <is>
          <t>A0A8J1MXN8_XENLA</t>
        </is>
      </c>
      <c r="L3710" t="inlineStr">
        <is>
          <t>tr|A0A8J1MXN8|A0A8J1MXN8_XENLA uncharacterized protein LOC121403002 OS=Xenopus laevis OX=8355 GN=LOC121403002 PE=4 SV=1</t>
        </is>
      </c>
      <c r="M3710" t="n">
        <v>325</v>
      </c>
      <c r="N3710" t="inlineStr">
        <is>
          <t>Xenopus laevis</t>
        </is>
      </c>
      <c r="O3710" t="inlineStr">
        <is>
          <t>uncharacterized protein LOC121403002</t>
        </is>
      </c>
    </row>
    <row r="3711">
      <c r="A3711" t="inlineStr"/>
      <c r="B3711" t="inlineStr"/>
      <c r="C3711" t="inlineStr"/>
      <c r="D3711" t="inlineStr"/>
      <c r="E3711">
        <f>HYPERLINK("https://www.ncbi.nlm.nih.gov/gene/?term=XP_041432732.1", "XP_041432732.1")</f>
        <v/>
      </c>
      <c r="F3711" t="n">
        <v>60.9</v>
      </c>
      <c r="G3711" t="n">
        <v>115</v>
      </c>
      <c r="H3711" t="n">
        <v>8.1e-31</v>
      </c>
      <c r="I3711" t="inlineStr">
        <is>
          <t>Nr</t>
        </is>
      </c>
      <c r="J3711" t="inlineStr"/>
      <c r="K3711" t="inlineStr"/>
      <c r="L3711" t="inlineStr">
        <is>
          <t>XP_041432732.1 uncharacterized protein LOC121398141 [Xenopus laevis]</t>
        </is>
      </c>
      <c r="M3711" t="n">
        <v>948</v>
      </c>
      <c r="N3711" t="inlineStr">
        <is>
          <t>Xenopus laevis</t>
        </is>
      </c>
      <c r="O3711" t="inlineStr">
        <is>
          <t>uncharacterized protein LOC121398141</t>
        </is>
      </c>
    </row>
    <row r="3712">
      <c r="A3712" t="inlineStr"/>
      <c r="B3712" t="inlineStr"/>
      <c r="C3712" t="inlineStr"/>
      <c r="D3712" t="inlineStr"/>
      <c r="E3712">
        <f>HYPERLINK("https://www.uniprot.org/uniprotkb/A0A803K4V5/entry", "A0A803K4V5")</f>
        <v/>
      </c>
      <c r="F3712" t="n">
        <v>59</v>
      </c>
      <c r="G3712" t="n">
        <v>117</v>
      </c>
      <c r="H3712" t="n">
        <v>8.880000000000001e-31</v>
      </c>
      <c r="I3712" t="inlineStr">
        <is>
          <t>TrEMBL</t>
        </is>
      </c>
      <c r="J3712" t="inlineStr"/>
      <c r="K3712" t="inlineStr">
        <is>
          <t>A0A803K4V5_XENTR</t>
        </is>
      </c>
      <c r="L3712" t="inlineStr">
        <is>
          <t>tr|A0A803K4V5|A0A803K4V5_XENTR Tyr recombinase domain-containing protein OS=Xenopus tropicalis OX=8364 PE=4 SV=1</t>
        </is>
      </c>
      <c r="M3712" t="n">
        <v>585</v>
      </c>
      <c r="N3712" t="inlineStr">
        <is>
          <t>Xenopus tropicalis</t>
        </is>
      </c>
      <c r="O3712" t="inlineStr">
        <is>
          <t>Tyr recombinase domain-containing protein</t>
        </is>
      </c>
    </row>
    <row r="3713">
      <c r="A3713" t="inlineStr"/>
      <c r="B3713" t="inlineStr"/>
      <c r="C3713" t="inlineStr"/>
      <c r="D3713" t="inlineStr"/>
      <c r="E3713">
        <f>HYPERLINK("https://www.ncbi.nlm.nih.gov/gene/?term=XP_041422215.1", "XP_041422215.1")</f>
        <v/>
      </c>
      <c r="F3713" t="n">
        <v>61.7</v>
      </c>
      <c r="G3713" t="n">
        <v>115</v>
      </c>
      <c r="H3713" t="n">
        <v>1.1e-30</v>
      </c>
      <c r="I3713" t="inlineStr">
        <is>
          <t>Nr</t>
        </is>
      </c>
      <c r="J3713" t="inlineStr"/>
      <c r="K3713" t="inlineStr"/>
      <c r="L3713" t="inlineStr">
        <is>
          <t>XP_041422215.1 uncharacterized protein LOC121394688 isoform X1 [Xenopus laevis]</t>
        </is>
      </c>
      <c r="M3713" t="n">
        <v>948</v>
      </c>
      <c r="N3713" t="inlineStr">
        <is>
          <t>Xenopus laevis</t>
        </is>
      </c>
      <c r="O3713" t="inlineStr">
        <is>
          <t>uncharacterized protein LOC121394688 isoform X1</t>
        </is>
      </c>
    </row>
    <row r="3714">
      <c r="A3714" t="inlineStr"/>
      <c r="B3714" t="inlineStr"/>
      <c r="C3714" t="inlineStr"/>
      <c r="D3714" t="inlineStr"/>
      <c r="E3714">
        <f>HYPERLINK("https://www.uniprot.org/uniprotkb/A0A8J1L692/entry", "A0A8J1L692")</f>
        <v/>
      </c>
      <c r="F3714" t="n">
        <v>55.5</v>
      </c>
      <c r="G3714" t="n">
        <v>128</v>
      </c>
      <c r="H3714" t="n">
        <v>1.11e-30</v>
      </c>
      <c r="I3714" t="inlineStr">
        <is>
          <t>TrEMBL</t>
        </is>
      </c>
      <c r="J3714" t="inlineStr">
        <is>
          <t>LOC121395521</t>
        </is>
      </c>
      <c r="K3714" t="inlineStr">
        <is>
          <t>A0A8J1L692_XENLA</t>
        </is>
      </c>
      <c r="L3714" t="inlineStr">
        <is>
          <t>tr|A0A8J1L692|A0A8J1L692_XENLA uncharacterized protein LOC121395521 OS=Xenopus laevis OX=8355 GN=LOC121395521 PE=4 SV=1</t>
        </is>
      </c>
      <c r="M3714" t="n">
        <v>430</v>
      </c>
      <c r="N3714" t="inlineStr">
        <is>
          <t>Xenopus laevis</t>
        </is>
      </c>
      <c r="O3714" t="inlineStr">
        <is>
          <t>uncharacterized protein LOC121395521</t>
        </is>
      </c>
    </row>
    <row r="3715">
      <c r="A3715" t="inlineStr"/>
      <c r="B3715" t="inlineStr"/>
      <c r="C3715" t="inlineStr"/>
      <c r="D3715" t="inlineStr"/>
      <c r="E3715">
        <f>HYPERLINK("https://www.uniprot.org/uniprotkb/A0A803JUY8/entry", "A0A803JUY8")</f>
        <v/>
      </c>
      <c r="F3715" t="n">
        <v>55.2</v>
      </c>
      <c r="G3715" t="n">
        <v>116</v>
      </c>
      <c r="H3715" t="n">
        <v>1.27e-30</v>
      </c>
      <c r="I3715" t="inlineStr">
        <is>
          <t>TrEMBL</t>
        </is>
      </c>
      <c r="J3715" t="inlineStr"/>
      <c r="K3715" t="inlineStr">
        <is>
          <t>A0A803JUY8_XENTR</t>
        </is>
      </c>
      <c r="L3715" t="inlineStr">
        <is>
          <t>tr|A0A803JUY8|A0A803JUY8_XENTR Tyr recombinase domain-containing protein OS=Xenopus tropicalis OX=8364 PE=4 SV=1</t>
        </is>
      </c>
      <c r="M3715" t="n">
        <v>540</v>
      </c>
      <c r="N3715" t="inlineStr">
        <is>
          <t>Xenopus tropicalis</t>
        </is>
      </c>
      <c r="O3715" t="inlineStr">
        <is>
          <t>Tyr recombinase domain-containing protein</t>
        </is>
      </c>
    </row>
    <row r="3716">
      <c r="A3716" t="inlineStr"/>
      <c r="B3716" t="inlineStr"/>
      <c r="C3716" t="inlineStr"/>
      <c r="D3716" t="inlineStr"/>
      <c r="E3716">
        <f>HYPERLINK("https://www.ncbi.nlm.nih.gov/gene/?term=XP_041446068.1", "XP_041446068.1")</f>
        <v/>
      </c>
      <c r="F3716" t="n">
        <v>60</v>
      </c>
      <c r="G3716" t="n">
        <v>115</v>
      </c>
      <c r="H3716" t="n">
        <v>1.41e-30</v>
      </c>
      <c r="I3716" t="inlineStr">
        <is>
          <t>Nr</t>
        </is>
      </c>
      <c r="J3716" t="inlineStr"/>
      <c r="K3716" t="inlineStr"/>
      <c r="L3716" t="inlineStr">
        <is>
          <t>XP_041446068.1 uncharacterized protein LOC121403002 [Xenopus laevis]</t>
        </is>
      </c>
      <c r="M3716" t="n">
        <v>325</v>
      </c>
      <c r="N3716" t="inlineStr">
        <is>
          <t>Xenopus laevis</t>
        </is>
      </c>
      <c r="O3716" t="inlineStr">
        <is>
          <t>uncharacterized protein LOC121403002</t>
        </is>
      </c>
    </row>
    <row r="3717">
      <c r="A3717" t="inlineStr"/>
      <c r="B3717" t="inlineStr"/>
      <c r="C3717" t="inlineStr"/>
      <c r="D3717" t="inlineStr"/>
      <c r="E3717">
        <f>HYPERLINK("https://www.uniprot.org/uniprotkb/A0A803JH33/entry", "A0A803JH33")</f>
        <v/>
      </c>
      <c r="F3717" t="n">
        <v>59</v>
      </c>
      <c r="G3717" t="n">
        <v>117</v>
      </c>
      <c r="H3717" t="n">
        <v>1.48e-30</v>
      </c>
      <c r="I3717" t="inlineStr">
        <is>
          <t>TrEMBL</t>
        </is>
      </c>
      <c r="J3717" t="inlineStr"/>
      <c r="K3717" t="inlineStr">
        <is>
          <t>A0A803JH33_XENTR</t>
        </is>
      </c>
      <c r="L3717" t="inlineStr">
        <is>
          <t>tr|A0A803JH33|A0A803JH33_XENTR Tyr recombinase domain-containing protein OS=Xenopus tropicalis OX=8364 PE=4 SV=1</t>
        </is>
      </c>
      <c r="M3717" t="n">
        <v>938</v>
      </c>
      <c r="N3717" t="inlineStr">
        <is>
          <t>Xenopus tropicalis</t>
        </is>
      </c>
      <c r="O3717" t="inlineStr">
        <is>
          <t>Tyr recombinase domain-containing protein</t>
        </is>
      </c>
    </row>
    <row r="3718">
      <c r="A3718" t="inlineStr"/>
      <c r="B3718" t="inlineStr"/>
      <c r="C3718" t="inlineStr"/>
      <c r="D3718" t="inlineStr"/>
      <c r="E3718">
        <f>HYPERLINK("https://www.uniprot.org/uniprotkb/A0A8J6F205/entry", "A0A8J6F205")</f>
        <v/>
      </c>
      <c r="F3718" t="n">
        <v>73.7</v>
      </c>
      <c r="G3718" t="n">
        <v>76</v>
      </c>
      <c r="H3718" t="n">
        <v>1.69e-30</v>
      </c>
      <c r="I3718" t="inlineStr">
        <is>
          <t>TrEMBL</t>
        </is>
      </c>
      <c r="J3718" t="inlineStr">
        <is>
          <t>GDO78_012511</t>
        </is>
      </c>
      <c r="K3718" t="inlineStr">
        <is>
          <t>A0A8J6F205_ELECQ</t>
        </is>
      </c>
      <c r="L3718" t="inlineStr">
        <is>
          <t>tr|A0A8J6F205|A0A8J6F205_ELECQ Centrosome and spindle pole associated protein 1 OS=Eleutherodactylus coqui OX=57060 GN=GDO78_012511 PE=4 SV=1</t>
        </is>
      </c>
      <c r="M3718" t="n">
        <v>885</v>
      </c>
      <c r="N3718" t="inlineStr">
        <is>
          <t>Eleutherodactylus coqui</t>
        </is>
      </c>
      <c r="O3718" t="inlineStr">
        <is>
          <t>Centrosome and spindle pole associated protein 1</t>
        </is>
      </c>
    </row>
    <row r="3719">
      <c r="A3719" t="inlineStr"/>
      <c r="B3719" t="inlineStr"/>
      <c r="C3719" t="inlineStr"/>
      <c r="D3719" t="inlineStr"/>
      <c r="E3719">
        <f>HYPERLINK("https://www.uniprot.org/uniprotkb/A0A8J6F1J1/entry", "A0A8J6F1J1")</f>
        <v/>
      </c>
      <c r="F3719" t="n">
        <v>73.7</v>
      </c>
      <c r="G3719" t="n">
        <v>76</v>
      </c>
      <c r="H3719" t="n">
        <v>1.72e-30</v>
      </c>
      <c r="I3719" t="inlineStr">
        <is>
          <t>TrEMBL</t>
        </is>
      </c>
      <c r="J3719" t="inlineStr">
        <is>
          <t>GDO78_012511</t>
        </is>
      </c>
      <c r="K3719" t="inlineStr">
        <is>
          <t>A0A8J6F1J1_ELECQ</t>
        </is>
      </c>
      <c r="L3719" t="inlineStr">
        <is>
          <t>tr|A0A8J6F1J1|A0A8J6F1J1_ELECQ Centrosome and spindle pole-associated protein 1 OS=Eleutherodactylus coqui OX=57060 GN=GDO78_012511 PE=4 SV=1</t>
        </is>
      </c>
      <c r="M3719" t="n">
        <v>1097</v>
      </c>
      <c r="N3719" t="inlineStr">
        <is>
          <t>Eleutherodactylus coqui</t>
        </is>
      </c>
      <c r="O3719" t="inlineStr">
        <is>
          <t>Centrosome and spindle pole-associated protein 1</t>
        </is>
      </c>
    </row>
    <row r="3720">
      <c r="A3720" t="inlineStr"/>
      <c r="B3720" t="inlineStr"/>
      <c r="C3720" t="inlineStr"/>
      <c r="D3720" t="inlineStr"/>
      <c r="E3720">
        <f>HYPERLINK("https://www.uniprot.org/uniprotkb/A0A8J6EZ88/entry", "A0A8J6EZ88")</f>
        <v/>
      </c>
      <c r="F3720" t="n">
        <v>73.7</v>
      </c>
      <c r="G3720" t="n">
        <v>76</v>
      </c>
      <c r="H3720" t="n">
        <v>1.73e-30</v>
      </c>
      <c r="I3720" t="inlineStr">
        <is>
          <t>TrEMBL</t>
        </is>
      </c>
      <c r="J3720" t="inlineStr">
        <is>
          <t>GDO78_012511</t>
        </is>
      </c>
      <c r="K3720" t="inlineStr">
        <is>
          <t>A0A8J6EZ88_ELECQ</t>
        </is>
      </c>
      <c r="L3720" t="inlineStr">
        <is>
          <t>tr|A0A8J6EZ88|A0A8J6EZ88_ELECQ Centrosome and spindle pole-associated protein 1 OS=Eleutherodactylus coqui OX=57060 GN=GDO78_012511 PE=4 SV=1</t>
        </is>
      </c>
      <c r="M3720" t="n">
        <v>1252</v>
      </c>
      <c r="N3720" t="inlineStr">
        <is>
          <t>Eleutherodactylus coqui</t>
        </is>
      </c>
      <c r="O3720" t="inlineStr">
        <is>
          <t>Centrosome and spindle pole-associated protein 1</t>
        </is>
      </c>
    </row>
    <row r="3721">
      <c r="A3721" t="inlineStr"/>
      <c r="B3721" t="inlineStr"/>
      <c r="C3721" t="inlineStr"/>
      <c r="D3721" t="inlineStr"/>
      <c r="E3721">
        <f>HYPERLINK("https://www.uniprot.org/uniprotkb/A0A8J6K412/entry", "A0A8J6K412")</f>
        <v/>
      </c>
      <c r="F3721" t="n">
        <v>73.7</v>
      </c>
      <c r="G3721" t="n">
        <v>76</v>
      </c>
      <c r="H3721" t="n">
        <v>1.73e-30</v>
      </c>
      <c r="I3721" t="inlineStr">
        <is>
          <t>TrEMBL</t>
        </is>
      </c>
      <c r="J3721" t="inlineStr">
        <is>
          <t>GDO78_012511</t>
        </is>
      </c>
      <c r="K3721" t="inlineStr">
        <is>
          <t>A0A8J6K412_ELECQ</t>
        </is>
      </c>
      <c r="L3721" t="inlineStr">
        <is>
          <t>tr|A0A8J6K412|A0A8J6K412_ELECQ Centrosome and spindle pole-associated protein 1 OS=Eleutherodactylus coqui OX=57060 GN=GDO78_012511 PE=4 SV=1</t>
        </is>
      </c>
      <c r="M3721" t="n">
        <v>1260</v>
      </c>
      <c r="N3721" t="inlineStr">
        <is>
          <t>Eleutherodactylus coqui</t>
        </is>
      </c>
      <c r="O3721" t="inlineStr">
        <is>
          <t>Centrosome and spindle pole-associated protein 1</t>
        </is>
      </c>
    </row>
    <row r="3722">
      <c r="A3722" t="inlineStr"/>
      <c r="B3722" t="inlineStr"/>
      <c r="C3722" t="inlineStr"/>
      <c r="D3722" t="inlineStr"/>
      <c r="E3722">
        <f>HYPERLINK("https://www.uniprot.org/uniprotkb/A0A803J3K6/entry", "A0A803J3K6")</f>
        <v/>
      </c>
      <c r="F3722" t="n">
        <v>59.1</v>
      </c>
      <c r="G3722" t="n">
        <v>115</v>
      </c>
      <c r="H3722" t="n">
        <v>2.75e-30</v>
      </c>
      <c r="I3722" t="inlineStr">
        <is>
          <t>TrEMBL</t>
        </is>
      </c>
      <c r="J3722" t="inlineStr"/>
      <c r="K3722" t="inlineStr">
        <is>
          <t>A0A803J3K6_XENTR</t>
        </is>
      </c>
      <c r="L3722" t="inlineStr">
        <is>
          <t>tr|A0A803J3K6|A0A803J3K6_XENTR Reverse transcriptase domain-containing protein OS=Xenopus tropicalis OX=8364 PE=4 SV=1</t>
        </is>
      </c>
      <c r="M3722" t="n">
        <v>895</v>
      </c>
      <c r="N3722" t="inlineStr">
        <is>
          <t>Xenopus tropicalis</t>
        </is>
      </c>
      <c r="O3722" t="inlineStr">
        <is>
          <t>Reverse transcriptase domain-containing protein</t>
        </is>
      </c>
    </row>
    <row r="3723">
      <c r="A3723" t="inlineStr"/>
      <c r="B3723" t="inlineStr"/>
      <c r="C3723" t="inlineStr"/>
      <c r="D3723" t="inlineStr"/>
      <c r="E3723">
        <f>HYPERLINK("https://www.ncbi.nlm.nih.gov/gene/?term=XP_041425048.1", "XP_041425048.1")</f>
        <v/>
      </c>
      <c r="F3723" t="n">
        <v>55.5</v>
      </c>
      <c r="G3723" t="n">
        <v>128</v>
      </c>
      <c r="H3723" t="n">
        <v>2.85e-30</v>
      </c>
      <c r="I3723" t="inlineStr">
        <is>
          <t>Nr</t>
        </is>
      </c>
      <c r="J3723" t="inlineStr"/>
      <c r="K3723" t="inlineStr"/>
      <c r="L3723" t="inlineStr">
        <is>
          <t>XP_041425048.1 uncharacterized protein LOC121395521 [Xenopus laevis]</t>
        </is>
      </c>
      <c r="M3723" t="n">
        <v>430</v>
      </c>
      <c r="N3723" t="inlineStr">
        <is>
          <t>Xenopus laevis</t>
        </is>
      </c>
      <c r="O3723" t="inlineStr">
        <is>
          <t>uncharacterized protein LOC121395521</t>
        </is>
      </c>
    </row>
    <row r="3724">
      <c r="A3724" t="inlineStr"/>
      <c r="B3724" t="inlineStr"/>
      <c r="C3724" t="inlineStr"/>
      <c r="D3724" t="inlineStr"/>
      <c r="E3724">
        <f>HYPERLINK("https://www.uniprot.org/uniprotkb/A0A8J1KI61/entry", "A0A8J1KI61")</f>
        <v/>
      </c>
      <c r="F3724" t="n">
        <v>57.3</v>
      </c>
      <c r="G3724" t="n">
        <v>124</v>
      </c>
      <c r="H3724" t="n">
        <v>3.11e-30</v>
      </c>
      <c r="I3724" t="inlineStr">
        <is>
          <t>TrEMBL</t>
        </is>
      </c>
      <c r="J3724" t="inlineStr">
        <is>
          <t>LOC121393209</t>
        </is>
      </c>
      <c r="K3724" t="inlineStr">
        <is>
          <t>A0A8J1KI61_XENLA</t>
        </is>
      </c>
      <c r="L3724" t="inlineStr">
        <is>
          <t>tr|A0A8J1KI61|A0A8J1KI61_XENLA uncharacterized protein LOC121393209 OS=Xenopus laevis OX=8355 GN=LOC121393209 PE=4 SV=1</t>
        </is>
      </c>
      <c r="M3724" t="n">
        <v>580</v>
      </c>
      <c r="N3724" t="inlineStr">
        <is>
          <t>Xenopus laevis</t>
        </is>
      </c>
      <c r="O3724" t="inlineStr">
        <is>
          <t>uncharacterized protein LOC121393209</t>
        </is>
      </c>
    </row>
    <row r="3725">
      <c r="A3725" t="inlineStr"/>
      <c r="B3725" t="inlineStr"/>
      <c r="C3725" t="inlineStr"/>
      <c r="D3725" t="inlineStr"/>
      <c r="E3725">
        <f>HYPERLINK("https://www.ncbi.nlm.nih.gov/gene/?term=KAE8636279.1", "KAE8636279.1")</f>
        <v/>
      </c>
      <c r="F3725" t="n">
        <v>59</v>
      </c>
      <c r="G3725" t="n">
        <v>117</v>
      </c>
      <c r="H3725" t="n">
        <v>3.21e-30</v>
      </c>
      <c r="I3725" t="inlineStr">
        <is>
          <t>Nr</t>
        </is>
      </c>
      <c r="J3725" t="inlineStr"/>
      <c r="K3725" t="inlineStr"/>
      <c r="L3725" t="inlineStr">
        <is>
          <t>KAE8636279.1 hypothetical protein XENTR_v10002921 [Xenopus tropicalis]</t>
        </is>
      </c>
      <c r="M3725" t="n">
        <v>677</v>
      </c>
      <c r="N3725" t="inlineStr">
        <is>
          <t>Xenopus tropicalis</t>
        </is>
      </c>
      <c r="O3725" t="inlineStr">
        <is>
          <t>hypothetical protein XENTR_v10002921</t>
        </is>
      </c>
    </row>
    <row r="3726">
      <c r="A3726" t="inlineStr"/>
      <c r="B3726" t="inlineStr"/>
      <c r="C3726" t="inlineStr"/>
      <c r="D3726" t="inlineStr"/>
      <c r="E3726">
        <f>HYPERLINK("https://www.uniprot.org/uniprotkb/A0A803K875/entry", "A0A803K875")</f>
        <v/>
      </c>
      <c r="F3726" t="n">
        <v>61.7</v>
      </c>
      <c r="G3726" t="n">
        <v>115</v>
      </c>
      <c r="H3726" t="n">
        <v>3.73e-30</v>
      </c>
      <c r="I3726" t="inlineStr">
        <is>
          <t>TrEMBL</t>
        </is>
      </c>
      <c r="J3726" t="inlineStr"/>
      <c r="K3726" t="inlineStr">
        <is>
          <t>A0A803K875_XENTR</t>
        </is>
      </c>
      <c r="L3726" t="inlineStr">
        <is>
          <t>tr|A0A803K875|A0A803K875_XENTR Core-binding (CB) domain-containing protein OS=Xenopus tropicalis OX=8364 PE=4 SV=1</t>
        </is>
      </c>
      <c r="M3726" t="n">
        <v>869</v>
      </c>
      <c r="N3726" t="inlineStr">
        <is>
          <t>Xenopus tropicalis</t>
        </is>
      </c>
      <c r="O3726" t="inlineStr">
        <is>
          <t>Core-binding (CB) domain-containing protein</t>
        </is>
      </c>
    </row>
    <row r="3727">
      <c r="A3727" t="inlineStr"/>
      <c r="B3727" t="inlineStr"/>
      <c r="C3727" t="inlineStr"/>
      <c r="D3727" t="inlineStr"/>
      <c r="E3727">
        <f>HYPERLINK("https://www.ncbi.nlm.nih.gov/gene/?term=KAG9478886.1", "KAG9478886.1")</f>
        <v/>
      </c>
      <c r="F3727" t="n">
        <v>73.7</v>
      </c>
      <c r="G3727" t="n">
        <v>76</v>
      </c>
      <c r="H3727" t="n">
        <v>4.34e-30</v>
      </c>
      <c r="I3727" t="inlineStr">
        <is>
          <t>Nr</t>
        </is>
      </c>
      <c r="J3727" t="inlineStr"/>
      <c r="K3727" t="inlineStr"/>
      <c r="L3727" t="inlineStr">
        <is>
          <t>KAG9478886.1 hypothetical protein GDO78_012511 [Eleutherodactylus coqui]</t>
        </is>
      </c>
      <c r="M3727" t="n">
        <v>885</v>
      </c>
      <c r="N3727" t="inlineStr">
        <is>
          <t>Eleutherodactylus coqui</t>
        </is>
      </c>
      <c r="O3727" t="inlineStr">
        <is>
          <t>hypothetical protein GDO78_012511</t>
        </is>
      </c>
    </row>
    <row r="3728">
      <c r="A3728" t="inlineStr"/>
      <c r="B3728" t="inlineStr"/>
      <c r="C3728" t="inlineStr"/>
      <c r="D3728" t="inlineStr"/>
      <c r="E3728">
        <f>HYPERLINK("https://www.ncbi.nlm.nih.gov/gene/?term=KAG9478885.1", "KAG9478885.1")</f>
        <v/>
      </c>
      <c r="F3728" t="n">
        <v>73.7</v>
      </c>
      <c r="G3728" t="n">
        <v>76</v>
      </c>
      <c r="H3728" t="n">
        <v>4.41e-30</v>
      </c>
      <c r="I3728" t="inlineStr">
        <is>
          <t>Nr</t>
        </is>
      </c>
      <c r="J3728" t="inlineStr"/>
      <c r="K3728" t="inlineStr"/>
      <c r="L3728" t="inlineStr">
        <is>
          <t>KAG9478885.1 hypothetical protein GDO78_012511 [Eleutherodactylus coqui]</t>
        </is>
      </c>
      <c r="M3728" t="n">
        <v>1097</v>
      </c>
      <c r="N3728" t="inlineStr">
        <is>
          <t>Eleutherodactylus coqui</t>
        </is>
      </c>
      <c r="O3728" t="inlineStr">
        <is>
          <t>hypothetical protein GDO78_012511</t>
        </is>
      </c>
    </row>
    <row r="3729">
      <c r="A3729" t="inlineStr"/>
      <c r="B3729" t="inlineStr"/>
      <c r="C3729" t="inlineStr"/>
      <c r="D3729" t="inlineStr"/>
      <c r="E3729">
        <f>HYPERLINK("https://www.ncbi.nlm.nih.gov/gene/?term=KAG9478883.1", "KAG9478883.1")</f>
        <v/>
      </c>
      <c r="F3729" t="n">
        <v>73.7</v>
      </c>
      <c r="G3729" t="n">
        <v>76</v>
      </c>
      <c r="H3729" t="n">
        <v>4.44e-30</v>
      </c>
      <c r="I3729" t="inlineStr">
        <is>
          <t>Nr</t>
        </is>
      </c>
      <c r="J3729" t="inlineStr"/>
      <c r="K3729" t="inlineStr"/>
      <c r="L3729" t="inlineStr">
        <is>
          <t>KAG9478883.1 hypothetical protein GDO78_012511 [Eleutherodactylus coqui]</t>
        </is>
      </c>
      <c r="M3729" t="n">
        <v>1252</v>
      </c>
      <c r="N3729" t="inlineStr">
        <is>
          <t>Eleutherodactylus coqui</t>
        </is>
      </c>
      <c r="O3729" t="inlineStr">
        <is>
          <t>hypothetical protein GDO78_012511</t>
        </is>
      </c>
    </row>
    <row r="3730">
      <c r="A3730" t="inlineStr"/>
      <c r="B3730" t="inlineStr"/>
      <c r="C3730" t="inlineStr"/>
      <c r="D3730" t="inlineStr"/>
      <c r="E3730">
        <f>HYPERLINK("https://www.ncbi.nlm.nih.gov/gene/?term=KAG9478882.1", "KAG9478882.1")</f>
        <v/>
      </c>
      <c r="F3730" t="n">
        <v>73.7</v>
      </c>
      <c r="G3730" t="n">
        <v>76</v>
      </c>
      <c r="H3730" t="n">
        <v>4.44e-30</v>
      </c>
      <c r="I3730" t="inlineStr">
        <is>
          <t>Nr</t>
        </is>
      </c>
      <c r="J3730" t="inlineStr"/>
      <c r="K3730" t="inlineStr"/>
      <c r="L3730" t="inlineStr">
        <is>
          <t>KAG9478882.1 hypothetical protein GDO78_012511 [Eleutherodactylus coqui]</t>
        </is>
      </c>
      <c r="M3730" t="n">
        <v>1260</v>
      </c>
      <c r="N3730" t="inlineStr">
        <is>
          <t>Eleutherodactylus coqui</t>
        </is>
      </c>
      <c r="O3730" t="inlineStr">
        <is>
          <t>hypothetical protein GDO78_012511</t>
        </is>
      </c>
    </row>
    <row r="3731">
      <c r="A3731" t="inlineStr"/>
      <c r="B3731" t="inlineStr"/>
      <c r="C3731" t="inlineStr"/>
      <c r="D3731" t="inlineStr"/>
      <c r="E3731">
        <f>HYPERLINK("https://www.uniprot.org/uniprotkb/A0A803JK98/entry", "A0A803JK98")</f>
        <v/>
      </c>
      <c r="F3731" t="n">
        <v>59.8</v>
      </c>
      <c r="G3731" t="n">
        <v>117</v>
      </c>
      <c r="H3731" t="n">
        <v>5.12e-30</v>
      </c>
      <c r="I3731" t="inlineStr">
        <is>
          <t>TrEMBL</t>
        </is>
      </c>
      <c r="J3731" t="inlineStr"/>
      <c r="K3731" t="inlineStr">
        <is>
          <t>A0A803JK98_XENTR</t>
        </is>
      </c>
      <c r="L3731" t="inlineStr">
        <is>
          <t>tr|A0A803JK98|A0A803JK98_XENTR Reverse transcriptase domain-containing protein OS=Xenopus tropicalis OX=8364 PE=4 SV=1</t>
        </is>
      </c>
      <c r="M3731" t="n">
        <v>925</v>
      </c>
      <c r="N3731" t="inlineStr">
        <is>
          <t>Xenopus tropicalis</t>
        </is>
      </c>
      <c r="O3731" t="inlineStr">
        <is>
          <t>Reverse transcriptase domain-containing protein</t>
        </is>
      </c>
    </row>
    <row r="3732">
      <c r="A3732" t="inlineStr"/>
      <c r="B3732" t="inlineStr"/>
      <c r="C3732" t="inlineStr"/>
      <c r="D3732" t="inlineStr"/>
      <c r="E3732">
        <f>HYPERLINK("https://www.ncbi.nlm.nih.gov/gene/?term=XP_053322947.1", "XP_053322947.1")</f>
        <v/>
      </c>
      <c r="F3732" t="n">
        <v>76.3</v>
      </c>
      <c r="G3732" t="n">
        <v>76</v>
      </c>
      <c r="H3732" t="n">
        <v>6.07e-30</v>
      </c>
      <c r="I3732" t="inlineStr">
        <is>
          <t>Nr</t>
        </is>
      </c>
      <c r="J3732" t="inlineStr"/>
      <c r="K3732" t="inlineStr"/>
      <c r="L3732" t="inlineStr">
        <is>
          <t>XP_053322947.1 centrosome and spindle pole-associated protein 1 isoform X3 [Spea bombifrons]</t>
        </is>
      </c>
      <c r="M3732" t="n">
        <v>1290</v>
      </c>
      <c r="N3732" t="inlineStr">
        <is>
          <t>Spea bombifrons</t>
        </is>
      </c>
      <c r="O3732" t="inlineStr">
        <is>
          <t>centrosome and spindle pole-associated protein 1 isoform X3</t>
        </is>
      </c>
    </row>
    <row r="3733">
      <c r="A3733" t="inlineStr"/>
      <c r="B3733" t="inlineStr"/>
      <c r="C3733" t="inlineStr"/>
      <c r="D3733" t="inlineStr"/>
      <c r="E3733">
        <f>HYPERLINK("https://www.ncbi.nlm.nih.gov/gene/?term=XP_053322946.1", "XP_053322946.1")</f>
        <v/>
      </c>
      <c r="F3733" t="n">
        <v>76.3</v>
      </c>
      <c r="G3733" t="n">
        <v>76</v>
      </c>
      <c r="H3733" t="n">
        <v>6.07e-30</v>
      </c>
      <c r="I3733" t="inlineStr">
        <is>
          <t>Nr</t>
        </is>
      </c>
      <c r="J3733" t="inlineStr"/>
      <c r="K3733" t="inlineStr"/>
      <c r="L3733" t="inlineStr">
        <is>
          <t>XP_053322946.1 centrosome and spindle pole-associated protein 1 isoform X2 [Spea bombifrons]</t>
        </is>
      </c>
      <c r="M3733" t="n">
        <v>1298</v>
      </c>
      <c r="N3733" t="inlineStr">
        <is>
          <t>Spea bombifrons</t>
        </is>
      </c>
      <c r="O3733" t="inlineStr">
        <is>
          <t>centrosome and spindle pole-associated protein 1 isoform X2</t>
        </is>
      </c>
    </row>
    <row r="3734">
      <c r="A3734" t="inlineStr"/>
      <c r="B3734" t="inlineStr"/>
      <c r="C3734" t="inlineStr"/>
      <c r="D3734" t="inlineStr"/>
      <c r="E3734">
        <f>HYPERLINK("https://www.ncbi.nlm.nih.gov/gene/?term=XP_053322944.1", "XP_053322944.1")</f>
        <v/>
      </c>
      <c r="F3734" t="n">
        <v>76.3</v>
      </c>
      <c r="G3734" t="n">
        <v>76</v>
      </c>
      <c r="H3734" t="n">
        <v>6.07e-30</v>
      </c>
      <c r="I3734" t="inlineStr">
        <is>
          <t>Nr</t>
        </is>
      </c>
      <c r="J3734" t="inlineStr"/>
      <c r="K3734" t="inlineStr"/>
      <c r="L3734" t="inlineStr">
        <is>
          <t>XP_053322944.1 centrosome and spindle pole-associated protein 1 isoform X1 [Spea bombifrons]</t>
        </is>
      </c>
      <c r="M3734" t="n">
        <v>1303</v>
      </c>
      <c r="N3734" t="inlineStr">
        <is>
          <t>Spea bombifrons</t>
        </is>
      </c>
      <c r="O3734" t="inlineStr">
        <is>
          <t>centrosome and spindle pole-associated protein 1 isoform X1</t>
        </is>
      </c>
    </row>
    <row r="3735">
      <c r="A3735" t="inlineStr"/>
      <c r="B3735" t="inlineStr"/>
      <c r="C3735" t="inlineStr"/>
      <c r="D3735" t="inlineStr"/>
      <c r="E3735">
        <f>HYPERLINK("https://www.ncbi.nlm.nih.gov/gene/?term=XP_041417032.1", "XP_041417032.1")</f>
        <v/>
      </c>
      <c r="F3735" t="n">
        <v>57.3</v>
      </c>
      <c r="G3735" t="n">
        <v>124</v>
      </c>
      <c r="H3735" t="n">
        <v>7.989999999999999e-30</v>
      </c>
      <c r="I3735" t="inlineStr">
        <is>
          <t>Nr</t>
        </is>
      </c>
      <c r="J3735" t="inlineStr"/>
      <c r="K3735" t="inlineStr"/>
      <c r="L3735" t="inlineStr">
        <is>
          <t>XP_041417032.1 uncharacterized protein LOC121393209 [Xenopus laevis]</t>
        </is>
      </c>
      <c r="M3735" t="n">
        <v>580</v>
      </c>
      <c r="N3735" t="inlineStr">
        <is>
          <t>Xenopus laevis</t>
        </is>
      </c>
      <c r="O3735" t="inlineStr">
        <is>
          <t>uncharacterized protein LOC121393209</t>
        </is>
      </c>
    </row>
    <row r="3736">
      <c r="A3736" t="inlineStr"/>
      <c r="B3736" t="inlineStr"/>
      <c r="C3736" t="inlineStr"/>
      <c r="D3736" t="inlineStr"/>
      <c r="E3736">
        <f>HYPERLINK("https://www.ncbi.nlm.nih.gov/gene/?term=XP_044148965.1", "XP_044148965.1")</f>
        <v/>
      </c>
      <c r="F3736" t="n">
        <v>76.3</v>
      </c>
      <c r="G3736" t="n">
        <v>76</v>
      </c>
      <c r="H3736" t="n">
        <v>8.27e-30</v>
      </c>
      <c r="I3736" t="inlineStr">
        <is>
          <t>Nr</t>
        </is>
      </c>
      <c r="J3736" t="inlineStr"/>
      <c r="K3736" t="inlineStr"/>
      <c r="L3736" t="inlineStr">
        <is>
          <t>XP_044148965.1 centrosome and spindle pole-associated protein 1 isoform X3 [Bufo gargarizans]</t>
        </is>
      </c>
      <c r="M3736" t="n">
        <v>1282</v>
      </c>
      <c r="N3736" t="inlineStr">
        <is>
          <t>Bufo gargarizans</t>
        </is>
      </c>
      <c r="O3736" t="inlineStr">
        <is>
          <t>centrosome and spindle pole-associated protein 1 isoform X3</t>
        </is>
      </c>
    </row>
    <row r="3737">
      <c r="A3737" t="inlineStr"/>
      <c r="B3737" t="inlineStr"/>
      <c r="C3737" t="inlineStr"/>
      <c r="D3737" t="inlineStr"/>
      <c r="E3737">
        <f>HYPERLINK("https://www.ncbi.nlm.nih.gov/gene/?term=XP_044148964.1", "XP_044148964.1")</f>
        <v/>
      </c>
      <c r="F3737" t="n">
        <v>76.3</v>
      </c>
      <c r="G3737" t="n">
        <v>76</v>
      </c>
      <c r="H3737" t="n">
        <v>8.27e-30</v>
      </c>
      <c r="I3737" t="inlineStr">
        <is>
          <t>Nr</t>
        </is>
      </c>
      <c r="J3737" t="inlineStr"/>
      <c r="K3737" t="inlineStr"/>
      <c r="L3737" t="inlineStr">
        <is>
          <t>XP_044148964.1 centrosome and spindle pole-associated protein 1 isoform X2 [Bufo gargarizans]</t>
        </is>
      </c>
      <c r="M3737" t="n">
        <v>1290</v>
      </c>
      <c r="N3737" t="inlineStr">
        <is>
          <t>Bufo gargarizans</t>
        </is>
      </c>
      <c r="O3737" t="inlineStr">
        <is>
          <t>centrosome and spindle pole-associated protein 1 isoform X2</t>
        </is>
      </c>
    </row>
    <row r="3738">
      <c r="A3738" t="inlineStr"/>
      <c r="B3738" t="inlineStr"/>
      <c r="C3738" t="inlineStr"/>
      <c r="D3738" t="inlineStr"/>
      <c r="E3738">
        <f>HYPERLINK("https://www.ncbi.nlm.nih.gov/gene/?term=XP_044148963.1", "XP_044148963.1")</f>
        <v/>
      </c>
      <c r="F3738" t="n">
        <v>76.3</v>
      </c>
      <c r="G3738" t="n">
        <v>76</v>
      </c>
      <c r="H3738" t="n">
        <v>8.28e-30</v>
      </c>
      <c r="I3738" t="inlineStr">
        <is>
          <t>Nr</t>
        </is>
      </c>
      <c r="J3738" t="inlineStr"/>
      <c r="K3738" t="inlineStr"/>
      <c r="L3738" t="inlineStr">
        <is>
          <t>XP_044148963.1 centrosome and spindle pole-associated protein 1 isoform X1 [Bufo gargarizans]</t>
        </is>
      </c>
      <c r="M3738" t="n">
        <v>1302</v>
      </c>
      <c r="N3738" t="inlineStr">
        <is>
          <t>Bufo gargarizans</t>
        </is>
      </c>
      <c r="O3738" t="inlineStr">
        <is>
          <t>centrosome and spindle pole-associated protein 1 isoform X1</t>
        </is>
      </c>
    </row>
    <row r="3739">
      <c r="A3739" t="inlineStr"/>
      <c r="B3739" t="inlineStr"/>
      <c r="C3739" t="inlineStr"/>
      <c r="D3739" t="inlineStr"/>
      <c r="E3739">
        <f>HYPERLINK("https://www.ncbi.nlm.nih.gov/gene/?term=KAE8610918.1", "KAE8610918.1")</f>
        <v/>
      </c>
      <c r="F3739" t="n">
        <v>60.9</v>
      </c>
      <c r="G3739" t="n">
        <v>115</v>
      </c>
      <c r="H3739" t="n">
        <v>1.14e-29</v>
      </c>
      <c r="I3739" t="inlineStr">
        <is>
          <t>Nr</t>
        </is>
      </c>
      <c r="J3739" t="inlineStr"/>
      <c r="K3739" t="inlineStr"/>
      <c r="L3739" t="inlineStr">
        <is>
          <t>KAE8610918.1 hypothetical protein XENTR_v10012279 [Xenopus tropicalis]</t>
        </is>
      </c>
      <c r="M3739" t="n">
        <v>463</v>
      </c>
      <c r="N3739" t="inlineStr">
        <is>
          <t>Xenopus tropicalis</t>
        </is>
      </c>
      <c r="O3739" t="inlineStr">
        <is>
          <t>hypothetical protein XENTR_v10012279</t>
        </is>
      </c>
    </row>
    <row r="3740">
      <c r="A3740" t="inlineStr"/>
      <c r="B3740" t="inlineStr"/>
      <c r="C3740" t="inlineStr"/>
      <c r="D3740" t="inlineStr"/>
      <c r="E3740">
        <f>HYPERLINK("https://www.ncbi.nlm.nih.gov/gene/?term=XP_040288740.1", "XP_040288740.1")</f>
        <v/>
      </c>
      <c r="F3740" t="n">
        <v>75</v>
      </c>
      <c r="G3740" t="n">
        <v>76</v>
      </c>
      <c r="H3740" t="n">
        <v>1.54e-29</v>
      </c>
      <c r="I3740" t="inlineStr">
        <is>
          <t>Nr</t>
        </is>
      </c>
      <c r="J3740" t="inlineStr"/>
      <c r="K3740" t="inlineStr"/>
      <c r="L3740" t="inlineStr">
        <is>
          <t>XP_040288740.1 centrosome and spindle pole-associated protein 1 isoform X4 [Bufo bufo]</t>
        </is>
      </c>
      <c r="M3740" t="n">
        <v>1255</v>
      </c>
      <c r="N3740" t="inlineStr">
        <is>
          <t>Bufo bufo</t>
        </is>
      </c>
      <c r="O3740" t="inlineStr">
        <is>
          <t>centrosome and spindle pole-associated protein 1 isoform X4</t>
        </is>
      </c>
    </row>
    <row r="3741">
      <c r="A3741" t="inlineStr"/>
      <c r="B3741" t="inlineStr"/>
      <c r="C3741" t="inlineStr"/>
      <c r="D3741" t="inlineStr"/>
      <c r="E3741">
        <f>HYPERLINK("https://www.ncbi.nlm.nih.gov/gene/?term=XP_040288739.1", "XP_040288739.1")</f>
        <v/>
      </c>
      <c r="F3741" t="n">
        <v>75</v>
      </c>
      <c r="G3741" t="n">
        <v>76</v>
      </c>
      <c r="H3741" t="n">
        <v>1.54e-29</v>
      </c>
      <c r="I3741" t="inlineStr">
        <is>
          <t>Nr</t>
        </is>
      </c>
      <c r="J3741" t="inlineStr"/>
      <c r="K3741" t="inlineStr"/>
      <c r="L3741" t="inlineStr">
        <is>
          <t>XP_040288739.1 centrosome and spindle pole-associated protein 1 isoform X3 [Bufo bufo]</t>
        </is>
      </c>
      <c r="M3741" t="n">
        <v>1281</v>
      </c>
      <c r="N3741" t="inlineStr">
        <is>
          <t>Bufo bufo</t>
        </is>
      </c>
      <c r="O3741" t="inlineStr">
        <is>
          <t>centrosome and spindle pole-associated protein 1 isoform X3</t>
        </is>
      </c>
    </row>
    <row r="3742">
      <c r="A3742" t="inlineStr"/>
      <c r="B3742" t="inlineStr"/>
      <c r="C3742" t="inlineStr"/>
      <c r="D3742" t="inlineStr"/>
      <c r="E3742">
        <f>HYPERLINK("https://www.ncbi.nlm.nih.gov/gene/?term=XP_040288738.1", "XP_040288738.1")</f>
        <v/>
      </c>
      <c r="F3742" t="n">
        <v>75</v>
      </c>
      <c r="G3742" t="n">
        <v>76</v>
      </c>
      <c r="H3742" t="n">
        <v>1.54e-29</v>
      </c>
      <c r="I3742" t="inlineStr">
        <is>
          <t>Nr</t>
        </is>
      </c>
      <c r="J3742" t="inlineStr"/>
      <c r="K3742" t="inlineStr"/>
      <c r="L3742" t="inlineStr">
        <is>
          <t>XP_040288738.1 centrosome and spindle pole-associated protein 1 isoform X2 [Bufo bufo]</t>
        </is>
      </c>
      <c r="M3742" t="n">
        <v>1284</v>
      </c>
      <c r="N3742" t="inlineStr">
        <is>
          <t>Bufo bufo</t>
        </is>
      </c>
      <c r="O3742" t="inlineStr">
        <is>
          <t>centrosome and spindle pole-associated protein 1 isoform X2</t>
        </is>
      </c>
    </row>
    <row r="3743">
      <c r="A3743" t="inlineStr"/>
      <c r="B3743" t="inlineStr"/>
      <c r="C3743" t="inlineStr"/>
      <c r="D3743" t="inlineStr"/>
      <c r="E3743">
        <f>HYPERLINK("https://www.ncbi.nlm.nih.gov/gene/?term=XP_040288737.1", "XP_040288737.1")</f>
        <v/>
      </c>
      <c r="F3743" t="n">
        <v>75</v>
      </c>
      <c r="G3743" t="n">
        <v>76</v>
      </c>
      <c r="H3743" t="n">
        <v>1.54e-29</v>
      </c>
      <c r="I3743" t="inlineStr">
        <is>
          <t>Nr</t>
        </is>
      </c>
      <c r="J3743" t="inlineStr"/>
      <c r="K3743" t="inlineStr"/>
      <c r="L3743" t="inlineStr">
        <is>
          <t>XP_040288737.1 centrosome and spindle pole-associated protein 1 isoform X1 [Bufo bufo]</t>
        </is>
      </c>
      <c r="M3743" t="n">
        <v>1289</v>
      </c>
      <c r="N3743" t="inlineStr">
        <is>
          <t>Bufo bufo</t>
        </is>
      </c>
      <c r="O3743" t="inlineStr">
        <is>
          <t>centrosome and spindle pole-associated protein 1 isoform X1</t>
        </is>
      </c>
    </row>
    <row r="3744">
      <c r="A3744" t="inlineStr"/>
      <c r="B3744" t="inlineStr"/>
      <c r="C3744" t="inlineStr"/>
      <c r="D3744" t="inlineStr"/>
      <c r="E3744">
        <f>HYPERLINK("https://www.ncbi.nlm.nih.gov/gene/?term=KAE8598289.1", "KAE8598289.1")</f>
        <v/>
      </c>
      <c r="F3744" t="n">
        <v>58.3</v>
      </c>
      <c r="G3744" t="n">
        <v>115</v>
      </c>
      <c r="H3744" t="n">
        <v>2.14e-29</v>
      </c>
      <c r="I3744" t="inlineStr">
        <is>
          <t>Nr</t>
        </is>
      </c>
      <c r="J3744" t="inlineStr"/>
      <c r="K3744" t="inlineStr"/>
      <c r="L3744" t="inlineStr">
        <is>
          <t>KAE8598289.1 hypothetical protein XENTR_v10016787 [Xenopus tropicalis]</t>
        </is>
      </c>
      <c r="M3744" t="n">
        <v>325</v>
      </c>
      <c r="N3744" t="inlineStr">
        <is>
          <t>Xenopus tropicalis</t>
        </is>
      </c>
      <c r="O3744" t="inlineStr">
        <is>
          <t>hypothetical protein XENTR_v10016787</t>
        </is>
      </c>
    </row>
    <row r="3745">
      <c r="A3745" t="inlineStr"/>
      <c r="B3745" t="inlineStr"/>
      <c r="C3745" t="inlineStr"/>
      <c r="D3745" t="inlineStr"/>
      <c r="E3745">
        <f>HYPERLINK("https://www.ncbi.nlm.nih.gov/gene/?term=XP_031758406.1", "XP_031758406.1")</f>
        <v/>
      </c>
      <c r="F3745" t="n">
        <v>59.1</v>
      </c>
      <c r="G3745" t="n">
        <v>115</v>
      </c>
      <c r="H3745" t="n">
        <v>2.66e-29</v>
      </c>
      <c r="I3745" t="inlineStr">
        <is>
          <t>Nr</t>
        </is>
      </c>
      <c r="J3745" t="inlineStr"/>
      <c r="K3745" t="inlineStr"/>
      <c r="L3745" t="inlineStr">
        <is>
          <t>XP_031758406.1 uncharacterized protein LOC116410921 [Xenopus tropicalis]</t>
        </is>
      </c>
      <c r="M3745" t="n">
        <v>423</v>
      </c>
      <c r="N3745" t="inlineStr">
        <is>
          <t>Xenopus tropicalis</t>
        </is>
      </c>
      <c r="O3745" t="inlineStr">
        <is>
          <t>uncharacterized protein LOC116410921</t>
        </is>
      </c>
    </row>
    <row r="3746">
      <c r="A3746" t="inlineStr"/>
      <c r="B3746" t="inlineStr"/>
      <c r="C3746" t="inlineStr"/>
      <c r="D3746" t="inlineStr"/>
      <c r="E3746">
        <f>HYPERLINK("https://www.ncbi.nlm.nih.gov/gene/?term=KAE8603543.1", "KAE8603543.1")</f>
        <v/>
      </c>
      <c r="F3746" t="n">
        <v>58.3</v>
      </c>
      <c r="G3746" t="n">
        <v>115</v>
      </c>
      <c r="H3746" t="n">
        <v>3e-29</v>
      </c>
      <c r="I3746" t="inlineStr">
        <is>
          <t>Nr</t>
        </is>
      </c>
      <c r="J3746" t="inlineStr"/>
      <c r="K3746" t="inlineStr"/>
      <c r="L3746" t="inlineStr">
        <is>
          <t>KAE8603543.1 hypothetical protein XENTR_v10014362 [Xenopus tropicalis]</t>
        </is>
      </c>
      <c r="M3746" t="n">
        <v>325</v>
      </c>
      <c r="N3746" t="inlineStr">
        <is>
          <t>Xenopus tropicalis</t>
        </is>
      </c>
      <c r="O3746" t="inlineStr">
        <is>
          <t>hypothetical protein XENTR_v10014362</t>
        </is>
      </c>
    </row>
    <row r="3747">
      <c r="A3747" t="inlineStr"/>
      <c r="B3747" t="inlineStr"/>
      <c r="C3747" t="inlineStr"/>
      <c r="D3747" t="inlineStr"/>
      <c r="E3747">
        <f>HYPERLINK("https://www.ncbi.nlm.nih.gov/gene/?term=KAG6937283.1", "KAG6937283.1")</f>
        <v/>
      </c>
      <c r="F3747" t="n">
        <v>55.1</v>
      </c>
      <c r="G3747" t="n">
        <v>118</v>
      </c>
      <c r="H3747" t="n">
        <v>5.44e-29</v>
      </c>
      <c r="I3747" t="inlineStr">
        <is>
          <t>Nr</t>
        </is>
      </c>
      <c r="J3747" t="inlineStr"/>
      <c r="K3747" t="inlineStr"/>
      <c r="L3747" t="inlineStr">
        <is>
          <t>KAG6937283.1 hypothetical protein G0U57_010273 [Chelydra serpentina]</t>
        </is>
      </c>
      <c r="M3747" t="n">
        <v>339</v>
      </c>
      <c r="N3747" t="inlineStr">
        <is>
          <t>Chelydra serpentina</t>
        </is>
      </c>
      <c r="O3747" t="inlineStr">
        <is>
          <t>hypothetical protein G0U57_010273</t>
        </is>
      </c>
    </row>
    <row r="3748">
      <c r="A3748" t="inlineStr"/>
      <c r="B3748" t="inlineStr"/>
      <c r="C3748" t="inlineStr"/>
      <c r="D3748" t="inlineStr"/>
      <c r="E3748">
        <f>HYPERLINK("https://www.ncbi.nlm.nih.gov/gene/?term=XP_031747366.1", "XP_031747366.1")</f>
        <v/>
      </c>
      <c r="F3748" t="n">
        <v>58.3</v>
      </c>
      <c r="G3748" t="n">
        <v>115</v>
      </c>
      <c r="H3748" t="n">
        <v>1.11e-28</v>
      </c>
      <c r="I3748" t="inlineStr">
        <is>
          <t>Nr</t>
        </is>
      </c>
      <c r="J3748" t="inlineStr"/>
      <c r="K3748" t="inlineStr"/>
      <c r="L3748" t="inlineStr">
        <is>
          <t>XP_031747366.1 uncharacterized protein LOC116406738 [Xenopus tropicalis]</t>
        </is>
      </c>
      <c r="M3748" t="n">
        <v>460</v>
      </c>
      <c r="N3748" t="inlineStr">
        <is>
          <t>Xenopus tropicalis</t>
        </is>
      </c>
      <c r="O3748" t="inlineStr">
        <is>
          <t>uncharacterized protein LOC116406738</t>
        </is>
      </c>
    </row>
    <row r="3749">
      <c r="A3749" t="inlineStr"/>
      <c r="B3749" t="inlineStr"/>
      <c r="C3749" t="inlineStr"/>
      <c r="D3749" t="inlineStr"/>
      <c r="E3749">
        <f>HYPERLINK("https://www.uniprot.org/uniprotkb/A0A2G9RYS1/entry", "A0A2G9RYS1")</f>
        <v/>
      </c>
      <c r="F3749" t="n">
        <v>71.59999999999999</v>
      </c>
      <c r="G3749" t="n">
        <v>74</v>
      </c>
      <c r="H3749" t="n">
        <v>1.15e-28</v>
      </c>
      <c r="I3749" t="inlineStr">
        <is>
          <t>TrEMBL</t>
        </is>
      </c>
      <c r="J3749" t="inlineStr">
        <is>
          <t>AB205_0189990</t>
        </is>
      </c>
      <c r="K3749" t="inlineStr">
        <is>
          <t>A0A2G9RYS1_LITCT</t>
        </is>
      </c>
      <c r="L3749" t="inlineStr">
        <is>
          <t>tr|A0A2G9RYS1|A0A2G9RYS1_LITCT Centrosome and spindle pole-associated protein 1 OS=Lithobates catesbeianus OX=8400 GN=AB205_0189990 PE=4 SV=1</t>
        </is>
      </c>
      <c r="M3749" t="n">
        <v>563</v>
      </c>
      <c r="N3749" t="inlineStr">
        <is>
          <t>Lithobates catesbeianus</t>
        </is>
      </c>
      <c r="O3749" t="inlineStr">
        <is>
          <t>Centrosome and spindle pole-associated protein 1</t>
        </is>
      </c>
    </row>
    <row r="3750">
      <c r="A3750" t="inlineStr"/>
      <c r="B3750" t="inlineStr"/>
      <c r="C3750" t="inlineStr"/>
      <c r="D3750" t="inlineStr"/>
      <c r="E3750">
        <f>HYPERLINK("https://www.ncbi.nlm.nih.gov/gene/?term=XP_041420124.1", "XP_041420124.1")</f>
        <v/>
      </c>
      <c r="F3750" t="n">
        <v>56.8</v>
      </c>
      <c r="G3750" t="n">
        <v>118</v>
      </c>
      <c r="H3750" t="n">
        <v>1.16e-28</v>
      </c>
      <c r="I3750" t="inlineStr">
        <is>
          <t>Nr</t>
        </is>
      </c>
      <c r="J3750" t="inlineStr"/>
      <c r="K3750" t="inlineStr"/>
      <c r="L3750" t="inlineStr">
        <is>
          <t>XP_041420124.1 uncharacterized protein LOC121394150 isoform X1 [Xenopus laevis]</t>
        </is>
      </c>
      <c r="M3750" t="n">
        <v>950</v>
      </c>
      <c r="N3750" t="inlineStr">
        <is>
          <t>Xenopus laevis</t>
        </is>
      </c>
      <c r="O3750" t="inlineStr">
        <is>
          <t>uncharacterized protein LOC121394150 isoform X1</t>
        </is>
      </c>
    </row>
    <row r="3751">
      <c r="A3751" t="inlineStr"/>
      <c r="B3751" t="inlineStr"/>
      <c r="C3751" t="inlineStr"/>
      <c r="D3751" t="inlineStr"/>
      <c r="E3751">
        <f>HYPERLINK("https://www.ncbi.nlm.nih.gov/gene/?term=KAE8586429.1", "KAE8586429.1")</f>
        <v/>
      </c>
      <c r="F3751" t="n">
        <v>59.1</v>
      </c>
      <c r="G3751" t="n">
        <v>115</v>
      </c>
      <c r="H3751" t="n">
        <v>1.31e-28</v>
      </c>
      <c r="I3751" t="inlineStr">
        <is>
          <t>Nr</t>
        </is>
      </c>
      <c r="J3751" t="inlineStr"/>
      <c r="K3751" t="inlineStr"/>
      <c r="L3751" t="inlineStr">
        <is>
          <t>KAE8586429.1 hypothetical protein XENTR_v10021668 [Xenopus tropicalis]</t>
        </is>
      </c>
      <c r="M3751" t="n">
        <v>648</v>
      </c>
      <c r="N3751" t="inlineStr">
        <is>
          <t>Xenopus tropicalis</t>
        </is>
      </c>
      <c r="O3751" t="inlineStr">
        <is>
          <t>hypothetical protein XENTR_v10021668</t>
        </is>
      </c>
    </row>
    <row r="3752">
      <c r="A3752" t="inlineStr"/>
      <c r="B3752" t="inlineStr"/>
      <c r="C3752" t="inlineStr"/>
      <c r="D3752" t="inlineStr"/>
      <c r="E3752">
        <f>HYPERLINK("https://www.uniprot.org/uniprotkb/K7G8B7/entry", "K7G8B7")</f>
        <v/>
      </c>
      <c r="F3752" t="n">
        <v>76</v>
      </c>
      <c r="G3752" t="n">
        <v>75</v>
      </c>
      <c r="H3752" t="n">
        <v>1.33e-28</v>
      </c>
      <c r="I3752" t="inlineStr">
        <is>
          <t>TrEMBL</t>
        </is>
      </c>
      <c r="J3752" t="inlineStr">
        <is>
          <t>CSPP1</t>
        </is>
      </c>
      <c r="K3752" t="inlineStr">
        <is>
          <t>K7G8B7_PELSI</t>
        </is>
      </c>
      <c r="L3752" t="inlineStr">
        <is>
          <t>tr|K7G8B7|K7G8B7_PELSI Centrosome and spindle pole associated protein 1 OS=Pelodiscus sinensis OX=13735 GN=CSPP1 PE=4 SV=1</t>
        </is>
      </c>
      <c r="M3752" t="n">
        <v>1165</v>
      </c>
      <c r="N3752" t="inlineStr">
        <is>
          <t>Pelodiscus sinensis</t>
        </is>
      </c>
      <c r="O3752" t="inlineStr">
        <is>
          <t>Centrosome and spindle pole associated protein 1</t>
        </is>
      </c>
    </row>
    <row r="3753">
      <c r="A3753" t="inlineStr"/>
      <c r="B3753" t="inlineStr"/>
      <c r="C3753" t="inlineStr"/>
      <c r="D3753" t="inlineStr"/>
      <c r="E3753">
        <f>HYPERLINK("https://www.uniprot.org/uniprotkb/K7G8H7/entry", "K7G8H7")</f>
        <v/>
      </c>
      <c r="F3753" t="n">
        <v>76</v>
      </c>
      <c r="G3753" t="n">
        <v>75</v>
      </c>
      <c r="H3753" t="n">
        <v>1.33e-28</v>
      </c>
      <c r="I3753" t="inlineStr">
        <is>
          <t>TrEMBL</t>
        </is>
      </c>
      <c r="J3753" t="inlineStr">
        <is>
          <t>CSPP1</t>
        </is>
      </c>
      <c r="K3753" t="inlineStr">
        <is>
          <t>K7G8H7_PELSI</t>
        </is>
      </c>
      <c r="L3753" t="inlineStr">
        <is>
          <t>tr|K7G8H7|K7G8H7_PELSI Centrosome and spindle pole associated protein 1 OS=Pelodiscus sinensis OX=13735 GN=CSPP1 PE=4 SV=1</t>
        </is>
      </c>
      <c r="M3753" t="n">
        <v>1212</v>
      </c>
      <c r="N3753" t="inlineStr">
        <is>
          <t>Pelodiscus sinensis</t>
        </is>
      </c>
      <c r="O3753" t="inlineStr">
        <is>
          <t>Centrosome and spindle pole associated protein 1</t>
        </is>
      </c>
    </row>
    <row r="3754">
      <c r="A3754" t="inlineStr"/>
      <c r="B3754" t="inlineStr"/>
      <c r="C3754" t="inlineStr"/>
      <c r="D3754" t="inlineStr"/>
      <c r="E3754">
        <f>HYPERLINK("https://www.ncbi.nlm.nih.gov/gene/?term=XP_031752878.1", "XP_031752878.1")</f>
        <v/>
      </c>
      <c r="F3754" t="n">
        <v>59.1</v>
      </c>
      <c r="G3754" t="n">
        <v>115</v>
      </c>
      <c r="H3754" t="n">
        <v>1.46e-28</v>
      </c>
      <c r="I3754" t="inlineStr">
        <is>
          <t>Nr</t>
        </is>
      </c>
      <c r="J3754" t="inlineStr"/>
      <c r="K3754" t="inlineStr"/>
      <c r="L3754" t="inlineStr">
        <is>
          <t>XP_031752878.1 filaggrin-2-like [Xenopus tropicalis]</t>
        </is>
      </c>
      <c r="M3754" t="n">
        <v>714</v>
      </c>
      <c r="N3754" t="inlineStr">
        <is>
          <t>Xenopus tropicalis</t>
        </is>
      </c>
      <c r="O3754" t="inlineStr">
        <is>
          <t>filaggrin-2-like</t>
        </is>
      </c>
    </row>
    <row r="3755">
      <c r="A3755" t="inlineStr"/>
      <c r="B3755" t="inlineStr"/>
      <c r="C3755" t="inlineStr"/>
      <c r="D3755" t="inlineStr"/>
      <c r="E3755">
        <f>HYPERLINK("https://www.ncbi.nlm.nih.gov/gene/?term=KAE8606559.1", "KAE8606559.1")</f>
        <v/>
      </c>
      <c r="F3755" t="n">
        <v>58.3</v>
      </c>
      <c r="G3755" t="n">
        <v>115</v>
      </c>
      <c r="H3755" t="n">
        <v>1.49e-28</v>
      </c>
      <c r="I3755" t="inlineStr">
        <is>
          <t>Nr</t>
        </is>
      </c>
      <c r="J3755" t="inlineStr"/>
      <c r="K3755" t="inlineStr"/>
      <c r="L3755" t="inlineStr">
        <is>
          <t>KAE8606559.1 hypothetical protein XENTR_v10010779 [Xenopus tropicalis]</t>
        </is>
      </c>
      <c r="M3755" t="n">
        <v>736</v>
      </c>
      <c r="N3755" t="inlineStr">
        <is>
          <t>Xenopus tropicalis</t>
        </is>
      </c>
      <c r="O3755" t="inlineStr">
        <is>
          <t>hypothetical protein XENTR_v10010779</t>
        </is>
      </c>
    </row>
    <row r="3756">
      <c r="A3756" t="inlineStr"/>
      <c r="B3756" t="inlineStr"/>
      <c r="C3756" t="inlineStr"/>
      <c r="D3756" t="inlineStr"/>
      <c r="E3756">
        <f>HYPERLINK("https://www.uniprot.org/uniprotkb/A0A2G9S0M6/entry", "A0A2G9S0M6")</f>
        <v/>
      </c>
      <c r="F3756" t="n">
        <v>71.59999999999999</v>
      </c>
      <c r="G3756" t="n">
        <v>74</v>
      </c>
      <c r="H3756" t="n">
        <v>1.67e-28</v>
      </c>
      <c r="I3756" t="inlineStr">
        <is>
          <t>TrEMBL</t>
        </is>
      </c>
      <c r="J3756" t="inlineStr">
        <is>
          <t>AB205_0189990</t>
        </is>
      </c>
      <c r="K3756" t="inlineStr">
        <is>
          <t>A0A2G9S0M6_LITCT</t>
        </is>
      </c>
      <c r="L3756" t="inlineStr">
        <is>
          <t>tr|A0A2G9S0M6|A0A2G9S0M6_LITCT Centrosome and spindle pole associated protein 1 OS=Lithobates catesbeianus OX=8400 GN=AB205_0189990 PE=4 SV=1</t>
        </is>
      </c>
      <c r="M3756" t="n">
        <v>703</v>
      </c>
      <c r="N3756" t="inlineStr">
        <is>
          <t>Lithobates catesbeianus</t>
        </is>
      </c>
      <c r="O3756" t="inlineStr">
        <is>
          <t>Centrosome and spindle pole associated protein 1</t>
        </is>
      </c>
    </row>
    <row r="3757">
      <c r="A3757" t="inlineStr"/>
      <c r="B3757" t="inlineStr"/>
      <c r="C3757" t="inlineStr"/>
      <c r="D3757" t="inlineStr"/>
      <c r="E3757">
        <f>HYPERLINK("https://www.ncbi.nlm.nih.gov/gene/?term=KAE8636869.1", "KAE8636869.1")</f>
        <v/>
      </c>
      <c r="F3757" t="n">
        <v>56.9</v>
      </c>
      <c r="G3757" t="n">
        <v>116</v>
      </c>
      <c r="H3757" t="n">
        <v>2.11e-28</v>
      </c>
      <c r="I3757" t="inlineStr">
        <is>
          <t>Nr</t>
        </is>
      </c>
      <c r="J3757" t="inlineStr"/>
      <c r="K3757" t="inlineStr"/>
      <c r="L3757" t="inlineStr">
        <is>
          <t>KAE8636869.1 hypothetical protein XENTR_v10003178 [Xenopus tropicalis]</t>
        </is>
      </c>
      <c r="M3757" t="n">
        <v>830</v>
      </c>
      <c r="N3757" t="inlineStr">
        <is>
          <t>Xenopus tropicalis</t>
        </is>
      </c>
      <c r="O3757" t="inlineStr">
        <is>
          <t>hypothetical protein XENTR_v10003178</t>
        </is>
      </c>
    </row>
    <row r="3758">
      <c r="A3758" t="inlineStr"/>
      <c r="B3758" t="inlineStr"/>
      <c r="C3758" t="inlineStr"/>
      <c r="D3758" t="inlineStr"/>
      <c r="E3758">
        <f>HYPERLINK("https://www.ncbi.nlm.nih.gov/gene/?term=KAG6932311.1", "KAG6932311.1")</f>
        <v/>
      </c>
      <c r="F3758" t="n">
        <v>52.1</v>
      </c>
      <c r="G3758" t="n">
        <v>119</v>
      </c>
      <c r="H3758" t="n">
        <v>2.88e-28</v>
      </c>
      <c r="I3758" t="inlineStr">
        <is>
          <t>Nr</t>
        </is>
      </c>
      <c r="J3758" t="inlineStr"/>
      <c r="K3758" t="inlineStr"/>
      <c r="L3758" t="inlineStr">
        <is>
          <t>KAG6932311.1 hypothetical protein G0U57_021645 [Chelydra serpentina]</t>
        </is>
      </c>
      <c r="M3758" t="n">
        <v>224</v>
      </c>
      <c r="N3758" t="inlineStr">
        <is>
          <t>Chelydra serpentina</t>
        </is>
      </c>
      <c r="O3758" t="inlineStr">
        <is>
          <t>hypothetical protein G0U57_021645</t>
        </is>
      </c>
    </row>
    <row r="3759">
      <c r="A3759" t="inlineStr"/>
      <c r="B3759" t="inlineStr"/>
      <c r="C3759" t="inlineStr"/>
      <c r="D3759" t="inlineStr"/>
      <c r="E3759">
        <f>HYPERLINK("https://www.ncbi.nlm.nih.gov/gene/?term=PIO33012.1", "PIO33012.1")</f>
        <v/>
      </c>
      <c r="F3759" t="n">
        <v>71.59999999999999</v>
      </c>
      <c r="G3759" t="n">
        <v>74</v>
      </c>
      <c r="H3759" t="n">
        <v>2.96e-28</v>
      </c>
      <c r="I3759" t="inlineStr">
        <is>
          <t>Nr</t>
        </is>
      </c>
      <c r="J3759" t="inlineStr"/>
      <c r="K3759" t="inlineStr"/>
      <c r="L3759" t="inlineStr">
        <is>
          <t>PIO33012.1 hypothetical protein AB205_0189990 [Lithobates catesbeianus]</t>
        </is>
      </c>
      <c r="M3759" t="n">
        <v>563</v>
      </c>
      <c r="N3759" t="inlineStr">
        <is>
          <t>Lithobates catesbeianus</t>
        </is>
      </c>
      <c r="O3759" t="inlineStr">
        <is>
          <t>hypothetical protein AB205_0189990</t>
        </is>
      </c>
    </row>
    <row r="3760">
      <c r="A3760" t="inlineStr"/>
      <c r="B3760" t="inlineStr"/>
      <c r="C3760" t="inlineStr"/>
      <c r="D3760" t="inlineStr"/>
      <c r="E3760">
        <f>HYPERLINK("https://www.ncbi.nlm.nih.gov/gene/?term=XP_025044685.1", "XP_025044685.1")</f>
        <v/>
      </c>
      <c r="F3760" t="n">
        <v>76</v>
      </c>
      <c r="G3760" t="n">
        <v>75</v>
      </c>
      <c r="H3760" t="n">
        <v>3.42e-28</v>
      </c>
      <c r="I3760" t="inlineStr">
        <is>
          <t>Nr</t>
        </is>
      </c>
      <c r="J3760" t="inlineStr"/>
      <c r="K3760" t="inlineStr"/>
      <c r="L3760" t="inlineStr">
        <is>
          <t>XP_025044685.1 centrosome and spindle pole-associated protein 1 [Pelodiscus sinensis]</t>
        </is>
      </c>
      <c r="M3760" t="n">
        <v>1176</v>
      </c>
      <c r="N3760" t="inlineStr">
        <is>
          <t>Pelodiscus sinensis</t>
        </is>
      </c>
      <c r="O3760" t="inlineStr">
        <is>
          <t>centrosome and spindle pole-associated protein 1</t>
        </is>
      </c>
    </row>
    <row r="3761">
      <c r="A3761" t="inlineStr"/>
      <c r="B3761" t="inlineStr"/>
      <c r="C3761" t="inlineStr"/>
      <c r="D3761" t="inlineStr"/>
      <c r="E3761">
        <f>HYPERLINK("https://www.ncbi.nlm.nih.gov/gene/?term=KAG6926008.1", "KAG6926008.1")</f>
        <v/>
      </c>
      <c r="F3761" t="n">
        <v>52.1</v>
      </c>
      <c r="G3761" t="n">
        <v>119</v>
      </c>
      <c r="H3761" t="n">
        <v>3.67e-28</v>
      </c>
      <c r="I3761" t="inlineStr">
        <is>
          <t>Nr</t>
        </is>
      </c>
      <c r="J3761" t="inlineStr"/>
      <c r="K3761" t="inlineStr"/>
      <c r="L3761" t="inlineStr">
        <is>
          <t>KAG6926008.1 hypothetical protein G0U57_012989, partial [Chelydra serpentina]</t>
        </is>
      </c>
      <c r="M3761" t="n">
        <v>264</v>
      </c>
      <c r="N3761" t="inlineStr">
        <is>
          <t>Chelydra serpentina</t>
        </is>
      </c>
      <c r="O3761" t="inlineStr">
        <is>
          <t>hypothetical protein G0U57_012989, partial</t>
        </is>
      </c>
    </row>
    <row r="3762">
      <c r="A3762" t="inlineStr"/>
      <c r="B3762" t="inlineStr"/>
      <c r="C3762" t="inlineStr"/>
      <c r="D3762" t="inlineStr"/>
      <c r="E3762">
        <f>HYPERLINK("https://www.ncbi.nlm.nih.gov/gene/?term=PIO33011.1", "PIO33011.1")</f>
        <v/>
      </c>
      <c r="F3762" t="n">
        <v>71.59999999999999</v>
      </c>
      <c r="G3762" t="n">
        <v>74</v>
      </c>
      <c r="H3762" t="n">
        <v>4.29e-28</v>
      </c>
      <c r="I3762" t="inlineStr">
        <is>
          <t>Nr</t>
        </is>
      </c>
      <c r="J3762" t="inlineStr"/>
      <c r="K3762" t="inlineStr"/>
      <c r="L3762" t="inlineStr">
        <is>
          <t>PIO33011.1 hypothetical protein AB205_0189990 [Lithobates catesbeianus]</t>
        </is>
      </c>
      <c r="M3762" t="n">
        <v>703</v>
      </c>
      <c r="N3762" t="inlineStr">
        <is>
          <t>Lithobates catesbeianus</t>
        </is>
      </c>
      <c r="O3762" t="inlineStr">
        <is>
          <t>hypothetical protein AB205_0189990</t>
        </is>
      </c>
    </row>
    <row r="3763">
      <c r="A3763" t="inlineStr"/>
      <c r="B3763" t="inlineStr"/>
      <c r="C3763" t="inlineStr"/>
      <c r="D3763" t="inlineStr"/>
      <c r="E3763">
        <f>HYPERLINK("https://www.ncbi.nlm.nih.gov/gene/?term=XP_041417586.1", "XP_041417586.1")</f>
        <v/>
      </c>
      <c r="F3763" t="n">
        <v>53.8</v>
      </c>
      <c r="G3763" t="n">
        <v>117</v>
      </c>
      <c r="H3763" t="n">
        <v>6.06e-28</v>
      </c>
      <c r="I3763" t="inlineStr">
        <is>
          <t>Nr</t>
        </is>
      </c>
      <c r="J3763" t="inlineStr"/>
      <c r="K3763" t="inlineStr"/>
      <c r="L3763" t="inlineStr">
        <is>
          <t>XP_041417586.1 uncharacterized protein LOC121393347 [Xenopus laevis]</t>
        </is>
      </c>
      <c r="M3763" t="n">
        <v>466</v>
      </c>
      <c r="N3763" t="inlineStr">
        <is>
          <t>Xenopus laevis</t>
        </is>
      </c>
      <c r="O3763" t="inlineStr">
        <is>
          <t>uncharacterized protein LOC121393347</t>
        </is>
      </c>
    </row>
    <row r="3764">
      <c r="A3764" t="inlineStr"/>
      <c r="B3764" t="inlineStr"/>
      <c r="C3764" t="inlineStr"/>
      <c r="D3764" t="inlineStr"/>
      <c r="E3764">
        <f>HYPERLINK("https://www.uniprot.org/uniprotkb/A0A8T1SWN2/entry", "A0A8T1SWN2")</f>
        <v/>
      </c>
      <c r="F3764" t="n">
        <v>74.7</v>
      </c>
      <c r="G3764" t="n">
        <v>75</v>
      </c>
      <c r="H3764" t="n">
        <v>1.17e-27</v>
      </c>
      <c r="I3764" t="inlineStr">
        <is>
          <t>TrEMBL</t>
        </is>
      </c>
      <c r="J3764" t="inlineStr">
        <is>
          <t>CSPP1</t>
        </is>
      </c>
      <c r="K3764" t="inlineStr">
        <is>
          <t>A0A8T1SWN2_CHESE</t>
        </is>
      </c>
      <c r="L3764" t="inlineStr">
        <is>
          <t>tr|A0A8T1SWN2|A0A8T1SWN2_CHESE Centrosome and spindle pole associated protein 1 OS=Chelydra serpentina OX=8475 GN=CSPP1 PE=4 SV=1</t>
        </is>
      </c>
      <c r="M3764" t="n">
        <v>1185</v>
      </c>
      <c r="N3764" t="inlineStr">
        <is>
          <t>Chelydra serpentina</t>
        </is>
      </c>
      <c r="O3764" t="inlineStr">
        <is>
          <t>Centrosome and spindle pole associated protein 1</t>
        </is>
      </c>
    </row>
    <row r="3765">
      <c r="A3765" t="inlineStr"/>
      <c r="B3765" t="inlineStr"/>
      <c r="C3765" t="inlineStr"/>
      <c r="D3765" t="inlineStr"/>
      <c r="E3765">
        <f>HYPERLINK("https://www.ncbi.nlm.nih.gov/gene/?term=XP_040210299.1", "XP_040210299.1")</f>
        <v/>
      </c>
      <c r="F3765" t="n">
        <v>65.5</v>
      </c>
      <c r="G3765" t="n">
        <v>84</v>
      </c>
      <c r="H3765" t="n">
        <v>1.19e-27</v>
      </c>
      <c r="I3765" t="inlineStr">
        <is>
          <t>Nr</t>
        </is>
      </c>
      <c r="J3765" t="inlineStr"/>
      <c r="K3765" t="inlineStr"/>
      <c r="L3765" t="inlineStr">
        <is>
          <t>XP_040210299.1 centrosome and spindle pole-associated protein 1 isoform X5 [Rana temporaria]</t>
        </is>
      </c>
      <c r="M3765" t="n">
        <v>1239</v>
      </c>
      <c r="N3765" t="inlineStr">
        <is>
          <t>Rana temporaria</t>
        </is>
      </c>
      <c r="O3765" t="inlineStr">
        <is>
          <t>centrosome and spindle pole-associated protein 1 isoform X5</t>
        </is>
      </c>
    </row>
    <row r="3766">
      <c r="A3766" t="inlineStr"/>
      <c r="B3766" t="inlineStr"/>
      <c r="C3766" t="inlineStr"/>
      <c r="D3766" t="inlineStr"/>
      <c r="E3766">
        <f>HYPERLINK("https://www.ncbi.nlm.nih.gov/gene/?term=XP_040210298.1", "XP_040210298.1")</f>
        <v/>
      </c>
      <c r="F3766" t="n">
        <v>65.5</v>
      </c>
      <c r="G3766" t="n">
        <v>84</v>
      </c>
      <c r="H3766" t="n">
        <v>1.19e-27</v>
      </c>
      <c r="I3766" t="inlineStr">
        <is>
          <t>Nr</t>
        </is>
      </c>
      <c r="J3766" t="inlineStr"/>
      <c r="K3766" t="inlineStr"/>
      <c r="L3766" t="inlineStr">
        <is>
          <t>XP_040210298.1 centrosome and spindle pole-associated protein 1 isoform X4 [Rana temporaria]</t>
        </is>
      </c>
      <c r="M3766" t="n">
        <v>1269</v>
      </c>
      <c r="N3766" t="inlineStr">
        <is>
          <t>Rana temporaria</t>
        </is>
      </c>
      <c r="O3766" t="inlineStr">
        <is>
          <t>centrosome and spindle pole-associated protein 1 isoform X4</t>
        </is>
      </c>
    </row>
    <row r="3767">
      <c r="A3767" t="inlineStr"/>
      <c r="B3767" t="inlineStr"/>
      <c r="C3767" t="inlineStr"/>
      <c r="D3767" t="inlineStr"/>
      <c r="E3767">
        <f>HYPERLINK("https://www.ncbi.nlm.nih.gov/gene/?term=XP_040210300.1", "XP_040210300.1")</f>
        <v/>
      </c>
      <c r="F3767" t="n">
        <v>65.5</v>
      </c>
      <c r="G3767" t="n">
        <v>84</v>
      </c>
      <c r="H3767" t="n">
        <v>1.19e-27</v>
      </c>
      <c r="I3767" t="inlineStr">
        <is>
          <t>Nr</t>
        </is>
      </c>
      <c r="J3767" t="inlineStr"/>
      <c r="K3767" t="inlineStr"/>
      <c r="L3767" t="inlineStr">
        <is>
          <t>XP_040210300.1 centrosome and spindle pole-associated protein 1 isoform X6 [Rana temporaria]</t>
        </is>
      </c>
      <c r="M3767" t="n">
        <v>1289</v>
      </c>
      <c r="N3767" t="inlineStr">
        <is>
          <t>Rana temporaria</t>
        </is>
      </c>
      <c r="O3767" t="inlineStr">
        <is>
          <t>centrosome and spindle pole-associated protein 1 isoform X6</t>
        </is>
      </c>
    </row>
    <row r="3768">
      <c r="A3768" t="inlineStr"/>
      <c r="B3768" t="inlineStr"/>
      <c r="C3768" t="inlineStr"/>
      <c r="D3768" t="inlineStr"/>
      <c r="E3768">
        <f>HYPERLINK("https://www.ncbi.nlm.nih.gov/gene/?term=XP_040210297.1", "XP_040210297.1")</f>
        <v/>
      </c>
      <c r="F3768" t="n">
        <v>65.5</v>
      </c>
      <c r="G3768" t="n">
        <v>84</v>
      </c>
      <c r="H3768" t="n">
        <v>1.19e-27</v>
      </c>
      <c r="I3768" t="inlineStr">
        <is>
          <t>Nr</t>
        </is>
      </c>
      <c r="J3768" t="inlineStr"/>
      <c r="K3768" t="inlineStr"/>
      <c r="L3768" t="inlineStr">
        <is>
          <t>XP_040210297.1 centrosome and spindle pole-associated protein 1 isoform X3 [Rana temporaria]</t>
        </is>
      </c>
      <c r="M3768" t="n">
        <v>1294</v>
      </c>
      <c r="N3768" t="inlineStr">
        <is>
          <t>Rana temporaria</t>
        </is>
      </c>
      <c r="O3768" t="inlineStr">
        <is>
          <t>centrosome and spindle pole-associated protein 1 isoform X3</t>
        </is>
      </c>
    </row>
    <row r="3769">
      <c r="A3769" t="inlineStr"/>
      <c r="B3769" t="inlineStr"/>
      <c r="C3769" t="inlineStr"/>
      <c r="D3769" t="inlineStr"/>
      <c r="E3769">
        <f>HYPERLINK("https://www.ncbi.nlm.nih.gov/gene/?term=XP_040210296.1", "XP_040210296.1")</f>
        <v/>
      </c>
      <c r="F3769" t="n">
        <v>65.5</v>
      </c>
      <c r="G3769" t="n">
        <v>84</v>
      </c>
      <c r="H3769" t="n">
        <v>1.19e-27</v>
      </c>
      <c r="I3769" t="inlineStr">
        <is>
          <t>Nr</t>
        </is>
      </c>
      <c r="J3769" t="inlineStr"/>
      <c r="K3769" t="inlineStr"/>
      <c r="L3769" t="inlineStr">
        <is>
          <t>XP_040210296.1 centrosome and spindle pole-associated protein 1 isoform X2 [Rana temporaria]</t>
        </is>
      </c>
      <c r="M3769" t="n">
        <v>1297</v>
      </c>
      <c r="N3769" t="inlineStr">
        <is>
          <t>Rana temporaria</t>
        </is>
      </c>
      <c r="O3769" t="inlineStr">
        <is>
          <t>centrosome and spindle pole-associated protein 1 isoform X2</t>
        </is>
      </c>
    </row>
    <row r="3770">
      <c r="A3770" t="inlineStr"/>
      <c r="B3770" t="inlineStr"/>
      <c r="C3770" t="inlineStr"/>
      <c r="D3770" t="inlineStr"/>
      <c r="E3770">
        <f>HYPERLINK("https://www.ncbi.nlm.nih.gov/gene/?term=XP_040210295.1", "XP_040210295.1")</f>
        <v/>
      </c>
      <c r="F3770" t="n">
        <v>65.5</v>
      </c>
      <c r="G3770" t="n">
        <v>84</v>
      </c>
      <c r="H3770" t="n">
        <v>1.19e-27</v>
      </c>
      <c r="I3770" t="inlineStr">
        <is>
          <t>Nr</t>
        </is>
      </c>
      <c r="J3770" t="inlineStr"/>
      <c r="K3770" t="inlineStr"/>
      <c r="L3770" t="inlineStr">
        <is>
          <t>XP_040210295.1 centrosome and spindle pole-associated protein 1 isoform X1 [Rana temporaria]</t>
        </is>
      </c>
      <c r="M3770" t="n">
        <v>1302</v>
      </c>
      <c r="N3770" t="inlineStr">
        <is>
          <t>Rana temporaria</t>
        </is>
      </c>
      <c r="O3770" t="inlineStr">
        <is>
          <t>centrosome and spindle pole-associated protein 1 isoform X1</t>
        </is>
      </c>
    </row>
    <row r="3771">
      <c r="A3771" t="inlineStr"/>
      <c r="B3771" t="inlineStr"/>
      <c r="C3771" t="inlineStr"/>
      <c r="D3771" t="inlineStr"/>
      <c r="E3771">
        <f>HYPERLINK("https://www.uniprot.org/uniprotkb/A0A674HT66/entry", "A0A674HT66")</f>
        <v/>
      </c>
      <c r="F3771" t="n">
        <v>74.7</v>
      </c>
      <c r="G3771" t="n">
        <v>75</v>
      </c>
      <c r="H3771" t="n">
        <v>2.14e-27</v>
      </c>
      <c r="I3771" t="inlineStr">
        <is>
          <t>TrEMBL</t>
        </is>
      </c>
      <c r="J3771" t="inlineStr">
        <is>
          <t>CSPP1</t>
        </is>
      </c>
      <c r="K3771" t="inlineStr">
        <is>
          <t>A0A674HT66_TERCA</t>
        </is>
      </c>
      <c r="L3771" t="inlineStr">
        <is>
          <t>tr|A0A674HT66|A0A674HT66_TERCA Centrosome and spindle pole associated protein 1 OS=Terrapene carolina triunguis OX=2587831 GN=CSPP1 PE=4 SV=1</t>
        </is>
      </c>
      <c r="M3771" t="n">
        <v>932</v>
      </c>
      <c r="N3771" t="inlineStr">
        <is>
          <t>Terrapene carolina triunguis</t>
        </is>
      </c>
      <c r="O3771" t="inlineStr">
        <is>
          <t>Centrosome and spindle pole associated protein 1</t>
        </is>
      </c>
    </row>
    <row r="3772">
      <c r="A3772" t="inlineStr"/>
      <c r="B3772" t="inlineStr"/>
      <c r="C3772" t="inlineStr"/>
      <c r="D3772" t="inlineStr"/>
      <c r="E3772">
        <f>HYPERLINK("https://www.uniprot.org/uniprotkb/A0A674HT80/entry", "A0A674HT80")</f>
        <v/>
      </c>
      <c r="F3772" t="n">
        <v>74.7</v>
      </c>
      <c r="G3772" t="n">
        <v>75</v>
      </c>
      <c r="H3772" t="n">
        <v>2.15e-27</v>
      </c>
      <c r="I3772" t="inlineStr">
        <is>
          <t>TrEMBL</t>
        </is>
      </c>
      <c r="J3772" t="inlineStr">
        <is>
          <t>CSPP1</t>
        </is>
      </c>
      <c r="K3772" t="inlineStr">
        <is>
          <t>A0A674HT80_TERCA</t>
        </is>
      </c>
      <c r="L3772" t="inlineStr">
        <is>
          <t>tr|A0A674HT80|A0A674HT80_TERCA Centrosome and spindle pole associated protein 1 OS=Terrapene carolina triunguis OX=2587831 GN=CSPP1 PE=4 SV=1</t>
        </is>
      </c>
      <c r="M3772" t="n">
        <v>966</v>
      </c>
      <c r="N3772" t="inlineStr">
        <is>
          <t>Terrapene carolina triunguis</t>
        </is>
      </c>
      <c r="O3772" t="inlineStr">
        <is>
          <t>Centrosome and spindle pole associated protein 1</t>
        </is>
      </c>
    </row>
    <row r="3773">
      <c r="A3773" t="inlineStr"/>
      <c r="B3773" t="inlineStr"/>
      <c r="C3773" t="inlineStr"/>
      <c r="D3773" t="inlineStr"/>
      <c r="E3773">
        <f>HYPERLINK("https://www.uniprot.org/uniprotkb/A0A8C5PMW9/entry", "A0A8C5PMW9")</f>
        <v/>
      </c>
      <c r="F3773" t="n">
        <v>75</v>
      </c>
      <c r="G3773" t="n">
        <v>76</v>
      </c>
      <c r="H3773" t="n">
        <v>2.18e-27</v>
      </c>
      <c r="I3773" t="inlineStr">
        <is>
          <t>TrEMBL</t>
        </is>
      </c>
      <c r="J3773" t="inlineStr">
        <is>
          <t>CSPP1</t>
        </is>
      </c>
      <c r="K3773" t="inlineStr">
        <is>
          <t>A0A8C5PMW9_9ANUR</t>
        </is>
      </c>
      <c r="L3773" t="inlineStr">
        <is>
          <t>tr|A0A8C5PMW9|A0A8C5PMW9_9ANUR Centrosome and spindle pole associated protein 1 OS=Leptobrachium leishanense OX=445787 GN=CSPP1 PE=4 SV=1</t>
        </is>
      </c>
      <c r="M3773" t="n">
        <v>1251</v>
      </c>
      <c r="N3773" t="inlineStr">
        <is>
          <t>Leptobrachium leishanense</t>
        </is>
      </c>
      <c r="O3773" t="inlineStr">
        <is>
          <t>Centrosome and spindle pole associated protein 1</t>
        </is>
      </c>
    </row>
    <row r="3774">
      <c r="A3774" t="inlineStr"/>
      <c r="B3774" t="inlineStr"/>
      <c r="C3774" t="inlineStr"/>
      <c r="D3774" t="inlineStr"/>
      <c r="E3774">
        <f>HYPERLINK("https://www.uniprot.org/uniprotkb/A0A8C5PML4/entry", "A0A8C5PML4")</f>
        <v/>
      </c>
      <c r="F3774" t="n">
        <v>75</v>
      </c>
      <c r="G3774" t="n">
        <v>76</v>
      </c>
      <c r="H3774" t="n">
        <v>2.18e-27</v>
      </c>
      <c r="I3774" t="inlineStr">
        <is>
          <t>TrEMBL</t>
        </is>
      </c>
      <c r="J3774" t="inlineStr">
        <is>
          <t>CSPP1</t>
        </is>
      </c>
      <c r="K3774" t="inlineStr">
        <is>
          <t>A0A8C5PML4_9ANUR</t>
        </is>
      </c>
      <c r="L3774" t="inlineStr">
        <is>
          <t>tr|A0A8C5PML4|A0A8C5PML4_9ANUR Centrosome and spindle pole associated protein 1 OS=Leptobrachium leishanense OX=445787 GN=CSPP1 PE=4 SV=1</t>
        </is>
      </c>
      <c r="M3774" t="n">
        <v>1274</v>
      </c>
      <c r="N3774" t="inlineStr">
        <is>
          <t>Leptobrachium leishanense</t>
        </is>
      </c>
      <c r="O3774" t="inlineStr">
        <is>
          <t>Centrosome and spindle pole associated protein 1</t>
        </is>
      </c>
    </row>
    <row r="3775">
      <c r="A3775" t="inlineStr"/>
      <c r="B3775" t="inlineStr"/>
      <c r="C3775" t="inlineStr"/>
      <c r="D3775" t="inlineStr"/>
      <c r="E3775">
        <f>HYPERLINK("https://www.uniprot.org/uniprotkb/A0A8C5PL64/entry", "A0A8C5PL64")</f>
        <v/>
      </c>
      <c r="F3775" t="n">
        <v>75</v>
      </c>
      <c r="G3775" t="n">
        <v>76</v>
      </c>
      <c r="H3775" t="n">
        <v>2.18e-27</v>
      </c>
      <c r="I3775" t="inlineStr">
        <is>
          <t>TrEMBL</t>
        </is>
      </c>
      <c r="J3775" t="inlineStr">
        <is>
          <t>CSPP1</t>
        </is>
      </c>
      <c r="K3775" t="inlineStr">
        <is>
          <t>A0A8C5PL64_9ANUR</t>
        </is>
      </c>
      <c r="L3775" t="inlineStr">
        <is>
          <t>tr|A0A8C5PL64|A0A8C5PL64_9ANUR Centrosome and spindle pole associated protein 1 OS=Leptobrachium leishanense OX=445787 GN=CSPP1 PE=4 SV=1</t>
        </is>
      </c>
      <c r="M3775" t="n">
        <v>1282</v>
      </c>
      <c r="N3775" t="inlineStr">
        <is>
          <t>Leptobrachium leishanense</t>
        </is>
      </c>
      <c r="O3775" t="inlineStr">
        <is>
          <t>Centrosome and spindle pole associated protein 1</t>
        </is>
      </c>
    </row>
    <row r="3776">
      <c r="A3776" t="inlineStr"/>
      <c r="B3776" t="inlineStr"/>
      <c r="C3776" t="inlineStr"/>
      <c r="D3776" t="inlineStr"/>
      <c r="E3776">
        <f>HYPERLINK("https://www.ncbi.nlm.nih.gov/gene/?term=KAG8542138.1", "KAG8542138.1")</f>
        <v/>
      </c>
      <c r="F3776" t="n">
        <v>65.8</v>
      </c>
      <c r="G3776" t="n">
        <v>79</v>
      </c>
      <c r="H3776" t="n">
        <v>2.24e-27</v>
      </c>
      <c r="I3776" t="inlineStr">
        <is>
          <t>Nr</t>
        </is>
      </c>
      <c r="J3776" t="inlineStr"/>
      <c r="K3776" t="inlineStr"/>
      <c r="L3776" t="inlineStr">
        <is>
          <t>KAG8542138.1 hypothetical protein GDO81_027368 [Engystomops pustulosus]</t>
        </is>
      </c>
      <c r="M3776" t="n">
        <v>134</v>
      </c>
      <c r="N3776" t="inlineStr">
        <is>
          <t>Engystomops pustulosus</t>
        </is>
      </c>
      <c r="O3776" t="inlineStr">
        <is>
          <t>hypothetical protein GDO81_027368</t>
        </is>
      </c>
    </row>
    <row r="3777">
      <c r="A3777" t="inlineStr"/>
      <c r="B3777" t="inlineStr"/>
      <c r="C3777" t="inlineStr"/>
      <c r="D3777" t="inlineStr"/>
      <c r="E3777">
        <f>HYPERLINK("https://www.ncbi.nlm.nih.gov/gene/?term=XP_043395479.1", "XP_043395479.1")</f>
        <v/>
      </c>
      <c r="F3777" t="n">
        <v>73.3</v>
      </c>
      <c r="G3777" t="n">
        <v>75</v>
      </c>
      <c r="H3777" t="n">
        <v>2.95e-27</v>
      </c>
      <c r="I3777" t="inlineStr">
        <is>
          <t>Nr</t>
        </is>
      </c>
      <c r="J3777" t="inlineStr"/>
      <c r="K3777" t="inlineStr"/>
      <c r="L3777" t="inlineStr">
        <is>
          <t>XP_043395479.1 centrosome and spindle pole-associated protein 1 isoform X17 [Chelonia mydas]</t>
        </is>
      </c>
      <c r="M3777" t="n">
        <v>900</v>
      </c>
      <c r="N3777" t="inlineStr">
        <is>
          <t>Chelonia mydas</t>
        </is>
      </c>
      <c r="O3777" t="inlineStr">
        <is>
          <t>centrosome and spindle pole-associated protein 1 isoform X17</t>
        </is>
      </c>
    </row>
    <row r="3778">
      <c r="A3778" t="inlineStr"/>
      <c r="B3778" t="inlineStr"/>
      <c r="C3778" t="inlineStr"/>
      <c r="D3778" t="inlineStr"/>
      <c r="E3778">
        <f>HYPERLINK("https://www.uniprot.org/uniprotkb/A0A452HRK2/entry", "A0A452HRK2")</f>
        <v/>
      </c>
      <c r="F3778" t="n">
        <v>72</v>
      </c>
      <c r="G3778" t="n">
        <v>75</v>
      </c>
      <c r="H3778" t="n">
        <v>1.22e-25</v>
      </c>
      <c r="I3778" t="inlineStr">
        <is>
          <t>TrEMBL</t>
        </is>
      </c>
      <c r="J3778" t="inlineStr"/>
      <c r="K3778" t="inlineStr">
        <is>
          <t>A0A452HRK2_9SAUR</t>
        </is>
      </c>
      <c r="L3778" t="inlineStr">
        <is>
          <t>tr|A0A452HRK2|A0A452HRK2_9SAUR Centrosome and spindle pole associated protein 1 OS=Gopherus agassizii OX=38772 PE=4 SV=1</t>
        </is>
      </c>
      <c r="M3778" t="n">
        <v>1020</v>
      </c>
      <c r="N3778" t="inlineStr">
        <is>
          <t>Gopherus agassizii</t>
        </is>
      </c>
      <c r="O3778" t="inlineStr">
        <is>
          <t>Centrosome and spindle pole associated protein 1</t>
        </is>
      </c>
    </row>
    <row r="3779">
      <c r="A3779" t="inlineStr"/>
      <c r="B3779" t="inlineStr"/>
      <c r="C3779" t="inlineStr"/>
      <c r="D3779" t="inlineStr"/>
      <c r="E3779">
        <f>HYPERLINK("https://www.uniprot.org/uniprotkb/A0A8D0L0W8/entry", "A0A8D0L0W8")</f>
        <v/>
      </c>
      <c r="F3779" t="n">
        <v>72</v>
      </c>
      <c r="G3779" t="n">
        <v>75</v>
      </c>
      <c r="H3779" t="n">
        <v>8.52e-25</v>
      </c>
      <c r="I3779" t="inlineStr">
        <is>
          <t>TrEMBL</t>
        </is>
      </c>
      <c r="J3779" t="inlineStr"/>
      <c r="K3779" t="inlineStr">
        <is>
          <t>A0A8D0L0W8_SPHPU</t>
        </is>
      </c>
      <c r="L3779" t="inlineStr">
        <is>
          <t>tr|A0A8D0L0W8|A0A8D0L0W8_SPHPU Centrosome and spindle pole-associated protein 1 OS=Sphenodon punctatus OX=8508 PE=4 SV=1</t>
        </is>
      </c>
      <c r="M3779" t="n">
        <v>491</v>
      </c>
      <c r="N3779" t="inlineStr">
        <is>
          <t>Sphenodon punctatus</t>
        </is>
      </c>
      <c r="O3779" t="inlineStr">
        <is>
          <t>Centrosome and spindle pole-associated protein 1</t>
        </is>
      </c>
    </row>
    <row r="3780">
      <c r="A3780" t="inlineStr"/>
      <c r="B3780" t="inlineStr"/>
      <c r="C3780" t="inlineStr"/>
      <c r="D3780" t="inlineStr"/>
      <c r="E3780">
        <f>HYPERLINK("https://www.uniprot.org/uniprotkb/A0A7K9UM01/entry", "A0A7K9UM01")</f>
        <v/>
      </c>
      <c r="F3780" t="n">
        <v>64</v>
      </c>
      <c r="G3780" t="n">
        <v>75</v>
      </c>
      <c r="H3780" t="n">
        <v>2.38e-24</v>
      </c>
      <c r="I3780" t="inlineStr">
        <is>
          <t>TrEMBL</t>
        </is>
      </c>
      <c r="J3780" t="inlineStr">
        <is>
          <t>Cspp1</t>
        </is>
      </c>
      <c r="K3780" t="inlineStr">
        <is>
          <t>A0A7K9UM01_ANSSE</t>
        </is>
      </c>
      <c r="L3780" t="inlineStr">
        <is>
          <t>tr|A0A7K9UM01|A0A7K9UM01_ANSSE CSPP1 protein (Fragment) OS=Anseranas semipalmata OX=8851 GN=Cspp1 PE=4 SV=1</t>
        </is>
      </c>
      <c r="M3780" t="n">
        <v>169</v>
      </c>
      <c r="N3780" t="inlineStr">
        <is>
          <t>Anseranas semipalmata</t>
        </is>
      </c>
      <c r="O3780" t="inlineStr">
        <is>
          <t>CSPP1 protein (Fragment)</t>
        </is>
      </c>
    </row>
    <row r="3781">
      <c r="A3781" t="inlineStr"/>
      <c r="B3781" t="inlineStr"/>
      <c r="C3781" t="inlineStr"/>
      <c r="D3781" t="inlineStr"/>
      <c r="E3781">
        <f>HYPERLINK("https://www.uniprot.org/uniprotkb/A0A7L4ICY8/entry", "A0A7L4ICY8")</f>
        <v/>
      </c>
      <c r="F3781" t="n">
        <v>62.7</v>
      </c>
      <c r="G3781" t="n">
        <v>75</v>
      </c>
      <c r="H3781" t="n">
        <v>4.18e-24</v>
      </c>
      <c r="I3781" t="inlineStr">
        <is>
          <t>TrEMBL</t>
        </is>
      </c>
      <c r="J3781" t="inlineStr">
        <is>
          <t>Cspp1_1</t>
        </is>
      </c>
      <c r="K3781" t="inlineStr">
        <is>
          <t>A0A7L4ICY8_SCOUM</t>
        </is>
      </c>
      <c r="L3781" t="inlineStr">
        <is>
          <t>tr|A0A7L4ICY8|A0A7L4ICY8_SCOUM CSPP1 protein (Fragment) OS=Scopus umbretta OX=33581 GN=Cspp1_1 PE=4 SV=1</t>
        </is>
      </c>
      <c r="M3781" t="n">
        <v>164</v>
      </c>
      <c r="N3781" t="inlineStr">
        <is>
          <t>Scopus umbretta</t>
        </is>
      </c>
      <c r="O3781" t="inlineStr">
        <is>
          <t>CSPP1 protein (Fragment)</t>
        </is>
      </c>
    </row>
    <row r="3782">
      <c r="A3782" t="inlineStr"/>
      <c r="B3782" t="inlineStr"/>
      <c r="C3782" t="inlineStr"/>
      <c r="D3782" t="inlineStr"/>
      <c r="E3782">
        <f>HYPERLINK("https://www.uniprot.org/uniprotkb/A0A8K0AT55/entry", "A0A8K0AT55")</f>
        <v/>
      </c>
      <c r="F3782" t="n">
        <v>64</v>
      </c>
      <c r="G3782" t="n">
        <v>75</v>
      </c>
      <c r="H3782" t="n">
        <v>5.76e-24</v>
      </c>
      <c r="I3782" t="inlineStr">
        <is>
          <t>TrEMBL</t>
        </is>
      </c>
      <c r="J3782" t="inlineStr">
        <is>
          <t>CSPP1</t>
        </is>
      </c>
      <c r="K3782" t="inlineStr">
        <is>
          <t>A0A8K0AT55_9AVES</t>
        </is>
      </c>
      <c r="L3782" t="inlineStr">
        <is>
          <t>tr|A0A8K0AT55|A0A8K0AT55_9AVES Centrosome and spindle pole-associated protein 1 (Fragment) OS=Eudyptes robustus OX=345251 GN=CSPP1 PE=4 SV=1</t>
        </is>
      </c>
      <c r="M3782" t="n">
        <v>163</v>
      </c>
      <c r="N3782" t="inlineStr">
        <is>
          <t>Eudyptes robustus</t>
        </is>
      </c>
      <c r="O3782" t="inlineStr">
        <is>
          <t>Centrosome and spindle pole-associated protein 1 (Fragment)</t>
        </is>
      </c>
    </row>
    <row r="3783">
      <c r="A3783" t="inlineStr"/>
      <c r="B3783" t="inlineStr"/>
      <c r="C3783" t="inlineStr"/>
      <c r="D3783" t="inlineStr"/>
      <c r="E3783">
        <f>HYPERLINK("https://www.uniprot.org/uniprotkb/A0A7L1TKG1/entry", "A0A7L1TKG1")</f>
        <v/>
      </c>
      <c r="F3783" t="n">
        <v>62.7</v>
      </c>
      <c r="G3783" t="n">
        <v>75</v>
      </c>
      <c r="H3783" t="n">
        <v>8.8e-24</v>
      </c>
      <c r="I3783" t="inlineStr">
        <is>
          <t>TrEMBL</t>
        </is>
      </c>
      <c r="J3783" t="inlineStr">
        <is>
          <t>Cspp1_1</t>
        </is>
      </c>
      <c r="K3783" t="inlineStr">
        <is>
          <t>A0A7L1TKG1_ARAGA</t>
        </is>
      </c>
      <c r="L3783" t="inlineStr">
        <is>
          <t>tr|A0A7L1TKG1|A0A7L1TKG1_ARAGA CSPP1 protein (Fragment) OS=Aramus guarauna OX=54356 GN=Cspp1_1 PE=4 SV=1</t>
        </is>
      </c>
      <c r="M3783" t="n">
        <v>166</v>
      </c>
      <c r="N3783" t="inlineStr">
        <is>
          <t>Aramus guarauna</t>
        </is>
      </c>
      <c r="O3783" t="inlineStr">
        <is>
          <t>CSPP1 protein (Fragment)</t>
        </is>
      </c>
    </row>
    <row r="3784">
      <c r="A3784" t="inlineStr"/>
      <c r="B3784" t="inlineStr"/>
      <c r="C3784" t="inlineStr"/>
      <c r="D3784" t="inlineStr"/>
      <c r="E3784">
        <f>HYPERLINK("https://www.uniprot.org/uniprotkb/A0A7L1KYD0/entry", "A0A7L1KYD0")</f>
        <v/>
      </c>
      <c r="F3784" t="n">
        <v>62.7</v>
      </c>
      <c r="G3784" t="n">
        <v>75</v>
      </c>
      <c r="H3784" t="n">
        <v>8.8e-24</v>
      </c>
      <c r="I3784" t="inlineStr">
        <is>
          <t>TrEMBL</t>
        </is>
      </c>
      <c r="J3784" t="inlineStr">
        <is>
          <t>Cspp1_1</t>
        </is>
      </c>
      <c r="K3784" t="inlineStr">
        <is>
          <t>A0A7L1KYD0_HIMHI</t>
        </is>
      </c>
      <c r="L3784" t="inlineStr">
        <is>
          <t>tr|A0A7L1KYD0|A0A7L1KYD0_HIMHI CSPP1 protein (Fragment) OS=Himantopus himantopus OX=225398 GN=Cspp1_1 PE=4 SV=1</t>
        </is>
      </c>
      <c r="M3784" t="n">
        <v>166</v>
      </c>
      <c r="N3784" t="inlineStr">
        <is>
          <t>Himantopus himantopus</t>
        </is>
      </c>
      <c r="O3784" t="inlineStr">
        <is>
          <t>CSPP1 protein (Fragment)</t>
        </is>
      </c>
    </row>
    <row r="3785">
      <c r="A3785" t="inlineStr"/>
      <c r="B3785" t="inlineStr"/>
      <c r="C3785" t="inlineStr"/>
      <c r="D3785" t="inlineStr"/>
      <c r="E3785">
        <f>HYPERLINK("https://www.uniprot.org/uniprotkb/A0A3Q0H6G9/entry", "A0A3Q0H6G9")</f>
        <v/>
      </c>
      <c r="F3785" t="n">
        <v>66.7</v>
      </c>
      <c r="G3785" t="n">
        <v>75</v>
      </c>
      <c r="H3785" t="n">
        <v>1.29e-23</v>
      </c>
      <c r="I3785" t="inlineStr">
        <is>
          <t>TrEMBL</t>
        </is>
      </c>
      <c r="J3785" t="inlineStr">
        <is>
          <t>CSPP1</t>
        </is>
      </c>
      <c r="K3785" t="inlineStr">
        <is>
          <t>A0A3Q0H6G9_ALLSI</t>
        </is>
      </c>
      <c r="L3785" t="inlineStr">
        <is>
          <t>tr|A0A3Q0H6G9|A0A3Q0H6G9_ALLSI centrosome and spindle pole-associated protein 1 isoform X13 OS=Alligator sinensis OX=38654 GN=CSPP1 PE=4 SV=1</t>
        </is>
      </c>
      <c r="M3785" t="n">
        <v>1095</v>
      </c>
      <c r="N3785" t="inlineStr">
        <is>
          <t>Alligator sinensis</t>
        </is>
      </c>
      <c r="O3785" t="inlineStr">
        <is>
          <t>centrosome and spindle pole-associated protein 1 isoform X13</t>
        </is>
      </c>
    </row>
    <row r="3786">
      <c r="A3786" t="inlineStr"/>
      <c r="B3786" t="inlineStr"/>
      <c r="C3786" t="inlineStr"/>
      <c r="D3786" t="inlineStr"/>
      <c r="E3786">
        <f>HYPERLINK("https://www.uniprot.org/uniprotkb/A0A3Q0H1W4/entry", "A0A3Q0H1W4")</f>
        <v/>
      </c>
      <c r="F3786" t="n">
        <v>66.7</v>
      </c>
      <c r="G3786" t="n">
        <v>75</v>
      </c>
      <c r="H3786" t="n">
        <v>1.29e-23</v>
      </c>
      <c r="I3786" t="inlineStr">
        <is>
          <t>TrEMBL</t>
        </is>
      </c>
      <c r="J3786" t="inlineStr">
        <is>
          <t>CSPP1</t>
        </is>
      </c>
      <c r="K3786" t="inlineStr">
        <is>
          <t>A0A3Q0H1W4_ALLSI</t>
        </is>
      </c>
      <c r="L3786" t="inlineStr">
        <is>
          <t>tr|A0A3Q0H1W4|A0A3Q0H1W4_ALLSI centrosome and spindle pole-associated protein 1 isoform X11 OS=Alligator sinensis OX=38654 GN=CSPP1 PE=4 SV=1</t>
        </is>
      </c>
      <c r="M3786" t="n">
        <v>1129</v>
      </c>
      <c r="N3786" t="inlineStr">
        <is>
          <t>Alligator sinensis</t>
        </is>
      </c>
      <c r="O3786" t="inlineStr">
        <is>
          <t>centrosome and spindle pole-associated protein 1 isoform X11</t>
        </is>
      </c>
    </row>
    <row r="3787">
      <c r="A3787" t="inlineStr"/>
      <c r="B3787" t="inlineStr"/>
      <c r="C3787" t="inlineStr"/>
      <c r="D3787" t="inlineStr"/>
      <c r="E3787">
        <f>HYPERLINK("https://www.uniprot.org/uniprotkb/A0A3Q0H6G4/entry", "A0A3Q0H6G4")</f>
        <v/>
      </c>
      <c r="F3787" t="n">
        <v>66.7</v>
      </c>
      <c r="G3787" t="n">
        <v>75</v>
      </c>
      <c r="H3787" t="n">
        <v>1.3e-23</v>
      </c>
      <c r="I3787" t="inlineStr">
        <is>
          <t>TrEMBL</t>
        </is>
      </c>
      <c r="J3787" t="inlineStr">
        <is>
          <t>CSPP1</t>
        </is>
      </c>
      <c r="K3787" t="inlineStr">
        <is>
          <t>A0A3Q0H6G4_ALLSI</t>
        </is>
      </c>
      <c r="L3787" t="inlineStr">
        <is>
          <t>tr|A0A3Q0H6G4|A0A3Q0H6G4_ALLSI centrosome and spindle pole-associated protein 1 isoform X10 OS=Alligator sinensis OX=38654 GN=CSPP1 PE=4 SV=1</t>
        </is>
      </c>
      <c r="M3787" t="n">
        <v>1178</v>
      </c>
      <c r="N3787" t="inlineStr">
        <is>
          <t>Alligator sinensis</t>
        </is>
      </c>
      <c r="O3787" t="inlineStr">
        <is>
          <t>centrosome and spindle pole-associated protein 1 isoform X10</t>
        </is>
      </c>
    </row>
    <row r="3788">
      <c r="A3788" t="inlineStr"/>
      <c r="B3788" t="inlineStr"/>
      <c r="C3788" t="inlineStr"/>
      <c r="D3788" t="inlineStr"/>
      <c r="E3788">
        <f>HYPERLINK("https://www.uniprot.org/uniprotkb/A0A3Q0H6J1/entry", "A0A3Q0H6J1")</f>
        <v/>
      </c>
      <c r="F3788" t="n">
        <v>66.7</v>
      </c>
      <c r="G3788" t="n">
        <v>75</v>
      </c>
      <c r="H3788" t="n">
        <v>1.3e-23</v>
      </c>
      <c r="I3788" t="inlineStr">
        <is>
          <t>TrEMBL</t>
        </is>
      </c>
      <c r="J3788" t="inlineStr">
        <is>
          <t>CSPP1</t>
        </is>
      </c>
      <c r="K3788" t="inlineStr">
        <is>
          <t>A0A3Q0H6J1_ALLSI</t>
        </is>
      </c>
      <c r="L3788" t="inlineStr">
        <is>
          <t>tr|A0A3Q0H6J1|A0A3Q0H6J1_ALLSI centrosome and spindle pole-associated protein 1 isoform X15 OS=Alligator sinensis OX=38654 GN=CSPP1 PE=4 SV=1</t>
        </is>
      </c>
      <c r="M3788" t="n">
        <v>1182</v>
      </c>
      <c r="N3788" t="inlineStr">
        <is>
          <t>Alligator sinensis</t>
        </is>
      </c>
      <c r="O3788" t="inlineStr">
        <is>
          <t>centrosome and spindle pole-associated protein 1 isoform X15</t>
        </is>
      </c>
    </row>
    <row r="3789">
      <c r="A3789" t="inlineStr"/>
      <c r="B3789" t="inlineStr"/>
      <c r="C3789" t="inlineStr"/>
      <c r="D3789" t="inlineStr"/>
      <c r="E3789">
        <f>HYPERLINK("https://www.uniprot.org/uniprotkb/Q1MSJ5/entry", "Q1MSJ5")</f>
        <v/>
      </c>
      <c r="F3789" t="n">
        <v>50</v>
      </c>
      <c r="G3789" t="n">
        <v>80</v>
      </c>
      <c r="H3789" t="n">
        <v>1.57e-13</v>
      </c>
      <c r="I3789" t="inlineStr">
        <is>
          <t>Swiss-Prot</t>
        </is>
      </c>
      <c r="J3789" t="inlineStr">
        <is>
          <t>CSPP1</t>
        </is>
      </c>
      <c r="K3789" t="inlineStr">
        <is>
          <t>CSPP1_HUMAN</t>
        </is>
      </c>
      <c r="L3789" t="inlineStr">
        <is>
          <t>sp|Q1MSJ5|CSPP1_HUMAN Centrosome and spindle pole-associated protein 1 OS=Homo sapiens OX=9606 GN=CSPP1 PE=1 SV=4</t>
        </is>
      </c>
      <c r="M3789" t="n">
        <v>1256</v>
      </c>
      <c r="N3789" t="inlineStr">
        <is>
          <t>Homo sapiens</t>
        </is>
      </c>
      <c r="O3789" t="inlineStr">
        <is>
          <t>Centrosome and spindle pole-associated protein 1</t>
        </is>
      </c>
    </row>
    <row r="3790">
      <c r="A3790" t="inlineStr"/>
      <c r="B3790" t="inlineStr"/>
      <c r="C3790" t="inlineStr"/>
      <c r="D3790" t="inlineStr"/>
      <c r="E3790">
        <f>HYPERLINK("https://www.uniprot.org/uniprotkb/B2RX88/entry", "B2RX88")</f>
        <v/>
      </c>
      <c r="F3790" t="n">
        <v>40.5</v>
      </c>
      <c r="G3790" t="n">
        <v>79</v>
      </c>
      <c r="H3790" t="n">
        <v>3.22e-09</v>
      </c>
      <c r="I3790" t="inlineStr">
        <is>
          <t>Swiss-Prot</t>
        </is>
      </c>
      <c r="J3790" t="inlineStr">
        <is>
          <t>Cspp1</t>
        </is>
      </c>
      <c r="K3790" t="inlineStr">
        <is>
          <t>CSPP1_MOUSE</t>
        </is>
      </c>
      <c r="L3790" t="inlineStr">
        <is>
          <t>sp|B2RX88|CSPP1_MOUSE Centrosome and spindle pole associated protein 1 OS=Mus musculus OX=10090 GN=Cspp1 PE=1 SV=2</t>
        </is>
      </c>
      <c r="M3790" t="n">
        <v>1205</v>
      </c>
      <c r="N3790" t="inlineStr">
        <is>
          <t>Mus musculus</t>
        </is>
      </c>
      <c r="O3790" t="inlineStr">
        <is>
          <t>Centrosome and spindle pole associated protein 1</t>
        </is>
      </c>
    </row>
    <row r="3791">
      <c r="A3791" t="inlineStr">
        <is>
          <t>NODE_23669_length_4504_cov_167.359928_g4675_i10</t>
        </is>
      </c>
      <c r="B3791" t="inlineStr">
        <is>
          <t>bombina_pachypus_blastx</t>
        </is>
      </c>
      <c r="C3791" t="n">
        <v>8.27640798113219</v>
      </c>
      <c r="D3791" t="n">
        <v>5.94129921190975e-07</v>
      </c>
      <c r="E3791">
        <f>HYPERLINK("https://www.ncbi.nlm.nih.gov/gene/?term=XP_018421418.1", "XP_018421418.1")</f>
        <v/>
      </c>
      <c r="F3791" t="n">
        <v>86.7</v>
      </c>
      <c r="G3791" t="n">
        <v>60</v>
      </c>
      <c r="H3791" t="n">
        <v>2.25e-28</v>
      </c>
      <c r="I3791" t="inlineStr">
        <is>
          <t>Nr</t>
        </is>
      </c>
      <c r="J3791" t="inlineStr"/>
      <c r="K3791" t="inlineStr"/>
      <c r="L3791" t="inlineStr">
        <is>
          <t>XP_018421418.1 PREDICTED: neurocan core protein [Nanorana parkeri]</t>
        </is>
      </c>
      <c r="M3791" t="n">
        <v>1863</v>
      </c>
      <c r="N3791" t="inlineStr">
        <is>
          <t>Nanorana parkeri</t>
        </is>
      </c>
      <c r="O3791" t="inlineStr">
        <is>
          <t>PREDICTED: neurocan core protein</t>
        </is>
      </c>
    </row>
    <row r="3792">
      <c r="A3792" t="inlineStr"/>
      <c r="B3792" t="inlineStr"/>
      <c r="C3792" t="inlineStr"/>
      <c r="D3792" t="inlineStr"/>
      <c r="E3792">
        <f>HYPERLINK("https://www.ncbi.nlm.nih.gov/gene/?term=XP_053321714.1", "XP_053321714.1")</f>
        <v/>
      </c>
      <c r="F3792" t="n">
        <v>89.7</v>
      </c>
      <c r="G3792" t="n">
        <v>58</v>
      </c>
      <c r="H3792" t="n">
        <v>4.15e-28</v>
      </c>
      <c r="I3792" t="inlineStr">
        <is>
          <t>Nr</t>
        </is>
      </c>
      <c r="J3792" t="inlineStr"/>
      <c r="K3792" t="inlineStr"/>
      <c r="L3792" t="inlineStr">
        <is>
          <t>XP_053321714.1 neurocan core protein [Spea bombifrons]</t>
        </is>
      </c>
      <c r="M3792" t="n">
        <v>1622</v>
      </c>
      <c r="N3792" t="inlineStr">
        <is>
          <t>Spea bombifrons</t>
        </is>
      </c>
      <c r="O3792" t="inlineStr">
        <is>
          <t>neurocan core protein</t>
        </is>
      </c>
    </row>
    <row r="3793">
      <c r="A3793" t="inlineStr"/>
      <c r="B3793" t="inlineStr"/>
      <c r="C3793" t="inlineStr"/>
      <c r="D3793" t="inlineStr"/>
      <c r="E3793">
        <f>HYPERLINK("https://www.uniprot.org/uniprotkb/A0A8C5QCB5/entry", "A0A8C5QCB5")</f>
        <v/>
      </c>
      <c r="F3793" t="n">
        <v>89.8</v>
      </c>
      <c r="G3793" t="n">
        <v>59</v>
      </c>
      <c r="H3793" t="n">
        <v>5.58e-28</v>
      </c>
      <c r="I3793" t="inlineStr">
        <is>
          <t>TrEMBL</t>
        </is>
      </c>
      <c r="J3793" t="inlineStr">
        <is>
          <t>NCAN</t>
        </is>
      </c>
      <c r="K3793" t="inlineStr">
        <is>
          <t>A0A8C5QCB5_9ANUR</t>
        </is>
      </c>
      <c r="L3793" t="inlineStr">
        <is>
          <t>tr|A0A8C5QCB5|A0A8C5QCB5_9ANUR Neurocan OS=Leptobrachium leishanense OX=445787 GN=NCAN PE=4 SV=1</t>
        </is>
      </c>
      <c r="M3793" t="n">
        <v>1599</v>
      </c>
      <c r="N3793" t="inlineStr">
        <is>
          <t>Leptobrachium leishanense</t>
        </is>
      </c>
      <c r="O3793" t="inlineStr">
        <is>
          <t>Neurocan</t>
        </is>
      </c>
    </row>
    <row r="3794">
      <c r="A3794" t="inlineStr"/>
      <c r="B3794" t="inlineStr"/>
      <c r="C3794" t="inlineStr"/>
      <c r="D3794" t="inlineStr"/>
      <c r="E3794">
        <f>HYPERLINK("https://www.uniprot.org/uniprotkb/A0A8C5QBB5/entry", "A0A8C5QBB5")</f>
        <v/>
      </c>
      <c r="F3794" t="n">
        <v>89.8</v>
      </c>
      <c r="G3794" t="n">
        <v>59</v>
      </c>
      <c r="H3794" t="n">
        <v>5.58e-28</v>
      </c>
      <c r="I3794" t="inlineStr">
        <is>
          <t>TrEMBL</t>
        </is>
      </c>
      <c r="J3794" t="inlineStr">
        <is>
          <t>NCAN</t>
        </is>
      </c>
      <c r="K3794" t="inlineStr">
        <is>
          <t>A0A8C5QBB5_9ANUR</t>
        </is>
      </c>
      <c r="L3794" t="inlineStr">
        <is>
          <t>tr|A0A8C5QBB5|A0A8C5QBB5_9ANUR Neurocan OS=Leptobrachium leishanense OX=445787 GN=NCAN PE=4 SV=1</t>
        </is>
      </c>
      <c r="M3794" t="n">
        <v>1602</v>
      </c>
      <c r="N3794" t="inlineStr">
        <is>
          <t>Leptobrachium leishanense</t>
        </is>
      </c>
      <c r="O3794" t="inlineStr">
        <is>
          <t>Neurocan</t>
        </is>
      </c>
    </row>
    <row r="3795">
      <c r="A3795" t="inlineStr"/>
      <c r="B3795" t="inlineStr"/>
      <c r="C3795" t="inlineStr"/>
      <c r="D3795" t="inlineStr"/>
      <c r="E3795">
        <f>HYPERLINK("https://www.uniprot.org/uniprotkb/A0A8C5QDN1/entry", "A0A8C5QDN1")</f>
        <v/>
      </c>
      <c r="F3795" t="n">
        <v>89.8</v>
      </c>
      <c r="G3795" t="n">
        <v>59</v>
      </c>
      <c r="H3795" t="n">
        <v>5.58e-28</v>
      </c>
      <c r="I3795" t="inlineStr">
        <is>
          <t>TrEMBL</t>
        </is>
      </c>
      <c r="J3795" t="inlineStr">
        <is>
          <t>NCAN</t>
        </is>
      </c>
      <c r="K3795" t="inlineStr">
        <is>
          <t>A0A8C5QDN1_9ANUR</t>
        </is>
      </c>
      <c r="L3795" t="inlineStr">
        <is>
          <t>tr|A0A8C5QDN1|A0A8C5QDN1_9ANUR Neurocan OS=Leptobrachium leishanense OX=445787 GN=NCAN PE=4 SV=1</t>
        </is>
      </c>
      <c r="M3795" t="n">
        <v>1602</v>
      </c>
      <c r="N3795" t="inlineStr">
        <is>
          <t>Leptobrachium leishanense</t>
        </is>
      </c>
      <c r="O3795" t="inlineStr">
        <is>
          <t>Neurocan</t>
        </is>
      </c>
    </row>
    <row r="3796">
      <c r="A3796" t="inlineStr"/>
      <c r="B3796" t="inlineStr"/>
      <c r="C3796" t="inlineStr"/>
      <c r="D3796" t="inlineStr"/>
      <c r="E3796">
        <f>HYPERLINK("https://www.ncbi.nlm.nih.gov/gene/?term=KAG8594908.1", "KAG8594908.1")</f>
        <v/>
      </c>
      <c r="F3796" t="n">
        <v>83.3</v>
      </c>
      <c r="G3796" t="n">
        <v>60</v>
      </c>
      <c r="H3796" t="n">
        <v>1.92e-27</v>
      </c>
      <c r="I3796" t="inlineStr">
        <is>
          <t>Nr</t>
        </is>
      </c>
      <c r="J3796" t="inlineStr"/>
      <c r="K3796" t="inlineStr"/>
      <c r="L3796" t="inlineStr">
        <is>
          <t>KAG8594908.1 hypothetical protein GDO81_001358 [Engystomops pustulosus]</t>
        </is>
      </c>
      <c r="M3796" t="n">
        <v>1162</v>
      </c>
      <c r="N3796" t="inlineStr">
        <is>
          <t>Engystomops pustulosus</t>
        </is>
      </c>
      <c r="O3796" t="inlineStr">
        <is>
          <t>hypothetical protein GDO81_001358</t>
        </is>
      </c>
    </row>
    <row r="3797">
      <c r="A3797" t="inlineStr"/>
      <c r="B3797" t="inlineStr"/>
      <c r="C3797" t="inlineStr"/>
      <c r="D3797" t="inlineStr"/>
      <c r="E3797">
        <f>HYPERLINK("https://www.ncbi.nlm.nih.gov/gene/?term=KAG8594907.1", "KAG8594907.1")</f>
        <v/>
      </c>
      <c r="F3797" t="n">
        <v>83.3</v>
      </c>
      <c r="G3797" t="n">
        <v>60</v>
      </c>
      <c r="H3797" t="n">
        <v>1.95e-27</v>
      </c>
      <c r="I3797" t="inlineStr">
        <is>
          <t>Nr</t>
        </is>
      </c>
      <c r="J3797" t="inlineStr"/>
      <c r="K3797" t="inlineStr"/>
      <c r="L3797" t="inlineStr">
        <is>
          <t>KAG8594907.1 hypothetical protein GDO81_001358 [Engystomops pustulosus]</t>
        </is>
      </c>
      <c r="M3797" t="n">
        <v>1527</v>
      </c>
      <c r="N3797" t="inlineStr">
        <is>
          <t>Engystomops pustulosus</t>
        </is>
      </c>
      <c r="O3797" t="inlineStr">
        <is>
          <t>hypothetical protein GDO81_001358</t>
        </is>
      </c>
    </row>
    <row r="3798">
      <c r="A3798" t="inlineStr"/>
      <c r="B3798" t="inlineStr"/>
      <c r="C3798" t="inlineStr"/>
      <c r="D3798" t="inlineStr"/>
      <c r="E3798">
        <f>HYPERLINK("https://www.uniprot.org/uniprotkb/A0A8J6KCD0/entry", "A0A8J6KCD0")</f>
        <v/>
      </c>
      <c r="F3798" t="n">
        <v>84.2</v>
      </c>
      <c r="G3798" t="n">
        <v>57</v>
      </c>
      <c r="H3798" t="n">
        <v>1.65e-26</v>
      </c>
      <c r="I3798" t="inlineStr">
        <is>
          <t>TrEMBL</t>
        </is>
      </c>
      <c r="J3798" t="inlineStr">
        <is>
          <t>GDO78_006714</t>
        </is>
      </c>
      <c r="K3798" t="inlineStr">
        <is>
          <t>A0A8J6KCD0_ELECQ</t>
        </is>
      </c>
      <c r="L3798" t="inlineStr">
        <is>
          <t>tr|A0A8J6KCD0|A0A8J6KCD0_ELECQ Neurocan b OS=Eleutherodactylus coqui OX=57060 GN=GDO78_006714 PE=4 SV=1</t>
        </is>
      </c>
      <c r="M3798" t="n">
        <v>1150</v>
      </c>
      <c r="N3798" t="inlineStr">
        <is>
          <t>Eleutherodactylus coqui</t>
        </is>
      </c>
      <c r="O3798" t="inlineStr">
        <is>
          <t>Neurocan b</t>
        </is>
      </c>
    </row>
    <row r="3799">
      <c r="A3799" t="inlineStr"/>
      <c r="B3799" t="inlineStr"/>
      <c r="C3799" t="inlineStr"/>
      <c r="D3799" t="inlineStr"/>
      <c r="E3799">
        <f>HYPERLINK("https://www.uniprot.org/uniprotkb/A0A1L8HXJ8/entry", "A0A1L8HXJ8")</f>
        <v/>
      </c>
      <c r="F3799" t="n">
        <v>87.7</v>
      </c>
      <c r="G3799" t="n">
        <v>57</v>
      </c>
      <c r="H3799" t="n">
        <v>1.69e-26</v>
      </c>
      <c r="I3799" t="inlineStr">
        <is>
          <t>TrEMBL</t>
        </is>
      </c>
      <c r="J3799" t="inlineStr">
        <is>
          <t>LOC108713422</t>
        </is>
      </c>
      <c r="K3799" t="inlineStr">
        <is>
          <t>A0A1L8HXJ8_XENLA</t>
        </is>
      </c>
      <c r="L3799" t="inlineStr">
        <is>
          <t>tr|A0A1L8HXJ8|A0A1L8HXJ8_XENLA aggrecan core protein OS=Xenopus laevis OX=8355 GN=LOC108713422 PE=4 SV=1</t>
        </is>
      </c>
      <c r="M3799" t="n">
        <v>1611</v>
      </c>
      <c r="N3799" t="inlineStr">
        <is>
          <t>Xenopus laevis</t>
        </is>
      </c>
      <c r="O3799" t="inlineStr">
        <is>
          <t>aggrecan core protein</t>
        </is>
      </c>
    </row>
    <row r="3800">
      <c r="A3800" t="inlineStr"/>
      <c r="B3800" t="inlineStr"/>
      <c r="C3800" t="inlineStr"/>
      <c r="D3800" t="inlineStr"/>
      <c r="E3800">
        <f>HYPERLINK("https://www.uniprot.org/uniprotkb/A0A6I8Q6B6/entry", "A0A6I8Q6B6")</f>
        <v/>
      </c>
      <c r="F3800" t="n">
        <v>91.09999999999999</v>
      </c>
      <c r="G3800" t="n">
        <v>56</v>
      </c>
      <c r="H3800" t="n">
        <v>2.3e-26</v>
      </c>
      <c r="I3800" t="inlineStr">
        <is>
          <t>TrEMBL</t>
        </is>
      </c>
      <c r="J3800" t="inlineStr">
        <is>
          <t>ncan</t>
        </is>
      </c>
      <c r="K3800" t="inlineStr">
        <is>
          <t>A0A6I8Q6B6_XENTR</t>
        </is>
      </c>
      <c r="L3800" t="inlineStr">
        <is>
          <t>tr|A0A6I8Q6B6|A0A6I8Q6B6_XENTR Neurocan OS=Xenopus tropicalis OX=8364 GN=ncan PE=4 SV=2</t>
        </is>
      </c>
      <c r="M3800" t="n">
        <v>1569</v>
      </c>
      <c r="N3800" t="inlineStr">
        <is>
          <t>Xenopus tropicalis</t>
        </is>
      </c>
      <c r="O3800" t="inlineStr">
        <is>
          <t>Neurocan</t>
        </is>
      </c>
    </row>
    <row r="3801">
      <c r="A3801" t="inlineStr"/>
      <c r="B3801" t="inlineStr"/>
      <c r="C3801" t="inlineStr"/>
      <c r="D3801" t="inlineStr"/>
      <c r="E3801">
        <f>HYPERLINK("https://www.uniprot.org/uniprotkb/A0A6I8Q003/entry", "A0A6I8Q003")</f>
        <v/>
      </c>
      <c r="F3801" t="n">
        <v>91.09999999999999</v>
      </c>
      <c r="G3801" t="n">
        <v>56</v>
      </c>
      <c r="H3801" t="n">
        <v>2.3e-26</v>
      </c>
      <c r="I3801" t="inlineStr">
        <is>
          <t>TrEMBL</t>
        </is>
      </c>
      <c r="J3801" t="inlineStr">
        <is>
          <t>ncan</t>
        </is>
      </c>
      <c r="K3801" t="inlineStr">
        <is>
          <t>A0A6I8Q003_XENTR</t>
        </is>
      </c>
      <c r="L3801" t="inlineStr">
        <is>
          <t>tr|A0A6I8Q003|A0A6I8Q003_XENTR Neurocan OS=Xenopus tropicalis OX=8364 GN=ncan PE=4 SV=2</t>
        </is>
      </c>
      <c r="M3801" t="n">
        <v>1604</v>
      </c>
      <c r="N3801" t="inlineStr">
        <is>
          <t>Xenopus tropicalis</t>
        </is>
      </c>
      <c r="O3801" t="inlineStr">
        <is>
          <t>Neurocan</t>
        </is>
      </c>
    </row>
    <row r="3802">
      <c r="A3802" t="inlineStr"/>
      <c r="B3802" t="inlineStr"/>
      <c r="C3802" t="inlineStr"/>
      <c r="D3802" t="inlineStr"/>
      <c r="E3802">
        <f>HYPERLINK("https://www.uniprot.org/uniprotkb/F6YUS7/entry", "F6YUS7")</f>
        <v/>
      </c>
      <c r="F3802" t="n">
        <v>91.09999999999999</v>
      </c>
      <c r="G3802" t="n">
        <v>56</v>
      </c>
      <c r="H3802" t="n">
        <v>2.3e-26</v>
      </c>
      <c r="I3802" t="inlineStr">
        <is>
          <t>TrEMBL</t>
        </is>
      </c>
      <c r="J3802" t="inlineStr">
        <is>
          <t>ncan</t>
        </is>
      </c>
      <c r="K3802" t="inlineStr">
        <is>
          <t>F6YUS7_XENTR</t>
        </is>
      </c>
      <c r="L3802" t="inlineStr">
        <is>
          <t>tr|F6YUS7|F6YUS7_XENTR Neurocan OS=Xenopus tropicalis OX=8364 GN=ncan PE=4 SV=4</t>
        </is>
      </c>
      <c r="M3802" t="n">
        <v>1608</v>
      </c>
      <c r="N3802" t="inlineStr">
        <is>
          <t>Xenopus tropicalis</t>
        </is>
      </c>
      <c r="O3802" t="inlineStr">
        <is>
          <t>Neurocan</t>
        </is>
      </c>
    </row>
    <row r="3803">
      <c r="A3803" t="inlineStr"/>
      <c r="B3803" t="inlineStr"/>
      <c r="C3803" t="inlineStr"/>
      <c r="D3803" t="inlineStr"/>
      <c r="E3803">
        <f>HYPERLINK("https://www.ncbi.nlm.nih.gov/gene/?term=KAG9486485.1", "KAG9486485.1")</f>
        <v/>
      </c>
      <c r="F3803" t="n">
        <v>84.2</v>
      </c>
      <c r="G3803" t="n">
        <v>57</v>
      </c>
      <c r="H3803" t="n">
        <v>4.25e-26</v>
      </c>
      <c r="I3803" t="inlineStr">
        <is>
          <t>Nr</t>
        </is>
      </c>
      <c r="J3803" t="inlineStr"/>
      <c r="K3803" t="inlineStr"/>
      <c r="L3803" t="inlineStr">
        <is>
          <t>KAG9486485.1 hypothetical protein GDO78_006714 [Eleutherodactylus coqui]</t>
        </is>
      </c>
      <c r="M3803" t="n">
        <v>1150</v>
      </c>
      <c r="N3803" t="inlineStr">
        <is>
          <t>Eleutherodactylus coqui</t>
        </is>
      </c>
      <c r="O3803" t="inlineStr">
        <is>
          <t>hypothetical protein GDO78_006714</t>
        </is>
      </c>
    </row>
    <row r="3804">
      <c r="A3804" t="inlineStr"/>
      <c r="B3804" t="inlineStr"/>
      <c r="C3804" t="inlineStr"/>
      <c r="D3804" t="inlineStr"/>
      <c r="E3804">
        <f>HYPERLINK("https://www.ncbi.nlm.nih.gov/gene/?term=XP_018112408.1", "XP_018112408.1")</f>
        <v/>
      </c>
      <c r="F3804" t="n">
        <v>87.7</v>
      </c>
      <c r="G3804" t="n">
        <v>57</v>
      </c>
      <c r="H3804" t="n">
        <v>4.34e-26</v>
      </c>
      <c r="I3804" t="inlineStr">
        <is>
          <t>Nr</t>
        </is>
      </c>
      <c r="J3804" t="inlineStr"/>
      <c r="K3804" t="inlineStr"/>
      <c r="L3804" t="inlineStr">
        <is>
          <t>XP_018112408.1 aggrecan core protein [Xenopus laevis]</t>
        </is>
      </c>
      <c r="M3804" t="n">
        <v>1611</v>
      </c>
      <c r="N3804" t="inlineStr">
        <is>
          <t>Xenopus laevis</t>
        </is>
      </c>
      <c r="O3804" t="inlineStr">
        <is>
          <t>aggrecan core protein</t>
        </is>
      </c>
    </row>
    <row r="3805">
      <c r="A3805" t="inlineStr"/>
      <c r="B3805" t="inlineStr"/>
      <c r="C3805" t="inlineStr"/>
      <c r="D3805" t="inlineStr"/>
      <c r="E3805">
        <f>HYPERLINK("https://www.ncbi.nlm.nih.gov/gene/?term=XP_040176616.1", "XP_040176616.1")</f>
        <v/>
      </c>
      <c r="F3805" t="n">
        <v>86</v>
      </c>
      <c r="G3805" t="n">
        <v>57</v>
      </c>
      <c r="H3805" t="n">
        <v>5.810000000000001e-26</v>
      </c>
      <c r="I3805" t="inlineStr">
        <is>
          <t>Nr</t>
        </is>
      </c>
      <c r="J3805" t="inlineStr"/>
      <c r="K3805" t="inlineStr"/>
      <c r="L3805" t="inlineStr">
        <is>
          <t>XP_040176616.1 neurocan core protein isoform X3 [Rana temporaria]</t>
        </is>
      </c>
      <c r="M3805" t="n">
        <v>1203</v>
      </c>
      <c r="N3805" t="inlineStr">
        <is>
          <t>Rana temporaria</t>
        </is>
      </c>
      <c r="O3805" t="inlineStr">
        <is>
          <t>neurocan core protein isoform X3</t>
        </is>
      </c>
    </row>
    <row r="3806">
      <c r="A3806" t="inlineStr"/>
      <c r="B3806" t="inlineStr"/>
      <c r="C3806" t="inlineStr"/>
      <c r="D3806" t="inlineStr"/>
      <c r="E3806">
        <f>HYPERLINK("https://www.ncbi.nlm.nih.gov/gene/?term=XP_040176607.1", "XP_040176607.1")</f>
        <v/>
      </c>
      <c r="F3806" t="n">
        <v>86</v>
      </c>
      <c r="G3806" t="n">
        <v>57</v>
      </c>
      <c r="H3806" t="n">
        <v>5.880000000000001e-26</v>
      </c>
      <c r="I3806" t="inlineStr">
        <is>
          <t>Nr</t>
        </is>
      </c>
      <c r="J3806" t="inlineStr"/>
      <c r="K3806" t="inlineStr"/>
      <c r="L3806" t="inlineStr">
        <is>
          <t>XP_040176607.1 neurocan core protein isoform X2 [Rana temporaria]</t>
        </is>
      </c>
      <c r="M3806" t="n">
        <v>1441</v>
      </c>
      <c r="N3806" t="inlineStr">
        <is>
          <t>Rana temporaria</t>
        </is>
      </c>
      <c r="O3806" t="inlineStr">
        <is>
          <t>neurocan core protein isoform X2</t>
        </is>
      </c>
    </row>
    <row r="3807">
      <c r="A3807" t="inlineStr"/>
      <c r="B3807" t="inlineStr"/>
      <c r="C3807" t="inlineStr"/>
      <c r="D3807" t="inlineStr"/>
      <c r="E3807">
        <f>HYPERLINK("https://www.ncbi.nlm.nih.gov/gene/?term=XP_040176599.1", "XP_040176599.1")</f>
        <v/>
      </c>
      <c r="F3807" t="n">
        <v>86</v>
      </c>
      <c r="G3807" t="n">
        <v>57</v>
      </c>
      <c r="H3807" t="n">
        <v>5.91e-26</v>
      </c>
      <c r="I3807" t="inlineStr">
        <is>
          <t>Nr</t>
        </is>
      </c>
      <c r="J3807" t="inlineStr"/>
      <c r="K3807" t="inlineStr"/>
      <c r="L3807" t="inlineStr">
        <is>
          <t>XP_040176599.1 neurocan core protein isoform X1 [Rana temporaria]</t>
        </is>
      </c>
      <c r="M3807" t="n">
        <v>1575</v>
      </c>
      <c r="N3807" t="inlineStr">
        <is>
          <t>Rana temporaria</t>
        </is>
      </c>
      <c r="O3807" t="inlineStr">
        <is>
          <t>neurocan core protein isoform X1</t>
        </is>
      </c>
    </row>
    <row r="3808">
      <c r="A3808" t="inlineStr"/>
      <c r="B3808" t="inlineStr"/>
      <c r="C3808" t="inlineStr"/>
      <c r="D3808" t="inlineStr"/>
      <c r="E3808">
        <f>HYPERLINK("https://www.ncbi.nlm.nih.gov/gene/?term=XP_012810121.1", "XP_012810121.1")</f>
        <v/>
      </c>
      <c r="F3808" t="n">
        <v>91.09999999999999</v>
      </c>
      <c r="G3808" t="n">
        <v>56</v>
      </c>
      <c r="H3808" t="n">
        <v>5.92e-26</v>
      </c>
      <c r="I3808" t="inlineStr">
        <is>
          <t>Nr</t>
        </is>
      </c>
      <c r="J3808" t="inlineStr"/>
      <c r="K3808" t="inlineStr"/>
      <c r="L3808" t="inlineStr">
        <is>
          <t>XP_012810121.1 neurocan core protein isoform X2 [Xenopus tropicalis]</t>
        </is>
      </c>
      <c r="M3808" t="n">
        <v>1604</v>
      </c>
      <c r="N3808" t="inlineStr">
        <is>
          <t>Xenopus tropicalis</t>
        </is>
      </c>
      <c r="O3808" t="inlineStr">
        <is>
          <t>neurocan core protein isoform X2</t>
        </is>
      </c>
    </row>
    <row r="3809">
      <c r="A3809" t="inlineStr"/>
      <c r="B3809" t="inlineStr"/>
      <c r="C3809" t="inlineStr"/>
      <c r="D3809" t="inlineStr"/>
      <c r="E3809">
        <f>HYPERLINK("https://www.ncbi.nlm.nih.gov/gene/?term=XP_002936378.2", "XP_002936378.2")</f>
        <v/>
      </c>
      <c r="F3809" t="n">
        <v>91.09999999999999</v>
      </c>
      <c r="G3809" t="n">
        <v>56</v>
      </c>
      <c r="H3809" t="n">
        <v>5.92e-26</v>
      </c>
      <c r="I3809" t="inlineStr">
        <is>
          <t>Nr</t>
        </is>
      </c>
      <c r="J3809" t="inlineStr"/>
      <c r="K3809" t="inlineStr"/>
      <c r="L3809" t="inlineStr">
        <is>
          <t>XP_002936378.2 neurocan core protein isoform X1 [Xenopus tropicalis]</t>
        </is>
      </c>
      <c r="M3809" t="n">
        <v>1608</v>
      </c>
      <c r="N3809" t="inlineStr">
        <is>
          <t>Xenopus tropicalis</t>
        </is>
      </c>
      <c r="O3809" t="inlineStr">
        <is>
          <t>neurocan core protein isoform X1</t>
        </is>
      </c>
    </row>
    <row r="3810">
      <c r="A3810" t="inlineStr"/>
      <c r="B3810" t="inlineStr"/>
      <c r="C3810" t="inlineStr"/>
      <c r="D3810" t="inlineStr"/>
      <c r="E3810">
        <f>HYPERLINK("https://www.uniprot.org/uniprotkb/A0A8T2KEV4/entry", "A0A8T2KEV4")</f>
        <v/>
      </c>
      <c r="F3810" t="n">
        <v>87.5</v>
      </c>
      <c r="G3810" t="n">
        <v>56</v>
      </c>
      <c r="H3810" t="n">
        <v>7.78e-26</v>
      </c>
      <c r="I3810" t="inlineStr">
        <is>
          <t>TrEMBL</t>
        </is>
      </c>
      <c r="J3810" t="inlineStr">
        <is>
          <t>GDO86_001218</t>
        </is>
      </c>
      <c r="K3810" t="inlineStr">
        <is>
          <t>A0A8T2KEV4_9PIPI</t>
        </is>
      </c>
      <c r="L3810" t="inlineStr">
        <is>
          <t>tr|A0A8T2KEV4|A0A8T2KEV4_9PIPI Neurocan core protein OS=Hymenochirus boettgeri OX=247094 GN=GDO86_001218 PE=4 SV=1</t>
        </is>
      </c>
      <c r="M3810" t="n">
        <v>1119</v>
      </c>
      <c r="N3810" t="inlineStr">
        <is>
          <t>Hymenochirus boettgeri</t>
        </is>
      </c>
      <c r="O3810" t="inlineStr">
        <is>
          <t>Neurocan core protein</t>
        </is>
      </c>
    </row>
    <row r="3811">
      <c r="A3811" t="inlineStr"/>
      <c r="B3811" t="inlineStr"/>
      <c r="C3811" t="inlineStr"/>
      <c r="D3811" t="inlineStr"/>
      <c r="E3811">
        <f>HYPERLINK("https://www.uniprot.org/uniprotkb/A0A8T2KK70/entry", "A0A8T2KK70")</f>
        <v/>
      </c>
      <c r="F3811" t="n">
        <v>87.5</v>
      </c>
      <c r="G3811" t="n">
        <v>56</v>
      </c>
      <c r="H3811" t="n">
        <v>7.840000000000001e-26</v>
      </c>
      <c r="I3811" t="inlineStr">
        <is>
          <t>TrEMBL</t>
        </is>
      </c>
      <c r="J3811" t="inlineStr">
        <is>
          <t>GDO86_001218</t>
        </is>
      </c>
      <c r="K3811" t="inlineStr">
        <is>
          <t>A0A8T2KK70_9PIPI</t>
        </is>
      </c>
      <c r="L3811" t="inlineStr">
        <is>
          <t>tr|A0A8T2KK70|A0A8T2KK70_9PIPI EGF-like domain-containing protein OS=Hymenochirus boettgeri OX=247094 GN=GDO86_001218 PE=4 SV=1</t>
        </is>
      </c>
      <c r="M3811" t="n">
        <v>1242</v>
      </c>
      <c r="N3811" t="inlineStr">
        <is>
          <t>Hymenochirus boettgeri</t>
        </is>
      </c>
      <c r="O3811" t="inlineStr">
        <is>
          <t>EGF-like domain-containing protein</t>
        </is>
      </c>
    </row>
    <row r="3812">
      <c r="A3812" t="inlineStr"/>
      <c r="B3812" t="inlineStr"/>
      <c r="C3812" t="inlineStr"/>
      <c r="D3812" t="inlineStr"/>
      <c r="E3812">
        <f>HYPERLINK("https://www.uniprot.org/uniprotkb/A0A8T2KHB3/entry", "A0A8T2KHB3")</f>
        <v/>
      </c>
      <c r="F3812" t="n">
        <v>87.5</v>
      </c>
      <c r="G3812" t="n">
        <v>56</v>
      </c>
      <c r="H3812" t="n">
        <v>7.880000000000001e-26</v>
      </c>
      <c r="I3812" t="inlineStr">
        <is>
          <t>TrEMBL</t>
        </is>
      </c>
      <c r="J3812" t="inlineStr">
        <is>
          <t>GDO86_001218</t>
        </is>
      </c>
      <c r="K3812" t="inlineStr">
        <is>
          <t>A0A8T2KHB3_9PIPI</t>
        </is>
      </c>
      <c r="L3812" t="inlineStr">
        <is>
          <t>tr|A0A8T2KHB3|A0A8T2KHB3_9PIPI Neurocan b OS=Hymenochirus boettgeri OX=247094 GN=GDO86_001218 PE=4 SV=1</t>
        </is>
      </c>
      <c r="M3812" t="n">
        <v>1338</v>
      </c>
      <c r="N3812" t="inlineStr">
        <is>
          <t>Hymenochirus boettgeri</t>
        </is>
      </c>
      <c r="O3812" t="inlineStr">
        <is>
          <t>Neurocan b</t>
        </is>
      </c>
    </row>
    <row r="3813">
      <c r="A3813" t="inlineStr"/>
      <c r="B3813" t="inlineStr"/>
      <c r="C3813" t="inlineStr"/>
      <c r="D3813" t="inlineStr"/>
      <c r="E3813">
        <f>HYPERLINK("https://www.uniprot.org/uniprotkb/A0A8J0U3L5/entry", "A0A8J0U3L5")</f>
        <v/>
      </c>
      <c r="F3813" t="n">
        <v>86.2</v>
      </c>
      <c r="G3813" t="n">
        <v>58</v>
      </c>
      <c r="H3813" t="n">
        <v>7.97e-26</v>
      </c>
      <c r="I3813" t="inlineStr">
        <is>
          <t>TrEMBL</t>
        </is>
      </c>
      <c r="J3813" t="inlineStr">
        <is>
          <t>LOC108703703</t>
        </is>
      </c>
      <c r="K3813" t="inlineStr">
        <is>
          <t>A0A8J0U3L5_XENLA</t>
        </is>
      </c>
      <c r="L3813" t="inlineStr">
        <is>
          <t>tr|A0A8J0U3L5|A0A8J0U3L5_XENLA neurocan core protein OS=Xenopus laevis OX=8355 GN=LOC108703703 PE=4 SV=1</t>
        </is>
      </c>
      <c r="M3813" t="n">
        <v>1610</v>
      </c>
      <c r="N3813" t="inlineStr">
        <is>
          <t>Xenopus laevis</t>
        </is>
      </c>
      <c r="O3813" t="inlineStr">
        <is>
          <t>neurocan core protein</t>
        </is>
      </c>
    </row>
    <row r="3814">
      <c r="A3814" t="inlineStr"/>
      <c r="B3814" t="inlineStr"/>
      <c r="C3814" t="inlineStr"/>
      <c r="D3814" t="inlineStr"/>
      <c r="E3814">
        <f>HYPERLINK("https://www.ncbi.nlm.nih.gov/gene/?term=KAG8454912.1", "KAG8454912.1")</f>
        <v/>
      </c>
      <c r="F3814" t="n">
        <v>87.5</v>
      </c>
      <c r="G3814" t="n">
        <v>56</v>
      </c>
      <c r="H3814" t="n">
        <v>2e-25</v>
      </c>
      <c r="I3814" t="inlineStr">
        <is>
          <t>Nr</t>
        </is>
      </c>
      <c r="J3814" t="inlineStr"/>
      <c r="K3814" t="inlineStr"/>
      <c r="L3814" t="inlineStr">
        <is>
          <t>KAG8454912.1 hypothetical protein GDO86_001218 [Hymenochirus boettgeri]</t>
        </is>
      </c>
      <c r="M3814" t="n">
        <v>1119</v>
      </c>
      <c r="N3814" t="inlineStr">
        <is>
          <t>Hymenochirus boettgeri</t>
        </is>
      </c>
      <c r="O3814" t="inlineStr">
        <is>
          <t>hypothetical protein GDO86_001218</t>
        </is>
      </c>
    </row>
    <row r="3815">
      <c r="A3815" t="inlineStr"/>
      <c r="B3815" t="inlineStr"/>
      <c r="C3815" t="inlineStr"/>
      <c r="D3815" t="inlineStr"/>
      <c r="E3815">
        <f>HYPERLINK("https://www.ncbi.nlm.nih.gov/gene/?term=KAG8454911.1", "KAG8454911.1")</f>
        <v/>
      </c>
      <c r="F3815" t="n">
        <v>87.5</v>
      </c>
      <c r="G3815" t="n">
        <v>56</v>
      </c>
      <c r="H3815" t="n">
        <v>2.01e-25</v>
      </c>
      <c r="I3815" t="inlineStr">
        <is>
          <t>Nr</t>
        </is>
      </c>
      <c r="J3815" t="inlineStr"/>
      <c r="K3815" t="inlineStr"/>
      <c r="L3815" t="inlineStr">
        <is>
          <t>KAG8454911.1 hypothetical protein GDO86_001218 [Hymenochirus boettgeri]</t>
        </is>
      </c>
      <c r="M3815" t="n">
        <v>1242</v>
      </c>
      <c r="N3815" t="inlineStr">
        <is>
          <t>Hymenochirus boettgeri</t>
        </is>
      </c>
      <c r="O3815" t="inlineStr">
        <is>
          <t>hypothetical protein GDO86_001218</t>
        </is>
      </c>
    </row>
    <row r="3816">
      <c r="A3816" t="inlineStr"/>
      <c r="B3816" t="inlineStr"/>
      <c r="C3816" t="inlineStr"/>
      <c r="D3816" t="inlineStr"/>
      <c r="E3816">
        <f>HYPERLINK("https://www.ncbi.nlm.nih.gov/gene/?term=OCT59202.1", "OCT59202.1")</f>
        <v/>
      </c>
      <c r="F3816" t="n">
        <v>86.2</v>
      </c>
      <c r="G3816" t="n">
        <v>58</v>
      </c>
      <c r="H3816" t="n">
        <v>2.02e-25</v>
      </c>
      <c r="I3816" t="inlineStr">
        <is>
          <t>Nr</t>
        </is>
      </c>
      <c r="J3816" t="inlineStr"/>
      <c r="K3816" t="inlineStr"/>
      <c r="L3816" t="inlineStr">
        <is>
          <t>OCT59202.1 hypothetical protein XELAEV_18001154mg [Xenopus laevis]</t>
        </is>
      </c>
      <c r="M3816" t="n">
        <v>1309</v>
      </c>
      <c r="N3816" t="inlineStr">
        <is>
          <t>Xenopus laevis</t>
        </is>
      </c>
      <c r="O3816" t="inlineStr">
        <is>
          <t>hypothetical protein XELAEV_18001154mg</t>
        </is>
      </c>
    </row>
    <row r="3817">
      <c r="A3817" t="inlineStr"/>
      <c r="B3817" t="inlineStr"/>
      <c r="C3817" t="inlineStr"/>
      <c r="D3817" t="inlineStr"/>
      <c r="E3817">
        <f>HYPERLINK("https://www.ncbi.nlm.nih.gov/gene/?term=KAG8454910.1", "KAG8454910.1")</f>
        <v/>
      </c>
      <c r="F3817" t="n">
        <v>87.5</v>
      </c>
      <c r="G3817" t="n">
        <v>56</v>
      </c>
      <c r="H3817" t="n">
        <v>2.02e-25</v>
      </c>
      <c r="I3817" t="inlineStr">
        <is>
          <t>Nr</t>
        </is>
      </c>
      <c r="J3817" t="inlineStr"/>
      <c r="K3817" t="inlineStr"/>
      <c r="L3817" t="inlineStr">
        <is>
          <t>KAG8454910.1 hypothetical protein GDO86_001218 [Hymenochirus boettgeri]</t>
        </is>
      </c>
      <c r="M3817" t="n">
        <v>1338</v>
      </c>
      <c r="N3817" t="inlineStr">
        <is>
          <t>Hymenochirus boettgeri</t>
        </is>
      </c>
      <c r="O3817" t="inlineStr">
        <is>
          <t>hypothetical protein GDO86_001218</t>
        </is>
      </c>
    </row>
    <row r="3818">
      <c r="A3818" t="inlineStr"/>
      <c r="B3818" t="inlineStr"/>
      <c r="C3818" t="inlineStr"/>
      <c r="D3818" t="inlineStr"/>
      <c r="E3818">
        <f>HYPERLINK("https://www.ncbi.nlm.nih.gov/gene/?term=XP_018095360.1", "XP_018095360.1")</f>
        <v/>
      </c>
      <c r="F3818" t="n">
        <v>86.2</v>
      </c>
      <c r="G3818" t="n">
        <v>58</v>
      </c>
      <c r="H3818" t="n">
        <v>2.05e-25</v>
      </c>
      <c r="I3818" t="inlineStr">
        <is>
          <t>Nr</t>
        </is>
      </c>
      <c r="J3818" t="inlineStr"/>
      <c r="K3818" t="inlineStr"/>
      <c r="L3818" t="inlineStr">
        <is>
          <t>XP_018095360.1 neurocan core protein [Xenopus laevis]</t>
        </is>
      </c>
      <c r="M3818" t="n">
        <v>1610</v>
      </c>
      <c r="N3818" t="inlineStr">
        <is>
          <t>Xenopus laevis</t>
        </is>
      </c>
      <c r="O3818" t="inlineStr">
        <is>
          <t>neurocan core protein</t>
        </is>
      </c>
    </row>
    <row r="3819">
      <c r="A3819" t="inlineStr"/>
      <c r="B3819" t="inlineStr"/>
      <c r="C3819" t="inlineStr"/>
      <c r="D3819" t="inlineStr"/>
      <c r="E3819">
        <f>HYPERLINK("https://www.ncbi.nlm.nih.gov/gene/?term=XP_048686641.1", "XP_048686641.1")</f>
        <v/>
      </c>
      <c r="F3819" t="n">
        <v>80</v>
      </c>
      <c r="G3819" t="n">
        <v>60</v>
      </c>
      <c r="H3819" t="n">
        <v>1.8e-24</v>
      </c>
      <c r="I3819" t="inlineStr">
        <is>
          <t>Nr</t>
        </is>
      </c>
      <c r="J3819" t="inlineStr"/>
      <c r="K3819" t="inlineStr"/>
      <c r="L3819" t="inlineStr">
        <is>
          <t>XP_048686641.1 LOW QUALITY PROTEIN: neurocan core protein [Caretta caretta]</t>
        </is>
      </c>
      <c r="M3819" t="n">
        <v>1670</v>
      </c>
      <c r="N3819" t="inlineStr">
        <is>
          <t>Caretta caretta</t>
        </is>
      </c>
      <c r="O3819" t="inlineStr">
        <is>
          <t>LOW QUALITY PROTEIN: neurocan core protein</t>
        </is>
      </c>
    </row>
    <row r="3820">
      <c r="A3820" t="inlineStr"/>
      <c r="B3820" t="inlineStr"/>
      <c r="C3820" t="inlineStr"/>
      <c r="D3820" t="inlineStr"/>
      <c r="E3820">
        <f>HYPERLINK("https://www.uniprot.org/uniprotkb/A0A8C2TI91/entry", "A0A8C2TI91")</f>
        <v/>
      </c>
      <c r="F3820" t="n">
        <v>75</v>
      </c>
      <c r="G3820" t="n">
        <v>60</v>
      </c>
      <c r="H3820" t="n">
        <v>2.38e-24</v>
      </c>
      <c r="I3820" t="inlineStr">
        <is>
          <t>TrEMBL</t>
        </is>
      </c>
      <c r="J3820" t="inlineStr">
        <is>
          <t>NCAN</t>
        </is>
      </c>
      <c r="K3820" t="inlineStr">
        <is>
          <t>A0A8C2TI91_COTJA</t>
        </is>
      </c>
      <c r="L3820" t="inlineStr">
        <is>
          <t>tr|A0A8C2TI91|A0A8C2TI91_COTJA Neurocan OS=Coturnix japonica OX=93934 GN=NCAN PE=4 SV=1</t>
        </is>
      </c>
      <c r="M3820" t="n">
        <v>1271</v>
      </c>
      <c r="N3820" t="inlineStr">
        <is>
          <t>Coturnix japonica</t>
        </is>
      </c>
      <c r="O3820" t="inlineStr">
        <is>
          <t>Neurocan</t>
        </is>
      </c>
    </row>
    <row r="3821">
      <c r="A3821" t="inlineStr"/>
      <c r="B3821" t="inlineStr"/>
      <c r="C3821" t="inlineStr"/>
      <c r="D3821" t="inlineStr"/>
      <c r="E3821">
        <f>HYPERLINK("https://www.uniprot.org/uniprotkb/A0A2I0LPY3/entry", "A0A2I0LPY3")</f>
        <v/>
      </c>
      <c r="F3821" t="n">
        <v>75</v>
      </c>
      <c r="G3821" t="n">
        <v>60</v>
      </c>
      <c r="H3821" t="n">
        <v>4.32e-24</v>
      </c>
      <c r="I3821" t="inlineStr">
        <is>
          <t>TrEMBL</t>
        </is>
      </c>
      <c r="J3821" t="inlineStr">
        <is>
          <t>NCAN</t>
        </is>
      </c>
      <c r="K3821" t="inlineStr">
        <is>
          <t>A0A2I0LPY3_COLLI</t>
        </is>
      </c>
      <c r="L3821" t="inlineStr">
        <is>
          <t>tr|A0A2I0LPY3|A0A2I0LPY3_COLLI Neurocan (Fragment) OS=Columba livia OX=8932 GN=NCAN PE=4 SV=1</t>
        </is>
      </c>
      <c r="M3821" t="n">
        <v>960</v>
      </c>
      <c r="N3821" t="inlineStr">
        <is>
          <t>Columba livia</t>
        </is>
      </c>
      <c r="O3821" t="inlineStr">
        <is>
          <t>Neurocan (Fragment)</t>
        </is>
      </c>
    </row>
    <row r="3822">
      <c r="A3822" t="inlineStr"/>
      <c r="B3822" t="inlineStr"/>
      <c r="C3822" t="inlineStr"/>
      <c r="D3822" t="inlineStr"/>
      <c r="E3822">
        <f>HYPERLINK("https://www.uniprot.org/uniprotkb/H9GPN6/entry", "H9GPN6")</f>
        <v/>
      </c>
      <c r="F3822" t="n">
        <v>75</v>
      </c>
      <c r="G3822" t="n">
        <v>60</v>
      </c>
      <c r="H3822" t="n">
        <v>4.33e-24</v>
      </c>
      <c r="I3822" t="inlineStr">
        <is>
          <t>TrEMBL</t>
        </is>
      </c>
      <c r="J3822" t="inlineStr"/>
      <c r="K3822" t="inlineStr">
        <is>
          <t>H9GPN6_ANOCA</t>
        </is>
      </c>
      <c r="L3822" t="inlineStr">
        <is>
          <t>tr|H9GPN6|H9GPN6_ANOCA Neurocan b OS=Anolis carolinensis OX=28377 PE=4 SV=3</t>
        </is>
      </c>
      <c r="M3822" t="n">
        <v>988</v>
      </c>
      <c r="N3822" t="inlineStr">
        <is>
          <t>Anolis carolinensis</t>
        </is>
      </c>
      <c r="O3822" t="inlineStr">
        <is>
          <t>Neurocan b</t>
        </is>
      </c>
    </row>
    <row r="3823">
      <c r="A3823" t="inlineStr"/>
      <c r="B3823" t="inlineStr"/>
      <c r="C3823" t="inlineStr"/>
      <c r="D3823" t="inlineStr"/>
      <c r="E3823">
        <f>HYPERLINK("https://www.uniprot.org/uniprotkb/A0A1V4KS39/entry", "A0A1V4KS39")</f>
        <v/>
      </c>
      <c r="F3823" t="n">
        <v>73.3</v>
      </c>
      <c r="G3823" t="n">
        <v>60</v>
      </c>
      <c r="H3823" t="n">
        <v>5.899999999999999e-24</v>
      </c>
      <c r="I3823" t="inlineStr">
        <is>
          <t>TrEMBL</t>
        </is>
      </c>
      <c r="J3823" t="inlineStr">
        <is>
          <t>NCAN</t>
        </is>
      </c>
      <c r="K3823" t="inlineStr">
        <is>
          <t>A0A1V4KS39_PATFA</t>
        </is>
      </c>
      <c r="L3823" t="inlineStr">
        <is>
          <t>tr|A0A1V4KS39|A0A1V4KS39_PATFA Neurocan core protein OS=Patagioenas fasciata monilis OX=372326 GN=NCAN PE=4 SV=1</t>
        </is>
      </c>
      <c r="M3823" t="n">
        <v>983</v>
      </c>
      <c r="N3823" t="inlineStr">
        <is>
          <t>Patagioenas fasciata monilis</t>
        </is>
      </c>
      <c r="O3823" t="inlineStr">
        <is>
          <t>Neurocan core protein</t>
        </is>
      </c>
    </row>
    <row r="3824">
      <c r="A3824" t="inlineStr"/>
      <c r="B3824" t="inlineStr"/>
      <c r="C3824" t="inlineStr"/>
      <c r="D3824" t="inlineStr"/>
      <c r="E3824">
        <f>HYPERLINK("https://www.uniprot.org/uniprotkb/A0A7L4FGX0/entry", "A0A7L4FGX0")</f>
        <v/>
      </c>
      <c r="F3824" t="n">
        <v>73.3</v>
      </c>
      <c r="G3824" t="n">
        <v>60</v>
      </c>
      <c r="H3824" t="n">
        <v>6.02e-24</v>
      </c>
      <c r="I3824" t="inlineStr">
        <is>
          <t>TrEMBL</t>
        </is>
      </c>
      <c r="J3824" t="inlineStr">
        <is>
          <t>Ncan</t>
        </is>
      </c>
      <c r="K3824" t="inlineStr">
        <is>
          <t>A0A7L4FGX0_9COLU</t>
        </is>
      </c>
      <c r="L3824" t="inlineStr">
        <is>
          <t>tr|A0A7L4FGX0|A0A7L4FGX0_9COLU NCAN protein (Fragment) OS=Alopecoenas beccarii OX=262131 GN=Ncan PE=4 SV=1</t>
        </is>
      </c>
      <c r="M3824" t="n">
        <v>1277</v>
      </c>
      <c r="N3824" t="inlineStr">
        <is>
          <t>Alopecoenas beccarii</t>
        </is>
      </c>
      <c r="O3824" t="inlineStr">
        <is>
          <t>NCAN protein (Fragment)</t>
        </is>
      </c>
    </row>
    <row r="3825">
      <c r="A3825" t="inlineStr"/>
      <c r="B3825" t="inlineStr"/>
      <c r="C3825" t="inlineStr"/>
      <c r="D3825" t="inlineStr"/>
      <c r="E3825">
        <f>HYPERLINK("https://www.ncbi.nlm.nih.gov/gene/?term=XP_015742252.1", "XP_015742252.1")</f>
        <v/>
      </c>
      <c r="F3825" t="n">
        <v>75</v>
      </c>
      <c r="G3825" t="n">
        <v>60</v>
      </c>
      <c r="H3825" t="n">
        <v>6.1e-24</v>
      </c>
      <c r="I3825" t="inlineStr">
        <is>
          <t>Nr</t>
        </is>
      </c>
      <c r="J3825" t="inlineStr"/>
      <c r="K3825" t="inlineStr"/>
      <c r="L3825" t="inlineStr">
        <is>
          <t>XP_015742252.1 neurocan core protein isoform X2 [Coturnix japonica]</t>
        </is>
      </c>
      <c r="M3825" t="n">
        <v>1271</v>
      </c>
      <c r="N3825" t="inlineStr">
        <is>
          <t>Coturnix japonica</t>
        </is>
      </c>
      <c r="O3825" t="inlineStr">
        <is>
          <t>neurocan core protein isoform X2</t>
        </is>
      </c>
    </row>
    <row r="3826">
      <c r="A3826" t="inlineStr"/>
      <c r="B3826" t="inlineStr"/>
      <c r="C3826" t="inlineStr"/>
      <c r="D3826" t="inlineStr"/>
      <c r="E3826">
        <f>HYPERLINK("https://www.ncbi.nlm.nih.gov/gene/?term=XP_015742251.2", "XP_015742251.2")</f>
        <v/>
      </c>
      <c r="F3826" t="n">
        <v>75</v>
      </c>
      <c r="G3826" t="n">
        <v>60</v>
      </c>
      <c r="H3826" t="n">
        <v>6.12e-24</v>
      </c>
      <c r="I3826" t="inlineStr">
        <is>
          <t>Nr</t>
        </is>
      </c>
      <c r="J3826" t="inlineStr"/>
      <c r="K3826" t="inlineStr"/>
      <c r="L3826" t="inlineStr">
        <is>
          <t>XP_015742251.2 neurocan core protein isoform X1 [Coturnix japonica]</t>
        </is>
      </c>
      <c r="M3826" t="n">
        <v>1333</v>
      </c>
      <c r="N3826" t="inlineStr">
        <is>
          <t>Coturnix japonica</t>
        </is>
      </c>
      <c r="O3826" t="inlineStr">
        <is>
          <t>neurocan core protein isoform X1</t>
        </is>
      </c>
    </row>
    <row r="3827">
      <c r="A3827" t="inlineStr"/>
      <c r="B3827" t="inlineStr"/>
      <c r="C3827" t="inlineStr"/>
      <c r="D3827" t="inlineStr"/>
      <c r="E3827">
        <f>HYPERLINK("https://www.uniprot.org/uniprotkb/A0A6P8S3N7/entry", "A0A6P8S3N7")</f>
        <v/>
      </c>
      <c r="F3827" t="n">
        <v>75</v>
      </c>
      <c r="G3827" t="n">
        <v>60</v>
      </c>
      <c r="H3827" t="n">
        <v>6.14e-24</v>
      </c>
      <c r="I3827" t="inlineStr">
        <is>
          <t>TrEMBL</t>
        </is>
      </c>
      <c r="J3827" t="inlineStr">
        <is>
          <t>NCAN</t>
        </is>
      </c>
      <c r="K3827" t="inlineStr">
        <is>
          <t>A0A6P8S3N7_GEOSA</t>
        </is>
      </c>
      <c r="L3827" t="inlineStr">
        <is>
          <t>tr|A0A6P8S3N7|A0A6P8S3N7_GEOSA neurocan core protein isoform X3 OS=Geotrypetes seraphini OX=260995 GN=NCAN PE=4 SV=1</t>
        </is>
      </c>
      <c r="M3827" t="n">
        <v>1784</v>
      </c>
      <c r="N3827" t="inlineStr">
        <is>
          <t>Geotrypetes seraphini</t>
        </is>
      </c>
      <c r="O3827" t="inlineStr">
        <is>
          <t>neurocan core protein isoform X3</t>
        </is>
      </c>
    </row>
    <row r="3828">
      <c r="A3828" t="inlineStr"/>
      <c r="B3828" t="inlineStr"/>
      <c r="C3828" t="inlineStr"/>
      <c r="D3828" t="inlineStr"/>
      <c r="E3828">
        <f>HYPERLINK("https://www.uniprot.org/uniprotkb/A0A6P8S4R4/entry", "A0A6P8S4R4")</f>
        <v/>
      </c>
      <c r="F3828" t="n">
        <v>75</v>
      </c>
      <c r="G3828" t="n">
        <v>60</v>
      </c>
      <c r="H3828" t="n">
        <v>6.15e-24</v>
      </c>
      <c r="I3828" t="inlineStr">
        <is>
          <t>TrEMBL</t>
        </is>
      </c>
      <c r="J3828" t="inlineStr">
        <is>
          <t>NCAN</t>
        </is>
      </c>
      <c r="K3828" t="inlineStr">
        <is>
          <t>A0A6P8S4R4_GEOSA</t>
        </is>
      </c>
      <c r="L3828" t="inlineStr">
        <is>
          <t>tr|A0A6P8S4R4|A0A6P8S4R4_GEOSA neurocan core protein isoform X2 OS=Geotrypetes seraphini OX=260995 GN=NCAN PE=4 SV=1</t>
        </is>
      </c>
      <c r="M3828" t="n">
        <v>1803</v>
      </c>
      <c r="N3828" t="inlineStr">
        <is>
          <t>Geotrypetes seraphini</t>
        </is>
      </c>
      <c r="O3828" t="inlineStr">
        <is>
          <t>neurocan core protein isoform X2</t>
        </is>
      </c>
    </row>
    <row r="3829">
      <c r="A3829" t="inlineStr"/>
      <c r="B3829" t="inlineStr"/>
      <c r="C3829" t="inlineStr"/>
      <c r="D3829" t="inlineStr"/>
      <c r="E3829">
        <f>HYPERLINK("https://www.uniprot.org/uniprotkb/A0A6P8S179/entry", "A0A6P8S179")</f>
        <v/>
      </c>
      <c r="F3829" t="n">
        <v>75</v>
      </c>
      <c r="G3829" t="n">
        <v>60</v>
      </c>
      <c r="H3829" t="n">
        <v>6.15e-24</v>
      </c>
      <c r="I3829" t="inlineStr">
        <is>
          <t>TrEMBL</t>
        </is>
      </c>
      <c r="J3829" t="inlineStr">
        <is>
          <t>NCAN</t>
        </is>
      </c>
      <c r="K3829" t="inlineStr">
        <is>
          <t>A0A6P8S179_GEOSA</t>
        </is>
      </c>
      <c r="L3829" t="inlineStr">
        <is>
          <t>tr|A0A6P8S179|A0A6P8S179_GEOSA neurocan core protein isoform X1 OS=Geotrypetes seraphini OX=260995 GN=NCAN PE=4 SV=1</t>
        </is>
      </c>
      <c r="M3829" t="n">
        <v>1804</v>
      </c>
      <c r="N3829" t="inlineStr">
        <is>
          <t>Geotrypetes seraphini</t>
        </is>
      </c>
      <c r="O3829" t="inlineStr">
        <is>
          <t>neurocan core protein isoform X1</t>
        </is>
      </c>
    </row>
    <row r="3830">
      <c r="A3830" t="inlineStr"/>
      <c r="B3830" t="inlineStr"/>
      <c r="C3830" t="inlineStr"/>
      <c r="D3830" t="inlineStr"/>
      <c r="E3830">
        <f>HYPERLINK("https://www.ncbi.nlm.nih.gov/gene/?term=PKK19482.1", "PKK19482.1")</f>
        <v/>
      </c>
      <c r="F3830" t="n">
        <v>75</v>
      </c>
      <c r="G3830" t="n">
        <v>60</v>
      </c>
      <c r="H3830" t="n">
        <v>1.11e-23</v>
      </c>
      <c r="I3830" t="inlineStr">
        <is>
          <t>Nr</t>
        </is>
      </c>
      <c r="J3830" t="inlineStr"/>
      <c r="K3830" t="inlineStr"/>
      <c r="L3830" t="inlineStr">
        <is>
          <t>PKK19482.1 neurocan, partial [Columba livia]</t>
        </is>
      </c>
      <c r="M3830" t="n">
        <v>960</v>
      </c>
      <c r="N3830" t="inlineStr">
        <is>
          <t>Columba livia</t>
        </is>
      </c>
      <c r="O3830" t="inlineStr">
        <is>
          <t>neurocan, partial</t>
        </is>
      </c>
    </row>
    <row r="3831">
      <c r="A3831" t="inlineStr"/>
      <c r="B3831" t="inlineStr"/>
      <c r="C3831" t="inlineStr"/>
      <c r="D3831" t="inlineStr"/>
      <c r="E3831">
        <f>HYPERLINK("https://www.ncbi.nlm.nih.gov/gene/?term=XP_021147312.1", "XP_021147312.1")</f>
        <v/>
      </c>
      <c r="F3831" t="n">
        <v>75</v>
      </c>
      <c r="G3831" t="n">
        <v>60</v>
      </c>
      <c r="H3831" t="n">
        <v>1.12e-23</v>
      </c>
      <c r="I3831" t="inlineStr">
        <is>
          <t>Nr</t>
        </is>
      </c>
      <c r="J3831" t="inlineStr"/>
      <c r="K3831" t="inlineStr"/>
      <c r="L3831" t="inlineStr">
        <is>
          <t>XP_021147312.1 LOW QUALITY PROTEIN: neurocan core protein [Columba livia]</t>
        </is>
      </c>
      <c r="M3831" t="n">
        <v>1088</v>
      </c>
      <c r="N3831" t="inlineStr">
        <is>
          <t>Columba livia</t>
        </is>
      </c>
      <c r="O3831" t="inlineStr">
        <is>
          <t>LOW QUALITY PROTEIN: neurocan core protein</t>
        </is>
      </c>
    </row>
    <row r="3832">
      <c r="A3832" t="inlineStr"/>
      <c r="B3832" t="inlineStr"/>
      <c r="C3832" t="inlineStr"/>
      <c r="D3832" t="inlineStr"/>
      <c r="E3832">
        <f>HYPERLINK("https://www.ncbi.nlm.nih.gov/gene/?term=XP_003229955.1", "XP_003229955.1")</f>
        <v/>
      </c>
      <c r="F3832" t="n">
        <v>75</v>
      </c>
      <c r="G3832" t="n">
        <v>60</v>
      </c>
      <c r="H3832" t="n">
        <v>1.14e-23</v>
      </c>
      <c r="I3832" t="inlineStr">
        <is>
          <t>Nr</t>
        </is>
      </c>
      <c r="J3832" t="inlineStr"/>
      <c r="K3832" t="inlineStr"/>
      <c r="L3832" t="inlineStr">
        <is>
          <t>XP_003229955.1 PREDICTED: LOW QUALITY PROTEIN: neurocan core protein [Anolis carolinensis]</t>
        </is>
      </c>
      <c r="M3832" t="n">
        <v>1329</v>
      </c>
      <c r="N3832" t="inlineStr">
        <is>
          <t>Anolis carolinensis</t>
        </is>
      </c>
      <c r="O3832" t="inlineStr">
        <is>
          <t>PREDICTED: LOW QUALITY PROTEIN: neurocan core protein</t>
        </is>
      </c>
    </row>
    <row r="3833">
      <c r="A3833" t="inlineStr"/>
      <c r="B3833" t="inlineStr"/>
      <c r="C3833" t="inlineStr"/>
      <c r="D3833" t="inlineStr"/>
      <c r="E3833">
        <f>HYPERLINK("https://www.uniprot.org/uniprotkb/A0A670KAL0/entry", "A0A670KAL0")</f>
        <v/>
      </c>
      <c r="F3833" t="n">
        <v>75</v>
      </c>
      <c r="G3833" t="n">
        <v>60</v>
      </c>
      <c r="H3833" t="n">
        <v>1.47e-23</v>
      </c>
      <c r="I3833" t="inlineStr">
        <is>
          <t>TrEMBL</t>
        </is>
      </c>
      <c r="J3833" t="inlineStr">
        <is>
          <t>NCAN</t>
        </is>
      </c>
      <c r="K3833" t="inlineStr">
        <is>
          <t>A0A670KAL0_PODMU</t>
        </is>
      </c>
      <c r="L3833" t="inlineStr">
        <is>
          <t>tr|A0A670KAL0|A0A670KAL0_PODMU Neurocan OS=Podarcis muralis OX=64176 GN=NCAN PE=4 SV=1</t>
        </is>
      </c>
      <c r="M3833" t="n">
        <v>851</v>
      </c>
      <c r="N3833" t="inlineStr">
        <is>
          <t>Podarcis muralis</t>
        </is>
      </c>
      <c r="O3833" t="inlineStr">
        <is>
          <t>Neurocan</t>
        </is>
      </c>
    </row>
    <row r="3834">
      <c r="A3834" t="inlineStr"/>
      <c r="B3834" t="inlineStr"/>
      <c r="C3834" t="inlineStr"/>
      <c r="D3834" t="inlineStr"/>
      <c r="E3834">
        <f>HYPERLINK("https://www.uniprot.org/uniprotkb/A0A670K9A5/entry", "A0A670K9A5")</f>
        <v/>
      </c>
      <c r="F3834" t="n">
        <v>75</v>
      </c>
      <c r="G3834" t="n">
        <v>60</v>
      </c>
      <c r="H3834" t="n">
        <v>1.48e-23</v>
      </c>
      <c r="I3834" t="inlineStr">
        <is>
          <t>TrEMBL</t>
        </is>
      </c>
      <c r="J3834" t="inlineStr">
        <is>
          <t>NCAN</t>
        </is>
      </c>
      <c r="K3834" t="inlineStr">
        <is>
          <t>A0A670K9A5_PODMU</t>
        </is>
      </c>
      <c r="L3834" t="inlineStr">
        <is>
          <t>tr|A0A670K9A5|A0A670K9A5_PODMU Neurocan OS=Podarcis muralis OX=64176 GN=NCAN PE=4 SV=1</t>
        </is>
      </c>
      <c r="M3834" t="n">
        <v>881</v>
      </c>
      <c r="N3834" t="inlineStr">
        <is>
          <t>Podarcis muralis</t>
        </is>
      </c>
      <c r="O3834" t="inlineStr">
        <is>
          <t>Neurocan</t>
        </is>
      </c>
    </row>
    <row r="3835">
      <c r="A3835" t="inlineStr"/>
      <c r="B3835" t="inlineStr"/>
      <c r="C3835" t="inlineStr"/>
      <c r="D3835" t="inlineStr"/>
      <c r="E3835">
        <f>HYPERLINK("https://www.uniprot.org/uniprotkb/A0A670KEZ5/entry", "A0A670KEZ5")</f>
        <v/>
      </c>
      <c r="F3835" t="n">
        <v>75</v>
      </c>
      <c r="G3835" t="n">
        <v>60</v>
      </c>
      <c r="H3835" t="n">
        <v>1.51e-23</v>
      </c>
      <c r="I3835" t="inlineStr">
        <is>
          <t>TrEMBL</t>
        </is>
      </c>
      <c r="J3835" t="inlineStr">
        <is>
          <t>NCAN</t>
        </is>
      </c>
      <c r="K3835" t="inlineStr">
        <is>
          <t>A0A670KEZ5_PODMU</t>
        </is>
      </c>
      <c r="L3835" t="inlineStr">
        <is>
          <t>tr|A0A670KEZ5|A0A670KEZ5_PODMU Neurocan OS=Podarcis muralis OX=64176 GN=NCAN PE=4 SV=1</t>
        </is>
      </c>
      <c r="M3835" t="n">
        <v>1129</v>
      </c>
      <c r="N3835" t="inlineStr">
        <is>
          <t>Podarcis muralis</t>
        </is>
      </c>
      <c r="O3835" t="inlineStr">
        <is>
          <t>Neurocan</t>
        </is>
      </c>
    </row>
    <row r="3836">
      <c r="A3836" t="inlineStr"/>
      <c r="B3836" t="inlineStr"/>
      <c r="C3836" t="inlineStr"/>
      <c r="D3836" t="inlineStr"/>
      <c r="E3836">
        <f>HYPERLINK("https://www.ncbi.nlm.nih.gov/gene/?term=OPJ86667.1", "OPJ86667.1")</f>
        <v/>
      </c>
      <c r="F3836" t="n">
        <v>73.3</v>
      </c>
      <c r="G3836" t="n">
        <v>60</v>
      </c>
      <c r="H3836" t="n">
        <v>1.52e-23</v>
      </c>
      <c r="I3836" t="inlineStr">
        <is>
          <t>Nr</t>
        </is>
      </c>
      <c r="J3836" t="inlineStr"/>
      <c r="K3836" t="inlineStr"/>
      <c r="L3836" t="inlineStr">
        <is>
          <t>OPJ86667.1 neurocan core protein [Patagioenas fasciata monilis]</t>
        </is>
      </c>
      <c r="M3836" t="n">
        <v>983</v>
      </c>
      <c r="N3836" t="inlineStr">
        <is>
          <t>Patagioenas fasciata monilis</t>
        </is>
      </c>
      <c r="O3836" t="inlineStr">
        <is>
          <t>neurocan core protein</t>
        </is>
      </c>
    </row>
    <row r="3837">
      <c r="A3837" t="inlineStr"/>
      <c r="B3837" t="inlineStr"/>
      <c r="C3837" t="inlineStr"/>
      <c r="D3837" t="inlineStr"/>
      <c r="E3837">
        <f>HYPERLINK("https://www.ncbi.nlm.nih.gov/gene/?term=NXW85293.1", "NXW85293.1")</f>
        <v/>
      </c>
      <c r="F3837" t="n">
        <v>73.3</v>
      </c>
      <c r="G3837" t="n">
        <v>60</v>
      </c>
      <c r="H3837" t="n">
        <v>1.55e-23</v>
      </c>
      <c r="I3837" t="inlineStr">
        <is>
          <t>Nr</t>
        </is>
      </c>
      <c r="J3837" t="inlineStr"/>
      <c r="K3837" t="inlineStr"/>
      <c r="L3837" t="inlineStr">
        <is>
          <t>NXW85293.1 NCAN protein [Alopecoenas beccarii]</t>
        </is>
      </c>
      <c r="M3837" t="n">
        <v>1277</v>
      </c>
      <c r="N3837" t="inlineStr">
        <is>
          <t>Alopecoenas beccarii</t>
        </is>
      </c>
      <c r="O3837" t="inlineStr">
        <is>
          <t>NCAN protein</t>
        </is>
      </c>
    </row>
    <row r="3838">
      <c r="A3838" t="inlineStr"/>
      <c r="B3838" t="inlineStr"/>
      <c r="C3838" t="inlineStr"/>
      <c r="D3838" t="inlineStr"/>
      <c r="E3838">
        <f>HYPERLINK("https://www.uniprot.org/uniprotkb/A0A8C3P412/entry", "A0A8C3P412")</f>
        <v/>
      </c>
      <c r="F3838" t="n">
        <v>77.59999999999999</v>
      </c>
      <c r="G3838" t="n">
        <v>58</v>
      </c>
      <c r="H3838" t="n">
        <v>1.55e-23</v>
      </c>
      <c r="I3838" t="inlineStr">
        <is>
          <t>TrEMBL</t>
        </is>
      </c>
      <c r="J3838" t="inlineStr">
        <is>
          <t>NCAN</t>
        </is>
      </c>
      <c r="K3838" t="inlineStr">
        <is>
          <t>A0A8C3P412_CHRPI</t>
        </is>
      </c>
      <c r="L3838" t="inlineStr">
        <is>
          <t>tr|A0A8C3P412|A0A8C3P412_CHRPI Neurocan OS=Chrysemys picta bellii OX=8478 GN=NCAN PE=4 SV=1</t>
        </is>
      </c>
      <c r="M3838" t="n">
        <v>1674</v>
      </c>
      <c r="N3838" t="inlineStr">
        <is>
          <t>Chrysemys picta bellii</t>
        </is>
      </c>
      <c r="O3838" t="inlineStr">
        <is>
          <t>Neurocan</t>
        </is>
      </c>
    </row>
    <row r="3839">
      <c r="A3839" t="inlineStr"/>
      <c r="B3839" t="inlineStr"/>
      <c r="C3839" t="inlineStr"/>
      <c r="D3839" t="inlineStr"/>
      <c r="E3839">
        <f>HYPERLINK("https://www.ncbi.nlm.nih.gov/gene/?term=XP_033811878.1", "XP_033811878.1")</f>
        <v/>
      </c>
      <c r="F3839" t="n">
        <v>75</v>
      </c>
      <c r="G3839" t="n">
        <v>60</v>
      </c>
      <c r="H3839" t="n">
        <v>1.58e-23</v>
      </c>
      <c r="I3839" t="inlineStr">
        <is>
          <t>Nr</t>
        </is>
      </c>
      <c r="J3839" t="inlineStr"/>
      <c r="K3839" t="inlineStr"/>
      <c r="L3839" t="inlineStr">
        <is>
          <t>XP_033811878.1 neurocan core protein isoform X3 [Geotrypetes seraphini]</t>
        </is>
      </c>
      <c r="M3839" t="n">
        <v>1784</v>
      </c>
      <c r="N3839" t="inlineStr">
        <is>
          <t>Geotrypetes seraphini</t>
        </is>
      </c>
      <c r="O3839" t="inlineStr">
        <is>
          <t>neurocan core protein isoform X3</t>
        </is>
      </c>
    </row>
    <row r="3840">
      <c r="A3840" t="inlineStr"/>
      <c r="B3840" t="inlineStr"/>
      <c r="C3840" t="inlineStr"/>
      <c r="D3840" t="inlineStr"/>
      <c r="E3840">
        <f>HYPERLINK("https://www.uniprot.org/uniprotkb/A0A2P4SUU8/entry", "A0A2P4SUU8")</f>
        <v/>
      </c>
      <c r="F3840" t="n">
        <v>71.7</v>
      </c>
      <c r="G3840" t="n">
        <v>60</v>
      </c>
      <c r="H3840" t="n">
        <v>1.97e-23</v>
      </c>
      <c r="I3840" t="inlineStr">
        <is>
          <t>TrEMBL</t>
        </is>
      </c>
      <c r="J3840" t="inlineStr">
        <is>
          <t>CIB84_008376</t>
        </is>
      </c>
      <c r="K3840" t="inlineStr">
        <is>
          <t>A0A2P4SUU8_BAMTH</t>
        </is>
      </c>
      <c r="L3840" t="inlineStr">
        <is>
          <t>tr|A0A2P4SUU8|A0A2P4SUU8_BAMTH C-type lectin domain-containing protein (Fragment) OS=Bambusicola thoracicus OX=9083 GN=CIB84_008376 PE=4 SV=1</t>
        </is>
      </c>
      <c r="M3840" t="n">
        <v>743</v>
      </c>
      <c r="N3840" t="inlineStr">
        <is>
          <t>Bambusicola thoracicus</t>
        </is>
      </c>
      <c r="O3840" t="inlineStr">
        <is>
          <t>C-type lectin domain-containing protein (Fragment)</t>
        </is>
      </c>
    </row>
    <row r="3841">
      <c r="A3841" t="inlineStr"/>
      <c r="B3841" t="inlineStr"/>
      <c r="C3841" t="inlineStr"/>
      <c r="D3841" t="inlineStr"/>
      <c r="E3841">
        <f>HYPERLINK("https://www.uniprot.org/uniprotkb/O14594/entry", "O14594")</f>
        <v/>
      </c>
      <c r="F3841" t="n">
        <v>60.3</v>
      </c>
      <c r="G3841" t="n">
        <v>58</v>
      </c>
      <c r="H3841" t="n">
        <v>3.87e-19</v>
      </c>
      <c r="I3841" t="inlineStr">
        <is>
          <t>Swiss-Prot</t>
        </is>
      </c>
      <c r="J3841" t="inlineStr">
        <is>
          <t>NCAN</t>
        </is>
      </c>
      <c r="K3841" t="inlineStr">
        <is>
          <t>NCAN_HUMAN</t>
        </is>
      </c>
      <c r="L3841" t="inlineStr">
        <is>
          <t>sp|O14594|NCAN_HUMAN Neurocan core protein OS=Homo sapiens OX=9606 GN=NCAN PE=1 SV=3</t>
        </is>
      </c>
      <c r="M3841" t="n">
        <v>1321</v>
      </c>
      <c r="N3841" t="inlineStr">
        <is>
          <t>Homo sapiens</t>
        </is>
      </c>
      <c r="O3841" t="inlineStr">
        <is>
          <t>Neurocan core protein</t>
        </is>
      </c>
    </row>
    <row r="3842">
      <c r="A3842" t="inlineStr"/>
      <c r="B3842" t="inlineStr"/>
      <c r="C3842" t="inlineStr"/>
      <c r="D3842" t="inlineStr"/>
      <c r="E3842">
        <f>HYPERLINK("https://www.uniprot.org/uniprotkb/Q5IS41/entry", "Q5IS41")</f>
        <v/>
      </c>
      <c r="F3842" t="n">
        <v>60.3</v>
      </c>
      <c r="G3842" t="n">
        <v>58</v>
      </c>
      <c r="H3842" t="n">
        <v>3.87e-19</v>
      </c>
      <c r="I3842" t="inlineStr">
        <is>
          <t>Swiss-Prot</t>
        </is>
      </c>
      <c r="J3842" t="inlineStr">
        <is>
          <t>NCAN</t>
        </is>
      </c>
      <c r="K3842" t="inlineStr">
        <is>
          <t>NCAN_PANTR</t>
        </is>
      </c>
      <c r="L3842" t="inlineStr">
        <is>
          <t>sp|Q5IS41|NCAN_PANTR Neurocan core protein OS=Pan troglodytes OX=9598 GN=NCAN PE=2 SV=1</t>
        </is>
      </c>
      <c r="M3842" t="n">
        <v>1321</v>
      </c>
      <c r="N3842" t="inlineStr">
        <is>
          <t>Pan troglodytes</t>
        </is>
      </c>
      <c r="O3842" t="inlineStr">
        <is>
          <t>Neurocan core protein</t>
        </is>
      </c>
    </row>
    <row r="3843">
      <c r="A3843" t="inlineStr"/>
      <c r="B3843" t="inlineStr"/>
      <c r="C3843" t="inlineStr"/>
      <c r="D3843" t="inlineStr"/>
      <c r="E3843">
        <f>HYPERLINK("https://www.uniprot.org/uniprotkb/P55067/entry", "P55067")</f>
        <v/>
      </c>
      <c r="F3843" t="n">
        <v>58.6</v>
      </c>
      <c r="G3843" t="n">
        <v>58</v>
      </c>
      <c r="H3843" t="n">
        <v>2.48e-18</v>
      </c>
      <c r="I3843" t="inlineStr">
        <is>
          <t>Swiss-Prot</t>
        </is>
      </c>
      <c r="J3843" t="inlineStr">
        <is>
          <t>Ncan</t>
        </is>
      </c>
      <c r="K3843" t="inlineStr">
        <is>
          <t>NCAN_RAT</t>
        </is>
      </c>
      <c r="L3843" t="inlineStr">
        <is>
          <t>sp|P55067|NCAN_RAT Neurocan core protein OS=Rattus norvegicus OX=10116 GN=Ncan PE=1 SV=1</t>
        </is>
      </c>
      <c r="M3843" t="n">
        <v>1257</v>
      </c>
      <c r="N3843" t="inlineStr">
        <is>
          <t>Rattus norvegicus</t>
        </is>
      </c>
      <c r="O3843" t="inlineStr">
        <is>
          <t>Neurocan core protein</t>
        </is>
      </c>
    </row>
    <row r="3844">
      <c r="A3844" t="inlineStr"/>
      <c r="B3844" t="inlineStr"/>
      <c r="C3844" t="inlineStr"/>
      <c r="D3844" t="inlineStr"/>
      <c r="E3844">
        <f>HYPERLINK("https://www.uniprot.org/uniprotkb/P55066/entry", "P55066")</f>
        <v/>
      </c>
      <c r="F3844" t="n">
        <v>56.9</v>
      </c>
      <c r="G3844" t="n">
        <v>58</v>
      </c>
      <c r="H3844" t="n">
        <v>8.55e-18</v>
      </c>
      <c r="I3844" t="inlineStr">
        <is>
          <t>Swiss-Prot</t>
        </is>
      </c>
      <c r="J3844" t="inlineStr">
        <is>
          <t>Ncan</t>
        </is>
      </c>
      <c r="K3844" t="inlineStr">
        <is>
          <t>NCAN_MOUSE</t>
        </is>
      </c>
      <c r="L3844" t="inlineStr">
        <is>
          <t>sp|P55066|NCAN_MOUSE Neurocan core protein OS=Mus musculus OX=10090 GN=Ncan PE=1 SV=1</t>
        </is>
      </c>
      <c r="M3844" t="n">
        <v>1268</v>
      </c>
      <c r="N3844" t="inlineStr">
        <is>
          <t>Mus musculus</t>
        </is>
      </c>
      <c r="O3844" t="inlineStr">
        <is>
          <t>Neurocan core protein</t>
        </is>
      </c>
    </row>
    <row r="3845">
      <c r="A3845" t="inlineStr"/>
      <c r="B3845" t="inlineStr"/>
      <c r="C3845" t="inlineStr"/>
      <c r="D3845" t="inlineStr"/>
      <c r="E3845">
        <f>HYPERLINK("https://www.uniprot.org/uniprotkb/Q90953/entry", "Q90953")</f>
        <v/>
      </c>
      <c r="F3845" t="n">
        <v>54.4</v>
      </c>
      <c r="G3845" t="n">
        <v>57</v>
      </c>
      <c r="H3845" t="n">
        <v>8.1e-15</v>
      </c>
      <c r="I3845" t="inlineStr">
        <is>
          <t>Swiss-Prot</t>
        </is>
      </c>
      <c r="J3845" t="inlineStr">
        <is>
          <t>VCAN</t>
        </is>
      </c>
      <c r="K3845" t="inlineStr">
        <is>
          <t>CSPG2_CHICK</t>
        </is>
      </c>
      <c r="L3845" t="inlineStr">
        <is>
          <t>sp|Q90953|CSPG2_CHICK Versican core protein OS=Gallus gallus OX=9031 GN=VCAN PE=2 SV=1</t>
        </is>
      </c>
      <c r="M3845" t="n">
        <v>3562</v>
      </c>
      <c r="N3845" t="inlineStr">
        <is>
          <t>Gallus gallus</t>
        </is>
      </c>
      <c r="O3845" t="inlineStr">
        <is>
          <t>Versican core protein</t>
        </is>
      </c>
    </row>
    <row r="3846">
      <c r="A3846" t="inlineStr"/>
      <c r="B3846" t="inlineStr"/>
      <c r="C3846" t="inlineStr"/>
      <c r="D3846" t="inlineStr"/>
      <c r="E3846">
        <f>HYPERLINK("https://www.uniprot.org/uniprotkb/P07898/entry", "P07898")</f>
        <v/>
      </c>
      <c r="F3846" t="n">
        <v>52.9</v>
      </c>
      <c r="G3846" t="n">
        <v>51</v>
      </c>
      <c r="H3846" t="n">
        <v>3.26e-13</v>
      </c>
      <c r="I3846" t="inlineStr">
        <is>
          <t>Swiss-Prot</t>
        </is>
      </c>
      <c r="J3846" t="inlineStr">
        <is>
          <t>ACAN</t>
        </is>
      </c>
      <c r="K3846" t="inlineStr">
        <is>
          <t>PGCA_CHICK</t>
        </is>
      </c>
      <c r="L3846" t="inlineStr">
        <is>
          <t>sp|P07898|PGCA_CHICK Aggrecan core protein OS=Gallus gallus OX=9031 GN=ACAN PE=1 SV=2</t>
        </is>
      </c>
      <c r="M3846" t="n">
        <v>2109</v>
      </c>
      <c r="N3846" t="inlineStr">
        <is>
          <t>Gallus gallus</t>
        </is>
      </c>
      <c r="O3846" t="inlineStr">
        <is>
          <t>Aggrecan core protein</t>
        </is>
      </c>
    </row>
    <row r="3847">
      <c r="A3847" t="inlineStr"/>
      <c r="B3847" t="inlineStr"/>
      <c r="C3847" t="inlineStr"/>
      <c r="D3847" t="inlineStr"/>
      <c r="E3847">
        <f>HYPERLINK("https://www.uniprot.org/uniprotkb/Q9ERB4/entry", "Q9ERB4")</f>
        <v/>
      </c>
      <c r="F3847" t="n">
        <v>50.9</v>
      </c>
      <c r="G3847" t="n">
        <v>57</v>
      </c>
      <c r="H3847" t="n">
        <v>4.48e-13</v>
      </c>
      <c r="I3847" t="inlineStr">
        <is>
          <t>Swiss-Prot</t>
        </is>
      </c>
      <c r="J3847" t="inlineStr">
        <is>
          <t>Vcan</t>
        </is>
      </c>
      <c r="K3847" t="inlineStr">
        <is>
          <t>CSPG2_RAT</t>
        </is>
      </c>
      <c r="L3847" t="inlineStr">
        <is>
          <t>sp|Q9ERB4|CSPG2_RAT Versican core protein (Fragments) OS=Rattus norvegicus OX=10116 GN=Vcan PE=2 SV=2</t>
        </is>
      </c>
      <c r="M3847" t="n">
        <v>2738</v>
      </c>
      <c r="N3847" t="inlineStr">
        <is>
          <t>Rattus norvegicus</t>
        </is>
      </c>
      <c r="O3847" t="inlineStr">
        <is>
          <t>Versican core protein (Fragments)</t>
        </is>
      </c>
    </row>
    <row r="3848">
      <c r="A3848" t="inlineStr"/>
      <c r="B3848" t="inlineStr"/>
      <c r="C3848" t="inlineStr"/>
      <c r="D3848" t="inlineStr"/>
      <c r="E3848">
        <f>HYPERLINK("https://www.uniprot.org/uniprotkb/Q62059/entry", "Q62059")</f>
        <v/>
      </c>
      <c r="F3848" t="n">
        <v>50.9</v>
      </c>
      <c r="G3848" t="n">
        <v>57</v>
      </c>
      <c r="H3848" t="n">
        <v>4.5e-13</v>
      </c>
      <c r="I3848" t="inlineStr">
        <is>
          <t>Swiss-Prot</t>
        </is>
      </c>
      <c r="J3848" t="inlineStr">
        <is>
          <t>Vcan</t>
        </is>
      </c>
      <c r="K3848" t="inlineStr">
        <is>
          <t>CSPG2_MOUSE</t>
        </is>
      </c>
      <c r="L3848" t="inlineStr">
        <is>
          <t>sp|Q62059|CSPG2_MOUSE Versican core protein OS=Mus musculus OX=10090 GN=Vcan PE=1 SV=2</t>
        </is>
      </c>
      <c r="M3848" t="n">
        <v>3357</v>
      </c>
      <c r="N3848" t="inlineStr">
        <is>
          <t>Mus musculus</t>
        </is>
      </c>
      <c r="O3848" t="inlineStr">
        <is>
          <t>Versican core protein</t>
        </is>
      </c>
    </row>
    <row r="3849">
      <c r="A3849" t="inlineStr"/>
      <c r="B3849" t="inlineStr"/>
      <c r="C3849" t="inlineStr"/>
      <c r="D3849" t="inlineStr"/>
      <c r="E3849">
        <f>HYPERLINK("https://www.uniprot.org/uniprotkb/P81282/entry", "P81282")</f>
        <v/>
      </c>
      <c r="F3849" t="n">
        <v>50.9</v>
      </c>
      <c r="G3849" t="n">
        <v>57</v>
      </c>
      <c r="H3849" t="n">
        <v>4.51e-13</v>
      </c>
      <c r="I3849" t="inlineStr">
        <is>
          <t>Swiss-Prot</t>
        </is>
      </c>
      <c r="J3849" t="inlineStr">
        <is>
          <t>VCAN</t>
        </is>
      </c>
      <c r="K3849" t="inlineStr">
        <is>
          <t>CSPG2_BOVIN</t>
        </is>
      </c>
      <c r="L3849" t="inlineStr">
        <is>
          <t>sp|P81282|CSPG2_BOVIN Versican core protein OS=Bos taurus OX=9913 GN=VCAN PE=1 SV=2</t>
        </is>
      </c>
      <c r="M3849" t="n">
        <v>3381</v>
      </c>
      <c r="N3849" t="inlineStr">
        <is>
          <t>Bos taurus</t>
        </is>
      </c>
      <c r="O3849" t="inlineStr">
        <is>
          <t>Versican core protein</t>
        </is>
      </c>
    </row>
    <row r="3850">
      <c r="A3850" t="inlineStr"/>
      <c r="B3850" t="inlineStr"/>
      <c r="C3850" t="inlineStr"/>
      <c r="D3850" t="inlineStr"/>
      <c r="E3850">
        <f>HYPERLINK("https://www.uniprot.org/uniprotkb/Q28343/entry", "Q28343")</f>
        <v/>
      </c>
      <c r="F3850" t="n">
        <v>49</v>
      </c>
      <c r="G3850" t="n">
        <v>51</v>
      </c>
      <c r="H3850" t="n">
        <v>6.07e-13</v>
      </c>
      <c r="I3850" t="inlineStr">
        <is>
          <t>Swiss-Prot</t>
        </is>
      </c>
      <c r="J3850" t="inlineStr">
        <is>
          <t>ACAN</t>
        </is>
      </c>
      <c r="K3850" t="inlineStr">
        <is>
          <t>PGCA_CANLF</t>
        </is>
      </c>
      <c r="L3850" t="inlineStr">
        <is>
          <t>sp|Q28343|PGCA_CANLF Aggrecan core protein OS=Canis lupus familiaris OX=9615 GN=ACAN PE=2 SV=2</t>
        </is>
      </c>
      <c r="M3850" t="n">
        <v>2333</v>
      </c>
      <c r="N3850" t="inlineStr">
        <is>
          <t>Canis lupus familiaris</t>
        </is>
      </c>
      <c r="O3850" t="inlineStr">
        <is>
          <t>Aggrecan core protein</t>
        </is>
      </c>
    </row>
    <row r="3851">
      <c r="A3851" t="inlineStr"/>
      <c r="B3851" t="inlineStr"/>
      <c r="C3851" t="inlineStr"/>
      <c r="D3851" t="inlineStr"/>
      <c r="E3851">
        <f>HYPERLINK("https://www.uniprot.org/uniprotkb/P13611/entry", "P13611")</f>
        <v/>
      </c>
      <c r="F3851" t="n">
        <v>50.9</v>
      </c>
      <c r="G3851" t="n">
        <v>57</v>
      </c>
      <c r="H3851" t="n">
        <v>8.36e-13</v>
      </c>
      <c r="I3851" t="inlineStr">
        <is>
          <t>Swiss-Prot</t>
        </is>
      </c>
      <c r="J3851" t="inlineStr">
        <is>
          <t>VCAN</t>
        </is>
      </c>
      <c r="K3851" t="inlineStr">
        <is>
          <t>CSPG2_HUMAN</t>
        </is>
      </c>
      <c r="L3851" t="inlineStr">
        <is>
          <t>sp|P13611|CSPG2_HUMAN Versican core protein OS=Homo sapiens OX=9606 GN=VCAN PE=1 SV=3</t>
        </is>
      </c>
      <c r="M3851" t="n">
        <v>3396</v>
      </c>
      <c r="N3851" t="inlineStr">
        <is>
          <t>Homo sapiens</t>
        </is>
      </c>
      <c r="O3851" t="inlineStr">
        <is>
          <t>Versican core protein</t>
        </is>
      </c>
    </row>
    <row r="3852">
      <c r="A3852" t="inlineStr"/>
      <c r="B3852" t="inlineStr"/>
      <c r="C3852" t="inlineStr"/>
      <c r="D3852" t="inlineStr"/>
      <c r="E3852">
        <f>HYPERLINK("https://www.uniprot.org/uniprotkb/Q61282/entry", "Q61282")</f>
        <v/>
      </c>
      <c r="F3852" t="n">
        <v>49</v>
      </c>
      <c r="G3852" t="n">
        <v>51</v>
      </c>
      <c r="H3852" t="n">
        <v>1.12e-12</v>
      </c>
      <c r="I3852" t="inlineStr">
        <is>
          <t>Swiss-Prot</t>
        </is>
      </c>
      <c r="J3852" t="inlineStr">
        <is>
          <t>Acan</t>
        </is>
      </c>
      <c r="K3852" t="inlineStr">
        <is>
          <t>PGCA_MOUSE</t>
        </is>
      </c>
      <c r="L3852" t="inlineStr">
        <is>
          <t>sp|Q61282|PGCA_MOUSE Aggrecan core protein OS=Mus musculus OX=10090 GN=Acan PE=1 SV=2</t>
        </is>
      </c>
      <c r="M3852" t="n">
        <v>2132</v>
      </c>
      <c r="N3852" t="inlineStr">
        <is>
          <t>Mus musculus</t>
        </is>
      </c>
      <c r="O3852" t="inlineStr">
        <is>
          <t>Aggrecan core protein</t>
        </is>
      </c>
    </row>
    <row r="3853">
      <c r="A3853" t="inlineStr"/>
      <c r="B3853" t="inlineStr"/>
      <c r="C3853" t="inlineStr"/>
      <c r="D3853" t="inlineStr"/>
      <c r="E3853">
        <f>HYPERLINK("https://www.uniprot.org/uniprotkb/P13608/entry", "P13608")</f>
        <v/>
      </c>
      <c r="F3853" t="n">
        <v>47.1</v>
      </c>
      <c r="G3853" t="n">
        <v>51</v>
      </c>
      <c r="H3853" t="n">
        <v>7.19e-12</v>
      </c>
      <c r="I3853" t="inlineStr">
        <is>
          <t>Swiss-Prot</t>
        </is>
      </c>
      <c r="J3853" t="inlineStr">
        <is>
          <t>ACAN</t>
        </is>
      </c>
      <c r="K3853" t="inlineStr">
        <is>
          <t>PGCA_BOVIN</t>
        </is>
      </c>
      <c r="L3853" t="inlineStr">
        <is>
          <t>sp|P13608|PGCA_BOVIN Aggrecan core protein OS=Bos taurus OX=9913 GN=ACAN PE=1 SV=3</t>
        </is>
      </c>
      <c r="M3853" t="n">
        <v>2364</v>
      </c>
      <c r="N3853" t="inlineStr">
        <is>
          <t>Bos taurus</t>
        </is>
      </c>
      <c r="O3853" t="inlineStr">
        <is>
          <t>Aggrecan core protein</t>
        </is>
      </c>
    </row>
    <row r="3854">
      <c r="A3854" t="inlineStr"/>
      <c r="B3854" t="inlineStr"/>
      <c r="C3854" t="inlineStr"/>
      <c r="D3854" t="inlineStr"/>
      <c r="E3854">
        <f>HYPERLINK("https://www.uniprot.org/uniprotkb/P16112/entry", "P16112")</f>
        <v/>
      </c>
      <c r="F3854" t="n">
        <v>47.1</v>
      </c>
      <c r="G3854" t="n">
        <v>51</v>
      </c>
      <c r="H3854" t="n">
        <v>7.21e-12</v>
      </c>
      <c r="I3854" t="inlineStr">
        <is>
          <t>Swiss-Prot</t>
        </is>
      </c>
      <c r="J3854" t="inlineStr">
        <is>
          <t>ACAN</t>
        </is>
      </c>
      <c r="K3854" t="inlineStr">
        <is>
          <t>PGCA_HUMAN</t>
        </is>
      </c>
      <c r="L3854" t="inlineStr">
        <is>
          <t>sp|P16112|PGCA_HUMAN Aggrecan core protein OS=Homo sapiens OX=9606 GN=ACAN PE=1 SV=3</t>
        </is>
      </c>
      <c r="M3854" t="n">
        <v>2530</v>
      </c>
      <c r="N3854" t="inlineStr">
        <is>
          <t>Homo sapiens</t>
        </is>
      </c>
      <c r="O3854" t="inlineStr">
        <is>
          <t>Aggrecan core protein</t>
        </is>
      </c>
    </row>
    <row r="3855">
      <c r="A3855" t="inlineStr"/>
      <c r="B3855" t="inlineStr"/>
      <c r="C3855" t="inlineStr"/>
      <c r="D3855" t="inlineStr"/>
      <c r="E3855">
        <f>HYPERLINK("https://www.uniprot.org/uniprotkb/P07897/entry", "P07897")</f>
        <v/>
      </c>
      <c r="F3855" t="n">
        <v>47.1</v>
      </c>
      <c r="G3855" t="n">
        <v>51</v>
      </c>
      <c r="H3855" t="n">
        <v>1.33e-11</v>
      </c>
      <c r="I3855" t="inlineStr">
        <is>
          <t>Swiss-Prot</t>
        </is>
      </c>
      <c r="J3855" t="inlineStr">
        <is>
          <t>Acan</t>
        </is>
      </c>
      <c r="K3855" t="inlineStr">
        <is>
          <t>PGCA_RAT</t>
        </is>
      </c>
      <c r="L3855" t="inlineStr">
        <is>
          <t>sp|P07897|PGCA_RAT Aggrecan core protein OS=Rattus norvegicus OX=10116 GN=Acan PE=1 SV=2</t>
        </is>
      </c>
      <c r="M3855" t="n">
        <v>2124</v>
      </c>
      <c r="N3855" t="inlineStr">
        <is>
          <t>Rattus norvegicus</t>
        </is>
      </c>
      <c r="O3855" t="inlineStr">
        <is>
          <t>Aggrecan core protein</t>
        </is>
      </c>
    </row>
    <row r="3856">
      <c r="A3856" t="inlineStr"/>
      <c r="B3856" t="inlineStr"/>
      <c r="C3856" t="inlineStr"/>
      <c r="D3856" t="inlineStr"/>
      <c r="E3856">
        <f>HYPERLINK("https://www.uniprot.org/uniprotkb/Q96GW7/entry", "Q96GW7")</f>
        <v/>
      </c>
      <c r="F3856" t="n">
        <v>47.2</v>
      </c>
      <c r="G3856" t="n">
        <v>53</v>
      </c>
      <c r="H3856" t="n">
        <v>5.11e-10</v>
      </c>
      <c r="I3856" t="inlineStr">
        <is>
          <t>Swiss-Prot</t>
        </is>
      </c>
      <c r="J3856" t="inlineStr">
        <is>
          <t>BCAN</t>
        </is>
      </c>
      <c r="K3856" t="inlineStr">
        <is>
          <t>PGCB_HUMAN</t>
        </is>
      </c>
      <c r="L3856" t="inlineStr">
        <is>
          <t>sp|Q96GW7|PGCB_HUMAN Brevican core protein OS=Homo sapiens OX=9606 GN=BCAN PE=1 SV=2</t>
        </is>
      </c>
      <c r="M3856" t="n">
        <v>911</v>
      </c>
      <c r="N3856" t="inlineStr">
        <is>
          <t>Homo sapiens</t>
        </is>
      </c>
      <c r="O3856" t="inlineStr">
        <is>
          <t>Brevican core protein</t>
        </is>
      </c>
    </row>
    <row r="3857">
      <c r="A3857" t="inlineStr"/>
      <c r="B3857" t="inlineStr"/>
      <c r="C3857" t="inlineStr"/>
      <c r="D3857" t="inlineStr"/>
      <c r="E3857">
        <f>HYPERLINK("https://www.uniprot.org/uniprotkb/Q61361/entry", "Q61361")</f>
        <v/>
      </c>
      <c r="F3857" t="n">
        <v>47.2</v>
      </c>
      <c r="G3857" t="n">
        <v>53</v>
      </c>
      <c r="H3857" t="n">
        <v>6.93e-10</v>
      </c>
      <c r="I3857" t="inlineStr">
        <is>
          <t>Swiss-Prot</t>
        </is>
      </c>
      <c r="J3857" t="inlineStr">
        <is>
          <t>Bcan</t>
        </is>
      </c>
      <c r="K3857" t="inlineStr">
        <is>
          <t>PGCB_MOUSE</t>
        </is>
      </c>
      <c r="L3857" t="inlineStr">
        <is>
          <t>sp|Q61361|PGCB_MOUSE Brevican core protein OS=Mus musculus OX=10090 GN=Bcan PE=1 SV=2</t>
        </is>
      </c>
      <c r="M3857" t="n">
        <v>883</v>
      </c>
      <c r="N3857" t="inlineStr">
        <is>
          <t>Mus musculus</t>
        </is>
      </c>
      <c r="O3857" t="inlineStr">
        <is>
          <t>Brevican core protein</t>
        </is>
      </c>
    </row>
    <row r="3858">
      <c r="A3858" t="inlineStr"/>
      <c r="B3858" t="inlineStr"/>
      <c r="C3858" t="inlineStr"/>
      <c r="D3858" t="inlineStr"/>
      <c r="E3858">
        <f>HYPERLINK("https://www.uniprot.org/uniprotkb/P55068/entry", "P55068")</f>
        <v/>
      </c>
      <c r="F3858" t="n">
        <v>47.2</v>
      </c>
      <c r="G3858" t="n">
        <v>53</v>
      </c>
      <c r="H3858" t="n">
        <v>6.93e-10</v>
      </c>
      <c r="I3858" t="inlineStr">
        <is>
          <t>Swiss-Prot</t>
        </is>
      </c>
      <c r="J3858" t="inlineStr">
        <is>
          <t>Bcan</t>
        </is>
      </c>
      <c r="K3858" t="inlineStr">
        <is>
          <t>PGCB_RAT</t>
        </is>
      </c>
      <c r="L3858" t="inlineStr">
        <is>
          <t>sp|P55068|PGCB_RAT Brevican core protein OS=Rattus norvegicus OX=10116 GN=Bcan PE=1 SV=2</t>
        </is>
      </c>
      <c r="M3858" t="n">
        <v>883</v>
      </c>
      <c r="N3858" t="inlineStr">
        <is>
          <t>Rattus norvegicus</t>
        </is>
      </c>
      <c r="O3858" t="inlineStr">
        <is>
          <t>Brevican core protein</t>
        </is>
      </c>
    </row>
    <row r="3859">
      <c r="A3859" t="inlineStr"/>
      <c r="B3859" t="inlineStr"/>
      <c r="C3859" t="inlineStr"/>
      <c r="D3859" t="inlineStr"/>
      <c r="E3859">
        <f>HYPERLINK("https://www.uniprot.org/uniprotkb/Q28062/entry", "Q28062")</f>
        <v/>
      </c>
      <c r="F3859" t="n">
        <v>47.2</v>
      </c>
      <c r="G3859" t="n">
        <v>53</v>
      </c>
      <c r="H3859" t="n">
        <v>1.75e-09</v>
      </c>
      <c r="I3859" t="inlineStr">
        <is>
          <t>Swiss-Prot</t>
        </is>
      </c>
      <c r="J3859" t="inlineStr">
        <is>
          <t>BCAN</t>
        </is>
      </c>
      <c r="K3859" t="inlineStr">
        <is>
          <t>PGCB_BOVIN</t>
        </is>
      </c>
      <c r="L3859" t="inlineStr">
        <is>
          <t>sp|Q28062|PGCB_BOVIN Brevican core protein OS=Bos taurus OX=9913 GN=BCAN PE=1 SV=1</t>
        </is>
      </c>
      <c r="M3859" t="n">
        <v>912</v>
      </c>
      <c r="N3859" t="inlineStr">
        <is>
          <t>Bos taurus</t>
        </is>
      </c>
      <c r="O3859" t="inlineStr">
        <is>
          <t>Brevican core protein</t>
        </is>
      </c>
    </row>
    <row r="3860">
      <c r="A3860" t="inlineStr">
        <is>
          <t>NODE_24855_length_4398_cov_390.492034_g6165_i1</t>
        </is>
      </c>
      <c r="B3860" t="inlineStr">
        <is>
          <t>bombina_pachypus_blastx</t>
        </is>
      </c>
      <c r="C3860" t="n">
        <v>4.4408598014915</v>
      </c>
      <c r="D3860" t="n">
        <v>1.47279536742759e-07</v>
      </c>
      <c r="E3860">
        <f>HYPERLINK("https://www.uniprot.org/uniprotkb/A0A8J1MX61/entry", "A0A8J1MX61")</f>
        <v/>
      </c>
      <c r="F3860" t="n">
        <v>70.2</v>
      </c>
      <c r="G3860" t="n">
        <v>631</v>
      </c>
      <c r="H3860" t="n">
        <v>5.69e-146</v>
      </c>
      <c r="I3860" t="inlineStr">
        <is>
          <t>TrEMBL</t>
        </is>
      </c>
      <c r="J3860" t="inlineStr">
        <is>
          <t>egf.L</t>
        </is>
      </c>
      <c r="K3860" t="inlineStr">
        <is>
          <t>A0A8J1MX61_XENLA</t>
        </is>
      </c>
      <c r="L3860" t="inlineStr">
        <is>
          <t>tr|A0A8J1MX61|A0A8J1MX61_XENLA pro-epidermal growth factor OS=Xenopus laevis OX=8355 GN=egf.L PE=4 SV=1</t>
        </is>
      </c>
      <c r="M3860" t="n">
        <v>1067</v>
      </c>
      <c r="N3860" t="inlineStr">
        <is>
          <t>Xenopus laevis</t>
        </is>
      </c>
      <c r="O3860" t="inlineStr">
        <is>
          <t>pro-epidermal growth factor</t>
        </is>
      </c>
    </row>
    <row r="3861">
      <c r="A3861" t="inlineStr"/>
      <c r="B3861" t="inlineStr"/>
      <c r="C3861" t="inlineStr"/>
      <c r="D3861" t="inlineStr"/>
      <c r="E3861">
        <f>HYPERLINK("https://www.ncbi.nlm.nih.gov/gene/?term=OCT99865.1", "OCT99865.1")</f>
        <v/>
      </c>
      <c r="F3861" t="n">
        <v>70.2</v>
      </c>
      <c r="G3861" t="n">
        <v>631</v>
      </c>
      <c r="H3861" t="n">
        <v>6.25e-146</v>
      </c>
      <c r="I3861" t="inlineStr">
        <is>
          <t>Nr</t>
        </is>
      </c>
      <c r="J3861" t="inlineStr"/>
      <c r="K3861" t="inlineStr"/>
      <c r="L3861" t="inlineStr">
        <is>
          <t>OCT99865.1 hypothetical protein XELAEV_18005649mg [Xenopus laevis]</t>
        </is>
      </c>
      <c r="M3861" t="n">
        <v>1031</v>
      </c>
      <c r="N3861" t="inlineStr">
        <is>
          <t>Xenopus laevis</t>
        </is>
      </c>
      <c r="O3861" t="inlineStr">
        <is>
          <t>hypothetical protein XELAEV_18005649mg</t>
        </is>
      </c>
    </row>
    <row r="3862">
      <c r="A3862" t="inlineStr"/>
      <c r="B3862" t="inlineStr"/>
      <c r="C3862" t="inlineStr"/>
      <c r="D3862" t="inlineStr"/>
      <c r="E3862">
        <f>HYPERLINK("https://www.ncbi.nlm.nih.gov/gene/?term=XP_041446056.1", "XP_041446056.1")</f>
        <v/>
      </c>
      <c r="F3862" t="n">
        <v>70.2</v>
      </c>
      <c r="G3862" t="n">
        <v>631</v>
      </c>
      <c r="H3862" t="n">
        <v>1.46e-145</v>
      </c>
      <c r="I3862" t="inlineStr">
        <is>
          <t>Nr</t>
        </is>
      </c>
      <c r="J3862" t="inlineStr"/>
      <c r="K3862" t="inlineStr"/>
      <c r="L3862" t="inlineStr">
        <is>
          <t>XP_041446056.1 pro-epidermal growth factor [Xenopus laevis]</t>
        </is>
      </c>
      <c r="M3862" t="n">
        <v>1067</v>
      </c>
      <c r="N3862" t="inlineStr">
        <is>
          <t>Xenopus laevis</t>
        </is>
      </c>
      <c r="O3862" t="inlineStr">
        <is>
          <t>pro-epidermal growth factor</t>
        </is>
      </c>
    </row>
    <row r="3863">
      <c r="A3863" t="inlineStr"/>
      <c r="B3863" t="inlineStr"/>
      <c r="C3863" t="inlineStr"/>
      <c r="D3863" t="inlineStr"/>
      <c r="E3863">
        <f>HYPERLINK("https://www.ncbi.nlm.nih.gov/gene/?term=KAE8630539.1", "KAE8630539.1")</f>
        <v/>
      </c>
      <c r="F3863" t="n">
        <v>69.59999999999999</v>
      </c>
      <c r="G3863" t="n">
        <v>631</v>
      </c>
      <c r="H3863" t="n">
        <v>5.54e-143</v>
      </c>
      <c r="I3863" t="inlineStr">
        <is>
          <t>Nr</t>
        </is>
      </c>
      <c r="J3863" t="inlineStr"/>
      <c r="K3863" t="inlineStr"/>
      <c r="L3863" t="inlineStr">
        <is>
          <t>KAE8630539.1 hypothetical protein XENTR_v10000863 [Xenopus tropicalis]</t>
        </is>
      </c>
      <c r="M3863" t="n">
        <v>960</v>
      </c>
      <c r="N3863" t="inlineStr">
        <is>
          <t>Xenopus tropicalis</t>
        </is>
      </c>
      <c r="O3863" t="inlineStr">
        <is>
          <t>hypothetical protein XENTR_v10000863</t>
        </is>
      </c>
    </row>
    <row r="3864">
      <c r="A3864" t="inlineStr"/>
      <c r="B3864" t="inlineStr"/>
      <c r="C3864" t="inlineStr"/>
      <c r="D3864" t="inlineStr"/>
      <c r="E3864">
        <f>HYPERLINK("https://www.uniprot.org/uniprotkb/A8KBG4/entry", "A8KBG4")</f>
        <v/>
      </c>
      <c r="F3864" t="n">
        <v>69.59999999999999</v>
      </c>
      <c r="G3864" t="n">
        <v>631</v>
      </c>
      <c r="H3864" t="n">
        <v>1.91e-142</v>
      </c>
      <c r="I3864" t="inlineStr">
        <is>
          <t>TrEMBL</t>
        </is>
      </c>
      <c r="J3864" t="inlineStr">
        <is>
          <t>egf</t>
        </is>
      </c>
      <c r="K3864" t="inlineStr">
        <is>
          <t>A8KBG4_XENTR</t>
        </is>
      </c>
      <c r="L3864" t="inlineStr">
        <is>
          <t>tr|A8KBG4|A8KBG4_XENTR LOC100127663 protein OS=Xenopus tropicalis OX=8364 GN=egf PE=2 SV=1</t>
        </is>
      </c>
      <c r="M3864" t="n">
        <v>1051</v>
      </c>
      <c r="N3864" t="inlineStr">
        <is>
          <t>Xenopus tropicalis</t>
        </is>
      </c>
      <c r="O3864" t="inlineStr">
        <is>
          <t>LOC100127663 protein</t>
        </is>
      </c>
    </row>
    <row r="3865">
      <c r="A3865" t="inlineStr"/>
      <c r="B3865" t="inlineStr"/>
      <c r="C3865" t="inlineStr"/>
      <c r="D3865" t="inlineStr"/>
      <c r="E3865">
        <f>HYPERLINK("https://www.uniprot.org/uniprotkb/F7BYK2/entry", "F7BYK2")</f>
        <v/>
      </c>
      <c r="F3865" t="n">
        <v>69.59999999999999</v>
      </c>
      <c r="G3865" t="n">
        <v>631</v>
      </c>
      <c r="H3865" t="n">
        <v>1.91e-142</v>
      </c>
      <c r="I3865" t="inlineStr">
        <is>
          <t>TrEMBL</t>
        </is>
      </c>
      <c r="J3865" t="inlineStr">
        <is>
          <t>egf</t>
        </is>
      </c>
      <c r="K3865" t="inlineStr">
        <is>
          <t>F7BYK2_XENTR</t>
        </is>
      </c>
      <c r="L3865" t="inlineStr">
        <is>
          <t>tr|F7BYK2|F7BYK2_XENTR Epidermal growth factor OS=Xenopus tropicalis OX=8364 GN=egf PE=4 SV=4</t>
        </is>
      </c>
      <c r="M3865" t="n">
        <v>1051</v>
      </c>
      <c r="N3865" t="inlineStr">
        <is>
          <t>Xenopus tropicalis</t>
        </is>
      </c>
      <c r="O3865" t="inlineStr">
        <is>
          <t>Epidermal growth factor</t>
        </is>
      </c>
    </row>
    <row r="3866">
      <c r="A3866" t="inlineStr"/>
      <c r="B3866" t="inlineStr"/>
      <c r="C3866" t="inlineStr"/>
      <c r="D3866" t="inlineStr"/>
      <c r="E3866">
        <f>HYPERLINK("https://www.ncbi.nlm.nih.gov/gene/?term=NP_001106478.1", "NP_001106478.1")</f>
        <v/>
      </c>
      <c r="F3866" t="n">
        <v>69.59999999999999</v>
      </c>
      <c r="G3866" t="n">
        <v>631</v>
      </c>
      <c r="H3866" t="n">
        <v>4.9e-142</v>
      </c>
      <c r="I3866" t="inlineStr">
        <is>
          <t>Nr</t>
        </is>
      </c>
      <c r="J3866" t="inlineStr"/>
      <c r="K3866" t="inlineStr"/>
      <c r="L3866" t="inlineStr">
        <is>
          <t>NP_001106478.1 pro-epidermal growth factor precursor [Xenopus tropicalis]</t>
        </is>
      </c>
      <c r="M3866" t="n">
        <v>1051</v>
      </c>
      <c r="N3866" t="inlineStr">
        <is>
          <t>Xenopus tropicalis</t>
        </is>
      </c>
      <c r="O3866" t="inlineStr">
        <is>
          <t>pro-epidermal growth factor precursor</t>
        </is>
      </c>
    </row>
    <row r="3867">
      <c r="A3867" t="inlineStr"/>
      <c r="B3867" t="inlineStr"/>
      <c r="C3867" t="inlineStr"/>
      <c r="D3867" t="inlineStr"/>
      <c r="E3867">
        <f>HYPERLINK("https://www.ncbi.nlm.nih.gov/gene/?term=KAE8630538.1", "KAE8630538.1")</f>
        <v/>
      </c>
      <c r="F3867" t="n">
        <v>69.59999999999999</v>
      </c>
      <c r="G3867" t="n">
        <v>631</v>
      </c>
      <c r="H3867" t="n">
        <v>4.9e-142</v>
      </c>
      <c r="I3867" t="inlineStr">
        <is>
          <t>Nr</t>
        </is>
      </c>
      <c r="J3867" t="inlineStr"/>
      <c r="K3867" t="inlineStr"/>
      <c r="L3867" t="inlineStr">
        <is>
          <t>KAE8630538.1 hypothetical protein XENTR_v10000863 [Xenopus tropicalis]</t>
        </is>
      </c>
      <c r="M3867" t="n">
        <v>1051</v>
      </c>
      <c r="N3867" t="inlineStr">
        <is>
          <t>Xenopus tropicalis</t>
        </is>
      </c>
      <c r="O3867" t="inlineStr">
        <is>
          <t>hypothetical protein XENTR_v10000863</t>
        </is>
      </c>
    </row>
    <row r="3868">
      <c r="A3868" t="inlineStr"/>
      <c r="B3868" t="inlineStr"/>
      <c r="C3868" t="inlineStr"/>
      <c r="D3868" t="inlineStr"/>
      <c r="E3868">
        <f>HYPERLINK("https://www.ncbi.nlm.nih.gov/gene/?term=XP_040274305.1", "XP_040274305.1")</f>
        <v/>
      </c>
      <c r="F3868" t="n">
        <v>70.5</v>
      </c>
      <c r="G3868" t="n">
        <v>630</v>
      </c>
      <c r="H3868" t="n">
        <v>8.64e-139</v>
      </c>
      <c r="I3868" t="inlineStr">
        <is>
          <t>Nr</t>
        </is>
      </c>
      <c r="J3868" t="inlineStr"/>
      <c r="K3868" t="inlineStr"/>
      <c r="L3868" t="inlineStr">
        <is>
          <t>XP_040274305.1 pro-epidermal growth factor [Bufo bufo]</t>
        </is>
      </c>
      <c r="M3868" t="n">
        <v>993</v>
      </c>
      <c r="N3868" t="inlineStr">
        <is>
          <t>Bufo bufo</t>
        </is>
      </c>
      <c r="O3868" t="inlineStr">
        <is>
          <t>pro-epidermal growth factor</t>
        </is>
      </c>
    </row>
    <row r="3869">
      <c r="A3869" t="inlineStr"/>
      <c r="B3869" t="inlineStr"/>
      <c r="C3869" t="inlineStr"/>
      <c r="D3869" t="inlineStr"/>
      <c r="E3869">
        <f>HYPERLINK("https://www.ncbi.nlm.nih.gov/gene/?term=XP_044124175.1", "XP_044124175.1")</f>
        <v/>
      </c>
      <c r="F3869" t="n">
        <v>70.5</v>
      </c>
      <c r="G3869" t="n">
        <v>630</v>
      </c>
      <c r="H3869" t="n">
        <v>1.84e-137</v>
      </c>
      <c r="I3869" t="inlineStr">
        <is>
          <t>Nr</t>
        </is>
      </c>
      <c r="J3869" t="inlineStr"/>
      <c r="K3869" t="inlineStr"/>
      <c r="L3869" t="inlineStr">
        <is>
          <t>XP_044124175.1 pro-epidermal growth factor [Bufo gargarizans]</t>
        </is>
      </c>
      <c r="M3869" t="n">
        <v>993</v>
      </c>
      <c r="N3869" t="inlineStr">
        <is>
          <t>Bufo gargarizans</t>
        </is>
      </c>
      <c r="O3869" t="inlineStr">
        <is>
          <t>pro-epidermal growth factor</t>
        </is>
      </c>
    </row>
    <row r="3870">
      <c r="A3870" t="inlineStr"/>
      <c r="B3870" t="inlineStr"/>
      <c r="C3870" t="inlineStr"/>
      <c r="D3870" t="inlineStr"/>
      <c r="E3870">
        <f>HYPERLINK("https://www.uniprot.org/uniprotkb/A0A8C5LZ41/entry", "A0A8C5LZ41")</f>
        <v/>
      </c>
      <c r="F3870" t="n">
        <v>69.09999999999999</v>
      </c>
      <c r="G3870" t="n">
        <v>640</v>
      </c>
      <c r="H3870" t="n">
        <v>3.5e-128</v>
      </c>
      <c r="I3870" t="inlineStr">
        <is>
          <t>TrEMBL</t>
        </is>
      </c>
      <c r="J3870" t="inlineStr">
        <is>
          <t>EGF</t>
        </is>
      </c>
      <c r="K3870" t="inlineStr">
        <is>
          <t>A0A8C5LZ41_9ANUR</t>
        </is>
      </c>
      <c r="L3870" t="inlineStr">
        <is>
          <t>tr|A0A8C5LZ41|A0A8C5LZ41_9ANUR Epidermal growth factor OS=Leptobrachium leishanense OX=445787 GN=EGF PE=4 SV=1</t>
        </is>
      </c>
      <c r="M3870" t="n">
        <v>1052</v>
      </c>
      <c r="N3870" t="inlineStr">
        <is>
          <t>Leptobrachium leishanense</t>
        </is>
      </c>
      <c r="O3870" t="inlineStr">
        <is>
          <t>Epidermal growth factor</t>
        </is>
      </c>
    </row>
    <row r="3871">
      <c r="A3871" t="inlineStr"/>
      <c r="B3871" t="inlineStr"/>
      <c r="C3871" t="inlineStr"/>
      <c r="D3871" t="inlineStr"/>
      <c r="E3871">
        <f>HYPERLINK("https://www.ncbi.nlm.nih.gov/gene/?term=KAG8592916.1", "KAG8592916.1")</f>
        <v/>
      </c>
      <c r="F3871" t="n">
        <v>68</v>
      </c>
      <c r="G3871" t="n">
        <v>631</v>
      </c>
      <c r="H3871" t="n">
        <v>5.56e-127</v>
      </c>
      <c r="I3871" t="inlineStr">
        <is>
          <t>Nr</t>
        </is>
      </c>
      <c r="J3871" t="inlineStr"/>
      <c r="K3871" t="inlineStr"/>
      <c r="L3871" t="inlineStr">
        <is>
          <t>KAG8592916.1 hypothetical protein GDO81_000667 [Engystomops pustulosus]</t>
        </is>
      </c>
      <c r="M3871" t="n">
        <v>996</v>
      </c>
      <c r="N3871" t="inlineStr">
        <is>
          <t>Engystomops pustulosus</t>
        </is>
      </c>
      <c r="O3871" t="inlineStr">
        <is>
          <t>hypothetical protein GDO81_000667</t>
        </is>
      </c>
    </row>
    <row r="3872">
      <c r="A3872" t="inlineStr"/>
      <c r="B3872" t="inlineStr"/>
      <c r="C3872" t="inlineStr"/>
      <c r="D3872" t="inlineStr"/>
      <c r="E3872">
        <f>HYPERLINK("https://www.ncbi.nlm.nih.gov/gene/?term=XP_018425549.1", "XP_018425549.1")</f>
        <v/>
      </c>
      <c r="F3872" t="n">
        <v>64</v>
      </c>
      <c r="G3872" t="n">
        <v>627</v>
      </c>
      <c r="H3872" t="n">
        <v>3.13e-125</v>
      </c>
      <c r="I3872" t="inlineStr">
        <is>
          <t>Nr</t>
        </is>
      </c>
      <c r="J3872" t="inlineStr"/>
      <c r="K3872" t="inlineStr"/>
      <c r="L3872" t="inlineStr">
        <is>
          <t>XP_018425549.1 PREDICTED: pro-epidermal growth factor [Nanorana parkeri]</t>
        </is>
      </c>
      <c r="M3872" t="n">
        <v>1026</v>
      </c>
      <c r="N3872" t="inlineStr">
        <is>
          <t>Nanorana parkeri</t>
        </is>
      </c>
      <c r="O3872" t="inlineStr">
        <is>
          <t>PREDICTED: pro-epidermal growth factor</t>
        </is>
      </c>
    </row>
    <row r="3873">
      <c r="A3873" t="inlineStr"/>
      <c r="B3873" t="inlineStr"/>
      <c r="C3873" t="inlineStr"/>
      <c r="D3873" t="inlineStr"/>
      <c r="E3873">
        <f>HYPERLINK("https://www.ncbi.nlm.nih.gov/gene/?term=XP_053317474.1", "XP_053317474.1")</f>
        <v/>
      </c>
      <c r="F3873" t="n">
        <v>64.8</v>
      </c>
      <c r="G3873" t="n">
        <v>633</v>
      </c>
      <c r="H3873" t="n">
        <v>1.03e-123</v>
      </c>
      <c r="I3873" t="inlineStr">
        <is>
          <t>Nr</t>
        </is>
      </c>
      <c r="J3873" t="inlineStr"/>
      <c r="K3873" t="inlineStr"/>
      <c r="L3873" t="inlineStr">
        <is>
          <t>XP_053317474.1 pro-epidermal growth factor [Spea bombifrons]</t>
        </is>
      </c>
      <c r="M3873" t="n">
        <v>1048</v>
      </c>
      <c r="N3873" t="inlineStr">
        <is>
          <t>Spea bombifrons</t>
        </is>
      </c>
      <c r="O3873" t="inlineStr">
        <is>
          <t>pro-epidermal growth factor</t>
        </is>
      </c>
    </row>
    <row r="3874">
      <c r="A3874" t="inlineStr"/>
      <c r="B3874" t="inlineStr"/>
      <c r="C3874" t="inlineStr"/>
      <c r="D3874" t="inlineStr"/>
      <c r="E3874">
        <f>HYPERLINK("https://www.uniprot.org/uniprotkb/A0A8C5M1I0/entry", "A0A8C5M1I0")</f>
        <v/>
      </c>
      <c r="F3874" t="n">
        <v>53.5</v>
      </c>
      <c r="G3874" t="n">
        <v>692</v>
      </c>
      <c r="H3874" t="n">
        <v>2.53e-122</v>
      </c>
      <c r="I3874" t="inlineStr">
        <is>
          <t>TrEMBL</t>
        </is>
      </c>
      <c r="J3874" t="inlineStr">
        <is>
          <t>EGF</t>
        </is>
      </c>
      <c r="K3874" t="inlineStr">
        <is>
          <t>A0A8C5M1I0_9ANUR</t>
        </is>
      </c>
      <c r="L3874" t="inlineStr">
        <is>
          <t>tr|A0A8C5M1I0|A0A8C5M1I0_9ANUR Epidermal growth factor OS=Leptobrachium leishanense OX=445787 GN=EGF PE=4 SV=1</t>
        </is>
      </c>
      <c r="M3874" t="n">
        <v>1104</v>
      </c>
      <c r="N3874" t="inlineStr">
        <is>
          <t>Leptobrachium leishanense</t>
        </is>
      </c>
      <c r="O3874" t="inlineStr">
        <is>
          <t>Epidermal growth factor</t>
        </is>
      </c>
    </row>
    <row r="3875">
      <c r="A3875" t="inlineStr"/>
      <c r="B3875" t="inlineStr"/>
      <c r="C3875" t="inlineStr"/>
      <c r="D3875" t="inlineStr"/>
      <c r="E3875">
        <f>HYPERLINK("https://www.ncbi.nlm.nih.gov/gene/?term=XP_040185158.1", "XP_040185158.1")</f>
        <v/>
      </c>
      <c r="F3875" t="n">
        <v>67.90000000000001</v>
      </c>
      <c r="G3875" t="n">
        <v>592</v>
      </c>
      <c r="H3875" t="n">
        <v>5.78e-120</v>
      </c>
      <c r="I3875" t="inlineStr">
        <is>
          <t>Nr</t>
        </is>
      </c>
      <c r="J3875" t="inlineStr"/>
      <c r="K3875" t="inlineStr"/>
      <c r="L3875" t="inlineStr">
        <is>
          <t>XP_040185158.1 pro-epidermal growth factor isoform X1 [Rana temporaria]</t>
        </is>
      </c>
      <c r="M3875" t="n">
        <v>791</v>
      </c>
      <c r="N3875" t="inlineStr">
        <is>
          <t>Rana temporaria</t>
        </is>
      </c>
      <c r="O3875" t="inlineStr">
        <is>
          <t>pro-epidermal growth factor isoform X1</t>
        </is>
      </c>
    </row>
    <row r="3876">
      <c r="A3876" t="inlineStr"/>
      <c r="B3876" t="inlineStr"/>
      <c r="C3876" t="inlineStr"/>
      <c r="D3876" t="inlineStr"/>
      <c r="E3876">
        <f>HYPERLINK("https://www.uniprot.org/uniprotkb/A0A8J6F1J9/entry", "A0A8J6F1J9")</f>
        <v/>
      </c>
      <c r="F3876" t="n">
        <v>65.8</v>
      </c>
      <c r="G3876" t="n">
        <v>631</v>
      </c>
      <c r="H3876" t="n">
        <v>2.32e-119</v>
      </c>
      <c r="I3876" t="inlineStr">
        <is>
          <t>TrEMBL</t>
        </is>
      </c>
      <c r="J3876" t="inlineStr">
        <is>
          <t>GDO78_011960</t>
        </is>
      </c>
      <c r="K3876" t="inlineStr">
        <is>
          <t>A0A8J6F1J9_ELECQ</t>
        </is>
      </c>
      <c r="L3876" t="inlineStr">
        <is>
          <t>tr|A0A8J6F1J9|A0A8J6F1J9_ELECQ Epidermal growth factor OS=Eleutherodactylus coqui OX=57060 GN=GDO78_011960 PE=4 SV=1</t>
        </is>
      </c>
      <c r="M3876" t="n">
        <v>993</v>
      </c>
      <c r="N3876" t="inlineStr">
        <is>
          <t>Eleutherodactylus coqui</t>
        </is>
      </c>
      <c r="O3876" t="inlineStr">
        <is>
          <t>Epidermal growth factor</t>
        </is>
      </c>
    </row>
    <row r="3877">
      <c r="A3877" t="inlineStr"/>
      <c r="B3877" t="inlineStr"/>
      <c r="C3877" t="inlineStr"/>
      <c r="D3877" t="inlineStr"/>
      <c r="E3877">
        <f>HYPERLINK("https://www.ncbi.nlm.nih.gov/gene/?term=KAG9480218.1", "KAG9480218.1")</f>
        <v/>
      </c>
      <c r="F3877" t="n">
        <v>65.8</v>
      </c>
      <c r="G3877" t="n">
        <v>631</v>
      </c>
      <c r="H3877" t="n">
        <v>5.95e-119</v>
      </c>
      <c r="I3877" t="inlineStr">
        <is>
          <t>Nr</t>
        </is>
      </c>
      <c r="J3877" t="inlineStr"/>
      <c r="K3877" t="inlineStr"/>
      <c r="L3877" t="inlineStr">
        <is>
          <t>KAG9480218.1 hypothetical protein GDO78_011960 [Eleutherodactylus coqui]</t>
        </is>
      </c>
      <c r="M3877" t="n">
        <v>993</v>
      </c>
      <c r="N3877" t="inlineStr">
        <is>
          <t>Eleutherodactylus coqui</t>
        </is>
      </c>
      <c r="O3877" t="inlineStr">
        <is>
          <t>hypothetical protein GDO78_011960</t>
        </is>
      </c>
    </row>
    <row r="3878">
      <c r="A3878" t="inlineStr"/>
      <c r="B3878" t="inlineStr"/>
      <c r="C3878" t="inlineStr"/>
      <c r="D3878" t="inlineStr"/>
      <c r="E3878">
        <f>HYPERLINK("https://www.ncbi.nlm.nih.gov/gene/?term=XP_040185172.1", "XP_040185172.1")</f>
        <v/>
      </c>
      <c r="F3878" t="n">
        <v>65.59999999999999</v>
      </c>
      <c r="G3878" t="n">
        <v>631</v>
      </c>
      <c r="H3878" t="n">
        <v>3.84e-117</v>
      </c>
      <c r="I3878" t="inlineStr">
        <is>
          <t>Nr</t>
        </is>
      </c>
      <c r="J3878" t="inlineStr"/>
      <c r="K3878" t="inlineStr"/>
      <c r="L3878" t="inlineStr">
        <is>
          <t>XP_040185172.1 pro-epidermal growth factor isoform X2 [Rana temporaria]</t>
        </is>
      </c>
      <c r="M3878" t="n">
        <v>1049</v>
      </c>
      <c r="N3878" t="inlineStr">
        <is>
          <t>Rana temporaria</t>
        </is>
      </c>
      <c r="O3878" t="inlineStr">
        <is>
          <t>pro-epidermal growth factor isoform X2</t>
        </is>
      </c>
    </row>
    <row r="3879">
      <c r="A3879" t="inlineStr"/>
      <c r="B3879" t="inlineStr"/>
      <c r="C3879" t="inlineStr"/>
      <c r="D3879" t="inlineStr"/>
      <c r="E3879">
        <f>HYPERLINK("https://www.uniprot.org/uniprotkb/A0A6P7X2N9/entry", "A0A6P7X2N9")</f>
        <v/>
      </c>
      <c r="F3879" t="n">
        <v>61.1</v>
      </c>
      <c r="G3879" t="n">
        <v>638</v>
      </c>
      <c r="H3879" t="n">
        <v>3.45e-113</v>
      </c>
      <c r="I3879" t="inlineStr">
        <is>
          <t>TrEMBL</t>
        </is>
      </c>
      <c r="J3879" t="inlineStr">
        <is>
          <t>EGF</t>
        </is>
      </c>
      <c r="K3879" t="inlineStr">
        <is>
          <t>A0A6P7X2N9_9AMPH</t>
        </is>
      </c>
      <c r="L3879" t="inlineStr">
        <is>
          <t>tr|A0A6P7X2N9|A0A6P7X2N9_9AMPH pro-epidermal growth factor OS=Microcaecilia unicolor OX=1415580 GN=EGF PE=4 SV=1</t>
        </is>
      </c>
      <c r="M3879" t="n">
        <v>1104</v>
      </c>
      <c r="N3879" t="inlineStr">
        <is>
          <t>Microcaecilia unicolor</t>
        </is>
      </c>
      <c r="O3879" t="inlineStr">
        <is>
          <t>pro-epidermal growth factor</t>
        </is>
      </c>
    </row>
    <row r="3880">
      <c r="A3880" t="inlineStr"/>
      <c r="B3880" t="inlineStr"/>
      <c r="C3880" t="inlineStr"/>
      <c r="D3880" t="inlineStr"/>
      <c r="E3880">
        <f>HYPERLINK("https://www.ncbi.nlm.nih.gov/gene/?term=XP_030046718.1", "XP_030046718.1")</f>
        <v/>
      </c>
      <c r="F3880" t="n">
        <v>61.1</v>
      </c>
      <c r="G3880" t="n">
        <v>638</v>
      </c>
      <c r="H3880" t="n">
        <v>8.849999999999999e-113</v>
      </c>
      <c r="I3880" t="inlineStr">
        <is>
          <t>Nr</t>
        </is>
      </c>
      <c r="J3880" t="inlineStr"/>
      <c r="K3880" t="inlineStr"/>
      <c r="L3880" t="inlineStr">
        <is>
          <t>XP_030046718.1 pro-epidermal growth factor [Microcaecilia unicolor]</t>
        </is>
      </c>
      <c r="M3880" t="n">
        <v>1104</v>
      </c>
      <c r="N3880" t="inlineStr">
        <is>
          <t>Microcaecilia unicolor</t>
        </is>
      </c>
      <c r="O3880" t="inlineStr">
        <is>
          <t>pro-epidermal growth factor</t>
        </is>
      </c>
    </row>
    <row r="3881">
      <c r="A3881" t="inlineStr"/>
      <c r="B3881" t="inlineStr"/>
      <c r="C3881" t="inlineStr"/>
      <c r="D3881" t="inlineStr"/>
      <c r="E3881">
        <f>HYPERLINK("https://www.uniprot.org/uniprotkb/A0A8T1SVL3/entry", "A0A8T1SVL3")</f>
        <v/>
      </c>
      <c r="F3881" t="n">
        <v>58</v>
      </c>
      <c r="G3881" t="n">
        <v>643</v>
      </c>
      <c r="H3881" t="n">
        <v>7.6e-112</v>
      </c>
      <c r="I3881" t="inlineStr">
        <is>
          <t>TrEMBL</t>
        </is>
      </c>
      <c r="J3881" t="inlineStr">
        <is>
          <t>EGF</t>
        </is>
      </c>
      <c r="K3881" t="inlineStr">
        <is>
          <t>A0A8T1SVL3_CHESE</t>
        </is>
      </c>
      <c r="L3881" t="inlineStr">
        <is>
          <t>tr|A0A8T1SVL3|A0A8T1SVL3_CHESE Epidermal growth factor OS=Chelydra serpentina OX=8475 GN=EGF PE=4 SV=1</t>
        </is>
      </c>
      <c r="M3881" t="n">
        <v>1211</v>
      </c>
      <c r="N3881" t="inlineStr">
        <is>
          <t>Chelydra serpentina</t>
        </is>
      </c>
      <c r="O3881" t="inlineStr">
        <is>
          <t>Epidermal growth factor</t>
        </is>
      </c>
    </row>
    <row r="3882">
      <c r="A3882" t="inlineStr"/>
      <c r="B3882" t="inlineStr"/>
      <c r="C3882" t="inlineStr"/>
      <c r="D3882" t="inlineStr"/>
      <c r="E3882">
        <f>HYPERLINK("https://www.ncbi.nlm.nih.gov/gene/?term=KAG6932554.1", "KAG6932554.1")</f>
        <v/>
      </c>
      <c r="F3882" t="n">
        <v>58</v>
      </c>
      <c r="G3882" t="n">
        <v>643</v>
      </c>
      <c r="H3882" t="n">
        <v>1.95e-111</v>
      </c>
      <c r="I3882" t="inlineStr">
        <is>
          <t>Nr</t>
        </is>
      </c>
      <c r="J3882" t="inlineStr"/>
      <c r="K3882" t="inlineStr"/>
      <c r="L3882" t="inlineStr">
        <is>
          <t>KAG6932554.1 epidermal growth factor [Chelydra serpentina]</t>
        </is>
      </c>
      <c r="M3882" t="n">
        <v>1211</v>
      </c>
      <c r="N3882" t="inlineStr">
        <is>
          <t>Chelydra serpentina</t>
        </is>
      </c>
      <c r="O3882" t="inlineStr">
        <is>
          <t>epidermal growth factor</t>
        </is>
      </c>
    </row>
    <row r="3883">
      <c r="A3883" t="inlineStr"/>
      <c r="B3883" t="inlineStr"/>
      <c r="C3883" t="inlineStr"/>
      <c r="D3883" t="inlineStr"/>
      <c r="E3883">
        <f>HYPERLINK("https://www.uniprot.org/uniprotkb/A0A6P8S0K7/entry", "A0A6P8S0K7")</f>
        <v/>
      </c>
      <c r="F3883" t="n">
        <v>60.4</v>
      </c>
      <c r="G3883" t="n">
        <v>637</v>
      </c>
      <c r="H3883" t="n">
        <v>2.81e-111</v>
      </c>
      <c r="I3883" t="inlineStr">
        <is>
          <t>TrEMBL</t>
        </is>
      </c>
      <c r="J3883" t="inlineStr">
        <is>
          <t>EGF</t>
        </is>
      </c>
      <c r="K3883" t="inlineStr">
        <is>
          <t>A0A6P8S0K7_GEOSA</t>
        </is>
      </c>
      <c r="L3883" t="inlineStr">
        <is>
          <t>tr|A0A6P8S0K7|A0A6P8S0K7_GEOSA pro-epidermal growth factor isoform X6 OS=Geotrypetes seraphini OX=260995 GN=EGF PE=4 SV=1</t>
        </is>
      </c>
      <c r="M3883" t="n">
        <v>1053</v>
      </c>
      <c r="N3883" t="inlineStr">
        <is>
          <t>Geotrypetes seraphini</t>
        </is>
      </c>
      <c r="O3883" t="inlineStr">
        <is>
          <t>pro-epidermal growth factor isoform X6</t>
        </is>
      </c>
    </row>
    <row r="3884">
      <c r="A3884" t="inlineStr"/>
      <c r="B3884" t="inlineStr"/>
      <c r="C3884" t="inlineStr"/>
      <c r="D3884" t="inlineStr"/>
      <c r="E3884">
        <f>HYPERLINK("https://www.uniprot.org/uniprotkb/A0A6P8S0K9/entry", "A0A6P8S0K9")</f>
        <v/>
      </c>
      <c r="F3884" t="n">
        <v>60.4</v>
      </c>
      <c r="G3884" t="n">
        <v>637</v>
      </c>
      <c r="H3884" t="n">
        <v>3.38e-111</v>
      </c>
      <c r="I3884" t="inlineStr">
        <is>
          <t>TrEMBL</t>
        </is>
      </c>
      <c r="J3884" t="inlineStr">
        <is>
          <t>EGF</t>
        </is>
      </c>
      <c r="K3884" t="inlineStr">
        <is>
          <t>A0A6P8S0K9_GEOSA</t>
        </is>
      </c>
      <c r="L3884" t="inlineStr">
        <is>
          <t>tr|A0A6P8S0K9|A0A6P8S0K9_GEOSA pro-epidermal growth factor isoform X4 OS=Geotrypetes seraphini OX=260995 GN=EGF PE=4 SV=1</t>
        </is>
      </c>
      <c r="M3884" t="n">
        <v>1063</v>
      </c>
      <c r="N3884" t="inlineStr">
        <is>
          <t>Geotrypetes seraphini</t>
        </is>
      </c>
      <c r="O3884" t="inlineStr">
        <is>
          <t>pro-epidermal growth factor isoform X4</t>
        </is>
      </c>
    </row>
    <row r="3885">
      <c r="A3885" t="inlineStr"/>
      <c r="B3885" t="inlineStr"/>
      <c r="C3885" t="inlineStr"/>
      <c r="D3885" t="inlineStr"/>
      <c r="E3885">
        <f>HYPERLINK("https://www.uniprot.org/uniprotkb/A0A6P8S1S8/entry", "A0A6P8S1S8")</f>
        <v/>
      </c>
      <c r="F3885" t="n">
        <v>60.4</v>
      </c>
      <c r="G3885" t="n">
        <v>637</v>
      </c>
      <c r="H3885" t="n">
        <v>3.91e-111</v>
      </c>
      <c r="I3885" t="inlineStr">
        <is>
          <t>TrEMBL</t>
        </is>
      </c>
      <c r="J3885" t="inlineStr">
        <is>
          <t>EGF</t>
        </is>
      </c>
      <c r="K3885" t="inlineStr">
        <is>
          <t>A0A6P8S1S8_GEOSA</t>
        </is>
      </c>
      <c r="L3885" t="inlineStr">
        <is>
          <t>tr|A0A6P8S1S8|A0A6P8S1S8_GEOSA pro-epidermal growth factor isoform X3 OS=Geotrypetes seraphini OX=260995 GN=EGF PE=4 SV=1</t>
        </is>
      </c>
      <c r="M3885" t="n">
        <v>1071</v>
      </c>
      <c r="N3885" t="inlineStr">
        <is>
          <t>Geotrypetes seraphini</t>
        </is>
      </c>
      <c r="O3885" t="inlineStr">
        <is>
          <t>pro-epidermal growth factor isoform X3</t>
        </is>
      </c>
    </row>
    <row r="3886">
      <c r="A3886" t="inlineStr"/>
      <c r="B3886" t="inlineStr"/>
      <c r="C3886" t="inlineStr"/>
      <c r="D3886" t="inlineStr"/>
      <c r="E3886">
        <f>HYPERLINK("https://www.uniprot.org/uniprotkb/A0A6P8S0I1/entry", "A0A6P8S0I1")</f>
        <v/>
      </c>
      <c r="F3886" t="n">
        <v>60.4</v>
      </c>
      <c r="G3886" t="n">
        <v>637</v>
      </c>
      <c r="H3886" t="n">
        <v>4.36e-111</v>
      </c>
      <c r="I3886" t="inlineStr">
        <is>
          <t>TrEMBL</t>
        </is>
      </c>
      <c r="J3886" t="inlineStr">
        <is>
          <t>EGF</t>
        </is>
      </c>
      <c r="K3886" t="inlineStr">
        <is>
          <t>A0A6P8S0I1_GEOSA</t>
        </is>
      </c>
      <c r="L3886" t="inlineStr">
        <is>
          <t>tr|A0A6P8S0I1|A0A6P8S0I1_GEOSA pro-epidermal growth factor isoform X2 OS=Geotrypetes seraphini OX=260995 GN=EGF PE=4 SV=1</t>
        </is>
      </c>
      <c r="M3886" t="n">
        <v>1077</v>
      </c>
      <c r="N3886" t="inlineStr">
        <is>
          <t>Geotrypetes seraphini</t>
        </is>
      </c>
      <c r="O3886" t="inlineStr">
        <is>
          <t>pro-epidermal growth factor isoform X2</t>
        </is>
      </c>
    </row>
    <row r="3887">
      <c r="A3887" t="inlineStr"/>
      <c r="B3887" t="inlineStr"/>
      <c r="C3887" t="inlineStr"/>
      <c r="D3887" t="inlineStr"/>
      <c r="E3887">
        <f>HYPERLINK("https://www.uniprot.org/uniprotkb/A0A6P8S0H1/entry", "A0A6P8S0H1")</f>
        <v/>
      </c>
      <c r="F3887" t="n">
        <v>60.4</v>
      </c>
      <c r="G3887" t="n">
        <v>637</v>
      </c>
      <c r="H3887" t="n">
        <v>6.22e-111</v>
      </c>
      <c r="I3887" t="inlineStr">
        <is>
          <t>TrEMBL</t>
        </is>
      </c>
      <c r="J3887" t="inlineStr">
        <is>
          <t>EGF</t>
        </is>
      </c>
      <c r="K3887" t="inlineStr">
        <is>
          <t>A0A6P8S0H1_GEOSA</t>
        </is>
      </c>
      <c r="L3887" t="inlineStr">
        <is>
          <t>tr|A0A6P8S0H1|A0A6P8S0H1_GEOSA pro-epidermal growth factor isoform X1 OS=Geotrypetes seraphini OX=260995 GN=EGF PE=4 SV=1</t>
        </is>
      </c>
      <c r="M3887" t="n">
        <v>1097</v>
      </c>
      <c r="N3887" t="inlineStr">
        <is>
          <t>Geotrypetes seraphini</t>
        </is>
      </c>
      <c r="O3887" t="inlineStr">
        <is>
          <t>pro-epidermal growth factor isoform X1</t>
        </is>
      </c>
    </row>
    <row r="3888">
      <c r="A3888" t="inlineStr"/>
      <c r="B3888" t="inlineStr"/>
      <c r="C3888" t="inlineStr"/>
      <c r="D3888" t="inlineStr"/>
      <c r="E3888">
        <f>HYPERLINK("https://www.ncbi.nlm.nih.gov/gene/?term=XP_033811344.1", "XP_033811344.1")</f>
        <v/>
      </c>
      <c r="F3888" t="n">
        <v>60.4</v>
      </c>
      <c r="G3888" t="n">
        <v>637</v>
      </c>
      <c r="H3888" t="n">
        <v>7.23e-111</v>
      </c>
      <c r="I3888" t="inlineStr">
        <is>
          <t>Nr</t>
        </is>
      </c>
      <c r="J3888" t="inlineStr"/>
      <c r="K3888" t="inlineStr"/>
      <c r="L3888" t="inlineStr">
        <is>
          <t>XP_033811344.1 pro-epidermal growth factor isoform X6 [Geotrypetes seraphini]</t>
        </is>
      </c>
      <c r="M3888" t="n">
        <v>1053</v>
      </c>
      <c r="N3888" t="inlineStr">
        <is>
          <t>Geotrypetes seraphini</t>
        </is>
      </c>
      <c r="O3888" t="inlineStr">
        <is>
          <t>pro-epidermal growth factor isoform X6</t>
        </is>
      </c>
    </row>
    <row r="3889">
      <c r="A3889" t="inlineStr"/>
      <c r="B3889" t="inlineStr"/>
      <c r="C3889" t="inlineStr"/>
      <c r="D3889" t="inlineStr"/>
      <c r="E3889">
        <f>HYPERLINK("https://www.ncbi.nlm.nih.gov/gene/?term=XP_033811327.1", "XP_033811327.1")</f>
        <v/>
      </c>
      <c r="F3889" t="n">
        <v>60.4</v>
      </c>
      <c r="G3889" t="n">
        <v>637</v>
      </c>
      <c r="H3889" t="n">
        <v>8.689999999999999e-111</v>
      </c>
      <c r="I3889" t="inlineStr">
        <is>
          <t>Nr</t>
        </is>
      </c>
      <c r="J3889" t="inlineStr"/>
      <c r="K3889" t="inlineStr"/>
      <c r="L3889" t="inlineStr">
        <is>
          <t>XP_033811327.1 pro-epidermal growth factor isoform X4 [Geotrypetes seraphini]</t>
        </is>
      </c>
      <c r="M3889" t="n">
        <v>1063</v>
      </c>
      <c r="N3889" t="inlineStr">
        <is>
          <t>Geotrypetes seraphini</t>
        </is>
      </c>
      <c r="O3889" t="inlineStr">
        <is>
          <t>pro-epidermal growth factor isoform X4</t>
        </is>
      </c>
    </row>
    <row r="3890">
      <c r="A3890" t="inlineStr"/>
      <c r="B3890" t="inlineStr"/>
      <c r="C3890" t="inlineStr"/>
      <c r="D3890" t="inlineStr"/>
      <c r="E3890">
        <f>HYPERLINK("https://www.ncbi.nlm.nih.gov/gene/?term=XP_033811318.1", "XP_033811318.1")</f>
        <v/>
      </c>
      <c r="F3890" t="n">
        <v>60.4</v>
      </c>
      <c r="G3890" t="n">
        <v>637</v>
      </c>
      <c r="H3890" t="n">
        <v>1.01e-110</v>
      </c>
      <c r="I3890" t="inlineStr">
        <is>
          <t>Nr</t>
        </is>
      </c>
      <c r="J3890" t="inlineStr"/>
      <c r="K3890" t="inlineStr"/>
      <c r="L3890" t="inlineStr">
        <is>
          <t>XP_033811318.1 pro-epidermal growth factor isoform X3 [Geotrypetes seraphini]</t>
        </is>
      </c>
      <c r="M3890" t="n">
        <v>1071</v>
      </c>
      <c r="N3890" t="inlineStr">
        <is>
          <t>Geotrypetes seraphini</t>
        </is>
      </c>
      <c r="O3890" t="inlineStr">
        <is>
          <t>pro-epidermal growth factor isoform X3</t>
        </is>
      </c>
    </row>
    <row r="3891">
      <c r="A3891" t="inlineStr"/>
      <c r="B3891" t="inlineStr"/>
      <c r="C3891" t="inlineStr"/>
      <c r="D3891" t="inlineStr"/>
      <c r="E3891">
        <f>HYPERLINK("https://www.ncbi.nlm.nih.gov/gene/?term=XP_033811309.1", "XP_033811309.1")</f>
        <v/>
      </c>
      <c r="F3891" t="n">
        <v>60.4</v>
      </c>
      <c r="G3891" t="n">
        <v>637</v>
      </c>
      <c r="H3891" t="n">
        <v>1.12e-110</v>
      </c>
      <c r="I3891" t="inlineStr">
        <is>
          <t>Nr</t>
        </is>
      </c>
      <c r="J3891" t="inlineStr"/>
      <c r="K3891" t="inlineStr"/>
      <c r="L3891" t="inlineStr">
        <is>
          <t>XP_033811309.1 pro-epidermal growth factor isoform X2 [Geotrypetes seraphini]</t>
        </is>
      </c>
      <c r="M3891" t="n">
        <v>1077</v>
      </c>
      <c r="N3891" t="inlineStr">
        <is>
          <t>Geotrypetes seraphini</t>
        </is>
      </c>
      <c r="O3891" t="inlineStr">
        <is>
          <t>pro-epidermal growth factor isoform X2</t>
        </is>
      </c>
    </row>
    <row r="3892">
      <c r="A3892" t="inlineStr"/>
      <c r="B3892" t="inlineStr"/>
      <c r="C3892" t="inlineStr"/>
      <c r="D3892" t="inlineStr"/>
      <c r="E3892">
        <f>HYPERLINK("https://www.ncbi.nlm.nih.gov/gene/?term=XP_033811299.1", "XP_033811299.1")</f>
        <v/>
      </c>
      <c r="F3892" t="n">
        <v>60.4</v>
      </c>
      <c r="G3892" t="n">
        <v>637</v>
      </c>
      <c r="H3892" t="n">
        <v>1.6e-110</v>
      </c>
      <c r="I3892" t="inlineStr">
        <is>
          <t>Nr</t>
        </is>
      </c>
      <c r="J3892" t="inlineStr"/>
      <c r="K3892" t="inlineStr"/>
      <c r="L3892" t="inlineStr">
        <is>
          <t>XP_033811299.1 pro-epidermal growth factor isoform X1 [Geotrypetes seraphini]</t>
        </is>
      </c>
      <c r="M3892" t="n">
        <v>1097</v>
      </c>
      <c r="N3892" t="inlineStr">
        <is>
          <t>Geotrypetes seraphini</t>
        </is>
      </c>
      <c r="O3892" t="inlineStr">
        <is>
          <t>pro-epidermal growth factor isoform X1</t>
        </is>
      </c>
    </row>
    <row r="3893">
      <c r="A3893" t="inlineStr"/>
      <c r="B3893" t="inlineStr"/>
      <c r="C3893" t="inlineStr"/>
      <c r="D3893" t="inlineStr"/>
      <c r="E3893">
        <f>HYPERLINK("https://www.uniprot.org/uniprotkb/A0A6P8S2M8/entry", "A0A6P8S2M8")</f>
        <v/>
      </c>
      <c r="F3893" t="n">
        <v>43.8</v>
      </c>
      <c r="G3893" t="n">
        <v>637</v>
      </c>
      <c r="H3893" t="n">
        <v>2.45e-110</v>
      </c>
      <c r="I3893" t="inlineStr">
        <is>
          <t>TrEMBL</t>
        </is>
      </c>
      <c r="J3893" t="inlineStr">
        <is>
          <t>EGF</t>
        </is>
      </c>
      <c r="K3893" t="inlineStr">
        <is>
          <t>A0A6P8S2M8_GEOSA</t>
        </is>
      </c>
      <c r="L3893" t="inlineStr">
        <is>
          <t>tr|A0A6P8S2M8|A0A6P8S2M8_GEOSA pro-epidermal growth factor isoform X5 OS=Geotrypetes seraphini OX=260995 GN=EGF PE=4 SV=1</t>
        </is>
      </c>
      <c r="M3893" t="n">
        <v>1062</v>
      </c>
      <c r="N3893" t="inlineStr">
        <is>
          <t>Geotrypetes seraphini</t>
        </is>
      </c>
      <c r="O3893" t="inlineStr">
        <is>
          <t>pro-epidermal growth factor isoform X5</t>
        </is>
      </c>
    </row>
    <row r="3894">
      <c r="A3894" t="inlineStr"/>
      <c r="B3894" t="inlineStr"/>
      <c r="C3894" t="inlineStr"/>
      <c r="D3894" t="inlineStr"/>
      <c r="E3894">
        <f>HYPERLINK("https://www.uniprot.org/uniprotkb/A0A4D9DR79/entry", "A0A4D9DR79")</f>
        <v/>
      </c>
      <c r="F3894" t="n">
        <v>58.4</v>
      </c>
      <c r="G3894" t="n">
        <v>635</v>
      </c>
      <c r="H3894" t="n">
        <v>5.65e-110</v>
      </c>
      <c r="I3894" t="inlineStr">
        <is>
          <t>TrEMBL</t>
        </is>
      </c>
      <c r="J3894" t="inlineStr">
        <is>
          <t>DR999_PMT17840</t>
        </is>
      </c>
      <c r="K3894" t="inlineStr">
        <is>
          <t>A0A4D9DR79_9SAUR</t>
        </is>
      </c>
      <c r="L3894" t="inlineStr">
        <is>
          <t>tr|A0A4D9DR79|A0A4D9DR79_9SAUR CAP-Gly domain-containing linker protein 3 OS=Platysternon megacephalum OX=55544 GN=DR999_PMT17840 PE=4 SV=1</t>
        </is>
      </c>
      <c r="M3894" t="n">
        <v>1191</v>
      </c>
      <c r="N3894" t="inlineStr">
        <is>
          <t>Platysternon megacephalum</t>
        </is>
      </c>
      <c r="O3894" t="inlineStr">
        <is>
          <t>CAP-Gly domain-containing linker protein 3</t>
        </is>
      </c>
    </row>
    <row r="3895">
      <c r="A3895" t="inlineStr"/>
      <c r="B3895" t="inlineStr"/>
      <c r="C3895" t="inlineStr"/>
      <c r="D3895" t="inlineStr"/>
      <c r="E3895">
        <f>HYPERLINK("https://www.ncbi.nlm.nih.gov/gene/?term=XP_033811336.1", "XP_033811336.1")</f>
        <v/>
      </c>
      <c r="F3895" t="n">
        <v>43.8</v>
      </c>
      <c r="G3895" t="n">
        <v>637</v>
      </c>
      <c r="H3895" t="n">
        <v>6.290000000000001e-110</v>
      </c>
      <c r="I3895" t="inlineStr">
        <is>
          <t>Nr</t>
        </is>
      </c>
      <c r="J3895" t="inlineStr"/>
      <c r="K3895" t="inlineStr"/>
      <c r="L3895" t="inlineStr">
        <is>
          <t>XP_033811336.1 pro-epidermal growth factor isoform X5 [Geotrypetes seraphini]</t>
        </is>
      </c>
      <c r="M3895" t="n">
        <v>1062</v>
      </c>
      <c r="N3895" t="inlineStr">
        <is>
          <t>Geotrypetes seraphini</t>
        </is>
      </c>
      <c r="O3895" t="inlineStr">
        <is>
          <t>pro-epidermal growth factor isoform X5</t>
        </is>
      </c>
    </row>
    <row r="3896">
      <c r="A3896" t="inlineStr"/>
      <c r="B3896" t="inlineStr"/>
      <c r="C3896" t="inlineStr"/>
      <c r="D3896" t="inlineStr"/>
      <c r="E3896">
        <f>HYPERLINK("https://www.ncbi.nlm.nih.gov/gene/?term=TFK00061.1", "TFK00061.1")</f>
        <v/>
      </c>
      <c r="F3896" t="n">
        <v>58.4</v>
      </c>
      <c r="G3896" t="n">
        <v>635</v>
      </c>
      <c r="H3896" t="n">
        <v>1.45e-109</v>
      </c>
      <c r="I3896" t="inlineStr">
        <is>
          <t>Nr</t>
        </is>
      </c>
      <c r="J3896" t="inlineStr"/>
      <c r="K3896" t="inlineStr"/>
      <c r="L3896" t="inlineStr">
        <is>
          <t>TFK00061.1 CAP-Gly domain-containing linker protein 3 [Platysternon megacephalum]</t>
        </is>
      </c>
      <c r="M3896" t="n">
        <v>1191</v>
      </c>
      <c r="N3896" t="inlineStr">
        <is>
          <t>Platysternon megacephalum</t>
        </is>
      </c>
      <c r="O3896" t="inlineStr">
        <is>
          <t>CAP-Gly domain-containing linker protein 3</t>
        </is>
      </c>
    </row>
    <row r="3897">
      <c r="A3897" t="inlineStr"/>
      <c r="B3897" t="inlineStr"/>
      <c r="C3897" t="inlineStr"/>
      <c r="D3897" t="inlineStr"/>
      <c r="E3897">
        <f>HYPERLINK("https://www.ncbi.nlm.nih.gov/gene/?term=XP_029451985.1", "XP_029451985.1")</f>
        <v/>
      </c>
      <c r="F3897" t="n">
        <v>62.4</v>
      </c>
      <c r="G3897" t="n">
        <v>630</v>
      </c>
      <c r="H3897" t="n">
        <v>1.94e-109</v>
      </c>
      <c r="I3897" t="inlineStr">
        <is>
          <t>Nr</t>
        </is>
      </c>
      <c r="J3897" t="inlineStr"/>
      <c r="K3897" t="inlineStr"/>
      <c r="L3897" t="inlineStr">
        <is>
          <t>XP_029451985.1 pro-epidermal growth factor isoform X3 [Rhinatrema bivittatum]</t>
        </is>
      </c>
      <c r="M3897" t="n">
        <v>964</v>
      </c>
      <c r="N3897" t="inlineStr">
        <is>
          <t>Rhinatrema bivittatum</t>
        </is>
      </c>
      <c r="O3897" t="inlineStr">
        <is>
          <t>pro-epidermal growth factor isoform X3</t>
        </is>
      </c>
    </row>
    <row r="3898">
      <c r="A3898" t="inlineStr"/>
      <c r="B3898" t="inlineStr"/>
      <c r="C3898" t="inlineStr"/>
      <c r="D3898" t="inlineStr"/>
      <c r="E3898">
        <f>HYPERLINK("https://www.uniprot.org/uniprotkb/A0A8C8RRU4/entry", "A0A8C8RRU4")</f>
        <v/>
      </c>
      <c r="F3898" t="n">
        <v>60</v>
      </c>
      <c r="G3898" t="n">
        <v>675</v>
      </c>
      <c r="H3898" t="n">
        <v>5.8e-109</v>
      </c>
      <c r="I3898" t="inlineStr">
        <is>
          <t>TrEMBL</t>
        </is>
      </c>
      <c r="J3898" t="inlineStr"/>
      <c r="K3898" t="inlineStr">
        <is>
          <t>A0A8C8RRU4_9SAUR</t>
        </is>
      </c>
      <c r="L3898" t="inlineStr">
        <is>
          <t>tr|A0A8C8RRU4|A0A8C8RRU4_9SAUR Epidermal growth factor OS=Pelusios castaneus OX=367368 PE=4 SV=1</t>
        </is>
      </c>
      <c r="M3898" t="n">
        <v>1171</v>
      </c>
      <c r="N3898" t="inlineStr">
        <is>
          <t>Pelusios castaneus</t>
        </is>
      </c>
      <c r="O3898" t="inlineStr">
        <is>
          <t>Epidermal growth factor</t>
        </is>
      </c>
    </row>
    <row r="3899">
      <c r="A3899" t="inlineStr"/>
      <c r="B3899" t="inlineStr"/>
      <c r="C3899" t="inlineStr"/>
      <c r="D3899" t="inlineStr"/>
      <c r="E3899">
        <f>HYPERLINK("https://www.ncbi.nlm.nih.gov/gene/?term=XP_043369010.1", "XP_043369010.1")</f>
        <v/>
      </c>
      <c r="F3899" t="n">
        <v>61.7</v>
      </c>
      <c r="G3899" t="n">
        <v>635</v>
      </c>
      <c r="H3899" t="n">
        <v>7.21e-109</v>
      </c>
      <c r="I3899" t="inlineStr">
        <is>
          <t>Nr</t>
        </is>
      </c>
      <c r="J3899" t="inlineStr"/>
      <c r="K3899" t="inlineStr"/>
      <c r="L3899" t="inlineStr">
        <is>
          <t>XP_043369010.1 pro-epidermal growth factor isoform X2 [Dermochelys coriacea]</t>
        </is>
      </c>
      <c r="M3899" t="n">
        <v>1210</v>
      </c>
      <c r="N3899" t="inlineStr">
        <is>
          <t>Dermochelys coriacea</t>
        </is>
      </c>
      <c r="O3899" t="inlineStr">
        <is>
          <t>pro-epidermal growth factor isoform X2</t>
        </is>
      </c>
    </row>
    <row r="3900">
      <c r="A3900" t="inlineStr"/>
      <c r="B3900" t="inlineStr"/>
      <c r="C3900" t="inlineStr"/>
      <c r="D3900" t="inlineStr"/>
      <c r="E3900">
        <f>HYPERLINK("https://www.uniprot.org/uniprotkb/A0A8C3SND0/entry", "A0A8C3SND0")</f>
        <v/>
      </c>
      <c r="F3900" t="n">
        <v>56</v>
      </c>
      <c r="G3900" t="n">
        <v>675</v>
      </c>
      <c r="H3900" t="n">
        <v>7.890000000000001e-109</v>
      </c>
      <c r="I3900" t="inlineStr">
        <is>
          <t>TrEMBL</t>
        </is>
      </c>
      <c r="J3900" t="inlineStr"/>
      <c r="K3900" t="inlineStr">
        <is>
          <t>A0A8C3SND0_CHESE</t>
        </is>
      </c>
      <c r="L3900" t="inlineStr">
        <is>
          <t>tr|A0A8C3SND0|A0A8C3SND0_CHESE Pro-epidermal growth factor OS=Chelydra serpentina OX=8475 PE=4 SV=1</t>
        </is>
      </c>
      <c r="M3900" t="n">
        <v>1236</v>
      </c>
      <c r="N3900" t="inlineStr">
        <is>
          <t>Chelydra serpentina</t>
        </is>
      </c>
      <c r="O3900" t="inlineStr">
        <is>
          <t>Pro-epidermal growth factor</t>
        </is>
      </c>
    </row>
    <row r="3901">
      <c r="A3901" t="inlineStr"/>
      <c r="B3901" t="inlineStr"/>
      <c r="C3901" t="inlineStr"/>
      <c r="D3901" t="inlineStr"/>
      <c r="E3901">
        <f>HYPERLINK("https://www.ncbi.nlm.nih.gov/gene/?term=XP_037752975.1", "XP_037752975.1")</f>
        <v/>
      </c>
      <c r="F3901" t="n">
        <v>61.6</v>
      </c>
      <c r="G3901" t="n">
        <v>635</v>
      </c>
      <c r="H3901" t="n">
        <v>2.65e-108</v>
      </c>
      <c r="I3901" t="inlineStr">
        <is>
          <t>Nr</t>
        </is>
      </c>
      <c r="J3901" t="inlineStr"/>
      <c r="K3901" t="inlineStr"/>
      <c r="L3901" t="inlineStr">
        <is>
          <t>XP_037752975.1 pro-epidermal growth factor isoform X2 [Chelonia mydas]</t>
        </is>
      </c>
      <c r="M3901" t="n">
        <v>1209</v>
      </c>
      <c r="N3901" t="inlineStr">
        <is>
          <t>Chelonia mydas</t>
        </is>
      </c>
      <c r="O3901" t="inlineStr">
        <is>
          <t>pro-epidermal growth factor isoform X2</t>
        </is>
      </c>
    </row>
    <row r="3902">
      <c r="A3902" t="inlineStr"/>
      <c r="B3902" t="inlineStr"/>
      <c r="C3902" t="inlineStr"/>
      <c r="D3902" t="inlineStr"/>
      <c r="E3902">
        <f>HYPERLINK("https://www.uniprot.org/uniprotkb/A0A8C3F9M8/entry", "A0A8C3F9M8")</f>
        <v/>
      </c>
      <c r="F3902" t="n">
        <v>57.1</v>
      </c>
      <c r="G3902" t="n">
        <v>636</v>
      </c>
      <c r="H3902" t="n">
        <v>7.580000000000001e-107</v>
      </c>
      <c r="I3902" t="inlineStr">
        <is>
          <t>TrEMBL</t>
        </is>
      </c>
      <c r="J3902" t="inlineStr">
        <is>
          <t>EGF</t>
        </is>
      </c>
      <c r="K3902" t="inlineStr">
        <is>
          <t>A0A8C3F9M8_CHRPI</t>
        </is>
      </c>
      <c r="L3902" t="inlineStr">
        <is>
          <t>tr|A0A8C3F9M8|A0A8C3F9M8_CHRPI Epidermal growth factor OS=Chrysemys picta bellii OX=8478 GN=EGF PE=4 SV=1</t>
        </is>
      </c>
      <c r="M3902" t="n">
        <v>1211</v>
      </c>
      <c r="N3902" t="inlineStr">
        <is>
          <t>Chrysemys picta bellii</t>
        </is>
      </c>
      <c r="O3902" t="inlineStr">
        <is>
          <t>Epidermal growth factor</t>
        </is>
      </c>
    </row>
    <row r="3903">
      <c r="A3903" t="inlineStr"/>
      <c r="B3903" t="inlineStr"/>
      <c r="C3903" t="inlineStr"/>
      <c r="D3903" t="inlineStr"/>
      <c r="E3903">
        <f>HYPERLINK("https://www.uniprot.org/uniprotkb/A0A8C8RPT6/entry", "A0A8C8RPT6")</f>
        <v/>
      </c>
      <c r="F3903" t="n">
        <v>56.2</v>
      </c>
      <c r="G3903" t="n">
        <v>664</v>
      </c>
      <c r="H3903" t="n">
        <v>1.19e-106</v>
      </c>
      <c r="I3903" t="inlineStr">
        <is>
          <t>TrEMBL</t>
        </is>
      </c>
      <c r="J3903" t="inlineStr"/>
      <c r="K3903" t="inlineStr">
        <is>
          <t>A0A8C8RPT6_9SAUR</t>
        </is>
      </c>
      <c r="L3903" t="inlineStr">
        <is>
          <t>tr|A0A8C8RPT6|A0A8C8RPT6_9SAUR Epidermal growth factor OS=Pelusios castaneus OX=367368 PE=4 SV=1</t>
        </is>
      </c>
      <c r="M3903" t="n">
        <v>947</v>
      </c>
      <c r="N3903" t="inlineStr">
        <is>
          <t>Pelusios castaneus</t>
        </is>
      </c>
      <c r="O3903" t="inlineStr">
        <is>
          <t>Epidermal growth factor</t>
        </is>
      </c>
    </row>
    <row r="3904">
      <c r="A3904" t="inlineStr"/>
      <c r="B3904" t="inlineStr"/>
      <c r="C3904" t="inlineStr"/>
      <c r="D3904" t="inlineStr"/>
      <c r="E3904">
        <f>HYPERLINK("https://www.uniprot.org/uniprotkb/A0A091PJL7/entry", "A0A091PJL7")</f>
        <v/>
      </c>
      <c r="F3904" t="n">
        <v>62.8</v>
      </c>
      <c r="G3904" t="n">
        <v>583</v>
      </c>
      <c r="H3904" t="n">
        <v>1.91e-105</v>
      </c>
      <c r="I3904" t="inlineStr">
        <is>
          <t>TrEMBL</t>
        </is>
      </c>
      <c r="J3904" t="inlineStr">
        <is>
          <t>N330_01945</t>
        </is>
      </c>
      <c r="K3904" t="inlineStr">
        <is>
          <t>A0A091PJL7_LEPDC</t>
        </is>
      </c>
      <c r="L3904" t="inlineStr">
        <is>
          <t>tr|A0A091PJL7|A0A091PJL7_LEPDC Pro-epidermal growth factor (Fragment) OS=Leptosomus discolor OX=188344 GN=N330_01945 PE=4 SV=1</t>
        </is>
      </c>
      <c r="M3904" t="n">
        <v>1041</v>
      </c>
      <c r="N3904" t="inlineStr">
        <is>
          <t>Leptosomus discolor</t>
        </is>
      </c>
      <c r="O3904" t="inlineStr">
        <is>
          <t>Pro-epidermal growth factor (Fragment)</t>
        </is>
      </c>
    </row>
    <row r="3905">
      <c r="A3905" t="inlineStr"/>
      <c r="B3905" t="inlineStr"/>
      <c r="C3905" t="inlineStr"/>
      <c r="D3905" t="inlineStr"/>
      <c r="E3905">
        <f>HYPERLINK("https://www.uniprot.org/uniprotkb/A0A401S821/entry", "A0A401S821")</f>
        <v/>
      </c>
      <c r="F3905" t="n">
        <v>59.8</v>
      </c>
      <c r="G3905" t="n">
        <v>645</v>
      </c>
      <c r="H3905" t="n">
        <v>2.35e-105</v>
      </c>
      <c r="I3905" t="inlineStr">
        <is>
          <t>TrEMBL</t>
        </is>
      </c>
      <c r="J3905" t="inlineStr">
        <is>
          <t>chiPu_0004907</t>
        </is>
      </c>
      <c r="K3905" t="inlineStr">
        <is>
          <t>A0A401S821_CHIPU</t>
        </is>
      </c>
      <c r="L3905" t="inlineStr">
        <is>
          <t>tr|A0A401S821|A0A401S821_CHIPU Pro-epidermal growth factor OS=Chiloscyllium punctatum OX=137246 GN=chiPu_0004907 PE=4 SV=1</t>
        </is>
      </c>
      <c r="M3905" t="n">
        <v>1053</v>
      </c>
      <c r="N3905" t="inlineStr">
        <is>
          <t>Chiloscyllium punctatum</t>
        </is>
      </c>
      <c r="O3905" t="inlineStr">
        <is>
          <t>Pro-epidermal growth factor</t>
        </is>
      </c>
    </row>
    <row r="3906">
      <c r="A3906" t="inlineStr"/>
      <c r="B3906" t="inlineStr"/>
      <c r="C3906" t="inlineStr"/>
      <c r="D3906" t="inlineStr"/>
      <c r="E3906">
        <f>HYPERLINK("https://www.uniprot.org/uniprotkb/A0A7M4EED4/entry", "A0A7M4EED4")</f>
        <v/>
      </c>
      <c r="F3906" t="n">
        <v>61.1</v>
      </c>
      <c r="G3906" t="n">
        <v>589</v>
      </c>
      <c r="H3906" t="n">
        <v>9.150000000000001e-105</v>
      </c>
      <c r="I3906" t="inlineStr">
        <is>
          <t>TrEMBL</t>
        </is>
      </c>
      <c r="J3906" t="inlineStr">
        <is>
          <t>EGF</t>
        </is>
      </c>
      <c r="K3906" t="inlineStr">
        <is>
          <t>A0A7M4EED4_CROPO</t>
        </is>
      </c>
      <c r="L3906" t="inlineStr">
        <is>
          <t>tr|A0A7M4EED4|A0A7M4EED4_CROPO Epidermal growth factor OS=Crocodylus porosus OX=8502 GN=EGF PE=4 SV=1</t>
        </is>
      </c>
      <c r="M3906" t="n">
        <v>1226</v>
      </c>
      <c r="N3906" t="inlineStr">
        <is>
          <t>Crocodylus porosus</t>
        </is>
      </c>
      <c r="O3906" t="inlineStr">
        <is>
          <t>Epidermal growth factor</t>
        </is>
      </c>
    </row>
    <row r="3907">
      <c r="A3907" t="inlineStr"/>
      <c r="B3907" t="inlineStr"/>
      <c r="C3907" t="inlineStr"/>
      <c r="D3907" t="inlineStr"/>
      <c r="E3907">
        <f>HYPERLINK("https://www.uniprot.org/uniprotkb/A0A674IF36/entry", "A0A674IF36")</f>
        <v/>
      </c>
      <c r="F3907" t="n">
        <v>60.3</v>
      </c>
      <c r="G3907" t="n">
        <v>589</v>
      </c>
      <c r="H3907" t="n">
        <v>1.27e-104</v>
      </c>
      <c r="I3907" t="inlineStr">
        <is>
          <t>TrEMBL</t>
        </is>
      </c>
      <c r="J3907" t="inlineStr">
        <is>
          <t>EGF</t>
        </is>
      </c>
      <c r="K3907" t="inlineStr">
        <is>
          <t>A0A674IF36_TERCA</t>
        </is>
      </c>
      <c r="L3907" t="inlineStr">
        <is>
          <t>tr|A0A674IF36|A0A674IF36_TERCA Pro-epidermal growth factor OS=Terrapene carolina triunguis OX=2587831 GN=EGF PE=4 SV=1</t>
        </is>
      </c>
      <c r="M3907" t="n">
        <v>1251</v>
      </c>
      <c r="N3907" t="inlineStr">
        <is>
          <t>Terrapene carolina triunguis</t>
        </is>
      </c>
      <c r="O3907" t="inlineStr">
        <is>
          <t>Pro-epidermal growth factor</t>
        </is>
      </c>
    </row>
    <row r="3908">
      <c r="A3908" t="inlineStr"/>
      <c r="B3908" t="inlineStr"/>
      <c r="C3908" t="inlineStr"/>
      <c r="D3908" t="inlineStr"/>
      <c r="E3908">
        <f>HYPERLINK("https://www.uniprot.org/uniprotkb/A0A8C3FA15/entry", "A0A8C3FA15")</f>
        <v/>
      </c>
      <c r="F3908" t="n">
        <v>59.6</v>
      </c>
      <c r="G3908" t="n">
        <v>587</v>
      </c>
      <c r="H3908" t="n">
        <v>3.29e-104</v>
      </c>
      <c r="I3908" t="inlineStr">
        <is>
          <t>TrEMBL</t>
        </is>
      </c>
      <c r="J3908" t="inlineStr">
        <is>
          <t>EGF</t>
        </is>
      </c>
      <c r="K3908" t="inlineStr">
        <is>
          <t>A0A8C3FA15_CHRPI</t>
        </is>
      </c>
      <c r="L3908" t="inlineStr">
        <is>
          <t>tr|A0A8C3FA15|A0A8C3FA15_CHRPI Pro-epidermal growth factor OS=Chrysemys picta bellii OX=8478 GN=EGF PE=4 SV=1</t>
        </is>
      </c>
      <c r="M3908" t="n">
        <v>1200</v>
      </c>
      <c r="N3908" t="inlineStr">
        <is>
          <t>Chrysemys picta bellii</t>
        </is>
      </c>
      <c r="O3908" t="inlineStr">
        <is>
          <t>Pro-epidermal growth factor</t>
        </is>
      </c>
    </row>
    <row r="3909">
      <c r="A3909" t="inlineStr"/>
      <c r="B3909" t="inlineStr"/>
      <c r="C3909" t="inlineStr"/>
      <c r="D3909" t="inlineStr"/>
      <c r="E3909">
        <f>HYPERLINK("https://www.uniprot.org/uniprotkb/A0A093CLG2/entry", "A0A093CLG2")</f>
        <v/>
      </c>
      <c r="F3909" t="n">
        <v>60.5</v>
      </c>
      <c r="G3909" t="n">
        <v>583</v>
      </c>
      <c r="H3909" t="n">
        <v>3.519999999999999e-104</v>
      </c>
      <c r="I3909" t="inlineStr">
        <is>
          <t>TrEMBL</t>
        </is>
      </c>
      <c r="J3909" t="inlineStr">
        <is>
          <t>N340_13361</t>
        </is>
      </c>
      <c r="K3909" t="inlineStr">
        <is>
          <t>A0A093CLG2_TAUER</t>
        </is>
      </c>
      <c r="L3909" t="inlineStr">
        <is>
          <t>tr|A0A093CLG2|A0A093CLG2_TAUER Pro-epidermal growth factor (Fragment) OS=Tauraco erythrolophus OX=121530 GN=N340_13361 PE=4 SV=1</t>
        </is>
      </c>
      <c r="M3909" t="n">
        <v>1056</v>
      </c>
      <c r="N3909" t="inlineStr">
        <is>
          <t>Tauraco erythrolophus</t>
        </is>
      </c>
      <c r="O3909" t="inlineStr">
        <is>
          <t>Pro-epidermal growth factor (Fragment)</t>
        </is>
      </c>
    </row>
    <row r="3910">
      <c r="A3910" t="inlineStr"/>
      <c r="B3910" t="inlineStr"/>
      <c r="C3910" t="inlineStr"/>
      <c r="D3910" t="inlineStr"/>
      <c r="E3910">
        <f>HYPERLINK("https://www.uniprot.org/uniprotkb/Q9BEA0/entry", "Q9BEA0")</f>
        <v/>
      </c>
      <c r="F3910" t="n">
        <v>61.4</v>
      </c>
      <c r="G3910" t="n">
        <v>588</v>
      </c>
      <c r="H3910" t="n">
        <v>1.1e-90</v>
      </c>
      <c r="I3910" t="inlineStr">
        <is>
          <t>Swiss-Prot</t>
        </is>
      </c>
      <c r="J3910" t="inlineStr">
        <is>
          <t>EGF</t>
        </is>
      </c>
      <c r="K3910" t="inlineStr">
        <is>
          <t>EGF_CANLF</t>
        </is>
      </c>
      <c r="L3910" t="inlineStr">
        <is>
          <t>sp|Q9BEA0|EGF_CANLF Pro-epidermal growth factor OS=Canis lupus familiaris OX=9615 GN=EGF PE=2 SV=1</t>
        </is>
      </c>
      <c r="M3910" t="n">
        <v>1216</v>
      </c>
      <c r="N3910" t="inlineStr">
        <is>
          <t>Canis lupus familiaris</t>
        </is>
      </c>
      <c r="O3910" t="inlineStr">
        <is>
          <t>Pro-epidermal growth factor</t>
        </is>
      </c>
    </row>
    <row r="3911">
      <c r="A3911" t="inlineStr"/>
      <c r="B3911" t="inlineStr"/>
      <c r="C3911" t="inlineStr"/>
      <c r="D3911" t="inlineStr"/>
      <c r="E3911">
        <f>HYPERLINK("https://www.uniprot.org/uniprotkb/Q00968/entry", "Q00968")</f>
        <v/>
      </c>
      <c r="F3911" t="n">
        <v>66.8</v>
      </c>
      <c r="G3911" t="n">
        <v>530</v>
      </c>
      <c r="H3911" t="n">
        <v>3.64e-89</v>
      </c>
      <c r="I3911" t="inlineStr">
        <is>
          <t>Swiss-Prot</t>
        </is>
      </c>
      <c r="J3911" t="inlineStr">
        <is>
          <t>EGF</t>
        </is>
      </c>
      <c r="K3911" t="inlineStr">
        <is>
          <t>EGF_PIG</t>
        </is>
      </c>
      <c r="L3911" t="inlineStr">
        <is>
          <t>sp|Q00968|EGF_PIG Pro-epidermal growth factor OS=Sus scrofa OX=9823 GN=EGF PE=1 SV=2</t>
        </is>
      </c>
      <c r="M3911" t="n">
        <v>1214</v>
      </c>
      <c r="N3911" t="inlineStr">
        <is>
          <t>Sus scrofa</t>
        </is>
      </c>
      <c r="O3911" t="inlineStr">
        <is>
          <t>Pro-epidermal growth factor</t>
        </is>
      </c>
    </row>
    <row r="3912">
      <c r="A3912" t="inlineStr"/>
      <c r="B3912" t="inlineStr"/>
      <c r="C3912" t="inlineStr"/>
      <c r="D3912" t="inlineStr"/>
      <c r="E3912">
        <f>HYPERLINK("https://www.uniprot.org/uniprotkb/P01132/entry", "P01132")</f>
        <v/>
      </c>
      <c r="F3912" t="n">
        <v>58.6</v>
      </c>
      <c r="G3912" t="n">
        <v>567</v>
      </c>
      <c r="H3912" t="n">
        <v>1.25e-87</v>
      </c>
      <c r="I3912" t="inlineStr">
        <is>
          <t>Swiss-Prot</t>
        </is>
      </c>
      <c r="J3912" t="inlineStr">
        <is>
          <t>Egf</t>
        </is>
      </c>
      <c r="K3912" t="inlineStr">
        <is>
          <t>EGF_MOUSE</t>
        </is>
      </c>
      <c r="L3912" t="inlineStr">
        <is>
          <t>sp|P01132|EGF_MOUSE Pro-epidermal growth factor OS=Mus musculus OX=10090 GN=Egf PE=1 SV=2</t>
        </is>
      </c>
      <c r="M3912" t="n">
        <v>1217</v>
      </c>
      <c r="N3912" t="inlineStr">
        <is>
          <t>Mus musculus</t>
        </is>
      </c>
      <c r="O3912" t="inlineStr">
        <is>
          <t>Pro-epidermal growth factor</t>
        </is>
      </c>
    </row>
    <row r="3913">
      <c r="A3913" t="inlineStr"/>
      <c r="B3913" t="inlineStr"/>
      <c r="C3913" t="inlineStr"/>
      <c r="D3913" t="inlineStr"/>
      <c r="E3913">
        <f>HYPERLINK("https://www.uniprot.org/uniprotkb/P01133/entry", "P01133")</f>
        <v/>
      </c>
      <c r="F3913" t="n">
        <v>62.8</v>
      </c>
      <c r="G3913" t="n">
        <v>535</v>
      </c>
      <c r="H3913" t="n">
        <v>2e-86</v>
      </c>
      <c r="I3913" t="inlineStr">
        <is>
          <t>Swiss-Prot</t>
        </is>
      </c>
      <c r="J3913" t="inlineStr">
        <is>
          <t>EGF</t>
        </is>
      </c>
      <c r="K3913" t="inlineStr">
        <is>
          <t>EGF_HUMAN</t>
        </is>
      </c>
      <c r="L3913" t="inlineStr">
        <is>
          <t>sp|P01133|EGF_HUMAN Pro-epidermal growth factor OS=Homo sapiens OX=9606 GN=EGF PE=1 SV=2</t>
        </is>
      </c>
      <c r="M3913" t="n">
        <v>1207</v>
      </c>
      <c r="N3913" t="inlineStr">
        <is>
          <t>Homo sapiens</t>
        </is>
      </c>
      <c r="O3913" t="inlineStr">
        <is>
          <t>Pro-epidermal growth factor</t>
        </is>
      </c>
    </row>
    <row r="3914">
      <c r="A3914" t="inlineStr"/>
      <c r="B3914" t="inlineStr"/>
      <c r="C3914" t="inlineStr"/>
      <c r="D3914" t="inlineStr"/>
      <c r="E3914">
        <f>HYPERLINK("https://www.uniprot.org/uniprotkb/Q95ND4/entry", "Q95ND4")</f>
        <v/>
      </c>
      <c r="F3914" t="n">
        <v>67.40000000000001</v>
      </c>
      <c r="G3914" t="n">
        <v>521</v>
      </c>
      <c r="H3914" t="n">
        <v>4.93e-85</v>
      </c>
      <c r="I3914" t="inlineStr">
        <is>
          <t>Swiss-Prot</t>
        </is>
      </c>
      <c r="J3914" t="inlineStr">
        <is>
          <t>EGF</t>
        </is>
      </c>
      <c r="K3914" t="inlineStr">
        <is>
          <t>EGF_FELCA</t>
        </is>
      </c>
      <c r="L3914" t="inlineStr">
        <is>
          <t>sp|Q95ND4|EGF_FELCA Pro-epidermal growth factor OS=Felis catus OX=9685 GN=EGF PE=2 SV=1</t>
        </is>
      </c>
      <c r="M3914" t="n">
        <v>1210</v>
      </c>
      <c r="N3914" t="inlineStr">
        <is>
          <t>Felis catus</t>
        </is>
      </c>
      <c r="O3914" t="inlineStr">
        <is>
          <t>Pro-epidermal growth factor</t>
        </is>
      </c>
    </row>
    <row r="3915">
      <c r="A3915" t="inlineStr"/>
      <c r="B3915" t="inlineStr"/>
      <c r="C3915" t="inlineStr"/>
      <c r="D3915" t="inlineStr"/>
      <c r="E3915">
        <f>HYPERLINK("https://www.uniprot.org/uniprotkb/P07522/entry", "P07522")</f>
        <v/>
      </c>
      <c r="F3915" t="n">
        <v>60.6</v>
      </c>
      <c r="G3915" t="n">
        <v>523</v>
      </c>
      <c r="H3915" t="n">
        <v>4.62e-74</v>
      </c>
      <c r="I3915" t="inlineStr">
        <is>
          <t>Swiss-Prot</t>
        </is>
      </c>
      <c r="J3915" t="inlineStr">
        <is>
          <t>Egf</t>
        </is>
      </c>
      <c r="K3915" t="inlineStr">
        <is>
          <t>EGF_RAT</t>
        </is>
      </c>
      <c r="L3915" t="inlineStr">
        <is>
          <t>sp|P07522|EGF_RAT Pro-epidermal growth factor OS=Rattus norvegicus OX=10116 GN=Egf PE=1 SV=2</t>
        </is>
      </c>
      <c r="M3915" t="n">
        <v>1133</v>
      </c>
      <c r="N3915" t="inlineStr">
        <is>
          <t>Rattus norvegicus</t>
        </is>
      </c>
      <c r="O3915" t="inlineStr">
        <is>
          <t>Pro-epidermal growth factor</t>
        </is>
      </c>
    </row>
    <row r="3916">
      <c r="A3916" t="inlineStr"/>
      <c r="B3916" t="inlineStr"/>
      <c r="C3916" t="inlineStr"/>
      <c r="D3916" t="inlineStr"/>
      <c r="E3916">
        <f>HYPERLINK("https://www.uniprot.org/uniprotkb/A0A803XP43/entry", "A0A803XP43")</f>
        <v/>
      </c>
      <c r="F3916" t="n">
        <v>42.7</v>
      </c>
      <c r="G3916" t="n">
        <v>211</v>
      </c>
      <c r="H3916" t="n">
        <v>3.1e-42</v>
      </c>
      <c r="I3916" t="inlineStr">
        <is>
          <t>TrEMBL</t>
        </is>
      </c>
      <c r="J3916" t="inlineStr">
        <is>
          <t>EGF</t>
        </is>
      </c>
      <c r="K3916" t="inlineStr">
        <is>
          <t>A0A803XP43_MELGA</t>
        </is>
      </c>
      <c r="L3916" t="inlineStr">
        <is>
          <t>tr|A0A803XP43|A0A803XP43_MELGA Pro-epidermal growth factor OS=Meleagris gallopavo OX=9103 GN=EGF PE=4 SV=1</t>
        </is>
      </c>
      <c r="M3916" t="n">
        <v>1206</v>
      </c>
      <c r="N3916" t="inlineStr">
        <is>
          <t>Meleagris gallopavo</t>
        </is>
      </c>
      <c r="O3916" t="inlineStr">
        <is>
          <t>Pro-epidermal growth factor</t>
        </is>
      </c>
    </row>
    <row r="3917">
      <c r="A3917" t="inlineStr"/>
      <c r="B3917" t="inlineStr"/>
      <c r="C3917" t="inlineStr"/>
      <c r="D3917" t="inlineStr"/>
      <c r="E3917">
        <f>HYPERLINK("https://www.uniprot.org/uniprotkb/A0A8C3FF33/entry", "A0A8C3FF33")</f>
        <v/>
      </c>
      <c r="F3917" t="n">
        <v>46.7</v>
      </c>
      <c r="G3917" t="n">
        <v>212</v>
      </c>
      <c r="H3917" t="n">
        <v>3.11e-42</v>
      </c>
      <c r="I3917" t="inlineStr">
        <is>
          <t>TrEMBL</t>
        </is>
      </c>
      <c r="J3917" t="inlineStr">
        <is>
          <t>EGF</t>
        </is>
      </c>
      <c r="K3917" t="inlineStr">
        <is>
          <t>A0A8C3FF33_CHRPI</t>
        </is>
      </c>
      <c r="L3917" t="inlineStr">
        <is>
          <t>tr|A0A8C3FF33|A0A8C3FF33_CHRPI Epidermal growth factor OS=Chrysemys picta bellii OX=8478 GN=EGF PE=4 SV=1</t>
        </is>
      </c>
      <c r="M3917" t="n">
        <v>1222</v>
      </c>
      <c r="N3917" t="inlineStr">
        <is>
          <t>Chrysemys picta bellii</t>
        </is>
      </c>
      <c r="O3917" t="inlineStr">
        <is>
          <t>Epidermal growth factor</t>
        </is>
      </c>
    </row>
    <row r="3918">
      <c r="A3918" t="inlineStr"/>
      <c r="B3918" t="inlineStr"/>
      <c r="C3918" t="inlineStr"/>
      <c r="D3918" t="inlineStr"/>
      <c r="E3918">
        <f>HYPERLINK("https://www.ncbi.nlm.nih.gov/gene/?term=XP_023962611.1", "XP_023962611.1")</f>
        <v/>
      </c>
      <c r="F3918" t="n">
        <v>46.7</v>
      </c>
      <c r="G3918" t="n">
        <v>212</v>
      </c>
      <c r="H3918" t="n">
        <v>7.989999999999999e-42</v>
      </c>
      <c r="I3918" t="inlineStr">
        <is>
          <t>Nr</t>
        </is>
      </c>
      <c r="J3918" t="inlineStr"/>
      <c r="K3918" t="inlineStr"/>
      <c r="L3918" t="inlineStr">
        <is>
          <t>XP_023962611.1 pro-epidermal growth factor isoform X2 [Chrysemys picta bellii]</t>
        </is>
      </c>
      <c r="M3918" t="n">
        <v>1222</v>
      </c>
      <c r="N3918" t="inlineStr">
        <is>
          <t>Chrysemys picta bellii</t>
        </is>
      </c>
      <c r="O3918" t="inlineStr">
        <is>
          <t>pro-epidermal growth factor isoform X2</t>
        </is>
      </c>
    </row>
    <row r="3919">
      <c r="A3919" t="inlineStr"/>
      <c r="B3919" t="inlineStr"/>
      <c r="C3919" t="inlineStr"/>
      <c r="D3919" t="inlineStr"/>
      <c r="E3919">
        <f>HYPERLINK("https://www.uniprot.org/uniprotkb/A0A4D9DR79/entry", "A0A4D9DR79")</f>
        <v/>
      </c>
      <c r="F3919" t="n">
        <v>48.1</v>
      </c>
      <c r="G3919" t="n">
        <v>212</v>
      </c>
      <c r="H3919" t="n">
        <v>9.279999999999999e-41</v>
      </c>
      <c r="I3919" t="inlineStr">
        <is>
          <t>TrEMBL</t>
        </is>
      </c>
      <c r="J3919" t="inlineStr">
        <is>
          <t>DR999_PMT17840</t>
        </is>
      </c>
      <c r="K3919" t="inlineStr">
        <is>
          <t>A0A4D9DR79_9SAUR</t>
        </is>
      </c>
      <c r="L3919" t="inlineStr">
        <is>
          <t>tr|A0A4D9DR79|A0A4D9DR79_9SAUR CAP-Gly domain-containing linker protein 3 OS=Platysternon megacephalum OX=55544 GN=DR999_PMT17840 PE=4 SV=1</t>
        </is>
      </c>
      <c r="M3919" t="n">
        <v>1191</v>
      </c>
      <c r="N3919" t="inlineStr">
        <is>
          <t>Platysternon megacephalum</t>
        </is>
      </c>
      <c r="O3919" t="inlineStr">
        <is>
          <t>CAP-Gly domain-containing linker protein 3</t>
        </is>
      </c>
    </row>
    <row r="3920">
      <c r="A3920" t="inlineStr"/>
      <c r="B3920" t="inlineStr"/>
      <c r="C3920" t="inlineStr"/>
      <c r="D3920" t="inlineStr"/>
      <c r="E3920">
        <f>HYPERLINK("https://www.ncbi.nlm.nih.gov/gene/?term=TFK00061.1", "TFK00061.1")</f>
        <v/>
      </c>
      <c r="F3920" t="n">
        <v>48.1</v>
      </c>
      <c r="G3920" t="n">
        <v>212</v>
      </c>
      <c r="H3920" t="n">
        <v>2.38e-40</v>
      </c>
      <c r="I3920" t="inlineStr">
        <is>
          <t>Nr</t>
        </is>
      </c>
      <c r="J3920" t="inlineStr"/>
      <c r="K3920" t="inlineStr"/>
      <c r="L3920" t="inlineStr">
        <is>
          <t>TFK00061.1 CAP-Gly domain-containing linker protein 3 [Platysternon megacephalum]</t>
        </is>
      </c>
      <c r="M3920" t="n">
        <v>1191</v>
      </c>
      <c r="N3920" t="inlineStr">
        <is>
          <t>Platysternon megacephalum</t>
        </is>
      </c>
      <c r="O3920" t="inlineStr">
        <is>
          <t>CAP-Gly domain-containing linker protein 3</t>
        </is>
      </c>
    </row>
    <row r="3921">
      <c r="A3921" t="inlineStr"/>
      <c r="B3921" t="inlineStr"/>
      <c r="C3921" t="inlineStr"/>
      <c r="D3921" t="inlineStr"/>
      <c r="E3921">
        <f>HYPERLINK("https://www.ncbi.nlm.nih.gov/gene/?term=XP_019355691.1", "XP_019355691.1")</f>
        <v/>
      </c>
      <c r="F3921" t="n">
        <v>47.5</v>
      </c>
      <c r="G3921" t="n">
        <v>202</v>
      </c>
      <c r="H3921" t="n">
        <v>7.16e-39</v>
      </c>
      <c r="I3921" t="inlineStr">
        <is>
          <t>Nr</t>
        </is>
      </c>
      <c r="J3921" t="inlineStr"/>
      <c r="K3921" t="inlineStr"/>
      <c r="L3921" t="inlineStr">
        <is>
          <t>XP_019355691.1 PREDICTED: pro-epidermal growth factor isoform X2 [Alligator mississippiensis]</t>
        </is>
      </c>
      <c r="M3921" t="n">
        <v>1218</v>
      </c>
      <c r="N3921" t="inlineStr">
        <is>
          <t>Alligator mississippiensis</t>
        </is>
      </c>
      <c r="O3921" t="inlineStr">
        <is>
          <t>PREDICTED: pro-epidermal growth factor isoform X2</t>
        </is>
      </c>
    </row>
    <row r="3922">
      <c r="A3922" t="inlineStr"/>
      <c r="B3922" t="inlineStr"/>
      <c r="C3922" t="inlineStr"/>
      <c r="D3922" t="inlineStr"/>
      <c r="E3922">
        <f>HYPERLINK("https://www.ncbi.nlm.nih.gov/gene/?term=KYO24416.1", "KYO24416.1")</f>
        <v/>
      </c>
      <c r="F3922" t="n">
        <v>47.5</v>
      </c>
      <c r="G3922" t="n">
        <v>202</v>
      </c>
      <c r="H3922" t="n">
        <v>7.34e-39</v>
      </c>
      <c r="I3922" t="inlineStr">
        <is>
          <t>Nr</t>
        </is>
      </c>
      <c r="J3922" t="inlineStr"/>
      <c r="K3922" t="inlineStr"/>
      <c r="L3922" t="inlineStr">
        <is>
          <t>KYO24416.1 leucine-rich repeat, immunoglobulin-like domain and transmembrane domain-containing protein 3 isoform A [Alligator mississippiensis]</t>
        </is>
      </c>
      <c r="M3922" t="n">
        <v>1526</v>
      </c>
      <c r="N3922" t="inlineStr">
        <is>
          <t>Alligator mississippiensis</t>
        </is>
      </c>
      <c r="O3922" t="inlineStr">
        <is>
          <t>leucine-rich repeat, immunoglobulin-like domain and transmembrane domain-containing protein 3 isoform A</t>
        </is>
      </c>
    </row>
    <row r="3923">
      <c r="A3923" t="inlineStr"/>
      <c r="B3923" t="inlineStr"/>
      <c r="C3923" t="inlineStr"/>
      <c r="D3923" t="inlineStr"/>
      <c r="E3923">
        <f>HYPERLINK("https://www.ncbi.nlm.nih.gov/gene/?term=XP_048702654.1", "XP_048702654.1")</f>
        <v/>
      </c>
      <c r="F3923" t="n">
        <v>46.2</v>
      </c>
      <c r="G3923" t="n">
        <v>212</v>
      </c>
      <c r="H3923" t="n">
        <v>8.48e-38</v>
      </c>
      <c r="I3923" t="inlineStr">
        <is>
          <t>Nr</t>
        </is>
      </c>
      <c r="J3923" t="inlineStr"/>
      <c r="K3923" t="inlineStr"/>
      <c r="L3923" t="inlineStr">
        <is>
          <t>XP_048702654.1 pro-epidermal growth factor isoform X2 [Caretta caretta]</t>
        </is>
      </c>
      <c r="M3923" t="n">
        <v>1220</v>
      </c>
      <c r="N3923" t="inlineStr">
        <is>
          <t>Caretta caretta</t>
        </is>
      </c>
      <c r="O3923" t="inlineStr">
        <is>
          <t>pro-epidermal growth factor isoform X2</t>
        </is>
      </c>
    </row>
    <row r="3924">
      <c r="A3924" t="inlineStr"/>
      <c r="B3924" t="inlineStr"/>
      <c r="C3924" t="inlineStr"/>
      <c r="D3924" t="inlineStr"/>
      <c r="E3924">
        <f>HYPERLINK("https://www.uniprot.org/uniprotkb/A0A8C9FJ09/entry", "A0A8C9FJ09")</f>
        <v/>
      </c>
      <c r="F3924" t="n">
        <v>54.1</v>
      </c>
      <c r="G3924" t="n">
        <v>172</v>
      </c>
      <c r="H3924" t="n">
        <v>4.78e-37</v>
      </c>
      <c r="I3924" t="inlineStr">
        <is>
          <t>TrEMBL</t>
        </is>
      </c>
      <c r="J3924" t="inlineStr"/>
      <c r="K3924" t="inlineStr">
        <is>
          <t>A0A8C9FJ09_PAVCR</t>
        </is>
      </c>
      <c r="L3924" t="inlineStr">
        <is>
          <t>tr|A0A8C9FJ09|A0A8C9FJ09_PAVCR Epidermal growth factor OS=Pavo cristatus OX=9049 PE=4 SV=1</t>
        </is>
      </c>
      <c r="M3924" t="n">
        <v>576</v>
      </c>
      <c r="N3924" t="inlineStr">
        <is>
          <t>Pavo cristatus</t>
        </is>
      </c>
      <c r="O3924" t="inlineStr">
        <is>
          <t>Epidermal growth factor</t>
        </is>
      </c>
    </row>
    <row r="3925">
      <c r="A3925" t="inlineStr"/>
      <c r="B3925" t="inlineStr"/>
      <c r="C3925" t="inlineStr"/>
      <c r="D3925" t="inlineStr"/>
      <c r="E3925">
        <f>HYPERLINK("https://www.uniprot.org/uniprotkb/A0A8C9FJH3/entry", "A0A8C9FJH3")</f>
        <v/>
      </c>
      <c r="F3925" t="n">
        <v>55.3</v>
      </c>
      <c r="G3925" t="n">
        <v>161</v>
      </c>
      <c r="H3925" t="n">
        <v>6.5e-37</v>
      </c>
      <c r="I3925" t="inlineStr">
        <is>
          <t>TrEMBL</t>
        </is>
      </c>
      <c r="J3925" t="inlineStr"/>
      <c r="K3925" t="inlineStr">
        <is>
          <t>A0A8C9FJH3_PAVCR</t>
        </is>
      </c>
      <c r="L3925" t="inlineStr">
        <is>
          <t>tr|A0A8C9FJH3|A0A8C9FJH3_PAVCR Epidermal growth factor OS=Pavo cristatus OX=9049 PE=4 SV=1</t>
        </is>
      </c>
      <c r="M3925" t="n">
        <v>574</v>
      </c>
      <c r="N3925" t="inlineStr">
        <is>
          <t>Pavo cristatus</t>
        </is>
      </c>
      <c r="O3925" t="inlineStr">
        <is>
          <t>Epidermal growth factor</t>
        </is>
      </c>
    </row>
    <row r="3926">
      <c r="A3926" t="inlineStr"/>
      <c r="B3926" t="inlineStr"/>
      <c r="C3926" t="inlineStr"/>
      <c r="D3926" t="inlineStr"/>
      <c r="E3926">
        <f>HYPERLINK("https://www.uniprot.org/uniprotkb/A0A8C8AZQ5/entry", "A0A8C8AZQ5")</f>
        <v/>
      </c>
      <c r="F3926" t="n">
        <v>45.5</v>
      </c>
      <c r="G3926" t="n">
        <v>211</v>
      </c>
      <c r="H3926" t="n">
        <v>1.38e-34</v>
      </c>
      <c r="I3926" t="inlineStr">
        <is>
          <t>TrEMBL</t>
        </is>
      </c>
      <c r="J3926" t="inlineStr"/>
      <c r="K3926" t="inlineStr">
        <is>
          <t>A0A8C8AZQ5_9STRI</t>
        </is>
      </c>
      <c r="L3926" t="inlineStr">
        <is>
          <t>tr|A0A8C8AZQ5|A0A8C8AZQ5_9STRI Pro-epidermal growth factor OS=Otus sunia OX=257818 PE=4 SV=1</t>
        </is>
      </c>
      <c r="M3926" t="n">
        <v>1215</v>
      </c>
      <c r="N3926" t="inlineStr">
        <is>
          <t>Otus sunia</t>
        </is>
      </c>
      <c r="O3926" t="inlineStr">
        <is>
          <t>Pro-epidermal growth factor</t>
        </is>
      </c>
    </row>
    <row r="3927">
      <c r="A3927" t="inlineStr"/>
      <c r="B3927" t="inlineStr"/>
      <c r="C3927" t="inlineStr"/>
      <c r="D3927" t="inlineStr"/>
      <c r="E3927">
        <f>HYPERLINK("https://www.ncbi.nlm.nih.gov/gene/?term=XP_019389650.1", "XP_019389650.1")</f>
        <v/>
      </c>
      <c r="F3927" t="n">
        <v>45.3</v>
      </c>
      <c r="G3927" t="n">
        <v>203</v>
      </c>
      <c r="H3927" t="n">
        <v>4.83e-34</v>
      </c>
      <c r="I3927" t="inlineStr">
        <is>
          <t>Nr</t>
        </is>
      </c>
      <c r="J3927" t="inlineStr"/>
      <c r="K3927" t="inlineStr"/>
      <c r="L3927" t="inlineStr">
        <is>
          <t>XP_019389650.1 PREDICTED: pro-epidermal growth factor isoform X2 [Crocodylus porosus]</t>
        </is>
      </c>
      <c r="M3927" t="n">
        <v>1215</v>
      </c>
      <c r="N3927" t="inlineStr">
        <is>
          <t>Crocodylus porosus</t>
        </is>
      </c>
      <c r="O3927" t="inlineStr">
        <is>
          <t>PREDICTED: pro-epidermal growth factor isoform X2</t>
        </is>
      </c>
    </row>
    <row r="3928">
      <c r="A3928" t="inlineStr"/>
      <c r="B3928" t="inlineStr"/>
      <c r="C3928" t="inlineStr"/>
      <c r="D3928" t="inlineStr"/>
      <c r="E3928">
        <f>HYPERLINK("https://www.uniprot.org/uniprotkb/A0A663EC99/entry", "A0A663EC99")</f>
        <v/>
      </c>
      <c r="F3928" t="n">
        <v>44.3</v>
      </c>
      <c r="G3928" t="n">
        <v>210</v>
      </c>
      <c r="H3928" t="n">
        <v>6.47e-34</v>
      </c>
      <c r="I3928" t="inlineStr">
        <is>
          <t>TrEMBL</t>
        </is>
      </c>
      <c r="J3928" t="inlineStr">
        <is>
          <t>EGF</t>
        </is>
      </c>
      <c r="K3928" t="inlineStr">
        <is>
          <t>A0A663EC99_AQUCH</t>
        </is>
      </c>
      <c r="L3928" t="inlineStr">
        <is>
          <t>tr|A0A663EC99|A0A663EC99_AQUCH Pro-epidermal growth factor OS=Aquila chrysaetos chrysaetos OX=223781 GN=EGF PE=4 SV=1</t>
        </is>
      </c>
      <c r="M3928" t="n">
        <v>1213</v>
      </c>
      <c r="N3928" t="inlineStr">
        <is>
          <t>Aquila chrysaetos chrysaetos</t>
        </is>
      </c>
      <c r="O3928" t="inlineStr">
        <is>
          <t>Pro-epidermal growth factor</t>
        </is>
      </c>
    </row>
    <row r="3929">
      <c r="A3929" t="inlineStr"/>
      <c r="B3929" t="inlineStr"/>
      <c r="C3929" t="inlineStr"/>
      <c r="D3929" t="inlineStr"/>
      <c r="E3929">
        <f>HYPERLINK("https://www.uniprot.org/uniprotkb/A0A226PYS2/entry", "A0A226PYS2")</f>
        <v/>
      </c>
      <c r="F3929" t="n">
        <v>37</v>
      </c>
      <c r="G3929" t="n">
        <v>189</v>
      </c>
      <c r="H3929" t="n">
        <v>2.13e-33</v>
      </c>
      <c r="I3929" t="inlineStr">
        <is>
          <t>TrEMBL</t>
        </is>
      </c>
      <c r="J3929" t="inlineStr">
        <is>
          <t>H355_015960</t>
        </is>
      </c>
      <c r="K3929" t="inlineStr">
        <is>
          <t>A0A226PYS2_COLVI</t>
        </is>
      </c>
      <c r="L3929" t="inlineStr">
        <is>
          <t>tr|A0A226PYS2|A0A226PYS2_COLVI EGF-like domain-containing protein OS=Colinus virginianus OX=9014 GN=H355_015960 PE=4 SV=1</t>
        </is>
      </c>
      <c r="M3929" t="n">
        <v>452</v>
      </c>
      <c r="N3929" t="inlineStr">
        <is>
          <t>Colinus virginianus</t>
        </is>
      </c>
      <c r="O3929" t="inlineStr">
        <is>
          <t>EGF-like domain-containing protein</t>
        </is>
      </c>
    </row>
    <row r="3930">
      <c r="A3930" t="inlineStr"/>
      <c r="B3930" t="inlineStr"/>
      <c r="C3930" t="inlineStr"/>
      <c r="D3930" t="inlineStr"/>
      <c r="E3930">
        <f>HYPERLINK("https://www.ncbi.nlm.nih.gov/gene/?term=XP_019377517.1", "XP_019377517.1")</f>
        <v/>
      </c>
      <c r="F3930" t="n">
        <v>44.7</v>
      </c>
      <c r="G3930" t="n">
        <v>206</v>
      </c>
      <c r="H3930" t="n">
        <v>4.2e-33</v>
      </c>
      <c r="I3930" t="inlineStr">
        <is>
          <t>Nr</t>
        </is>
      </c>
      <c r="J3930" t="inlineStr"/>
      <c r="K3930" t="inlineStr"/>
      <c r="L3930" t="inlineStr">
        <is>
          <t>XP_019377517.1 PREDICTED: pro-epidermal growth factor isoform X2 [Gavialis gangeticus]</t>
        </is>
      </c>
      <c r="M3930" t="n">
        <v>1216</v>
      </c>
      <c r="N3930" t="inlineStr">
        <is>
          <t>Gavialis gangeticus</t>
        </is>
      </c>
      <c r="O3930" t="inlineStr">
        <is>
          <t>PREDICTED: pro-epidermal growth factor isoform X2</t>
        </is>
      </c>
    </row>
    <row r="3931">
      <c r="A3931" t="inlineStr"/>
      <c r="B3931" t="inlineStr"/>
      <c r="C3931" t="inlineStr"/>
      <c r="D3931" t="inlineStr"/>
      <c r="E3931">
        <f>HYPERLINK("https://www.ncbi.nlm.nih.gov/gene/?term=OXB84838.1", "OXB84838.1")</f>
        <v/>
      </c>
      <c r="F3931" t="n">
        <v>37</v>
      </c>
      <c r="G3931" t="n">
        <v>189</v>
      </c>
      <c r="H3931" t="n">
        <v>5.47e-33</v>
      </c>
      <c r="I3931" t="inlineStr">
        <is>
          <t>Nr</t>
        </is>
      </c>
      <c r="J3931" t="inlineStr"/>
      <c r="K3931" t="inlineStr"/>
      <c r="L3931" t="inlineStr">
        <is>
          <t>OXB84838.1 hypothetical protein H355_015960 [Colinus virginianus]</t>
        </is>
      </c>
      <c r="M3931" t="n">
        <v>452</v>
      </c>
      <c r="N3931" t="inlineStr">
        <is>
          <t>Colinus virginianus</t>
        </is>
      </c>
      <c r="O3931" t="inlineStr">
        <is>
          <t>hypothetical protein H355_015960</t>
        </is>
      </c>
    </row>
    <row r="3932">
      <c r="A3932" t="inlineStr"/>
      <c r="B3932" t="inlineStr"/>
      <c r="C3932" t="inlineStr"/>
      <c r="D3932" t="inlineStr"/>
      <c r="E3932">
        <f>HYPERLINK("https://www.ncbi.nlm.nih.gov/gene/?term=XP_030420451.1", "XP_030420451.1")</f>
        <v/>
      </c>
      <c r="F3932" t="n">
        <v>45.5</v>
      </c>
      <c r="G3932" t="n">
        <v>209</v>
      </c>
      <c r="H3932" t="n">
        <v>5.71e-33</v>
      </c>
      <c r="I3932" t="inlineStr">
        <is>
          <t>Nr</t>
        </is>
      </c>
      <c r="J3932" t="inlineStr"/>
      <c r="K3932" t="inlineStr"/>
      <c r="L3932" t="inlineStr">
        <is>
          <t>XP_030420451.1 pro-epidermal growth factor isoform X2 [Gopherus evgoodei]</t>
        </is>
      </c>
      <c r="M3932" t="n">
        <v>1219</v>
      </c>
      <c r="N3932" t="inlineStr">
        <is>
          <t>Gopherus evgoodei</t>
        </is>
      </c>
      <c r="O3932" t="inlineStr">
        <is>
          <t>pro-epidermal growth factor isoform X2</t>
        </is>
      </c>
    </row>
    <row r="3933">
      <c r="A3933" t="inlineStr"/>
      <c r="B3933" t="inlineStr"/>
      <c r="C3933" t="inlineStr"/>
      <c r="D3933" t="inlineStr"/>
      <c r="E3933">
        <f>HYPERLINK("https://www.ncbi.nlm.nih.gov/gene/?term=XP_032640506.1", "XP_032640506.1")</f>
        <v/>
      </c>
      <c r="F3933" t="n">
        <v>46.2</v>
      </c>
      <c r="G3933" t="n">
        <v>208</v>
      </c>
      <c r="H3933" t="n">
        <v>1.06e-32</v>
      </c>
      <c r="I3933" t="inlineStr">
        <is>
          <t>Nr</t>
        </is>
      </c>
      <c r="J3933" t="inlineStr"/>
      <c r="K3933" t="inlineStr"/>
      <c r="L3933" t="inlineStr">
        <is>
          <t>XP_032640506.1 pro-epidermal growth factor isoform X2 [Chelonoidis abingdonii]</t>
        </is>
      </c>
      <c r="M3933" t="n">
        <v>1218</v>
      </c>
      <c r="N3933" t="inlineStr">
        <is>
          <t>Chelonoidis abingdonii</t>
        </is>
      </c>
      <c r="O3933" t="inlineStr">
        <is>
          <t>pro-epidermal growth factor isoform X2</t>
        </is>
      </c>
    </row>
    <row r="3934">
      <c r="A3934" t="inlineStr"/>
      <c r="B3934" t="inlineStr"/>
      <c r="C3934" t="inlineStr"/>
      <c r="D3934" t="inlineStr"/>
      <c r="E3934">
        <f>HYPERLINK("https://www.ncbi.nlm.nih.gov/gene/?term=KAI6069876.1", "KAI6069876.1")</f>
        <v/>
      </c>
      <c r="F3934" t="n">
        <v>35.3</v>
      </c>
      <c r="G3934" t="n">
        <v>207</v>
      </c>
      <c r="H3934" t="n">
        <v>2.47e-32</v>
      </c>
      <c r="I3934" t="inlineStr">
        <is>
          <t>Nr</t>
        </is>
      </c>
      <c r="J3934" t="inlineStr"/>
      <c r="K3934" t="inlineStr"/>
      <c r="L3934" t="inlineStr">
        <is>
          <t>KAI6069876.1 Epidermal growth factor [Aix galericulata]</t>
        </is>
      </c>
      <c r="M3934" t="n">
        <v>398</v>
      </c>
      <c r="N3934" t="inlineStr">
        <is>
          <t>Aix galericulata</t>
        </is>
      </c>
      <c r="O3934" t="inlineStr">
        <is>
          <t>Epidermal growth factor</t>
        </is>
      </c>
    </row>
    <row r="3935">
      <c r="A3935" t="inlineStr"/>
      <c r="B3935" t="inlineStr"/>
      <c r="C3935" t="inlineStr"/>
      <c r="D3935" t="inlineStr"/>
      <c r="E3935">
        <f>HYPERLINK("https://www.uniprot.org/uniprotkb/A0A2K6UXN4/entry", "A0A2K6UXN4")</f>
        <v/>
      </c>
      <c r="F3935" t="n">
        <v>47.4</v>
      </c>
      <c r="G3935" t="n">
        <v>175</v>
      </c>
      <c r="H3935" t="n">
        <v>4.83e-32</v>
      </c>
      <c r="I3935" t="inlineStr">
        <is>
          <t>TrEMBL</t>
        </is>
      </c>
      <c r="J3935" t="inlineStr">
        <is>
          <t>EGF</t>
        </is>
      </c>
      <c r="K3935" t="inlineStr">
        <is>
          <t>A0A2K6UXN4_SAIBB</t>
        </is>
      </c>
      <c r="L3935" t="inlineStr">
        <is>
          <t>tr|A0A2K6UXN4|A0A2K6UXN4_SAIBB Pro-epidermal growth factor OS=Saimiri boliviensis boliviensis OX=39432 GN=EGF PE=4 SV=1</t>
        </is>
      </c>
      <c r="M3935" t="n">
        <v>1144</v>
      </c>
      <c r="N3935" t="inlineStr">
        <is>
          <t>Saimiri boliviensis boliviensis</t>
        </is>
      </c>
      <c r="O3935" t="inlineStr">
        <is>
          <t>Pro-epidermal growth factor</t>
        </is>
      </c>
    </row>
    <row r="3936">
      <c r="A3936" t="inlineStr"/>
      <c r="B3936" t="inlineStr"/>
      <c r="C3936" t="inlineStr"/>
      <c r="D3936" t="inlineStr"/>
      <c r="E3936">
        <f>HYPERLINK("https://www.ncbi.nlm.nih.gov/gene/?term=XP_053317474.1", "XP_053317474.1")</f>
        <v/>
      </c>
      <c r="F3936" t="n">
        <v>36.9</v>
      </c>
      <c r="G3936" t="n">
        <v>236</v>
      </c>
      <c r="H3936" t="n">
        <v>4.86e-32</v>
      </c>
      <c r="I3936" t="inlineStr">
        <is>
          <t>Nr</t>
        </is>
      </c>
      <c r="J3936" t="inlineStr"/>
      <c r="K3936" t="inlineStr"/>
      <c r="L3936" t="inlineStr">
        <is>
          <t>XP_053317474.1 pro-epidermal growth factor [Spea bombifrons]</t>
        </is>
      </c>
      <c r="M3936" t="n">
        <v>1048</v>
      </c>
      <c r="N3936" t="inlineStr">
        <is>
          <t>Spea bombifrons</t>
        </is>
      </c>
      <c r="O3936" t="inlineStr">
        <is>
          <t>pro-epidermal growth factor</t>
        </is>
      </c>
    </row>
    <row r="3937">
      <c r="A3937" t="inlineStr"/>
      <c r="B3937" t="inlineStr"/>
      <c r="C3937" t="inlineStr"/>
      <c r="D3937" t="inlineStr"/>
      <c r="E3937">
        <f>HYPERLINK("https://www.uniprot.org/uniprotkb/A0A2K6UXN0/entry", "A0A2K6UXN0")</f>
        <v/>
      </c>
      <c r="F3937" t="n">
        <v>47.4</v>
      </c>
      <c r="G3937" t="n">
        <v>175</v>
      </c>
      <c r="H3937" t="n">
        <v>4.86e-32</v>
      </c>
      <c r="I3937" t="inlineStr">
        <is>
          <t>TrEMBL</t>
        </is>
      </c>
      <c r="J3937" t="inlineStr">
        <is>
          <t>EGF</t>
        </is>
      </c>
      <c r="K3937" t="inlineStr">
        <is>
          <t>A0A2K6UXN0_SAIBB</t>
        </is>
      </c>
      <c r="L3937" t="inlineStr">
        <is>
          <t>tr|A0A2K6UXN0|A0A2K6UXN0_SAIBB Pro-epidermal growth factor OS=Saimiri boliviensis boliviensis OX=39432 GN=EGF PE=4 SV=1</t>
        </is>
      </c>
      <c r="M3937" t="n">
        <v>1186</v>
      </c>
      <c r="N3937" t="inlineStr">
        <is>
          <t>Saimiri boliviensis boliviensis</t>
        </is>
      </c>
      <c r="O3937" t="inlineStr">
        <is>
          <t>Pro-epidermal growth factor</t>
        </is>
      </c>
    </row>
    <row r="3938">
      <c r="A3938" t="inlineStr"/>
      <c r="B3938" t="inlineStr"/>
      <c r="C3938" t="inlineStr"/>
      <c r="D3938" t="inlineStr"/>
      <c r="E3938">
        <f>HYPERLINK("https://www.uniprot.org/uniprotkb/A0A8C5LZ41/entry", "A0A8C5LZ41")</f>
        <v/>
      </c>
      <c r="F3938" t="n">
        <v>38.1</v>
      </c>
      <c r="G3938" t="n">
        <v>236</v>
      </c>
      <c r="H3938" t="n">
        <v>1.21e-31</v>
      </c>
      <c r="I3938" t="inlineStr">
        <is>
          <t>TrEMBL</t>
        </is>
      </c>
      <c r="J3938" t="inlineStr">
        <is>
          <t>EGF</t>
        </is>
      </c>
      <c r="K3938" t="inlineStr">
        <is>
          <t>A0A8C5LZ41_9ANUR</t>
        </is>
      </c>
      <c r="L3938" t="inlineStr">
        <is>
          <t>tr|A0A8C5LZ41|A0A8C5LZ41_9ANUR Epidermal growth factor OS=Leptobrachium leishanense OX=445787 GN=EGF PE=4 SV=1</t>
        </is>
      </c>
      <c r="M3938" t="n">
        <v>1052</v>
      </c>
      <c r="N3938" t="inlineStr">
        <is>
          <t>Leptobrachium leishanense</t>
        </is>
      </c>
      <c r="O3938" t="inlineStr">
        <is>
          <t>Epidermal growth factor</t>
        </is>
      </c>
    </row>
    <row r="3939">
      <c r="A3939" t="inlineStr"/>
      <c r="B3939" t="inlineStr"/>
      <c r="C3939" t="inlineStr"/>
      <c r="D3939" t="inlineStr"/>
      <c r="E3939">
        <f>HYPERLINK("https://www.uniprot.org/uniprotkb/A0A8C5M1I0/entry", "A0A8C5M1I0")</f>
        <v/>
      </c>
      <c r="F3939" t="n">
        <v>38.1</v>
      </c>
      <c r="G3939" t="n">
        <v>236</v>
      </c>
      <c r="H3939" t="n">
        <v>1.21e-31</v>
      </c>
      <c r="I3939" t="inlineStr">
        <is>
          <t>TrEMBL</t>
        </is>
      </c>
      <c r="J3939" t="inlineStr">
        <is>
          <t>EGF</t>
        </is>
      </c>
      <c r="K3939" t="inlineStr">
        <is>
          <t>A0A8C5M1I0_9ANUR</t>
        </is>
      </c>
      <c r="L3939" t="inlineStr">
        <is>
          <t>tr|A0A8C5M1I0|A0A8C5M1I0_9ANUR Epidermal growth factor OS=Leptobrachium leishanense OX=445787 GN=EGF PE=4 SV=1</t>
        </is>
      </c>
      <c r="M3939" t="n">
        <v>1104</v>
      </c>
      <c r="N3939" t="inlineStr">
        <is>
          <t>Leptobrachium leishanense</t>
        </is>
      </c>
      <c r="O3939" t="inlineStr">
        <is>
          <t>Epidermal growth factor</t>
        </is>
      </c>
    </row>
    <row r="3940">
      <c r="A3940" t="inlineStr"/>
      <c r="B3940" t="inlineStr"/>
      <c r="C3940" t="inlineStr"/>
      <c r="D3940" t="inlineStr"/>
      <c r="E3940">
        <f>HYPERLINK("https://www.uniprot.org/uniprotkb/A0A8C4W3B1/entry", "A0A8C4W3B1")</f>
        <v/>
      </c>
      <c r="F3940" t="n">
        <v>44.2</v>
      </c>
      <c r="G3940" t="n">
        <v>147</v>
      </c>
      <c r="H3940" t="n">
        <v>1.62e-31</v>
      </c>
      <c r="I3940" t="inlineStr">
        <is>
          <t>TrEMBL</t>
        </is>
      </c>
      <c r="J3940" t="inlineStr">
        <is>
          <t>EGF</t>
        </is>
      </c>
      <c r="K3940" t="inlineStr">
        <is>
          <t>A0A8C4W3B1_9SAUR</t>
        </is>
      </c>
      <c r="L3940" t="inlineStr">
        <is>
          <t>tr|A0A8C4W3B1|A0A8C4W3B1_9SAUR Epidermal growth factor OS=Gopherus evgoodei OX=1825980 GN=EGF PE=4 SV=1</t>
        </is>
      </c>
      <c r="M3940" t="n">
        <v>985</v>
      </c>
      <c r="N3940" t="inlineStr">
        <is>
          <t>Gopherus evgoodei</t>
        </is>
      </c>
      <c r="O3940" t="inlineStr">
        <is>
          <t>Epidermal growth factor</t>
        </is>
      </c>
    </row>
    <row r="3941">
      <c r="A3941" t="inlineStr"/>
      <c r="B3941" t="inlineStr"/>
      <c r="C3941" t="inlineStr"/>
      <c r="D3941" t="inlineStr"/>
      <c r="E3941">
        <f>HYPERLINK("https://www.uniprot.org/uniprotkb/A0A452GTR2/entry", "A0A452GTR2")</f>
        <v/>
      </c>
      <c r="F3941" t="n">
        <v>44</v>
      </c>
      <c r="G3941" t="n">
        <v>209</v>
      </c>
      <c r="H3941" t="n">
        <v>3.1e-31</v>
      </c>
      <c r="I3941" t="inlineStr">
        <is>
          <t>TrEMBL</t>
        </is>
      </c>
      <c r="J3941" t="inlineStr"/>
      <c r="K3941" t="inlineStr">
        <is>
          <t>A0A452GTR2_9SAUR</t>
        </is>
      </c>
      <c r="L3941" t="inlineStr">
        <is>
          <t>tr|A0A452GTR2|A0A452GTR2_9SAUR Epidermal growth factor OS=Gopherus agassizii OX=38772 PE=4 SV=1</t>
        </is>
      </c>
      <c r="M3941" t="n">
        <v>1219</v>
      </c>
      <c r="N3941" t="inlineStr">
        <is>
          <t>Gopherus agassizii</t>
        </is>
      </c>
      <c r="O3941" t="inlineStr">
        <is>
          <t>Epidermal growth factor</t>
        </is>
      </c>
    </row>
    <row r="3942">
      <c r="A3942" t="inlineStr"/>
      <c r="B3942" t="inlineStr"/>
      <c r="C3942" t="inlineStr"/>
      <c r="D3942" t="inlineStr"/>
      <c r="E3942">
        <f>HYPERLINK("https://www.ncbi.nlm.nih.gov/gene/?term=XP_026647771.1", "XP_026647771.1")</f>
        <v/>
      </c>
      <c r="F3942" t="n">
        <v>41</v>
      </c>
      <c r="G3942" t="n">
        <v>217</v>
      </c>
      <c r="H3942" t="n">
        <v>6.909999999999999e-30</v>
      </c>
      <c r="I3942" t="inlineStr">
        <is>
          <t>Nr</t>
        </is>
      </c>
      <c r="J3942" t="inlineStr"/>
      <c r="K3942" t="inlineStr"/>
      <c r="L3942" t="inlineStr">
        <is>
          <t>XP_026647771.1 pro-epidermal growth factor isoform X2 [Zonotrichia albicollis]</t>
        </is>
      </c>
      <c r="M3942" t="n">
        <v>1216</v>
      </c>
      <c r="N3942" t="inlineStr">
        <is>
          <t>Zonotrichia albicollis</t>
        </is>
      </c>
      <c r="O3942" t="inlineStr">
        <is>
          <t>pro-epidermal growth factor isoform X2</t>
        </is>
      </c>
    </row>
    <row r="3943">
      <c r="A3943" t="inlineStr"/>
      <c r="B3943" t="inlineStr"/>
      <c r="C3943" t="inlineStr"/>
      <c r="D3943" t="inlineStr"/>
      <c r="E3943">
        <f>HYPERLINK("https://www.ncbi.nlm.nih.gov/gene/?term=XP_050799220.1", "XP_050799220.1")</f>
        <v/>
      </c>
      <c r="F3943" t="n">
        <v>45</v>
      </c>
      <c r="G3943" t="n">
        <v>209</v>
      </c>
      <c r="H3943" t="n">
        <v>6.909999999999999e-30</v>
      </c>
      <c r="I3943" t="inlineStr">
        <is>
          <t>Nr</t>
        </is>
      </c>
      <c r="J3943" t="inlineStr"/>
      <c r="K3943" t="inlineStr"/>
      <c r="L3943" t="inlineStr">
        <is>
          <t>XP_050799220.1 pro-epidermal growth factor isoform X2 [Gopherus flavomarginatus]</t>
        </is>
      </c>
      <c r="M3943" t="n">
        <v>1219</v>
      </c>
      <c r="N3943" t="inlineStr">
        <is>
          <t>Gopherus flavomarginatus</t>
        </is>
      </c>
      <c r="O3943" t="inlineStr">
        <is>
          <t>pro-epidermal growth factor isoform X2</t>
        </is>
      </c>
    </row>
    <row r="3944">
      <c r="A3944" t="inlineStr"/>
      <c r="B3944" t="inlineStr"/>
      <c r="C3944" t="inlineStr"/>
      <c r="D3944" t="inlineStr"/>
      <c r="E3944">
        <f>HYPERLINK("https://www.uniprot.org/uniprotkb/A0A674IF87/entry", "A0A674IF87")</f>
        <v/>
      </c>
      <c r="F3944" t="n">
        <v>43.6</v>
      </c>
      <c r="G3944" t="n">
        <v>149</v>
      </c>
      <c r="H3944" t="n">
        <v>5.65e-29</v>
      </c>
      <c r="I3944" t="inlineStr">
        <is>
          <t>TrEMBL</t>
        </is>
      </c>
      <c r="J3944" t="inlineStr">
        <is>
          <t>EGF</t>
        </is>
      </c>
      <c r="K3944" t="inlineStr">
        <is>
          <t>A0A674IF87_TERCA</t>
        </is>
      </c>
      <c r="L3944" t="inlineStr">
        <is>
          <t>tr|A0A674IF87|A0A674IF87_TERCA Epidermal growth factor OS=Terrapene carolina triunguis OX=2587831 GN=EGF PE=4 SV=1</t>
        </is>
      </c>
      <c r="M3944" t="n">
        <v>934</v>
      </c>
      <c r="N3944" t="inlineStr">
        <is>
          <t>Terrapene carolina triunguis</t>
        </is>
      </c>
      <c r="O3944" t="inlineStr">
        <is>
          <t>Epidermal growth factor</t>
        </is>
      </c>
    </row>
    <row r="3945">
      <c r="A3945" t="inlineStr"/>
      <c r="B3945" t="inlineStr"/>
      <c r="C3945" t="inlineStr"/>
      <c r="D3945" t="inlineStr"/>
      <c r="E3945">
        <f>HYPERLINK("https://www.uniprot.org/uniprotkb/A0A8C8RPT6/entry", "A0A8C8RPT6")</f>
        <v/>
      </c>
      <c r="F3945" t="n">
        <v>41.6</v>
      </c>
      <c r="G3945" t="n">
        <v>149</v>
      </c>
      <c r="H3945" t="n">
        <v>2.65e-28</v>
      </c>
      <c r="I3945" t="inlineStr">
        <is>
          <t>TrEMBL</t>
        </is>
      </c>
      <c r="J3945" t="inlineStr"/>
      <c r="K3945" t="inlineStr">
        <is>
          <t>A0A8C8RPT6_9SAUR</t>
        </is>
      </c>
      <c r="L3945" t="inlineStr">
        <is>
          <t>tr|A0A8C8RPT6|A0A8C8RPT6_9SAUR Epidermal growth factor OS=Pelusios castaneus OX=367368 PE=4 SV=1</t>
        </is>
      </c>
      <c r="M3945" t="n">
        <v>947</v>
      </c>
      <c r="N3945" t="inlineStr">
        <is>
          <t>Pelusios castaneus</t>
        </is>
      </c>
      <c r="O3945" t="inlineStr">
        <is>
          <t>Epidermal growth factor</t>
        </is>
      </c>
    </row>
    <row r="3946">
      <c r="A3946" t="inlineStr"/>
      <c r="B3946" t="inlineStr"/>
      <c r="C3946" t="inlineStr"/>
      <c r="D3946" t="inlineStr"/>
      <c r="E3946">
        <f>HYPERLINK("https://www.ncbi.nlm.nih.gov/gene/?term=XP_030420450.1", "XP_030420450.1")</f>
        <v/>
      </c>
      <c r="F3946" t="n">
        <v>38.2</v>
      </c>
      <c r="G3946" t="n">
        <v>251</v>
      </c>
      <c r="H3946" t="n">
        <v>5.21e-28</v>
      </c>
      <c r="I3946" t="inlineStr">
        <is>
          <t>Nr</t>
        </is>
      </c>
      <c r="J3946" t="inlineStr"/>
      <c r="K3946" t="inlineStr"/>
      <c r="L3946" t="inlineStr">
        <is>
          <t>XP_030420450.1 pro-epidermal growth factor isoform X1 [Gopherus evgoodei]</t>
        </is>
      </c>
      <c r="M3946" t="n">
        <v>1261</v>
      </c>
      <c r="N3946" t="inlineStr">
        <is>
          <t>Gopherus evgoodei</t>
        </is>
      </c>
      <c r="O3946" t="inlineStr">
        <is>
          <t>pro-epidermal growth factor isoform X1</t>
        </is>
      </c>
    </row>
    <row r="3947">
      <c r="A3947" t="inlineStr"/>
      <c r="B3947" t="inlineStr"/>
      <c r="C3947" t="inlineStr"/>
      <c r="D3947" t="inlineStr"/>
      <c r="E3947">
        <f>HYPERLINK("https://www.uniprot.org/uniprotkb/G3ID03/entry", "G3ID03")</f>
        <v/>
      </c>
      <c r="F3947" t="n">
        <v>44</v>
      </c>
      <c r="G3947" t="n">
        <v>175</v>
      </c>
      <c r="H3947" t="n">
        <v>5.95e-28</v>
      </c>
      <c r="I3947" t="inlineStr">
        <is>
          <t>TrEMBL</t>
        </is>
      </c>
      <c r="J3947" t="inlineStr">
        <is>
          <t>I79_021564</t>
        </is>
      </c>
      <c r="K3947" t="inlineStr">
        <is>
          <t>G3ID03_CRIGR</t>
        </is>
      </c>
      <c r="L3947" t="inlineStr">
        <is>
          <t>tr|G3ID03|G3ID03_CRIGR Pro-epidermal growth factor (Fragment) OS=Cricetulus griseus OX=10029 GN=I79_021564 PE=4 SV=1</t>
        </is>
      </c>
      <c r="M3947" t="n">
        <v>699</v>
      </c>
      <c r="N3947" t="inlineStr">
        <is>
          <t>Cricetulus griseus</t>
        </is>
      </c>
      <c r="O3947" t="inlineStr">
        <is>
          <t>Pro-epidermal growth factor (Fragment)</t>
        </is>
      </c>
    </row>
    <row r="3948">
      <c r="A3948" t="inlineStr"/>
      <c r="B3948" t="inlineStr"/>
      <c r="C3948" t="inlineStr"/>
      <c r="D3948" t="inlineStr"/>
      <c r="E3948">
        <f>HYPERLINK("https://www.ncbi.nlm.nih.gov/gene/?term=XP_009663707.1", "XP_009663707.1")</f>
        <v/>
      </c>
      <c r="F3948" t="n">
        <v>42.4</v>
      </c>
      <c r="G3948" t="n">
        <v>210</v>
      </c>
      <c r="H3948" t="n">
        <v>7.06e-28</v>
      </c>
      <c r="I3948" t="inlineStr">
        <is>
          <t>Nr</t>
        </is>
      </c>
      <c r="J3948" t="inlineStr"/>
      <c r="K3948" t="inlineStr"/>
      <c r="L3948" t="inlineStr">
        <is>
          <t>XP_009663707.1 PREDICTED: pro-epidermal growth factor isoform X3 [Struthio camelus australis]</t>
        </is>
      </c>
      <c r="M3948" t="n">
        <v>1214</v>
      </c>
      <c r="N3948" t="inlineStr">
        <is>
          <t>Struthio camelus australis</t>
        </is>
      </c>
      <c r="O3948" t="inlineStr">
        <is>
          <t>PREDICTED: pro-epidermal growth factor isoform X3</t>
        </is>
      </c>
    </row>
    <row r="3949">
      <c r="A3949" t="inlineStr"/>
      <c r="B3949" t="inlineStr"/>
      <c r="C3949" t="inlineStr"/>
      <c r="D3949" t="inlineStr"/>
      <c r="E3949">
        <f>HYPERLINK("https://www.ncbi.nlm.nih.gov/gene/?term=XP_018425549.1", "XP_018425549.1")</f>
        <v/>
      </c>
      <c r="F3949" t="n">
        <v>41.4</v>
      </c>
      <c r="G3949" t="n">
        <v>203</v>
      </c>
      <c r="H3949" t="n">
        <v>9.38e-28</v>
      </c>
      <c r="I3949" t="inlineStr">
        <is>
          <t>Nr</t>
        </is>
      </c>
      <c r="J3949" t="inlineStr"/>
      <c r="K3949" t="inlineStr"/>
      <c r="L3949" t="inlineStr">
        <is>
          <t>XP_018425549.1 PREDICTED: pro-epidermal growth factor [Nanorana parkeri]</t>
        </is>
      </c>
      <c r="M3949" t="n">
        <v>1026</v>
      </c>
      <c r="N3949" t="inlineStr">
        <is>
          <t>Nanorana parkeri</t>
        </is>
      </c>
      <c r="O3949" t="inlineStr">
        <is>
          <t>PREDICTED: pro-epidermal growth factor</t>
        </is>
      </c>
    </row>
    <row r="3950">
      <c r="A3950" t="inlineStr"/>
      <c r="B3950" t="inlineStr"/>
      <c r="C3950" t="inlineStr"/>
      <c r="D3950" t="inlineStr"/>
      <c r="E3950">
        <f>HYPERLINK("https://www.ncbi.nlm.nih.gov/gene/?term=EGW10408.1", "EGW10408.1")</f>
        <v/>
      </c>
      <c r="F3950" t="n">
        <v>44</v>
      </c>
      <c r="G3950" t="n">
        <v>175</v>
      </c>
      <c r="H3950" t="n">
        <v>1.53e-27</v>
      </c>
      <c r="I3950" t="inlineStr">
        <is>
          <t>Nr</t>
        </is>
      </c>
      <c r="J3950" t="inlineStr"/>
      <c r="K3950" t="inlineStr"/>
      <c r="L3950" t="inlineStr">
        <is>
          <t>EGW10408.1 Pro-epidermal growth factor, partial [Cricetulus griseus]</t>
        </is>
      </c>
      <c r="M3950" t="n">
        <v>699</v>
      </c>
      <c r="N3950" t="inlineStr">
        <is>
          <t>Cricetulus griseus</t>
        </is>
      </c>
      <c r="O3950" t="inlineStr">
        <is>
          <t>Pro-epidermal growth factor, partial</t>
        </is>
      </c>
    </row>
    <row r="3951">
      <c r="A3951" t="inlineStr"/>
      <c r="B3951" t="inlineStr"/>
      <c r="C3951" t="inlineStr"/>
      <c r="D3951" t="inlineStr"/>
      <c r="E3951">
        <f>HYPERLINK("https://www.uniprot.org/uniprotkb/G1NEX1/entry", "G1NEX1")</f>
        <v/>
      </c>
      <c r="F3951" t="n">
        <v>31.2</v>
      </c>
      <c r="G3951" t="n">
        <v>250</v>
      </c>
      <c r="H3951" t="n">
        <v>1.75e-27</v>
      </c>
      <c r="I3951" t="inlineStr">
        <is>
          <t>TrEMBL</t>
        </is>
      </c>
      <c r="J3951" t="inlineStr">
        <is>
          <t>EGF</t>
        </is>
      </c>
      <c r="K3951" t="inlineStr">
        <is>
          <t>G1NEX1_MELGA</t>
        </is>
      </c>
      <c r="L3951" t="inlineStr">
        <is>
          <t>tr|G1NEX1|G1NEX1_MELGA Pro-epidermal growth factor OS=Meleagris gallopavo OX=9103 GN=EGF PE=4 SV=2</t>
        </is>
      </c>
      <c r="M3951" t="n">
        <v>1245</v>
      </c>
      <c r="N3951" t="inlineStr">
        <is>
          <t>Meleagris gallopavo</t>
        </is>
      </c>
      <c r="O3951" t="inlineStr">
        <is>
          <t>Pro-epidermal growth factor</t>
        </is>
      </c>
    </row>
    <row r="3952">
      <c r="A3952" t="inlineStr"/>
      <c r="B3952" t="inlineStr"/>
      <c r="C3952" t="inlineStr"/>
      <c r="D3952" t="inlineStr"/>
      <c r="E3952">
        <f>HYPERLINK("https://www.uniprot.org/uniprotkb/A0A8C3R3J9/entry", "A0A8C3R3J9")</f>
        <v/>
      </c>
      <c r="F3952" t="n">
        <v>40</v>
      </c>
      <c r="G3952" t="n">
        <v>150</v>
      </c>
      <c r="H3952" t="n">
        <v>2.31e-27</v>
      </c>
      <c r="I3952" t="inlineStr">
        <is>
          <t>TrEMBL</t>
        </is>
      </c>
      <c r="J3952" t="inlineStr"/>
      <c r="K3952" t="inlineStr">
        <is>
          <t>A0A8C3R3J9_9PASS</t>
        </is>
      </c>
      <c r="L3952" t="inlineStr">
        <is>
          <t>tr|A0A8C3R3J9|A0A8C3R3J9_9PASS Epidermal growth factor OS=Cyanoderma ruficeps OX=181631 PE=4 SV=1</t>
        </is>
      </c>
      <c r="M3952" t="n">
        <v>980</v>
      </c>
      <c r="N3952" t="inlineStr">
        <is>
          <t>Cyanoderma ruficeps</t>
        </is>
      </c>
      <c r="O3952" t="inlineStr">
        <is>
          <t>Epidermal growth factor</t>
        </is>
      </c>
    </row>
    <row r="3953">
      <c r="A3953" t="inlineStr"/>
      <c r="B3953" t="inlineStr"/>
      <c r="C3953" t="inlineStr"/>
      <c r="D3953" t="inlineStr"/>
      <c r="E3953">
        <f>HYPERLINK("https://www.uniprot.org/uniprotkb/A0A452QAY9/entry", "A0A452QAY9")</f>
        <v/>
      </c>
      <c r="F3953" t="n">
        <v>49.6</v>
      </c>
      <c r="G3953" t="n">
        <v>131</v>
      </c>
      <c r="H3953" t="n">
        <v>4.160000000000001e-27</v>
      </c>
      <c r="I3953" t="inlineStr">
        <is>
          <t>TrEMBL</t>
        </is>
      </c>
      <c r="J3953" t="inlineStr">
        <is>
          <t>EGF</t>
        </is>
      </c>
      <c r="K3953" t="inlineStr">
        <is>
          <t>A0A452QAY9_URSAM</t>
        </is>
      </c>
      <c r="L3953" t="inlineStr">
        <is>
          <t>tr|A0A452QAY9|A0A452QAY9_URSAM Epidermal growth factor OS=Ursus americanus OX=9643 GN=EGF PE=4 SV=1</t>
        </is>
      </c>
      <c r="M3953" t="n">
        <v>845</v>
      </c>
      <c r="N3953" t="inlineStr">
        <is>
          <t>Ursus americanus</t>
        </is>
      </c>
      <c r="O3953" t="inlineStr">
        <is>
          <t>Epidermal growth factor</t>
        </is>
      </c>
    </row>
    <row r="3954">
      <c r="A3954" t="inlineStr"/>
      <c r="B3954" t="inlineStr"/>
      <c r="C3954" t="inlineStr"/>
      <c r="D3954" t="inlineStr"/>
      <c r="E3954">
        <f>HYPERLINK("https://www.uniprot.org/uniprotkb/A0A8C0GJ33/entry", "A0A8C0GJ33")</f>
        <v/>
      </c>
      <c r="F3954" t="n">
        <v>38.9</v>
      </c>
      <c r="G3954" t="n">
        <v>244</v>
      </c>
      <c r="H3954" t="n">
        <v>4.39e-27</v>
      </c>
      <c r="I3954" t="inlineStr">
        <is>
          <t>TrEMBL</t>
        </is>
      </c>
      <c r="J3954" t="inlineStr">
        <is>
          <t>EGF</t>
        </is>
      </c>
      <c r="K3954" t="inlineStr">
        <is>
          <t>A0A8C0GJ33_CHEAB</t>
        </is>
      </c>
      <c r="L3954" t="inlineStr">
        <is>
          <t>tr|A0A8C0GJ33|A0A8C0GJ33_CHEAB Pro-epidermal growth factor OS=Chelonoidis abingdonii OX=106734 GN=EGF PE=4 SV=1</t>
        </is>
      </c>
      <c r="M3954" t="n">
        <v>1181</v>
      </c>
      <c r="N3954" t="inlineStr">
        <is>
          <t>Chelonoidis abingdonii</t>
        </is>
      </c>
      <c r="O3954" t="inlineStr">
        <is>
          <t>Pro-epidermal growth factor</t>
        </is>
      </c>
    </row>
    <row r="3955">
      <c r="A3955" t="inlineStr"/>
      <c r="B3955" t="inlineStr"/>
      <c r="C3955" t="inlineStr"/>
      <c r="D3955" t="inlineStr"/>
      <c r="E3955">
        <f>HYPERLINK("https://www.ncbi.nlm.nih.gov/gene/?term=XP_010708304.1", "XP_010708304.1")</f>
        <v/>
      </c>
      <c r="F3955" t="n">
        <v>31.2</v>
      </c>
      <c r="G3955" t="n">
        <v>250</v>
      </c>
      <c r="H3955" t="n">
        <v>4.47e-27</v>
      </c>
      <c r="I3955" t="inlineStr">
        <is>
          <t>Nr</t>
        </is>
      </c>
      <c r="J3955" t="inlineStr"/>
      <c r="K3955" t="inlineStr"/>
      <c r="L3955" t="inlineStr">
        <is>
          <t>XP_010708304.1 pro-epidermal growth factor isoform X2 [Meleagris gallopavo]</t>
        </is>
      </c>
      <c r="M3955" t="n">
        <v>1180</v>
      </c>
      <c r="N3955" t="inlineStr">
        <is>
          <t>Meleagris gallopavo</t>
        </is>
      </c>
      <c r="O3955" t="inlineStr">
        <is>
          <t>pro-epidermal growth factor isoform X2</t>
        </is>
      </c>
    </row>
    <row r="3956">
      <c r="A3956" t="inlineStr"/>
      <c r="B3956" t="inlineStr"/>
      <c r="C3956" t="inlineStr"/>
      <c r="D3956" t="inlineStr"/>
      <c r="E3956">
        <f>HYPERLINK("https://www.ncbi.nlm.nih.gov/gene/?term=XP_003205786.2", "XP_003205786.2")</f>
        <v/>
      </c>
      <c r="F3956" t="n">
        <v>31.2</v>
      </c>
      <c r="G3956" t="n">
        <v>250</v>
      </c>
      <c r="H3956" t="n">
        <v>4.5e-27</v>
      </c>
      <c r="I3956" t="inlineStr">
        <is>
          <t>Nr</t>
        </is>
      </c>
      <c r="J3956" t="inlineStr"/>
      <c r="K3956" t="inlineStr"/>
      <c r="L3956" t="inlineStr">
        <is>
          <t>XP_003205786.2 pro-epidermal growth factor isoform X1 [Meleagris gallopavo]</t>
        </is>
      </c>
      <c r="M3956" t="n">
        <v>1245</v>
      </c>
      <c r="N3956" t="inlineStr">
        <is>
          <t>Meleagris gallopavo</t>
        </is>
      </c>
      <c r="O3956" t="inlineStr">
        <is>
          <t>pro-epidermal growth factor isoform X1</t>
        </is>
      </c>
    </row>
    <row r="3957">
      <c r="A3957" t="inlineStr"/>
      <c r="B3957" t="inlineStr"/>
      <c r="C3957" t="inlineStr"/>
      <c r="D3957" t="inlineStr"/>
      <c r="E3957">
        <f>HYPERLINK("https://www.ncbi.nlm.nih.gov/gene/?term=XP_032640505.1", "XP_032640505.1")</f>
        <v/>
      </c>
      <c r="F3957" t="n">
        <v>38.8</v>
      </c>
      <c r="G3957" t="n">
        <v>250</v>
      </c>
      <c r="H3957" t="n">
        <v>6.14e-27</v>
      </c>
      <c r="I3957" t="inlineStr">
        <is>
          <t>Nr</t>
        </is>
      </c>
      <c r="J3957" t="inlineStr"/>
      <c r="K3957" t="inlineStr"/>
      <c r="L3957" t="inlineStr">
        <is>
          <t>XP_032640505.1 pro-epidermal growth factor isoform X1 [Chelonoidis abingdonii]</t>
        </is>
      </c>
      <c r="M3957" t="n">
        <v>1260</v>
      </c>
      <c r="N3957" t="inlineStr">
        <is>
          <t>Chelonoidis abingdonii</t>
        </is>
      </c>
      <c r="O3957" t="inlineStr">
        <is>
          <t>pro-epidermal growth factor isoform X1</t>
        </is>
      </c>
    </row>
    <row r="3958">
      <c r="A3958" t="inlineStr"/>
      <c r="B3958" t="inlineStr"/>
      <c r="C3958" t="inlineStr"/>
      <c r="D3958" t="inlineStr"/>
      <c r="E3958">
        <f>HYPERLINK("https://www.uniprot.org/uniprotkb/A0A674IF36/entry", "A0A674IF36")</f>
        <v/>
      </c>
      <c r="F3958" t="n">
        <v>37.2</v>
      </c>
      <c r="G3958" t="n">
        <v>242</v>
      </c>
      <c r="H3958" t="n">
        <v>8.190000000000001e-27</v>
      </c>
      <c r="I3958" t="inlineStr">
        <is>
          <t>TrEMBL</t>
        </is>
      </c>
      <c r="J3958" t="inlineStr">
        <is>
          <t>EGF</t>
        </is>
      </c>
      <c r="K3958" t="inlineStr">
        <is>
          <t>A0A674IF36_TERCA</t>
        </is>
      </c>
      <c r="L3958" t="inlineStr">
        <is>
          <t>tr|A0A674IF36|A0A674IF36_TERCA Pro-epidermal growth factor OS=Terrapene carolina triunguis OX=2587831 GN=EGF PE=4 SV=1</t>
        </is>
      </c>
      <c r="M3958" t="n">
        <v>1251</v>
      </c>
      <c r="N3958" t="inlineStr">
        <is>
          <t>Terrapene carolina triunguis</t>
        </is>
      </c>
      <c r="O3958" t="inlineStr">
        <is>
          <t>Pro-epidermal growth factor</t>
        </is>
      </c>
    </row>
    <row r="3959">
      <c r="A3959" t="inlineStr"/>
      <c r="B3959" t="inlineStr"/>
      <c r="C3959" t="inlineStr"/>
      <c r="D3959" t="inlineStr"/>
      <c r="E3959">
        <f>HYPERLINK("https://www.uniprot.org/uniprotkb/A0A093H981/entry", "A0A093H981")</f>
        <v/>
      </c>
      <c r="F3959" t="n">
        <v>36.4</v>
      </c>
      <c r="G3959" t="n">
        <v>250</v>
      </c>
      <c r="H3959" t="n">
        <v>8.190000000000001e-27</v>
      </c>
      <c r="I3959" t="inlineStr">
        <is>
          <t>TrEMBL</t>
        </is>
      </c>
      <c r="J3959" t="inlineStr">
        <is>
          <t>N328_01125</t>
        </is>
      </c>
      <c r="K3959" t="inlineStr">
        <is>
          <t>A0A093H981_GAVST</t>
        </is>
      </c>
      <c r="L3959" t="inlineStr">
        <is>
          <t>tr|A0A093H981|A0A093H981_GAVST Pro-epidermal growth factor OS=Gavia stellata OX=37040 GN=N328_01125 PE=4 SV=1</t>
        </is>
      </c>
      <c r="M3959" t="n">
        <v>1255</v>
      </c>
      <c r="N3959" t="inlineStr">
        <is>
          <t>Gavia stellata</t>
        </is>
      </c>
      <c r="O3959" t="inlineStr">
        <is>
          <t>Pro-epidermal growth factor</t>
        </is>
      </c>
    </row>
    <row r="3960">
      <c r="A3960" t="inlineStr"/>
      <c r="B3960" t="inlineStr"/>
      <c r="C3960" t="inlineStr"/>
      <c r="D3960" t="inlineStr"/>
      <c r="E3960">
        <f>HYPERLINK("https://www.ncbi.nlm.nih.gov/gene/?term=XP_009663709.1", "XP_009663709.1")</f>
        <v/>
      </c>
      <c r="F3960" t="n">
        <v>38.8</v>
      </c>
      <c r="G3960" t="n">
        <v>250</v>
      </c>
      <c r="H3960" t="n">
        <v>1.13e-26</v>
      </c>
      <c r="I3960" t="inlineStr">
        <is>
          <t>Nr</t>
        </is>
      </c>
      <c r="J3960" t="inlineStr"/>
      <c r="K3960" t="inlineStr"/>
      <c r="L3960" t="inlineStr">
        <is>
          <t>XP_009663709.1 PREDICTED: pro-epidermal growth factor isoform X4 [Struthio camelus australis]</t>
        </is>
      </c>
      <c r="M3960" t="n">
        <v>1188</v>
      </c>
      <c r="N3960" t="inlineStr">
        <is>
          <t>Struthio camelus australis</t>
        </is>
      </c>
      <c r="O3960" t="inlineStr">
        <is>
          <t>PREDICTED: pro-epidermal growth factor isoform X4</t>
        </is>
      </c>
    </row>
    <row r="3961">
      <c r="A3961" t="inlineStr"/>
      <c r="B3961" t="inlineStr"/>
      <c r="C3961" t="inlineStr"/>
      <c r="D3961" t="inlineStr"/>
      <c r="E3961">
        <f>HYPERLINK("https://www.ncbi.nlm.nih.gov/gene/?term=XP_009663706.1", "XP_009663706.1")</f>
        <v/>
      </c>
      <c r="F3961" t="n">
        <v>38.8</v>
      </c>
      <c r="G3961" t="n">
        <v>250</v>
      </c>
      <c r="H3961" t="n">
        <v>1.14e-26</v>
      </c>
      <c r="I3961" t="inlineStr">
        <is>
          <t>Nr</t>
        </is>
      </c>
      <c r="J3961" t="inlineStr"/>
      <c r="K3961" t="inlineStr"/>
      <c r="L3961" t="inlineStr">
        <is>
          <t>XP_009663706.1 PREDICTED: pro-epidermal growth factor isoform X2 [Struthio camelus australis]</t>
        </is>
      </c>
      <c r="M3961" t="n">
        <v>1246</v>
      </c>
      <c r="N3961" t="inlineStr">
        <is>
          <t>Struthio camelus australis</t>
        </is>
      </c>
      <c r="O3961" t="inlineStr">
        <is>
          <t>PREDICTED: pro-epidermal growth factor isoform X2</t>
        </is>
      </c>
    </row>
    <row r="3962">
      <c r="A3962" t="inlineStr"/>
      <c r="B3962" t="inlineStr"/>
      <c r="C3962" t="inlineStr"/>
      <c r="D3962" t="inlineStr"/>
      <c r="E3962">
        <f>HYPERLINK("https://www.ncbi.nlm.nih.gov/gene/?term=XP_009663705.1", "XP_009663705.1")</f>
        <v/>
      </c>
      <c r="F3962" t="n">
        <v>38.8</v>
      </c>
      <c r="G3962" t="n">
        <v>250</v>
      </c>
      <c r="H3962" t="n">
        <v>1.14e-26</v>
      </c>
      <c r="I3962" t="inlineStr">
        <is>
          <t>Nr</t>
        </is>
      </c>
      <c r="J3962" t="inlineStr"/>
      <c r="K3962" t="inlineStr"/>
      <c r="L3962" t="inlineStr">
        <is>
          <t>XP_009663705.1 PREDICTED: pro-epidermal growth factor isoform X1 [Struthio camelus australis]</t>
        </is>
      </c>
      <c r="M3962" t="n">
        <v>1254</v>
      </c>
      <c r="N3962" t="inlineStr">
        <is>
          <t>Struthio camelus australis</t>
        </is>
      </c>
      <c r="O3962" t="inlineStr">
        <is>
          <t>PREDICTED: pro-epidermal growth factor isoform X1</t>
        </is>
      </c>
    </row>
    <row r="3963">
      <c r="A3963" t="inlineStr"/>
      <c r="B3963" t="inlineStr"/>
      <c r="C3963" t="inlineStr"/>
      <c r="D3963" t="inlineStr"/>
      <c r="E3963">
        <f>HYPERLINK("https://www.uniprot.org/uniprotkb/A0A8J6F1J9/entry", "A0A8J6F1J9")</f>
        <v/>
      </c>
      <c r="F3963" t="n">
        <v>49.4</v>
      </c>
      <c r="G3963" t="n">
        <v>178</v>
      </c>
      <c r="H3963" t="n">
        <v>1.47e-26</v>
      </c>
      <c r="I3963" t="inlineStr">
        <is>
          <t>TrEMBL</t>
        </is>
      </c>
      <c r="J3963" t="inlineStr">
        <is>
          <t>GDO78_011960</t>
        </is>
      </c>
      <c r="K3963" t="inlineStr">
        <is>
          <t>A0A8J6F1J9_ELECQ</t>
        </is>
      </c>
      <c r="L3963" t="inlineStr">
        <is>
          <t>tr|A0A8J6F1J9|A0A8J6F1J9_ELECQ Epidermal growth factor OS=Eleutherodactylus coqui OX=57060 GN=GDO78_011960 PE=4 SV=1</t>
        </is>
      </c>
      <c r="M3963" t="n">
        <v>993</v>
      </c>
      <c r="N3963" t="inlineStr">
        <is>
          <t>Eleutherodactylus coqui</t>
        </is>
      </c>
      <c r="O3963" t="inlineStr">
        <is>
          <t>Epidermal growth factor</t>
        </is>
      </c>
    </row>
    <row r="3964">
      <c r="A3964" t="inlineStr"/>
      <c r="B3964" t="inlineStr"/>
      <c r="C3964" t="inlineStr"/>
      <c r="D3964" t="inlineStr"/>
      <c r="E3964">
        <f>HYPERLINK("https://www.uniprot.org/uniprotkb/A0A672UDI7/entry", "A0A672UDI7")</f>
        <v/>
      </c>
      <c r="F3964" t="n">
        <v>40</v>
      </c>
      <c r="G3964" t="n">
        <v>210</v>
      </c>
      <c r="H3964" t="n">
        <v>1.51e-26</v>
      </c>
      <c r="I3964" t="inlineStr">
        <is>
          <t>TrEMBL</t>
        </is>
      </c>
      <c r="J3964" t="inlineStr">
        <is>
          <t>EGF</t>
        </is>
      </c>
      <c r="K3964" t="inlineStr">
        <is>
          <t>A0A672UDI7_STRHB</t>
        </is>
      </c>
      <c r="L3964" t="inlineStr">
        <is>
          <t>tr|A0A672UDI7|A0A672UDI7_STRHB Pro-epidermal growth factor OS=Strigops habroptila OX=2489341 GN=EGF PE=4 SV=1</t>
        </is>
      </c>
      <c r="M3964" t="n">
        <v>1214</v>
      </c>
      <c r="N3964" t="inlineStr">
        <is>
          <t>Strigops habroptila</t>
        </is>
      </c>
      <c r="O3964" t="inlineStr">
        <is>
          <t>Pro-epidermal growth factor</t>
        </is>
      </c>
    </row>
    <row r="3965">
      <c r="A3965" t="inlineStr"/>
      <c r="B3965" t="inlineStr"/>
      <c r="C3965" t="inlineStr"/>
      <c r="D3965" t="inlineStr"/>
      <c r="E3965">
        <f>HYPERLINK("https://www.ncbi.nlm.nih.gov/gene/?term=XP_009806995.1", "XP_009806995.1")</f>
        <v/>
      </c>
      <c r="F3965" t="n">
        <v>36.4</v>
      </c>
      <c r="G3965" t="n">
        <v>250</v>
      </c>
      <c r="H3965" t="n">
        <v>2.11e-26</v>
      </c>
      <c r="I3965" t="inlineStr">
        <is>
          <t>Nr</t>
        </is>
      </c>
      <c r="J3965" t="inlineStr"/>
      <c r="K3965" t="inlineStr"/>
      <c r="L3965" t="inlineStr">
        <is>
          <t>XP_009806995.1 PREDICTED: pro-epidermal growth factor [Gavia stellata]</t>
        </is>
      </c>
      <c r="M3965" t="n">
        <v>1255</v>
      </c>
      <c r="N3965" t="inlineStr">
        <is>
          <t>Gavia stellata</t>
        </is>
      </c>
      <c r="O3965" t="inlineStr">
        <is>
          <t>PREDICTED: pro-epidermal growth factor</t>
        </is>
      </c>
    </row>
    <row r="3966">
      <c r="A3966" t="inlineStr"/>
      <c r="B3966" t="inlineStr"/>
      <c r="C3966" t="inlineStr"/>
      <c r="D3966" t="inlineStr"/>
      <c r="E3966">
        <f>HYPERLINK("https://www.uniprot.org/uniprotkb/P07522/entry", "P07522")</f>
        <v/>
      </c>
      <c r="F3966" t="n">
        <v>34.8</v>
      </c>
      <c r="G3966" t="n">
        <v>247</v>
      </c>
      <c r="H3966" t="n">
        <v>3.38e-18</v>
      </c>
      <c r="I3966" t="inlineStr">
        <is>
          <t>Swiss-Prot</t>
        </is>
      </c>
      <c r="J3966" t="inlineStr">
        <is>
          <t>Egf</t>
        </is>
      </c>
      <c r="K3966" t="inlineStr">
        <is>
          <t>EGF_RAT</t>
        </is>
      </c>
      <c r="L3966" t="inlineStr">
        <is>
          <t>sp|P07522|EGF_RAT Pro-epidermal growth factor OS=Rattus norvegicus OX=10116 GN=Egf PE=1 SV=2</t>
        </is>
      </c>
      <c r="M3966" t="n">
        <v>1133</v>
      </c>
      <c r="N3966" t="inlineStr">
        <is>
          <t>Rattus norvegicus</t>
        </is>
      </c>
      <c r="O3966" t="inlineStr">
        <is>
          <t>Pro-epidermal growth factor</t>
        </is>
      </c>
    </row>
    <row r="3967">
      <c r="A3967" t="inlineStr"/>
      <c r="B3967" t="inlineStr"/>
      <c r="C3967" t="inlineStr"/>
      <c r="D3967" t="inlineStr"/>
      <c r="E3967">
        <f>HYPERLINK("https://www.uniprot.org/uniprotkb/P01133/entry", "P01133")</f>
        <v/>
      </c>
      <c r="F3967" t="n">
        <v>34.1</v>
      </c>
      <c r="G3967" t="n">
        <v>170</v>
      </c>
      <c r="H3967" t="n">
        <v>2.1e-15</v>
      </c>
      <c r="I3967" t="inlineStr">
        <is>
          <t>Swiss-Prot</t>
        </is>
      </c>
      <c r="J3967" t="inlineStr">
        <is>
          <t>EGF</t>
        </is>
      </c>
      <c r="K3967" t="inlineStr">
        <is>
          <t>EGF_HUMAN</t>
        </is>
      </c>
      <c r="L3967" t="inlineStr">
        <is>
          <t>sp|P01133|EGF_HUMAN Pro-epidermal growth factor OS=Homo sapiens OX=9606 GN=EGF PE=1 SV=2</t>
        </is>
      </c>
      <c r="M3967" t="n">
        <v>1207</v>
      </c>
      <c r="N3967" t="inlineStr">
        <is>
          <t>Homo sapiens</t>
        </is>
      </c>
      <c r="O3967" t="inlineStr">
        <is>
          <t>Pro-epidermal growth factor</t>
        </is>
      </c>
    </row>
    <row r="3968">
      <c r="A3968" t="inlineStr"/>
      <c r="B3968" t="inlineStr"/>
      <c r="C3968" t="inlineStr"/>
      <c r="D3968" t="inlineStr"/>
      <c r="E3968">
        <f>HYPERLINK("https://www.uniprot.org/uniprotkb/Q00968/entry", "Q00968")</f>
        <v/>
      </c>
      <c r="F3968" t="n">
        <v>34.3</v>
      </c>
      <c r="G3968" t="n">
        <v>169</v>
      </c>
      <c r="H3968" t="n">
        <v>2.1e-15</v>
      </c>
      <c r="I3968" t="inlineStr">
        <is>
          <t>Swiss-Prot</t>
        </is>
      </c>
      <c r="J3968" t="inlineStr">
        <is>
          <t>EGF</t>
        </is>
      </c>
      <c r="K3968" t="inlineStr">
        <is>
          <t>EGF_PIG</t>
        </is>
      </c>
      <c r="L3968" t="inlineStr">
        <is>
          <t>sp|Q00968|EGF_PIG Pro-epidermal growth factor OS=Sus scrofa OX=9823 GN=EGF PE=1 SV=2</t>
        </is>
      </c>
      <c r="M3968" t="n">
        <v>1214</v>
      </c>
      <c r="N3968" t="inlineStr">
        <is>
          <t>Sus scrofa</t>
        </is>
      </c>
      <c r="O3968" t="inlineStr">
        <is>
          <t>Pro-epidermal growth factor</t>
        </is>
      </c>
    </row>
    <row r="3969">
      <c r="A3969" t="inlineStr"/>
      <c r="B3969" t="inlineStr"/>
      <c r="C3969" t="inlineStr"/>
      <c r="D3969" t="inlineStr"/>
      <c r="E3969">
        <f>HYPERLINK("https://www.uniprot.org/uniprotkb/P01132/entry", "P01132")</f>
        <v/>
      </c>
      <c r="F3969" t="n">
        <v>41.9</v>
      </c>
      <c r="G3969" t="n">
        <v>86</v>
      </c>
      <c r="H3969" t="n">
        <v>3.87e-15</v>
      </c>
      <c r="I3969" t="inlineStr">
        <is>
          <t>Swiss-Prot</t>
        </is>
      </c>
      <c r="J3969" t="inlineStr">
        <is>
          <t>Egf</t>
        </is>
      </c>
      <c r="K3969" t="inlineStr">
        <is>
          <t>EGF_MOUSE</t>
        </is>
      </c>
      <c r="L3969" t="inlineStr">
        <is>
          <t>sp|P01132|EGF_MOUSE Pro-epidermal growth factor OS=Mus musculus OX=10090 GN=Egf PE=1 SV=2</t>
        </is>
      </c>
      <c r="M3969" t="n">
        <v>1217</v>
      </c>
      <c r="N3969" t="inlineStr">
        <is>
          <t>Mus musculus</t>
        </is>
      </c>
      <c r="O3969" t="inlineStr">
        <is>
          <t>Pro-epidermal growth factor</t>
        </is>
      </c>
    </row>
    <row r="3970">
      <c r="A3970" t="inlineStr"/>
      <c r="B3970" t="inlineStr"/>
      <c r="C3970" t="inlineStr"/>
      <c r="D3970" t="inlineStr"/>
      <c r="E3970">
        <f>HYPERLINK("https://www.uniprot.org/uniprotkb/Q95ND4/entry", "Q95ND4")</f>
        <v/>
      </c>
      <c r="F3970" t="n">
        <v>44.1</v>
      </c>
      <c r="G3970" t="n">
        <v>102</v>
      </c>
      <c r="H3970" t="n">
        <v>2.41e-14</v>
      </c>
      <c r="I3970" t="inlineStr">
        <is>
          <t>Swiss-Prot</t>
        </is>
      </c>
      <c r="J3970" t="inlineStr">
        <is>
          <t>EGF</t>
        </is>
      </c>
      <c r="K3970" t="inlineStr">
        <is>
          <t>EGF_FELCA</t>
        </is>
      </c>
      <c r="L3970" t="inlineStr">
        <is>
          <t>sp|Q95ND4|EGF_FELCA Pro-epidermal growth factor OS=Felis catus OX=9685 GN=EGF PE=2 SV=1</t>
        </is>
      </c>
      <c r="M3970" t="n">
        <v>1210</v>
      </c>
      <c r="N3970" t="inlineStr">
        <is>
          <t>Felis catus</t>
        </is>
      </c>
      <c r="O3970" t="inlineStr">
        <is>
          <t>Pro-epidermal growth factor</t>
        </is>
      </c>
    </row>
    <row r="3971">
      <c r="A3971" t="inlineStr"/>
      <c r="B3971" t="inlineStr"/>
      <c r="C3971" t="inlineStr"/>
      <c r="D3971" t="inlineStr"/>
      <c r="E3971">
        <f>HYPERLINK("https://www.uniprot.org/uniprotkb/Q9BEA0/entry", "Q9BEA0")</f>
        <v/>
      </c>
      <c r="F3971" t="n">
        <v>34.5</v>
      </c>
      <c r="G3971" t="n">
        <v>165</v>
      </c>
      <c r="H3971" t="n">
        <v>2.41e-14</v>
      </c>
      <c r="I3971" t="inlineStr">
        <is>
          <t>Swiss-Prot</t>
        </is>
      </c>
      <c r="J3971" t="inlineStr">
        <is>
          <t>EGF</t>
        </is>
      </c>
      <c r="K3971" t="inlineStr">
        <is>
          <t>EGF_CANLF</t>
        </is>
      </c>
      <c r="L3971" t="inlineStr">
        <is>
          <t>sp|Q9BEA0|EGF_CANLF Pro-epidermal growth factor OS=Canis lupus familiaris OX=9615 GN=EGF PE=2 SV=1</t>
        </is>
      </c>
      <c r="M3971" t="n">
        <v>1216</v>
      </c>
      <c r="N3971" t="inlineStr">
        <is>
          <t>Canis lupus familiaris</t>
        </is>
      </c>
      <c r="O3971" t="inlineStr">
        <is>
          <t>Pro-epidermal growth factor</t>
        </is>
      </c>
    </row>
    <row r="3972">
      <c r="A3972" t="inlineStr"/>
      <c r="B3972" t="inlineStr"/>
      <c r="C3972" t="inlineStr"/>
      <c r="D3972" t="inlineStr"/>
      <c r="E3972">
        <f>HYPERLINK("https://www.uniprot.org/uniprotkb/O75197/entry", "O75197")</f>
        <v/>
      </c>
      <c r="F3972" t="n">
        <v>25.1</v>
      </c>
      <c r="G3972" t="n">
        <v>175</v>
      </c>
      <c r="H3972" t="n">
        <v>3.75e-09</v>
      </c>
      <c r="I3972" t="inlineStr">
        <is>
          <t>Swiss-Prot</t>
        </is>
      </c>
      <c r="J3972" t="inlineStr">
        <is>
          <t>LRP5</t>
        </is>
      </c>
      <c r="K3972" t="inlineStr">
        <is>
          <t>LRP5_HUMAN</t>
        </is>
      </c>
      <c r="L3972" t="inlineStr">
        <is>
          <t>sp|O75197|LRP5_HUMAN Low-density lipoprotein receptor-related protein 5 OS=Homo sapiens OX=9606 GN=LRP5 PE=1 SV=2</t>
        </is>
      </c>
      <c r="M3972" t="n">
        <v>1615</v>
      </c>
      <c r="N3972" t="inlineStr">
        <is>
          <t>Homo sapiens</t>
        </is>
      </c>
      <c r="O3972" t="inlineStr">
        <is>
          <t>Low-density lipoprotein receptor-related protein 5</t>
        </is>
      </c>
    </row>
    <row r="3973">
      <c r="A3973" t="inlineStr"/>
      <c r="B3973" t="inlineStr"/>
      <c r="C3973" t="inlineStr"/>
      <c r="D3973" t="inlineStr"/>
      <c r="E3973">
        <f>HYPERLINK("https://www.uniprot.org/uniprotkb/Q91VN0/entry", "Q91VN0")</f>
        <v/>
      </c>
      <c r="F3973" t="n">
        <v>25.1</v>
      </c>
      <c r="G3973" t="n">
        <v>175</v>
      </c>
      <c r="H3973" t="n">
        <v>6.47e-09</v>
      </c>
      <c r="I3973" t="inlineStr">
        <is>
          <t>Swiss-Prot</t>
        </is>
      </c>
      <c r="J3973" t="inlineStr">
        <is>
          <t>Lrp5</t>
        </is>
      </c>
      <c r="K3973" t="inlineStr">
        <is>
          <t>LRP5_MOUSE</t>
        </is>
      </c>
      <c r="L3973" t="inlineStr">
        <is>
          <t>sp|Q91VN0|LRP5_MOUSE Low-density lipoprotein receptor-related protein 5 OS=Mus musculus OX=10090 GN=Lrp5 PE=1 SV=3</t>
        </is>
      </c>
      <c r="M3973" t="n">
        <v>1614</v>
      </c>
      <c r="N3973" t="inlineStr">
        <is>
          <t>Mus musculus</t>
        </is>
      </c>
      <c r="O3973" t="inlineStr">
        <is>
          <t>Low-density lipoprotein receptor-related protein 5</t>
        </is>
      </c>
    </row>
    <row r="3974">
      <c r="A3974" t="inlineStr"/>
      <c r="B3974" t="inlineStr"/>
      <c r="C3974" t="inlineStr"/>
      <c r="D3974" t="inlineStr"/>
      <c r="E3974">
        <f>HYPERLINK("https://www.uniprot.org/uniprotkb/P98163/entry", "P98163")</f>
        <v/>
      </c>
      <c r="F3974" t="n">
        <v>26.3</v>
      </c>
      <c r="G3974" t="n">
        <v>190</v>
      </c>
      <c r="H3974" t="n">
        <v>1.15e-08</v>
      </c>
      <c r="I3974" t="inlineStr">
        <is>
          <t>Swiss-Prot</t>
        </is>
      </c>
      <c r="J3974" t="inlineStr">
        <is>
          <t>yl</t>
        </is>
      </c>
      <c r="K3974" t="inlineStr">
        <is>
          <t>YL_DROME</t>
        </is>
      </c>
      <c r="L3974" t="inlineStr">
        <is>
          <t>sp|P98163|YL_DROME Putative vitellogenin receptor OS=Drosophila melanogaster OX=7227 GN=yl PE=1 SV=2</t>
        </is>
      </c>
      <c r="M3974" t="n">
        <v>1984</v>
      </c>
      <c r="N3974" t="inlineStr">
        <is>
          <t>Drosophila melanogaster</t>
        </is>
      </c>
      <c r="O3974" t="inlineStr">
        <is>
          <t>Putative vitellogenin receptor</t>
        </is>
      </c>
    </row>
    <row r="3975">
      <c r="A3975" t="inlineStr"/>
      <c r="B3975" t="inlineStr"/>
      <c r="C3975" t="inlineStr"/>
      <c r="D3975" t="inlineStr"/>
      <c r="E3975">
        <f>HYPERLINK("https://www.uniprot.org/uniprotkb/O88572/entry", "O88572")</f>
        <v/>
      </c>
      <c r="F3975" t="n">
        <v>35.7</v>
      </c>
      <c r="G3975" t="n">
        <v>98</v>
      </c>
      <c r="H3975" t="n">
        <v>4.38e-08</v>
      </c>
      <c r="I3975" t="inlineStr">
        <is>
          <t>Swiss-Prot</t>
        </is>
      </c>
      <c r="J3975" t="inlineStr">
        <is>
          <t>Lrp6</t>
        </is>
      </c>
      <c r="K3975" t="inlineStr">
        <is>
          <t>LRP6_MOUSE</t>
        </is>
      </c>
      <c r="L3975" t="inlineStr">
        <is>
          <t>sp|O88572|LRP6_MOUSE Low-density lipoprotein receptor-related protein 6 OS=Mus musculus OX=10090 GN=Lrp6 PE=1 SV=1</t>
        </is>
      </c>
      <c r="M3975" t="n">
        <v>1613</v>
      </c>
      <c r="N3975" t="inlineStr">
        <is>
          <t>Mus musculus</t>
        </is>
      </c>
      <c r="O3975" t="inlineStr">
        <is>
          <t>Low-density lipoprotein receptor-related protein 6</t>
        </is>
      </c>
    </row>
    <row r="3976">
      <c r="A3976" t="inlineStr"/>
      <c r="B3976" t="inlineStr"/>
      <c r="C3976" t="inlineStr"/>
      <c r="D3976" t="inlineStr"/>
      <c r="E3976">
        <f>HYPERLINK("https://www.uniprot.org/uniprotkb/P35951/entry", "P35951")</f>
        <v/>
      </c>
      <c r="F3976" t="n">
        <v>33.7</v>
      </c>
      <c r="G3976" t="n">
        <v>101</v>
      </c>
      <c r="H3976" t="n">
        <v>4.9e-08</v>
      </c>
      <c r="I3976" t="inlineStr">
        <is>
          <t>Swiss-Prot</t>
        </is>
      </c>
      <c r="J3976" t="inlineStr">
        <is>
          <t>Ldlr</t>
        </is>
      </c>
      <c r="K3976" t="inlineStr">
        <is>
          <t>LDLR_MOUSE</t>
        </is>
      </c>
      <c r="L3976" t="inlineStr">
        <is>
          <t>sp|P35951|LDLR_MOUSE Low-density lipoprotein receptor OS=Mus musculus OX=10090 GN=Ldlr PE=1 SV=2</t>
        </is>
      </c>
      <c r="M3976" t="n">
        <v>862</v>
      </c>
      <c r="N3976" t="inlineStr">
        <is>
          <t>Mus musculus</t>
        </is>
      </c>
      <c r="O3976" t="inlineStr">
        <is>
          <t>Low-density lipoprotein receptor</t>
        </is>
      </c>
    </row>
    <row r="3977">
      <c r="A3977" t="inlineStr"/>
      <c r="B3977" t="inlineStr"/>
      <c r="C3977" t="inlineStr"/>
      <c r="D3977" t="inlineStr"/>
      <c r="E3977">
        <f>HYPERLINK("https://www.uniprot.org/uniprotkb/O75581/entry", "O75581")</f>
        <v/>
      </c>
      <c r="F3977" t="n">
        <v>34.7</v>
      </c>
      <c r="G3977" t="n">
        <v>98</v>
      </c>
      <c r="H3977" t="n">
        <v>7.56e-08</v>
      </c>
      <c r="I3977" t="inlineStr">
        <is>
          <t>Swiss-Prot</t>
        </is>
      </c>
      <c r="J3977" t="inlineStr">
        <is>
          <t>LRP6</t>
        </is>
      </c>
      <c r="K3977" t="inlineStr">
        <is>
          <t>LRP6_HUMAN</t>
        </is>
      </c>
      <c r="L3977" t="inlineStr">
        <is>
          <t>sp|O75581|LRP6_HUMAN Low-density lipoprotein receptor-related protein 6 OS=Homo sapiens OX=9606 GN=LRP6 PE=1 SV=2</t>
        </is>
      </c>
      <c r="M3977" t="n">
        <v>1613</v>
      </c>
      <c r="N3977" t="inlineStr">
        <is>
          <t>Homo sapiens</t>
        </is>
      </c>
      <c r="O3977" t="inlineStr">
        <is>
          <t>Low-density lipoprotein receptor-related protein 6</t>
        </is>
      </c>
    </row>
    <row r="3978">
      <c r="A3978" t="inlineStr"/>
      <c r="B3978" t="inlineStr"/>
      <c r="C3978" t="inlineStr"/>
      <c r="D3978" t="inlineStr"/>
      <c r="E3978">
        <f>HYPERLINK("https://www.uniprot.org/uniprotkb/Q9NZR2/entry", "Q9NZR2")</f>
        <v/>
      </c>
      <c r="F3978" t="n">
        <v>26.5</v>
      </c>
      <c r="G3978" t="n">
        <v>189</v>
      </c>
      <c r="H3978" t="n">
        <v>8.38e-08</v>
      </c>
      <c r="I3978" t="inlineStr">
        <is>
          <t>Swiss-Prot</t>
        </is>
      </c>
      <c r="J3978" t="inlineStr">
        <is>
          <t>LRP1B</t>
        </is>
      </c>
      <c r="K3978" t="inlineStr">
        <is>
          <t>LRP1B_HUMAN</t>
        </is>
      </c>
      <c r="L3978" t="inlineStr">
        <is>
          <t>sp|Q9NZR2|LRP1B_HUMAN Low-density lipoprotein receptor-related protein 1B OS=Homo sapiens OX=9606 GN=LRP1B PE=1 SV=2</t>
        </is>
      </c>
      <c r="M3978" t="n">
        <v>4599</v>
      </c>
      <c r="N3978" t="inlineStr">
        <is>
          <t>Homo sapiens</t>
        </is>
      </c>
      <c r="O3978" t="inlineStr">
        <is>
          <t>Low-density lipoprotein receptor-related protein 1B</t>
        </is>
      </c>
    </row>
    <row r="3979">
      <c r="A3979" t="inlineStr"/>
      <c r="B3979" t="inlineStr"/>
      <c r="C3979" t="inlineStr"/>
      <c r="D3979" t="inlineStr"/>
      <c r="E3979">
        <f>HYPERLINK("https://www.uniprot.org/uniprotkb/Q9JI18/entry", "Q9JI18")</f>
        <v/>
      </c>
      <c r="F3979" t="n">
        <v>26.1</v>
      </c>
      <c r="G3979" t="n">
        <v>188</v>
      </c>
      <c r="H3979" t="n">
        <v>2.49e-07</v>
      </c>
      <c r="I3979" t="inlineStr">
        <is>
          <t>Swiss-Prot</t>
        </is>
      </c>
      <c r="J3979" t="inlineStr">
        <is>
          <t>Lrp1b</t>
        </is>
      </c>
      <c r="K3979" t="inlineStr">
        <is>
          <t>LRP1B_MOUSE</t>
        </is>
      </c>
      <c r="L3979" t="inlineStr">
        <is>
          <t>sp|Q9JI18|LRP1B_MOUSE Low-density lipoprotein receptor-related protein 1B OS=Mus musculus OX=10090 GN=Lrp1b PE=1 SV=1</t>
        </is>
      </c>
      <c r="M3979" t="n">
        <v>4599</v>
      </c>
      <c r="N3979" t="inlineStr">
        <is>
          <t>Mus musculus</t>
        </is>
      </c>
      <c r="O3979" t="inlineStr">
        <is>
          <t>Low-density lipoprotein receptor-related protein 1B</t>
        </is>
      </c>
    </row>
    <row r="3980">
      <c r="A3980" t="inlineStr"/>
      <c r="B3980" t="inlineStr"/>
      <c r="C3980" t="inlineStr"/>
      <c r="D3980" t="inlineStr"/>
      <c r="E3980">
        <f>HYPERLINK("https://www.uniprot.org/uniprotkb/Q91ZX7/entry", "Q91ZX7")</f>
        <v/>
      </c>
      <c r="F3980" t="n">
        <v>38.1</v>
      </c>
      <c r="G3980" t="n">
        <v>84</v>
      </c>
      <c r="H3980" t="n">
        <v>1.27e-06</v>
      </c>
      <c r="I3980" t="inlineStr">
        <is>
          <t>Swiss-Prot</t>
        </is>
      </c>
      <c r="J3980" t="inlineStr">
        <is>
          <t>Lrp1</t>
        </is>
      </c>
      <c r="K3980" t="inlineStr">
        <is>
          <t>LRP1_MOUSE</t>
        </is>
      </c>
      <c r="L3980" t="inlineStr">
        <is>
          <t>sp|Q91ZX7|LRP1_MOUSE Prolow-density lipoprotein receptor-related protein 1 OS=Mus musculus OX=10090 GN=Lrp1 PE=1 SV=1</t>
        </is>
      </c>
      <c r="M3980" t="n">
        <v>4545</v>
      </c>
      <c r="N3980" t="inlineStr">
        <is>
          <t>Mus musculus</t>
        </is>
      </c>
      <c r="O3980" t="inlineStr">
        <is>
          <t>Prolow-density lipoprotein receptor-related protein 1</t>
        </is>
      </c>
    </row>
    <row r="3981">
      <c r="A3981" t="inlineStr"/>
      <c r="B3981" t="inlineStr"/>
      <c r="C3981" t="inlineStr"/>
      <c r="D3981" t="inlineStr"/>
      <c r="E3981">
        <f>HYPERLINK("https://www.uniprot.org/uniprotkb/A2ARV4/entry", "A2ARV4")</f>
        <v/>
      </c>
      <c r="F3981" t="n">
        <v>24.9</v>
      </c>
      <c r="G3981" t="n">
        <v>197</v>
      </c>
      <c r="H3981" t="n">
        <v>1.67e-06</v>
      </c>
      <c r="I3981" t="inlineStr">
        <is>
          <t>Swiss-Prot</t>
        </is>
      </c>
      <c r="J3981" t="inlineStr">
        <is>
          <t>Lrp2</t>
        </is>
      </c>
      <c r="K3981" t="inlineStr">
        <is>
          <t>LRP2_MOUSE</t>
        </is>
      </c>
      <c r="L3981" t="inlineStr">
        <is>
          <t>sp|A2ARV4|LRP2_MOUSE Low-density lipoprotein receptor-related protein 2 OS=Mus musculus OX=10090 GN=Lrp2 PE=1 SV=1</t>
        </is>
      </c>
      <c r="M3981" t="n">
        <v>4660</v>
      </c>
      <c r="N3981" t="inlineStr">
        <is>
          <t>Mus musculus</t>
        </is>
      </c>
      <c r="O3981" t="inlineStr">
        <is>
          <t>Low-density lipoprotein receptor-related protein 2</t>
        </is>
      </c>
    </row>
    <row r="3982">
      <c r="A3982" t="inlineStr"/>
      <c r="B3982" t="inlineStr"/>
      <c r="C3982" t="inlineStr"/>
      <c r="D3982" t="inlineStr"/>
      <c r="E3982">
        <f>HYPERLINK("https://www.uniprot.org/uniprotkb/Q98931/entry", "Q98931")</f>
        <v/>
      </c>
      <c r="F3982" t="n">
        <v>29</v>
      </c>
      <c r="G3982" t="n">
        <v>138</v>
      </c>
      <c r="H3982" t="n">
        <v>2.33e-06</v>
      </c>
      <c r="I3982" t="inlineStr">
        <is>
          <t>Swiss-Prot</t>
        </is>
      </c>
      <c r="J3982" t="inlineStr">
        <is>
          <t>LRP8</t>
        </is>
      </c>
      <c r="K3982" t="inlineStr">
        <is>
          <t>LRP8_CHICK</t>
        </is>
      </c>
      <c r="L3982" t="inlineStr">
        <is>
          <t>sp|Q98931|LRP8_CHICK Low-density lipoprotein receptor-related protein 8 OS=Gallus gallus OX=9031 GN=LRP8 PE=1 SV=1</t>
        </is>
      </c>
      <c r="M3982" t="n">
        <v>917</v>
      </c>
      <c r="N3982" t="inlineStr">
        <is>
          <t>Gallus gallus</t>
        </is>
      </c>
      <c r="O3982" t="inlineStr">
        <is>
          <t>Low-density lipoprotein receptor-related protein 8</t>
        </is>
      </c>
    </row>
    <row r="3983">
      <c r="A3983" t="inlineStr"/>
      <c r="B3983" t="inlineStr"/>
      <c r="C3983" t="inlineStr"/>
      <c r="D3983" t="inlineStr"/>
      <c r="E3983">
        <f>HYPERLINK("https://www.uniprot.org/uniprotkb/Q07954/entry", "Q07954")</f>
        <v/>
      </c>
      <c r="F3983" t="n">
        <v>30</v>
      </c>
      <c r="G3983" t="n">
        <v>120</v>
      </c>
      <c r="H3983" t="n">
        <v>2.88e-06</v>
      </c>
      <c r="I3983" t="inlineStr">
        <is>
          <t>Swiss-Prot</t>
        </is>
      </c>
      <c r="J3983" t="inlineStr">
        <is>
          <t>LRP1</t>
        </is>
      </c>
      <c r="K3983" t="inlineStr">
        <is>
          <t>LRP1_HUMAN</t>
        </is>
      </c>
      <c r="L3983" t="inlineStr">
        <is>
          <t>sp|Q07954|LRP1_HUMAN Prolow-density lipoprotein receptor-related protein 1 OS=Homo sapiens OX=9606 GN=LRP1 PE=1 SV=2</t>
        </is>
      </c>
      <c r="M3983" t="n">
        <v>4544</v>
      </c>
      <c r="N3983" t="inlineStr">
        <is>
          <t>Homo sapiens</t>
        </is>
      </c>
      <c r="O3983" t="inlineStr">
        <is>
          <t>Prolow-density lipoprotein receptor-related protein 1</t>
        </is>
      </c>
    </row>
    <row r="3984">
      <c r="A3984" t="inlineStr"/>
      <c r="B3984" t="inlineStr"/>
      <c r="C3984" t="inlineStr"/>
      <c r="D3984" t="inlineStr"/>
      <c r="E3984">
        <f>HYPERLINK("https://www.uniprot.org/uniprotkb/G3V928/entry", "G3V928")</f>
        <v/>
      </c>
      <c r="F3984" t="n">
        <v>40.8</v>
      </c>
      <c r="G3984" t="n">
        <v>76</v>
      </c>
      <c r="H3984" t="n">
        <v>2.88e-06</v>
      </c>
      <c r="I3984" t="inlineStr">
        <is>
          <t>Swiss-Prot</t>
        </is>
      </c>
      <c r="J3984" t="inlineStr">
        <is>
          <t>Lrp1</t>
        </is>
      </c>
      <c r="K3984" t="inlineStr">
        <is>
          <t>LRP1_RAT</t>
        </is>
      </c>
      <c r="L3984" t="inlineStr">
        <is>
          <t>sp|G3V928|LRP1_RAT Prolow-density lipoprotein receptor-related protein 1 OS=Rattus norvegicus OX=10116 GN=Lrp1 PE=1 SV=1</t>
        </is>
      </c>
      <c r="M3984" t="n">
        <v>4545</v>
      </c>
      <c r="N3984" t="inlineStr">
        <is>
          <t>Rattus norvegicus</t>
        </is>
      </c>
      <c r="O3984" t="inlineStr">
        <is>
          <t>Prolow-density lipoprotein receptor-related protein 1</t>
        </is>
      </c>
    </row>
    <row r="3985">
      <c r="A3985" t="inlineStr"/>
      <c r="B3985" t="inlineStr"/>
      <c r="C3985" t="inlineStr"/>
      <c r="D3985" t="inlineStr"/>
      <c r="E3985">
        <f>HYPERLINK("https://www.uniprot.org/uniprotkb/Q14112/entry", "Q14112")</f>
        <v/>
      </c>
      <c r="F3985" t="n">
        <v>27.7</v>
      </c>
      <c r="G3985" t="n">
        <v>119</v>
      </c>
      <c r="H3985" t="n">
        <v>6.12e-06</v>
      </c>
      <c r="I3985" t="inlineStr">
        <is>
          <t>Swiss-Prot</t>
        </is>
      </c>
      <c r="J3985" t="inlineStr">
        <is>
          <t>NID2</t>
        </is>
      </c>
      <c r="K3985" t="inlineStr">
        <is>
          <t>NID2_HUMAN</t>
        </is>
      </c>
      <c r="L3985" t="inlineStr">
        <is>
          <t>sp|Q14112|NID2_HUMAN Nidogen-2 OS=Homo sapiens OX=9606 GN=NID2 PE=1 SV=3</t>
        </is>
      </c>
      <c r="M3985" t="n">
        <v>1375</v>
      </c>
      <c r="N3985" t="inlineStr">
        <is>
          <t>Homo sapiens</t>
        </is>
      </c>
      <c r="O3985" t="inlineStr">
        <is>
          <t>Nidogen-2</t>
        </is>
      </c>
    </row>
    <row r="3986">
      <c r="A3986" t="inlineStr"/>
      <c r="B3986" t="inlineStr"/>
      <c r="C3986" t="inlineStr"/>
      <c r="D3986" t="inlineStr"/>
      <c r="E3986">
        <f>HYPERLINK("https://www.uniprot.org/uniprotkb/P98158/entry", "P98158")</f>
        <v/>
      </c>
      <c r="F3986" t="n">
        <v>24.9</v>
      </c>
      <c r="G3986" t="n">
        <v>197</v>
      </c>
      <c r="H3986" t="n">
        <v>6.51e-06</v>
      </c>
      <c r="I3986" t="inlineStr">
        <is>
          <t>Swiss-Prot</t>
        </is>
      </c>
      <c r="J3986" t="inlineStr">
        <is>
          <t>Lrp2</t>
        </is>
      </c>
      <c r="K3986" t="inlineStr">
        <is>
          <t>LRP2_RAT</t>
        </is>
      </c>
      <c r="L3986" t="inlineStr">
        <is>
          <t>sp|P98158|LRP2_RAT Low-density lipoprotein receptor-related protein 2 OS=Rattus norvegicus OX=10116 GN=Lrp2 PE=1 SV=1</t>
        </is>
      </c>
      <c r="M3986" t="n">
        <v>4660</v>
      </c>
      <c r="N3986" t="inlineStr">
        <is>
          <t>Rattus norvegicus</t>
        </is>
      </c>
      <c r="O3986" t="inlineStr">
        <is>
          <t>Low-density lipoprotein receptor-related protein 2</t>
        </is>
      </c>
    </row>
    <row r="3987">
      <c r="A3987" t="inlineStr"/>
      <c r="B3987" t="inlineStr"/>
      <c r="C3987" t="inlineStr"/>
      <c r="D3987" t="inlineStr"/>
      <c r="E3987">
        <f>HYPERLINK("https://www.uniprot.org/uniprotkb/P98138/entry", "P98138")</f>
        <v/>
      </c>
      <c r="F3987" t="n">
        <v>48.8</v>
      </c>
      <c r="G3987" t="n">
        <v>43</v>
      </c>
      <c r="H3987" t="n">
        <v>7.700000000000001e-06</v>
      </c>
      <c r="I3987" t="inlineStr">
        <is>
          <t>Swiss-Prot</t>
        </is>
      </c>
      <c r="J3987" t="inlineStr">
        <is>
          <t>TGFA</t>
        </is>
      </c>
      <c r="K3987" t="inlineStr">
        <is>
          <t>TGFA_RABIT</t>
        </is>
      </c>
      <c r="L3987" t="inlineStr">
        <is>
          <t>sp|P98138|TGFA_RABIT Transforming growth factor alpha (Fragment) OS=Oryctolagus cuniculus OX=9986 GN=TGFA PE=2 SV=1</t>
        </is>
      </c>
      <c r="M3987" t="n">
        <v>50</v>
      </c>
      <c r="N3987" t="inlineStr">
        <is>
          <t>Oryctolagus cuniculus</t>
        </is>
      </c>
      <c r="O3987" t="inlineStr">
        <is>
          <t>Transforming growth factor alpha (Fragment)</t>
        </is>
      </c>
    </row>
    <row r="3988">
      <c r="A3988" t="inlineStr"/>
      <c r="B3988" t="inlineStr"/>
      <c r="C3988" t="inlineStr"/>
      <c r="D3988" t="inlineStr"/>
      <c r="E3988">
        <f>HYPERLINK("https://www.uniprot.org/uniprotkb/P0DOQ0/entry", "P0DOQ0")</f>
        <v/>
      </c>
      <c r="F3988" t="n">
        <v>41.5</v>
      </c>
      <c r="G3988" t="n">
        <v>53</v>
      </c>
      <c r="H3988" t="n">
        <v>9.77e-06</v>
      </c>
      <c r="I3988" t="inlineStr">
        <is>
          <t>Swiss-Prot</t>
        </is>
      </c>
      <c r="J3988" t="inlineStr">
        <is>
          <t>B3R</t>
        </is>
      </c>
      <c r="K3988" t="inlineStr">
        <is>
          <t>VGF_VARV</t>
        </is>
      </c>
      <c r="L3988" t="inlineStr">
        <is>
          <t>sp|P0DOQ0|VGF_VARV Pro-variola growth factor OS=Variola virus OX=10255 GN=B3R PE=3 SV=1</t>
        </is>
      </c>
      <c r="M3988" t="n">
        <v>140</v>
      </c>
      <c r="N3988" t="inlineStr">
        <is>
          <t>Variola virus</t>
        </is>
      </c>
      <c r="O3988" t="inlineStr">
        <is>
          <t>Pro-variola growth factor</t>
        </is>
      </c>
    </row>
    <row r="3989">
      <c r="A3989" t="inlineStr"/>
      <c r="B3989" t="inlineStr"/>
      <c r="C3989" t="inlineStr"/>
      <c r="D3989" t="inlineStr"/>
      <c r="E3989">
        <f>HYPERLINK("https://www.uniprot.org/uniprotkb/P56974/entry", "P56974")</f>
        <v/>
      </c>
      <c r="F3989" t="n">
        <v>43.6</v>
      </c>
      <c r="G3989" t="n">
        <v>39</v>
      </c>
      <c r="H3989" t="n">
        <v>1.38e-05</v>
      </c>
      <c r="I3989" t="inlineStr">
        <is>
          <t>Swiss-Prot</t>
        </is>
      </c>
      <c r="J3989" t="inlineStr">
        <is>
          <t>Nrg2</t>
        </is>
      </c>
      <c r="K3989" t="inlineStr">
        <is>
          <t>NRG2_MOUSE</t>
        </is>
      </c>
      <c r="L3989" t="inlineStr">
        <is>
          <t>sp|P56974|NRG2_MOUSE Pro-neuregulin-2, membrane-bound isoform OS=Mus musculus OX=10090 GN=Nrg2 PE=1 SV=1</t>
        </is>
      </c>
      <c r="M3989" t="n">
        <v>756</v>
      </c>
      <c r="N3989" t="inlineStr">
        <is>
          <t>Mus musculus</t>
        </is>
      </c>
      <c r="O3989" t="inlineStr">
        <is>
          <t>Pro-neuregulin-2, membrane-bound isoform</t>
        </is>
      </c>
    </row>
    <row r="3990">
      <c r="A3990" t="inlineStr"/>
      <c r="B3990" t="inlineStr"/>
      <c r="C3990" t="inlineStr"/>
      <c r="D3990" t="inlineStr"/>
      <c r="E3990">
        <f>HYPERLINK("https://www.uniprot.org/uniprotkb/P98157/entry", "P98157")</f>
        <v/>
      </c>
      <c r="F3990" t="n">
        <v>26.5</v>
      </c>
      <c r="G3990" t="n">
        <v>132</v>
      </c>
      <c r="H3990" t="n">
        <v>1.47e-05</v>
      </c>
      <c r="I3990" t="inlineStr">
        <is>
          <t>Swiss-Prot</t>
        </is>
      </c>
      <c r="J3990" t="inlineStr">
        <is>
          <t>LRP1</t>
        </is>
      </c>
      <c r="K3990" t="inlineStr">
        <is>
          <t>LRP1_CHICK</t>
        </is>
      </c>
      <c r="L3990" t="inlineStr">
        <is>
          <t>sp|P98157|LRP1_CHICK Low-density lipoprotein receptor-related protein 1 OS=Gallus gallus OX=9031 GN=LRP1 PE=2 SV=1</t>
        </is>
      </c>
      <c r="M3990" t="n">
        <v>4543</v>
      </c>
      <c r="N3990" t="inlineStr">
        <is>
          <t>Gallus gallus</t>
        </is>
      </c>
      <c r="O3990" t="inlineStr">
        <is>
          <t>Low-density lipoprotein receptor-related protein 1</t>
        </is>
      </c>
    </row>
    <row r="3991">
      <c r="A3991" t="inlineStr"/>
      <c r="B3991" t="inlineStr"/>
      <c r="C3991" t="inlineStr"/>
      <c r="D3991" t="inlineStr"/>
      <c r="E3991">
        <f>HYPERLINK("https://www.uniprot.org/uniprotkb/B5DFC9/entry", "B5DFC9")</f>
        <v/>
      </c>
      <c r="F3991" t="n">
        <v>26.4</v>
      </c>
      <c r="G3991" t="n">
        <v>121</v>
      </c>
      <c r="H3991" t="n">
        <v>1.5e-05</v>
      </c>
      <c r="I3991" t="inlineStr">
        <is>
          <t>Swiss-Prot</t>
        </is>
      </c>
      <c r="J3991" t="inlineStr">
        <is>
          <t>Nid2</t>
        </is>
      </c>
      <c r="K3991" t="inlineStr">
        <is>
          <t>NID2_RAT</t>
        </is>
      </c>
      <c r="L3991" t="inlineStr">
        <is>
          <t>sp|B5DFC9|NID2_RAT Nidogen-2 OS=Rattus norvegicus OX=10116 GN=Nid2 PE=2 SV=1</t>
        </is>
      </c>
      <c r="M3991" t="n">
        <v>1396</v>
      </c>
      <c r="N3991" t="inlineStr">
        <is>
          <t>Rattus norvegicus</t>
        </is>
      </c>
      <c r="O3991" t="inlineStr">
        <is>
          <t>Nidogen-2</t>
        </is>
      </c>
    </row>
    <row r="3992">
      <c r="A3992" t="inlineStr"/>
      <c r="B3992" t="inlineStr"/>
      <c r="C3992" t="inlineStr"/>
      <c r="D3992" t="inlineStr"/>
      <c r="E3992">
        <f>HYPERLINK("https://www.uniprot.org/uniprotkb/P98135/entry", "P98135")</f>
        <v/>
      </c>
      <c r="F3992" t="n">
        <v>48.8</v>
      </c>
      <c r="G3992" t="n">
        <v>43</v>
      </c>
      <c r="H3992" t="n">
        <v>1.65e-05</v>
      </c>
      <c r="I3992" t="inlineStr">
        <is>
          <t>Swiss-Prot</t>
        </is>
      </c>
      <c r="J3992" t="inlineStr">
        <is>
          <t>TGFA</t>
        </is>
      </c>
      <c r="K3992" t="inlineStr">
        <is>
          <t>TGFA_SHEEP</t>
        </is>
      </c>
      <c r="L3992" t="inlineStr">
        <is>
          <t>sp|P98135|TGFA_SHEEP Protransforming growth factor alpha (Fragment) OS=Ovis aries OX=9940 GN=TGFA PE=2 SV=1</t>
        </is>
      </c>
      <c r="M3992" t="n">
        <v>133</v>
      </c>
      <c r="N3992" t="inlineStr">
        <is>
          <t>Ovis aries</t>
        </is>
      </c>
      <c r="O3992" t="inlineStr">
        <is>
          <t>Protransforming growth factor alpha (Fragment)</t>
        </is>
      </c>
    </row>
    <row r="3993">
      <c r="A3993" t="inlineStr"/>
      <c r="B3993" t="inlineStr"/>
      <c r="C3993" t="inlineStr"/>
      <c r="D3993" t="inlineStr"/>
      <c r="E3993">
        <f>HYPERLINK("https://www.uniprot.org/uniprotkb/Q6X0I2/entry", "Q6X0I2")</f>
        <v/>
      </c>
      <c r="F3993" t="n">
        <v>23.1</v>
      </c>
      <c r="G3993" t="n">
        <v>199</v>
      </c>
      <c r="H3993" t="n">
        <v>1.79e-05</v>
      </c>
      <c r="I3993" t="inlineStr">
        <is>
          <t>Swiss-Prot</t>
        </is>
      </c>
      <c r="J3993" t="inlineStr">
        <is>
          <t>VgR</t>
        </is>
      </c>
      <c r="K3993" t="inlineStr">
        <is>
          <t>VGR_SOLIN</t>
        </is>
      </c>
      <c r="L3993" t="inlineStr">
        <is>
          <t>sp|Q6X0I2|VGR_SOLIN Vitellogenin receptor OS=Solenopsis invicta OX=13686 GN=VgR PE=2 SV=1</t>
        </is>
      </c>
      <c r="M3993" t="n">
        <v>1782</v>
      </c>
      <c r="N3993" t="inlineStr">
        <is>
          <t>Solenopsis invicta</t>
        </is>
      </c>
      <c r="O3993" t="inlineStr">
        <is>
          <t>Vitellogenin receptor</t>
        </is>
      </c>
    </row>
    <row r="3994">
      <c r="A3994" t="inlineStr"/>
      <c r="B3994" t="inlineStr"/>
      <c r="C3994" t="inlineStr"/>
      <c r="D3994" t="inlineStr"/>
      <c r="E3994">
        <f>HYPERLINK("https://www.uniprot.org/uniprotkb/P0DMZ0/entry", "P0DMZ0")</f>
        <v/>
      </c>
      <c r="F3994" t="n">
        <v>41.3</v>
      </c>
      <c r="G3994" t="n">
        <v>46</v>
      </c>
      <c r="H3994" t="n">
        <v>1.85e-05</v>
      </c>
      <c r="I3994" t="inlineStr">
        <is>
          <t>Swiss-Prot</t>
        </is>
      </c>
      <c r="J3994" t="inlineStr"/>
      <c r="K3994" t="inlineStr">
        <is>
          <t>GIG5_ANEVI</t>
        </is>
      </c>
      <c r="L3994" t="inlineStr">
        <is>
          <t>sp|P0DMZ0|GIG5_ANEVI U-actitoxin-Avd12b (Fragment) OS=Anemonia viridis OX=51769 PE=2 SV=1</t>
        </is>
      </c>
      <c r="M3994" t="n">
        <v>60</v>
      </c>
      <c r="N3994" t="inlineStr">
        <is>
          <t>Anemonia viridis</t>
        </is>
      </c>
      <c r="O3994" t="inlineStr">
        <is>
          <t>U-actitoxin-Avd12b (Fragment)</t>
        </is>
      </c>
    </row>
    <row r="3995">
      <c r="A3995" t="inlineStr"/>
      <c r="B3995" t="inlineStr"/>
      <c r="C3995" t="inlineStr"/>
      <c r="D3995" t="inlineStr"/>
      <c r="E3995">
        <f>HYPERLINK("https://www.uniprot.org/uniprotkb/O88322/entry", "O88322")</f>
        <v/>
      </c>
      <c r="F3995" t="n">
        <v>25.6</v>
      </c>
      <c r="G3995" t="n">
        <v>121</v>
      </c>
      <c r="H3995" t="n">
        <v>2.72e-05</v>
      </c>
      <c r="I3995" t="inlineStr">
        <is>
          <t>Swiss-Prot</t>
        </is>
      </c>
      <c r="J3995" t="inlineStr">
        <is>
          <t>Nid2</t>
        </is>
      </c>
      <c r="K3995" t="inlineStr">
        <is>
          <t>NID2_MOUSE</t>
        </is>
      </c>
      <c r="L3995" t="inlineStr">
        <is>
          <t>sp|O88322|NID2_MOUSE Nidogen-2 OS=Mus musculus OX=10090 GN=Nid2 PE=1 SV=2</t>
        </is>
      </c>
      <c r="M3995" t="n">
        <v>1403</v>
      </c>
      <c r="N3995" t="inlineStr">
        <is>
          <t>Mus musculus</t>
        </is>
      </c>
      <c r="O3995" t="inlineStr">
        <is>
          <t>Nidogen-2</t>
        </is>
      </c>
    </row>
    <row r="3996">
      <c r="A3996" t="inlineStr"/>
      <c r="B3996" t="inlineStr"/>
      <c r="C3996" t="inlineStr"/>
      <c r="D3996" t="inlineStr"/>
      <c r="E3996">
        <f>HYPERLINK("https://www.uniprot.org/uniprotkb/P20063/entry", "P20063")</f>
        <v/>
      </c>
      <c r="F3996" t="n">
        <v>28.7</v>
      </c>
      <c r="G3996" t="n">
        <v>136</v>
      </c>
      <c r="H3996" t="n">
        <v>3.51e-05</v>
      </c>
      <c r="I3996" t="inlineStr">
        <is>
          <t>Swiss-Prot</t>
        </is>
      </c>
      <c r="J3996" t="inlineStr">
        <is>
          <t>LDLR</t>
        </is>
      </c>
      <c r="K3996" t="inlineStr">
        <is>
          <t>LDLR_RABIT</t>
        </is>
      </c>
      <c r="L3996" t="inlineStr">
        <is>
          <t>sp|P20063|LDLR_RABIT Low-density lipoprotein receptor (Fragment) OS=Oryctolagus cuniculus OX=9986 GN=LDLR PE=2 SV=1</t>
        </is>
      </c>
      <c r="M3996" t="n">
        <v>837</v>
      </c>
      <c r="N3996" t="inlineStr">
        <is>
          <t>Oryctolagus cuniculus</t>
        </is>
      </c>
      <c r="O3996" t="inlineStr">
        <is>
          <t>Low-density lipoprotein receptor (Fragment)</t>
        </is>
      </c>
    </row>
    <row r="3997">
      <c r="A3997" t="inlineStr"/>
      <c r="B3997" t="inlineStr"/>
      <c r="C3997" t="inlineStr"/>
      <c r="D3997" t="inlineStr"/>
      <c r="E3997">
        <f>HYPERLINK("https://www.uniprot.org/uniprotkb/Q8SQA4/entry", "Q8SQA4")</f>
        <v/>
      </c>
      <c r="F3997" t="n">
        <v>40.7</v>
      </c>
      <c r="G3997" t="n">
        <v>54</v>
      </c>
      <c r="H3997" t="n">
        <v>4.52e-05</v>
      </c>
      <c r="I3997" t="inlineStr">
        <is>
          <t>Swiss-Prot</t>
        </is>
      </c>
      <c r="J3997" t="inlineStr">
        <is>
          <t>ADGRE5</t>
        </is>
      </c>
      <c r="K3997" t="inlineStr">
        <is>
          <t>AGRE5_BOVIN</t>
        </is>
      </c>
      <c r="L3997" t="inlineStr">
        <is>
          <t>sp|Q8SQA4|AGRE5_BOVIN Adhesion G protein-coupled receptor E5 OS=Bos taurus OX=9913 GN=ADGRE5 PE=2 SV=1</t>
        </is>
      </c>
      <c r="M3997" t="n">
        <v>734</v>
      </c>
      <c r="N3997" t="inlineStr">
        <is>
          <t>Bos taurus</t>
        </is>
      </c>
      <c r="O3997" t="inlineStr">
        <is>
          <t>Adhesion G protein-coupled receptor E5</t>
        </is>
      </c>
    </row>
    <row r="3998">
      <c r="A3998" t="inlineStr"/>
      <c r="B3998" t="inlineStr"/>
      <c r="C3998" t="inlineStr"/>
      <c r="D3998" t="inlineStr"/>
      <c r="E3998">
        <f>HYPERLINK("https://www.uniprot.org/uniprotkb/P55244/entry", "P55244")</f>
        <v/>
      </c>
      <c r="F3998" t="n">
        <v>48.8</v>
      </c>
      <c r="G3998" t="n">
        <v>43</v>
      </c>
      <c r="H3998" t="n">
        <v>4.82e-05</v>
      </c>
      <c r="I3998" t="inlineStr">
        <is>
          <t>Swiss-Prot</t>
        </is>
      </c>
      <c r="J3998" t="inlineStr">
        <is>
          <t>TGFA</t>
        </is>
      </c>
      <c r="K3998" t="inlineStr">
        <is>
          <t>TGFA_MACMU</t>
        </is>
      </c>
      <c r="L3998" t="inlineStr">
        <is>
          <t>sp|P55244|TGFA_MACMU Protransforming growth factor alpha (Fragment) OS=Macaca mulatta OX=9544 GN=TGFA PE=2 SV=1</t>
        </is>
      </c>
      <c r="M3998" t="n">
        <v>121</v>
      </c>
      <c r="N3998" t="inlineStr">
        <is>
          <t>Macaca mulatta</t>
        </is>
      </c>
      <c r="O3998" t="inlineStr">
        <is>
          <t>Protransforming growth factor alpha (Fragment)</t>
        </is>
      </c>
    </row>
    <row r="3999">
      <c r="A3999" t="inlineStr"/>
      <c r="B3999" t="inlineStr"/>
      <c r="C3999" t="inlineStr"/>
      <c r="D3999" t="inlineStr"/>
      <c r="E3999">
        <f>HYPERLINK("https://www.uniprot.org/uniprotkb/P86468/entry", "P86468")</f>
        <v/>
      </c>
      <c r="F3999" t="n">
        <v>42.4</v>
      </c>
      <c r="G3999" t="n">
        <v>33</v>
      </c>
      <c r="H3999" t="n">
        <v>4.87e-05</v>
      </c>
      <c r="I3999" t="inlineStr">
        <is>
          <t>Swiss-Prot</t>
        </is>
      </c>
      <c r="J3999" t="inlineStr"/>
      <c r="K3999" t="inlineStr">
        <is>
          <t>TX150_BUNCI</t>
        </is>
      </c>
      <c r="L3999" t="inlineStr">
        <is>
          <t>sp|P86468|TX150_BUNCI Toxin Bcs III 15.09 (Fragment) OS=Bunodosoma caissarum OX=31165 PE=1 SV=1</t>
        </is>
      </c>
      <c r="M3999" t="n">
        <v>45</v>
      </c>
      <c r="N3999" t="inlineStr">
        <is>
          <t>Bunodosoma caissarum</t>
        </is>
      </c>
      <c r="O3999" t="inlineStr">
        <is>
          <t>Toxin Bcs III 15.09 (Fragment)</t>
        </is>
      </c>
    </row>
    <row r="4000">
      <c r="A4000" t="inlineStr"/>
      <c r="B4000" t="inlineStr"/>
      <c r="C4000" t="inlineStr"/>
      <c r="D4000" t="inlineStr"/>
      <c r="E4000">
        <f>HYPERLINK("https://www.uniprot.org/uniprotkb/P0DMY9/entry", "P0DMY9")</f>
        <v/>
      </c>
      <c r="F4000" t="n">
        <v>41.3</v>
      </c>
      <c r="G4000" t="n">
        <v>46</v>
      </c>
      <c r="H4000" t="n">
        <v>5.21e-05</v>
      </c>
      <c r="I4000" t="inlineStr">
        <is>
          <t>Swiss-Prot</t>
        </is>
      </c>
      <c r="J4000" t="inlineStr"/>
      <c r="K4000" t="inlineStr">
        <is>
          <t>GIG4_ANEVI</t>
        </is>
      </c>
      <c r="L4000" t="inlineStr">
        <is>
          <t>sp|P0DMY9|GIG4_ANEVI U-actitoxin-Avd12a OS=Anemonia viridis OX=51769 PE=3 SV=1</t>
        </is>
      </c>
      <c r="M4000" t="n">
        <v>77</v>
      </c>
      <c r="N4000" t="inlineStr">
        <is>
          <t>Anemonia viridis</t>
        </is>
      </c>
      <c r="O4000" t="inlineStr">
        <is>
          <t>U-actitoxin-Avd12a</t>
        </is>
      </c>
    </row>
    <row r="4001">
      <c r="A4001" t="inlineStr"/>
      <c r="B4001" t="inlineStr"/>
      <c r="C4001" t="inlineStr"/>
      <c r="D4001" t="inlineStr"/>
      <c r="E4001">
        <f>HYPERLINK("https://www.uniprot.org/uniprotkb/P35952/entry", "P35952")</f>
        <v/>
      </c>
      <c r="F4001" t="n">
        <v>28.7</v>
      </c>
      <c r="G4001" t="n">
        <v>136</v>
      </c>
      <c r="H4001" t="n">
        <v>6.15e-05</v>
      </c>
      <c r="I4001" t="inlineStr">
        <is>
          <t>Swiss-Prot</t>
        </is>
      </c>
      <c r="J4001" t="inlineStr">
        <is>
          <t>Ldlr</t>
        </is>
      </c>
      <c r="K4001" t="inlineStr">
        <is>
          <t>LDLR_RAT</t>
        </is>
      </c>
      <c r="L4001" t="inlineStr">
        <is>
          <t>sp|P35952|LDLR_RAT Low-density lipoprotein receptor OS=Rattus norvegicus OX=10116 GN=Ldlr PE=1 SV=1</t>
        </is>
      </c>
      <c r="M4001" t="n">
        <v>879</v>
      </c>
      <c r="N4001" t="inlineStr">
        <is>
          <t>Rattus norvegicus</t>
        </is>
      </c>
      <c r="O4001" t="inlineStr">
        <is>
          <t>Low-density lipoprotein receptor</t>
        </is>
      </c>
    </row>
    <row r="4002">
      <c r="A4002" t="inlineStr"/>
      <c r="B4002" t="inlineStr"/>
      <c r="C4002" t="inlineStr"/>
      <c r="D4002" t="inlineStr"/>
      <c r="E4002">
        <f>HYPERLINK("https://www.uniprot.org/uniprotkb/P01135/entry", "P01135")</f>
        <v/>
      </c>
      <c r="F4002" t="n">
        <v>48.8</v>
      </c>
      <c r="G4002" t="n">
        <v>43</v>
      </c>
      <c r="H4002" t="n">
        <v>6.329999999999999e-05</v>
      </c>
      <c r="I4002" t="inlineStr">
        <is>
          <t>Swiss-Prot</t>
        </is>
      </c>
      <c r="J4002" t="inlineStr">
        <is>
          <t>TGFA</t>
        </is>
      </c>
      <c r="K4002" t="inlineStr">
        <is>
          <t>TGFA_HUMAN</t>
        </is>
      </c>
      <c r="L4002" t="inlineStr">
        <is>
          <t>sp|P01135|TGFA_HUMAN Protransforming growth factor alpha OS=Homo sapiens OX=9606 GN=TGFA PE=1 SV=1</t>
        </is>
      </c>
      <c r="M4002" t="n">
        <v>160</v>
      </c>
      <c r="N4002" t="inlineStr">
        <is>
          <t>Homo sapiens</t>
        </is>
      </c>
      <c r="O4002" t="inlineStr">
        <is>
          <t>Protransforming growth factor alpha</t>
        </is>
      </c>
    </row>
    <row r="4003">
      <c r="A4003" t="inlineStr"/>
      <c r="B4003" t="inlineStr"/>
      <c r="C4003" t="inlineStr"/>
      <c r="D4003" t="inlineStr"/>
      <c r="E4003">
        <f>HYPERLINK("https://www.uniprot.org/uniprotkb/Q06922/entry", "Q06922")</f>
        <v/>
      </c>
      <c r="F4003" t="n">
        <v>48.8</v>
      </c>
      <c r="G4003" t="n">
        <v>43</v>
      </c>
      <c r="H4003" t="n">
        <v>6.329999999999999e-05</v>
      </c>
      <c r="I4003" t="inlineStr">
        <is>
          <t>Swiss-Prot</t>
        </is>
      </c>
      <c r="J4003" t="inlineStr">
        <is>
          <t>TGFA</t>
        </is>
      </c>
      <c r="K4003" t="inlineStr">
        <is>
          <t>TGFA_PIG</t>
        </is>
      </c>
      <c r="L4003" t="inlineStr">
        <is>
          <t>sp|Q06922|TGFA_PIG Protransforming growth factor alpha OS=Sus scrofa OX=9823 GN=TGFA PE=2 SV=1</t>
        </is>
      </c>
      <c r="M4003" t="n">
        <v>160</v>
      </c>
      <c r="N4003" t="inlineStr">
        <is>
          <t>Sus scrofa</t>
        </is>
      </c>
      <c r="O4003" t="inlineStr">
        <is>
          <t>Protransforming growth factor alpha</t>
        </is>
      </c>
    </row>
    <row r="4004">
      <c r="A4004" t="inlineStr"/>
      <c r="B4004" t="inlineStr"/>
      <c r="C4004" t="inlineStr"/>
      <c r="D4004" t="inlineStr"/>
      <c r="E4004">
        <f>HYPERLINK("https://www.uniprot.org/uniprotkb/P14585/entry", "P14585")</f>
        <v/>
      </c>
      <c r="F4004" t="n">
        <v>30.1</v>
      </c>
      <c r="G4004" t="n">
        <v>123</v>
      </c>
      <c r="H4004" t="n">
        <v>6.63e-05</v>
      </c>
      <c r="I4004" t="inlineStr">
        <is>
          <t>Swiss-Prot</t>
        </is>
      </c>
      <c r="J4004" t="inlineStr">
        <is>
          <t>lin-12</t>
        </is>
      </c>
      <c r="K4004" t="inlineStr">
        <is>
          <t>LIN12_CAEEL</t>
        </is>
      </c>
      <c r="L4004" t="inlineStr">
        <is>
          <t>sp|P14585|LIN12_CAEEL Protein lin-12 OS=Caenorhabditis elegans OX=6239 GN=lin-12 PE=1 SV=1</t>
        </is>
      </c>
      <c r="M4004" t="n">
        <v>1429</v>
      </c>
      <c r="N4004" t="inlineStr">
        <is>
          <t>Caenorhabditis elegans</t>
        </is>
      </c>
      <c r="O4004" t="inlineStr">
        <is>
          <t>Protein lin-12</t>
        </is>
      </c>
    </row>
    <row r="4005">
      <c r="A4005" t="inlineStr"/>
      <c r="B4005" t="inlineStr"/>
      <c r="C4005" t="inlineStr"/>
      <c r="D4005" t="inlineStr"/>
      <c r="E4005">
        <f>HYPERLINK("https://www.uniprot.org/uniprotkb/Q8VI56/entry", "Q8VI56")</f>
        <v/>
      </c>
      <c r="F4005" t="n">
        <v>42.6</v>
      </c>
      <c r="G4005" t="n">
        <v>47</v>
      </c>
      <c r="H4005" t="n">
        <v>7.050000000000001e-05</v>
      </c>
      <c r="I4005" t="inlineStr">
        <is>
          <t>Swiss-Prot</t>
        </is>
      </c>
      <c r="J4005" t="inlineStr">
        <is>
          <t>Lrp4</t>
        </is>
      </c>
      <c r="K4005" t="inlineStr">
        <is>
          <t>LRP4_MOUSE</t>
        </is>
      </c>
      <c r="L4005" t="inlineStr">
        <is>
          <t>sp|Q8VI56|LRP4_MOUSE Low-density lipoprotein receptor-related protein 4 OS=Mus musculus OX=10090 GN=Lrp4 PE=1 SV=3</t>
        </is>
      </c>
      <c r="M4005" t="n">
        <v>1905</v>
      </c>
      <c r="N4005" t="inlineStr">
        <is>
          <t>Mus musculus</t>
        </is>
      </c>
      <c r="O4005" t="inlineStr">
        <is>
          <t>Low-density lipoprotein receptor-related protein 4</t>
        </is>
      </c>
    </row>
    <row r="4006">
      <c r="A4006" t="inlineStr"/>
      <c r="B4006" t="inlineStr"/>
      <c r="C4006" t="inlineStr"/>
      <c r="D4006" t="inlineStr"/>
      <c r="E4006">
        <f>HYPERLINK("https://www.uniprot.org/uniprotkb/Q21281/entry", "Q21281")</f>
        <v/>
      </c>
      <c r="F4006" t="n">
        <v>29.9</v>
      </c>
      <c r="G4006" t="n">
        <v>97</v>
      </c>
      <c r="H4006" t="n">
        <v>9.170000000000001e-05</v>
      </c>
      <c r="I4006" t="inlineStr">
        <is>
          <t>Swiss-Prot</t>
        </is>
      </c>
      <c r="J4006" t="inlineStr">
        <is>
          <t>mup-4</t>
        </is>
      </c>
      <c r="K4006" t="inlineStr">
        <is>
          <t>MUP4_CAEEL</t>
        </is>
      </c>
      <c r="L4006" t="inlineStr">
        <is>
          <t>sp|Q21281|MUP4_CAEEL Transmembrane matrix receptor MUP-4 OS=Caenorhabditis elegans OX=6239 GN=mup-4 PE=1 SV=4</t>
        </is>
      </c>
      <c r="M4006" t="n">
        <v>2104</v>
      </c>
      <c r="N4006" t="inlineStr">
        <is>
          <t>Caenorhabditis elegans</t>
        </is>
      </c>
      <c r="O4006" t="inlineStr">
        <is>
          <t>Transmembrane matrix receptor MUP-4</t>
        </is>
      </c>
    </row>
    <row r="4007">
      <c r="A4007" t="inlineStr"/>
      <c r="B4007" t="inlineStr"/>
      <c r="C4007" t="inlineStr"/>
      <c r="D4007" t="inlineStr"/>
      <c r="E4007">
        <f>HYPERLINK("https://www.uniprot.org/uniprotkb/O14944/entry", "O14944")</f>
        <v/>
      </c>
      <c r="F4007" t="n">
        <v>30.7</v>
      </c>
      <c r="G4007" t="n">
        <v>101</v>
      </c>
      <c r="H4007" t="n">
        <v>9.64e-05</v>
      </c>
      <c r="I4007" t="inlineStr">
        <is>
          <t>Swiss-Prot</t>
        </is>
      </c>
      <c r="J4007" t="inlineStr">
        <is>
          <t>EREG</t>
        </is>
      </c>
      <c r="K4007" t="inlineStr">
        <is>
          <t>EREG_HUMAN</t>
        </is>
      </c>
      <c r="L4007" t="inlineStr">
        <is>
          <t>sp|O14944|EREG_HUMAN Proepiregulin OS=Homo sapiens OX=9606 GN=EREG PE=1 SV=1</t>
        </is>
      </c>
      <c r="M4007" t="n">
        <v>169</v>
      </c>
      <c r="N4007" t="inlineStr">
        <is>
          <t>Homo sapiens</t>
        </is>
      </c>
      <c r="O4007" t="inlineStr">
        <is>
          <t>Proepiregulin</t>
        </is>
      </c>
    </row>
    <row r="4008">
      <c r="A4008" t="inlineStr"/>
      <c r="B4008" t="inlineStr"/>
      <c r="C4008" t="inlineStr"/>
      <c r="D4008" t="inlineStr"/>
      <c r="E4008">
        <f>HYPERLINK("https://www.uniprot.org/uniprotkb/P48733/entry", "P48733")</f>
        <v/>
      </c>
      <c r="F4008" t="n">
        <v>52.6</v>
      </c>
      <c r="G4008" t="n">
        <v>38</v>
      </c>
      <c r="H4008" t="n">
        <v>0.000107</v>
      </c>
      <c r="I4008" t="inlineStr">
        <is>
          <t>Swiss-Prot</t>
        </is>
      </c>
      <c r="J4008" t="inlineStr">
        <is>
          <t>UMOD</t>
        </is>
      </c>
      <c r="K4008" t="inlineStr">
        <is>
          <t>UROM_BOVIN</t>
        </is>
      </c>
      <c r="L4008" t="inlineStr">
        <is>
          <t>sp|P48733|UROM_BOVIN Uromodulin OS=Bos taurus OX=9913 GN=UMOD PE=2 SV=1</t>
        </is>
      </c>
      <c r="M4008" t="n">
        <v>643</v>
      </c>
      <c r="N4008" t="inlineStr">
        <is>
          <t>Bos taurus</t>
        </is>
      </c>
      <c r="O4008" t="inlineStr">
        <is>
          <t>Uromodulin</t>
        </is>
      </c>
    </row>
    <row r="4009">
      <c r="A4009" t="inlineStr"/>
      <c r="B4009" t="inlineStr"/>
      <c r="C4009" t="inlineStr"/>
      <c r="D4009" t="inlineStr"/>
      <c r="E4009">
        <f>HYPERLINK("https://www.uniprot.org/uniprotkb/O14511/entry", "O14511")</f>
        <v/>
      </c>
      <c r="F4009" t="n">
        <v>29.8</v>
      </c>
      <c r="G4009" t="n">
        <v>84</v>
      </c>
      <c r="H4009" t="n">
        <v>0.000113</v>
      </c>
      <c r="I4009" t="inlineStr">
        <is>
          <t>Swiss-Prot</t>
        </is>
      </c>
      <c r="J4009" t="inlineStr">
        <is>
          <t>NRG2</t>
        </is>
      </c>
      <c r="K4009" t="inlineStr">
        <is>
          <t>NRG2_HUMAN</t>
        </is>
      </c>
      <c r="L4009" t="inlineStr">
        <is>
          <t>sp|O14511|NRG2_HUMAN Pro-neuregulin-2, membrane-bound isoform OS=Homo sapiens OX=9606 GN=NRG2 PE=1 SV=1</t>
        </is>
      </c>
      <c r="M4009" t="n">
        <v>850</v>
      </c>
      <c r="N4009" t="inlineStr">
        <is>
          <t>Homo sapiens</t>
        </is>
      </c>
      <c r="O4009" t="inlineStr">
        <is>
          <t>Pro-neuregulin-2, membrane-bound isoform</t>
        </is>
      </c>
    </row>
    <row r="4010">
      <c r="A4010" t="inlineStr">
        <is>
          <t>NODE_251_length_14426_cov_22.648165_g120_i0</t>
        </is>
      </c>
      <c r="B4010" t="inlineStr">
        <is>
          <t>bombina_pachypus_blastx</t>
        </is>
      </c>
      <c r="C4010" t="n">
        <v>-3.58284143242424</v>
      </c>
      <c r="D4010" t="n">
        <v>3.41577728022113e-18</v>
      </c>
      <c r="E4010">
        <f>HYPERLINK("https://www.uniprot.org/uniprotkb/A0A8C5PBN8/entry", "A0A8C5PBN8")</f>
        <v/>
      </c>
      <c r="F4010" t="n">
        <v>43.4</v>
      </c>
      <c r="G4010" t="n">
        <v>627</v>
      </c>
      <c r="H4010" t="n">
        <v>1.95e-156</v>
      </c>
      <c r="I4010" t="inlineStr">
        <is>
          <t>TrEMBL</t>
        </is>
      </c>
      <c r="J4010" t="inlineStr"/>
      <c r="K4010" t="inlineStr">
        <is>
          <t>A0A8C5PBN8_9ANUR</t>
        </is>
      </c>
      <c r="L4010" t="inlineStr">
        <is>
          <t>tr|A0A8C5PBN8|A0A8C5PBN8_9ANUR Reverse transcriptase domain-containing protein OS=Leptobrachium leishanense OX=445787 PE=4 SV=1</t>
        </is>
      </c>
      <c r="M4010" t="n">
        <v>699</v>
      </c>
      <c r="N4010" t="inlineStr">
        <is>
          <t>Leptobrachium leishanense</t>
        </is>
      </c>
      <c r="O4010" t="inlineStr">
        <is>
          <t>Reverse transcriptase domain-containing protein</t>
        </is>
      </c>
    </row>
    <row r="4011">
      <c r="A4011" t="inlineStr"/>
      <c r="B4011" t="inlineStr"/>
      <c r="C4011" t="inlineStr"/>
      <c r="D4011" t="inlineStr"/>
      <c r="E4011">
        <f>HYPERLINK("https://www.uniprot.org/uniprotkb/A0A8C5QAX5/entry", "A0A8C5QAX5")</f>
        <v/>
      </c>
      <c r="F4011" t="n">
        <v>41.3</v>
      </c>
      <c r="G4011" t="n">
        <v>618</v>
      </c>
      <c r="H4011" t="n">
        <v>8.94e-155</v>
      </c>
      <c r="I4011" t="inlineStr">
        <is>
          <t>TrEMBL</t>
        </is>
      </c>
      <c r="J4011" t="inlineStr"/>
      <c r="K4011" t="inlineStr">
        <is>
          <t>A0A8C5QAX5_9ANUR</t>
        </is>
      </c>
      <c r="L4011" t="inlineStr">
        <is>
          <t>tr|A0A8C5QAX5|A0A8C5QAX5_9ANUR Reverse transcriptase domain-containing protein OS=Leptobrachium leishanense OX=445787 PE=4 SV=1</t>
        </is>
      </c>
      <c r="M4011" t="n">
        <v>1260</v>
      </c>
      <c r="N4011" t="inlineStr">
        <is>
          <t>Leptobrachium leishanense</t>
        </is>
      </c>
      <c r="O4011" t="inlineStr">
        <is>
          <t>Reverse transcriptase domain-containing protein</t>
        </is>
      </c>
    </row>
    <row r="4012">
      <c r="A4012" t="inlineStr"/>
      <c r="B4012" t="inlineStr"/>
      <c r="C4012" t="inlineStr"/>
      <c r="D4012" t="inlineStr"/>
      <c r="E4012">
        <f>HYPERLINK("https://www.uniprot.org/uniprotkb/A0A803K2M0/entry", "A0A803K2M0")</f>
        <v/>
      </c>
      <c r="F4012" t="n">
        <v>41.8</v>
      </c>
      <c r="G4012" t="n">
        <v>617</v>
      </c>
      <c r="H4012" t="n">
        <v>3.23e-154</v>
      </c>
      <c r="I4012" t="inlineStr">
        <is>
          <t>TrEMBL</t>
        </is>
      </c>
      <c r="J4012" t="inlineStr"/>
      <c r="K4012" t="inlineStr">
        <is>
          <t>A0A803K2M0_XENTR</t>
        </is>
      </c>
      <c r="L4012" t="inlineStr">
        <is>
          <t>tr|A0A803K2M0|A0A803K2M0_XENTR Reverse transcriptase domain-containing protein OS=Xenopus tropicalis OX=8364 PE=4 SV=1</t>
        </is>
      </c>
      <c r="M4012" t="n">
        <v>1273</v>
      </c>
      <c r="N4012" t="inlineStr">
        <is>
          <t>Xenopus tropicalis</t>
        </is>
      </c>
      <c r="O4012" t="inlineStr">
        <is>
          <t>Reverse transcriptase domain-containing protein</t>
        </is>
      </c>
    </row>
    <row r="4013">
      <c r="A4013" t="inlineStr"/>
      <c r="B4013" t="inlineStr"/>
      <c r="C4013" t="inlineStr"/>
      <c r="D4013" t="inlineStr"/>
      <c r="E4013">
        <f>HYPERLINK("https://www.uniprot.org/uniprotkb/A0A8C5QQC6/entry", "A0A8C5QQC6")</f>
        <v/>
      </c>
      <c r="F4013" t="n">
        <v>41.2</v>
      </c>
      <c r="G4013" t="n">
        <v>599</v>
      </c>
      <c r="H4013" t="n">
        <v>1.17e-153</v>
      </c>
      <c r="I4013" t="inlineStr">
        <is>
          <t>TrEMBL</t>
        </is>
      </c>
      <c r="J4013" t="inlineStr"/>
      <c r="K4013" t="inlineStr">
        <is>
          <t>A0A8C5QQC6_9ANUR</t>
        </is>
      </c>
      <c r="L4013" t="inlineStr">
        <is>
          <t>tr|A0A8C5QQC6|A0A8C5QQC6_9ANUR Reverse transcriptase domain-containing protein OS=Leptobrachium leishanense OX=445787 PE=4 SV=1</t>
        </is>
      </c>
      <c r="M4013" t="n">
        <v>787</v>
      </c>
      <c r="N4013" t="inlineStr">
        <is>
          <t>Leptobrachium leishanense</t>
        </is>
      </c>
      <c r="O4013" t="inlineStr">
        <is>
          <t>Reverse transcriptase domain-containing protein</t>
        </is>
      </c>
    </row>
    <row r="4014">
      <c r="A4014" t="inlineStr"/>
      <c r="B4014" t="inlineStr"/>
      <c r="C4014" t="inlineStr"/>
      <c r="D4014" t="inlineStr"/>
      <c r="E4014">
        <f>HYPERLINK("https://www.uniprot.org/uniprotkb/A0A8C5MCJ8/entry", "A0A8C5MCJ8")</f>
        <v/>
      </c>
      <c r="F4014" t="n">
        <v>41.2</v>
      </c>
      <c r="G4014" t="n">
        <v>622</v>
      </c>
      <c r="H4014" t="n">
        <v>2.7e-152</v>
      </c>
      <c r="I4014" t="inlineStr">
        <is>
          <t>TrEMBL</t>
        </is>
      </c>
      <c r="J4014" t="inlineStr"/>
      <c r="K4014" t="inlineStr">
        <is>
          <t>A0A8C5MCJ8_9ANUR</t>
        </is>
      </c>
      <c r="L4014" t="inlineStr">
        <is>
          <t>tr|A0A8C5MCJ8|A0A8C5MCJ8_9ANUR Reverse transcriptase domain-containing protein OS=Leptobrachium leishanense OX=445787 PE=4 SV=1</t>
        </is>
      </c>
      <c r="M4014" t="n">
        <v>1149</v>
      </c>
      <c r="N4014" t="inlineStr">
        <is>
          <t>Leptobrachium leishanense</t>
        </is>
      </c>
      <c r="O4014" t="inlineStr">
        <is>
          <t>Reverse transcriptase domain-containing protein</t>
        </is>
      </c>
    </row>
    <row r="4015">
      <c r="A4015" t="inlineStr"/>
      <c r="B4015" t="inlineStr"/>
      <c r="C4015" t="inlineStr"/>
      <c r="D4015" t="inlineStr"/>
      <c r="E4015">
        <f>HYPERLINK("https://www.uniprot.org/uniprotkb/A0A8C5LLJ0/entry", "A0A8C5LLJ0")</f>
        <v/>
      </c>
      <c r="F4015" t="n">
        <v>40.9</v>
      </c>
      <c r="G4015" t="n">
        <v>618</v>
      </c>
      <c r="H4015" t="n">
        <v>1.5e-151</v>
      </c>
      <c r="I4015" t="inlineStr">
        <is>
          <t>TrEMBL</t>
        </is>
      </c>
      <c r="J4015" t="inlineStr"/>
      <c r="K4015" t="inlineStr">
        <is>
          <t>A0A8C5LLJ0_9ANUR</t>
        </is>
      </c>
      <c r="L4015" t="inlineStr">
        <is>
          <t>tr|A0A8C5LLJ0|A0A8C5LLJ0_9ANUR Reverse transcriptase domain-containing protein OS=Leptobrachium leishanense OX=445787 PE=4 SV=1</t>
        </is>
      </c>
      <c r="M4015" t="n">
        <v>1260</v>
      </c>
      <c r="N4015" t="inlineStr">
        <is>
          <t>Leptobrachium leishanense</t>
        </is>
      </c>
      <c r="O4015" t="inlineStr">
        <is>
          <t>Reverse transcriptase domain-containing protein</t>
        </is>
      </c>
    </row>
    <row r="4016">
      <c r="A4016" t="inlineStr"/>
      <c r="B4016" t="inlineStr"/>
      <c r="C4016" t="inlineStr"/>
      <c r="D4016" t="inlineStr"/>
      <c r="E4016">
        <f>HYPERLINK("https://www.uniprot.org/uniprotkb/A0A8C5N453/entry", "A0A8C5N453")</f>
        <v/>
      </c>
      <c r="F4016" t="n">
        <v>40.7</v>
      </c>
      <c r="G4016" t="n">
        <v>622</v>
      </c>
      <c r="H4016" t="n">
        <v>2.9e-151</v>
      </c>
      <c r="I4016" t="inlineStr">
        <is>
          <t>TrEMBL</t>
        </is>
      </c>
      <c r="J4016" t="inlineStr"/>
      <c r="K4016" t="inlineStr">
        <is>
          <t>A0A8C5N453_9ANUR</t>
        </is>
      </c>
      <c r="L4016" t="inlineStr">
        <is>
          <t>tr|A0A8C5N453|A0A8C5N453_9ANUR Reverse transcriptase domain-containing protein OS=Leptobrachium leishanense OX=445787 PE=4 SV=1</t>
        </is>
      </c>
      <c r="M4016" t="n">
        <v>861</v>
      </c>
      <c r="N4016" t="inlineStr">
        <is>
          <t>Leptobrachium leishanense</t>
        </is>
      </c>
      <c r="O4016" t="inlineStr">
        <is>
          <t>Reverse transcriptase domain-containing protein</t>
        </is>
      </c>
    </row>
    <row r="4017">
      <c r="A4017" t="inlineStr"/>
      <c r="B4017" t="inlineStr"/>
      <c r="C4017" t="inlineStr"/>
      <c r="D4017" t="inlineStr"/>
      <c r="E4017">
        <f>HYPERLINK("https://www.uniprot.org/uniprotkb/A0A8C5QME2/entry", "A0A8C5QME2")</f>
        <v/>
      </c>
      <c r="F4017" t="n">
        <v>40.4</v>
      </c>
      <c r="G4017" t="n">
        <v>617</v>
      </c>
      <c r="H4017" t="n">
        <v>1.2e-150</v>
      </c>
      <c r="I4017" t="inlineStr">
        <is>
          <t>TrEMBL</t>
        </is>
      </c>
      <c r="J4017" t="inlineStr"/>
      <c r="K4017" t="inlineStr">
        <is>
          <t>A0A8C5QME2_9ANUR</t>
        </is>
      </c>
      <c r="L4017" t="inlineStr">
        <is>
          <t>tr|A0A8C5QME2|A0A8C5QME2_9ANUR Reverse transcriptase domain-containing protein OS=Leptobrachium leishanense OX=445787 PE=4 SV=1</t>
        </is>
      </c>
      <c r="M4017" t="n">
        <v>1107</v>
      </c>
      <c r="N4017" t="inlineStr">
        <is>
          <t>Leptobrachium leishanense</t>
        </is>
      </c>
      <c r="O4017" t="inlineStr">
        <is>
          <t>Reverse transcriptase domain-containing protein</t>
        </is>
      </c>
    </row>
    <row r="4018">
      <c r="A4018" t="inlineStr"/>
      <c r="B4018" t="inlineStr"/>
      <c r="C4018" t="inlineStr"/>
      <c r="D4018" t="inlineStr"/>
      <c r="E4018">
        <f>HYPERLINK("https://www.uniprot.org/uniprotkb/A0A8C5MBW0/entry", "A0A8C5MBW0")</f>
        <v/>
      </c>
      <c r="F4018" t="n">
        <v>38.9</v>
      </c>
      <c r="G4018" t="n">
        <v>642</v>
      </c>
      <c r="H4018" t="n">
        <v>1.73e-150</v>
      </c>
      <c r="I4018" t="inlineStr">
        <is>
          <t>TrEMBL</t>
        </is>
      </c>
      <c r="J4018" t="inlineStr"/>
      <c r="K4018" t="inlineStr">
        <is>
          <t>A0A8C5MBW0_9ANUR</t>
        </is>
      </c>
      <c r="L4018" t="inlineStr">
        <is>
          <t>tr|A0A8C5MBW0|A0A8C5MBW0_9ANUR Reverse transcriptase domain-containing protein OS=Leptobrachium leishanense OX=445787 PE=4 SV=1</t>
        </is>
      </c>
      <c r="M4018" t="n">
        <v>851</v>
      </c>
      <c r="N4018" t="inlineStr">
        <is>
          <t>Leptobrachium leishanense</t>
        </is>
      </c>
      <c r="O4018" t="inlineStr">
        <is>
          <t>Reverse transcriptase domain-containing protein</t>
        </is>
      </c>
    </row>
    <row r="4019">
      <c r="A4019" t="inlineStr"/>
      <c r="B4019" t="inlineStr"/>
      <c r="C4019" t="inlineStr"/>
      <c r="D4019" t="inlineStr"/>
      <c r="E4019">
        <f>HYPERLINK("https://www.uniprot.org/uniprotkb/A0A8C5Q6B2/entry", "A0A8C5Q6B2")</f>
        <v/>
      </c>
      <c r="F4019" t="n">
        <v>40.3</v>
      </c>
      <c r="G4019" t="n">
        <v>600</v>
      </c>
      <c r="H4019" t="n">
        <v>4.969999999999999e-150</v>
      </c>
      <c r="I4019" t="inlineStr">
        <is>
          <t>TrEMBL</t>
        </is>
      </c>
      <c r="J4019" t="inlineStr"/>
      <c r="K4019" t="inlineStr">
        <is>
          <t>A0A8C5Q6B2_9ANUR</t>
        </is>
      </c>
      <c r="L4019" t="inlineStr">
        <is>
          <t>tr|A0A8C5Q6B2|A0A8C5Q6B2_9ANUR Reverse transcriptase domain-containing protein OS=Leptobrachium leishanense OX=445787 PE=4 SV=1</t>
        </is>
      </c>
      <c r="M4019" t="n">
        <v>662</v>
      </c>
      <c r="N4019" t="inlineStr">
        <is>
          <t>Leptobrachium leishanense</t>
        </is>
      </c>
      <c r="O4019" t="inlineStr">
        <is>
          <t>Reverse transcriptase domain-containing protein</t>
        </is>
      </c>
    </row>
    <row r="4020">
      <c r="A4020" t="inlineStr"/>
      <c r="B4020" t="inlineStr"/>
      <c r="C4020" t="inlineStr"/>
      <c r="D4020" t="inlineStr"/>
      <c r="E4020">
        <f>HYPERLINK("https://www.uniprot.org/uniprotkb/A0A8C5M1Q5/entry", "A0A8C5M1Q5")</f>
        <v/>
      </c>
      <c r="F4020" t="n">
        <v>41.4</v>
      </c>
      <c r="G4020" t="n">
        <v>618</v>
      </c>
      <c r="H4020" t="n">
        <v>6.13e-150</v>
      </c>
      <c r="I4020" t="inlineStr">
        <is>
          <t>TrEMBL</t>
        </is>
      </c>
      <c r="J4020" t="inlineStr"/>
      <c r="K4020" t="inlineStr">
        <is>
          <t>A0A8C5M1Q5_9ANUR</t>
        </is>
      </c>
      <c r="L4020" t="inlineStr">
        <is>
          <t>tr|A0A8C5M1Q5|A0A8C5M1Q5_9ANUR Reverse transcriptase domain-containing protein OS=Leptobrachium leishanense OX=445787 PE=4 SV=1</t>
        </is>
      </c>
      <c r="M4020" t="n">
        <v>1260</v>
      </c>
      <c r="N4020" t="inlineStr">
        <is>
          <t>Leptobrachium leishanense</t>
        </is>
      </c>
      <c r="O4020" t="inlineStr">
        <is>
          <t>Reverse transcriptase domain-containing protein</t>
        </is>
      </c>
    </row>
    <row r="4021">
      <c r="A4021" t="inlineStr"/>
      <c r="B4021" t="inlineStr"/>
      <c r="C4021" t="inlineStr"/>
      <c r="D4021" t="inlineStr"/>
      <c r="E4021">
        <f>HYPERLINK("https://www.uniprot.org/uniprotkb/A0A8C5LQ71/entry", "A0A8C5LQ71")</f>
        <v/>
      </c>
      <c r="F4021" t="n">
        <v>42.8</v>
      </c>
      <c r="G4021" t="n">
        <v>647</v>
      </c>
      <c r="H4021" t="n">
        <v>8.419999999999999e-150</v>
      </c>
      <c r="I4021" t="inlineStr">
        <is>
          <t>TrEMBL</t>
        </is>
      </c>
      <c r="J4021" t="inlineStr"/>
      <c r="K4021" t="inlineStr">
        <is>
          <t>A0A8C5LQ71_9ANUR</t>
        </is>
      </c>
      <c r="L4021" t="inlineStr">
        <is>
          <t>tr|A0A8C5LQ71|A0A8C5LQ71_9ANUR Reverse transcriptase domain-containing protein OS=Leptobrachium leishanense OX=445787 PE=4 SV=1</t>
        </is>
      </c>
      <c r="M4021" t="n">
        <v>1259</v>
      </c>
      <c r="N4021" t="inlineStr">
        <is>
          <t>Leptobrachium leishanense</t>
        </is>
      </c>
      <c r="O4021" t="inlineStr">
        <is>
          <t>Reverse transcriptase domain-containing protein</t>
        </is>
      </c>
    </row>
    <row r="4022">
      <c r="A4022" t="inlineStr"/>
      <c r="B4022" t="inlineStr"/>
      <c r="C4022" t="inlineStr"/>
      <c r="D4022" t="inlineStr"/>
      <c r="E4022">
        <f>HYPERLINK("https://www.uniprot.org/uniprotkb/A0A8C5WI87/entry", "A0A8C5WI87")</f>
        <v/>
      </c>
      <c r="F4022" t="n">
        <v>39.6</v>
      </c>
      <c r="G4022" t="n">
        <v>618</v>
      </c>
      <c r="H4022" t="n">
        <v>1.12e-149</v>
      </c>
      <c r="I4022" t="inlineStr">
        <is>
          <t>TrEMBL</t>
        </is>
      </c>
      <c r="J4022" t="inlineStr"/>
      <c r="K4022" t="inlineStr">
        <is>
          <t>A0A8C5WI87_9ANUR</t>
        </is>
      </c>
      <c r="L4022" t="inlineStr">
        <is>
          <t>tr|A0A8C5WI87|A0A8C5WI87_9ANUR Reverse transcriptase domain-containing protein OS=Leptobrachium leishanense OX=445787 PE=4 SV=1</t>
        </is>
      </c>
      <c r="M4022" t="n">
        <v>882</v>
      </c>
      <c r="N4022" t="inlineStr">
        <is>
          <t>Leptobrachium leishanense</t>
        </is>
      </c>
      <c r="O4022" t="inlineStr">
        <is>
          <t>Reverse transcriptase domain-containing protein</t>
        </is>
      </c>
    </row>
    <row r="4023">
      <c r="A4023" t="inlineStr"/>
      <c r="B4023" t="inlineStr"/>
      <c r="C4023" t="inlineStr"/>
      <c r="D4023" t="inlineStr"/>
      <c r="E4023">
        <f>HYPERLINK("https://www.uniprot.org/uniprotkb/A0A8C5QUM1/entry", "A0A8C5QUM1")</f>
        <v/>
      </c>
      <c r="F4023" t="n">
        <v>41.3</v>
      </c>
      <c r="G4023" t="n">
        <v>618</v>
      </c>
      <c r="H4023" t="n">
        <v>1.43e-149</v>
      </c>
      <c r="I4023" t="inlineStr">
        <is>
          <t>TrEMBL</t>
        </is>
      </c>
      <c r="J4023" t="inlineStr"/>
      <c r="K4023" t="inlineStr">
        <is>
          <t>A0A8C5QUM1_9ANUR</t>
        </is>
      </c>
      <c r="L4023" t="inlineStr">
        <is>
          <t>tr|A0A8C5QUM1|A0A8C5QUM1_9ANUR Reverse transcriptase domain-containing protein OS=Leptobrachium leishanense OX=445787 PE=4 SV=1</t>
        </is>
      </c>
      <c r="M4023" t="n">
        <v>1025</v>
      </c>
      <c r="N4023" t="inlineStr">
        <is>
          <t>Leptobrachium leishanense</t>
        </is>
      </c>
      <c r="O4023" t="inlineStr">
        <is>
          <t>Reverse transcriptase domain-containing protein</t>
        </is>
      </c>
    </row>
    <row r="4024">
      <c r="A4024" t="inlineStr"/>
      <c r="B4024" t="inlineStr"/>
      <c r="C4024" t="inlineStr"/>
      <c r="D4024" t="inlineStr"/>
      <c r="E4024">
        <f>HYPERLINK("https://www.uniprot.org/uniprotkb/A0A8C5QLY9/entry", "A0A8C5QLY9")</f>
        <v/>
      </c>
      <c r="F4024" t="n">
        <v>42</v>
      </c>
      <c r="G4024" t="n">
        <v>619</v>
      </c>
      <c r="H4024" t="n">
        <v>1.98e-149</v>
      </c>
      <c r="I4024" t="inlineStr">
        <is>
          <t>TrEMBL</t>
        </is>
      </c>
      <c r="J4024" t="inlineStr"/>
      <c r="K4024" t="inlineStr">
        <is>
          <t>A0A8C5QLY9_9ANUR</t>
        </is>
      </c>
      <c r="L4024" t="inlineStr">
        <is>
          <t>tr|A0A8C5QLY9|A0A8C5QLY9_9ANUR Reverse transcriptase domain-containing protein OS=Leptobrachium leishanense OX=445787 PE=4 SV=1</t>
        </is>
      </c>
      <c r="M4024" t="n">
        <v>662</v>
      </c>
      <c r="N4024" t="inlineStr">
        <is>
          <t>Leptobrachium leishanense</t>
        </is>
      </c>
      <c r="O4024" t="inlineStr">
        <is>
          <t>Reverse transcriptase domain-containing protein</t>
        </is>
      </c>
    </row>
    <row r="4025">
      <c r="A4025" t="inlineStr"/>
      <c r="B4025" t="inlineStr"/>
      <c r="C4025" t="inlineStr"/>
      <c r="D4025" t="inlineStr"/>
      <c r="E4025">
        <f>HYPERLINK("https://www.uniprot.org/uniprotkb/A0A8C5R0Z2/entry", "A0A8C5R0Z2")</f>
        <v/>
      </c>
      <c r="F4025" t="n">
        <v>41.4</v>
      </c>
      <c r="G4025" t="n">
        <v>623</v>
      </c>
      <c r="H4025" t="n">
        <v>2.88e-149</v>
      </c>
      <c r="I4025" t="inlineStr">
        <is>
          <t>TrEMBL</t>
        </is>
      </c>
      <c r="J4025" t="inlineStr"/>
      <c r="K4025" t="inlineStr">
        <is>
          <t>A0A8C5R0Z2_9ANUR</t>
        </is>
      </c>
      <c r="L4025" t="inlineStr">
        <is>
          <t>tr|A0A8C5R0Z2|A0A8C5R0Z2_9ANUR Reverse transcriptase domain-containing protein OS=Leptobrachium leishanense OX=445787 PE=4 SV=1</t>
        </is>
      </c>
      <c r="M4025" t="n">
        <v>841</v>
      </c>
      <c r="N4025" t="inlineStr">
        <is>
          <t>Leptobrachium leishanense</t>
        </is>
      </c>
      <c r="O4025" t="inlineStr">
        <is>
          <t>Reverse transcriptase domain-containing protein</t>
        </is>
      </c>
    </row>
    <row r="4026">
      <c r="A4026" t="inlineStr"/>
      <c r="B4026" t="inlineStr"/>
      <c r="C4026" t="inlineStr"/>
      <c r="D4026" t="inlineStr"/>
      <c r="E4026">
        <f>HYPERLINK("https://www.uniprot.org/uniprotkb/A0A8C5N3Y4/entry", "A0A8C5N3Y4")</f>
        <v/>
      </c>
      <c r="F4026" t="n">
        <v>41.7</v>
      </c>
      <c r="G4026" t="n">
        <v>621</v>
      </c>
      <c r="H4026" t="n">
        <v>3.68e-149</v>
      </c>
      <c r="I4026" t="inlineStr">
        <is>
          <t>TrEMBL</t>
        </is>
      </c>
      <c r="J4026" t="inlineStr"/>
      <c r="K4026" t="inlineStr">
        <is>
          <t>A0A8C5N3Y4_9ANUR</t>
        </is>
      </c>
      <c r="L4026" t="inlineStr">
        <is>
          <t>tr|A0A8C5N3Y4|A0A8C5N3Y4_9ANUR Reverse transcriptase domain-containing protein OS=Leptobrachium leishanense OX=445787 PE=4 SV=1</t>
        </is>
      </c>
      <c r="M4026" t="n">
        <v>967</v>
      </c>
      <c r="N4026" t="inlineStr">
        <is>
          <t>Leptobrachium leishanense</t>
        </is>
      </c>
      <c r="O4026" t="inlineStr">
        <is>
          <t>Reverse transcriptase domain-containing protein</t>
        </is>
      </c>
    </row>
    <row r="4027">
      <c r="A4027" t="inlineStr"/>
      <c r="B4027" t="inlineStr"/>
      <c r="C4027" t="inlineStr"/>
      <c r="D4027" t="inlineStr"/>
      <c r="E4027">
        <f>HYPERLINK("https://www.uniprot.org/uniprotkb/A0A8C5Q8F8/entry", "A0A8C5Q8F8")</f>
        <v/>
      </c>
      <c r="F4027" t="n">
        <v>40.7</v>
      </c>
      <c r="G4027" t="n">
        <v>641</v>
      </c>
      <c r="H4027" t="n">
        <v>4.85e-149</v>
      </c>
      <c r="I4027" t="inlineStr">
        <is>
          <t>TrEMBL</t>
        </is>
      </c>
      <c r="J4027" t="inlineStr"/>
      <c r="K4027" t="inlineStr">
        <is>
          <t>A0A8C5Q8F8_9ANUR</t>
        </is>
      </c>
      <c r="L4027" t="inlineStr">
        <is>
          <t>tr|A0A8C5Q8F8|A0A8C5Q8F8_9ANUR Reverse transcriptase domain-containing protein OS=Leptobrachium leishanense OX=445787 PE=4 SV=1</t>
        </is>
      </c>
      <c r="M4027" t="n">
        <v>1166</v>
      </c>
      <c r="N4027" t="inlineStr">
        <is>
          <t>Leptobrachium leishanense</t>
        </is>
      </c>
      <c r="O4027" t="inlineStr">
        <is>
          <t>Reverse transcriptase domain-containing protein</t>
        </is>
      </c>
    </row>
    <row r="4028">
      <c r="A4028" t="inlineStr"/>
      <c r="B4028" t="inlineStr"/>
      <c r="C4028" t="inlineStr"/>
      <c r="D4028" t="inlineStr"/>
      <c r="E4028">
        <f>HYPERLINK("https://www.uniprot.org/uniprotkb/A0A8C5PS15/entry", "A0A8C5PS15")</f>
        <v/>
      </c>
      <c r="F4028" t="n">
        <v>40.7</v>
      </c>
      <c r="G4028" t="n">
        <v>641</v>
      </c>
      <c r="H4028" t="n">
        <v>5.65e-149</v>
      </c>
      <c r="I4028" t="inlineStr">
        <is>
          <t>TrEMBL</t>
        </is>
      </c>
      <c r="J4028" t="inlineStr"/>
      <c r="K4028" t="inlineStr">
        <is>
          <t>A0A8C5PS15_9ANUR</t>
        </is>
      </c>
      <c r="L4028" t="inlineStr">
        <is>
          <t>tr|A0A8C5PS15|A0A8C5PS15_9ANUR Reverse transcriptase domain-containing protein OS=Leptobrachium leishanense OX=445787 PE=4 SV=1</t>
        </is>
      </c>
      <c r="M4028" t="n">
        <v>1173</v>
      </c>
      <c r="N4028" t="inlineStr">
        <is>
          <t>Leptobrachium leishanense</t>
        </is>
      </c>
      <c r="O4028" t="inlineStr">
        <is>
          <t>Reverse transcriptase domain-containing protein</t>
        </is>
      </c>
    </row>
    <row r="4029">
      <c r="A4029" t="inlineStr"/>
      <c r="B4029" t="inlineStr"/>
      <c r="C4029" t="inlineStr"/>
      <c r="D4029" t="inlineStr"/>
      <c r="E4029">
        <f>HYPERLINK("https://www.uniprot.org/uniprotkb/A0A8C5PT47/entry", "A0A8C5PT47")</f>
        <v/>
      </c>
      <c r="F4029" t="n">
        <v>40.1</v>
      </c>
      <c r="G4029" t="n">
        <v>641</v>
      </c>
      <c r="H4029" t="n">
        <v>6.74e-149</v>
      </c>
      <c r="I4029" t="inlineStr">
        <is>
          <t>TrEMBL</t>
        </is>
      </c>
      <c r="J4029" t="inlineStr"/>
      <c r="K4029" t="inlineStr">
        <is>
          <t>A0A8C5PT47_9ANUR</t>
        </is>
      </c>
      <c r="L4029" t="inlineStr">
        <is>
          <t>tr|A0A8C5PT47|A0A8C5PT47_9ANUR Reverse transcriptase domain-containing protein OS=Leptobrachium leishanense OX=445787 PE=4 SV=1</t>
        </is>
      </c>
      <c r="M4029" t="n">
        <v>847</v>
      </c>
      <c r="N4029" t="inlineStr">
        <is>
          <t>Leptobrachium leishanense</t>
        </is>
      </c>
      <c r="O4029" t="inlineStr">
        <is>
          <t>Reverse transcriptase domain-containing protein</t>
        </is>
      </c>
    </row>
    <row r="4030">
      <c r="A4030" t="inlineStr"/>
      <c r="B4030" t="inlineStr"/>
      <c r="C4030" t="inlineStr"/>
      <c r="D4030" t="inlineStr"/>
      <c r="E4030">
        <f>HYPERLINK("https://www.uniprot.org/uniprotkb/A0A8C5WFQ0/entry", "A0A8C5WFQ0")</f>
        <v/>
      </c>
      <c r="F4030" t="n">
        <v>39.6</v>
      </c>
      <c r="G4030" t="n">
        <v>641</v>
      </c>
      <c r="H4030" t="n">
        <v>1.16e-148</v>
      </c>
      <c r="I4030" t="inlineStr">
        <is>
          <t>TrEMBL</t>
        </is>
      </c>
      <c r="J4030" t="inlineStr"/>
      <c r="K4030" t="inlineStr">
        <is>
          <t>A0A8C5WFQ0_9ANUR</t>
        </is>
      </c>
      <c r="L4030" t="inlineStr">
        <is>
          <t>tr|A0A8C5WFQ0|A0A8C5WFQ0_9ANUR Reverse transcriptase domain-containing protein OS=Leptobrachium leishanense OX=445787 PE=4 SV=1</t>
        </is>
      </c>
      <c r="M4030" t="n">
        <v>1114</v>
      </c>
      <c r="N4030" t="inlineStr">
        <is>
          <t>Leptobrachium leishanense</t>
        </is>
      </c>
      <c r="O4030" t="inlineStr">
        <is>
          <t>Reverse transcriptase domain-containing protein</t>
        </is>
      </c>
    </row>
    <row r="4031">
      <c r="A4031" t="inlineStr"/>
      <c r="B4031" t="inlineStr"/>
      <c r="C4031" t="inlineStr"/>
      <c r="D4031" t="inlineStr"/>
      <c r="E4031">
        <f>HYPERLINK("https://www.uniprot.org/uniprotkb/A0A8C5LPC0/entry", "A0A8C5LPC0")</f>
        <v/>
      </c>
      <c r="F4031" t="n">
        <v>40.1</v>
      </c>
      <c r="G4031" t="n">
        <v>618</v>
      </c>
      <c r="H4031" t="n">
        <v>3.88e-148</v>
      </c>
      <c r="I4031" t="inlineStr">
        <is>
          <t>TrEMBL</t>
        </is>
      </c>
      <c r="J4031" t="inlineStr"/>
      <c r="K4031" t="inlineStr">
        <is>
          <t>A0A8C5LPC0_9ANUR</t>
        </is>
      </c>
      <c r="L4031" t="inlineStr">
        <is>
          <t>tr|A0A8C5LPC0|A0A8C5LPC0_9ANUR Reverse transcriptase domain-containing protein OS=Leptobrachium leishanense OX=445787 PE=4 SV=1</t>
        </is>
      </c>
      <c r="M4031" t="n">
        <v>1049</v>
      </c>
      <c r="N4031" t="inlineStr">
        <is>
          <t>Leptobrachium leishanense</t>
        </is>
      </c>
      <c r="O4031" t="inlineStr">
        <is>
          <t>Reverse transcriptase domain-containing protein</t>
        </is>
      </c>
    </row>
    <row r="4032">
      <c r="A4032" t="inlineStr"/>
      <c r="B4032" t="inlineStr"/>
      <c r="C4032" t="inlineStr"/>
      <c r="D4032" t="inlineStr"/>
      <c r="E4032">
        <f>HYPERLINK("https://www.uniprot.org/uniprotkb/A0A8C5PCF2/entry", "A0A8C5PCF2")</f>
        <v/>
      </c>
      <c r="F4032" t="n">
        <v>40.7</v>
      </c>
      <c r="G4032" t="n">
        <v>641</v>
      </c>
      <c r="H4032" t="n">
        <v>4.19e-148</v>
      </c>
      <c r="I4032" t="inlineStr">
        <is>
          <t>TrEMBL</t>
        </is>
      </c>
      <c r="J4032" t="inlineStr"/>
      <c r="K4032" t="inlineStr">
        <is>
          <t>A0A8C5PCF2_9ANUR</t>
        </is>
      </c>
      <c r="L4032" t="inlineStr">
        <is>
          <t>tr|A0A8C5PCF2|A0A8C5PCF2_9ANUR Reverse transcriptase domain-containing protein OS=Leptobrachium leishanense OX=445787 PE=4 SV=1</t>
        </is>
      </c>
      <c r="M4032" t="n">
        <v>1269</v>
      </c>
      <c r="N4032" t="inlineStr">
        <is>
          <t>Leptobrachium leishanense</t>
        </is>
      </c>
      <c r="O4032" t="inlineStr">
        <is>
          <t>Reverse transcriptase domain-containing protein</t>
        </is>
      </c>
    </row>
    <row r="4033">
      <c r="A4033" t="inlineStr"/>
      <c r="B4033" t="inlineStr"/>
      <c r="C4033" t="inlineStr"/>
      <c r="D4033" t="inlineStr"/>
      <c r="E4033">
        <f>HYPERLINK("https://www.uniprot.org/uniprotkb/A0A8C5R388/entry", "A0A8C5R388")</f>
        <v/>
      </c>
      <c r="F4033" t="n">
        <v>42.5</v>
      </c>
      <c r="G4033" t="n">
        <v>590</v>
      </c>
      <c r="H4033" t="n">
        <v>7.72e-148</v>
      </c>
      <c r="I4033" t="inlineStr">
        <is>
          <t>TrEMBL</t>
        </is>
      </c>
      <c r="J4033" t="inlineStr"/>
      <c r="K4033" t="inlineStr">
        <is>
          <t>A0A8C5R388_9ANUR</t>
        </is>
      </c>
      <c r="L4033" t="inlineStr">
        <is>
          <t>tr|A0A8C5R388|A0A8C5R388_9ANUR Reverse transcriptase domain-containing protein OS=Leptobrachium leishanense OX=445787 PE=4 SV=1</t>
        </is>
      </c>
      <c r="M4033" t="n">
        <v>1007</v>
      </c>
      <c r="N4033" t="inlineStr">
        <is>
          <t>Leptobrachium leishanense</t>
        </is>
      </c>
      <c r="O4033" t="inlineStr">
        <is>
          <t>Reverse transcriptase domain-containing protein</t>
        </is>
      </c>
    </row>
    <row r="4034">
      <c r="A4034" t="inlineStr"/>
      <c r="B4034" t="inlineStr"/>
      <c r="C4034" t="inlineStr"/>
      <c r="D4034" t="inlineStr"/>
      <c r="E4034">
        <f>HYPERLINK("https://www.uniprot.org/uniprotkb/A0A8C5M1H2/entry", "A0A8C5M1H2")</f>
        <v/>
      </c>
      <c r="F4034" t="n">
        <v>41.1</v>
      </c>
      <c r="G4034" t="n">
        <v>628</v>
      </c>
      <c r="H4034" t="n">
        <v>9.070000000000001e-148</v>
      </c>
      <c r="I4034" t="inlineStr">
        <is>
          <t>TrEMBL</t>
        </is>
      </c>
      <c r="J4034" t="inlineStr"/>
      <c r="K4034" t="inlineStr">
        <is>
          <t>A0A8C5M1H2_9ANUR</t>
        </is>
      </c>
      <c r="L4034" t="inlineStr">
        <is>
          <t>tr|A0A8C5M1H2|A0A8C5M1H2_9ANUR Reverse transcriptase domain-containing protein OS=Leptobrachium leishanense OX=445787 PE=4 SV=1</t>
        </is>
      </c>
      <c r="M4034" t="n">
        <v>1274</v>
      </c>
      <c r="N4034" t="inlineStr">
        <is>
          <t>Leptobrachium leishanense</t>
        </is>
      </c>
      <c r="O4034" t="inlineStr">
        <is>
          <t>Reverse transcriptase domain-containing protein</t>
        </is>
      </c>
    </row>
    <row r="4035">
      <c r="A4035" t="inlineStr"/>
      <c r="B4035" t="inlineStr"/>
      <c r="C4035" t="inlineStr"/>
      <c r="D4035" t="inlineStr"/>
      <c r="E4035">
        <f>HYPERLINK("https://www.ncbi.nlm.nih.gov/gene/?term=OCT93828.1", "OCT93828.1")</f>
        <v/>
      </c>
      <c r="F4035" t="n">
        <v>38.5</v>
      </c>
      <c r="G4035" t="n">
        <v>620</v>
      </c>
      <c r="H4035" t="n">
        <v>9.690000000000001e-132</v>
      </c>
      <c r="I4035" t="inlineStr">
        <is>
          <t>Nr</t>
        </is>
      </c>
      <c r="J4035" t="inlineStr"/>
      <c r="K4035" t="inlineStr"/>
      <c r="L4035" t="inlineStr">
        <is>
          <t>OCT93828.1 hypothetical protein XELAEV_18011499mg [Xenopus laevis]</t>
        </is>
      </c>
      <c r="M4035" t="n">
        <v>2634</v>
      </c>
      <c r="N4035" t="inlineStr">
        <is>
          <t>Xenopus laevis</t>
        </is>
      </c>
      <c r="O4035" t="inlineStr">
        <is>
          <t>hypothetical protein XELAEV_18011499mg</t>
        </is>
      </c>
    </row>
    <row r="4036">
      <c r="A4036" t="inlineStr"/>
      <c r="B4036" t="inlineStr"/>
      <c r="C4036" t="inlineStr"/>
      <c r="D4036" t="inlineStr"/>
      <c r="E4036">
        <f>HYPERLINK("https://www.ncbi.nlm.nih.gov/gene/?term=XP_041436982.1", "XP_041436982.1")</f>
        <v/>
      </c>
      <c r="F4036" t="n">
        <v>39.9</v>
      </c>
      <c r="G4036" t="n">
        <v>539</v>
      </c>
      <c r="H4036" t="n">
        <v>7.53e-118</v>
      </c>
      <c r="I4036" t="inlineStr">
        <is>
          <t>Nr</t>
        </is>
      </c>
      <c r="J4036" t="inlineStr"/>
      <c r="K4036" t="inlineStr"/>
      <c r="L4036" t="inlineStr">
        <is>
          <t>XP_041436982.1 TRAF3 interacting protein 2 L homeolog isoform X1 [Xenopus laevis]</t>
        </is>
      </c>
      <c r="M4036" t="n">
        <v>946</v>
      </c>
      <c r="N4036" t="inlineStr">
        <is>
          <t>Xenopus laevis</t>
        </is>
      </c>
      <c r="O4036" t="inlineStr">
        <is>
          <t>TRAF3 interacting protein 2 L homeolog isoform X1</t>
        </is>
      </c>
    </row>
    <row r="4037">
      <c r="A4037" t="inlineStr"/>
      <c r="B4037" t="inlineStr"/>
      <c r="C4037" t="inlineStr"/>
      <c r="D4037" t="inlineStr"/>
      <c r="E4037">
        <f>HYPERLINK("https://www.ncbi.nlm.nih.gov/gene/?term=KAJ0061406.1", "KAJ0061406.1")</f>
        <v/>
      </c>
      <c r="F4037" t="n">
        <v>35.9</v>
      </c>
      <c r="G4037" t="n">
        <v>615</v>
      </c>
      <c r="H4037" t="n">
        <v>6.48e-111</v>
      </c>
      <c r="I4037" t="inlineStr">
        <is>
          <t>Nr</t>
        </is>
      </c>
      <c r="J4037" t="inlineStr"/>
      <c r="K4037" t="inlineStr"/>
      <c r="L4037" t="inlineStr">
        <is>
          <t>KAJ0061406.1 hypothetical protein NL108_018634 [Boleophthalmus pectinirostris]</t>
        </is>
      </c>
      <c r="M4037" t="n">
        <v>1258</v>
      </c>
      <c r="N4037" t="inlineStr">
        <is>
          <t>Boleophthalmus pectinirostris</t>
        </is>
      </c>
      <c r="O4037" t="inlineStr">
        <is>
          <t>hypothetical protein NL108_018634</t>
        </is>
      </c>
    </row>
    <row r="4038">
      <c r="A4038" t="inlineStr"/>
      <c r="B4038" t="inlineStr"/>
      <c r="C4038" t="inlineStr"/>
      <c r="D4038" t="inlineStr"/>
      <c r="E4038">
        <f>HYPERLINK("https://www.ncbi.nlm.nih.gov/gene/?term=CAI5636845.1", "CAI5636845.1")</f>
        <v/>
      </c>
      <c r="F4038" t="n">
        <v>35.4</v>
      </c>
      <c r="G4038" t="n">
        <v>618</v>
      </c>
      <c r="H4038" t="n">
        <v>1.16e-110</v>
      </c>
      <c r="I4038" t="inlineStr">
        <is>
          <t>Nr</t>
        </is>
      </c>
      <c r="J4038" t="inlineStr"/>
      <c r="K4038" t="inlineStr"/>
      <c r="L4038" t="inlineStr">
        <is>
          <t>CAI5636845.1 unnamed protein product [Mustela putorius furo]</t>
        </is>
      </c>
      <c r="M4038" t="n">
        <v>1253</v>
      </c>
      <c r="N4038" t="inlineStr">
        <is>
          <t>Mustela putorius furo</t>
        </is>
      </c>
      <c r="O4038" t="inlineStr">
        <is>
          <t>unnamed protein product</t>
        </is>
      </c>
    </row>
    <row r="4039">
      <c r="A4039" t="inlineStr"/>
      <c r="B4039" t="inlineStr"/>
      <c r="C4039" t="inlineStr"/>
      <c r="D4039" t="inlineStr"/>
      <c r="E4039">
        <f>HYPERLINK("https://www.ncbi.nlm.nih.gov/gene/?term=CAI5685855.1", "CAI5685855.1")</f>
        <v/>
      </c>
      <c r="F4039" t="n">
        <v>35.3</v>
      </c>
      <c r="G4039" t="n">
        <v>620</v>
      </c>
      <c r="H4039" t="n">
        <v>5.25e-110</v>
      </c>
      <c r="I4039" t="inlineStr">
        <is>
          <t>Nr</t>
        </is>
      </c>
      <c r="J4039" t="inlineStr"/>
      <c r="K4039" t="inlineStr"/>
      <c r="L4039" t="inlineStr">
        <is>
          <t>CAI5685855.1 unnamed protein product [Mustela putorius furo]</t>
        </is>
      </c>
      <c r="M4039" t="n">
        <v>1267</v>
      </c>
      <c r="N4039" t="inlineStr">
        <is>
          <t>Mustela putorius furo</t>
        </is>
      </c>
      <c r="O4039" t="inlineStr">
        <is>
          <t>unnamed protein product</t>
        </is>
      </c>
    </row>
    <row r="4040">
      <c r="A4040" t="inlineStr"/>
      <c r="B4040" t="inlineStr"/>
      <c r="C4040" t="inlineStr"/>
      <c r="D4040" t="inlineStr"/>
      <c r="E4040">
        <f>HYPERLINK("https://www.ncbi.nlm.nih.gov/gene/?term=KAA0709662.1", "KAA0709662.1")</f>
        <v/>
      </c>
      <c r="F4040" t="n">
        <v>35.4</v>
      </c>
      <c r="G4040" t="n">
        <v>628</v>
      </c>
      <c r="H4040" t="n">
        <v>1.52e-109</v>
      </c>
      <c r="I4040" t="inlineStr">
        <is>
          <t>Nr</t>
        </is>
      </c>
      <c r="J4040" t="inlineStr"/>
      <c r="K4040" t="inlineStr"/>
      <c r="L4040" t="inlineStr">
        <is>
          <t>KAA0709662.1 LINE-1 reverse transcriptase -like protein [Triplophysa tibetana]</t>
        </is>
      </c>
      <c r="M4040" t="n">
        <v>1273</v>
      </c>
      <c r="N4040" t="inlineStr">
        <is>
          <t>Triplophysa tibetana</t>
        </is>
      </c>
      <c r="O4040" t="inlineStr">
        <is>
          <t>LINE-1 reverse transcriptase -like protein</t>
        </is>
      </c>
    </row>
    <row r="4041">
      <c r="A4041" t="inlineStr"/>
      <c r="B4041" t="inlineStr"/>
      <c r="C4041" t="inlineStr"/>
      <c r="D4041" t="inlineStr"/>
      <c r="E4041">
        <f>HYPERLINK("https://www.ncbi.nlm.nih.gov/gene/?term=KAA0701525.1", "KAA0701525.1")</f>
        <v/>
      </c>
      <c r="F4041" t="n">
        <v>35.4</v>
      </c>
      <c r="G4041" t="n">
        <v>628</v>
      </c>
      <c r="H4041" t="n">
        <v>1.52e-109</v>
      </c>
      <c r="I4041" t="inlineStr">
        <is>
          <t>Nr</t>
        </is>
      </c>
      <c r="J4041" t="inlineStr"/>
      <c r="K4041" t="inlineStr"/>
      <c r="L4041" t="inlineStr">
        <is>
          <t>KAA0701525.1 LINE-1 reverse transcriptase -like protein [Triplophysa tibetana]</t>
        </is>
      </c>
      <c r="M4041" t="n">
        <v>1273</v>
      </c>
      <c r="N4041" t="inlineStr">
        <is>
          <t>Triplophysa tibetana</t>
        </is>
      </c>
      <c r="O4041" t="inlineStr">
        <is>
          <t>LINE-1 reverse transcriptase -like protein</t>
        </is>
      </c>
    </row>
    <row r="4042">
      <c r="A4042" t="inlineStr"/>
      <c r="B4042" t="inlineStr"/>
      <c r="C4042" t="inlineStr"/>
      <c r="D4042" t="inlineStr"/>
      <c r="E4042">
        <f>HYPERLINK("https://www.ncbi.nlm.nih.gov/gene/?term=KAA0723022.1", "KAA0723022.1")</f>
        <v/>
      </c>
      <c r="F4042" t="n">
        <v>35.4</v>
      </c>
      <c r="G4042" t="n">
        <v>628</v>
      </c>
      <c r="H4042" t="n">
        <v>2.11e-109</v>
      </c>
      <c r="I4042" t="inlineStr">
        <is>
          <t>Nr</t>
        </is>
      </c>
      <c r="J4042" t="inlineStr"/>
      <c r="K4042" t="inlineStr"/>
      <c r="L4042" t="inlineStr">
        <is>
          <t>KAA0723022.1 LINE-1 reverse transcriptase -like protein [Triplophysa tibetana]</t>
        </is>
      </c>
      <c r="M4042" t="n">
        <v>1273</v>
      </c>
      <c r="N4042" t="inlineStr">
        <is>
          <t>Triplophysa tibetana</t>
        </is>
      </c>
      <c r="O4042" t="inlineStr">
        <is>
          <t>LINE-1 reverse transcriptase -like protein</t>
        </is>
      </c>
    </row>
    <row r="4043">
      <c r="A4043" t="inlineStr"/>
      <c r="B4043" t="inlineStr"/>
      <c r="C4043" t="inlineStr"/>
      <c r="D4043" t="inlineStr"/>
      <c r="E4043">
        <f>HYPERLINK("https://www.ncbi.nlm.nih.gov/gene/?term=CAI5642217.1", "CAI5642217.1")</f>
        <v/>
      </c>
      <c r="F4043" t="n">
        <v>36.9</v>
      </c>
      <c r="G4043" t="n">
        <v>575</v>
      </c>
      <c r="H4043" t="n">
        <v>4.5e-109</v>
      </c>
      <c r="I4043" t="inlineStr">
        <is>
          <t>Nr</t>
        </is>
      </c>
      <c r="J4043" t="inlineStr"/>
      <c r="K4043" t="inlineStr"/>
      <c r="L4043" t="inlineStr">
        <is>
          <t>CAI5642217.1 unnamed protein product [Mustela putorius furo]</t>
        </is>
      </c>
      <c r="M4043" t="n">
        <v>869</v>
      </c>
      <c r="N4043" t="inlineStr">
        <is>
          <t>Mustela putorius furo</t>
        </is>
      </c>
      <c r="O4043" t="inlineStr">
        <is>
          <t>unnamed protein product</t>
        </is>
      </c>
    </row>
    <row r="4044">
      <c r="A4044" t="inlineStr"/>
      <c r="B4044" t="inlineStr"/>
      <c r="C4044" t="inlineStr"/>
      <c r="D4044" t="inlineStr"/>
      <c r="E4044">
        <f>HYPERLINK("https://www.ncbi.nlm.nih.gov/gene/?term=AAD02930.1", "AAD02930.1")</f>
        <v/>
      </c>
      <c r="F4044" t="n">
        <v>34.8</v>
      </c>
      <c r="G4044" t="n">
        <v>618</v>
      </c>
      <c r="H4044" t="n">
        <v>6.38e-109</v>
      </c>
      <c r="I4044" t="inlineStr">
        <is>
          <t>Nr</t>
        </is>
      </c>
      <c r="J4044" t="inlineStr"/>
      <c r="K4044" t="inlineStr"/>
      <c r="L4044" t="inlineStr">
        <is>
          <t>AAD02930.1 reverse transcriptase [Oryzias latipes]</t>
        </is>
      </c>
      <c r="M4044" t="n">
        <v>1258</v>
      </c>
      <c r="N4044" t="inlineStr">
        <is>
          <t>Oryzias latipes</t>
        </is>
      </c>
      <c r="O4044" t="inlineStr">
        <is>
          <t>reverse transcriptase</t>
        </is>
      </c>
    </row>
    <row r="4045">
      <c r="A4045" t="inlineStr"/>
      <c r="B4045" t="inlineStr"/>
      <c r="C4045" t="inlineStr"/>
      <c r="D4045" t="inlineStr"/>
      <c r="E4045">
        <f>HYPERLINK("https://www.ncbi.nlm.nih.gov/gene/?term=AAD02928.1", "AAD02928.1")</f>
        <v/>
      </c>
      <c r="F4045" t="n">
        <v>35</v>
      </c>
      <c r="G4045" t="n">
        <v>618</v>
      </c>
      <c r="H4045" t="n">
        <v>1.23e-108</v>
      </c>
      <c r="I4045" t="inlineStr">
        <is>
          <t>Nr</t>
        </is>
      </c>
      <c r="J4045" t="inlineStr"/>
      <c r="K4045" t="inlineStr"/>
      <c r="L4045" t="inlineStr">
        <is>
          <t>AAD02928.1 reverse transcriptase [Oryzias latipes]</t>
        </is>
      </c>
      <c r="M4045" t="n">
        <v>1258</v>
      </c>
      <c r="N4045" t="inlineStr">
        <is>
          <t>Oryzias latipes</t>
        </is>
      </c>
      <c r="O4045" t="inlineStr">
        <is>
          <t>reverse transcriptase</t>
        </is>
      </c>
    </row>
    <row r="4046">
      <c r="A4046" t="inlineStr"/>
      <c r="B4046" t="inlineStr"/>
      <c r="C4046" t="inlineStr"/>
      <c r="D4046" t="inlineStr"/>
      <c r="E4046">
        <f>HYPERLINK("https://www.ncbi.nlm.nih.gov/gene/?term=KAI4789494.1", "KAI4789494.1")</f>
        <v/>
      </c>
      <c r="F4046" t="n">
        <v>36</v>
      </c>
      <c r="G4046" t="n">
        <v>616</v>
      </c>
      <c r="H4046" t="n">
        <v>1.86e-108</v>
      </c>
      <c r="I4046" t="inlineStr">
        <is>
          <t>Nr</t>
        </is>
      </c>
      <c r="J4046" t="inlineStr"/>
      <c r="K4046" t="inlineStr"/>
      <c r="L4046" t="inlineStr">
        <is>
          <t>KAI4789494.1 hypothetical protein KUCAC02_035207 [Chaenocephalus aceratus]</t>
        </is>
      </c>
      <c r="M4046" t="n">
        <v>1002</v>
      </c>
      <c r="N4046" t="inlineStr">
        <is>
          <t>Chaenocephalus aceratus</t>
        </is>
      </c>
      <c r="O4046" t="inlineStr">
        <is>
          <t>hypothetical protein KUCAC02_035207</t>
        </is>
      </c>
    </row>
    <row r="4047">
      <c r="A4047" t="inlineStr"/>
      <c r="B4047" t="inlineStr"/>
      <c r="C4047" t="inlineStr"/>
      <c r="D4047" t="inlineStr"/>
      <c r="E4047">
        <f>HYPERLINK("https://www.ncbi.nlm.nih.gov/gene/?term=XP_023192802.1", "XP_023192802.1")</f>
        <v/>
      </c>
      <c r="F4047" t="n">
        <v>34.5</v>
      </c>
      <c r="G4047" t="n">
        <v>620</v>
      </c>
      <c r="H4047" t="n">
        <v>3.28e-108</v>
      </c>
      <c r="I4047" t="inlineStr">
        <is>
          <t>Nr</t>
        </is>
      </c>
      <c r="J4047" t="inlineStr"/>
      <c r="K4047" t="inlineStr"/>
      <c r="L4047" t="inlineStr">
        <is>
          <t>XP_023192802.1 WD repeat-containing protein 3 isoform X1 [Xiphophorus maculatus]</t>
        </is>
      </c>
      <c r="M4047" t="n">
        <v>1258</v>
      </c>
      <c r="N4047" t="inlineStr">
        <is>
          <t>Xiphophorus maculatus</t>
        </is>
      </c>
      <c r="O4047" t="inlineStr">
        <is>
          <t>WD repeat-containing protein 3 isoform X1</t>
        </is>
      </c>
    </row>
    <row r="4048">
      <c r="A4048" t="inlineStr"/>
      <c r="B4048" t="inlineStr"/>
      <c r="C4048" t="inlineStr"/>
      <c r="D4048" t="inlineStr"/>
      <c r="E4048">
        <f>HYPERLINK("https://www.ncbi.nlm.nih.gov/gene/?term=MBN3289520.1", "MBN3289520.1")</f>
        <v/>
      </c>
      <c r="F4048" t="n">
        <v>34.7</v>
      </c>
      <c r="G4048" t="n">
        <v>622</v>
      </c>
      <c r="H4048" t="n">
        <v>3.29e-108</v>
      </c>
      <c r="I4048" t="inlineStr">
        <is>
          <t>Nr</t>
        </is>
      </c>
      <c r="J4048" t="inlineStr"/>
      <c r="K4048" t="inlineStr"/>
      <c r="L4048" t="inlineStr">
        <is>
          <t>MBN3289520.1 LORF2 protein [Polypterus senegalus]</t>
        </is>
      </c>
      <c r="M4048" t="n">
        <v>823</v>
      </c>
      <c r="N4048" t="inlineStr">
        <is>
          <t>Polypterus senegalus</t>
        </is>
      </c>
      <c r="O4048" t="inlineStr">
        <is>
          <t>LORF2 protein</t>
        </is>
      </c>
    </row>
    <row r="4049">
      <c r="A4049" t="inlineStr"/>
      <c r="B4049" t="inlineStr"/>
      <c r="C4049" t="inlineStr"/>
      <c r="D4049" t="inlineStr"/>
      <c r="E4049">
        <f>HYPERLINK("https://www.ncbi.nlm.nih.gov/gene/?term=WP_143334097.1", "WP_143334097.1")</f>
        <v/>
      </c>
      <c r="F4049" t="n">
        <v>33.5</v>
      </c>
      <c r="G4049" t="n">
        <v>644</v>
      </c>
      <c r="H4049" t="n">
        <v>7.53e-108</v>
      </c>
      <c r="I4049" t="inlineStr">
        <is>
          <t>Nr</t>
        </is>
      </c>
      <c r="J4049" t="inlineStr"/>
      <c r="K4049" t="inlineStr"/>
      <c r="L4049" t="inlineStr">
        <is>
          <t>WP_143334097.1 reverse transcriptase family protein, partial [Chlamydia abortus]</t>
        </is>
      </c>
      <c r="M4049" t="n">
        <v>890</v>
      </c>
      <c r="N4049" t="inlineStr">
        <is>
          <t>Chlamydia abortus</t>
        </is>
      </c>
      <c r="O4049" t="inlineStr">
        <is>
          <t>reverse transcriptase family protein, partial</t>
        </is>
      </c>
    </row>
    <row r="4050">
      <c r="A4050" t="inlineStr"/>
      <c r="B4050" t="inlineStr"/>
      <c r="C4050" t="inlineStr"/>
      <c r="D4050" t="inlineStr"/>
      <c r="E4050">
        <f>HYPERLINK("https://www.ncbi.nlm.nih.gov/gene/?term=KAJ0059923.1", "KAJ0059923.1")</f>
        <v/>
      </c>
      <c r="F4050" t="n">
        <v>35.5</v>
      </c>
      <c r="G4050" t="n">
        <v>620</v>
      </c>
      <c r="H4050" t="n">
        <v>1.68e-107</v>
      </c>
      <c r="I4050" t="inlineStr">
        <is>
          <t>Nr</t>
        </is>
      </c>
      <c r="J4050" t="inlineStr"/>
      <c r="K4050" t="inlineStr"/>
      <c r="L4050" t="inlineStr">
        <is>
          <t>KAJ0059923.1 hypothetical protein NL108_015598 [Boleophthalmus pectinirostris]</t>
        </is>
      </c>
      <c r="M4050" t="n">
        <v>1258</v>
      </c>
      <c r="N4050" t="inlineStr">
        <is>
          <t>Boleophthalmus pectinirostris</t>
        </is>
      </c>
      <c r="O4050" t="inlineStr">
        <is>
          <t>hypothetical protein NL108_015598</t>
        </is>
      </c>
    </row>
    <row r="4051">
      <c r="A4051" t="inlineStr"/>
      <c r="B4051" t="inlineStr"/>
      <c r="C4051" t="inlineStr"/>
      <c r="D4051" t="inlineStr"/>
      <c r="E4051">
        <f>HYPERLINK("https://www.uniprot.org/uniprotkb/P11369/entry", "P11369")</f>
        <v/>
      </c>
      <c r="F4051" t="n">
        <v>33.2</v>
      </c>
      <c r="G4051" t="n">
        <v>644</v>
      </c>
      <c r="H4051" t="n">
        <v>7.770000000000001e-107</v>
      </c>
      <c r="I4051" t="inlineStr">
        <is>
          <t>Swiss-Prot</t>
        </is>
      </c>
      <c r="J4051" t="inlineStr">
        <is>
          <t>Pol</t>
        </is>
      </c>
      <c r="K4051" t="inlineStr">
        <is>
          <t>LORF2_MOUSE</t>
        </is>
      </c>
      <c r="L4051" t="inlineStr">
        <is>
          <t>sp|P11369|LORF2_MOUSE LINE-1 retrotransposable element ORF2 protein OS=Mus musculus OX=10090 GN=Pol PE=1 SV=2</t>
        </is>
      </c>
      <c r="M4051" t="n">
        <v>1281</v>
      </c>
      <c r="N4051" t="inlineStr">
        <is>
          <t>Mus musculus</t>
        </is>
      </c>
      <c r="O4051" t="inlineStr">
        <is>
          <t>LINE-1 retrotransposable element ORF2 protein</t>
        </is>
      </c>
    </row>
    <row r="4052">
      <c r="A4052" t="inlineStr"/>
      <c r="B4052" t="inlineStr"/>
      <c r="C4052" t="inlineStr"/>
      <c r="D4052" t="inlineStr"/>
      <c r="E4052">
        <f>HYPERLINK("https://www.ncbi.nlm.nih.gov/gene/?term=MBN3289651.1", "MBN3289651.1")</f>
        <v/>
      </c>
      <c r="F4052" t="n">
        <v>34.7</v>
      </c>
      <c r="G4052" t="n">
        <v>622</v>
      </c>
      <c r="H4052" t="n">
        <v>2.03e-106</v>
      </c>
      <c r="I4052" t="inlineStr">
        <is>
          <t>Nr</t>
        </is>
      </c>
      <c r="J4052" t="inlineStr"/>
      <c r="K4052" t="inlineStr"/>
      <c r="L4052" t="inlineStr">
        <is>
          <t>MBN3289651.1 LORF2 protein [Polypterus senegalus]</t>
        </is>
      </c>
      <c r="M4052" t="n">
        <v>1021</v>
      </c>
      <c r="N4052" t="inlineStr">
        <is>
          <t>Polypterus senegalus</t>
        </is>
      </c>
      <c r="O4052" t="inlineStr">
        <is>
          <t>LORF2 protein</t>
        </is>
      </c>
    </row>
    <row r="4053">
      <c r="A4053" t="inlineStr"/>
      <c r="B4053" t="inlineStr"/>
      <c r="C4053" t="inlineStr"/>
      <c r="D4053" t="inlineStr"/>
      <c r="E4053">
        <f>HYPERLINK("https://www.ncbi.nlm.nih.gov/gene/?term=CAI5669518.1", "CAI5669518.1")</f>
        <v/>
      </c>
      <c r="F4053" t="n">
        <v>36</v>
      </c>
      <c r="G4053" t="n">
        <v>617</v>
      </c>
      <c r="H4053" t="n">
        <v>4.91e-106</v>
      </c>
      <c r="I4053" t="inlineStr">
        <is>
          <t>Nr</t>
        </is>
      </c>
      <c r="J4053" t="inlineStr"/>
      <c r="K4053" t="inlineStr"/>
      <c r="L4053" t="inlineStr">
        <is>
          <t>CAI5669518.1 unnamed protein product [Mustela putorius furo]</t>
        </is>
      </c>
      <c r="M4053" t="n">
        <v>1266</v>
      </c>
      <c r="N4053" t="inlineStr">
        <is>
          <t>Mustela putorius furo</t>
        </is>
      </c>
      <c r="O4053" t="inlineStr">
        <is>
          <t>unnamed protein product</t>
        </is>
      </c>
    </row>
    <row r="4054">
      <c r="A4054" t="inlineStr"/>
      <c r="B4054" t="inlineStr"/>
      <c r="C4054" t="inlineStr"/>
      <c r="D4054" t="inlineStr"/>
      <c r="E4054">
        <f>HYPERLINK("https://www.ncbi.nlm.nih.gov/gene/?term=CAI5697422.1", "CAI5697422.1")</f>
        <v/>
      </c>
      <c r="F4054" t="n">
        <v>36.4</v>
      </c>
      <c r="G4054" t="n">
        <v>580</v>
      </c>
      <c r="H4054" t="n">
        <v>5.93e-106</v>
      </c>
      <c r="I4054" t="inlineStr">
        <is>
          <t>Nr</t>
        </is>
      </c>
      <c r="J4054" t="inlineStr"/>
      <c r="K4054" t="inlineStr"/>
      <c r="L4054" t="inlineStr">
        <is>
          <t>CAI5697422.1 unnamed protein product [Mustela putorius furo]</t>
        </is>
      </c>
      <c r="M4054" t="n">
        <v>972</v>
      </c>
      <c r="N4054" t="inlineStr">
        <is>
          <t>Mustela putorius furo</t>
        </is>
      </c>
      <c r="O4054" t="inlineStr">
        <is>
          <t>unnamed protein product</t>
        </is>
      </c>
    </row>
    <row r="4055">
      <c r="A4055" t="inlineStr"/>
      <c r="B4055" t="inlineStr"/>
      <c r="C4055" t="inlineStr"/>
      <c r="D4055" t="inlineStr"/>
      <c r="E4055">
        <f>HYPERLINK("https://www.ncbi.nlm.nih.gov/gene/?term=CAI5668015.1", "CAI5668015.1")</f>
        <v/>
      </c>
      <c r="F4055" t="n">
        <v>35.6</v>
      </c>
      <c r="G4055" t="n">
        <v>620</v>
      </c>
      <c r="H4055" t="n">
        <v>2.04e-105</v>
      </c>
      <c r="I4055" t="inlineStr">
        <is>
          <t>Nr</t>
        </is>
      </c>
      <c r="J4055" t="inlineStr"/>
      <c r="K4055" t="inlineStr"/>
      <c r="L4055" t="inlineStr">
        <is>
          <t>CAI5668015.1 unnamed protein product [Mustela putorius furo]</t>
        </is>
      </c>
      <c r="M4055" t="n">
        <v>1180</v>
      </c>
      <c r="N4055" t="inlineStr">
        <is>
          <t>Mustela putorius furo</t>
        </is>
      </c>
      <c r="O4055" t="inlineStr">
        <is>
          <t>unnamed protein product</t>
        </is>
      </c>
    </row>
    <row r="4056">
      <c r="A4056" t="inlineStr"/>
      <c r="B4056" t="inlineStr"/>
      <c r="C4056" t="inlineStr"/>
      <c r="D4056" t="inlineStr"/>
      <c r="E4056">
        <f>HYPERLINK("https://www.ncbi.nlm.nih.gov/gene/?term=MBN3293586.1", "MBN3293586.1")</f>
        <v/>
      </c>
      <c r="F4056" t="n">
        <v>34.7</v>
      </c>
      <c r="G4056" t="n">
        <v>622</v>
      </c>
      <c r="H4056" t="n">
        <v>2.56e-105</v>
      </c>
      <c r="I4056" t="inlineStr">
        <is>
          <t>Nr</t>
        </is>
      </c>
      <c r="J4056" t="inlineStr"/>
      <c r="K4056" t="inlineStr"/>
      <c r="L4056" t="inlineStr">
        <is>
          <t>MBN3293586.1 LORF2 protein [Polypterus senegalus]</t>
        </is>
      </c>
      <c r="M4056" t="n">
        <v>1173</v>
      </c>
      <c r="N4056" t="inlineStr">
        <is>
          <t>Polypterus senegalus</t>
        </is>
      </c>
      <c r="O4056" t="inlineStr">
        <is>
          <t>LORF2 protein</t>
        </is>
      </c>
    </row>
    <row r="4057">
      <c r="A4057" t="inlineStr"/>
      <c r="B4057" t="inlineStr"/>
      <c r="C4057" t="inlineStr"/>
      <c r="D4057" t="inlineStr"/>
      <c r="E4057">
        <f>HYPERLINK("https://www.ncbi.nlm.nih.gov/gene/?term=GGZ10838.1", "GGZ10838.1")</f>
        <v/>
      </c>
      <c r="F4057" t="n">
        <v>33.5</v>
      </c>
      <c r="G4057" t="n">
        <v>644</v>
      </c>
      <c r="H4057" t="n">
        <v>3.57e-105</v>
      </c>
      <c r="I4057" t="inlineStr">
        <is>
          <t>Nr</t>
        </is>
      </c>
      <c r="J4057" t="inlineStr"/>
      <c r="K4057" t="inlineStr"/>
      <c r="L4057" t="inlineStr">
        <is>
          <t>GGZ10838.1 hypothetical protein GCM10010385_69480 [Streptomyces geysiriensis]</t>
        </is>
      </c>
      <c r="M4057" t="n">
        <v>1219</v>
      </c>
      <c r="N4057" t="inlineStr">
        <is>
          <t>Streptomyces geysiriensis</t>
        </is>
      </c>
      <c r="O4057" t="inlineStr">
        <is>
          <t>hypothetical protein GCM10010385_69480</t>
        </is>
      </c>
    </row>
    <row r="4058">
      <c r="A4058" t="inlineStr"/>
      <c r="B4058" t="inlineStr"/>
      <c r="C4058" t="inlineStr"/>
      <c r="D4058" t="inlineStr"/>
      <c r="E4058">
        <f>HYPERLINK("https://www.ncbi.nlm.nih.gov/gene/?term=AAA39398.2", "AAA39398.2")</f>
        <v/>
      </c>
      <c r="F4058" t="n">
        <v>33.4</v>
      </c>
      <c r="G4058" t="n">
        <v>644</v>
      </c>
      <c r="H4058" t="n">
        <v>3.83e-105</v>
      </c>
      <c r="I4058" t="inlineStr">
        <is>
          <t>Nr</t>
        </is>
      </c>
      <c r="J4058" t="inlineStr"/>
      <c r="K4058" t="inlineStr"/>
      <c r="L4058" t="inlineStr">
        <is>
          <t>AAA39398.2 ORF2 [Mus musculus domesticus]</t>
        </is>
      </c>
      <c r="M4058" t="n">
        <v>1300</v>
      </c>
      <c r="N4058" t="inlineStr">
        <is>
          <t>Mus musculus domesticus</t>
        </is>
      </c>
      <c r="O4058" t="inlineStr">
        <is>
          <t>ORF2</t>
        </is>
      </c>
    </row>
    <row r="4059">
      <c r="A4059" t="inlineStr"/>
      <c r="B4059" t="inlineStr"/>
      <c r="C4059" t="inlineStr"/>
      <c r="D4059" t="inlineStr"/>
      <c r="E4059">
        <f>HYPERLINK("https://www.ncbi.nlm.nih.gov/gene/?term=AAL17970.1", "AAL17970.1")</f>
        <v/>
      </c>
      <c r="F4059" t="n">
        <v>33.4</v>
      </c>
      <c r="G4059" t="n">
        <v>644</v>
      </c>
      <c r="H4059" t="n">
        <v>4.2e-105</v>
      </c>
      <c r="I4059" t="inlineStr">
        <is>
          <t>Nr</t>
        </is>
      </c>
      <c r="J4059" t="inlineStr"/>
      <c r="K4059" t="inlineStr"/>
      <c r="L4059" t="inlineStr">
        <is>
          <t>AAL17970.1 pORF2 [Mus musculus domesticus]</t>
        </is>
      </c>
      <c r="M4059" t="n">
        <v>1281</v>
      </c>
      <c r="N4059" t="inlineStr">
        <is>
          <t>Mus musculus domesticus</t>
        </is>
      </c>
      <c r="O4059" t="inlineStr">
        <is>
          <t>pORF2</t>
        </is>
      </c>
    </row>
    <row r="4060">
      <c r="A4060" t="inlineStr"/>
      <c r="B4060" t="inlineStr"/>
      <c r="C4060" t="inlineStr"/>
      <c r="D4060" t="inlineStr"/>
      <c r="E4060">
        <f>HYPERLINK("https://www.ncbi.nlm.nih.gov/gene/?term=AAL17972.1", "AAL17972.1")</f>
        <v/>
      </c>
      <c r="F4060" t="n">
        <v>33.4</v>
      </c>
      <c r="G4060" t="n">
        <v>644</v>
      </c>
      <c r="H4060" t="n">
        <v>4.2e-105</v>
      </c>
      <c r="I4060" t="inlineStr">
        <is>
          <t>Nr</t>
        </is>
      </c>
      <c r="J4060" t="inlineStr"/>
      <c r="K4060" t="inlineStr"/>
      <c r="L4060" t="inlineStr">
        <is>
          <t>AAL17972.1 pORF2 [Mus musculus domesticus]</t>
        </is>
      </c>
      <c r="M4060" t="n">
        <v>1281</v>
      </c>
      <c r="N4060" t="inlineStr">
        <is>
          <t>Mus musculus domesticus</t>
        </is>
      </c>
      <c r="O4060" t="inlineStr">
        <is>
          <t>pORF2</t>
        </is>
      </c>
    </row>
    <row r="4061">
      <c r="A4061" t="inlineStr"/>
      <c r="B4061" t="inlineStr"/>
      <c r="C4061" t="inlineStr"/>
      <c r="D4061" t="inlineStr"/>
      <c r="E4061">
        <f>HYPERLINK("https://www.uniprot.org/uniprotkb/P08548/entry", "P08548")</f>
        <v/>
      </c>
      <c r="F4061" t="n">
        <v>34</v>
      </c>
      <c r="G4061" t="n">
        <v>617</v>
      </c>
      <c r="H4061" t="n">
        <v>7.870000000000001e-105</v>
      </c>
      <c r="I4061" t="inlineStr">
        <is>
          <t>Swiss-Prot</t>
        </is>
      </c>
      <c r="J4061" t="inlineStr"/>
      <c r="K4061" t="inlineStr">
        <is>
          <t>LIN1_NYCCO</t>
        </is>
      </c>
      <c r="L4061" t="inlineStr">
        <is>
          <t>sp|P08548|LIN1_NYCCO LINE-1 reverse transcriptase homolog OS=Nycticebus coucang OX=9470 PE=4 SV=1</t>
        </is>
      </c>
      <c r="M4061" t="n">
        <v>1260</v>
      </c>
      <c r="N4061" t="inlineStr">
        <is>
          <t>Nycticebus coucang</t>
        </is>
      </c>
      <c r="O4061" t="inlineStr">
        <is>
          <t>LINE-1 reverse transcriptase homolog</t>
        </is>
      </c>
    </row>
    <row r="4062">
      <c r="A4062" t="inlineStr"/>
      <c r="B4062" t="inlineStr"/>
      <c r="C4062" t="inlineStr"/>
      <c r="D4062" t="inlineStr"/>
      <c r="E4062">
        <f>HYPERLINK("https://www.uniprot.org/uniprotkb/O00370/entry", "O00370")</f>
        <v/>
      </c>
      <c r="F4062" t="n">
        <v>31.7</v>
      </c>
      <c r="G4062" t="n">
        <v>618</v>
      </c>
      <c r="H4062" t="n">
        <v>1.26e-96</v>
      </c>
      <c r="I4062" t="inlineStr">
        <is>
          <t>Swiss-Prot</t>
        </is>
      </c>
      <c r="J4062" t="inlineStr"/>
      <c r="K4062" t="inlineStr">
        <is>
          <t>LORF2_HUMAN</t>
        </is>
      </c>
      <c r="L4062" t="inlineStr">
        <is>
          <t>sp|O00370|LORF2_HUMAN LINE-1 retrotransposable element ORF2 protein OS=Homo sapiens OX=9606 PE=1 SV=1</t>
        </is>
      </c>
      <c r="M4062" t="n">
        <v>1275</v>
      </c>
      <c r="N4062" t="inlineStr">
        <is>
          <t>Homo sapiens</t>
        </is>
      </c>
      <c r="O4062" t="inlineStr">
        <is>
          <t>LINE-1 retrotransposable element ORF2 protein</t>
        </is>
      </c>
    </row>
    <row r="4063">
      <c r="A4063" t="inlineStr"/>
      <c r="B4063" t="inlineStr"/>
      <c r="C4063" t="inlineStr"/>
      <c r="D4063" t="inlineStr"/>
      <c r="E4063">
        <f>HYPERLINK("https://www.uniprot.org/uniprotkb/A0A8C5QX21/entry", "A0A8C5QX21")</f>
        <v/>
      </c>
      <c r="F4063" t="n">
        <v>41.4</v>
      </c>
      <c r="G4063" t="n">
        <v>249</v>
      </c>
      <c r="H4063" t="n">
        <v>5.56e-60</v>
      </c>
      <c r="I4063" t="inlineStr">
        <is>
          <t>TrEMBL</t>
        </is>
      </c>
      <c r="J4063" t="inlineStr"/>
      <c r="K4063" t="inlineStr">
        <is>
          <t>A0A8C5QX21_9ANUR</t>
        </is>
      </c>
      <c r="L4063" t="inlineStr">
        <is>
          <t>tr|A0A8C5QX21|A0A8C5QX21_9ANUR Crack-1 is transposable element OS=Leptobrachium leishanense OX=445787 PE=4 SV=1</t>
        </is>
      </c>
      <c r="M4063" t="n">
        <v>252</v>
      </c>
      <c r="N4063" t="inlineStr">
        <is>
          <t>Leptobrachium leishanense</t>
        </is>
      </c>
      <c r="O4063" t="inlineStr">
        <is>
          <t>Crack-1 is transposable element</t>
        </is>
      </c>
    </row>
    <row r="4064">
      <c r="A4064" t="inlineStr"/>
      <c r="B4064" t="inlineStr"/>
      <c r="C4064" t="inlineStr"/>
      <c r="D4064" t="inlineStr"/>
      <c r="E4064">
        <f>HYPERLINK("https://www.uniprot.org/uniprotkb/A0A8C5P9T8/entry", "A0A8C5P9T8")</f>
        <v/>
      </c>
      <c r="F4064" t="n">
        <v>40.5</v>
      </c>
      <c r="G4064" t="n">
        <v>252</v>
      </c>
      <c r="H4064" t="n">
        <v>1.55e-58</v>
      </c>
      <c r="I4064" t="inlineStr">
        <is>
          <t>TrEMBL</t>
        </is>
      </c>
      <c r="J4064" t="inlineStr"/>
      <c r="K4064" t="inlineStr">
        <is>
          <t>A0A8C5P9T8_9ANUR</t>
        </is>
      </c>
      <c r="L4064" t="inlineStr">
        <is>
          <t>tr|A0A8C5P9T8|A0A8C5P9T8_9ANUR LINE-1 type transposase domain-containing protein 1 OS=Leptobrachium leishanense OX=445787 PE=4 SV=1</t>
        </is>
      </c>
      <c r="M4064" t="n">
        <v>318</v>
      </c>
      <c r="N4064" t="inlineStr">
        <is>
          <t>Leptobrachium leishanense</t>
        </is>
      </c>
      <c r="O4064" t="inlineStr">
        <is>
          <t>LINE-1 type transposase domain-containing protein 1</t>
        </is>
      </c>
    </row>
    <row r="4065">
      <c r="A4065" t="inlineStr"/>
      <c r="B4065" t="inlineStr"/>
      <c r="C4065" t="inlineStr"/>
      <c r="D4065" t="inlineStr"/>
      <c r="E4065">
        <f>HYPERLINK("https://www.uniprot.org/uniprotkb/A0A8C5M9B1/entry", "A0A8C5M9B1")</f>
        <v/>
      </c>
      <c r="F4065" t="n">
        <v>37.1</v>
      </c>
      <c r="G4065" t="n">
        <v>318</v>
      </c>
      <c r="H4065" t="n">
        <v>4.36e-58</v>
      </c>
      <c r="I4065" t="inlineStr">
        <is>
          <t>TrEMBL</t>
        </is>
      </c>
      <c r="J4065" t="inlineStr"/>
      <c r="K4065" t="inlineStr">
        <is>
          <t>A0A8C5M9B1_9ANUR</t>
        </is>
      </c>
      <c r="L4065" t="inlineStr">
        <is>
          <t>tr|A0A8C5M9B1|A0A8C5M9B1_9ANUR CxC1 domain-containing protein OS=Leptobrachium leishanense OX=445787 PE=4 SV=1</t>
        </is>
      </c>
      <c r="M4065" t="n">
        <v>318</v>
      </c>
      <c r="N4065" t="inlineStr">
        <is>
          <t>Leptobrachium leishanense</t>
        </is>
      </c>
      <c r="O4065" t="inlineStr">
        <is>
          <t>CxC1 domain-containing protein</t>
        </is>
      </c>
    </row>
    <row r="4066">
      <c r="A4066" t="inlineStr"/>
      <c r="B4066" t="inlineStr"/>
      <c r="C4066" t="inlineStr"/>
      <c r="D4066" t="inlineStr"/>
      <c r="E4066">
        <f>HYPERLINK("https://www.uniprot.org/uniprotkb/A0A8C5QKB9/entry", "A0A8C5QKB9")</f>
        <v/>
      </c>
      <c r="F4066" t="n">
        <v>42.5</v>
      </c>
      <c r="G4066" t="n">
        <v>226</v>
      </c>
      <c r="H4066" t="n">
        <v>1.04e-57</v>
      </c>
      <c r="I4066" t="inlineStr">
        <is>
          <t>TrEMBL</t>
        </is>
      </c>
      <c r="J4066" t="inlineStr"/>
      <c r="K4066" t="inlineStr">
        <is>
          <t>A0A8C5QKB9_9ANUR</t>
        </is>
      </c>
      <c r="L4066" t="inlineStr">
        <is>
          <t>tr|A0A8C5QKB9|A0A8C5QKB9_9ANUR LINE-1 type transposase domain-containing protein 1 OS=Leptobrachium leishanense OX=445787 PE=4 SV=1</t>
        </is>
      </c>
      <c r="M4066" t="n">
        <v>254</v>
      </c>
      <c r="N4066" t="inlineStr">
        <is>
          <t>Leptobrachium leishanense</t>
        </is>
      </c>
      <c r="O4066" t="inlineStr">
        <is>
          <t>LINE-1 type transposase domain-containing protein 1</t>
        </is>
      </c>
    </row>
    <row r="4067">
      <c r="A4067" t="inlineStr"/>
      <c r="B4067" t="inlineStr"/>
      <c r="C4067" t="inlineStr"/>
      <c r="D4067" t="inlineStr"/>
      <c r="E4067">
        <f>HYPERLINK("https://www.uniprot.org/uniprotkb/A0A8C5PSB6/entry", "A0A8C5PSB6")</f>
        <v/>
      </c>
      <c r="F4067" t="n">
        <v>38.4</v>
      </c>
      <c r="G4067" t="n">
        <v>292</v>
      </c>
      <c r="H4067" t="n">
        <v>5.73e-57</v>
      </c>
      <c r="I4067" t="inlineStr">
        <is>
          <t>TrEMBL</t>
        </is>
      </c>
      <c r="J4067" t="inlineStr"/>
      <c r="K4067" t="inlineStr">
        <is>
          <t>A0A8C5PSB6_9ANUR</t>
        </is>
      </c>
      <c r="L4067" t="inlineStr">
        <is>
          <t>tr|A0A8C5PSB6|A0A8C5PSB6_9ANUR CxC1 domain-containing protein OS=Leptobrachium leishanense OX=445787 PE=4 SV=1</t>
        </is>
      </c>
      <c r="M4067" t="n">
        <v>300</v>
      </c>
      <c r="N4067" t="inlineStr">
        <is>
          <t>Leptobrachium leishanense</t>
        </is>
      </c>
      <c r="O4067" t="inlineStr">
        <is>
          <t>CxC1 domain-containing protein</t>
        </is>
      </c>
    </row>
    <row r="4068">
      <c r="A4068" t="inlineStr"/>
      <c r="B4068" t="inlineStr"/>
      <c r="C4068" t="inlineStr"/>
      <c r="D4068" t="inlineStr"/>
      <c r="E4068">
        <f>HYPERLINK("https://www.uniprot.org/uniprotkb/A0A8C5QFH2/entry", "A0A8C5QFH2")</f>
        <v/>
      </c>
      <c r="F4068" t="n">
        <v>41.6</v>
      </c>
      <c r="G4068" t="n">
        <v>226</v>
      </c>
      <c r="H4068" t="n">
        <v>4.11e-56</v>
      </c>
      <c r="I4068" t="inlineStr">
        <is>
          <t>TrEMBL</t>
        </is>
      </c>
      <c r="J4068" t="inlineStr"/>
      <c r="K4068" t="inlineStr">
        <is>
          <t>A0A8C5QFH2_9ANUR</t>
        </is>
      </c>
      <c r="L4068" t="inlineStr">
        <is>
          <t>tr|A0A8C5QFH2|A0A8C5QFH2_9ANUR LINE-1 type transposase domain-containing protein 1 OS=Leptobrachium leishanense OX=445787 PE=4 SV=1</t>
        </is>
      </c>
      <c r="M4068" t="n">
        <v>285</v>
      </c>
      <c r="N4068" t="inlineStr">
        <is>
          <t>Leptobrachium leishanense</t>
        </is>
      </c>
      <c r="O4068" t="inlineStr">
        <is>
          <t>LINE-1 type transposase domain-containing protein 1</t>
        </is>
      </c>
    </row>
    <row r="4069">
      <c r="A4069" t="inlineStr"/>
      <c r="B4069" t="inlineStr"/>
      <c r="C4069" t="inlineStr"/>
      <c r="D4069" t="inlineStr"/>
      <c r="E4069">
        <f>HYPERLINK("https://www.uniprot.org/uniprotkb/A0A8C5MQW5/entry", "A0A8C5MQW5")</f>
        <v/>
      </c>
      <c r="F4069" t="n">
        <v>36.5</v>
      </c>
      <c r="G4069" t="n">
        <v>318</v>
      </c>
      <c r="H4069" t="n">
        <v>1.49e-55</v>
      </c>
      <c r="I4069" t="inlineStr">
        <is>
          <t>TrEMBL</t>
        </is>
      </c>
      <c r="J4069" t="inlineStr"/>
      <c r="K4069" t="inlineStr">
        <is>
          <t>A0A8C5MQW5_9ANUR</t>
        </is>
      </c>
      <c r="L4069" t="inlineStr">
        <is>
          <t>tr|A0A8C5MQW5|A0A8C5MQW5_9ANUR Sec2p domain-containing protein OS=Leptobrachium leishanense OX=445787 PE=4 SV=1</t>
        </is>
      </c>
      <c r="M4069" t="n">
        <v>318</v>
      </c>
      <c r="N4069" t="inlineStr">
        <is>
          <t>Leptobrachium leishanense</t>
        </is>
      </c>
      <c r="O4069" t="inlineStr">
        <is>
          <t>Sec2p domain-containing protein</t>
        </is>
      </c>
    </row>
    <row r="4070">
      <c r="A4070" t="inlineStr"/>
      <c r="B4070" t="inlineStr"/>
      <c r="C4070" t="inlineStr"/>
      <c r="D4070" t="inlineStr"/>
      <c r="E4070">
        <f>HYPERLINK("https://www.uniprot.org/uniprotkb/A0A8C5WC99/entry", "A0A8C5WC99")</f>
        <v/>
      </c>
      <c r="F4070" t="n">
        <v>41.6</v>
      </c>
      <c r="G4070" t="n">
        <v>226</v>
      </c>
      <c r="H4070" t="n">
        <v>1.78e-55</v>
      </c>
      <c r="I4070" t="inlineStr">
        <is>
          <t>TrEMBL</t>
        </is>
      </c>
      <c r="J4070" t="inlineStr"/>
      <c r="K4070" t="inlineStr">
        <is>
          <t>A0A8C5WC99_9ANUR</t>
        </is>
      </c>
      <c r="L4070" t="inlineStr">
        <is>
          <t>tr|A0A8C5WC99|A0A8C5WC99_9ANUR LINE-1 type transposase domain-containing protein 1 OS=Leptobrachium leishanense OX=445787 PE=4 SV=1</t>
        </is>
      </c>
      <c r="M4070" t="n">
        <v>300</v>
      </c>
      <c r="N4070" t="inlineStr">
        <is>
          <t>Leptobrachium leishanense</t>
        </is>
      </c>
      <c r="O4070" t="inlineStr">
        <is>
          <t>LINE-1 type transposase domain-containing protein 1</t>
        </is>
      </c>
    </row>
    <row r="4071">
      <c r="A4071" t="inlineStr"/>
      <c r="B4071" t="inlineStr"/>
      <c r="C4071" t="inlineStr"/>
      <c r="D4071" t="inlineStr"/>
      <c r="E4071">
        <f>HYPERLINK("https://www.uniprot.org/uniprotkb/A0A8C5WJ71/entry", "A0A8C5WJ71")</f>
        <v/>
      </c>
      <c r="F4071" t="n">
        <v>40.2</v>
      </c>
      <c r="G4071" t="n">
        <v>249</v>
      </c>
      <c r="H4071" t="n">
        <v>1.59e-54</v>
      </c>
      <c r="I4071" t="inlineStr">
        <is>
          <t>TrEMBL</t>
        </is>
      </c>
      <c r="J4071" t="inlineStr"/>
      <c r="K4071" t="inlineStr">
        <is>
          <t>A0A8C5WJ71_9ANUR</t>
        </is>
      </c>
      <c r="L4071" t="inlineStr">
        <is>
          <t>tr|A0A8C5WJ71|A0A8C5WJ71_9ANUR LINE-1 type transposase domain-containing 1 OS=Leptobrachium leishanense OX=445787 PE=4 SV=1</t>
        </is>
      </c>
      <c r="M4071" t="n">
        <v>317</v>
      </c>
      <c r="N4071" t="inlineStr">
        <is>
          <t>Leptobrachium leishanense</t>
        </is>
      </c>
      <c r="O4071" t="inlineStr">
        <is>
          <t>LINE-1 type transposase domain-containing 1</t>
        </is>
      </c>
    </row>
    <row r="4072">
      <c r="A4072" t="inlineStr"/>
      <c r="B4072" t="inlineStr"/>
      <c r="C4072" t="inlineStr"/>
      <c r="D4072" t="inlineStr"/>
      <c r="E4072">
        <f>HYPERLINK("https://www.uniprot.org/uniprotkb/A0A8C5PR81/entry", "A0A8C5PR81")</f>
        <v/>
      </c>
      <c r="F4072" t="n">
        <v>41.6</v>
      </c>
      <c r="G4072" t="n">
        <v>231</v>
      </c>
      <c r="H4072" t="n">
        <v>1.64e-54</v>
      </c>
      <c r="I4072" t="inlineStr">
        <is>
          <t>TrEMBL</t>
        </is>
      </c>
      <c r="J4072" t="inlineStr"/>
      <c r="K4072" t="inlineStr">
        <is>
          <t>A0A8C5PR81_9ANUR</t>
        </is>
      </c>
      <c r="L4072" t="inlineStr">
        <is>
          <t>tr|A0A8C5PR81|A0A8C5PR81_9ANUR LINE-1 type transposase domain-containing protein 1 OS=Leptobrachium leishanense OX=445787 PE=4 SV=1</t>
        </is>
      </c>
      <c r="M4072" t="n">
        <v>318</v>
      </c>
      <c r="N4072" t="inlineStr">
        <is>
          <t>Leptobrachium leishanense</t>
        </is>
      </c>
      <c r="O4072" t="inlineStr">
        <is>
          <t>LINE-1 type transposase domain-containing protein 1</t>
        </is>
      </c>
    </row>
    <row r="4073">
      <c r="A4073" t="inlineStr"/>
      <c r="B4073" t="inlineStr"/>
      <c r="C4073" t="inlineStr"/>
      <c r="D4073" t="inlineStr"/>
      <c r="E4073">
        <f>HYPERLINK("https://www.uniprot.org/uniprotkb/A0A8C5WJQ2/entry", "A0A8C5WJQ2")</f>
        <v/>
      </c>
      <c r="F4073" t="n">
        <v>39.3</v>
      </c>
      <c r="G4073" t="n">
        <v>252</v>
      </c>
      <c r="H4073" t="n">
        <v>3.33e-54</v>
      </c>
      <c r="I4073" t="inlineStr">
        <is>
          <t>TrEMBL</t>
        </is>
      </c>
      <c r="J4073" t="inlineStr"/>
      <c r="K4073" t="inlineStr">
        <is>
          <t>A0A8C5WJQ2_9ANUR</t>
        </is>
      </c>
      <c r="L4073" t="inlineStr">
        <is>
          <t>tr|A0A8C5WJQ2|A0A8C5WJQ2_9ANUR LINE-1 type transposase domain-containing 1 OS=Leptobrachium leishanense OX=445787 PE=4 SV=1</t>
        </is>
      </c>
      <c r="M4073" t="n">
        <v>319</v>
      </c>
      <c r="N4073" t="inlineStr">
        <is>
          <t>Leptobrachium leishanense</t>
        </is>
      </c>
      <c r="O4073" t="inlineStr">
        <is>
          <t>LINE-1 type transposase domain-containing 1</t>
        </is>
      </c>
    </row>
    <row r="4074">
      <c r="A4074" t="inlineStr"/>
      <c r="B4074" t="inlineStr"/>
      <c r="C4074" t="inlineStr"/>
      <c r="D4074" t="inlineStr"/>
      <c r="E4074">
        <f>HYPERLINK("https://www.uniprot.org/uniprotkb/A0A8C5Q945/entry", "A0A8C5Q945")</f>
        <v/>
      </c>
      <c r="F4074" t="n">
        <v>38.5</v>
      </c>
      <c r="G4074" t="n">
        <v>252</v>
      </c>
      <c r="H4074" t="n">
        <v>2.46e-53</v>
      </c>
      <c r="I4074" t="inlineStr">
        <is>
          <t>TrEMBL</t>
        </is>
      </c>
      <c r="J4074" t="inlineStr"/>
      <c r="K4074" t="inlineStr">
        <is>
          <t>A0A8C5Q945_9ANUR</t>
        </is>
      </c>
      <c r="L4074" t="inlineStr">
        <is>
          <t>tr|A0A8C5Q945|A0A8C5Q945_9ANUR Transposase_22 domain-containing protein OS=Leptobrachium leishanense OX=445787 PE=4 SV=1</t>
        </is>
      </c>
      <c r="M4074" t="n">
        <v>317</v>
      </c>
      <c r="N4074" t="inlineStr">
        <is>
          <t>Leptobrachium leishanense</t>
        </is>
      </c>
      <c r="O4074" t="inlineStr">
        <is>
          <t>Transposase_22 domain-containing protein</t>
        </is>
      </c>
    </row>
    <row r="4075">
      <c r="A4075" t="inlineStr"/>
      <c r="B4075" t="inlineStr"/>
      <c r="C4075" t="inlineStr"/>
      <c r="D4075" t="inlineStr"/>
      <c r="E4075">
        <f>HYPERLINK("https://www.uniprot.org/uniprotkb/A0A8C5Q0C9/entry", "A0A8C5Q0C9")</f>
        <v/>
      </c>
      <c r="F4075" t="n">
        <v>39.8</v>
      </c>
      <c r="G4075" t="n">
        <v>249</v>
      </c>
      <c r="H4075" t="n">
        <v>4.88e-53</v>
      </c>
      <c r="I4075" t="inlineStr">
        <is>
          <t>TrEMBL</t>
        </is>
      </c>
      <c r="J4075" t="inlineStr"/>
      <c r="K4075" t="inlineStr">
        <is>
          <t>A0A8C5Q0C9_9ANUR</t>
        </is>
      </c>
      <c r="L4075" t="inlineStr">
        <is>
          <t>tr|A0A8C5Q0C9|A0A8C5Q0C9_9ANUR LINE-1 type transposase domain-containing 1 OS=Leptobrachium leishanense OX=445787 PE=4 SV=1</t>
        </is>
      </c>
      <c r="M4075" t="n">
        <v>317</v>
      </c>
      <c r="N4075" t="inlineStr">
        <is>
          <t>Leptobrachium leishanense</t>
        </is>
      </c>
      <c r="O4075" t="inlineStr">
        <is>
          <t>LINE-1 type transposase domain-containing 1</t>
        </is>
      </c>
    </row>
    <row r="4076">
      <c r="A4076" t="inlineStr"/>
      <c r="B4076" t="inlineStr"/>
      <c r="C4076" t="inlineStr"/>
      <c r="D4076" t="inlineStr"/>
      <c r="E4076">
        <f>HYPERLINK("https://www.uniprot.org/uniprotkb/A0A8C5R5S6/entry", "A0A8C5R5S6")</f>
        <v/>
      </c>
      <c r="F4076" t="n">
        <v>38.4</v>
      </c>
      <c r="G4076" t="n">
        <v>245</v>
      </c>
      <c r="H4076" t="n">
        <v>1.84e-52</v>
      </c>
      <c r="I4076" t="inlineStr">
        <is>
          <t>TrEMBL</t>
        </is>
      </c>
      <c r="J4076" t="inlineStr"/>
      <c r="K4076" t="inlineStr">
        <is>
          <t>A0A8C5R5S6_9ANUR</t>
        </is>
      </c>
      <c r="L4076" t="inlineStr">
        <is>
          <t>tr|A0A8C5R5S6|A0A8C5R5S6_9ANUR LINE-1 type transposase domain-containing protein 1 OS=Leptobrachium leishanense OX=445787 PE=4 SV=1</t>
        </is>
      </c>
      <c r="M4076" t="n">
        <v>267</v>
      </c>
      <c r="N4076" t="inlineStr">
        <is>
          <t>Leptobrachium leishanense</t>
        </is>
      </c>
      <c r="O4076" t="inlineStr">
        <is>
          <t>LINE-1 type transposase domain-containing protein 1</t>
        </is>
      </c>
    </row>
    <row r="4077">
      <c r="A4077" t="inlineStr"/>
      <c r="B4077" t="inlineStr"/>
      <c r="C4077" t="inlineStr"/>
      <c r="D4077" t="inlineStr"/>
      <c r="E4077">
        <f>HYPERLINK("https://www.uniprot.org/uniprotkb/A0A8C5M2A8/entry", "A0A8C5M2A8")</f>
        <v/>
      </c>
      <c r="F4077" t="n">
        <v>38.8</v>
      </c>
      <c r="G4077" t="n">
        <v>232</v>
      </c>
      <c r="H4077" t="n">
        <v>2.31e-52</v>
      </c>
      <c r="I4077" t="inlineStr">
        <is>
          <t>TrEMBL</t>
        </is>
      </c>
      <c r="J4077" t="inlineStr"/>
      <c r="K4077" t="inlineStr">
        <is>
          <t>A0A8C5M2A8_9ANUR</t>
        </is>
      </c>
      <c r="L4077" t="inlineStr">
        <is>
          <t>tr|A0A8C5M2A8|A0A8C5M2A8_9ANUR Thioredoxin domain-containing protein OS=Leptobrachium leishanense OX=445787 PE=4 SV=1</t>
        </is>
      </c>
      <c r="M4077" t="n">
        <v>299</v>
      </c>
      <c r="N4077" t="inlineStr">
        <is>
          <t>Leptobrachium leishanense</t>
        </is>
      </c>
      <c r="O4077" t="inlineStr">
        <is>
          <t>Thioredoxin domain-containing protein</t>
        </is>
      </c>
    </row>
    <row r="4078">
      <c r="A4078" t="inlineStr"/>
      <c r="B4078" t="inlineStr"/>
      <c r="C4078" t="inlineStr"/>
      <c r="D4078" t="inlineStr"/>
      <c r="E4078">
        <f>HYPERLINK("https://www.uniprot.org/uniprotkb/A0A8C5PW62/entry", "A0A8C5PW62")</f>
        <v/>
      </c>
      <c r="F4078" t="n">
        <v>38.1</v>
      </c>
      <c r="G4078" t="n">
        <v>252</v>
      </c>
      <c r="H4078" t="n">
        <v>3.01e-52</v>
      </c>
      <c r="I4078" t="inlineStr">
        <is>
          <t>TrEMBL</t>
        </is>
      </c>
      <c r="J4078" t="inlineStr"/>
      <c r="K4078" t="inlineStr">
        <is>
          <t>A0A8C5PW62_9ANUR</t>
        </is>
      </c>
      <c r="L4078" t="inlineStr">
        <is>
          <t>tr|A0A8C5PW62|A0A8C5PW62_9ANUR Transposase_22 domain-containing protein OS=Leptobrachium leishanense OX=445787 PE=4 SV=1</t>
        </is>
      </c>
      <c r="M4078" t="n">
        <v>321</v>
      </c>
      <c r="N4078" t="inlineStr">
        <is>
          <t>Leptobrachium leishanense</t>
        </is>
      </c>
      <c r="O4078" t="inlineStr">
        <is>
          <t>Transposase_22 domain-containing protein</t>
        </is>
      </c>
    </row>
    <row r="4079">
      <c r="A4079" t="inlineStr"/>
      <c r="B4079" t="inlineStr"/>
      <c r="C4079" t="inlineStr"/>
      <c r="D4079" t="inlineStr"/>
      <c r="E4079">
        <f>HYPERLINK("https://www.uniprot.org/uniprotkb/A0A8C5QC41/entry", "A0A8C5QC41")</f>
        <v/>
      </c>
      <c r="F4079" t="n">
        <v>41.4</v>
      </c>
      <c r="G4079" t="n">
        <v>227</v>
      </c>
      <c r="H4079" t="n">
        <v>4.589999999999999e-52</v>
      </c>
      <c r="I4079" t="inlineStr">
        <is>
          <t>TrEMBL</t>
        </is>
      </c>
      <c r="J4079" t="inlineStr"/>
      <c r="K4079" t="inlineStr">
        <is>
          <t>A0A8C5QC41_9ANUR</t>
        </is>
      </c>
      <c r="L4079" t="inlineStr">
        <is>
          <t>tr|A0A8C5QC41|A0A8C5QC41_9ANUR LINE-1 retrotransposable element ORF2 protein OS=Leptobrachium leishanense OX=445787 PE=4 SV=1</t>
        </is>
      </c>
      <c r="M4079" t="n">
        <v>324</v>
      </c>
      <c r="N4079" t="inlineStr">
        <is>
          <t>Leptobrachium leishanense</t>
        </is>
      </c>
      <c r="O4079" t="inlineStr">
        <is>
          <t>LINE-1 retrotransposable element ORF2 protein</t>
        </is>
      </c>
    </row>
    <row r="4080">
      <c r="A4080" t="inlineStr"/>
      <c r="B4080" t="inlineStr"/>
      <c r="C4080" t="inlineStr"/>
      <c r="D4080" t="inlineStr"/>
      <c r="E4080">
        <f>HYPERLINK("https://www.uniprot.org/uniprotkb/A0A803JKV5/entry", "A0A803JKV5")</f>
        <v/>
      </c>
      <c r="F4080" t="n">
        <v>63.3</v>
      </c>
      <c r="G4080" t="n">
        <v>139</v>
      </c>
      <c r="H4080" t="n">
        <v>5.429999999999999e-52</v>
      </c>
      <c r="I4080" t="inlineStr">
        <is>
          <t>TrEMBL</t>
        </is>
      </c>
      <c r="J4080" t="inlineStr"/>
      <c r="K4080" t="inlineStr">
        <is>
          <t>A0A803JKV5_XENTR</t>
        </is>
      </c>
      <c r="L4080" t="inlineStr">
        <is>
          <t>tr|A0A803JKV5|A0A803JKV5_XENTR Reverse transcriptase OS=Xenopus tropicalis OX=8364 PE=3 SV=1</t>
        </is>
      </c>
      <c r="M4080" t="n">
        <v>983</v>
      </c>
      <c r="N4080" t="inlineStr">
        <is>
          <t>Xenopus tropicalis</t>
        </is>
      </c>
      <c r="O4080" t="inlineStr">
        <is>
          <t>Reverse transcriptase</t>
        </is>
      </c>
    </row>
    <row r="4081">
      <c r="A4081" t="inlineStr"/>
      <c r="B4081" t="inlineStr"/>
      <c r="C4081" t="inlineStr"/>
      <c r="D4081" t="inlineStr"/>
      <c r="E4081">
        <f>HYPERLINK("https://www.ncbi.nlm.nih.gov/gene/?term=KAG8579381.1", "KAG8579381.1")</f>
        <v/>
      </c>
      <c r="F4081" t="n">
        <v>38.7</v>
      </c>
      <c r="G4081" t="n">
        <v>225</v>
      </c>
      <c r="H4081" t="n">
        <v>5.76e-52</v>
      </c>
      <c r="I4081" t="inlineStr">
        <is>
          <t>Nr</t>
        </is>
      </c>
      <c r="J4081" t="inlineStr"/>
      <c r="K4081" t="inlineStr"/>
      <c r="L4081" t="inlineStr">
        <is>
          <t>KAG8579381.1 hypothetical protein GDO81_010854 [Engystomops pustulosus]</t>
        </is>
      </c>
      <c r="M4081" t="n">
        <v>262</v>
      </c>
      <c r="N4081" t="inlineStr">
        <is>
          <t>Engystomops pustulosus</t>
        </is>
      </c>
      <c r="O4081" t="inlineStr">
        <is>
          <t>hypothetical protein GDO81_010854</t>
        </is>
      </c>
    </row>
    <row r="4082">
      <c r="A4082" t="inlineStr"/>
      <c r="B4082" t="inlineStr"/>
      <c r="C4082" t="inlineStr"/>
      <c r="D4082" t="inlineStr"/>
      <c r="E4082">
        <f>HYPERLINK("https://www.uniprot.org/uniprotkb/A0A803KBS3/entry", "A0A803KBS3")</f>
        <v/>
      </c>
      <c r="F4082" t="n">
        <v>63.3</v>
      </c>
      <c r="G4082" t="n">
        <v>139</v>
      </c>
      <c r="H4082" t="n">
        <v>6.279999999999999e-52</v>
      </c>
      <c r="I4082" t="inlineStr">
        <is>
          <t>TrEMBL</t>
        </is>
      </c>
      <c r="J4082" t="inlineStr"/>
      <c r="K4082" t="inlineStr">
        <is>
          <t>A0A803KBS3_XENTR</t>
        </is>
      </c>
      <c r="L4082" t="inlineStr">
        <is>
          <t>tr|A0A803KBS3|A0A803KBS3_XENTR Reverse transcriptase OS=Xenopus tropicalis OX=8364 PE=3 SV=1</t>
        </is>
      </c>
      <c r="M4082" t="n">
        <v>1081</v>
      </c>
      <c r="N4082" t="inlineStr">
        <is>
          <t>Xenopus tropicalis</t>
        </is>
      </c>
      <c r="O4082" t="inlineStr">
        <is>
          <t>Reverse transcriptase</t>
        </is>
      </c>
    </row>
    <row r="4083">
      <c r="A4083" t="inlineStr"/>
      <c r="B4083" t="inlineStr"/>
      <c r="C4083" t="inlineStr"/>
      <c r="D4083" t="inlineStr"/>
      <c r="E4083">
        <f>HYPERLINK("https://www.uniprot.org/uniprotkb/A0A803JT37/entry", "A0A803JT37")</f>
        <v/>
      </c>
      <c r="F4083" t="n">
        <v>64.7</v>
      </c>
      <c r="G4083" t="n">
        <v>139</v>
      </c>
      <c r="H4083" t="n">
        <v>8.569999999999999e-52</v>
      </c>
      <c r="I4083" t="inlineStr">
        <is>
          <t>TrEMBL</t>
        </is>
      </c>
      <c r="J4083" t="inlineStr"/>
      <c r="K4083" t="inlineStr">
        <is>
          <t>A0A803JT37_XENTR</t>
        </is>
      </c>
      <c r="L4083" t="inlineStr">
        <is>
          <t>tr|A0A803JT37|A0A803JT37_XENTR Reverse transcriptase OS=Xenopus tropicalis OX=8364 PE=3 SV=1</t>
        </is>
      </c>
      <c r="M4083" t="n">
        <v>1081</v>
      </c>
      <c r="N4083" t="inlineStr">
        <is>
          <t>Xenopus tropicalis</t>
        </is>
      </c>
      <c r="O4083" t="inlineStr">
        <is>
          <t>Reverse transcriptase</t>
        </is>
      </c>
    </row>
    <row r="4084">
      <c r="A4084" t="inlineStr"/>
      <c r="B4084" t="inlineStr"/>
      <c r="C4084" t="inlineStr"/>
      <c r="D4084" t="inlineStr"/>
      <c r="E4084">
        <f>HYPERLINK("https://www.uniprot.org/uniprotkb/A0A803JYB1/entry", "A0A803JYB1")</f>
        <v/>
      </c>
      <c r="F4084" t="n">
        <v>64.7</v>
      </c>
      <c r="G4084" t="n">
        <v>139</v>
      </c>
      <c r="H4084" t="n">
        <v>8.569999999999999e-52</v>
      </c>
      <c r="I4084" t="inlineStr">
        <is>
          <t>TrEMBL</t>
        </is>
      </c>
      <c r="J4084" t="inlineStr"/>
      <c r="K4084" t="inlineStr">
        <is>
          <t>A0A803JYB1_XENTR</t>
        </is>
      </c>
      <c r="L4084" t="inlineStr">
        <is>
          <t>tr|A0A803JYB1|A0A803JYB1_XENTR Reverse transcriptase OS=Xenopus tropicalis OX=8364 PE=3 SV=1</t>
        </is>
      </c>
      <c r="M4084" t="n">
        <v>1081</v>
      </c>
      <c r="N4084" t="inlineStr">
        <is>
          <t>Xenopus tropicalis</t>
        </is>
      </c>
      <c r="O4084" t="inlineStr">
        <is>
          <t>Reverse transcriptase</t>
        </is>
      </c>
    </row>
    <row r="4085">
      <c r="A4085" t="inlineStr"/>
      <c r="B4085" t="inlineStr"/>
      <c r="C4085" t="inlineStr"/>
      <c r="D4085" t="inlineStr"/>
      <c r="E4085">
        <f>HYPERLINK("https://www.uniprot.org/uniprotkb/A0A803JHB7/entry", "A0A803JHB7")</f>
        <v/>
      </c>
      <c r="F4085" t="n">
        <v>64.7</v>
      </c>
      <c r="G4085" t="n">
        <v>139</v>
      </c>
      <c r="H4085" t="n">
        <v>8.949999999999999e-52</v>
      </c>
      <c r="I4085" t="inlineStr">
        <is>
          <t>TrEMBL</t>
        </is>
      </c>
      <c r="J4085" t="inlineStr">
        <is>
          <t>mad2l1</t>
        </is>
      </c>
      <c r="K4085" t="inlineStr">
        <is>
          <t>A0A803JHB7_XENTR</t>
        </is>
      </c>
      <c r="L4085" t="inlineStr">
        <is>
          <t>tr|A0A803JHB7|A0A803JHB7_XENTR Mitotic arrest deficient 2-like 1 OS=Xenopus tropicalis OX=8364 GN=mad2l1 PE=3 SV=1</t>
        </is>
      </c>
      <c r="M4085" t="n">
        <v>1164</v>
      </c>
      <c r="N4085" t="inlineStr">
        <is>
          <t>Xenopus tropicalis</t>
        </is>
      </c>
      <c r="O4085" t="inlineStr">
        <is>
          <t>Mitotic arrest deficient 2-like 1</t>
        </is>
      </c>
    </row>
    <row r="4086">
      <c r="A4086" t="inlineStr"/>
      <c r="B4086" t="inlineStr"/>
      <c r="C4086" t="inlineStr"/>
      <c r="D4086" t="inlineStr"/>
      <c r="E4086">
        <f>HYPERLINK("https://www.uniprot.org/uniprotkb/A0A8C5Q851/entry", "A0A8C5Q851")</f>
        <v/>
      </c>
      <c r="F4086" t="n">
        <v>41.8</v>
      </c>
      <c r="G4086" t="n">
        <v>225</v>
      </c>
      <c r="H4086" t="n">
        <v>2.75e-51</v>
      </c>
      <c r="I4086" t="inlineStr">
        <is>
          <t>TrEMBL</t>
        </is>
      </c>
      <c r="J4086" t="inlineStr"/>
      <c r="K4086" t="inlineStr">
        <is>
          <t>A0A8C5Q851_9ANUR</t>
        </is>
      </c>
      <c r="L4086" t="inlineStr">
        <is>
          <t>tr|A0A8C5Q851|A0A8C5Q851_9ANUR LINE-1 type transposase domain-containing protein 1 OS=Leptobrachium leishanense OX=445787 PE=4 SV=1</t>
        </is>
      </c>
      <c r="M4086" t="n">
        <v>327</v>
      </c>
      <c r="N4086" t="inlineStr">
        <is>
          <t>Leptobrachium leishanense</t>
        </is>
      </c>
      <c r="O4086" t="inlineStr">
        <is>
          <t>LINE-1 type transposase domain-containing protein 1</t>
        </is>
      </c>
    </row>
    <row r="4087">
      <c r="A4087" t="inlineStr"/>
      <c r="B4087" t="inlineStr"/>
      <c r="C4087" t="inlineStr"/>
      <c r="D4087" t="inlineStr"/>
      <c r="E4087">
        <f>HYPERLINK("https://www.uniprot.org/uniprotkb/A0A8C5PHC0/entry", "A0A8C5PHC0")</f>
        <v/>
      </c>
      <c r="F4087" t="n">
        <v>37.3</v>
      </c>
      <c r="G4087" t="n">
        <v>252</v>
      </c>
      <c r="H4087" t="n">
        <v>1.63e-50</v>
      </c>
      <c r="I4087" t="inlineStr">
        <is>
          <t>TrEMBL</t>
        </is>
      </c>
      <c r="J4087" t="inlineStr"/>
      <c r="K4087" t="inlineStr">
        <is>
          <t>A0A8C5PHC0_9ANUR</t>
        </is>
      </c>
      <c r="L4087" t="inlineStr">
        <is>
          <t>tr|A0A8C5PHC0|A0A8C5PHC0_9ANUR Thioredoxin-like protein OS=Leptobrachium leishanense OX=445787 PE=4 SV=1</t>
        </is>
      </c>
      <c r="M4087" t="n">
        <v>317</v>
      </c>
      <c r="N4087" t="inlineStr">
        <is>
          <t>Leptobrachium leishanense</t>
        </is>
      </c>
      <c r="O4087" t="inlineStr">
        <is>
          <t>Thioredoxin-like protein</t>
        </is>
      </c>
    </row>
    <row r="4088">
      <c r="A4088" t="inlineStr"/>
      <c r="B4088" t="inlineStr"/>
      <c r="C4088" t="inlineStr"/>
      <c r="D4088" t="inlineStr"/>
      <c r="E4088">
        <f>HYPERLINK("https://www.uniprot.org/uniprotkb/A0A8C5QIC2/entry", "A0A8C5QIC2")</f>
        <v/>
      </c>
      <c r="F4088" t="n">
        <v>39</v>
      </c>
      <c r="G4088" t="n">
        <v>231</v>
      </c>
      <c r="H4088" t="n">
        <v>2.82e-50</v>
      </c>
      <c r="I4088" t="inlineStr">
        <is>
          <t>TrEMBL</t>
        </is>
      </c>
      <c r="J4088" t="inlineStr"/>
      <c r="K4088" t="inlineStr">
        <is>
          <t>A0A8C5QIC2_9ANUR</t>
        </is>
      </c>
      <c r="L4088" t="inlineStr">
        <is>
          <t>tr|A0A8C5QIC2|A0A8C5QIC2_9ANUR LINE-1 type transposase domain-containing protein 1 OS=Leptobrachium leishanense OX=445787 PE=4 SV=1</t>
        </is>
      </c>
      <c r="M4088" t="n">
        <v>312</v>
      </c>
      <c r="N4088" t="inlineStr">
        <is>
          <t>Leptobrachium leishanense</t>
        </is>
      </c>
      <c r="O4088" t="inlineStr">
        <is>
          <t>LINE-1 type transposase domain-containing protein 1</t>
        </is>
      </c>
    </row>
    <row r="4089">
      <c r="A4089" t="inlineStr"/>
      <c r="B4089" t="inlineStr"/>
      <c r="C4089" t="inlineStr"/>
      <c r="D4089" t="inlineStr"/>
      <c r="E4089">
        <f>HYPERLINK("https://www.ncbi.nlm.nih.gov/gene/?term=XP_040270366.1", "XP_040270366.1")</f>
        <v/>
      </c>
      <c r="F4089" t="n">
        <v>35.8</v>
      </c>
      <c r="G4089" t="n">
        <v>265</v>
      </c>
      <c r="H4089" t="n">
        <v>4.28e-50</v>
      </c>
      <c r="I4089" t="inlineStr">
        <is>
          <t>Nr</t>
        </is>
      </c>
      <c r="J4089" t="inlineStr"/>
      <c r="K4089" t="inlineStr"/>
      <c r="L4089" t="inlineStr">
        <is>
          <t>XP_040270366.1 uncharacterized protein LOC120986071 [Bufo bufo]</t>
        </is>
      </c>
      <c r="M4089" t="n">
        <v>413</v>
      </c>
      <c r="N4089" t="inlineStr">
        <is>
          <t>Bufo bufo</t>
        </is>
      </c>
      <c r="O4089" t="inlineStr">
        <is>
          <t>uncharacterized protein LOC120986071</t>
        </is>
      </c>
    </row>
    <row r="4090">
      <c r="A4090" t="inlineStr"/>
      <c r="B4090" t="inlineStr"/>
      <c r="C4090" t="inlineStr"/>
      <c r="D4090" t="inlineStr"/>
      <c r="E4090">
        <f>HYPERLINK("https://www.ncbi.nlm.nih.gov/gene/?term=XP_040262267.1", "XP_040262267.1")</f>
        <v/>
      </c>
      <c r="F4090" t="n">
        <v>40.7</v>
      </c>
      <c r="G4090" t="n">
        <v>236</v>
      </c>
      <c r="H4090" t="n">
        <v>5.48e-50</v>
      </c>
      <c r="I4090" t="inlineStr">
        <is>
          <t>Nr</t>
        </is>
      </c>
      <c r="J4090" t="inlineStr"/>
      <c r="K4090" t="inlineStr"/>
      <c r="L4090" t="inlineStr">
        <is>
          <t>XP_040262267.1 FERM domain-containing protein 7 [Bufo bufo]</t>
        </is>
      </c>
      <c r="M4090" t="n">
        <v>963</v>
      </c>
      <c r="N4090" t="inlineStr">
        <is>
          <t>Bufo bufo</t>
        </is>
      </c>
      <c r="O4090" t="inlineStr">
        <is>
          <t>FERM domain-containing protein 7</t>
        </is>
      </c>
    </row>
    <row r="4091">
      <c r="A4091" t="inlineStr"/>
      <c r="B4091" t="inlineStr"/>
      <c r="C4091" t="inlineStr"/>
      <c r="D4091" t="inlineStr"/>
      <c r="E4091">
        <f>HYPERLINK("https://www.uniprot.org/uniprotkb/A0A8C5MWZ4/entry", "A0A8C5MWZ4")</f>
        <v/>
      </c>
      <c r="F4091" t="n">
        <v>37.5</v>
      </c>
      <c r="G4091" t="n">
        <v>256</v>
      </c>
      <c r="H4091" t="n">
        <v>5.58e-50</v>
      </c>
      <c r="I4091" t="inlineStr">
        <is>
          <t>TrEMBL</t>
        </is>
      </c>
      <c r="J4091" t="inlineStr"/>
      <c r="K4091" t="inlineStr">
        <is>
          <t>A0A8C5MWZ4_9ANUR</t>
        </is>
      </c>
      <c r="L4091" t="inlineStr">
        <is>
          <t>tr|A0A8C5MWZ4|A0A8C5MWZ4_9ANUR LINE-1 type transposase domain-containing protein 1 OS=Leptobrachium leishanense OX=445787 PE=4 SV=1</t>
        </is>
      </c>
      <c r="M4091" t="n">
        <v>312</v>
      </c>
      <c r="N4091" t="inlineStr">
        <is>
          <t>Leptobrachium leishanense</t>
        </is>
      </c>
      <c r="O4091" t="inlineStr">
        <is>
          <t>LINE-1 type transposase domain-containing protein 1</t>
        </is>
      </c>
    </row>
    <row r="4092">
      <c r="A4092" t="inlineStr"/>
      <c r="B4092" t="inlineStr"/>
      <c r="C4092" t="inlineStr"/>
      <c r="D4092" t="inlineStr"/>
      <c r="E4092">
        <f>HYPERLINK("https://www.uniprot.org/uniprotkb/A0A8C5LVP6/entry", "A0A8C5LVP6")</f>
        <v/>
      </c>
      <c r="F4092" t="n">
        <v>37.7</v>
      </c>
      <c r="G4092" t="n">
        <v>252</v>
      </c>
      <c r="H4092" t="n">
        <v>1.54e-49</v>
      </c>
      <c r="I4092" t="inlineStr">
        <is>
          <t>TrEMBL</t>
        </is>
      </c>
      <c r="J4092" t="inlineStr"/>
      <c r="K4092" t="inlineStr">
        <is>
          <t>A0A8C5LVP6_9ANUR</t>
        </is>
      </c>
      <c r="L4092" t="inlineStr">
        <is>
          <t>tr|A0A8C5LVP6|A0A8C5LVP6_9ANUR Transposase OS=Leptobrachium leishanense OX=445787 PE=4 SV=1</t>
        </is>
      </c>
      <c r="M4092" t="n">
        <v>378</v>
      </c>
      <c r="N4092" t="inlineStr">
        <is>
          <t>Leptobrachium leishanense</t>
        </is>
      </c>
      <c r="O4092" t="inlineStr">
        <is>
          <t>Transposase</t>
        </is>
      </c>
    </row>
    <row r="4093">
      <c r="A4093" t="inlineStr"/>
      <c r="B4093" t="inlineStr"/>
      <c r="C4093" t="inlineStr"/>
      <c r="D4093" t="inlineStr"/>
      <c r="E4093">
        <f>HYPERLINK("https://www.uniprot.org/uniprotkb/A0A8C5W947/entry", "A0A8C5W947")</f>
        <v/>
      </c>
      <c r="F4093" t="n">
        <v>37.4</v>
      </c>
      <c r="G4093" t="n">
        <v>243</v>
      </c>
      <c r="H4093" t="n">
        <v>1.55e-49</v>
      </c>
      <c r="I4093" t="inlineStr">
        <is>
          <t>TrEMBL</t>
        </is>
      </c>
      <c r="J4093" t="inlineStr"/>
      <c r="K4093" t="inlineStr">
        <is>
          <t>A0A8C5W947_9ANUR</t>
        </is>
      </c>
      <c r="L4093" t="inlineStr">
        <is>
          <t>tr|A0A8C5W947|A0A8C5W947_9ANUR LINE-1 type transposase domain-containing protein 1 OS=Leptobrachium leishanense OX=445787 PE=4 SV=1</t>
        </is>
      </c>
      <c r="M4093" t="n">
        <v>312</v>
      </c>
      <c r="N4093" t="inlineStr">
        <is>
          <t>Leptobrachium leishanense</t>
        </is>
      </c>
      <c r="O4093" t="inlineStr">
        <is>
          <t>LINE-1 type transposase domain-containing protein 1</t>
        </is>
      </c>
    </row>
    <row r="4094">
      <c r="A4094" t="inlineStr"/>
      <c r="B4094" t="inlineStr"/>
      <c r="C4094" t="inlineStr"/>
      <c r="D4094" t="inlineStr"/>
      <c r="E4094">
        <f>HYPERLINK("https://www.uniprot.org/uniprotkb/A0A803K784/entry", "A0A803K784")</f>
        <v/>
      </c>
      <c r="F4094" t="n">
        <v>62</v>
      </c>
      <c r="G4094" t="n">
        <v>142</v>
      </c>
      <c r="H4094" t="n">
        <v>2.91e-49</v>
      </c>
      <c r="I4094" t="inlineStr">
        <is>
          <t>TrEMBL</t>
        </is>
      </c>
      <c r="J4094" t="inlineStr"/>
      <c r="K4094" t="inlineStr">
        <is>
          <t>A0A803K784_XENTR</t>
        </is>
      </c>
      <c r="L4094" t="inlineStr">
        <is>
          <t>tr|A0A803K784|A0A803K784_XENTR Reverse transcriptase OS=Xenopus tropicalis OX=8364 PE=3 SV=1</t>
        </is>
      </c>
      <c r="M4094" t="n">
        <v>988</v>
      </c>
      <c r="N4094" t="inlineStr">
        <is>
          <t>Xenopus tropicalis</t>
        </is>
      </c>
      <c r="O4094" t="inlineStr">
        <is>
          <t>Reverse transcriptase</t>
        </is>
      </c>
    </row>
    <row r="4095">
      <c r="A4095" t="inlineStr"/>
      <c r="B4095" t="inlineStr"/>
      <c r="C4095" t="inlineStr"/>
      <c r="D4095" t="inlineStr"/>
      <c r="E4095">
        <f>HYPERLINK("https://www.uniprot.org/uniprotkb/A0A8C5QLN7/entry", "A0A8C5QLN7")</f>
        <v/>
      </c>
      <c r="F4095" t="n">
        <v>59</v>
      </c>
      <c r="G4095" t="n">
        <v>144</v>
      </c>
      <c r="H4095" t="n">
        <v>8.24e-49</v>
      </c>
      <c r="I4095" t="inlineStr">
        <is>
          <t>TrEMBL</t>
        </is>
      </c>
      <c r="J4095" t="inlineStr"/>
      <c r="K4095" t="inlineStr">
        <is>
          <t>A0A8C5QLN7_9ANUR</t>
        </is>
      </c>
      <c r="L4095" t="inlineStr">
        <is>
          <t>tr|A0A8C5QLN7|A0A8C5QLN7_9ANUR ribonuclease H OS=Leptobrachium leishanense OX=445787 PE=3 SV=1</t>
        </is>
      </c>
      <c r="M4095" t="n">
        <v>1150</v>
      </c>
      <c r="N4095" t="inlineStr">
        <is>
          <t>Leptobrachium leishanense</t>
        </is>
      </c>
      <c r="O4095" t="inlineStr">
        <is>
          <t>ribonuclease H</t>
        </is>
      </c>
    </row>
    <row r="4096">
      <c r="A4096" t="inlineStr"/>
      <c r="B4096" t="inlineStr"/>
      <c r="C4096" t="inlineStr"/>
      <c r="D4096" t="inlineStr"/>
      <c r="E4096">
        <f>HYPERLINK("https://www.uniprot.org/uniprotkb/A0A8C5MK70/entry", "A0A8C5MK70")</f>
        <v/>
      </c>
      <c r="F4096" t="n">
        <v>59</v>
      </c>
      <c r="G4096" t="n">
        <v>139</v>
      </c>
      <c r="H4096" t="n">
        <v>8.619999999999999e-49</v>
      </c>
      <c r="I4096" t="inlineStr">
        <is>
          <t>TrEMBL</t>
        </is>
      </c>
      <c r="J4096" t="inlineStr"/>
      <c r="K4096" t="inlineStr">
        <is>
          <t>A0A8C5MK70_9ANUR</t>
        </is>
      </c>
      <c r="L4096" t="inlineStr">
        <is>
          <t>tr|A0A8C5MK70|A0A8C5MK70_9ANUR ribonuclease H OS=Leptobrachium leishanense OX=445787 PE=3 SV=1</t>
        </is>
      </c>
      <c r="M4096" t="n">
        <v>774</v>
      </c>
      <c r="N4096" t="inlineStr">
        <is>
          <t>Leptobrachium leishanense</t>
        </is>
      </c>
      <c r="O4096" t="inlineStr">
        <is>
          <t>ribonuclease H</t>
        </is>
      </c>
    </row>
    <row r="4097">
      <c r="A4097" t="inlineStr"/>
      <c r="B4097" t="inlineStr"/>
      <c r="C4097" t="inlineStr"/>
      <c r="D4097" t="inlineStr"/>
      <c r="E4097">
        <f>HYPERLINK("https://www.uniprot.org/uniprotkb/A0A803K042/entry", "A0A803K042")</f>
        <v/>
      </c>
      <c r="F4097" t="n">
        <v>60.6</v>
      </c>
      <c r="G4097" t="n">
        <v>142</v>
      </c>
      <c r="H4097" t="n">
        <v>1.1e-48</v>
      </c>
      <c r="I4097" t="inlineStr">
        <is>
          <t>TrEMBL</t>
        </is>
      </c>
      <c r="J4097" t="inlineStr"/>
      <c r="K4097" t="inlineStr">
        <is>
          <t>A0A803K042_XENTR</t>
        </is>
      </c>
      <c r="L4097" t="inlineStr">
        <is>
          <t>tr|A0A803K042|A0A803K042_XENTR ribonuclease H OS=Xenopus tropicalis OX=8364 PE=3 SV=1</t>
        </is>
      </c>
      <c r="M4097" t="n">
        <v>813</v>
      </c>
      <c r="N4097" t="inlineStr">
        <is>
          <t>Xenopus tropicalis</t>
        </is>
      </c>
      <c r="O4097" t="inlineStr">
        <is>
          <t>ribonuclease H</t>
        </is>
      </c>
    </row>
    <row r="4098">
      <c r="A4098" t="inlineStr"/>
      <c r="B4098" t="inlineStr"/>
      <c r="C4098" t="inlineStr"/>
      <c r="D4098" t="inlineStr"/>
      <c r="E4098">
        <f>HYPERLINK("https://www.uniprot.org/uniprotkb/A0A8C5QDJ5/entry", "A0A8C5QDJ5")</f>
        <v/>
      </c>
      <c r="F4098" t="n">
        <v>60</v>
      </c>
      <c r="G4098" t="n">
        <v>140</v>
      </c>
      <c r="H4098" t="n">
        <v>1.4e-48</v>
      </c>
      <c r="I4098" t="inlineStr">
        <is>
          <t>TrEMBL</t>
        </is>
      </c>
      <c r="J4098" t="inlineStr"/>
      <c r="K4098" t="inlineStr">
        <is>
          <t>A0A8C5QDJ5_9ANUR</t>
        </is>
      </c>
      <c r="L4098" t="inlineStr">
        <is>
          <t>tr|A0A8C5QDJ5|A0A8C5QDJ5_9ANUR Reverse transcriptase OS=Leptobrachium leishanense OX=445787 PE=3 SV=1</t>
        </is>
      </c>
      <c r="M4098" t="n">
        <v>994</v>
      </c>
      <c r="N4098" t="inlineStr">
        <is>
          <t>Leptobrachium leishanense</t>
        </is>
      </c>
      <c r="O4098" t="inlineStr">
        <is>
          <t>Reverse transcriptase</t>
        </is>
      </c>
    </row>
    <row r="4099">
      <c r="A4099" t="inlineStr"/>
      <c r="B4099" t="inlineStr"/>
      <c r="C4099" t="inlineStr"/>
      <c r="D4099" t="inlineStr"/>
      <c r="E4099">
        <f>HYPERLINK("https://www.uniprot.org/uniprotkb/A0A4W5LJN0/entry", "A0A4W5LJN0")</f>
        <v/>
      </c>
      <c r="F4099" t="n">
        <v>56.4</v>
      </c>
      <c r="G4099" t="n">
        <v>140</v>
      </c>
      <c r="H4099" t="n">
        <v>1.58e-48</v>
      </c>
      <c r="I4099" t="inlineStr">
        <is>
          <t>TrEMBL</t>
        </is>
      </c>
      <c r="J4099" t="inlineStr"/>
      <c r="K4099" t="inlineStr">
        <is>
          <t>A0A4W5LJN0_9TELE</t>
        </is>
      </c>
      <c r="L4099" t="inlineStr">
        <is>
          <t>tr|A0A4W5LJN0|A0A4W5LJN0_9TELE ribonuclease H OS=Hucho hucho OX=62062 PE=3 SV=1</t>
        </is>
      </c>
      <c r="M4099" t="n">
        <v>396</v>
      </c>
      <c r="N4099" t="inlineStr">
        <is>
          <t>Hucho hucho</t>
        </is>
      </c>
      <c r="O4099" t="inlineStr">
        <is>
          <t>ribonuclease H</t>
        </is>
      </c>
    </row>
    <row r="4100">
      <c r="A4100" t="inlineStr"/>
      <c r="B4100" t="inlineStr"/>
      <c r="C4100" t="inlineStr"/>
      <c r="D4100" t="inlineStr"/>
      <c r="E4100">
        <f>HYPERLINK("https://www.ncbi.nlm.nih.gov/gene/?term=XP_036068023.1", "XP_036068023.1")</f>
        <v/>
      </c>
      <c r="F4100" t="n">
        <v>59.4</v>
      </c>
      <c r="G4100" t="n">
        <v>138</v>
      </c>
      <c r="H4100" t="n">
        <v>1.81e-48</v>
      </c>
      <c r="I4100" t="inlineStr">
        <is>
          <t>Nr</t>
        </is>
      </c>
      <c r="J4100" t="inlineStr"/>
      <c r="K4100" t="inlineStr"/>
      <c r="L4100" t="inlineStr">
        <is>
          <t>XP_036068023.1 uncharacterized protein LOC118598811 [Oryzias melastigma]</t>
        </is>
      </c>
      <c r="M4100" t="n">
        <v>333</v>
      </c>
      <c r="N4100" t="inlineStr">
        <is>
          <t>Oryzias melastigma</t>
        </is>
      </c>
      <c r="O4100" t="inlineStr">
        <is>
          <t>uncharacterized protein LOC118598811</t>
        </is>
      </c>
    </row>
    <row r="4101">
      <c r="A4101" t="inlineStr"/>
      <c r="B4101" t="inlineStr"/>
      <c r="C4101" t="inlineStr"/>
      <c r="D4101" t="inlineStr"/>
      <c r="E4101">
        <f>HYPERLINK("https://www.uniprot.org/uniprotkb/A0A803JEY3/entry", "A0A803JEY3")</f>
        <v/>
      </c>
      <c r="F4101" t="n">
        <v>59.6</v>
      </c>
      <c r="G4101" t="n">
        <v>141</v>
      </c>
      <c r="H4101" t="n">
        <v>2.11e-48</v>
      </c>
      <c r="I4101" t="inlineStr">
        <is>
          <t>TrEMBL</t>
        </is>
      </c>
      <c r="J4101" t="inlineStr"/>
      <c r="K4101" t="inlineStr">
        <is>
          <t>A0A803JEY3_XENTR</t>
        </is>
      </c>
      <c r="L4101" t="inlineStr">
        <is>
          <t>tr|A0A803JEY3|A0A803JEY3_XENTR ribonuclease H OS=Xenopus tropicalis OX=8364 PE=3 SV=1</t>
        </is>
      </c>
      <c r="M4101" t="n">
        <v>1222</v>
      </c>
      <c r="N4101" t="inlineStr">
        <is>
          <t>Xenopus tropicalis</t>
        </is>
      </c>
      <c r="O4101" t="inlineStr">
        <is>
          <t>ribonuclease H</t>
        </is>
      </c>
    </row>
    <row r="4102">
      <c r="A4102" t="inlineStr"/>
      <c r="B4102" t="inlineStr"/>
      <c r="C4102" t="inlineStr"/>
      <c r="D4102" t="inlineStr"/>
      <c r="E4102">
        <f>HYPERLINK("https://www.uniprot.org/uniprotkb/A0A8J1LPH9/entry", "A0A8J1LPH9")</f>
        <v/>
      </c>
      <c r="F4102" t="n">
        <v>57.9</v>
      </c>
      <c r="G4102" t="n">
        <v>140</v>
      </c>
      <c r="H4102" t="n">
        <v>2.11e-48</v>
      </c>
      <c r="I4102" t="inlineStr">
        <is>
          <t>TrEMBL</t>
        </is>
      </c>
      <c r="J4102" t="inlineStr">
        <is>
          <t>LOC121397614</t>
        </is>
      </c>
      <c r="K4102" t="inlineStr">
        <is>
          <t>A0A8J1LPH9_XENLA</t>
        </is>
      </c>
      <c r="L4102" t="inlineStr">
        <is>
          <t>tr|A0A8J1LPH9|A0A8J1LPH9_XENLA ribonuclease H OS=Xenopus laevis OX=8355 GN=LOC121397614 PE=3 SV=1</t>
        </is>
      </c>
      <c r="M4102" t="n">
        <v>892</v>
      </c>
      <c r="N4102" t="inlineStr">
        <is>
          <t>Xenopus laevis</t>
        </is>
      </c>
      <c r="O4102" t="inlineStr">
        <is>
          <t>ribonuclease H</t>
        </is>
      </c>
    </row>
    <row r="4103">
      <c r="A4103" t="inlineStr"/>
      <c r="B4103" t="inlineStr"/>
      <c r="C4103" t="inlineStr"/>
      <c r="D4103" t="inlineStr"/>
      <c r="E4103">
        <f>HYPERLINK("https://www.uniprot.org/uniprotkb/A0A8C5LU98/entry", "A0A8C5LU98")</f>
        <v/>
      </c>
      <c r="F4103" t="n">
        <v>60.7</v>
      </c>
      <c r="G4103" t="n">
        <v>140</v>
      </c>
      <c r="H4103" t="n">
        <v>2.13e-48</v>
      </c>
      <c r="I4103" t="inlineStr">
        <is>
          <t>TrEMBL</t>
        </is>
      </c>
      <c r="J4103" t="inlineStr"/>
      <c r="K4103" t="inlineStr">
        <is>
          <t>A0A8C5LU98_9ANUR</t>
        </is>
      </c>
      <c r="L4103" t="inlineStr">
        <is>
          <t>tr|A0A8C5LU98|A0A8C5LU98_9ANUR ribonuclease H OS=Leptobrachium leishanense OX=445787 PE=3 SV=1</t>
        </is>
      </c>
      <c r="M4103" t="n">
        <v>1471</v>
      </c>
      <c r="N4103" t="inlineStr">
        <is>
          <t>Leptobrachium leishanense</t>
        </is>
      </c>
      <c r="O4103" t="inlineStr">
        <is>
          <t>ribonuclease H</t>
        </is>
      </c>
    </row>
    <row r="4104">
      <c r="A4104" t="inlineStr"/>
      <c r="B4104" t="inlineStr"/>
      <c r="C4104" t="inlineStr"/>
      <c r="D4104" t="inlineStr"/>
      <c r="E4104">
        <f>HYPERLINK("https://www.uniprot.org/uniprotkb/A0A8C5QDV6/entry", "A0A8C5QDV6")</f>
        <v/>
      </c>
      <c r="F4104" t="n">
        <v>59</v>
      </c>
      <c r="G4104" t="n">
        <v>144</v>
      </c>
      <c r="H4104" t="n">
        <v>2.68e-48</v>
      </c>
      <c r="I4104" t="inlineStr">
        <is>
          <t>TrEMBL</t>
        </is>
      </c>
      <c r="J4104" t="inlineStr"/>
      <c r="K4104" t="inlineStr">
        <is>
          <t>A0A8C5QDV6_9ANUR</t>
        </is>
      </c>
      <c r="L4104" t="inlineStr">
        <is>
          <t>tr|A0A8C5QDV6|A0A8C5QDV6_9ANUR ribonuclease H OS=Leptobrachium leishanense OX=445787 PE=3 SV=1</t>
        </is>
      </c>
      <c r="M4104" t="n">
        <v>801</v>
      </c>
      <c r="N4104" t="inlineStr">
        <is>
          <t>Leptobrachium leishanense</t>
        </is>
      </c>
      <c r="O4104" t="inlineStr">
        <is>
          <t>ribonuclease H</t>
        </is>
      </c>
    </row>
    <row r="4105">
      <c r="A4105" t="inlineStr"/>
      <c r="B4105" t="inlineStr"/>
      <c r="C4105" t="inlineStr"/>
      <c r="D4105" t="inlineStr"/>
      <c r="E4105">
        <f>HYPERLINK("https://www.ncbi.nlm.nih.gov/gene/?term=KAE8602318.1", "KAE8602318.1")</f>
        <v/>
      </c>
      <c r="F4105" t="n">
        <v>59.3</v>
      </c>
      <c r="G4105" t="n">
        <v>140</v>
      </c>
      <c r="H4105" t="n">
        <v>4.139999999999999e-48</v>
      </c>
      <c r="I4105" t="inlineStr">
        <is>
          <t>Nr</t>
        </is>
      </c>
      <c r="J4105" t="inlineStr"/>
      <c r="K4105" t="inlineStr"/>
      <c r="L4105" t="inlineStr">
        <is>
          <t>KAE8602318.1 hypothetical protein XENTR_v10013944 [Xenopus tropicalis]</t>
        </is>
      </c>
      <c r="M4105" t="n">
        <v>3174</v>
      </c>
      <c r="N4105" t="inlineStr">
        <is>
          <t>Xenopus tropicalis</t>
        </is>
      </c>
      <c r="O4105" t="inlineStr">
        <is>
          <t>hypothetical protein XENTR_v10013944</t>
        </is>
      </c>
    </row>
    <row r="4106">
      <c r="A4106" t="inlineStr"/>
      <c r="B4106" t="inlineStr"/>
      <c r="C4106" t="inlineStr"/>
      <c r="D4106" t="inlineStr"/>
      <c r="E4106">
        <f>HYPERLINK("https://www.ncbi.nlm.nih.gov/gene/?term=XP_041430600.1", "XP_041430600.1")</f>
        <v/>
      </c>
      <c r="F4106" t="n">
        <v>57.9</v>
      </c>
      <c r="G4106" t="n">
        <v>140</v>
      </c>
      <c r="H4106" t="n">
        <v>5.43e-48</v>
      </c>
      <c r="I4106" t="inlineStr">
        <is>
          <t>Nr</t>
        </is>
      </c>
      <c r="J4106" t="inlineStr"/>
      <c r="K4106" t="inlineStr"/>
      <c r="L4106" t="inlineStr">
        <is>
          <t>XP_041430600.1 uncharacterized protein LOC121397614 [Xenopus laevis]</t>
        </is>
      </c>
      <c r="M4106" t="n">
        <v>892</v>
      </c>
      <c r="N4106" t="inlineStr">
        <is>
          <t>Xenopus laevis</t>
        </is>
      </c>
      <c r="O4106" t="inlineStr">
        <is>
          <t>uncharacterized protein LOC121397614</t>
        </is>
      </c>
    </row>
    <row r="4107">
      <c r="A4107" t="inlineStr"/>
      <c r="B4107" t="inlineStr"/>
      <c r="C4107" t="inlineStr"/>
      <c r="D4107" t="inlineStr"/>
      <c r="E4107">
        <f>HYPERLINK("https://www.uniprot.org/uniprotkb/A0A8C5MT33/entry", "A0A8C5MT33")</f>
        <v/>
      </c>
      <c r="F4107" t="n">
        <v>59</v>
      </c>
      <c r="G4107" t="n">
        <v>139</v>
      </c>
      <c r="H4107" t="n">
        <v>7.27e-48</v>
      </c>
      <c r="I4107" t="inlineStr">
        <is>
          <t>TrEMBL</t>
        </is>
      </c>
      <c r="J4107" t="inlineStr"/>
      <c r="K4107" t="inlineStr">
        <is>
          <t>A0A8C5MT33_9ANUR</t>
        </is>
      </c>
      <c r="L4107" t="inlineStr">
        <is>
          <t>tr|A0A8C5MT33|A0A8C5MT33_9ANUR ribonuclease H OS=Leptobrachium leishanense OX=445787 PE=3 SV=1</t>
        </is>
      </c>
      <c r="M4107" t="n">
        <v>883</v>
      </c>
      <c r="N4107" t="inlineStr">
        <is>
          <t>Leptobrachium leishanense</t>
        </is>
      </c>
      <c r="O4107" t="inlineStr">
        <is>
          <t>ribonuclease H</t>
        </is>
      </c>
    </row>
    <row r="4108">
      <c r="A4108" t="inlineStr"/>
      <c r="B4108" t="inlineStr"/>
      <c r="C4108" t="inlineStr"/>
      <c r="D4108" t="inlineStr"/>
      <c r="E4108">
        <f>HYPERLINK("https://www.uniprot.org/uniprotkb/A0A8C5MD34/entry", "A0A8C5MD34")</f>
        <v/>
      </c>
      <c r="F4108" t="n">
        <v>59</v>
      </c>
      <c r="G4108" t="n">
        <v>139</v>
      </c>
      <c r="H4108" t="n">
        <v>7.919999999999999e-48</v>
      </c>
      <c r="I4108" t="inlineStr">
        <is>
          <t>TrEMBL</t>
        </is>
      </c>
      <c r="J4108" t="inlineStr"/>
      <c r="K4108" t="inlineStr">
        <is>
          <t>A0A8C5MD34_9ANUR</t>
        </is>
      </c>
      <c r="L4108" t="inlineStr">
        <is>
          <t>tr|A0A8C5MD34|A0A8C5MD34_9ANUR ribonuclease H OS=Leptobrachium leishanense OX=445787 PE=3 SV=1</t>
        </is>
      </c>
      <c r="M4108" t="n">
        <v>913</v>
      </c>
      <c r="N4108" t="inlineStr">
        <is>
          <t>Leptobrachium leishanense</t>
        </is>
      </c>
      <c r="O4108" t="inlineStr">
        <is>
          <t>ribonuclease H</t>
        </is>
      </c>
    </row>
    <row r="4109">
      <c r="A4109" t="inlineStr"/>
      <c r="B4109" t="inlineStr"/>
      <c r="C4109" t="inlineStr"/>
      <c r="D4109" t="inlineStr"/>
      <c r="E4109">
        <f>HYPERLINK("https://www.uniprot.org/uniprotkb/A0A8C5WDZ6/entry", "A0A8C5WDZ6")</f>
        <v/>
      </c>
      <c r="F4109" t="n">
        <v>60</v>
      </c>
      <c r="G4109" t="n">
        <v>140</v>
      </c>
      <c r="H4109" t="n">
        <v>8.02e-48</v>
      </c>
      <c r="I4109" t="inlineStr">
        <is>
          <t>TrEMBL</t>
        </is>
      </c>
      <c r="J4109" t="inlineStr"/>
      <c r="K4109" t="inlineStr">
        <is>
          <t>A0A8C5WDZ6_9ANUR</t>
        </is>
      </c>
      <c r="L4109" t="inlineStr">
        <is>
          <t>tr|A0A8C5WDZ6|A0A8C5WDZ6_9ANUR ribonuclease H OS=Leptobrachium leishanense OX=445787 PE=3 SV=1</t>
        </is>
      </c>
      <c r="M4109" t="n">
        <v>918</v>
      </c>
      <c r="N4109" t="inlineStr">
        <is>
          <t>Leptobrachium leishanense</t>
        </is>
      </c>
      <c r="O4109" t="inlineStr">
        <is>
          <t>ribonuclease H</t>
        </is>
      </c>
    </row>
    <row r="4110">
      <c r="A4110" t="inlineStr"/>
      <c r="B4110" t="inlineStr"/>
      <c r="C4110" t="inlineStr"/>
      <c r="D4110" t="inlineStr"/>
      <c r="E4110">
        <f>HYPERLINK("https://www.uniprot.org/uniprotkb/A0A8C5M421/entry", "A0A8C5M421")</f>
        <v/>
      </c>
      <c r="F4110" t="n">
        <v>60</v>
      </c>
      <c r="G4110" t="n">
        <v>140</v>
      </c>
      <c r="H4110" t="n">
        <v>9.949999999999999e-48</v>
      </c>
      <c r="I4110" t="inlineStr">
        <is>
          <t>TrEMBL</t>
        </is>
      </c>
      <c r="J4110" t="inlineStr"/>
      <c r="K4110" t="inlineStr">
        <is>
          <t>A0A8C5M421_9ANUR</t>
        </is>
      </c>
      <c r="L4110" t="inlineStr">
        <is>
          <t>tr|A0A8C5M421|A0A8C5M421_9ANUR Reverse transcriptase OS=Leptobrachium leishanense OX=445787 PE=3 SV=1</t>
        </is>
      </c>
      <c r="M4110" t="n">
        <v>1245</v>
      </c>
      <c r="N4110" t="inlineStr">
        <is>
          <t>Leptobrachium leishanense</t>
        </is>
      </c>
      <c r="O4110" t="inlineStr">
        <is>
          <t>Reverse transcriptase</t>
        </is>
      </c>
    </row>
    <row r="4111">
      <c r="A4111" t="inlineStr"/>
      <c r="B4111" t="inlineStr"/>
      <c r="C4111" t="inlineStr"/>
      <c r="D4111" t="inlineStr"/>
      <c r="E4111">
        <f>HYPERLINK("https://www.uniprot.org/uniprotkb/A0A8C5MPS0/entry", "A0A8C5MPS0")</f>
        <v/>
      </c>
      <c r="F4111" t="n">
        <v>60</v>
      </c>
      <c r="G4111" t="n">
        <v>140</v>
      </c>
      <c r="H4111" t="n">
        <v>1.01e-47</v>
      </c>
      <c r="I4111" t="inlineStr">
        <is>
          <t>TrEMBL</t>
        </is>
      </c>
      <c r="J4111" t="inlineStr"/>
      <c r="K4111" t="inlineStr">
        <is>
          <t>A0A8C5MPS0_9ANUR</t>
        </is>
      </c>
      <c r="L4111" t="inlineStr">
        <is>
          <t>tr|A0A8C5MPS0|A0A8C5MPS0_9ANUR Reverse transcriptase OS=Leptobrachium leishanense OX=445787 PE=3 SV=1</t>
        </is>
      </c>
      <c r="M4111" t="n">
        <v>1529</v>
      </c>
      <c r="N4111" t="inlineStr">
        <is>
          <t>Leptobrachium leishanense</t>
        </is>
      </c>
      <c r="O4111" t="inlineStr">
        <is>
          <t>Reverse transcriptase</t>
        </is>
      </c>
    </row>
    <row r="4112">
      <c r="A4112" t="inlineStr"/>
      <c r="B4112" t="inlineStr"/>
      <c r="C4112" t="inlineStr"/>
      <c r="D4112" t="inlineStr"/>
      <c r="E4112">
        <f>HYPERLINK("https://www.uniprot.org/uniprotkb/A0A0S7IZ73/entry", "A0A0S7IZ73")</f>
        <v/>
      </c>
      <c r="F4112" t="n">
        <v>60.6</v>
      </c>
      <c r="G4112" t="n">
        <v>137</v>
      </c>
      <c r="H4112" t="n">
        <v>1.07e-47</v>
      </c>
      <c r="I4112" t="inlineStr">
        <is>
          <t>TrEMBL</t>
        </is>
      </c>
      <c r="J4112" t="inlineStr">
        <is>
          <t>RTF21</t>
        </is>
      </c>
      <c r="K4112" t="inlineStr">
        <is>
          <t>A0A0S7IZ73_9TELE</t>
        </is>
      </c>
      <c r="L4112" t="inlineStr">
        <is>
          <t>tr|A0A0S7IZ73|A0A0S7IZ73_9TELE ribonuclease H (Fragment) OS=Poeciliopsis prolifica OX=188132 GN=RTF21 PE=3 SV=1</t>
        </is>
      </c>
      <c r="M4112" t="n">
        <v>241</v>
      </c>
      <c r="N4112" t="inlineStr">
        <is>
          <t>Poeciliopsis prolifica</t>
        </is>
      </c>
      <c r="O4112" t="inlineStr">
        <is>
          <t>ribonuclease H (Fragment)</t>
        </is>
      </c>
    </row>
    <row r="4113">
      <c r="A4113" t="inlineStr"/>
      <c r="B4113" t="inlineStr"/>
      <c r="C4113" t="inlineStr"/>
      <c r="D4113" t="inlineStr"/>
      <c r="E4113">
        <f>HYPERLINK("https://www.uniprot.org/uniprotkb/A0A8C5MXY0/entry", "A0A8C5MXY0")</f>
        <v/>
      </c>
      <c r="F4113" t="n">
        <v>56.8</v>
      </c>
      <c r="G4113" t="n">
        <v>139</v>
      </c>
      <c r="H4113" t="n">
        <v>1.15e-47</v>
      </c>
      <c r="I4113" t="inlineStr">
        <is>
          <t>TrEMBL</t>
        </is>
      </c>
      <c r="J4113" t="inlineStr"/>
      <c r="K4113" t="inlineStr">
        <is>
          <t>A0A8C5MXY0_9ANUR</t>
        </is>
      </c>
      <c r="L4113" t="inlineStr">
        <is>
          <t>tr|A0A8C5MXY0|A0A8C5MXY0_9ANUR ribonuclease H OS=Leptobrachium leishanense OX=445787 PE=3 SV=1</t>
        </is>
      </c>
      <c r="M4113" t="n">
        <v>731</v>
      </c>
      <c r="N4113" t="inlineStr">
        <is>
          <t>Leptobrachium leishanense</t>
        </is>
      </c>
      <c r="O4113" t="inlineStr">
        <is>
          <t>ribonuclease H</t>
        </is>
      </c>
    </row>
    <row r="4114">
      <c r="A4114" t="inlineStr"/>
      <c r="B4114" t="inlineStr"/>
      <c r="C4114" t="inlineStr"/>
      <c r="D4114" t="inlineStr"/>
      <c r="E4114">
        <f>HYPERLINK("https://www.uniprot.org/uniprotkb/A0A8C5W779/entry", "A0A8C5W779")</f>
        <v/>
      </c>
      <c r="F4114" t="n">
        <v>57.2</v>
      </c>
      <c r="G4114" t="n">
        <v>145</v>
      </c>
      <c r="H4114" t="n">
        <v>1.35e-47</v>
      </c>
      <c r="I4114" t="inlineStr">
        <is>
          <t>TrEMBL</t>
        </is>
      </c>
      <c r="J4114" t="inlineStr"/>
      <c r="K4114" t="inlineStr">
        <is>
          <t>A0A8C5W779_9ANUR</t>
        </is>
      </c>
      <c r="L4114" t="inlineStr">
        <is>
          <t>tr|A0A8C5W779|A0A8C5W779_9ANUR ribonuclease H OS=Leptobrachium leishanense OX=445787 PE=3 SV=1</t>
        </is>
      </c>
      <c r="M4114" t="n">
        <v>1165</v>
      </c>
      <c r="N4114" t="inlineStr">
        <is>
          <t>Leptobrachium leishanense</t>
        </is>
      </c>
      <c r="O4114" t="inlineStr">
        <is>
          <t>ribonuclease H</t>
        </is>
      </c>
    </row>
    <row r="4115">
      <c r="A4115" t="inlineStr"/>
      <c r="B4115" t="inlineStr"/>
      <c r="C4115" t="inlineStr"/>
      <c r="D4115" t="inlineStr"/>
      <c r="E4115">
        <f>HYPERLINK("https://www.uniprot.org/uniprotkb/A0A3B3BMY4/entry", "A0A3B3BMY4")</f>
        <v/>
      </c>
      <c r="F4115" t="n">
        <v>62.3</v>
      </c>
      <c r="G4115" t="n">
        <v>138</v>
      </c>
      <c r="H4115" t="n">
        <v>1.36e-47</v>
      </c>
      <c r="I4115" t="inlineStr">
        <is>
          <t>TrEMBL</t>
        </is>
      </c>
      <c r="J4115" t="inlineStr"/>
      <c r="K4115" t="inlineStr">
        <is>
          <t>A0A3B3BMY4_ORYME</t>
        </is>
      </c>
      <c r="L4115" t="inlineStr">
        <is>
          <t>tr|A0A3B3BMY4|A0A3B3BMY4_ORYME ribonuclease H OS=Oryzias melastigma OX=30732 PE=3 SV=1</t>
        </is>
      </c>
      <c r="M4115" t="n">
        <v>1273</v>
      </c>
      <c r="N4115" t="inlineStr">
        <is>
          <t>Oryzias melastigma</t>
        </is>
      </c>
      <c r="O4115" t="inlineStr">
        <is>
          <t>ribonuclease H</t>
        </is>
      </c>
    </row>
    <row r="4116">
      <c r="A4116" t="inlineStr"/>
      <c r="B4116" t="inlineStr"/>
      <c r="C4116" t="inlineStr"/>
      <c r="D4116" t="inlineStr"/>
      <c r="E4116">
        <f>HYPERLINK("https://www.uniprot.org/uniprotkb/A0A4W5K794/entry", "A0A4W5K794")</f>
        <v/>
      </c>
      <c r="F4116" t="n">
        <v>56.4</v>
      </c>
      <c r="G4116" t="n">
        <v>140</v>
      </c>
      <c r="H4116" t="n">
        <v>1.85e-47</v>
      </c>
      <c r="I4116" t="inlineStr">
        <is>
          <t>TrEMBL</t>
        </is>
      </c>
      <c r="J4116" t="inlineStr"/>
      <c r="K4116" t="inlineStr">
        <is>
          <t>A0A4W5K794_9TELE</t>
        </is>
      </c>
      <c r="L4116" t="inlineStr">
        <is>
          <t>tr|A0A4W5K794|A0A4W5K794_9TELE ribonuclease H OS=Hucho hucho OX=62062 PE=3 SV=1</t>
        </is>
      </c>
      <c r="M4116" t="n">
        <v>566</v>
      </c>
      <c r="N4116" t="inlineStr">
        <is>
          <t>Hucho hucho</t>
        </is>
      </c>
      <c r="O4116" t="inlineStr">
        <is>
          <t>ribonuclease H</t>
        </is>
      </c>
    </row>
    <row r="4117">
      <c r="A4117" t="inlineStr"/>
      <c r="B4117" t="inlineStr"/>
      <c r="C4117" t="inlineStr"/>
      <c r="D4117" t="inlineStr"/>
      <c r="E4117">
        <f>HYPERLINK("https://www.ncbi.nlm.nih.gov/gene/?term=XP_051731953.1", "XP_051731953.1")</f>
        <v/>
      </c>
      <c r="F4117" t="n">
        <v>61.2</v>
      </c>
      <c r="G4117" t="n">
        <v>139</v>
      </c>
      <c r="H4117" t="n">
        <v>4.580000000000001e-47</v>
      </c>
      <c r="I4117" t="inlineStr">
        <is>
          <t>Nr</t>
        </is>
      </c>
      <c r="J4117" t="inlineStr"/>
      <c r="K4117" t="inlineStr"/>
      <c r="L4117" t="inlineStr">
        <is>
          <t>XP_051731953.1 uncharacterized protein LOC127502726 isoform X1 [Ctenopharyngodon idella]</t>
        </is>
      </c>
      <c r="M4117" t="n">
        <v>796</v>
      </c>
      <c r="N4117" t="inlineStr">
        <is>
          <t>Ctenopharyngodon idella</t>
        </is>
      </c>
      <c r="O4117" t="inlineStr">
        <is>
          <t>uncharacterized protein LOC127502726 isoform X1</t>
        </is>
      </c>
    </row>
    <row r="4118">
      <c r="A4118" t="inlineStr"/>
      <c r="B4118" t="inlineStr"/>
      <c r="C4118" t="inlineStr"/>
      <c r="D4118" t="inlineStr"/>
      <c r="E4118">
        <f>HYPERLINK("https://www.ncbi.nlm.nih.gov/gene/?term=CDO75385.1", "CDO75385.1")</f>
        <v/>
      </c>
      <c r="F4118" t="n">
        <v>52.9</v>
      </c>
      <c r="G4118" t="n">
        <v>140</v>
      </c>
      <c r="H4118" t="n">
        <v>8.07e-47</v>
      </c>
      <c r="I4118" t="inlineStr">
        <is>
          <t>Nr</t>
        </is>
      </c>
      <c r="J4118" t="inlineStr"/>
      <c r="K4118" t="inlineStr"/>
      <c r="L4118" t="inlineStr">
        <is>
          <t>CDO75385.1 hypothetical protein BN946_scf185012.g2 [Trametes cinnabarina]</t>
        </is>
      </c>
      <c r="M4118" t="n">
        <v>267</v>
      </c>
      <c r="N4118" t="inlineStr">
        <is>
          <t>Trametes cinnabarina</t>
        </is>
      </c>
      <c r="O4118" t="inlineStr">
        <is>
          <t>hypothetical protein BN946_scf185012.g2</t>
        </is>
      </c>
    </row>
    <row r="4119">
      <c r="A4119" t="inlineStr"/>
      <c r="B4119" t="inlineStr"/>
      <c r="C4119" t="inlineStr"/>
      <c r="D4119" t="inlineStr"/>
      <c r="E4119">
        <f>HYPERLINK("https://www.ncbi.nlm.nih.gov/gene/?term=KAI2656141.1", "KAI2656141.1")</f>
        <v/>
      </c>
      <c r="F4119" t="n">
        <v>56.8</v>
      </c>
      <c r="G4119" t="n">
        <v>139</v>
      </c>
      <c r="H4119" t="n">
        <v>2.23e-46</v>
      </c>
      <c r="I4119" t="inlineStr">
        <is>
          <t>Nr</t>
        </is>
      </c>
      <c r="J4119" t="inlineStr"/>
      <c r="K4119" t="inlineStr"/>
      <c r="L4119" t="inlineStr">
        <is>
          <t>KAI2656141.1 Transposon Tf2-6 polyprotein [Labeo rohita]</t>
        </is>
      </c>
      <c r="M4119" t="n">
        <v>361</v>
      </c>
      <c r="N4119" t="inlineStr">
        <is>
          <t>Labeo rohita</t>
        </is>
      </c>
      <c r="O4119" t="inlineStr">
        <is>
          <t>Transposon Tf2-6 polyprotein</t>
        </is>
      </c>
    </row>
    <row r="4120">
      <c r="A4120" t="inlineStr"/>
      <c r="B4120" t="inlineStr"/>
      <c r="C4120" t="inlineStr"/>
      <c r="D4120" t="inlineStr"/>
      <c r="E4120">
        <f>HYPERLINK("https://www.ncbi.nlm.nih.gov/gene/?term=WP_187791933.1", "WP_187791933.1")</f>
        <v/>
      </c>
      <c r="F4120" t="n">
        <v>53.5</v>
      </c>
      <c r="G4120" t="n">
        <v>142</v>
      </c>
      <c r="H4120" t="n">
        <v>2.42e-46</v>
      </c>
      <c r="I4120" t="inlineStr">
        <is>
          <t>Nr</t>
        </is>
      </c>
      <c r="J4120" t="inlineStr"/>
      <c r="K4120" t="inlineStr"/>
      <c r="L4120" t="inlineStr">
        <is>
          <t>WP_187791933.1 reverse transcriptase family protein, partial [Salmonella sp. S102_03650]</t>
        </is>
      </c>
      <c r="M4120" t="n">
        <v>232</v>
      </c>
      <c r="N4120" t="inlineStr">
        <is>
          <t>Salmonella sp. S102_03650</t>
        </is>
      </c>
      <c r="O4120" t="inlineStr">
        <is>
          <t>reverse transcriptase family protein, partial</t>
        </is>
      </c>
    </row>
    <row r="4121">
      <c r="A4121" t="inlineStr"/>
      <c r="B4121" t="inlineStr"/>
      <c r="C4121" t="inlineStr"/>
      <c r="D4121" t="inlineStr"/>
      <c r="E4121">
        <f>HYPERLINK("https://www.ncbi.nlm.nih.gov/gene/?term=KAI3371485.1", "KAI3371485.1")</f>
        <v/>
      </c>
      <c r="F4121" t="n">
        <v>57.4</v>
      </c>
      <c r="G4121" t="n">
        <v>141</v>
      </c>
      <c r="H4121" t="n">
        <v>3.61e-46</v>
      </c>
      <c r="I4121" t="inlineStr">
        <is>
          <t>Nr</t>
        </is>
      </c>
      <c r="J4121" t="inlineStr"/>
      <c r="K4121" t="inlineStr"/>
      <c r="L4121" t="inlineStr">
        <is>
          <t>KAI3371485.1 hypothetical protein L3Q82_024069 [Scortum barcoo]</t>
        </is>
      </c>
      <c r="M4121" t="n">
        <v>338</v>
      </c>
      <c r="N4121" t="inlineStr">
        <is>
          <t>Scortum barcoo</t>
        </is>
      </c>
      <c r="O4121" t="inlineStr">
        <is>
          <t>hypothetical protein L3Q82_024069</t>
        </is>
      </c>
    </row>
    <row r="4122">
      <c r="A4122" t="inlineStr"/>
      <c r="B4122" t="inlineStr"/>
      <c r="C4122" t="inlineStr"/>
      <c r="D4122" t="inlineStr"/>
      <c r="E4122">
        <f>HYPERLINK("https://www.ncbi.nlm.nih.gov/gene/?term=KAI2653834.1", "KAI2653834.1")</f>
        <v/>
      </c>
      <c r="F4122" t="n">
        <v>59</v>
      </c>
      <c r="G4122" t="n">
        <v>139</v>
      </c>
      <c r="H4122" t="n">
        <v>5.75e-46</v>
      </c>
      <c r="I4122" t="inlineStr">
        <is>
          <t>Nr</t>
        </is>
      </c>
      <c r="J4122" t="inlineStr"/>
      <c r="K4122" t="inlineStr"/>
      <c r="L4122" t="inlineStr">
        <is>
          <t>KAI2653834.1 Transposon Tf2-6 polyprotein [Labeo rohita]</t>
        </is>
      </c>
      <c r="M4122" t="n">
        <v>1562</v>
      </c>
      <c r="N4122" t="inlineStr">
        <is>
          <t>Labeo rohita</t>
        </is>
      </c>
      <c r="O4122" t="inlineStr">
        <is>
          <t>Transposon Tf2-6 polyprotein</t>
        </is>
      </c>
    </row>
    <row r="4123">
      <c r="A4123" t="inlineStr"/>
      <c r="B4123" t="inlineStr"/>
      <c r="C4123" t="inlineStr"/>
      <c r="D4123" t="inlineStr"/>
      <c r="E4123">
        <f>HYPERLINK("https://www.ncbi.nlm.nih.gov/gene/?term=XP_040202660.1", "XP_040202660.1")</f>
        <v/>
      </c>
      <c r="F4123" t="n">
        <v>59</v>
      </c>
      <c r="G4123" t="n">
        <v>139</v>
      </c>
      <c r="H4123" t="n">
        <v>5.79e-46</v>
      </c>
      <c r="I4123" t="inlineStr">
        <is>
          <t>Nr</t>
        </is>
      </c>
      <c r="J4123" t="inlineStr"/>
      <c r="K4123" t="inlineStr"/>
      <c r="L4123" t="inlineStr">
        <is>
          <t>XP_040202660.1 E3 ubiquitin-protein ligase TRIM23 [Rana temporaria]</t>
        </is>
      </c>
      <c r="M4123" t="n">
        <v>1775</v>
      </c>
      <c r="N4123" t="inlineStr">
        <is>
          <t>Rana temporaria</t>
        </is>
      </c>
      <c r="O4123" t="inlineStr">
        <is>
          <t>E3 ubiquitin-protein ligase TRIM23</t>
        </is>
      </c>
    </row>
    <row r="4124">
      <c r="A4124" t="inlineStr"/>
      <c r="B4124" t="inlineStr"/>
      <c r="C4124" t="inlineStr"/>
      <c r="D4124" t="inlineStr"/>
      <c r="E4124">
        <f>HYPERLINK("https://www.ncbi.nlm.nih.gov/gene/?term=XP_014176229.1", "XP_014176229.1")</f>
        <v/>
      </c>
      <c r="F4124" t="n">
        <v>56.7</v>
      </c>
      <c r="G4124" t="n">
        <v>141</v>
      </c>
      <c r="H4124" t="n">
        <v>5.79e-46</v>
      </c>
      <c r="I4124" t="inlineStr">
        <is>
          <t>Nr</t>
        </is>
      </c>
      <c r="J4124" t="inlineStr"/>
      <c r="K4124" t="inlineStr"/>
      <c r="L4124" t="inlineStr">
        <is>
          <t>XP_014176229.1 retrotransposon nucleocapsid protein [Trichosporon asahii var. asahii CBS 2479]</t>
        </is>
      </c>
      <c r="M4124" t="n">
        <v>1785</v>
      </c>
      <c r="N4124" t="inlineStr">
        <is>
          <t>Trichosporon asahii var. asahii CBS 2479</t>
        </is>
      </c>
      <c r="O4124" t="inlineStr">
        <is>
          <t>retrotransposon nucleocapsid protein</t>
        </is>
      </c>
    </row>
    <row r="4125">
      <c r="A4125" t="inlineStr"/>
      <c r="B4125" t="inlineStr"/>
      <c r="C4125" t="inlineStr"/>
      <c r="D4125" t="inlineStr"/>
      <c r="E4125">
        <f>HYPERLINK("https://www.ncbi.nlm.nih.gov/gene/?term=XP_041434034.1", "XP_041434034.1")</f>
        <v/>
      </c>
      <c r="F4125" t="n">
        <v>58.5</v>
      </c>
      <c r="G4125" t="n">
        <v>142</v>
      </c>
      <c r="H4125" t="n">
        <v>7.77e-46</v>
      </c>
      <c r="I4125" t="inlineStr">
        <is>
          <t>Nr</t>
        </is>
      </c>
      <c r="J4125" t="inlineStr"/>
      <c r="K4125" t="inlineStr"/>
      <c r="L4125" t="inlineStr">
        <is>
          <t>XP_041434034.1 uncharacterized protein LOC121398794 [Xenopus laevis]</t>
        </is>
      </c>
      <c r="M4125" t="n">
        <v>694</v>
      </c>
      <c r="N4125" t="inlineStr">
        <is>
          <t>Xenopus laevis</t>
        </is>
      </c>
      <c r="O4125" t="inlineStr">
        <is>
          <t>uncharacterized protein LOC121398794</t>
        </is>
      </c>
    </row>
    <row r="4126">
      <c r="A4126" t="inlineStr"/>
      <c r="B4126" t="inlineStr"/>
      <c r="C4126" t="inlineStr"/>
      <c r="D4126" t="inlineStr"/>
      <c r="E4126">
        <f>HYPERLINK("https://www.ncbi.nlm.nih.gov/gene/?term=XP_017945114.2", "XP_017945114.2")</f>
        <v/>
      </c>
      <c r="F4126" t="n">
        <v>57.1</v>
      </c>
      <c r="G4126" t="n">
        <v>140</v>
      </c>
      <c r="H4126" t="n">
        <v>7.829999999999999e-46</v>
      </c>
      <c r="I4126" t="inlineStr">
        <is>
          <t>Nr</t>
        </is>
      </c>
      <c r="J4126" t="inlineStr"/>
      <c r="K4126" t="inlineStr"/>
      <c r="L4126" t="inlineStr">
        <is>
          <t>XP_017945114.2 uncharacterized protein LOC108644811 [Xenopus tropicalis]</t>
        </is>
      </c>
      <c r="M4126" t="n">
        <v>1528</v>
      </c>
      <c r="N4126" t="inlineStr">
        <is>
          <t>Xenopus tropicalis</t>
        </is>
      </c>
      <c r="O4126" t="inlineStr">
        <is>
          <t>uncharacterized protein LOC108644811</t>
        </is>
      </c>
    </row>
    <row r="4127">
      <c r="A4127" t="inlineStr"/>
      <c r="B4127" t="inlineStr"/>
      <c r="C4127" t="inlineStr"/>
      <c r="D4127" t="inlineStr"/>
      <c r="E4127">
        <f>HYPERLINK("https://www.ncbi.nlm.nih.gov/gene/?term=KAF7647357.1", "KAF7647357.1")</f>
        <v/>
      </c>
      <c r="F4127" t="n">
        <v>56.9</v>
      </c>
      <c r="G4127" t="n">
        <v>137</v>
      </c>
      <c r="H4127" t="n">
        <v>1.02e-45</v>
      </c>
      <c r="I4127" t="inlineStr">
        <is>
          <t>Nr</t>
        </is>
      </c>
      <c r="J4127" t="inlineStr"/>
      <c r="K4127" t="inlineStr"/>
      <c r="L4127" t="inlineStr">
        <is>
          <t>KAF7647357.1 hypothetical protein LDENG_00173640 [Lucifuga dentata]</t>
        </is>
      </c>
      <c r="M4127" t="n">
        <v>431</v>
      </c>
      <c r="N4127" t="inlineStr">
        <is>
          <t>Lucifuga dentata</t>
        </is>
      </c>
      <c r="O4127" t="inlineStr">
        <is>
          <t>hypothetical protein LDENG_00173640</t>
        </is>
      </c>
    </row>
    <row r="4128">
      <c r="A4128" t="inlineStr"/>
      <c r="B4128" t="inlineStr"/>
      <c r="C4128" t="inlineStr"/>
      <c r="D4128" t="inlineStr"/>
      <c r="E4128">
        <f>HYPERLINK("https://www.ncbi.nlm.nih.gov/gene/?term=KAG1924662.1", "KAG1924662.1")</f>
        <v/>
      </c>
      <c r="F4128" t="n">
        <v>58.4</v>
      </c>
      <c r="G4128" t="n">
        <v>137</v>
      </c>
      <c r="H4128" t="n">
        <v>1.03e-45</v>
      </c>
      <c r="I4128" t="inlineStr">
        <is>
          <t>Nr</t>
        </is>
      </c>
      <c r="J4128" t="inlineStr"/>
      <c r="K4128" t="inlineStr"/>
      <c r="L4128" t="inlineStr">
        <is>
          <t>KAG1924662.1 hypothetical protein F2P79_026017 [Pimephales promelas]</t>
        </is>
      </c>
      <c r="M4128" t="n">
        <v>597</v>
      </c>
      <c r="N4128" t="inlineStr">
        <is>
          <t>Pimephales promelas</t>
        </is>
      </c>
      <c r="O4128" t="inlineStr">
        <is>
          <t>hypothetical protein F2P79_026017</t>
        </is>
      </c>
    </row>
    <row r="4129">
      <c r="A4129" t="inlineStr"/>
      <c r="B4129" t="inlineStr"/>
      <c r="C4129" t="inlineStr"/>
      <c r="D4129" t="inlineStr"/>
      <c r="E4129">
        <f>HYPERLINK("https://www.ncbi.nlm.nih.gov/gene/?term=KAG1931937.1", "KAG1931937.1")</f>
        <v/>
      </c>
      <c r="F4129" t="n">
        <v>60</v>
      </c>
      <c r="G4129" t="n">
        <v>140</v>
      </c>
      <c r="H4129" t="n">
        <v>1.07e-45</v>
      </c>
      <c r="I4129" t="inlineStr">
        <is>
          <t>Nr</t>
        </is>
      </c>
      <c r="J4129" t="inlineStr"/>
      <c r="K4129" t="inlineStr"/>
      <c r="L4129" t="inlineStr">
        <is>
          <t>KAG1931937.1 retrotransposable element [Pimephales promelas]</t>
        </is>
      </c>
      <c r="M4129" t="n">
        <v>1697</v>
      </c>
      <c r="N4129" t="inlineStr">
        <is>
          <t>Pimephales promelas</t>
        </is>
      </c>
      <c r="O4129" t="inlineStr">
        <is>
          <t>retrotransposable element</t>
        </is>
      </c>
    </row>
    <row r="4130">
      <c r="A4130" t="inlineStr"/>
      <c r="B4130" t="inlineStr"/>
      <c r="C4130" t="inlineStr"/>
      <c r="D4130" t="inlineStr"/>
      <c r="E4130">
        <f>HYPERLINK("https://www.ncbi.nlm.nih.gov/gene/?term=KAG1934122.1", "KAG1934122.1")</f>
        <v/>
      </c>
      <c r="F4130" t="n">
        <v>58.1</v>
      </c>
      <c r="G4130" t="n">
        <v>136</v>
      </c>
      <c r="H4130" t="n">
        <v>1.19e-45</v>
      </c>
      <c r="I4130" t="inlineStr">
        <is>
          <t>Nr</t>
        </is>
      </c>
      <c r="J4130" t="inlineStr"/>
      <c r="K4130" t="inlineStr"/>
      <c r="L4130" t="inlineStr">
        <is>
          <t>KAG1934122.1 retrotransposable element [Pimephales promelas]</t>
        </is>
      </c>
      <c r="M4130" t="n">
        <v>475</v>
      </c>
      <c r="N4130" t="inlineStr">
        <is>
          <t>Pimephales promelas</t>
        </is>
      </c>
      <c r="O4130" t="inlineStr">
        <is>
          <t>retrotransposable element</t>
        </is>
      </c>
    </row>
    <row r="4131">
      <c r="A4131" t="inlineStr"/>
      <c r="B4131" t="inlineStr"/>
      <c r="C4131" t="inlineStr"/>
      <c r="D4131" t="inlineStr"/>
      <c r="E4131">
        <f>HYPERLINK("https://www.ncbi.nlm.nih.gov/gene/?term=KAG1930727.1", "KAG1930727.1")</f>
        <v/>
      </c>
      <c r="F4131" t="n">
        <v>59.3</v>
      </c>
      <c r="G4131" t="n">
        <v>140</v>
      </c>
      <c r="H4131" t="n">
        <v>1.42e-45</v>
      </c>
      <c r="I4131" t="inlineStr">
        <is>
          <t>Nr</t>
        </is>
      </c>
      <c r="J4131" t="inlineStr"/>
      <c r="K4131" t="inlineStr"/>
      <c r="L4131" t="inlineStr">
        <is>
          <t>KAG1930727.1 retrotransposable element [Pimephales promelas]</t>
        </is>
      </c>
      <c r="M4131" t="n">
        <v>1134</v>
      </c>
      <c r="N4131" t="inlineStr">
        <is>
          <t>Pimephales promelas</t>
        </is>
      </c>
      <c r="O4131" t="inlineStr">
        <is>
          <t>retrotransposable element</t>
        </is>
      </c>
    </row>
    <row r="4132">
      <c r="A4132" t="inlineStr"/>
      <c r="B4132" t="inlineStr"/>
      <c r="C4132" t="inlineStr"/>
      <c r="D4132" t="inlineStr"/>
      <c r="E4132">
        <f>HYPERLINK("https://www.ncbi.nlm.nih.gov/gene/?term=KAI2664082.1", "KAI2664082.1")</f>
        <v/>
      </c>
      <c r="F4132" t="n">
        <v>60.4</v>
      </c>
      <c r="G4132" t="n">
        <v>139</v>
      </c>
      <c r="H4132" t="n">
        <v>1.43e-45</v>
      </c>
      <c r="I4132" t="inlineStr">
        <is>
          <t>Nr</t>
        </is>
      </c>
      <c r="J4132" t="inlineStr"/>
      <c r="K4132" t="inlineStr"/>
      <c r="L4132" t="inlineStr">
        <is>
          <t>KAI2664082.1 Transposon Tf2-6 polyprotein [Labeo rohita]</t>
        </is>
      </c>
      <c r="M4132" t="n">
        <v>1186</v>
      </c>
      <c r="N4132" t="inlineStr">
        <is>
          <t>Labeo rohita</t>
        </is>
      </c>
      <c r="O4132" t="inlineStr">
        <is>
          <t>Transposon Tf2-6 polyprotein</t>
        </is>
      </c>
    </row>
    <row r="4133">
      <c r="A4133" t="inlineStr"/>
      <c r="B4133" t="inlineStr"/>
      <c r="C4133" t="inlineStr"/>
      <c r="D4133" t="inlineStr"/>
      <c r="E4133">
        <f>HYPERLINK("https://www.ncbi.nlm.nih.gov/gene/?term=KAG1926787.1", "KAG1926787.1")</f>
        <v/>
      </c>
      <c r="F4133" t="n">
        <v>59.3</v>
      </c>
      <c r="G4133" t="n">
        <v>140</v>
      </c>
      <c r="H4133" t="n">
        <v>1.44e-45</v>
      </c>
      <c r="I4133" t="inlineStr">
        <is>
          <t>Nr</t>
        </is>
      </c>
      <c r="J4133" t="inlineStr"/>
      <c r="K4133" t="inlineStr"/>
      <c r="L4133" t="inlineStr">
        <is>
          <t>KAG1926787.1 retrotransposable element [Pimephales promelas]</t>
        </is>
      </c>
      <c r="M4133" t="n">
        <v>1233</v>
      </c>
      <c r="N4133" t="inlineStr">
        <is>
          <t>Pimephales promelas</t>
        </is>
      </c>
      <c r="O4133" t="inlineStr">
        <is>
          <t>retrotransposable element</t>
        </is>
      </c>
    </row>
    <row r="4134">
      <c r="A4134" t="inlineStr"/>
      <c r="B4134" t="inlineStr"/>
      <c r="C4134" t="inlineStr"/>
      <c r="D4134" t="inlineStr"/>
      <c r="E4134">
        <f>HYPERLINK("https://www.ncbi.nlm.nih.gov/gene/?term=XP_040210218.1", "XP_040210218.1")</f>
        <v/>
      </c>
      <c r="F4134" t="n">
        <v>59</v>
      </c>
      <c r="G4134" t="n">
        <v>139</v>
      </c>
      <c r="H4134" t="n">
        <v>1.98e-45</v>
      </c>
      <c r="I4134" t="inlineStr">
        <is>
          <t>Nr</t>
        </is>
      </c>
      <c r="J4134" t="inlineStr"/>
      <c r="K4134" t="inlineStr"/>
      <c r="L4134" t="inlineStr">
        <is>
          <t>XP_040210218.1 retrotransposon-derived protein PEG10 [Rana temporaria]</t>
        </is>
      </c>
      <c r="M4134" t="n">
        <v>1481</v>
      </c>
      <c r="N4134" t="inlineStr">
        <is>
          <t>Rana temporaria</t>
        </is>
      </c>
      <c r="O4134" t="inlineStr">
        <is>
          <t>retrotransposon-derived protein PEG10</t>
        </is>
      </c>
    </row>
    <row r="4135">
      <c r="A4135" t="inlineStr"/>
      <c r="B4135" t="inlineStr"/>
      <c r="C4135" t="inlineStr"/>
      <c r="D4135" t="inlineStr"/>
      <c r="E4135">
        <f>HYPERLINK("https://www.ncbi.nlm.nih.gov/gene/?term=KAI2645670.1", "KAI2645670.1")</f>
        <v/>
      </c>
      <c r="F4135" t="n">
        <v>60.4</v>
      </c>
      <c r="G4135" t="n">
        <v>139</v>
      </c>
      <c r="H4135" t="n">
        <v>2.01e-45</v>
      </c>
      <c r="I4135" t="inlineStr">
        <is>
          <t>Nr</t>
        </is>
      </c>
      <c r="J4135" t="inlineStr"/>
      <c r="K4135" t="inlineStr"/>
      <c r="L4135" t="inlineStr">
        <is>
          <t>KAI2645670.1 Transposon Tf2-6 polyprotein [Labeo rohita]</t>
        </is>
      </c>
      <c r="M4135" t="n">
        <v>1871</v>
      </c>
      <c r="N4135" t="inlineStr">
        <is>
          <t>Labeo rohita</t>
        </is>
      </c>
      <c r="O4135" t="inlineStr">
        <is>
          <t>Transposon Tf2-6 polyprotein</t>
        </is>
      </c>
    </row>
    <row r="4136">
      <c r="A4136" t="inlineStr"/>
      <c r="B4136" t="inlineStr"/>
      <c r="C4136" t="inlineStr"/>
      <c r="D4136" t="inlineStr"/>
      <c r="E4136">
        <f>HYPERLINK("https://www.ncbi.nlm.nih.gov/gene/?term=XP_029114156.1", "XP_029114156.1")</f>
        <v/>
      </c>
      <c r="F4136" t="n">
        <v>56.2</v>
      </c>
      <c r="G4136" t="n">
        <v>137</v>
      </c>
      <c r="H4136" t="n">
        <v>2.57e-45</v>
      </c>
      <c r="I4136" t="inlineStr">
        <is>
          <t>Nr</t>
        </is>
      </c>
      <c r="J4136" t="inlineStr"/>
      <c r="K4136" t="inlineStr"/>
      <c r="L4136" t="inlineStr">
        <is>
          <t>XP_029114156.1 retrotransposon-like protein 1, partial [Scleropages formosus]</t>
        </is>
      </c>
      <c r="M4136" t="n">
        <v>378</v>
      </c>
      <c r="N4136" t="inlineStr">
        <is>
          <t>Scleropages formosus</t>
        </is>
      </c>
      <c r="O4136" t="inlineStr">
        <is>
          <t>retrotransposon-like protein 1, partial</t>
        </is>
      </c>
    </row>
    <row r="4137">
      <c r="A4137" t="inlineStr"/>
      <c r="B4137" t="inlineStr"/>
      <c r="C4137" t="inlineStr"/>
      <c r="D4137" t="inlineStr"/>
      <c r="E4137">
        <f>HYPERLINK("https://www.ncbi.nlm.nih.gov/gene/?term=XP_016847238.1", "XP_016847238.1")</f>
        <v/>
      </c>
      <c r="F4137" t="n">
        <v>55.1</v>
      </c>
      <c r="G4137" t="n">
        <v>136</v>
      </c>
      <c r="H4137" t="n">
        <v>2.77e-45</v>
      </c>
      <c r="I4137" t="inlineStr">
        <is>
          <t>Nr</t>
        </is>
      </c>
      <c r="J4137" t="inlineStr"/>
      <c r="K4137" t="inlineStr"/>
      <c r="L4137" t="inlineStr">
        <is>
          <t>XP_016847238.1 PREDICTED: RNA-directed DNA polymerase homolog, partial [Anolis carolinensis]</t>
        </is>
      </c>
      <c r="M4137" t="n">
        <v>232</v>
      </c>
      <c r="N4137" t="inlineStr">
        <is>
          <t>Anolis carolinensis</t>
        </is>
      </c>
      <c r="O4137" t="inlineStr">
        <is>
          <t>PREDICTED: RNA-directed DNA polymerase homolog, partial</t>
        </is>
      </c>
    </row>
    <row r="4138">
      <c r="A4138" t="inlineStr"/>
      <c r="B4138" t="inlineStr"/>
      <c r="C4138" t="inlineStr"/>
      <c r="D4138" t="inlineStr"/>
      <c r="E4138">
        <f>HYPERLINK("https://www.ncbi.nlm.nih.gov/gene/?term=XP_017214371.1", "XP_017214371.1")</f>
        <v/>
      </c>
      <c r="F4138" t="n">
        <v>55.8</v>
      </c>
      <c r="G4138" t="n">
        <v>138</v>
      </c>
      <c r="H4138" t="n">
        <v>3.25e-45</v>
      </c>
      <c r="I4138" t="inlineStr">
        <is>
          <t>Nr</t>
        </is>
      </c>
      <c r="J4138" t="inlineStr"/>
      <c r="K4138" t="inlineStr"/>
      <c r="L4138" t="inlineStr">
        <is>
          <t>XP_017214371.1 uncharacterized protein LOC108191961 [Danio rerio]</t>
        </is>
      </c>
      <c r="M4138" t="n">
        <v>190</v>
      </c>
      <c r="N4138" t="inlineStr">
        <is>
          <t>Danio rerio</t>
        </is>
      </c>
      <c r="O4138" t="inlineStr">
        <is>
          <t>uncharacterized protein LOC108191961</t>
        </is>
      </c>
    </row>
    <row r="4139">
      <c r="A4139" t="inlineStr"/>
      <c r="B4139" t="inlineStr"/>
      <c r="C4139" t="inlineStr"/>
      <c r="D4139" t="inlineStr"/>
      <c r="E4139">
        <f>HYPERLINK("https://www.uniprot.org/uniprotkb/A0A8C5PIH6/entry", "A0A8C5PIH6")</f>
        <v/>
      </c>
      <c r="F4139" t="n">
        <v>34.8</v>
      </c>
      <c r="G4139" t="n">
        <v>227</v>
      </c>
      <c r="H4139" t="n">
        <v>4.46e-44</v>
      </c>
      <c r="I4139" t="inlineStr">
        <is>
          <t>TrEMBL</t>
        </is>
      </c>
      <c r="J4139" t="inlineStr"/>
      <c r="K4139" t="inlineStr">
        <is>
          <t>A0A8C5PIH6_9ANUR</t>
        </is>
      </c>
      <c r="L4139" t="inlineStr">
        <is>
          <t>tr|A0A8C5PIH6|A0A8C5PIH6_9ANUR LINE-1 type transposase domain-containing protein 1 OS=Leptobrachium leishanense OX=445787 PE=4 SV=1</t>
        </is>
      </c>
      <c r="M4139" t="n">
        <v>311</v>
      </c>
      <c r="N4139" t="inlineStr">
        <is>
          <t>Leptobrachium leishanense</t>
        </is>
      </c>
      <c r="O4139" t="inlineStr">
        <is>
          <t>LINE-1 type transposase domain-containing protein 1</t>
        </is>
      </c>
    </row>
    <row r="4140">
      <c r="A4140" t="inlineStr"/>
      <c r="B4140" t="inlineStr"/>
      <c r="C4140" t="inlineStr"/>
      <c r="D4140" t="inlineStr"/>
      <c r="E4140">
        <f>HYPERLINK("https://www.uniprot.org/uniprotkb/A0A8C5P774/entry", "A0A8C5P774")</f>
        <v/>
      </c>
      <c r="F4140" t="n">
        <v>35.3</v>
      </c>
      <c r="G4140" t="n">
        <v>238</v>
      </c>
      <c r="H4140" t="n">
        <v>9.02e-44</v>
      </c>
      <c r="I4140" t="inlineStr">
        <is>
          <t>TrEMBL</t>
        </is>
      </c>
      <c r="J4140" t="inlineStr"/>
      <c r="K4140" t="inlineStr">
        <is>
          <t>A0A8C5P774_9ANUR</t>
        </is>
      </c>
      <c r="L4140" t="inlineStr">
        <is>
          <t>tr|A0A8C5P774|A0A8C5P774_9ANUR LINE-1 type transposase domain-containing protein 1 OS=Leptobrachium leishanense OX=445787 PE=4 SV=1</t>
        </is>
      </c>
      <c r="M4140" t="n">
        <v>312</v>
      </c>
      <c r="N4140" t="inlineStr">
        <is>
          <t>Leptobrachium leishanense</t>
        </is>
      </c>
      <c r="O4140" t="inlineStr">
        <is>
          <t>LINE-1 type transposase domain-containing protein 1</t>
        </is>
      </c>
    </row>
    <row r="4141">
      <c r="A4141" t="inlineStr"/>
      <c r="B4141" t="inlineStr"/>
      <c r="C4141" t="inlineStr"/>
      <c r="D4141" t="inlineStr"/>
      <c r="E4141">
        <f>HYPERLINK("https://www.ncbi.nlm.nih.gov/gene/?term=XP_031747289.1", "XP_031747289.1")</f>
        <v/>
      </c>
      <c r="F4141" t="n">
        <v>36.4</v>
      </c>
      <c r="G4141" t="n">
        <v>236</v>
      </c>
      <c r="H4141" t="n">
        <v>3.36e-43</v>
      </c>
      <c r="I4141" t="inlineStr">
        <is>
          <t>Nr</t>
        </is>
      </c>
      <c r="J4141" t="inlineStr"/>
      <c r="K4141" t="inlineStr"/>
      <c r="L4141" t="inlineStr">
        <is>
          <t>XP_031747289.1 uncharacterized protein LOC116406722 [Xenopus tropicalis]</t>
        </is>
      </c>
      <c r="M4141" t="n">
        <v>262</v>
      </c>
      <c r="N4141" t="inlineStr">
        <is>
          <t>Xenopus tropicalis</t>
        </is>
      </c>
      <c r="O4141" t="inlineStr">
        <is>
          <t>uncharacterized protein LOC116406722</t>
        </is>
      </c>
    </row>
    <row r="4142">
      <c r="A4142" t="inlineStr"/>
      <c r="B4142" t="inlineStr"/>
      <c r="C4142" t="inlineStr"/>
      <c r="D4142" t="inlineStr"/>
      <c r="E4142">
        <f>HYPERLINK("https://www.ncbi.nlm.nih.gov/gene/?term=XP_040190604.1", "XP_040190604.1")</f>
        <v/>
      </c>
      <c r="F4142" t="n">
        <v>34.6</v>
      </c>
      <c r="G4142" t="n">
        <v>237</v>
      </c>
      <c r="H4142" t="n">
        <v>4.75e-41</v>
      </c>
      <c r="I4142" t="inlineStr">
        <is>
          <t>Nr</t>
        </is>
      </c>
      <c r="J4142" t="inlineStr"/>
      <c r="K4142" t="inlineStr"/>
      <c r="L4142" t="inlineStr">
        <is>
          <t>XP_040190604.1 uncharacterized protein LOC120922368 [Rana temporaria]</t>
        </is>
      </c>
      <c r="M4142" t="n">
        <v>350</v>
      </c>
      <c r="N4142" t="inlineStr">
        <is>
          <t>Rana temporaria</t>
        </is>
      </c>
      <c r="O4142" t="inlineStr">
        <is>
          <t>uncharacterized protein LOC120922368</t>
        </is>
      </c>
    </row>
    <row r="4143">
      <c r="A4143" t="inlineStr"/>
      <c r="B4143" t="inlineStr"/>
      <c r="C4143" t="inlineStr"/>
      <c r="D4143" t="inlineStr"/>
      <c r="E4143">
        <f>HYPERLINK("https://www.ncbi.nlm.nih.gov/gene/?term=KAG9468069.1", "KAG9468069.1")</f>
        <v/>
      </c>
      <c r="F4143" t="n">
        <v>34.5</v>
      </c>
      <c r="G4143" t="n">
        <v>226</v>
      </c>
      <c r="H4143" t="n">
        <v>5.54e-40</v>
      </c>
      <c r="I4143" t="inlineStr">
        <is>
          <t>Nr</t>
        </is>
      </c>
      <c r="J4143" t="inlineStr"/>
      <c r="K4143" t="inlineStr"/>
      <c r="L4143" t="inlineStr">
        <is>
          <t>KAG9468069.1 hypothetical protein GDO78_013818 [Eleutherodactylus coqui]</t>
        </is>
      </c>
      <c r="M4143" t="n">
        <v>385</v>
      </c>
      <c r="N4143" t="inlineStr">
        <is>
          <t>Eleutherodactylus coqui</t>
        </is>
      </c>
      <c r="O4143" t="inlineStr">
        <is>
          <t>hypothetical protein GDO78_013818</t>
        </is>
      </c>
    </row>
    <row r="4144">
      <c r="A4144" t="inlineStr"/>
      <c r="B4144" t="inlineStr"/>
      <c r="C4144" t="inlineStr"/>
      <c r="D4144" t="inlineStr"/>
      <c r="E4144">
        <f>HYPERLINK("https://www.ncbi.nlm.nih.gov/gene/?term=PIO22549.1", "PIO22549.1")</f>
        <v/>
      </c>
      <c r="F4144" t="n">
        <v>31.5</v>
      </c>
      <c r="G4144" t="n">
        <v>222</v>
      </c>
      <c r="H4144" t="n">
        <v>2.05e-39</v>
      </c>
      <c r="I4144" t="inlineStr">
        <is>
          <t>Nr</t>
        </is>
      </c>
      <c r="J4144" t="inlineStr"/>
      <c r="K4144" t="inlineStr"/>
      <c r="L4144" t="inlineStr">
        <is>
          <t>PIO22549.1 hypothetical protein AB205_0137050 [Lithobates catesbeianus]</t>
        </is>
      </c>
      <c r="M4144" t="n">
        <v>310</v>
      </c>
      <c r="N4144" t="inlineStr">
        <is>
          <t>Lithobates catesbeianus</t>
        </is>
      </c>
      <c r="O4144" t="inlineStr">
        <is>
          <t>hypothetical protein AB205_0137050</t>
        </is>
      </c>
    </row>
    <row r="4145">
      <c r="A4145" t="inlineStr"/>
      <c r="B4145" t="inlineStr"/>
      <c r="C4145" t="inlineStr"/>
      <c r="D4145" t="inlineStr"/>
      <c r="E4145">
        <f>HYPERLINK("https://www.uniprot.org/uniprotkb/P14381/entry", "P14381")</f>
        <v/>
      </c>
      <c r="F4145" t="n">
        <v>24.6</v>
      </c>
      <c r="G4145" t="n">
        <v>618</v>
      </c>
      <c r="H4145" t="n">
        <v>1.77e-38</v>
      </c>
      <c r="I4145" t="inlineStr">
        <is>
          <t>Swiss-Prot</t>
        </is>
      </c>
      <c r="J4145" t="inlineStr"/>
      <c r="K4145" t="inlineStr">
        <is>
          <t>YTX2_XENLA</t>
        </is>
      </c>
      <c r="L4145" t="inlineStr">
        <is>
          <t>sp|P14381|YTX2_XENLA Transposon TX1 uncharacterized 149 kDa protein OS=Xenopus laevis OX=8355 PE=4 SV=1</t>
        </is>
      </c>
      <c r="M4145" t="n">
        <v>1308</v>
      </c>
      <c r="N4145" t="inlineStr">
        <is>
          <t>Xenopus laevis</t>
        </is>
      </c>
      <c r="O4145" t="inlineStr">
        <is>
          <t>Transposon TX1 uncharacterized 149 kDa protein</t>
        </is>
      </c>
    </row>
    <row r="4146">
      <c r="A4146" t="inlineStr"/>
      <c r="B4146" t="inlineStr"/>
      <c r="C4146" t="inlineStr"/>
      <c r="D4146" t="inlineStr"/>
      <c r="E4146">
        <f>HYPERLINK("https://www.ncbi.nlm.nih.gov/gene/?term=XP_040285728.1", "XP_040285728.1")</f>
        <v/>
      </c>
      <c r="F4146" t="n">
        <v>37.2</v>
      </c>
      <c r="G4146" t="n">
        <v>207</v>
      </c>
      <c r="H4146" t="n">
        <v>6e-38</v>
      </c>
      <c r="I4146" t="inlineStr">
        <is>
          <t>Nr</t>
        </is>
      </c>
      <c r="J4146" t="inlineStr"/>
      <c r="K4146" t="inlineStr"/>
      <c r="L4146" t="inlineStr">
        <is>
          <t>XP_040285728.1 uncharacterized protein LOC120998915 [Bufo bufo]</t>
        </is>
      </c>
      <c r="M4146" t="n">
        <v>946</v>
      </c>
      <c r="N4146" t="inlineStr">
        <is>
          <t>Bufo bufo</t>
        </is>
      </c>
      <c r="O4146" t="inlineStr">
        <is>
          <t>uncharacterized protein LOC120998915</t>
        </is>
      </c>
    </row>
    <row r="4147">
      <c r="A4147" t="inlineStr"/>
      <c r="B4147" t="inlineStr"/>
      <c r="C4147" t="inlineStr"/>
      <c r="D4147" t="inlineStr"/>
      <c r="E4147">
        <f>HYPERLINK("https://www.ncbi.nlm.nih.gov/gene/?term=PIO31496.1", "PIO31496.1")</f>
        <v/>
      </c>
      <c r="F4147" t="n">
        <v>35</v>
      </c>
      <c r="G4147" t="n">
        <v>274</v>
      </c>
      <c r="H4147" t="n">
        <v>2.14e-37</v>
      </c>
      <c r="I4147" t="inlineStr">
        <is>
          <t>Nr</t>
        </is>
      </c>
      <c r="J4147" t="inlineStr"/>
      <c r="K4147" t="inlineStr"/>
      <c r="L4147" t="inlineStr">
        <is>
          <t>PIO31496.1 hypothetical protein AB205_0176850, partial [Lithobates catesbeianus]</t>
        </is>
      </c>
      <c r="M4147" t="n">
        <v>307</v>
      </c>
      <c r="N4147" t="inlineStr">
        <is>
          <t>Lithobates catesbeianus</t>
        </is>
      </c>
      <c r="O4147" t="inlineStr">
        <is>
          <t>hypothetical protein AB205_0176850, partial</t>
        </is>
      </c>
    </row>
    <row r="4148">
      <c r="A4148" t="inlineStr"/>
      <c r="B4148" t="inlineStr"/>
      <c r="C4148" t="inlineStr"/>
      <c r="D4148" t="inlineStr"/>
      <c r="E4148">
        <f>HYPERLINK("https://www.ncbi.nlm.nih.gov/gene/?term=KAG8592375.1", "KAG8592375.1")</f>
        <v/>
      </c>
      <c r="F4148" t="n">
        <v>42.1</v>
      </c>
      <c r="G4148" t="n">
        <v>171</v>
      </c>
      <c r="H4148" t="n">
        <v>5.500000000000001e-37</v>
      </c>
      <c r="I4148" t="inlineStr">
        <is>
          <t>Nr</t>
        </is>
      </c>
      <c r="J4148" t="inlineStr"/>
      <c r="K4148" t="inlineStr"/>
      <c r="L4148" t="inlineStr">
        <is>
          <t>KAG8592375.1 hypothetical protein GDO81_000482 [Engystomops pustulosus]</t>
        </is>
      </c>
      <c r="M4148" t="n">
        <v>1124</v>
      </c>
      <c r="N4148" t="inlineStr">
        <is>
          <t>Engystomops pustulosus</t>
        </is>
      </c>
      <c r="O4148" t="inlineStr">
        <is>
          <t>hypothetical protein GDO81_000482</t>
        </is>
      </c>
    </row>
    <row r="4149">
      <c r="A4149" t="inlineStr"/>
      <c r="B4149" t="inlineStr"/>
      <c r="C4149" t="inlineStr"/>
      <c r="D4149" t="inlineStr"/>
      <c r="E4149">
        <f>HYPERLINK("https://www.ncbi.nlm.nih.gov/gene/?term=VEL08283.1", "VEL08283.1")</f>
        <v/>
      </c>
      <c r="F4149" t="n">
        <v>37.3</v>
      </c>
      <c r="G4149" t="n">
        <v>185</v>
      </c>
      <c r="H4149" t="n">
        <v>1.72e-35</v>
      </c>
      <c r="I4149" t="inlineStr">
        <is>
          <t>Nr</t>
        </is>
      </c>
      <c r="J4149" t="inlineStr"/>
      <c r="K4149" t="inlineStr"/>
      <c r="L4149" t="inlineStr">
        <is>
          <t>VEL08283.1 unnamed protein product [Protopolystoma xenopodis]</t>
        </is>
      </c>
      <c r="M4149" t="n">
        <v>421</v>
      </c>
      <c r="N4149" t="inlineStr">
        <is>
          <t>Protopolystoma xenopodis</t>
        </is>
      </c>
      <c r="O4149" t="inlineStr">
        <is>
          <t>unnamed protein product</t>
        </is>
      </c>
    </row>
    <row r="4150">
      <c r="A4150" t="inlineStr"/>
      <c r="B4150" t="inlineStr"/>
      <c r="C4150" t="inlineStr"/>
      <c r="D4150" t="inlineStr"/>
      <c r="E4150">
        <f>HYPERLINK("https://www.uniprot.org/uniprotkb/A0A6I8RW77/entry", "A0A6I8RW77")</f>
        <v/>
      </c>
      <c r="F4150" t="n">
        <v>27.1</v>
      </c>
      <c r="G4150" t="n">
        <v>347</v>
      </c>
      <c r="H4150" t="n">
        <v>2.71e-34</v>
      </c>
      <c r="I4150" t="inlineStr">
        <is>
          <t>TrEMBL</t>
        </is>
      </c>
      <c r="J4150" t="inlineStr"/>
      <c r="K4150" t="inlineStr">
        <is>
          <t>A0A6I8RW77_XENTR</t>
        </is>
      </c>
      <c r="L4150" t="inlineStr">
        <is>
          <t>tr|A0A6I8RW77|A0A6I8RW77_XENTR Reverse transcriptase domain-containing protein OS=Xenopus tropicalis OX=8364 PE=4 SV=2</t>
        </is>
      </c>
      <c r="M4150" t="n">
        <v>1148</v>
      </c>
      <c r="N4150" t="inlineStr">
        <is>
          <t>Xenopus tropicalis</t>
        </is>
      </c>
      <c r="O4150" t="inlineStr">
        <is>
          <t>Reverse transcriptase domain-containing protein</t>
        </is>
      </c>
    </row>
    <row r="4151">
      <c r="A4151" t="inlineStr"/>
      <c r="B4151" t="inlineStr"/>
      <c r="C4151" t="inlineStr"/>
      <c r="D4151" t="inlineStr"/>
      <c r="E4151">
        <f>HYPERLINK("https://www.uniprot.org/uniprotkb/A0A803J5Q1/entry", "A0A803J5Q1")</f>
        <v/>
      </c>
      <c r="F4151" t="n">
        <v>27.9</v>
      </c>
      <c r="G4151" t="n">
        <v>351</v>
      </c>
      <c r="H4151" t="n">
        <v>4.27e-33</v>
      </c>
      <c r="I4151" t="inlineStr">
        <is>
          <t>TrEMBL</t>
        </is>
      </c>
      <c r="J4151" t="inlineStr"/>
      <c r="K4151" t="inlineStr">
        <is>
          <t>A0A803J5Q1_XENTR</t>
        </is>
      </c>
      <c r="L4151" t="inlineStr">
        <is>
          <t>tr|A0A803J5Q1|A0A803J5Q1_XENTR Reverse transcriptase domain-containing protein OS=Xenopus tropicalis OX=8364 PE=4 SV=1</t>
        </is>
      </c>
      <c r="M4151" t="n">
        <v>1274</v>
      </c>
      <c r="N4151" t="inlineStr">
        <is>
          <t>Xenopus tropicalis</t>
        </is>
      </c>
      <c r="O4151" t="inlineStr">
        <is>
          <t>Reverse transcriptase domain-containing protein</t>
        </is>
      </c>
    </row>
    <row r="4152">
      <c r="A4152" t="inlineStr"/>
      <c r="B4152" t="inlineStr"/>
      <c r="C4152" t="inlineStr"/>
      <c r="D4152" t="inlineStr"/>
      <c r="E4152">
        <f>HYPERLINK("https://www.ncbi.nlm.nih.gov/gene/?term=XP_031762377.1", "XP_031762377.1")</f>
        <v/>
      </c>
      <c r="F4152" t="n">
        <v>32.9</v>
      </c>
      <c r="G4152" t="n">
        <v>231</v>
      </c>
      <c r="H4152" t="n">
        <v>8.850000000000001e-33</v>
      </c>
      <c r="I4152" t="inlineStr">
        <is>
          <t>Nr</t>
        </is>
      </c>
      <c r="J4152" t="inlineStr"/>
      <c r="K4152" t="inlineStr"/>
      <c r="L4152" t="inlineStr">
        <is>
          <t>XP_031762377.1 LOW QUALITY PROTEIN: nephrocystin-4 [Xenopus tropicalis]</t>
        </is>
      </c>
      <c r="M4152" t="n">
        <v>1030</v>
      </c>
      <c r="N4152" t="inlineStr">
        <is>
          <t>Xenopus tropicalis</t>
        </is>
      </c>
      <c r="O4152" t="inlineStr">
        <is>
          <t>LOW QUALITY PROTEIN: nephrocystin-4</t>
        </is>
      </c>
    </row>
    <row r="4153">
      <c r="A4153" t="inlineStr"/>
      <c r="B4153" t="inlineStr"/>
      <c r="C4153" t="inlineStr"/>
      <c r="D4153" t="inlineStr"/>
      <c r="E4153">
        <f>HYPERLINK("https://www.uniprot.org/uniprotkb/Q8I7P9/entry", "Q8I7P9")</f>
        <v/>
      </c>
      <c r="F4153" t="n">
        <v>39.9</v>
      </c>
      <c r="G4153" t="n">
        <v>138</v>
      </c>
      <c r="H4153" t="n">
        <v>2.73e-32</v>
      </c>
      <c r="I4153" t="inlineStr">
        <is>
          <t>Swiss-Prot</t>
        </is>
      </c>
      <c r="J4153" t="inlineStr">
        <is>
          <t>pol</t>
        </is>
      </c>
      <c r="K4153" t="inlineStr">
        <is>
          <t>POL5_DROME</t>
        </is>
      </c>
      <c r="L4153" t="inlineStr">
        <is>
          <t>sp|Q8I7P9|POL5_DROME Retrovirus-related Pol polyprotein from transposon opus OS=Drosophila melanogaster OX=7227 GN=pol PE=4 SV=1</t>
        </is>
      </c>
      <c r="M4153" t="n">
        <v>1003</v>
      </c>
      <c r="N4153" t="inlineStr">
        <is>
          <t>Drosophila melanogaster</t>
        </is>
      </c>
      <c r="O4153" t="inlineStr">
        <is>
          <t>Retrovirus-related Pol polyprotein from transposon opus</t>
        </is>
      </c>
    </row>
    <row r="4154">
      <c r="A4154" t="inlineStr"/>
      <c r="B4154" t="inlineStr"/>
      <c r="C4154" t="inlineStr"/>
      <c r="D4154" t="inlineStr"/>
      <c r="E4154">
        <f>HYPERLINK("https://www.ncbi.nlm.nih.gov/gene/?term=KAG8580053.1", "KAG8580053.1")</f>
        <v/>
      </c>
      <c r="F4154" t="n">
        <v>35.2</v>
      </c>
      <c r="G4154" t="n">
        <v>244</v>
      </c>
      <c r="H4154" t="n">
        <v>3.54e-32</v>
      </c>
      <c r="I4154" t="inlineStr">
        <is>
          <t>Nr</t>
        </is>
      </c>
      <c r="J4154" t="inlineStr"/>
      <c r="K4154" t="inlineStr"/>
      <c r="L4154" t="inlineStr">
        <is>
          <t>KAG8580053.1 hypothetical protein GDO81_007107 [Engystomops pustulosus]</t>
        </is>
      </c>
      <c r="M4154" t="n">
        <v>494</v>
      </c>
      <c r="N4154" t="inlineStr">
        <is>
          <t>Engystomops pustulosus</t>
        </is>
      </c>
      <c r="O4154" t="inlineStr">
        <is>
          <t>hypothetical protein GDO81_007107</t>
        </is>
      </c>
    </row>
    <row r="4155">
      <c r="A4155" t="inlineStr"/>
      <c r="B4155" t="inlineStr"/>
      <c r="C4155" t="inlineStr"/>
      <c r="D4155" t="inlineStr"/>
      <c r="E4155">
        <f>HYPERLINK("https://www.ncbi.nlm.nih.gov/gene/?term=KAG8451976.1", "KAG8451976.1")</f>
        <v/>
      </c>
      <c r="F4155" t="n">
        <v>40.6</v>
      </c>
      <c r="G4155" t="n">
        <v>202</v>
      </c>
      <c r="H4155" t="n">
        <v>7.430000000000001e-32</v>
      </c>
      <c r="I4155" t="inlineStr">
        <is>
          <t>Nr</t>
        </is>
      </c>
      <c r="J4155" t="inlineStr"/>
      <c r="K4155" t="inlineStr"/>
      <c r="L4155" t="inlineStr">
        <is>
          <t>KAG8451976.1 hypothetical protein GDO86_003963 [Hymenochirus boettgeri]</t>
        </is>
      </c>
      <c r="M4155" t="n">
        <v>431</v>
      </c>
      <c r="N4155" t="inlineStr">
        <is>
          <t>Hymenochirus boettgeri</t>
        </is>
      </c>
      <c r="O4155" t="inlineStr">
        <is>
          <t>hypothetical protein GDO86_003963</t>
        </is>
      </c>
    </row>
    <row r="4156">
      <c r="A4156" t="inlineStr"/>
      <c r="B4156" t="inlineStr"/>
      <c r="C4156" t="inlineStr"/>
      <c r="D4156" t="inlineStr"/>
      <c r="E4156">
        <f>HYPERLINK("https://www.uniprot.org/uniprotkb/P04323/entry", "P04323")</f>
        <v/>
      </c>
      <c r="F4156" t="n">
        <v>42.1</v>
      </c>
      <c r="G4156" t="n">
        <v>140</v>
      </c>
      <c r="H4156" t="n">
        <v>1.29e-31</v>
      </c>
      <c r="I4156" t="inlineStr">
        <is>
          <t>Swiss-Prot</t>
        </is>
      </c>
      <c r="J4156" t="inlineStr">
        <is>
          <t>pol</t>
        </is>
      </c>
      <c r="K4156" t="inlineStr">
        <is>
          <t>POL3_DROME</t>
        </is>
      </c>
      <c r="L4156" t="inlineStr">
        <is>
          <t>sp|P04323|POL3_DROME Retrovirus-related Pol polyprotein from transposon 17.6 OS=Drosophila melanogaster OX=7227 GN=pol PE=4 SV=1</t>
        </is>
      </c>
      <c r="M4156" t="n">
        <v>1058</v>
      </c>
      <c r="N4156" t="inlineStr">
        <is>
          <t>Drosophila melanogaster</t>
        </is>
      </c>
      <c r="O4156" t="inlineStr">
        <is>
          <t>Retrovirus-related Pol polyprotein from transposon 17.6</t>
        </is>
      </c>
    </row>
    <row r="4157">
      <c r="A4157" t="inlineStr"/>
      <c r="B4157" t="inlineStr"/>
      <c r="C4157" t="inlineStr"/>
      <c r="D4157" t="inlineStr"/>
      <c r="E4157">
        <f>HYPERLINK("https://www.uniprot.org/uniprotkb/P0CT41/entry", "P0CT41")</f>
        <v/>
      </c>
      <c r="F4157" t="n">
        <v>44.3</v>
      </c>
      <c r="G4157" t="n">
        <v>140</v>
      </c>
      <c r="H4157" t="n">
        <v>1.79e-31</v>
      </c>
      <c r="I4157" t="inlineStr">
        <is>
          <t>Swiss-Prot</t>
        </is>
      </c>
      <c r="J4157" t="inlineStr">
        <is>
          <t>Tf2-12</t>
        </is>
      </c>
      <c r="K4157" t="inlineStr">
        <is>
          <t>TF212_SCHPO</t>
        </is>
      </c>
      <c r="L4157" t="inlineStr">
        <is>
          <t>sp|P0CT41|TF212_SCHPO Transposon Tf2-12 polyprotein OS=Schizosaccharomyces pombe (strain 972 / ATCC 24843) OX=284812 GN=Tf2-12 PE=3 SV=1</t>
        </is>
      </c>
      <c r="M4157" t="n">
        <v>1333</v>
      </c>
      <c r="N4157" t="inlineStr">
        <is>
          <t>Schizosaccharomyces pombe (strain 972 / ATCC 24843)</t>
        </is>
      </c>
      <c r="O4157" t="inlineStr">
        <is>
          <t>Transposon Tf2-12 polyprotein</t>
        </is>
      </c>
    </row>
    <row r="4158">
      <c r="A4158" t="inlineStr"/>
      <c r="B4158" t="inlineStr"/>
      <c r="C4158" t="inlineStr"/>
      <c r="D4158" t="inlineStr"/>
      <c r="E4158">
        <f>HYPERLINK("https://www.uniprot.org/uniprotkb/P0CT34/entry", "P0CT34")</f>
        <v/>
      </c>
      <c r="F4158" t="n">
        <v>44.3</v>
      </c>
      <c r="G4158" t="n">
        <v>140</v>
      </c>
      <c r="H4158" t="n">
        <v>1.79e-31</v>
      </c>
      <c r="I4158" t="inlineStr">
        <is>
          <t>Swiss-Prot</t>
        </is>
      </c>
      <c r="J4158" t="inlineStr">
        <is>
          <t>Tf2-1</t>
        </is>
      </c>
      <c r="K4158" t="inlineStr">
        <is>
          <t>TF21_SCHPO</t>
        </is>
      </c>
      <c r="L4158" t="inlineStr">
        <is>
          <t>sp|P0CT34|TF21_SCHPO Transposon Tf2-1 polyprotein OS=Schizosaccharomyces pombe (strain 972 / ATCC 24843) OX=284812 GN=Tf2-1 PE=3 SV=1</t>
        </is>
      </c>
      <c r="M4158" t="n">
        <v>1333</v>
      </c>
      <c r="N4158" t="inlineStr">
        <is>
          <t>Schizosaccharomyces pombe (strain 972 / ATCC 24843)</t>
        </is>
      </c>
      <c r="O4158" t="inlineStr">
        <is>
          <t>Transposon Tf2-1 polyprotein</t>
        </is>
      </c>
    </row>
    <row r="4159">
      <c r="A4159" t="inlineStr"/>
      <c r="B4159" t="inlineStr"/>
      <c r="C4159" t="inlineStr"/>
      <c r="D4159" t="inlineStr"/>
      <c r="E4159">
        <f>HYPERLINK("https://www.uniprot.org/uniprotkb/P0CT35/entry", "P0CT35")</f>
        <v/>
      </c>
      <c r="F4159" t="n">
        <v>44.3</v>
      </c>
      <c r="G4159" t="n">
        <v>140</v>
      </c>
      <c r="H4159" t="n">
        <v>1.79e-31</v>
      </c>
      <c r="I4159" t="inlineStr">
        <is>
          <t>Swiss-Prot</t>
        </is>
      </c>
      <c r="J4159" t="inlineStr">
        <is>
          <t>Tf2-2</t>
        </is>
      </c>
      <c r="K4159" t="inlineStr">
        <is>
          <t>TF22_SCHPO</t>
        </is>
      </c>
      <c r="L4159" t="inlineStr">
        <is>
          <t>sp|P0CT35|TF22_SCHPO Transposon Tf2-2 polyprotein OS=Schizosaccharomyces pombe (strain 972 / ATCC 24843) OX=284812 GN=Tf2-2 PE=3 SV=1</t>
        </is>
      </c>
      <c r="M4159" t="n">
        <v>1333</v>
      </c>
      <c r="N4159" t="inlineStr">
        <is>
          <t>Schizosaccharomyces pombe (strain 972 / ATCC 24843)</t>
        </is>
      </c>
      <c r="O4159" t="inlineStr">
        <is>
          <t>Transposon Tf2-2 polyprotein</t>
        </is>
      </c>
    </row>
    <row r="4160">
      <c r="A4160" t="inlineStr"/>
      <c r="B4160" t="inlineStr"/>
      <c r="C4160" t="inlineStr"/>
      <c r="D4160" t="inlineStr"/>
      <c r="E4160">
        <f>HYPERLINK("https://www.uniprot.org/uniprotkb/P0CT36/entry", "P0CT36")</f>
        <v/>
      </c>
      <c r="F4160" t="n">
        <v>44.3</v>
      </c>
      <c r="G4160" t="n">
        <v>140</v>
      </c>
      <c r="H4160" t="n">
        <v>1.79e-31</v>
      </c>
      <c r="I4160" t="inlineStr">
        <is>
          <t>Swiss-Prot</t>
        </is>
      </c>
      <c r="J4160" t="inlineStr">
        <is>
          <t>Tf2-3</t>
        </is>
      </c>
      <c r="K4160" t="inlineStr">
        <is>
          <t>TF23_SCHPO</t>
        </is>
      </c>
      <c r="L4160" t="inlineStr">
        <is>
          <t>sp|P0CT36|TF23_SCHPO Transposon Tf2-3 polyprotein OS=Schizosaccharomyces pombe (strain 972 / ATCC 24843) OX=284812 GN=Tf2-3 PE=1 SV=1</t>
        </is>
      </c>
      <c r="M4160" t="n">
        <v>1333</v>
      </c>
      <c r="N4160" t="inlineStr">
        <is>
          <t>Schizosaccharomyces pombe (strain 972 / ATCC 24843)</t>
        </is>
      </c>
      <c r="O4160" t="inlineStr">
        <is>
          <t>Transposon Tf2-3 polyprotein</t>
        </is>
      </c>
    </row>
    <row r="4161">
      <c r="A4161" t="inlineStr"/>
      <c r="B4161" t="inlineStr"/>
      <c r="C4161" t="inlineStr"/>
      <c r="D4161" t="inlineStr"/>
      <c r="E4161">
        <f>HYPERLINK("https://www.uniprot.org/uniprotkb/P0CT37/entry", "P0CT37")</f>
        <v/>
      </c>
      <c r="F4161" t="n">
        <v>44.3</v>
      </c>
      <c r="G4161" t="n">
        <v>140</v>
      </c>
      <c r="H4161" t="n">
        <v>1.79e-31</v>
      </c>
      <c r="I4161" t="inlineStr">
        <is>
          <t>Swiss-Prot</t>
        </is>
      </c>
      <c r="J4161" t="inlineStr">
        <is>
          <t>Tf2-4</t>
        </is>
      </c>
      <c r="K4161" t="inlineStr">
        <is>
          <t>TF24_SCHPO</t>
        </is>
      </c>
      <c r="L4161" t="inlineStr">
        <is>
          <t>sp|P0CT37|TF24_SCHPO Transposon Tf2-4 polyprotein OS=Schizosaccharomyces pombe (strain 972 / ATCC 24843) OX=284812 GN=Tf2-4 PE=3 SV=1</t>
        </is>
      </c>
      <c r="M4161" t="n">
        <v>1333</v>
      </c>
      <c r="N4161" t="inlineStr">
        <is>
          <t>Schizosaccharomyces pombe (strain 972 / ATCC 24843)</t>
        </is>
      </c>
      <c r="O4161" t="inlineStr">
        <is>
          <t>Transposon Tf2-4 polyprotein</t>
        </is>
      </c>
    </row>
    <row r="4162">
      <c r="A4162" t="inlineStr"/>
      <c r="B4162" t="inlineStr"/>
      <c r="C4162" t="inlineStr"/>
      <c r="D4162" t="inlineStr"/>
      <c r="E4162">
        <f>HYPERLINK("https://www.uniprot.org/uniprotkb/P0CT38/entry", "P0CT38")</f>
        <v/>
      </c>
      <c r="F4162" t="n">
        <v>44.3</v>
      </c>
      <c r="G4162" t="n">
        <v>140</v>
      </c>
      <c r="H4162" t="n">
        <v>1.79e-31</v>
      </c>
      <c r="I4162" t="inlineStr">
        <is>
          <t>Swiss-Prot</t>
        </is>
      </c>
      <c r="J4162" t="inlineStr">
        <is>
          <t>Tf2-5</t>
        </is>
      </c>
      <c r="K4162" t="inlineStr">
        <is>
          <t>TF25_SCHPO</t>
        </is>
      </c>
      <c r="L4162" t="inlineStr">
        <is>
          <t>sp|P0CT38|TF25_SCHPO Transposon Tf2-5 polyprotein OS=Schizosaccharomyces pombe (strain 972 / ATCC 24843) OX=284812 GN=Tf2-5 PE=3 SV=1</t>
        </is>
      </c>
      <c r="M4162" t="n">
        <v>1333</v>
      </c>
      <c r="N4162" t="inlineStr">
        <is>
          <t>Schizosaccharomyces pombe (strain 972 / ATCC 24843)</t>
        </is>
      </c>
      <c r="O4162" t="inlineStr">
        <is>
          <t>Transposon Tf2-5 polyprotein</t>
        </is>
      </c>
    </row>
    <row r="4163">
      <c r="A4163" t="inlineStr"/>
      <c r="B4163" t="inlineStr"/>
      <c r="C4163" t="inlineStr"/>
      <c r="D4163" t="inlineStr"/>
      <c r="E4163">
        <f>HYPERLINK("https://www.uniprot.org/uniprotkb/P0CT39/entry", "P0CT39")</f>
        <v/>
      </c>
      <c r="F4163" t="n">
        <v>44.3</v>
      </c>
      <c r="G4163" t="n">
        <v>140</v>
      </c>
      <c r="H4163" t="n">
        <v>1.79e-31</v>
      </c>
      <c r="I4163" t="inlineStr">
        <is>
          <t>Swiss-Prot</t>
        </is>
      </c>
      <c r="J4163" t="inlineStr">
        <is>
          <t>Tf2-6</t>
        </is>
      </c>
      <c r="K4163" t="inlineStr">
        <is>
          <t>TF26_SCHPO</t>
        </is>
      </c>
      <c r="L4163" t="inlineStr">
        <is>
          <t>sp|P0CT39|TF26_SCHPO Transposon Tf2-6 polyprotein OS=Schizosaccharomyces pombe (strain 972 / ATCC 24843) OX=284812 GN=Tf2-6 PE=3 SV=1</t>
        </is>
      </c>
      <c r="M4163" t="n">
        <v>1333</v>
      </c>
      <c r="N4163" t="inlineStr">
        <is>
          <t>Schizosaccharomyces pombe (strain 972 / ATCC 24843)</t>
        </is>
      </c>
      <c r="O4163" t="inlineStr">
        <is>
          <t>Transposon Tf2-6 polyprotein</t>
        </is>
      </c>
    </row>
    <row r="4164">
      <c r="A4164" t="inlineStr"/>
      <c r="B4164" t="inlineStr"/>
      <c r="C4164" t="inlineStr"/>
      <c r="D4164" t="inlineStr"/>
      <c r="E4164">
        <f>HYPERLINK("https://www.uniprot.org/uniprotkb/P0CT40/entry", "P0CT40")</f>
        <v/>
      </c>
      <c r="F4164" t="n">
        <v>44.3</v>
      </c>
      <c r="G4164" t="n">
        <v>140</v>
      </c>
      <c r="H4164" t="n">
        <v>1.79e-31</v>
      </c>
      <c r="I4164" t="inlineStr">
        <is>
          <t>Swiss-Prot</t>
        </is>
      </c>
      <c r="J4164" t="inlineStr">
        <is>
          <t>Tf2-9</t>
        </is>
      </c>
      <c r="K4164" t="inlineStr">
        <is>
          <t>TF29_SCHPO</t>
        </is>
      </c>
      <c r="L4164" t="inlineStr">
        <is>
          <t>sp|P0CT40|TF29_SCHPO Transposon Tf2-9 polyprotein OS=Schizosaccharomyces pombe (strain 972 / ATCC 24843) OX=284812 GN=Tf2-9 PE=3 SV=1</t>
        </is>
      </c>
      <c r="M4164" t="n">
        <v>1333</v>
      </c>
      <c r="N4164" t="inlineStr">
        <is>
          <t>Schizosaccharomyces pombe (strain 972 / ATCC 24843)</t>
        </is>
      </c>
      <c r="O4164" t="inlineStr">
        <is>
          <t>Transposon Tf2-9 polyprotein</t>
        </is>
      </c>
    </row>
    <row r="4165">
      <c r="A4165" t="inlineStr"/>
      <c r="B4165" t="inlineStr"/>
      <c r="C4165" t="inlineStr"/>
      <c r="D4165" t="inlineStr"/>
      <c r="E4165">
        <f>HYPERLINK("https://www.ncbi.nlm.nih.gov/gene/?term=KAE8575755.1", "KAE8575755.1")</f>
        <v/>
      </c>
      <c r="F4165" t="n">
        <v>36.1</v>
      </c>
      <c r="G4165" t="n">
        <v>194</v>
      </c>
      <c r="H4165" t="n">
        <v>2.44e-31</v>
      </c>
      <c r="I4165" t="inlineStr">
        <is>
          <t>Nr</t>
        </is>
      </c>
      <c r="J4165" t="inlineStr"/>
      <c r="K4165" t="inlineStr"/>
      <c r="L4165" t="inlineStr">
        <is>
          <t>KAE8575755.1 hypothetical protein XENTR_v10003932 [Xenopus tropicalis]</t>
        </is>
      </c>
      <c r="M4165" t="n">
        <v>273</v>
      </c>
      <c r="N4165" t="inlineStr">
        <is>
          <t>Xenopus tropicalis</t>
        </is>
      </c>
      <c r="O4165" t="inlineStr">
        <is>
          <t>hypothetical protein XENTR_v10003932</t>
        </is>
      </c>
    </row>
    <row r="4166">
      <c r="A4166" t="inlineStr"/>
      <c r="B4166" t="inlineStr"/>
      <c r="C4166" t="inlineStr"/>
      <c r="D4166" t="inlineStr"/>
      <c r="E4166">
        <f>HYPERLINK("https://www.uniprot.org/uniprotkb/P20825/entry", "P20825")</f>
        <v/>
      </c>
      <c r="F4166" t="n">
        <v>40.3</v>
      </c>
      <c r="G4166" t="n">
        <v>139</v>
      </c>
      <c r="H4166" t="n">
        <v>8.3e-31</v>
      </c>
      <c r="I4166" t="inlineStr">
        <is>
          <t>Swiss-Prot</t>
        </is>
      </c>
      <c r="J4166" t="inlineStr">
        <is>
          <t>pol</t>
        </is>
      </c>
      <c r="K4166" t="inlineStr">
        <is>
          <t>POL2_DROME</t>
        </is>
      </c>
      <c r="L4166" t="inlineStr">
        <is>
          <t>sp|P20825|POL2_DROME Retrovirus-related Pol polyprotein from transposon 297 OS=Drosophila melanogaster OX=7227 GN=pol PE=4 SV=1</t>
        </is>
      </c>
      <c r="M4166" t="n">
        <v>1059</v>
      </c>
      <c r="N4166" t="inlineStr">
        <is>
          <t>Drosophila melanogaster</t>
        </is>
      </c>
      <c r="O4166" t="inlineStr">
        <is>
          <t>Retrovirus-related Pol polyprotein from transposon 297</t>
        </is>
      </c>
    </row>
    <row r="4167">
      <c r="A4167" t="inlineStr"/>
      <c r="B4167" t="inlineStr"/>
      <c r="C4167" t="inlineStr"/>
      <c r="D4167" t="inlineStr"/>
      <c r="E4167">
        <f>HYPERLINK("https://www.uniprot.org/uniprotkb/Q9UR07/entry", "Q9UR07")</f>
        <v/>
      </c>
      <c r="F4167" t="n">
        <v>43.6</v>
      </c>
      <c r="G4167" t="n">
        <v>140</v>
      </c>
      <c r="H4167" t="n">
        <v>1.57e-30</v>
      </c>
      <c r="I4167" t="inlineStr">
        <is>
          <t>Swiss-Prot</t>
        </is>
      </c>
      <c r="J4167" t="inlineStr">
        <is>
          <t>Tf2-11</t>
        </is>
      </c>
      <c r="K4167" t="inlineStr">
        <is>
          <t>TF211_SCHPO</t>
        </is>
      </c>
      <c r="L4167" t="inlineStr">
        <is>
          <t>sp|Q9UR07|TF211_SCHPO Transposon Tf2-11 polyprotein OS=Schizosaccharomyces pombe (strain 972 / ATCC 24843) OX=284812 GN=Tf2-11 PE=3 SV=1</t>
        </is>
      </c>
      <c r="M4167" t="n">
        <v>1333</v>
      </c>
      <c r="N4167" t="inlineStr">
        <is>
          <t>Schizosaccharomyces pombe (strain 972 / ATCC 24843)</t>
        </is>
      </c>
      <c r="O4167" t="inlineStr">
        <is>
          <t>Transposon Tf2-11 polyprotein</t>
        </is>
      </c>
    </row>
    <row r="4168">
      <c r="A4168" t="inlineStr"/>
      <c r="B4168" t="inlineStr"/>
      <c r="C4168" t="inlineStr"/>
      <c r="D4168" t="inlineStr"/>
      <c r="E4168">
        <f>HYPERLINK("https://www.uniprot.org/uniprotkb/P0CT42/entry", "P0CT42")</f>
        <v/>
      </c>
      <c r="F4168" t="n">
        <v>43.6</v>
      </c>
      <c r="G4168" t="n">
        <v>140</v>
      </c>
      <c r="H4168" t="n">
        <v>1.57e-30</v>
      </c>
      <c r="I4168" t="inlineStr">
        <is>
          <t>Swiss-Prot</t>
        </is>
      </c>
      <c r="J4168" t="inlineStr">
        <is>
          <t>Tf2-7</t>
        </is>
      </c>
      <c r="K4168" t="inlineStr">
        <is>
          <t>TF27_SCHPO</t>
        </is>
      </c>
      <c r="L4168" t="inlineStr">
        <is>
          <t>sp|P0CT42|TF27_SCHPO Transposon Tf2-7 polyprotein OS=Schizosaccharomyces pombe (strain 972 / ATCC 24843) OX=284812 GN=Tf2-7 PE=3 SV=1</t>
        </is>
      </c>
      <c r="M4168" t="n">
        <v>1333</v>
      </c>
      <c r="N4168" t="inlineStr">
        <is>
          <t>Schizosaccharomyces pombe (strain 972 / ATCC 24843)</t>
        </is>
      </c>
      <c r="O4168" t="inlineStr">
        <is>
          <t>Transposon Tf2-7 polyprotein</t>
        </is>
      </c>
    </row>
    <row r="4169">
      <c r="A4169" t="inlineStr"/>
      <c r="B4169" t="inlineStr"/>
      <c r="C4169" t="inlineStr"/>
      <c r="D4169" t="inlineStr"/>
      <c r="E4169">
        <f>HYPERLINK("https://www.uniprot.org/uniprotkb/P0CT43/entry", "P0CT43")</f>
        <v/>
      </c>
      <c r="F4169" t="n">
        <v>43.6</v>
      </c>
      <c r="G4169" t="n">
        <v>140</v>
      </c>
      <c r="H4169" t="n">
        <v>1.57e-30</v>
      </c>
      <c r="I4169" t="inlineStr">
        <is>
          <t>Swiss-Prot</t>
        </is>
      </c>
      <c r="J4169" t="inlineStr">
        <is>
          <t>Tf2-8</t>
        </is>
      </c>
      <c r="K4169" t="inlineStr">
        <is>
          <t>TF28_SCHPO</t>
        </is>
      </c>
      <c r="L4169" t="inlineStr">
        <is>
          <t>sp|P0CT43|TF28_SCHPO Transposon Tf2-8 polyprotein OS=Schizosaccharomyces pombe (strain 972 / ATCC 24843) OX=284812 GN=Tf2-8 PE=3 SV=1</t>
        </is>
      </c>
      <c r="M4169" t="n">
        <v>1333</v>
      </c>
      <c r="N4169" t="inlineStr">
        <is>
          <t>Schizosaccharomyces pombe (strain 972 / ATCC 24843)</t>
        </is>
      </c>
      <c r="O4169" t="inlineStr">
        <is>
          <t>Transposon Tf2-8 polyprotein</t>
        </is>
      </c>
    </row>
    <row r="4170">
      <c r="A4170" t="inlineStr"/>
      <c r="B4170" t="inlineStr"/>
      <c r="C4170" t="inlineStr"/>
      <c r="D4170" t="inlineStr"/>
      <c r="E4170">
        <f>HYPERLINK("https://www.ncbi.nlm.nih.gov/gene/?term=VEL16763.1", "VEL16763.1")</f>
        <v/>
      </c>
      <c r="F4170" t="n">
        <v>30.6</v>
      </c>
      <c r="G4170" t="n">
        <v>265</v>
      </c>
      <c r="H4170" t="n">
        <v>2.72e-30</v>
      </c>
      <c r="I4170" t="inlineStr">
        <is>
          <t>Nr</t>
        </is>
      </c>
      <c r="J4170" t="inlineStr"/>
      <c r="K4170" t="inlineStr"/>
      <c r="L4170" t="inlineStr">
        <is>
          <t>VEL16763.1 unnamed protein product [Protopolystoma xenopodis]</t>
        </is>
      </c>
      <c r="M4170" t="n">
        <v>391</v>
      </c>
      <c r="N4170" t="inlineStr">
        <is>
          <t>Protopolystoma xenopodis</t>
        </is>
      </c>
      <c r="O4170" t="inlineStr">
        <is>
          <t>unnamed protein product</t>
        </is>
      </c>
    </row>
    <row r="4171">
      <c r="A4171" t="inlineStr"/>
      <c r="B4171" t="inlineStr"/>
      <c r="C4171" t="inlineStr"/>
      <c r="D4171" t="inlineStr"/>
      <c r="E4171">
        <f>HYPERLINK("https://www.ncbi.nlm.nih.gov/gene/?term=KAE8589170.1", "KAE8589170.1")</f>
        <v/>
      </c>
      <c r="F4171" t="n">
        <v>33.9</v>
      </c>
      <c r="G4171" t="n">
        <v>248</v>
      </c>
      <c r="H4171" t="n">
        <v>9.61e-30</v>
      </c>
      <c r="I4171" t="inlineStr">
        <is>
          <t>Nr</t>
        </is>
      </c>
      <c r="J4171" t="inlineStr"/>
      <c r="K4171" t="inlineStr"/>
      <c r="L4171" t="inlineStr">
        <is>
          <t>KAE8589170.1 hypothetical protein XENTR_v10022906 [Xenopus tropicalis]</t>
        </is>
      </c>
      <c r="M4171" t="n">
        <v>273</v>
      </c>
      <c r="N4171" t="inlineStr">
        <is>
          <t>Xenopus tropicalis</t>
        </is>
      </c>
      <c r="O4171" t="inlineStr">
        <is>
          <t>hypothetical protein XENTR_v10022906</t>
        </is>
      </c>
    </row>
    <row r="4172">
      <c r="A4172" t="inlineStr"/>
      <c r="B4172" t="inlineStr"/>
      <c r="C4172" t="inlineStr"/>
      <c r="D4172" t="inlineStr"/>
      <c r="E4172">
        <f>HYPERLINK("https://www.ncbi.nlm.nih.gov/gene/?term=XP_044146862.1", "XP_044146862.1")</f>
        <v/>
      </c>
      <c r="F4172" t="n">
        <v>36</v>
      </c>
      <c r="G4172" t="n">
        <v>236</v>
      </c>
      <c r="H4172" t="n">
        <v>2.17e-29</v>
      </c>
      <c r="I4172" t="inlineStr">
        <is>
          <t>Nr</t>
        </is>
      </c>
      <c r="J4172" t="inlineStr"/>
      <c r="K4172" t="inlineStr"/>
      <c r="L4172" t="inlineStr">
        <is>
          <t>XP_044146862.1 vomeronasal type-2 receptor 1-like [Bufo gargarizans]</t>
        </is>
      </c>
      <c r="M4172" t="n">
        <v>886</v>
      </c>
      <c r="N4172" t="inlineStr">
        <is>
          <t>Bufo gargarizans</t>
        </is>
      </c>
      <c r="O4172" t="inlineStr">
        <is>
          <t>vomeronasal type-2 receptor 1-like</t>
        </is>
      </c>
    </row>
    <row r="4173">
      <c r="A4173" t="inlineStr"/>
      <c r="B4173" t="inlineStr"/>
      <c r="C4173" t="inlineStr"/>
      <c r="D4173" t="inlineStr"/>
      <c r="E4173">
        <f>HYPERLINK("https://www.ncbi.nlm.nih.gov/gene/?term=XP_044146854.1", "XP_044146854.1")</f>
        <v/>
      </c>
      <c r="F4173" t="n">
        <v>33.9</v>
      </c>
      <c r="G4173" t="n">
        <v>218</v>
      </c>
      <c r="H4173" t="n">
        <v>2.56e-29</v>
      </c>
      <c r="I4173" t="inlineStr">
        <is>
          <t>Nr</t>
        </is>
      </c>
      <c r="J4173" t="inlineStr"/>
      <c r="K4173" t="inlineStr"/>
      <c r="L4173" t="inlineStr">
        <is>
          <t>XP_044146854.1 uncharacterized protein LOC122935155 [Bufo gargarizans]</t>
        </is>
      </c>
      <c r="M4173" t="n">
        <v>1479</v>
      </c>
      <c r="N4173" t="inlineStr">
        <is>
          <t>Bufo gargarizans</t>
        </is>
      </c>
      <c r="O4173" t="inlineStr">
        <is>
          <t>uncharacterized protein LOC122935155</t>
        </is>
      </c>
    </row>
    <row r="4174">
      <c r="A4174" t="inlineStr"/>
      <c r="B4174" t="inlineStr"/>
      <c r="C4174" t="inlineStr"/>
      <c r="D4174" t="inlineStr"/>
      <c r="E4174">
        <f>HYPERLINK("https://www.ncbi.nlm.nih.gov/gene/?term=OCT86463.1", "OCT86463.1")</f>
        <v/>
      </c>
      <c r="F4174" t="n">
        <v>35</v>
      </c>
      <c r="G4174" t="n">
        <v>226</v>
      </c>
      <c r="H4174" t="n">
        <v>2.8e-29</v>
      </c>
      <c r="I4174" t="inlineStr">
        <is>
          <t>Nr</t>
        </is>
      </c>
      <c r="J4174" t="inlineStr"/>
      <c r="K4174" t="inlineStr"/>
      <c r="L4174" t="inlineStr">
        <is>
          <t>OCT86463.1 hypothetical protein XELAEV_18020146mg [Xenopus laevis]</t>
        </is>
      </c>
      <c r="M4174" t="n">
        <v>822</v>
      </c>
      <c r="N4174" t="inlineStr">
        <is>
          <t>Xenopus laevis</t>
        </is>
      </c>
      <c r="O4174" t="inlineStr">
        <is>
          <t>hypothetical protein XELAEV_18020146mg</t>
        </is>
      </c>
    </row>
    <row r="4175">
      <c r="A4175" t="inlineStr"/>
      <c r="B4175" t="inlineStr"/>
      <c r="C4175" t="inlineStr"/>
      <c r="D4175" t="inlineStr"/>
      <c r="E4175">
        <f>HYPERLINK("https://www.uniprot.org/uniprotkb/A0A803JPV7/entry", "A0A803JPV7")</f>
        <v/>
      </c>
      <c r="F4175" t="n">
        <v>26</v>
      </c>
      <c r="G4175" t="n">
        <v>327</v>
      </c>
      <c r="H4175" t="n">
        <v>3.37e-29</v>
      </c>
      <c r="I4175" t="inlineStr">
        <is>
          <t>TrEMBL</t>
        </is>
      </c>
      <c r="J4175" t="inlineStr"/>
      <c r="K4175" t="inlineStr">
        <is>
          <t>A0A803JPV7_XENTR</t>
        </is>
      </c>
      <c r="L4175" t="inlineStr">
        <is>
          <t>tr|A0A803JPV7|A0A803JPV7_XENTR Reverse transcriptase domain-containing protein OS=Xenopus tropicalis OX=8364 PE=4 SV=1</t>
        </is>
      </c>
      <c r="M4175" t="n">
        <v>972</v>
      </c>
      <c r="N4175" t="inlineStr">
        <is>
          <t>Xenopus tropicalis</t>
        </is>
      </c>
      <c r="O4175" t="inlineStr">
        <is>
          <t>Reverse transcriptase domain-containing protein</t>
        </is>
      </c>
    </row>
    <row r="4176">
      <c r="A4176" t="inlineStr"/>
      <c r="B4176" t="inlineStr"/>
      <c r="C4176" t="inlineStr"/>
      <c r="D4176" t="inlineStr"/>
      <c r="E4176">
        <f>HYPERLINK("https://www.uniprot.org/uniprotkb/A0A803K3V4/entry", "A0A803K3V4")</f>
        <v/>
      </c>
      <c r="F4176" t="n">
        <v>28.8</v>
      </c>
      <c r="G4176" t="n">
        <v>365</v>
      </c>
      <c r="H4176" t="n">
        <v>6.54e-29</v>
      </c>
      <c r="I4176" t="inlineStr">
        <is>
          <t>TrEMBL</t>
        </is>
      </c>
      <c r="J4176" t="inlineStr"/>
      <c r="K4176" t="inlineStr">
        <is>
          <t>A0A803K3V4_XENTR</t>
        </is>
      </c>
      <c r="L4176" t="inlineStr">
        <is>
          <t>tr|A0A803K3V4|A0A803K3V4_XENTR Reverse transcriptase domain-containing protein OS=Xenopus tropicalis OX=8364 PE=4 SV=1</t>
        </is>
      </c>
      <c r="M4176" t="n">
        <v>1145</v>
      </c>
      <c r="N4176" t="inlineStr">
        <is>
          <t>Xenopus tropicalis</t>
        </is>
      </c>
      <c r="O4176" t="inlineStr">
        <is>
          <t>Reverse transcriptase domain-containing protein</t>
        </is>
      </c>
    </row>
    <row r="4177">
      <c r="A4177" t="inlineStr"/>
      <c r="B4177" t="inlineStr"/>
      <c r="C4177" t="inlineStr"/>
      <c r="D4177" t="inlineStr"/>
      <c r="E4177">
        <f>HYPERLINK("https://www.uniprot.org/uniprotkb/A0A803KEZ6/entry", "A0A803KEZ6")</f>
        <v/>
      </c>
      <c r="F4177" t="n">
        <v>24.1</v>
      </c>
      <c r="G4177" t="n">
        <v>348</v>
      </c>
      <c r="H4177" t="n">
        <v>1.02e-28</v>
      </c>
      <c r="I4177" t="inlineStr">
        <is>
          <t>TrEMBL</t>
        </is>
      </c>
      <c r="J4177" t="inlineStr"/>
      <c r="K4177" t="inlineStr">
        <is>
          <t>A0A803KEZ6_XENTR</t>
        </is>
      </c>
      <c r="L4177" t="inlineStr">
        <is>
          <t>tr|A0A803KEZ6|A0A803KEZ6_XENTR Zf-RVT domain-containing protein OS=Xenopus tropicalis OX=8364 PE=4 SV=1</t>
        </is>
      </c>
      <c r="M4177" t="n">
        <v>477</v>
      </c>
      <c r="N4177" t="inlineStr">
        <is>
          <t>Xenopus tropicalis</t>
        </is>
      </c>
      <c r="O4177" t="inlineStr">
        <is>
          <t>Zf-RVT domain-containing protein</t>
        </is>
      </c>
    </row>
    <row r="4178">
      <c r="A4178" t="inlineStr"/>
      <c r="B4178" t="inlineStr"/>
      <c r="C4178" t="inlineStr"/>
      <c r="D4178" t="inlineStr"/>
      <c r="E4178">
        <f>HYPERLINK("https://www.uniprot.org/uniprotkb/Q7LHG5/entry", "Q7LHG5")</f>
        <v/>
      </c>
      <c r="F4178" t="n">
        <v>45.1</v>
      </c>
      <c r="G4178" t="n">
        <v>133</v>
      </c>
      <c r="H4178" t="n">
        <v>1.21e-28</v>
      </c>
      <c r="I4178" t="inlineStr">
        <is>
          <t>Swiss-Prot</t>
        </is>
      </c>
      <c r="J4178" t="inlineStr">
        <is>
          <t>TY3B-I</t>
        </is>
      </c>
      <c r="K4178" t="inlineStr">
        <is>
          <t>YI31B_YEAST</t>
        </is>
      </c>
      <c r="L4178" t="inlineStr">
        <is>
          <t>sp|Q7LHG5|YI31B_YEAST Transposon Ty3-I Gag-Pol polyprotein OS=Saccharomyces cerevisiae (strain ATCC 204508 / S288c) OX=559292 GN=TY3B-I PE=1 SV=2</t>
        </is>
      </c>
      <c r="M4178" t="n">
        <v>1498</v>
      </c>
      <c r="N4178" t="inlineStr">
        <is>
          <t>Saccharomyces cerevisiae (strain ATCC 204508 / S288c)</t>
        </is>
      </c>
      <c r="O4178" t="inlineStr">
        <is>
          <t>Transposon Ty3-I Gag-Pol polyprotein</t>
        </is>
      </c>
    </row>
    <row r="4179">
      <c r="A4179" t="inlineStr"/>
      <c r="B4179" t="inlineStr"/>
      <c r="C4179" t="inlineStr"/>
      <c r="D4179" t="inlineStr"/>
      <c r="E4179">
        <f>HYPERLINK("https://www.uniprot.org/uniprotkb/Q99315/entry", "Q99315")</f>
        <v/>
      </c>
      <c r="F4179" t="n">
        <v>45.1</v>
      </c>
      <c r="G4179" t="n">
        <v>133</v>
      </c>
      <c r="H4179" t="n">
        <v>1.21e-28</v>
      </c>
      <c r="I4179" t="inlineStr">
        <is>
          <t>Swiss-Prot</t>
        </is>
      </c>
      <c r="J4179" t="inlineStr">
        <is>
          <t>TY3B-G</t>
        </is>
      </c>
      <c r="K4179" t="inlineStr">
        <is>
          <t>YG31B_YEAST</t>
        </is>
      </c>
      <c r="L4179" t="inlineStr">
        <is>
          <t>sp|Q99315|YG31B_YEAST Transposon Ty3-G Gag-Pol polyprotein OS=Saccharomyces cerevisiae (strain ATCC 204508 / S288c) OX=559292 GN=TY3B-G PE=1 SV=3</t>
        </is>
      </c>
      <c r="M4179" t="n">
        <v>1547</v>
      </c>
      <c r="N4179" t="inlineStr">
        <is>
          <t>Saccharomyces cerevisiae (strain ATCC 204508 / S288c)</t>
        </is>
      </c>
      <c r="O4179" t="inlineStr">
        <is>
          <t>Transposon Ty3-G Gag-Pol polyprotein</t>
        </is>
      </c>
    </row>
    <row r="4180">
      <c r="A4180" t="inlineStr"/>
      <c r="B4180" t="inlineStr"/>
      <c r="C4180" t="inlineStr"/>
      <c r="D4180" t="inlineStr"/>
      <c r="E4180">
        <f>HYPERLINK("https://www.uniprot.org/uniprotkb/A0A803JWN0/entry", "A0A803JWN0")</f>
        <v/>
      </c>
      <c r="F4180" t="n">
        <v>32.3</v>
      </c>
      <c r="G4180" t="n">
        <v>226</v>
      </c>
      <c r="H4180" t="n">
        <v>1.23e-28</v>
      </c>
      <c r="I4180" t="inlineStr">
        <is>
          <t>TrEMBL</t>
        </is>
      </c>
      <c r="J4180" t="inlineStr"/>
      <c r="K4180" t="inlineStr">
        <is>
          <t>A0A803JWN0_XENTR</t>
        </is>
      </c>
      <c r="L4180" t="inlineStr">
        <is>
          <t>tr|A0A803JWN0|A0A803JWN0_XENTR Reverse transcriptase domain-containing protein OS=Xenopus tropicalis OX=8364 PE=4 SV=1</t>
        </is>
      </c>
      <c r="M4180" t="n">
        <v>1267</v>
      </c>
      <c r="N4180" t="inlineStr">
        <is>
          <t>Xenopus tropicalis</t>
        </is>
      </c>
      <c r="O4180" t="inlineStr">
        <is>
          <t>Reverse transcriptase domain-containing protein</t>
        </is>
      </c>
    </row>
    <row r="4181">
      <c r="A4181" t="inlineStr"/>
      <c r="B4181" t="inlineStr"/>
      <c r="C4181" t="inlineStr"/>
      <c r="D4181" t="inlineStr"/>
      <c r="E4181">
        <f>HYPERLINK("https://www.uniprot.org/uniprotkb/A0A803JVL8/entry", "A0A803JVL8")</f>
        <v/>
      </c>
      <c r="F4181" t="n">
        <v>26.8</v>
      </c>
      <c r="G4181" t="n">
        <v>354</v>
      </c>
      <c r="H4181" t="n">
        <v>4.13e-28</v>
      </c>
      <c r="I4181" t="inlineStr">
        <is>
          <t>TrEMBL</t>
        </is>
      </c>
      <c r="J4181" t="inlineStr"/>
      <c r="K4181" t="inlineStr">
        <is>
          <t>A0A803JVL8_XENTR</t>
        </is>
      </c>
      <c r="L4181" t="inlineStr">
        <is>
          <t>tr|A0A803JVL8|A0A803JVL8_XENTR Reverse transcriptase domain-containing protein OS=Xenopus tropicalis OX=8364 PE=4 SV=1</t>
        </is>
      </c>
      <c r="M4181" t="n">
        <v>1288</v>
      </c>
      <c r="N4181" t="inlineStr">
        <is>
          <t>Xenopus tropicalis</t>
        </is>
      </c>
      <c r="O4181" t="inlineStr">
        <is>
          <t>Reverse transcriptase domain-containing protein</t>
        </is>
      </c>
    </row>
    <row r="4182">
      <c r="A4182" t="inlineStr"/>
      <c r="B4182" t="inlineStr"/>
      <c r="C4182" t="inlineStr"/>
      <c r="D4182" t="inlineStr"/>
      <c r="E4182">
        <f>HYPERLINK("https://www.ncbi.nlm.nih.gov/gene/?term=XP_053327933.1", "XP_053327933.1")</f>
        <v/>
      </c>
      <c r="F4182" t="n">
        <v>34.1</v>
      </c>
      <c r="G4182" t="n">
        <v>214</v>
      </c>
      <c r="H4182" t="n">
        <v>4.45e-28</v>
      </c>
      <c r="I4182" t="inlineStr">
        <is>
          <t>Nr</t>
        </is>
      </c>
      <c r="J4182" t="inlineStr"/>
      <c r="K4182" t="inlineStr"/>
      <c r="L4182" t="inlineStr">
        <is>
          <t>XP_053327933.1 LINE-1 type transposase domain-containing protein 1 [Spea bombifrons]</t>
        </is>
      </c>
      <c r="M4182" t="n">
        <v>312</v>
      </c>
      <c r="N4182" t="inlineStr">
        <is>
          <t>Spea bombifrons</t>
        </is>
      </c>
      <c r="O4182" t="inlineStr">
        <is>
          <t>LINE-1 type transposase domain-containing protein 1</t>
        </is>
      </c>
    </row>
    <row r="4183">
      <c r="A4183" t="inlineStr"/>
      <c r="B4183" t="inlineStr"/>
      <c r="C4183" t="inlineStr"/>
      <c r="D4183" t="inlineStr"/>
      <c r="E4183">
        <f>HYPERLINK("https://www.ncbi.nlm.nih.gov/gene/?term=CAH2330500.1", "CAH2330500.1")</f>
        <v/>
      </c>
      <c r="F4183" t="n">
        <v>43.8</v>
      </c>
      <c r="G4183" t="n">
        <v>121</v>
      </c>
      <c r="H4183" t="n">
        <v>1.29e-27</v>
      </c>
      <c r="I4183" t="inlineStr">
        <is>
          <t>Nr</t>
        </is>
      </c>
      <c r="J4183" t="inlineStr"/>
      <c r="K4183" t="inlineStr"/>
      <c r="L4183" t="inlineStr">
        <is>
          <t>CAH2330500.1 Hypothetical predicted protein [Pelobates cultripes]</t>
        </is>
      </c>
      <c r="M4183" t="n">
        <v>141</v>
      </c>
      <c r="N4183" t="inlineStr">
        <is>
          <t>Pelobates cultripes</t>
        </is>
      </c>
      <c r="O4183" t="inlineStr">
        <is>
          <t>Hypothetical predicted protein</t>
        </is>
      </c>
    </row>
    <row r="4184">
      <c r="A4184" t="inlineStr"/>
      <c r="B4184" t="inlineStr"/>
      <c r="C4184" t="inlineStr"/>
      <c r="D4184" t="inlineStr"/>
      <c r="E4184">
        <f>HYPERLINK("https://www.uniprot.org/uniprotkb/A0A8C5MKY4/entry", "A0A8C5MKY4")</f>
        <v/>
      </c>
      <c r="F4184" t="n">
        <v>27.2</v>
      </c>
      <c r="G4184" t="n">
        <v>345</v>
      </c>
      <c r="H4184" t="n">
        <v>1.49e-27</v>
      </c>
      <c r="I4184" t="inlineStr">
        <is>
          <t>TrEMBL</t>
        </is>
      </c>
      <c r="J4184" t="inlineStr"/>
      <c r="K4184" t="inlineStr">
        <is>
          <t>A0A8C5MKY4_9ANUR</t>
        </is>
      </c>
      <c r="L4184" t="inlineStr">
        <is>
          <t>tr|A0A8C5MKY4|A0A8C5MKY4_9ANUR Reverse transcriptase domain-containing protein OS=Leptobrachium leishanense OX=445787 PE=4 SV=1</t>
        </is>
      </c>
      <c r="M4184" t="n">
        <v>771</v>
      </c>
      <c r="N4184" t="inlineStr">
        <is>
          <t>Leptobrachium leishanense</t>
        </is>
      </c>
      <c r="O4184" t="inlineStr">
        <is>
          <t>Reverse transcriptase domain-containing protein</t>
        </is>
      </c>
    </row>
    <row r="4185">
      <c r="A4185" t="inlineStr"/>
      <c r="B4185" t="inlineStr"/>
      <c r="C4185" t="inlineStr"/>
      <c r="D4185" t="inlineStr"/>
      <c r="E4185">
        <f>HYPERLINK("https://www.uniprot.org/uniprotkb/A0A803JJA9/entry", "A0A803JJA9")</f>
        <v/>
      </c>
      <c r="F4185" t="n">
        <v>31.5</v>
      </c>
      <c r="G4185" t="n">
        <v>222</v>
      </c>
      <c r="H4185" t="n">
        <v>3.380000000000001e-27</v>
      </c>
      <c r="I4185" t="inlineStr">
        <is>
          <t>TrEMBL</t>
        </is>
      </c>
      <c r="J4185" t="inlineStr"/>
      <c r="K4185" t="inlineStr">
        <is>
          <t>A0A803JJA9_XENTR</t>
        </is>
      </c>
      <c r="L4185" t="inlineStr">
        <is>
          <t>tr|A0A803JJA9|A0A803JJA9_XENTR Reverse transcriptase domain-containing protein OS=Xenopus tropicalis OX=8364 PE=4 SV=1</t>
        </is>
      </c>
      <c r="M4185" t="n">
        <v>1267</v>
      </c>
      <c r="N4185" t="inlineStr">
        <is>
          <t>Xenopus tropicalis</t>
        </is>
      </c>
      <c r="O4185" t="inlineStr">
        <is>
          <t>Reverse transcriptase domain-containing protein</t>
        </is>
      </c>
    </row>
    <row r="4186">
      <c r="A4186" t="inlineStr"/>
      <c r="B4186" t="inlineStr"/>
      <c r="C4186" t="inlineStr"/>
      <c r="D4186" t="inlineStr"/>
      <c r="E4186">
        <f>HYPERLINK("https://www.uniprot.org/uniprotkb/A0A803KD43/entry", "A0A803KD43")</f>
        <v/>
      </c>
      <c r="F4186" t="n">
        <v>28.8</v>
      </c>
      <c r="G4186" t="n">
        <v>316</v>
      </c>
      <c r="H4186" t="n">
        <v>7.410000000000001e-27</v>
      </c>
      <c r="I4186" t="inlineStr">
        <is>
          <t>TrEMBL</t>
        </is>
      </c>
      <c r="J4186" t="inlineStr"/>
      <c r="K4186" t="inlineStr">
        <is>
          <t>A0A803KD43_XENTR</t>
        </is>
      </c>
      <c r="L4186" t="inlineStr">
        <is>
          <t>tr|A0A803KD43|A0A803KD43_XENTR Reverse transcriptase domain-containing protein OS=Xenopus tropicalis OX=8364 PE=4 SV=1</t>
        </is>
      </c>
      <c r="M4186" t="n">
        <v>908</v>
      </c>
      <c r="N4186" t="inlineStr">
        <is>
          <t>Xenopus tropicalis</t>
        </is>
      </c>
      <c r="O4186" t="inlineStr">
        <is>
          <t>Reverse transcriptase domain-containing protein</t>
        </is>
      </c>
    </row>
    <row r="4187">
      <c r="A4187" t="inlineStr"/>
      <c r="B4187" t="inlineStr"/>
      <c r="C4187" t="inlineStr"/>
      <c r="D4187" t="inlineStr"/>
      <c r="E4187">
        <f>HYPERLINK("https://www.uniprot.org/uniprotkb/A0A8C5QYF5/entry", "A0A8C5QYF5")</f>
        <v/>
      </c>
      <c r="F4187" t="n">
        <v>27.4</v>
      </c>
      <c r="G4187" t="n">
        <v>299</v>
      </c>
      <c r="H4187" t="n">
        <v>8.310000000000001e-27</v>
      </c>
      <c r="I4187" t="inlineStr">
        <is>
          <t>TrEMBL</t>
        </is>
      </c>
      <c r="J4187" t="inlineStr"/>
      <c r="K4187" t="inlineStr">
        <is>
          <t>A0A8C5QYF5_9ANUR</t>
        </is>
      </c>
      <c r="L4187" t="inlineStr">
        <is>
          <t>tr|A0A8C5QYF5|A0A8C5QYF5_9ANUR Reverse transcriptase domain-containing protein OS=Leptobrachium leishanense OX=445787 PE=4 SV=1</t>
        </is>
      </c>
      <c r="M4187" t="n">
        <v>1259</v>
      </c>
      <c r="N4187" t="inlineStr">
        <is>
          <t>Leptobrachium leishanense</t>
        </is>
      </c>
      <c r="O4187" t="inlineStr">
        <is>
          <t>Reverse transcriptase domain-containing protein</t>
        </is>
      </c>
    </row>
    <row r="4188">
      <c r="A4188" t="inlineStr"/>
      <c r="B4188" t="inlineStr"/>
      <c r="C4188" t="inlineStr"/>
      <c r="D4188" t="inlineStr"/>
      <c r="E4188">
        <f>HYPERLINK("https://www.uniprot.org/uniprotkb/A0A8C5QEA1/entry", "A0A8C5QEA1")</f>
        <v/>
      </c>
      <c r="F4188" t="n">
        <v>27.4</v>
      </c>
      <c r="G4188" t="n">
        <v>299</v>
      </c>
      <c r="H4188" t="n">
        <v>9.460000000000001e-27</v>
      </c>
      <c r="I4188" t="inlineStr">
        <is>
          <t>TrEMBL</t>
        </is>
      </c>
      <c r="J4188" t="inlineStr"/>
      <c r="K4188" t="inlineStr">
        <is>
          <t>A0A8C5QEA1_9ANUR</t>
        </is>
      </c>
      <c r="L4188" t="inlineStr">
        <is>
          <t>tr|A0A8C5QEA1|A0A8C5QEA1_9ANUR Reverse transcriptase domain-containing protein OS=Leptobrachium leishanense OX=445787 PE=4 SV=1</t>
        </is>
      </c>
      <c r="M4188" t="n">
        <v>814</v>
      </c>
      <c r="N4188" t="inlineStr">
        <is>
          <t>Leptobrachium leishanense</t>
        </is>
      </c>
      <c r="O4188" t="inlineStr">
        <is>
          <t>Reverse transcriptase domain-containing protein</t>
        </is>
      </c>
    </row>
    <row r="4189">
      <c r="A4189" t="inlineStr"/>
      <c r="B4189" t="inlineStr"/>
      <c r="C4189" t="inlineStr"/>
      <c r="D4189" t="inlineStr"/>
      <c r="E4189">
        <f>HYPERLINK("https://www.uniprot.org/uniprotkb/P10401/entry", "P10401")</f>
        <v/>
      </c>
      <c r="F4189" t="n">
        <v>35.5</v>
      </c>
      <c r="G4189" t="n">
        <v>138</v>
      </c>
      <c r="H4189" t="n">
        <v>1.68e-26</v>
      </c>
      <c r="I4189" t="inlineStr">
        <is>
          <t>Swiss-Prot</t>
        </is>
      </c>
      <c r="J4189" t="inlineStr">
        <is>
          <t>pol</t>
        </is>
      </c>
      <c r="K4189" t="inlineStr">
        <is>
          <t>POLY_DROME</t>
        </is>
      </c>
      <c r="L4189" t="inlineStr">
        <is>
          <t>sp|P10401|POLY_DROME Retrovirus-related Pol polyprotein from transposon gypsy OS=Drosophila melanogaster OX=7227 GN=pol PE=4 SV=1</t>
        </is>
      </c>
      <c r="M4189" t="n">
        <v>1035</v>
      </c>
      <c r="N4189" t="inlineStr">
        <is>
          <t>Drosophila melanogaster</t>
        </is>
      </c>
      <c r="O4189" t="inlineStr">
        <is>
          <t>Retrovirus-related Pol polyprotein from transposon gypsy</t>
        </is>
      </c>
    </row>
    <row r="4190">
      <c r="A4190" t="inlineStr"/>
      <c r="B4190" t="inlineStr"/>
      <c r="C4190" t="inlineStr"/>
      <c r="D4190" t="inlineStr"/>
      <c r="E4190">
        <f>HYPERLINK("https://www.uniprot.org/uniprotkb/A0A803K0Y7/entry", "A0A803K0Y7")</f>
        <v/>
      </c>
      <c r="F4190" t="n">
        <v>28.8</v>
      </c>
      <c r="G4190" t="n">
        <v>316</v>
      </c>
      <c r="H4190" t="n">
        <v>2.66e-26</v>
      </c>
      <c r="I4190" t="inlineStr">
        <is>
          <t>TrEMBL</t>
        </is>
      </c>
      <c r="J4190" t="inlineStr"/>
      <c r="K4190" t="inlineStr">
        <is>
          <t>A0A803K0Y7_XENTR</t>
        </is>
      </c>
      <c r="L4190" t="inlineStr">
        <is>
          <t>tr|A0A803K0Y7|A0A803K0Y7_XENTR Reverse transcriptase domain-containing protein OS=Xenopus tropicalis OX=8364 PE=4 SV=1</t>
        </is>
      </c>
      <c r="M4190" t="n">
        <v>680</v>
      </c>
      <c r="N4190" t="inlineStr">
        <is>
          <t>Xenopus tropicalis</t>
        </is>
      </c>
      <c r="O4190" t="inlineStr">
        <is>
          <t>Reverse transcriptase domain-containing protein</t>
        </is>
      </c>
    </row>
    <row r="4191">
      <c r="A4191" t="inlineStr"/>
      <c r="B4191" t="inlineStr"/>
      <c r="C4191" t="inlineStr"/>
      <c r="D4191" t="inlineStr"/>
      <c r="E4191">
        <f>HYPERLINK("https://www.ncbi.nlm.nih.gov/gene/?term=XP_040272583.1", "XP_040272583.1")</f>
        <v/>
      </c>
      <c r="F4191" t="n">
        <v>34</v>
      </c>
      <c r="G4191" t="n">
        <v>203</v>
      </c>
      <c r="H4191" t="n">
        <v>2.69e-26</v>
      </c>
      <c r="I4191" t="inlineStr">
        <is>
          <t>Nr</t>
        </is>
      </c>
      <c r="J4191" t="inlineStr"/>
      <c r="K4191" t="inlineStr"/>
      <c r="L4191" t="inlineStr">
        <is>
          <t>XP_040272583.1 uncharacterized protein LOC120988885 [Bufo bufo]</t>
        </is>
      </c>
      <c r="M4191" t="n">
        <v>229</v>
      </c>
      <c r="N4191" t="inlineStr">
        <is>
          <t>Bufo bufo</t>
        </is>
      </c>
      <c r="O4191" t="inlineStr">
        <is>
          <t>uncharacterized protein LOC120988885</t>
        </is>
      </c>
    </row>
    <row r="4192">
      <c r="A4192" t="inlineStr"/>
      <c r="B4192" t="inlineStr"/>
      <c r="C4192" t="inlineStr"/>
      <c r="D4192" t="inlineStr"/>
      <c r="E4192">
        <f>HYPERLINK("https://www.uniprot.org/uniprotkb/A0A803J7W0/entry", "A0A803J7W0")</f>
        <v/>
      </c>
      <c r="F4192" t="n">
        <v>26.1</v>
      </c>
      <c r="G4192" t="n">
        <v>364</v>
      </c>
      <c r="H4192" t="n">
        <v>2.95e-26</v>
      </c>
      <c r="I4192" t="inlineStr">
        <is>
          <t>TrEMBL</t>
        </is>
      </c>
      <c r="J4192" t="inlineStr"/>
      <c r="K4192" t="inlineStr">
        <is>
          <t>A0A803J7W0_XENTR</t>
        </is>
      </c>
      <c r="L4192" t="inlineStr">
        <is>
          <t>tr|A0A803J7W0|A0A803J7W0_XENTR Reverse transcriptase domain-containing protein OS=Xenopus tropicalis OX=8364 PE=4 SV=1</t>
        </is>
      </c>
      <c r="M4192" t="n">
        <v>743</v>
      </c>
      <c r="N4192" t="inlineStr">
        <is>
          <t>Xenopus tropicalis</t>
        </is>
      </c>
      <c r="O4192" t="inlineStr">
        <is>
          <t>Reverse transcriptase domain-containing protein</t>
        </is>
      </c>
    </row>
    <row r="4193">
      <c r="A4193" t="inlineStr"/>
      <c r="B4193" t="inlineStr"/>
      <c r="C4193" t="inlineStr"/>
      <c r="D4193" t="inlineStr"/>
      <c r="E4193">
        <f>HYPERLINK("https://www.ncbi.nlm.nih.gov/gene/?term=XP_034953532.1", "XP_034953532.1")</f>
        <v/>
      </c>
      <c r="F4193" t="n">
        <v>29.7</v>
      </c>
      <c r="G4193" t="n">
        <v>269</v>
      </c>
      <c r="H4193" t="n">
        <v>3.21e-26</v>
      </c>
      <c r="I4193" t="inlineStr">
        <is>
          <t>Nr</t>
        </is>
      </c>
      <c r="J4193" t="inlineStr"/>
      <c r="K4193" t="inlineStr"/>
      <c r="L4193" t="inlineStr">
        <is>
          <t>XP_034953532.1 LINE-1 type transposase domain-containing protein 1 [Zootoca vivipara]</t>
        </is>
      </c>
      <c r="M4193" t="n">
        <v>367</v>
      </c>
      <c r="N4193" t="inlineStr">
        <is>
          <t>Zootoca vivipara</t>
        </is>
      </c>
      <c r="O4193" t="inlineStr">
        <is>
          <t>LINE-1 type transposase domain-containing protein 1</t>
        </is>
      </c>
    </row>
    <row r="4194">
      <c r="A4194" t="inlineStr"/>
      <c r="B4194" t="inlineStr"/>
      <c r="C4194" t="inlineStr"/>
      <c r="D4194" t="inlineStr"/>
      <c r="E4194">
        <f>HYPERLINK("https://www.uniprot.org/uniprotkb/A0A803J9X8/entry", "A0A803J9X8")</f>
        <v/>
      </c>
      <c r="F4194" t="n">
        <v>23.9</v>
      </c>
      <c r="G4194" t="n">
        <v>348</v>
      </c>
      <c r="H4194" t="n">
        <v>3.53e-26</v>
      </c>
      <c r="I4194" t="inlineStr">
        <is>
          <t>TrEMBL</t>
        </is>
      </c>
      <c r="J4194" t="inlineStr"/>
      <c r="K4194" t="inlineStr">
        <is>
          <t>A0A803J9X8_XENTR</t>
        </is>
      </c>
      <c r="L4194" t="inlineStr">
        <is>
          <t>tr|A0A803J9X8|A0A803J9X8_XENTR Reverse transcriptase domain-containing protein OS=Xenopus tropicalis OX=8364 PE=4 SV=1</t>
        </is>
      </c>
      <c r="M4194" t="n">
        <v>1051</v>
      </c>
      <c r="N4194" t="inlineStr">
        <is>
          <t>Xenopus tropicalis</t>
        </is>
      </c>
      <c r="O4194" t="inlineStr">
        <is>
          <t>Reverse transcriptase domain-containing protein</t>
        </is>
      </c>
    </row>
    <row r="4195">
      <c r="A4195" t="inlineStr"/>
      <c r="B4195" t="inlineStr"/>
      <c r="C4195" t="inlineStr"/>
      <c r="D4195" t="inlineStr"/>
      <c r="E4195">
        <f>HYPERLINK("https://www.uniprot.org/uniprotkb/A0A6G1B9N9/entry", "A0A6G1B9N9")</f>
        <v/>
      </c>
      <c r="F4195" t="n">
        <v>29.5</v>
      </c>
      <c r="G4195" t="n">
        <v>237</v>
      </c>
      <c r="H4195" t="n">
        <v>5.04e-26</v>
      </c>
      <c r="I4195" t="inlineStr">
        <is>
          <t>TrEMBL</t>
        </is>
      </c>
      <c r="J4195" t="inlineStr">
        <is>
          <t>FOF47_R05986</t>
        </is>
      </c>
      <c r="K4195" t="inlineStr">
        <is>
          <t>A0A6G1B9N9_CROCR</t>
        </is>
      </c>
      <c r="L4195" t="inlineStr">
        <is>
          <t>tr|A0A6G1B9N9|A0A6G1B9N9_CROCR LORF2 protein (Fragment) OS=Crocuta crocuta OX=9678 GN=FOF47_R05986 PE=4 SV=1</t>
        </is>
      </c>
      <c r="M4195" t="n">
        <v>294</v>
      </c>
      <c r="N4195" t="inlineStr">
        <is>
          <t>Crocuta crocuta</t>
        </is>
      </c>
      <c r="O4195" t="inlineStr">
        <is>
          <t>LORF2 protein (Fragment)</t>
        </is>
      </c>
    </row>
    <row r="4196">
      <c r="A4196" t="inlineStr"/>
      <c r="B4196" t="inlineStr"/>
      <c r="C4196" t="inlineStr"/>
      <c r="D4196" t="inlineStr"/>
      <c r="E4196">
        <f>HYPERLINK("https://www.uniprot.org/uniprotkb/A0A8C5Q087/entry", "A0A8C5Q087")</f>
        <v/>
      </c>
      <c r="F4196" t="n">
        <v>26.4</v>
      </c>
      <c r="G4196" t="n">
        <v>348</v>
      </c>
      <c r="H4196" t="n">
        <v>7.55e-26</v>
      </c>
      <c r="I4196" t="inlineStr">
        <is>
          <t>TrEMBL</t>
        </is>
      </c>
      <c r="J4196" t="inlineStr"/>
      <c r="K4196" t="inlineStr">
        <is>
          <t>A0A8C5Q087_9ANUR</t>
        </is>
      </c>
      <c r="L4196" t="inlineStr">
        <is>
          <t>tr|A0A8C5Q087|A0A8C5Q087_9ANUR Reverse transcriptase domain-containing protein OS=Leptobrachium leishanense OX=445787 PE=4 SV=1</t>
        </is>
      </c>
      <c r="M4196" t="n">
        <v>779</v>
      </c>
      <c r="N4196" t="inlineStr">
        <is>
          <t>Leptobrachium leishanense</t>
        </is>
      </c>
      <c r="O4196" t="inlineStr">
        <is>
          <t>Reverse transcriptase domain-containing protein</t>
        </is>
      </c>
    </row>
    <row r="4197">
      <c r="A4197" t="inlineStr"/>
      <c r="B4197" t="inlineStr"/>
      <c r="C4197" t="inlineStr"/>
      <c r="D4197" t="inlineStr"/>
      <c r="E4197">
        <f>HYPERLINK("https://www.ncbi.nlm.nih.gov/gene/?term=RXN31220.1", "RXN31220.1")</f>
        <v/>
      </c>
      <c r="F4197" t="n">
        <v>37.9</v>
      </c>
      <c r="G4197" t="n">
        <v>198</v>
      </c>
      <c r="H4197" t="n">
        <v>7.820000000000001e-26</v>
      </c>
      <c r="I4197" t="inlineStr">
        <is>
          <t>Nr</t>
        </is>
      </c>
      <c r="J4197" t="inlineStr"/>
      <c r="K4197" t="inlineStr"/>
      <c r="L4197" t="inlineStr">
        <is>
          <t>RXN31220.1 putative transposase element L1Md-A101/L1Md-A102/L1Md-A2 [Labeo rohita]</t>
        </is>
      </c>
      <c r="M4197" t="n">
        <v>291</v>
      </c>
      <c r="N4197" t="inlineStr">
        <is>
          <t>Labeo rohita</t>
        </is>
      </c>
      <c r="O4197" t="inlineStr">
        <is>
          <t>putative transposase element L1Md-A101/L1Md-A102/L1Md-A2</t>
        </is>
      </c>
    </row>
    <row r="4198">
      <c r="A4198" t="inlineStr"/>
      <c r="B4198" t="inlineStr"/>
      <c r="C4198" t="inlineStr"/>
      <c r="D4198" t="inlineStr"/>
      <c r="E4198">
        <f>HYPERLINK("https://www.uniprot.org/uniprotkb/A0A8C5MLZ2/entry", "A0A8C5MLZ2")</f>
        <v/>
      </c>
      <c r="F4198" t="n">
        <v>26.6</v>
      </c>
      <c r="G4198" t="n">
        <v>354</v>
      </c>
      <c r="H4198" t="n">
        <v>9.22e-26</v>
      </c>
      <c r="I4198" t="inlineStr">
        <is>
          <t>TrEMBL</t>
        </is>
      </c>
      <c r="J4198" t="inlineStr"/>
      <c r="K4198" t="inlineStr">
        <is>
          <t>A0A8C5MLZ2_9ANUR</t>
        </is>
      </c>
      <c r="L4198" t="inlineStr">
        <is>
          <t>tr|A0A8C5MLZ2|A0A8C5MLZ2_9ANUR Reverse transcriptase domain-containing protein OS=Leptobrachium leishanense OX=445787 PE=4 SV=1</t>
        </is>
      </c>
      <c r="M4198" t="n">
        <v>1277</v>
      </c>
      <c r="N4198" t="inlineStr">
        <is>
          <t>Leptobrachium leishanense</t>
        </is>
      </c>
      <c r="O4198" t="inlineStr">
        <is>
          <t>Reverse transcriptase domain-containing protein</t>
        </is>
      </c>
    </row>
    <row r="4199">
      <c r="A4199" t="inlineStr"/>
      <c r="B4199" t="inlineStr"/>
      <c r="C4199" t="inlineStr"/>
      <c r="D4199" t="inlineStr"/>
      <c r="E4199">
        <f>HYPERLINK("https://www.ncbi.nlm.nih.gov/gene/?term=KAF0884656.1", "KAF0884656.1")</f>
        <v/>
      </c>
      <c r="F4199" t="n">
        <v>29.5</v>
      </c>
      <c r="G4199" t="n">
        <v>237</v>
      </c>
      <c r="H4199" t="n">
        <v>1.29e-25</v>
      </c>
      <c r="I4199" t="inlineStr">
        <is>
          <t>Nr</t>
        </is>
      </c>
      <c r="J4199" t="inlineStr"/>
      <c r="K4199" t="inlineStr"/>
      <c r="L4199" t="inlineStr">
        <is>
          <t>KAF0884656.1 LORF2 protein, partial [Crocuta crocuta]</t>
        </is>
      </c>
      <c r="M4199" t="n">
        <v>294</v>
      </c>
      <c r="N4199" t="inlineStr">
        <is>
          <t>Crocuta crocuta</t>
        </is>
      </c>
      <c r="O4199" t="inlineStr">
        <is>
          <t>LORF2 protein, partial</t>
        </is>
      </c>
    </row>
    <row r="4200">
      <c r="A4200" t="inlineStr"/>
      <c r="B4200" t="inlineStr"/>
      <c r="C4200" t="inlineStr"/>
      <c r="D4200" t="inlineStr"/>
      <c r="E4200">
        <f>HYPERLINK("https://www.uniprot.org/uniprotkb/A0A6G1BB51/entry", "A0A6G1BB51")</f>
        <v/>
      </c>
      <c r="F4200" t="n">
        <v>29.5</v>
      </c>
      <c r="G4200" t="n">
        <v>237</v>
      </c>
      <c r="H4200" t="n">
        <v>2.54e-25</v>
      </c>
      <c r="I4200" t="inlineStr">
        <is>
          <t>TrEMBL</t>
        </is>
      </c>
      <c r="J4200" t="inlineStr">
        <is>
          <t>FOF47_R05964</t>
        </is>
      </c>
      <c r="K4200" t="inlineStr">
        <is>
          <t>A0A6G1BB51_CROCR</t>
        </is>
      </c>
      <c r="L4200" t="inlineStr">
        <is>
          <t>tr|A0A6G1BB51|A0A6G1BB51_CROCR LORF2 protein (Fragment) OS=Crocuta crocuta OX=9678 GN=FOF47_R05964 PE=4 SV=1</t>
        </is>
      </c>
      <c r="M4200" t="n">
        <v>293</v>
      </c>
      <c r="N4200" t="inlineStr">
        <is>
          <t>Crocuta crocuta</t>
        </is>
      </c>
      <c r="O4200" t="inlineStr">
        <is>
          <t>LORF2 protein (Fragment)</t>
        </is>
      </c>
    </row>
    <row r="4201">
      <c r="A4201" t="inlineStr"/>
      <c r="B4201" t="inlineStr"/>
      <c r="C4201" t="inlineStr"/>
      <c r="D4201" t="inlineStr"/>
      <c r="E4201">
        <f>HYPERLINK("https://www.uniprot.org/uniprotkb/A0A6G1ABU9/entry", "A0A6G1ABU9")</f>
        <v/>
      </c>
      <c r="F4201" t="n">
        <v>29.1</v>
      </c>
      <c r="G4201" t="n">
        <v>237</v>
      </c>
      <c r="H4201" t="n">
        <v>3.38e-25</v>
      </c>
      <c r="I4201" t="inlineStr">
        <is>
          <t>TrEMBL</t>
        </is>
      </c>
      <c r="J4201" t="inlineStr">
        <is>
          <t>FOF47_R03565</t>
        </is>
      </c>
      <c r="K4201" t="inlineStr">
        <is>
          <t>A0A6G1ABU9_CROCR</t>
        </is>
      </c>
      <c r="L4201" t="inlineStr">
        <is>
          <t>tr|A0A6G1ABU9|A0A6G1ABU9_CROCR LORF2 protein (Fragment) OS=Crocuta crocuta OX=9678 GN=FOF47_R03565 PE=4 SV=1</t>
        </is>
      </c>
      <c r="M4201" t="n">
        <v>291</v>
      </c>
      <c r="N4201" t="inlineStr">
        <is>
          <t>Crocuta crocuta</t>
        </is>
      </c>
      <c r="O4201" t="inlineStr">
        <is>
          <t>LORF2 protein (Fragment)</t>
        </is>
      </c>
    </row>
    <row r="4202">
      <c r="A4202" t="inlineStr"/>
      <c r="B4202" t="inlineStr"/>
      <c r="C4202" t="inlineStr"/>
      <c r="D4202" t="inlineStr"/>
      <c r="E4202">
        <f>HYPERLINK("https://www.uniprot.org/uniprotkb/A0A6G1A905/entry", "A0A6G1A905")</f>
        <v/>
      </c>
      <c r="F4202" t="n">
        <v>29.1</v>
      </c>
      <c r="G4202" t="n">
        <v>237</v>
      </c>
      <c r="H4202" t="n">
        <v>4.89e-25</v>
      </c>
      <c r="I4202" t="inlineStr">
        <is>
          <t>TrEMBL</t>
        </is>
      </c>
      <c r="J4202" t="inlineStr">
        <is>
          <t>FOF47_R03661</t>
        </is>
      </c>
      <c r="K4202" t="inlineStr">
        <is>
          <t>A0A6G1A905_CROCR</t>
        </is>
      </c>
      <c r="L4202" t="inlineStr">
        <is>
          <t>tr|A0A6G1A905|A0A6G1A905_CROCR LORF2 protein (Fragment) OS=Crocuta crocuta OX=9678 GN=FOF47_R03661 PE=4 SV=1</t>
        </is>
      </c>
      <c r="M4202" t="n">
        <v>293</v>
      </c>
      <c r="N4202" t="inlineStr">
        <is>
          <t>Crocuta crocuta</t>
        </is>
      </c>
      <c r="O4202" t="inlineStr">
        <is>
          <t>LORF2 protein (Fragment)</t>
        </is>
      </c>
    </row>
    <row r="4203">
      <c r="A4203" t="inlineStr"/>
      <c r="B4203" t="inlineStr"/>
      <c r="C4203" t="inlineStr"/>
      <c r="D4203" t="inlineStr"/>
      <c r="E4203">
        <f>HYPERLINK("https://www.uniprot.org/uniprotkb/A0A6G1AJ96/entry", "A0A6G1AJ96")</f>
        <v/>
      </c>
      <c r="F4203" t="n">
        <v>27.9</v>
      </c>
      <c r="G4203" t="n">
        <v>269</v>
      </c>
      <c r="H4203" t="n">
        <v>4.89e-25</v>
      </c>
      <c r="I4203" t="inlineStr">
        <is>
          <t>TrEMBL</t>
        </is>
      </c>
      <c r="J4203" t="inlineStr">
        <is>
          <t>FOF47_R03877</t>
        </is>
      </c>
      <c r="K4203" t="inlineStr">
        <is>
          <t>A0A6G1AJ96_CROCR</t>
        </is>
      </c>
      <c r="L4203" t="inlineStr">
        <is>
          <t>tr|A0A6G1AJ96|A0A6G1AJ96_CROCR LORF2 protein (Fragment) OS=Crocuta crocuta OX=9678 GN=FOF47_R03877 PE=4 SV=1</t>
        </is>
      </c>
      <c r="M4203" t="n">
        <v>293</v>
      </c>
      <c r="N4203" t="inlineStr">
        <is>
          <t>Crocuta crocuta</t>
        </is>
      </c>
      <c r="O4203" t="inlineStr">
        <is>
          <t>LORF2 protein (Fragment)</t>
        </is>
      </c>
    </row>
    <row r="4204">
      <c r="A4204" t="inlineStr"/>
      <c r="B4204" t="inlineStr"/>
      <c r="C4204" t="inlineStr"/>
      <c r="D4204" t="inlineStr"/>
      <c r="E4204">
        <f>HYPERLINK("https://www.uniprot.org/uniprotkb/A0A6G1B4W5/entry", "A0A6G1B4W5")</f>
        <v/>
      </c>
      <c r="F4204" t="n">
        <v>29.1</v>
      </c>
      <c r="G4204" t="n">
        <v>237</v>
      </c>
      <c r="H4204" t="n">
        <v>5.19e-25</v>
      </c>
      <c r="I4204" t="inlineStr">
        <is>
          <t>TrEMBL</t>
        </is>
      </c>
      <c r="J4204" t="inlineStr">
        <is>
          <t>FOF47_R03789</t>
        </is>
      </c>
      <c r="K4204" t="inlineStr">
        <is>
          <t>A0A6G1B4W5_CROCR</t>
        </is>
      </c>
      <c r="L4204" t="inlineStr">
        <is>
          <t>tr|A0A6G1B4W5|A0A6G1B4W5_CROCR LORF2 protein (Fragment) OS=Crocuta crocuta OX=9678 GN=FOF47_R03789 PE=4 SV=1</t>
        </is>
      </c>
      <c r="M4204" t="n">
        <v>296</v>
      </c>
      <c r="N4204" t="inlineStr">
        <is>
          <t>Crocuta crocuta</t>
        </is>
      </c>
      <c r="O4204" t="inlineStr">
        <is>
          <t>LORF2 protein (Fragment)</t>
        </is>
      </c>
    </row>
    <row r="4205">
      <c r="A4205" t="inlineStr"/>
      <c r="B4205" t="inlineStr"/>
      <c r="C4205" t="inlineStr"/>
      <c r="D4205" t="inlineStr"/>
      <c r="E4205">
        <f>HYPERLINK("https://www.uniprot.org/uniprotkb/A0A8C5QDU5/entry", "A0A8C5QDU5")</f>
        <v/>
      </c>
      <c r="F4205" t="n">
        <v>26.7</v>
      </c>
      <c r="G4205" t="n">
        <v>359</v>
      </c>
      <c r="H4205" t="n">
        <v>5.45e-25</v>
      </c>
      <c r="I4205" t="inlineStr">
        <is>
          <t>TrEMBL</t>
        </is>
      </c>
      <c r="J4205" t="inlineStr"/>
      <c r="K4205" t="inlineStr">
        <is>
          <t>A0A8C5QDU5_9ANUR</t>
        </is>
      </c>
      <c r="L4205" t="inlineStr">
        <is>
          <t>tr|A0A8C5QDU5|A0A8C5QDU5_9ANUR Reverse transcriptase domain-containing protein OS=Leptobrachium leishanense OX=445787 PE=4 SV=1</t>
        </is>
      </c>
      <c r="M4205" t="n">
        <v>1175</v>
      </c>
      <c r="N4205" t="inlineStr">
        <is>
          <t>Leptobrachium leishanense</t>
        </is>
      </c>
      <c r="O4205" t="inlineStr">
        <is>
          <t>Reverse transcriptase domain-containing protein</t>
        </is>
      </c>
    </row>
    <row r="4206">
      <c r="A4206" t="inlineStr"/>
      <c r="B4206" t="inlineStr"/>
      <c r="C4206" t="inlineStr"/>
      <c r="D4206" t="inlineStr"/>
      <c r="E4206">
        <f>HYPERLINK("https://www.uniprot.org/uniprotkb/A0A8C5N3K1/entry", "A0A8C5N3K1")</f>
        <v/>
      </c>
      <c r="F4206" t="n">
        <v>26.5</v>
      </c>
      <c r="G4206" t="n">
        <v>324</v>
      </c>
      <c r="H4206" t="n">
        <v>5.5e-25</v>
      </c>
      <c r="I4206" t="inlineStr">
        <is>
          <t>TrEMBL</t>
        </is>
      </c>
      <c r="J4206" t="inlineStr"/>
      <c r="K4206" t="inlineStr">
        <is>
          <t>A0A8C5N3K1_9ANUR</t>
        </is>
      </c>
      <c r="L4206" t="inlineStr">
        <is>
          <t>tr|A0A8C5N3K1|A0A8C5N3K1_9ANUR Zf-RVT domain-containing protein OS=Leptobrachium leishanense OX=445787 PE=4 SV=1</t>
        </is>
      </c>
      <c r="M4206" t="n">
        <v>397</v>
      </c>
      <c r="N4206" t="inlineStr">
        <is>
          <t>Leptobrachium leishanense</t>
        </is>
      </c>
      <c r="O4206" t="inlineStr">
        <is>
          <t>Zf-RVT domain-containing protein</t>
        </is>
      </c>
    </row>
    <row r="4207">
      <c r="A4207" t="inlineStr"/>
      <c r="B4207" t="inlineStr"/>
      <c r="C4207" t="inlineStr"/>
      <c r="D4207" t="inlineStr"/>
      <c r="E4207">
        <f>HYPERLINK("https://www.ncbi.nlm.nih.gov/gene/?term=KAF0884917.1", "KAF0884917.1")</f>
        <v/>
      </c>
      <c r="F4207" t="n">
        <v>29.5</v>
      </c>
      <c r="G4207" t="n">
        <v>237</v>
      </c>
      <c r="H4207" t="n">
        <v>6.52e-25</v>
      </c>
      <c r="I4207" t="inlineStr">
        <is>
          <t>Nr</t>
        </is>
      </c>
      <c r="J4207" t="inlineStr"/>
      <c r="K4207" t="inlineStr"/>
      <c r="L4207" t="inlineStr">
        <is>
          <t>KAF0884917.1 LORF2 protein, partial [Crocuta crocuta]</t>
        </is>
      </c>
      <c r="M4207" t="n">
        <v>293</v>
      </c>
      <c r="N4207" t="inlineStr">
        <is>
          <t>Crocuta crocuta</t>
        </is>
      </c>
      <c r="O4207" t="inlineStr">
        <is>
          <t>LORF2 protein, partial</t>
        </is>
      </c>
    </row>
    <row r="4208">
      <c r="A4208" t="inlineStr"/>
      <c r="B4208" t="inlineStr"/>
      <c r="C4208" t="inlineStr"/>
      <c r="D4208" t="inlineStr"/>
      <c r="E4208">
        <f>HYPERLINK("https://www.ncbi.nlm.nih.gov/gene/?term=KAF0873087.1", "KAF0873087.1")</f>
        <v/>
      </c>
      <c r="F4208" t="n">
        <v>29.1</v>
      </c>
      <c r="G4208" t="n">
        <v>237</v>
      </c>
      <c r="H4208" t="n">
        <v>8.689999999999999e-25</v>
      </c>
      <c r="I4208" t="inlineStr">
        <is>
          <t>Nr</t>
        </is>
      </c>
      <c r="J4208" t="inlineStr"/>
      <c r="K4208" t="inlineStr"/>
      <c r="L4208" t="inlineStr">
        <is>
          <t>KAF0873087.1 LORF2 protein, partial [Crocuta crocuta]</t>
        </is>
      </c>
      <c r="M4208" t="n">
        <v>291</v>
      </c>
      <c r="N4208" t="inlineStr">
        <is>
          <t>Crocuta crocuta</t>
        </is>
      </c>
      <c r="O4208" t="inlineStr">
        <is>
          <t>LORF2 protein, partial</t>
        </is>
      </c>
    </row>
    <row r="4209">
      <c r="A4209" t="inlineStr"/>
      <c r="B4209" t="inlineStr"/>
      <c r="C4209" t="inlineStr"/>
      <c r="D4209" t="inlineStr"/>
      <c r="E4209">
        <f>HYPERLINK("https://www.ncbi.nlm.nih.gov/gene/?term=KAF0875895.1", "KAF0875895.1")</f>
        <v/>
      </c>
      <c r="F4209" t="n">
        <v>27.9</v>
      </c>
      <c r="G4209" t="n">
        <v>269</v>
      </c>
      <c r="H4209" t="n">
        <v>1.26e-24</v>
      </c>
      <c r="I4209" t="inlineStr">
        <is>
          <t>Nr</t>
        </is>
      </c>
      <c r="J4209" t="inlineStr"/>
      <c r="K4209" t="inlineStr"/>
      <c r="L4209" t="inlineStr">
        <is>
          <t>KAF0875895.1 LORF2 protein, partial [Crocuta crocuta]</t>
        </is>
      </c>
      <c r="M4209" t="n">
        <v>293</v>
      </c>
      <c r="N4209" t="inlineStr">
        <is>
          <t>Crocuta crocuta</t>
        </is>
      </c>
      <c r="O4209" t="inlineStr">
        <is>
          <t>LORF2 protein, partial</t>
        </is>
      </c>
    </row>
    <row r="4210">
      <c r="A4210" t="inlineStr"/>
      <c r="B4210" t="inlineStr"/>
      <c r="C4210" t="inlineStr"/>
      <c r="D4210" t="inlineStr"/>
      <c r="E4210">
        <f>HYPERLINK("https://www.ncbi.nlm.nih.gov/gene/?term=KAF0872070.1", "KAF0872070.1")</f>
        <v/>
      </c>
      <c r="F4210" t="n">
        <v>29.1</v>
      </c>
      <c r="G4210" t="n">
        <v>237</v>
      </c>
      <c r="H4210" t="n">
        <v>1.26e-24</v>
      </c>
      <c r="I4210" t="inlineStr">
        <is>
          <t>Nr</t>
        </is>
      </c>
      <c r="J4210" t="inlineStr"/>
      <c r="K4210" t="inlineStr"/>
      <c r="L4210" t="inlineStr">
        <is>
          <t>KAF0872070.1 LORF2 protein, partial [Crocuta crocuta]</t>
        </is>
      </c>
      <c r="M4210" t="n">
        <v>293</v>
      </c>
      <c r="N4210" t="inlineStr">
        <is>
          <t>Crocuta crocuta</t>
        </is>
      </c>
      <c r="O4210" t="inlineStr">
        <is>
          <t>LORF2 protein, partial</t>
        </is>
      </c>
    </row>
    <row r="4211">
      <c r="A4211" t="inlineStr"/>
      <c r="B4211" t="inlineStr"/>
      <c r="C4211" t="inlineStr"/>
      <c r="D4211" t="inlineStr"/>
      <c r="E4211">
        <f>HYPERLINK("https://www.ncbi.nlm.nih.gov/gene/?term=KAF0883039.1", "KAF0883039.1")</f>
        <v/>
      </c>
      <c r="F4211" t="n">
        <v>29.1</v>
      </c>
      <c r="G4211" t="n">
        <v>237</v>
      </c>
      <c r="H4211" t="n">
        <v>1.33e-24</v>
      </c>
      <c r="I4211" t="inlineStr">
        <is>
          <t>Nr</t>
        </is>
      </c>
      <c r="J4211" t="inlineStr"/>
      <c r="K4211" t="inlineStr"/>
      <c r="L4211" t="inlineStr">
        <is>
          <t>KAF0883039.1 LORF2 protein, partial [Crocuta crocuta]</t>
        </is>
      </c>
      <c r="M4211" t="n">
        <v>296</v>
      </c>
      <c r="N4211" t="inlineStr">
        <is>
          <t>Crocuta crocuta</t>
        </is>
      </c>
      <c r="O4211" t="inlineStr">
        <is>
          <t>LORF2 protein, partial</t>
        </is>
      </c>
    </row>
    <row r="4212">
      <c r="A4212" t="inlineStr"/>
      <c r="B4212" t="inlineStr"/>
      <c r="C4212" t="inlineStr"/>
      <c r="D4212" t="inlineStr"/>
      <c r="E4212">
        <f>HYPERLINK("https://www.ncbi.nlm.nih.gov/gene/?term=WP_254798791.1", "WP_254798791.1")</f>
        <v/>
      </c>
      <c r="F4212" t="n">
        <v>30.4</v>
      </c>
      <c r="G4212" t="n">
        <v>240</v>
      </c>
      <c r="H4212" t="n">
        <v>1.75e-24</v>
      </c>
      <c r="I4212" t="inlineStr">
        <is>
          <t>Nr</t>
        </is>
      </c>
      <c r="J4212" t="inlineStr"/>
      <c r="K4212" t="inlineStr"/>
      <c r="L4212" t="inlineStr">
        <is>
          <t>WP_254798791.1 DUF1725 domain-containing protein [Sphingobium sp. AS12]</t>
        </is>
      </c>
      <c r="M4212" t="n">
        <v>328</v>
      </c>
      <c r="N4212" t="inlineStr">
        <is>
          <t>Sphingobium sp. AS12</t>
        </is>
      </c>
      <c r="O4212" t="inlineStr">
        <is>
          <t>DUF1725 domain-containing protein</t>
        </is>
      </c>
    </row>
    <row r="4213">
      <c r="A4213" t="inlineStr"/>
      <c r="B4213" t="inlineStr"/>
      <c r="C4213" t="inlineStr"/>
      <c r="D4213" t="inlineStr"/>
      <c r="E4213">
        <f>HYPERLINK("https://www.ncbi.nlm.nih.gov/gene/?term=KAF0880749.1", "KAF0880749.1")</f>
        <v/>
      </c>
      <c r="F4213" t="n">
        <v>29.7</v>
      </c>
      <c r="G4213" t="n">
        <v>229</v>
      </c>
      <c r="H4213" t="n">
        <v>3.11e-24</v>
      </c>
      <c r="I4213" t="inlineStr">
        <is>
          <t>Nr</t>
        </is>
      </c>
      <c r="J4213" t="inlineStr"/>
      <c r="K4213" t="inlineStr"/>
      <c r="L4213" t="inlineStr">
        <is>
          <t>KAF0880749.1 LORF2 protein, partial [Crocuta crocuta]</t>
        </is>
      </c>
      <c r="M4213" t="n">
        <v>258</v>
      </c>
      <c r="N4213" t="inlineStr">
        <is>
          <t>Crocuta crocuta</t>
        </is>
      </c>
      <c r="O4213" t="inlineStr">
        <is>
          <t>LORF2 protein, partial</t>
        </is>
      </c>
    </row>
    <row r="4214">
      <c r="A4214" t="inlineStr"/>
      <c r="B4214" t="inlineStr"/>
      <c r="C4214" t="inlineStr"/>
      <c r="D4214" t="inlineStr"/>
      <c r="E4214">
        <f>HYPERLINK("https://www.ncbi.nlm.nih.gov/gene/?term=KAF0886342.1", "KAF0886342.1")</f>
        <v/>
      </c>
      <c r="F4214" t="n">
        <v>32.8</v>
      </c>
      <c r="G4214" t="n">
        <v>195</v>
      </c>
      <c r="H4214" t="n">
        <v>3.7e-24</v>
      </c>
      <c r="I4214" t="inlineStr">
        <is>
          <t>Nr</t>
        </is>
      </c>
      <c r="J4214" t="inlineStr"/>
      <c r="K4214" t="inlineStr"/>
      <c r="L4214" t="inlineStr">
        <is>
          <t>KAF0886342.1 LORF2 protein, partial [Crocuta crocuta]</t>
        </is>
      </c>
      <c r="M4214" t="n">
        <v>266</v>
      </c>
      <c r="N4214" t="inlineStr">
        <is>
          <t>Crocuta crocuta</t>
        </is>
      </c>
      <c r="O4214" t="inlineStr">
        <is>
          <t>LORF2 protein, partial</t>
        </is>
      </c>
    </row>
    <row r="4215">
      <c r="A4215" t="inlineStr"/>
      <c r="B4215" t="inlineStr"/>
      <c r="C4215" t="inlineStr"/>
      <c r="D4215" t="inlineStr"/>
      <c r="E4215">
        <f>HYPERLINK("https://www.ncbi.nlm.nih.gov/gene/?term=KAF0877325.1", "KAF0877325.1")</f>
        <v/>
      </c>
      <c r="F4215" t="n">
        <v>32.8</v>
      </c>
      <c r="G4215" t="n">
        <v>195</v>
      </c>
      <c r="H4215" t="n">
        <v>3.819999999999999e-24</v>
      </c>
      <c r="I4215" t="inlineStr">
        <is>
          <t>Nr</t>
        </is>
      </c>
      <c r="J4215" t="inlineStr"/>
      <c r="K4215" t="inlineStr"/>
      <c r="L4215" t="inlineStr">
        <is>
          <t>KAF0877325.1 LORF2 protein, partial [Crocuta crocuta]</t>
        </is>
      </c>
      <c r="M4215" t="n">
        <v>238</v>
      </c>
      <c r="N4215" t="inlineStr">
        <is>
          <t>Crocuta crocuta</t>
        </is>
      </c>
      <c r="O4215" t="inlineStr">
        <is>
          <t>LORF2 protein, partial</t>
        </is>
      </c>
    </row>
    <row r="4216">
      <c r="A4216" t="inlineStr"/>
      <c r="B4216" t="inlineStr"/>
      <c r="C4216" t="inlineStr"/>
      <c r="D4216" t="inlineStr"/>
      <c r="E4216">
        <f>HYPERLINK("https://www.ncbi.nlm.nih.gov/gene/?term=KAF0872283.1", "KAF0872283.1")</f>
        <v/>
      </c>
      <c r="F4216" t="n">
        <v>32</v>
      </c>
      <c r="G4216" t="n">
        <v>194</v>
      </c>
      <c r="H4216" t="n">
        <v>3.949999999999999e-24</v>
      </c>
      <c r="I4216" t="inlineStr">
        <is>
          <t>Nr</t>
        </is>
      </c>
      <c r="J4216" t="inlineStr"/>
      <c r="K4216" t="inlineStr"/>
      <c r="L4216" t="inlineStr">
        <is>
          <t>KAF0872283.1 LORF2 protein, partial [Crocuta crocuta]</t>
        </is>
      </c>
      <c r="M4216" t="n">
        <v>254</v>
      </c>
      <c r="N4216" t="inlineStr">
        <is>
          <t>Crocuta crocuta</t>
        </is>
      </c>
      <c r="O4216" t="inlineStr">
        <is>
          <t>LORF2 protein, partial</t>
        </is>
      </c>
    </row>
    <row r="4217">
      <c r="A4217" t="inlineStr"/>
      <c r="B4217" t="inlineStr"/>
      <c r="C4217" t="inlineStr"/>
      <c r="D4217" t="inlineStr"/>
      <c r="E4217">
        <f>HYPERLINK("https://www.ncbi.nlm.nih.gov/gene/?term=KAF0877716.1", "KAF0877716.1")</f>
        <v/>
      </c>
      <c r="F4217" t="n">
        <v>32</v>
      </c>
      <c r="G4217" t="n">
        <v>194</v>
      </c>
      <c r="H4217" t="n">
        <v>4.32e-24</v>
      </c>
      <c r="I4217" t="inlineStr">
        <is>
          <t>Nr</t>
        </is>
      </c>
      <c r="J4217" t="inlineStr"/>
      <c r="K4217" t="inlineStr"/>
      <c r="L4217" t="inlineStr">
        <is>
          <t>KAF0877716.1 LORF2 protein, partial [Crocuta crocuta]</t>
        </is>
      </c>
      <c r="M4217" t="n">
        <v>258</v>
      </c>
      <c r="N4217" t="inlineStr">
        <is>
          <t>Crocuta crocuta</t>
        </is>
      </c>
      <c r="O4217" t="inlineStr">
        <is>
          <t>LORF2 protein, partial</t>
        </is>
      </c>
    </row>
    <row r="4218">
      <c r="A4218" t="inlineStr"/>
      <c r="B4218" t="inlineStr"/>
      <c r="C4218" t="inlineStr"/>
      <c r="D4218" t="inlineStr"/>
      <c r="E4218">
        <f>HYPERLINK("https://www.ncbi.nlm.nih.gov/gene/?term=KAF0881365.1", "KAF0881365.1")</f>
        <v/>
      </c>
      <c r="F4218" t="n">
        <v>29.2</v>
      </c>
      <c r="G4218" t="n">
        <v>240</v>
      </c>
      <c r="H4218" t="n">
        <v>4.46e-24</v>
      </c>
      <c r="I4218" t="inlineStr">
        <is>
          <t>Nr</t>
        </is>
      </c>
      <c r="J4218" t="inlineStr"/>
      <c r="K4218" t="inlineStr"/>
      <c r="L4218" t="inlineStr">
        <is>
          <t>KAF0881365.1 LORF2 protein, partial [Crocuta crocuta]</t>
        </is>
      </c>
      <c r="M4218" t="n">
        <v>291</v>
      </c>
      <c r="N4218" t="inlineStr">
        <is>
          <t>Crocuta crocuta</t>
        </is>
      </c>
      <c r="O4218" t="inlineStr">
        <is>
          <t>LORF2 protein, partial</t>
        </is>
      </c>
    </row>
    <row r="4219">
      <c r="A4219" t="inlineStr"/>
      <c r="B4219" t="inlineStr"/>
      <c r="C4219" t="inlineStr"/>
      <c r="D4219" t="inlineStr"/>
      <c r="E4219">
        <f>HYPERLINK("https://www.ncbi.nlm.nih.gov/gene/?term=KAF0879263.1", "KAF0879263.1")</f>
        <v/>
      </c>
      <c r="F4219" t="n">
        <v>29.1</v>
      </c>
      <c r="G4219" t="n">
        <v>237</v>
      </c>
      <c r="H4219" t="n">
        <v>4.64e-24</v>
      </c>
      <c r="I4219" t="inlineStr">
        <is>
          <t>Nr</t>
        </is>
      </c>
      <c r="J4219" t="inlineStr"/>
      <c r="K4219" t="inlineStr"/>
      <c r="L4219" t="inlineStr">
        <is>
          <t>KAF0879263.1 LORF2 protein, partial [Crocuta crocuta]</t>
        </is>
      </c>
      <c r="M4219" t="n">
        <v>293</v>
      </c>
      <c r="N4219" t="inlineStr">
        <is>
          <t>Crocuta crocuta</t>
        </is>
      </c>
      <c r="O4219" t="inlineStr">
        <is>
          <t>LORF2 protein, partial</t>
        </is>
      </c>
    </row>
    <row r="4220">
      <c r="A4220" t="inlineStr"/>
      <c r="B4220" t="inlineStr"/>
      <c r="C4220" t="inlineStr"/>
      <c r="D4220" t="inlineStr"/>
      <c r="E4220">
        <f>HYPERLINK("https://www.ncbi.nlm.nih.gov/gene/?term=KAF0877963.1", "KAF0877963.1")</f>
        <v/>
      </c>
      <c r="F4220" t="n">
        <v>28.3</v>
      </c>
      <c r="G4220" t="n">
        <v>240</v>
      </c>
      <c r="H4220" t="n">
        <v>5.48e-24</v>
      </c>
      <c r="I4220" t="inlineStr">
        <is>
          <t>Nr</t>
        </is>
      </c>
      <c r="J4220" t="inlineStr"/>
      <c r="K4220" t="inlineStr"/>
      <c r="L4220" t="inlineStr">
        <is>
          <t>KAF0877963.1 LORF2 protein, partial [Crocuta crocuta]</t>
        </is>
      </c>
      <c r="M4220" t="n">
        <v>285</v>
      </c>
      <c r="N4220" t="inlineStr">
        <is>
          <t>Crocuta crocuta</t>
        </is>
      </c>
      <c r="O4220" t="inlineStr">
        <is>
          <t>LORF2 protein, partial</t>
        </is>
      </c>
    </row>
    <row r="4221">
      <c r="A4221" t="inlineStr"/>
      <c r="B4221" t="inlineStr"/>
      <c r="C4221" t="inlineStr"/>
      <c r="D4221" t="inlineStr"/>
      <c r="E4221">
        <f>HYPERLINK("https://www.ncbi.nlm.nih.gov/gene/?term=KAB0343982.1", "KAB0343982.1")</f>
        <v/>
      </c>
      <c r="F4221" t="n">
        <v>30.1</v>
      </c>
      <c r="G4221" t="n">
        <v>246</v>
      </c>
      <c r="H4221" t="n">
        <v>5.87e-24</v>
      </c>
      <c r="I4221" t="inlineStr">
        <is>
          <t>Nr</t>
        </is>
      </c>
      <c r="J4221" t="inlineStr"/>
      <c r="K4221" t="inlineStr"/>
      <c r="L4221" t="inlineStr">
        <is>
          <t>KAB0343982.1 hypothetical protein FD754_020908 [Muntiacus muntjak]</t>
        </is>
      </c>
      <c r="M4221" t="n">
        <v>467</v>
      </c>
      <c r="N4221" t="inlineStr">
        <is>
          <t>Muntiacus muntjak</t>
        </is>
      </c>
      <c r="O4221" t="inlineStr">
        <is>
          <t>hypothetical protein FD754_020908</t>
        </is>
      </c>
    </row>
    <row r="4222">
      <c r="A4222" t="inlineStr"/>
      <c r="B4222" t="inlineStr"/>
      <c r="C4222" t="inlineStr"/>
      <c r="D4222" t="inlineStr"/>
      <c r="E4222">
        <f>HYPERLINK("https://www.ncbi.nlm.nih.gov/gene/?term=KAF0880409.1", "KAF0880409.1")</f>
        <v/>
      </c>
      <c r="F4222" t="n">
        <v>32</v>
      </c>
      <c r="G4222" t="n">
        <v>194</v>
      </c>
      <c r="H4222" t="n">
        <v>5.99e-24</v>
      </c>
      <c r="I4222" t="inlineStr">
        <is>
          <t>Nr</t>
        </is>
      </c>
      <c r="J4222" t="inlineStr"/>
      <c r="K4222" t="inlineStr"/>
      <c r="L4222" t="inlineStr">
        <is>
          <t>KAF0880409.1 LORF2 protein, partial [Crocuta crocuta]</t>
        </is>
      </c>
      <c r="M4222" t="n">
        <v>258</v>
      </c>
      <c r="N4222" t="inlineStr">
        <is>
          <t>Crocuta crocuta</t>
        </is>
      </c>
      <c r="O4222" t="inlineStr">
        <is>
          <t>LORF2 protein, partial</t>
        </is>
      </c>
    </row>
    <row r="4223">
      <c r="A4223" t="inlineStr"/>
      <c r="B4223" t="inlineStr"/>
      <c r="C4223" t="inlineStr"/>
      <c r="D4223" t="inlineStr"/>
      <c r="E4223">
        <f>HYPERLINK("https://www.ncbi.nlm.nih.gov/gene/?term=KAF0884958.1", "KAF0884958.1")</f>
        <v/>
      </c>
      <c r="F4223" t="n">
        <v>29.9</v>
      </c>
      <c r="G4223" t="n">
        <v>234</v>
      </c>
      <c r="H4223" t="n">
        <v>6.43e-24</v>
      </c>
      <c r="I4223" t="inlineStr">
        <is>
          <t>Nr</t>
        </is>
      </c>
      <c r="J4223" t="inlineStr"/>
      <c r="K4223" t="inlineStr"/>
      <c r="L4223" t="inlineStr">
        <is>
          <t>KAF0884958.1 LORF2 protein, partial [Crocuta crocuta]</t>
        </is>
      </c>
      <c r="M4223" t="n">
        <v>293</v>
      </c>
      <c r="N4223" t="inlineStr">
        <is>
          <t>Crocuta crocuta</t>
        </is>
      </c>
      <c r="O4223" t="inlineStr">
        <is>
          <t>LORF2 protein, partial</t>
        </is>
      </c>
    </row>
    <row r="4224">
      <c r="A4224" t="inlineStr"/>
      <c r="B4224" t="inlineStr"/>
      <c r="C4224" t="inlineStr"/>
      <c r="D4224" t="inlineStr"/>
      <c r="E4224">
        <f>HYPERLINK("https://www.ncbi.nlm.nih.gov/gene/?term=KAF0884743.1", "KAF0884743.1")</f>
        <v/>
      </c>
      <c r="F4224" t="n">
        <v>32.5</v>
      </c>
      <c r="G4224" t="n">
        <v>194</v>
      </c>
      <c r="H4224" t="n">
        <v>6.58e-24</v>
      </c>
      <c r="I4224" t="inlineStr">
        <is>
          <t>Nr</t>
        </is>
      </c>
      <c r="J4224" t="inlineStr"/>
      <c r="K4224" t="inlineStr"/>
      <c r="L4224" t="inlineStr">
        <is>
          <t>KAF0884743.1 LORF2 protein, partial [Crocuta crocuta]</t>
        </is>
      </c>
      <c r="M4224" t="n">
        <v>233</v>
      </c>
      <c r="N4224" t="inlineStr">
        <is>
          <t>Crocuta crocuta</t>
        </is>
      </c>
      <c r="O4224" t="inlineStr">
        <is>
          <t>LORF2 protein, partial</t>
        </is>
      </c>
    </row>
    <row r="4225">
      <c r="A4225" t="inlineStr"/>
      <c r="B4225" t="inlineStr"/>
      <c r="C4225" t="inlineStr"/>
      <c r="D4225" t="inlineStr"/>
      <c r="E4225">
        <f>HYPERLINK("https://www.ncbi.nlm.nih.gov/gene/?term=KAF0886577.1", "KAF0886577.1")</f>
        <v/>
      </c>
      <c r="F4225" t="n">
        <v>30.5</v>
      </c>
      <c r="G4225" t="n">
        <v>220</v>
      </c>
      <c r="H4225" t="n">
        <v>6.819999999999999e-24</v>
      </c>
      <c r="I4225" t="inlineStr">
        <is>
          <t>Nr</t>
        </is>
      </c>
      <c r="J4225" t="inlineStr"/>
      <c r="K4225" t="inlineStr"/>
      <c r="L4225" t="inlineStr">
        <is>
          <t>KAF0886577.1 LORF2 protein, partial [Crocuta crocuta]</t>
        </is>
      </c>
      <c r="M4225" t="n">
        <v>264</v>
      </c>
      <c r="N4225" t="inlineStr">
        <is>
          <t>Crocuta crocuta</t>
        </is>
      </c>
      <c r="O4225" t="inlineStr">
        <is>
          <t>LORF2 protein, partial</t>
        </is>
      </c>
    </row>
    <row r="4226">
      <c r="A4226" t="inlineStr"/>
      <c r="B4226" t="inlineStr"/>
      <c r="C4226" t="inlineStr"/>
      <c r="D4226" t="inlineStr"/>
      <c r="E4226">
        <f>HYPERLINK("https://www.ncbi.nlm.nih.gov/gene/?term=KAF0872816.1", "KAF0872816.1")</f>
        <v/>
      </c>
      <c r="F4226" t="n">
        <v>29.1</v>
      </c>
      <c r="G4226" t="n">
        <v>237</v>
      </c>
      <c r="H4226" t="n">
        <v>6.97e-24</v>
      </c>
      <c r="I4226" t="inlineStr">
        <is>
          <t>Nr</t>
        </is>
      </c>
      <c r="J4226" t="inlineStr"/>
      <c r="K4226" t="inlineStr"/>
      <c r="L4226" t="inlineStr">
        <is>
          <t>KAF0872816.1 LORF2 protein, partial [Crocuta crocuta]</t>
        </is>
      </c>
      <c r="M4226" t="n">
        <v>397</v>
      </c>
      <c r="N4226" t="inlineStr">
        <is>
          <t>Crocuta crocuta</t>
        </is>
      </c>
      <c r="O4226" t="inlineStr">
        <is>
          <t>LORF2 protein, partial</t>
        </is>
      </c>
    </row>
    <row r="4227">
      <c r="A4227" t="inlineStr"/>
      <c r="B4227" t="inlineStr"/>
      <c r="C4227" t="inlineStr"/>
      <c r="D4227" t="inlineStr"/>
      <c r="E4227">
        <f>HYPERLINK("https://www.ncbi.nlm.nih.gov/gene/?term=KAF0883974.1", "KAF0883974.1")</f>
        <v/>
      </c>
      <c r="F4227" t="n">
        <v>29.1</v>
      </c>
      <c r="G4227" t="n">
        <v>237</v>
      </c>
      <c r="H4227" t="n">
        <v>7.599999999999999e-24</v>
      </c>
      <c r="I4227" t="inlineStr">
        <is>
          <t>Nr</t>
        </is>
      </c>
      <c r="J4227" t="inlineStr"/>
      <c r="K4227" t="inlineStr"/>
      <c r="L4227" t="inlineStr">
        <is>
          <t>KAF0883974.1 LORF2 protein, partial [Crocuta crocuta]</t>
        </is>
      </c>
      <c r="M4227" t="n">
        <v>285</v>
      </c>
      <c r="N4227" t="inlineStr">
        <is>
          <t>Crocuta crocuta</t>
        </is>
      </c>
      <c r="O4227" t="inlineStr">
        <is>
          <t>LORF2 protein, partial</t>
        </is>
      </c>
    </row>
    <row r="4228">
      <c r="A4228" t="inlineStr"/>
      <c r="B4228" t="inlineStr"/>
      <c r="C4228" t="inlineStr"/>
      <c r="D4228" t="inlineStr"/>
      <c r="E4228">
        <f>HYPERLINK("https://www.ncbi.nlm.nih.gov/gene/?term=KAF0886533.1", "KAF0886533.1")</f>
        <v/>
      </c>
      <c r="F4228" t="n">
        <v>29.2</v>
      </c>
      <c r="G4228" t="n">
        <v>267</v>
      </c>
      <c r="H4228" t="n">
        <v>8.899999999999999e-24</v>
      </c>
      <c r="I4228" t="inlineStr">
        <is>
          <t>Nr</t>
        </is>
      </c>
      <c r="J4228" t="inlineStr"/>
      <c r="K4228" t="inlineStr"/>
      <c r="L4228" t="inlineStr">
        <is>
          <t>KAF0886533.1 LORF2 protein, partial [Crocuta crocuta]</t>
        </is>
      </c>
      <c r="M4228" t="n">
        <v>293</v>
      </c>
      <c r="N4228" t="inlineStr">
        <is>
          <t>Crocuta crocuta</t>
        </is>
      </c>
      <c r="O4228" t="inlineStr">
        <is>
          <t>LORF2 protein, partial</t>
        </is>
      </c>
    </row>
    <row r="4229">
      <c r="A4229" t="inlineStr"/>
      <c r="B4229" t="inlineStr"/>
      <c r="C4229" t="inlineStr"/>
      <c r="D4229" t="inlineStr"/>
      <c r="E4229">
        <f>HYPERLINK("https://www.ncbi.nlm.nih.gov/gene/?term=KAF0886904.1", "KAF0886904.1")</f>
        <v/>
      </c>
      <c r="F4229" t="n">
        <v>29.1</v>
      </c>
      <c r="G4229" t="n">
        <v>237</v>
      </c>
      <c r="H4229" t="n">
        <v>1.04e-23</v>
      </c>
      <c r="I4229" t="inlineStr">
        <is>
          <t>Nr</t>
        </is>
      </c>
      <c r="J4229" t="inlineStr"/>
      <c r="K4229" t="inlineStr"/>
      <c r="L4229" t="inlineStr">
        <is>
          <t>KAF0886904.1 LORF2 protein, partial [Crocuta crocuta]</t>
        </is>
      </c>
      <c r="M4229" t="n">
        <v>319</v>
      </c>
      <c r="N4229" t="inlineStr">
        <is>
          <t>Crocuta crocuta</t>
        </is>
      </c>
      <c r="O4229" t="inlineStr">
        <is>
          <t>LORF2 protein, partial</t>
        </is>
      </c>
    </row>
    <row r="4230">
      <c r="A4230" t="inlineStr"/>
      <c r="B4230" t="inlineStr"/>
      <c r="C4230" t="inlineStr"/>
      <c r="D4230" t="inlineStr"/>
      <c r="E4230">
        <f>HYPERLINK("https://www.ncbi.nlm.nih.gov/gene/?term=KAF0877538.1", "KAF0877538.1")</f>
        <v/>
      </c>
      <c r="F4230" t="n">
        <v>29.1</v>
      </c>
      <c r="G4230" t="n">
        <v>237</v>
      </c>
      <c r="H4230" t="n">
        <v>1.07e-23</v>
      </c>
      <c r="I4230" t="inlineStr">
        <is>
          <t>Nr</t>
        </is>
      </c>
      <c r="J4230" t="inlineStr"/>
      <c r="K4230" t="inlineStr"/>
      <c r="L4230" t="inlineStr">
        <is>
          <t>KAF0877538.1 LORF2 protein, partial [Crocuta crocuta]</t>
        </is>
      </c>
      <c r="M4230" t="n">
        <v>270</v>
      </c>
      <c r="N4230" t="inlineStr">
        <is>
          <t>Crocuta crocuta</t>
        </is>
      </c>
      <c r="O4230" t="inlineStr">
        <is>
          <t>LORF2 protein, partial</t>
        </is>
      </c>
    </row>
    <row r="4231">
      <c r="A4231" t="inlineStr"/>
      <c r="B4231" t="inlineStr"/>
      <c r="C4231" t="inlineStr"/>
      <c r="D4231" t="inlineStr"/>
      <c r="E4231">
        <f>HYPERLINK("https://www.uniprot.org/uniprotkb/P11369/entry", "P11369")</f>
        <v/>
      </c>
      <c r="F4231" t="n">
        <v>30.4</v>
      </c>
      <c r="G4231" t="n">
        <v>240</v>
      </c>
      <c r="H4231" t="n">
        <v>4.91e-23</v>
      </c>
      <c r="I4231" t="inlineStr">
        <is>
          <t>Swiss-Prot</t>
        </is>
      </c>
      <c r="J4231" t="inlineStr">
        <is>
          <t>Pol</t>
        </is>
      </c>
      <c r="K4231" t="inlineStr">
        <is>
          <t>LORF2_MOUSE</t>
        </is>
      </c>
      <c r="L4231" t="inlineStr">
        <is>
          <t>sp|P11369|LORF2_MOUSE LINE-1 retrotransposable element ORF2 protein OS=Mus musculus OX=10090 GN=Pol PE=1 SV=2</t>
        </is>
      </c>
      <c r="M4231" t="n">
        <v>1281</v>
      </c>
      <c r="N4231" t="inlineStr">
        <is>
          <t>Mus musculus</t>
        </is>
      </c>
      <c r="O4231" t="inlineStr">
        <is>
          <t>LINE-1 retrotransposable element ORF2 protein</t>
        </is>
      </c>
    </row>
    <row r="4232">
      <c r="A4232" t="inlineStr"/>
      <c r="B4232" t="inlineStr"/>
      <c r="C4232" t="inlineStr"/>
      <c r="D4232" t="inlineStr"/>
      <c r="E4232">
        <f>HYPERLINK("https://www.uniprot.org/uniprotkb/P08548/entry", "P08548")</f>
        <v/>
      </c>
      <c r="F4232" t="n">
        <v>28.4</v>
      </c>
      <c r="G4232" t="n">
        <v>208</v>
      </c>
      <c r="H4232" t="n">
        <v>7.570000000000001e-21</v>
      </c>
      <c r="I4232" t="inlineStr">
        <is>
          <t>Swiss-Prot</t>
        </is>
      </c>
      <c r="J4232" t="inlineStr"/>
      <c r="K4232" t="inlineStr">
        <is>
          <t>LIN1_NYCCO</t>
        </is>
      </c>
      <c r="L4232" t="inlineStr">
        <is>
          <t>sp|P08548|LIN1_NYCCO LINE-1 reverse transcriptase homolog OS=Nycticebus coucang OX=9470 PE=4 SV=1</t>
        </is>
      </c>
      <c r="M4232" t="n">
        <v>1260</v>
      </c>
      <c r="N4232" t="inlineStr">
        <is>
          <t>Nycticebus coucang</t>
        </is>
      </c>
      <c r="O4232" t="inlineStr">
        <is>
          <t>LINE-1 reverse transcriptase homolog</t>
        </is>
      </c>
    </row>
    <row r="4233">
      <c r="A4233" t="inlineStr"/>
      <c r="B4233" t="inlineStr"/>
      <c r="C4233" t="inlineStr"/>
      <c r="D4233" t="inlineStr"/>
      <c r="E4233">
        <f>HYPERLINK("https://www.uniprot.org/uniprotkb/O00370/entry", "O00370")</f>
        <v/>
      </c>
      <c r="F4233" t="n">
        <v>27.5</v>
      </c>
      <c r="G4233" t="n">
        <v>229</v>
      </c>
      <c r="H4233" t="n">
        <v>4.47e-20</v>
      </c>
      <c r="I4233" t="inlineStr">
        <is>
          <t>Swiss-Prot</t>
        </is>
      </c>
      <c r="J4233" t="inlineStr"/>
      <c r="K4233" t="inlineStr">
        <is>
          <t>LORF2_HUMAN</t>
        </is>
      </c>
      <c r="L4233" t="inlineStr">
        <is>
          <t>sp|O00370|LORF2_HUMAN LINE-1 retrotransposable element ORF2 protein OS=Homo sapiens OX=9606 PE=1 SV=1</t>
        </is>
      </c>
      <c r="M4233" t="n">
        <v>1275</v>
      </c>
      <c r="N4233" t="inlineStr">
        <is>
          <t>Homo sapiens</t>
        </is>
      </c>
      <c r="O4233" t="inlineStr">
        <is>
          <t>LINE-1 retrotransposable element ORF2 protein</t>
        </is>
      </c>
    </row>
    <row r="4234">
      <c r="A4234" t="inlineStr"/>
      <c r="B4234" t="inlineStr"/>
      <c r="C4234" t="inlineStr"/>
      <c r="D4234" t="inlineStr"/>
      <c r="E4234">
        <f>HYPERLINK("https://www.uniprot.org/uniprotkb/P92523/entry", "P92523")</f>
        <v/>
      </c>
      <c r="F4234" t="n">
        <v>42.1</v>
      </c>
      <c r="G4234" t="n">
        <v>95</v>
      </c>
      <c r="H4234" t="n">
        <v>1.17e-19</v>
      </c>
      <c r="I4234" t="inlineStr">
        <is>
          <t>Swiss-Prot</t>
        </is>
      </c>
      <c r="J4234" t="inlineStr">
        <is>
          <t>AtMg00860</t>
        </is>
      </c>
      <c r="K4234" t="inlineStr">
        <is>
          <t>M860_ARATH</t>
        </is>
      </c>
      <c r="L4234" t="inlineStr">
        <is>
          <t>sp|P92523|M860_ARATH Uncharacterized mitochondrial protein AtMg00860 OS=Arabidopsis thaliana OX=3702 GN=AtMg00860 PE=4 SV=1</t>
        </is>
      </c>
      <c r="M4234" t="n">
        <v>158</v>
      </c>
      <c r="N4234" t="inlineStr">
        <is>
          <t>Arabidopsis thaliana</t>
        </is>
      </c>
      <c r="O4234" t="inlineStr">
        <is>
          <t>Uncharacterized mitochondrial protein AtMg00860</t>
        </is>
      </c>
    </row>
    <row r="4235">
      <c r="A4235" t="inlineStr"/>
      <c r="B4235" t="inlineStr"/>
      <c r="C4235" t="inlineStr"/>
      <c r="D4235" t="inlineStr"/>
      <c r="E4235">
        <f>HYPERLINK("https://www.uniprot.org/uniprotkb/Q89703/entry", "Q89703")</f>
        <v/>
      </c>
      <c r="F4235" t="n">
        <v>34.5</v>
      </c>
      <c r="G4235" t="n">
        <v>139</v>
      </c>
      <c r="H4235" t="n">
        <v>7.4e-19</v>
      </c>
      <c r="I4235" t="inlineStr">
        <is>
          <t>Swiss-Prot</t>
        </is>
      </c>
      <c r="J4235" t="inlineStr">
        <is>
          <t>ORF 3</t>
        </is>
      </c>
      <c r="K4235" t="inlineStr">
        <is>
          <t>POL_CSVMV</t>
        </is>
      </c>
      <c r="L4235" t="inlineStr">
        <is>
          <t>sp|Q89703|POL_CSVMV Putative enzymatic polyprotein OS=Cassava vein mosaic virus OX=38062 GN=ORF 3 PE=3 SV=1</t>
        </is>
      </c>
      <c r="M4235" t="n">
        <v>652</v>
      </c>
      <c r="N4235" t="inlineStr">
        <is>
          <t>Cassava vein mosaic virus</t>
        </is>
      </c>
      <c r="O4235" t="inlineStr">
        <is>
          <t>Putative enzymatic polyprotein</t>
        </is>
      </c>
    </row>
    <row r="4236">
      <c r="A4236" t="inlineStr"/>
      <c r="B4236" t="inlineStr"/>
      <c r="C4236" t="inlineStr"/>
      <c r="D4236" t="inlineStr"/>
      <c r="E4236">
        <f>HYPERLINK("https://www.uniprot.org/uniprotkb/P27401/entry", "P27401")</f>
        <v/>
      </c>
      <c r="F4236" t="n">
        <v>36.8</v>
      </c>
      <c r="G4236" t="n">
        <v>133</v>
      </c>
      <c r="H4236" t="n">
        <v>1.28e-17</v>
      </c>
      <c r="I4236" t="inlineStr">
        <is>
          <t>Swiss-Prot</t>
        </is>
      </c>
      <c r="J4236" t="inlineStr">
        <is>
          <t>pol</t>
        </is>
      </c>
      <c r="K4236" t="inlineStr">
        <is>
          <t>POL_SFV3L</t>
        </is>
      </c>
      <c r="L4236" t="inlineStr">
        <is>
          <t>sp|P27401|POL_SFV3L Pro-Pol polyprotein OS=Simian foamy virus type 3 (strain LK3) OX=11644 GN=pol PE=3 SV=2</t>
        </is>
      </c>
      <c r="M4236" t="n">
        <v>1143</v>
      </c>
      <c r="N4236" t="inlineStr">
        <is>
          <t>Simian foamy virus type 3 (strain LK3)</t>
        </is>
      </c>
      <c r="O4236" t="inlineStr">
        <is>
          <t>Pro-Pol polyprotein</t>
        </is>
      </c>
    </row>
    <row r="4237">
      <c r="A4237" t="inlineStr"/>
      <c r="B4237" t="inlineStr"/>
      <c r="C4237" t="inlineStr"/>
      <c r="D4237" t="inlineStr"/>
      <c r="E4237">
        <f>HYPERLINK("https://www.uniprot.org/uniprotkb/Q91DM0/entry", "Q91DM0")</f>
        <v/>
      </c>
      <c r="F4237" t="n">
        <v>32.9</v>
      </c>
      <c r="G4237" t="n">
        <v>140</v>
      </c>
      <c r="H4237" t="n">
        <v>1.33e-17</v>
      </c>
      <c r="I4237" t="inlineStr">
        <is>
          <t>Swiss-Prot</t>
        </is>
      </c>
      <c r="J4237" t="inlineStr"/>
      <c r="K4237" t="inlineStr">
        <is>
          <t>POLG_PVCV1</t>
        </is>
      </c>
      <c r="L4237" t="inlineStr">
        <is>
          <t>sp|Q91DM0|POLG_PVCV1 Genome polyprotein OS=Petunia vein clearing virus (isolate Shepherd) OX=492094 PE=3 SV=1</t>
        </is>
      </c>
      <c r="M4237" t="n">
        <v>2179</v>
      </c>
      <c r="N4237" t="inlineStr">
        <is>
          <t>Petunia vein clearing virus (isolate Shepherd)</t>
        </is>
      </c>
      <c r="O4237" t="inlineStr">
        <is>
          <t>Genome polyprotein</t>
        </is>
      </c>
    </row>
    <row r="4238">
      <c r="A4238" t="inlineStr"/>
      <c r="B4238" t="inlineStr"/>
      <c r="C4238" t="inlineStr"/>
      <c r="D4238" t="inlineStr"/>
      <c r="E4238">
        <f>HYPERLINK("https://www.uniprot.org/uniprotkb/Q6XKE6/entry", "Q6XKE6")</f>
        <v/>
      </c>
      <c r="F4238" t="n">
        <v>32.9</v>
      </c>
      <c r="G4238" t="n">
        <v>140</v>
      </c>
      <c r="H4238" t="n">
        <v>1.33e-17</v>
      </c>
      <c r="I4238" t="inlineStr">
        <is>
          <t>Swiss-Prot</t>
        </is>
      </c>
      <c r="J4238" t="inlineStr"/>
      <c r="K4238" t="inlineStr">
        <is>
          <t>POLG_PVCV2</t>
        </is>
      </c>
      <c r="L4238" t="inlineStr">
        <is>
          <t>sp|Q6XKE6|POLG_PVCV2 Genome polyprotein OS=Petunia vein clearing virus (isolate Hohn) OX=492095 PE=3 SV=1</t>
        </is>
      </c>
      <c r="M4238" t="n">
        <v>2180</v>
      </c>
      <c r="N4238" t="inlineStr">
        <is>
          <t>Petunia vein clearing virus (isolate Hohn)</t>
        </is>
      </c>
      <c r="O4238" t="inlineStr">
        <is>
          <t>Genome polyprotein</t>
        </is>
      </c>
    </row>
    <row r="4239">
      <c r="A4239" t="inlineStr"/>
      <c r="B4239" t="inlineStr"/>
      <c r="C4239" t="inlineStr"/>
      <c r="D4239" t="inlineStr"/>
      <c r="E4239">
        <f>HYPERLINK("https://www.uniprot.org/uniprotkb/A6NKG5/entry", "A6NKG5")</f>
        <v/>
      </c>
      <c r="F4239" t="n">
        <v>31.8</v>
      </c>
      <c r="G4239" t="n">
        <v>132</v>
      </c>
      <c r="H4239" t="n">
        <v>1.77e-17</v>
      </c>
      <c r="I4239" t="inlineStr">
        <is>
          <t>Swiss-Prot</t>
        </is>
      </c>
      <c r="J4239" t="inlineStr">
        <is>
          <t>RTL1</t>
        </is>
      </c>
      <c r="K4239" t="inlineStr">
        <is>
          <t>RTL1_HUMAN</t>
        </is>
      </c>
      <c r="L4239" t="inlineStr">
        <is>
          <t>sp|A6NKG5|RTL1_HUMAN Retrotransposon-like protein 1 OS=Homo sapiens OX=9606 GN=RTL1 PE=3 SV=3</t>
        </is>
      </c>
      <c r="M4239" t="n">
        <v>1358</v>
      </c>
      <c r="N4239" t="inlineStr">
        <is>
          <t>Homo sapiens</t>
        </is>
      </c>
      <c r="O4239" t="inlineStr">
        <is>
          <t>Retrotransposon-like protein 1</t>
        </is>
      </c>
    </row>
    <row r="4240">
      <c r="A4240" t="inlineStr"/>
      <c r="B4240" t="inlineStr"/>
      <c r="C4240" t="inlineStr"/>
      <c r="D4240" t="inlineStr"/>
      <c r="E4240">
        <f>HYPERLINK("https://www.uniprot.org/uniprotkb/Q52QI2/entry", "Q52QI2")</f>
        <v/>
      </c>
      <c r="F4240" t="n">
        <v>28.8</v>
      </c>
      <c r="G4240" t="n">
        <v>132</v>
      </c>
      <c r="H4240" t="n">
        <v>2.4e-17</v>
      </c>
      <c r="I4240" t="inlineStr">
        <is>
          <t>Swiss-Prot</t>
        </is>
      </c>
      <c r="J4240" t="inlineStr">
        <is>
          <t>RTL1</t>
        </is>
      </c>
      <c r="K4240" t="inlineStr">
        <is>
          <t>RTL1_BOVIN</t>
        </is>
      </c>
      <c r="L4240" t="inlineStr">
        <is>
          <t>sp|Q52QI2|RTL1_BOVIN Retrotransposon-like protein 1 OS=Bos taurus OX=9913 GN=RTL1 PE=2 SV=2</t>
        </is>
      </c>
      <c r="M4240" t="n">
        <v>1331</v>
      </c>
      <c r="N4240" t="inlineStr">
        <is>
          <t>Bos taurus</t>
        </is>
      </c>
      <c r="O4240" t="inlineStr">
        <is>
          <t>Retrotransposon-like protein 1</t>
        </is>
      </c>
    </row>
    <row r="4241">
      <c r="A4241" t="inlineStr"/>
      <c r="B4241" t="inlineStr"/>
      <c r="C4241" t="inlineStr"/>
      <c r="D4241" t="inlineStr"/>
      <c r="E4241">
        <f>HYPERLINK("https://www.uniprot.org/uniprotkb/P19199/entry", "P19199")</f>
        <v/>
      </c>
      <c r="F4241" t="n">
        <v>32.6</v>
      </c>
      <c r="G4241" t="n">
        <v>141</v>
      </c>
      <c r="H4241" t="n">
        <v>6.2e-17</v>
      </c>
      <c r="I4241" t="inlineStr">
        <is>
          <t>Swiss-Prot</t>
        </is>
      </c>
      <c r="J4241" t="inlineStr"/>
      <c r="K4241" t="inlineStr">
        <is>
          <t>POL_COYMV</t>
        </is>
      </c>
      <c r="L4241" t="inlineStr">
        <is>
          <t>sp|P19199|POL_COYMV Polyprotein P3 OS=Commelina yellow mottle virus OX=10653 PE=3 SV=2</t>
        </is>
      </c>
      <c r="M4241" t="n">
        <v>1886</v>
      </c>
      <c r="N4241" t="inlineStr">
        <is>
          <t>Commelina yellow mottle virus</t>
        </is>
      </c>
      <c r="O4241" t="inlineStr">
        <is>
          <t>Polyprotein P3</t>
        </is>
      </c>
    </row>
    <row r="4242">
      <c r="A4242" t="inlineStr"/>
      <c r="B4242" t="inlineStr"/>
      <c r="C4242" t="inlineStr"/>
      <c r="D4242" t="inlineStr"/>
      <c r="E4242">
        <f>HYPERLINK("https://www.ncbi.nlm.nih.gov/gene/?term=XP_053330022.1", "XP_053330022.1")</f>
        <v/>
      </c>
      <c r="F4242" t="n">
        <v>35</v>
      </c>
      <c r="G4242" t="n">
        <v>143</v>
      </c>
      <c r="H4242" t="n">
        <v>3.51e-16</v>
      </c>
      <c r="I4242" t="inlineStr">
        <is>
          <t>Nr</t>
        </is>
      </c>
      <c r="J4242" t="inlineStr"/>
      <c r="K4242" t="inlineStr"/>
      <c r="L4242" t="inlineStr">
        <is>
          <t>XP_053330022.1 protein LDOC1 [Spea bombifrons]</t>
        </is>
      </c>
      <c r="M4242" t="n">
        <v>299</v>
      </c>
      <c r="N4242" t="inlineStr">
        <is>
          <t>Spea bombifrons</t>
        </is>
      </c>
      <c r="O4242" t="inlineStr">
        <is>
          <t>protein LDOC1</t>
        </is>
      </c>
    </row>
    <row r="4243">
      <c r="A4243" t="inlineStr"/>
      <c r="B4243" t="inlineStr"/>
      <c r="C4243" t="inlineStr"/>
      <c r="D4243" t="inlineStr"/>
      <c r="E4243">
        <f>HYPERLINK("https://www.uniprot.org/uniprotkb/A0A8C5CGL7/entry", "A0A8C5CGL7")</f>
        <v/>
      </c>
      <c r="F4243" t="n">
        <v>34.7</v>
      </c>
      <c r="G4243" t="n">
        <v>144</v>
      </c>
      <c r="H4243" t="n">
        <v>4.79e-16</v>
      </c>
      <c r="I4243" t="inlineStr">
        <is>
          <t>TrEMBL</t>
        </is>
      </c>
      <c r="J4243" t="inlineStr"/>
      <c r="K4243" t="inlineStr">
        <is>
          <t>A0A8C5CGL7_GADMO</t>
        </is>
      </c>
      <c r="L4243" t="inlineStr">
        <is>
          <t>tr|A0A8C5CGL7|A0A8C5CGL7_GADMO CCHC-type domain-containing protein OS=Gadus morhua OX=8049 PE=4 SV=1</t>
        </is>
      </c>
      <c r="M4243" t="n">
        <v>322</v>
      </c>
      <c r="N4243" t="inlineStr">
        <is>
          <t>Gadus morhua</t>
        </is>
      </c>
      <c r="O4243" t="inlineStr">
        <is>
          <t>CCHC-type domain-containing protein</t>
        </is>
      </c>
    </row>
    <row r="4244">
      <c r="A4244" t="inlineStr"/>
      <c r="B4244" t="inlineStr"/>
      <c r="C4244" t="inlineStr"/>
      <c r="D4244" t="inlineStr"/>
      <c r="E4244">
        <f>HYPERLINK("https://www.uniprot.org/uniprotkb/A0A803JRC7/entry", "A0A803JRC7")</f>
        <v/>
      </c>
      <c r="F4244" t="n">
        <v>46</v>
      </c>
      <c r="G4244" t="n">
        <v>87</v>
      </c>
      <c r="H4244" t="n">
        <v>9.23e-16</v>
      </c>
      <c r="I4244" t="inlineStr">
        <is>
          <t>TrEMBL</t>
        </is>
      </c>
      <c r="J4244" t="inlineStr"/>
      <c r="K4244" t="inlineStr">
        <is>
          <t>A0A803JRC7_XENTR</t>
        </is>
      </c>
      <c r="L4244" t="inlineStr">
        <is>
          <t>tr|A0A803JRC7|A0A803JRC7_XENTR DUF4939 domain-containing protein OS=Xenopus tropicalis OX=8364 PE=4 SV=1</t>
        </is>
      </c>
      <c r="M4244" t="n">
        <v>123</v>
      </c>
      <c r="N4244" t="inlineStr">
        <is>
          <t>Xenopus tropicalis</t>
        </is>
      </c>
      <c r="O4244" t="inlineStr">
        <is>
          <t>DUF4939 domain-containing protein</t>
        </is>
      </c>
    </row>
    <row r="4245">
      <c r="A4245" t="inlineStr"/>
      <c r="B4245" t="inlineStr"/>
      <c r="C4245" t="inlineStr"/>
      <c r="D4245" t="inlineStr"/>
      <c r="E4245">
        <f>HYPERLINK("https://www.uniprot.org/uniprotkb/A0A3B1JLN1/entry", "A0A3B1JLN1")</f>
        <v/>
      </c>
      <c r="F4245" t="n">
        <v>31.9</v>
      </c>
      <c r="G4245" t="n">
        <v>204</v>
      </c>
      <c r="H4245" t="n">
        <v>1.12e-15</v>
      </c>
      <c r="I4245" t="inlineStr">
        <is>
          <t>TrEMBL</t>
        </is>
      </c>
      <c r="J4245" t="inlineStr"/>
      <c r="K4245" t="inlineStr">
        <is>
          <t>A0A3B1JLN1_ASTMX</t>
        </is>
      </c>
      <c r="L4245" t="inlineStr">
        <is>
          <t>tr|A0A3B1JLN1|A0A3B1JLN1_ASTMX ribonuclease H OS=Astyanax mexicanus OX=7994 PE=3 SV=1</t>
        </is>
      </c>
      <c r="M4245" t="n">
        <v>916</v>
      </c>
      <c r="N4245" t="inlineStr">
        <is>
          <t>Astyanax mexicanus</t>
        </is>
      </c>
      <c r="O4245" t="inlineStr">
        <is>
          <t>ribonuclease H</t>
        </is>
      </c>
    </row>
    <row r="4246">
      <c r="A4246" t="inlineStr"/>
      <c r="B4246" t="inlineStr"/>
      <c r="C4246" t="inlineStr"/>
      <c r="D4246" t="inlineStr"/>
      <c r="E4246">
        <f>HYPERLINK("https://www.uniprot.org/uniprotkb/A0A3B1IU81/entry", "A0A3B1IU81")</f>
        <v/>
      </c>
      <c r="F4246" t="n">
        <v>31.9</v>
      </c>
      <c r="G4246" t="n">
        <v>204</v>
      </c>
      <c r="H4246" t="n">
        <v>1.14e-15</v>
      </c>
      <c r="I4246" t="inlineStr">
        <is>
          <t>TrEMBL</t>
        </is>
      </c>
      <c r="J4246" t="inlineStr"/>
      <c r="K4246" t="inlineStr">
        <is>
          <t>A0A3B1IU81_ASTMX</t>
        </is>
      </c>
      <c r="L4246" t="inlineStr">
        <is>
          <t>tr|A0A3B1IU81|A0A3B1IU81_ASTMX ribonuclease H OS=Astyanax mexicanus OX=7994 PE=3 SV=1</t>
        </is>
      </c>
      <c r="M4246" t="n">
        <v>1017</v>
      </c>
      <c r="N4246" t="inlineStr">
        <is>
          <t>Astyanax mexicanus</t>
        </is>
      </c>
      <c r="O4246" t="inlineStr">
        <is>
          <t>ribonuclease H</t>
        </is>
      </c>
    </row>
    <row r="4247">
      <c r="A4247" t="inlineStr"/>
      <c r="B4247" t="inlineStr"/>
      <c r="C4247" t="inlineStr"/>
      <c r="D4247" t="inlineStr"/>
      <c r="E4247">
        <f>HYPERLINK("https://www.uniprot.org/uniprotkb/Q5PPS8/entry", "Q5PPS8")</f>
        <v/>
      </c>
      <c r="F4247" t="n">
        <v>36.1</v>
      </c>
      <c r="G4247" t="n">
        <v>119</v>
      </c>
      <c r="H4247" t="n">
        <v>3.2e-15</v>
      </c>
      <c r="I4247" t="inlineStr">
        <is>
          <t>TrEMBL</t>
        </is>
      </c>
      <c r="J4247" t="inlineStr">
        <is>
          <t>LOC496091</t>
        </is>
      </c>
      <c r="K4247" t="inlineStr">
        <is>
          <t>Q5PPS8_XENLA</t>
        </is>
      </c>
      <c r="L4247" t="inlineStr">
        <is>
          <t>tr|Q5PPS8|Q5PPS8_XENLA LOC496091 protein (Fragment) OS=Xenopus laevis OX=8355 GN=LOC496091 PE=2 SV=1</t>
        </is>
      </c>
      <c r="M4247" t="n">
        <v>225</v>
      </c>
      <c r="N4247" t="inlineStr">
        <is>
          <t>Xenopus laevis</t>
        </is>
      </c>
      <c r="O4247" t="inlineStr">
        <is>
          <t>LOC496091 protein (Fragment)</t>
        </is>
      </c>
    </row>
    <row r="4248">
      <c r="A4248" t="inlineStr"/>
      <c r="B4248" t="inlineStr"/>
      <c r="C4248" t="inlineStr"/>
      <c r="D4248" t="inlineStr"/>
      <c r="E4248">
        <f>HYPERLINK("https://www.uniprot.org/uniprotkb/A0A803KC65/entry", "A0A803KC65")</f>
        <v/>
      </c>
      <c r="F4248" t="n">
        <v>39.7</v>
      </c>
      <c r="G4248" t="n">
        <v>131</v>
      </c>
      <c r="H4248" t="n">
        <v>5.94e-15</v>
      </c>
      <c r="I4248" t="inlineStr">
        <is>
          <t>TrEMBL</t>
        </is>
      </c>
      <c r="J4248" t="inlineStr"/>
      <c r="K4248" t="inlineStr">
        <is>
          <t>A0A803KC65_XENTR</t>
        </is>
      </c>
      <c r="L4248" t="inlineStr">
        <is>
          <t>tr|A0A803KC65|A0A803KC65_XENTR CCHC-type domain-containing protein OS=Xenopus tropicalis OX=8364 PE=4 SV=1</t>
        </is>
      </c>
      <c r="M4248" t="n">
        <v>287</v>
      </c>
      <c r="N4248" t="inlineStr">
        <is>
          <t>Xenopus tropicalis</t>
        </is>
      </c>
      <c r="O4248" t="inlineStr">
        <is>
          <t>CCHC-type domain-containing protein</t>
        </is>
      </c>
    </row>
    <row r="4249">
      <c r="A4249" t="inlineStr"/>
      <c r="B4249" t="inlineStr"/>
      <c r="C4249" t="inlineStr"/>
      <c r="D4249" t="inlineStr"/>
      <c r="E4249">
        <f>HYPERLINK("https://www.ncbi.nlm.nih.gov/gene/?term=XP_040195351.1", "XP_040195351.1")</f>
        <v/>
      </c>
      <c r="F4249" t="n">
        <v>35</v>
      </c>
      <c r="G4249" t="n">
        <v>140</v>
      </c>
      <c r="H4249" t="n">
        <v>7.53e-15</v>
      </c>
      <c r="I4249" t="inlineStr">
        <is>
          <t>Nr</t>
        </is>
      </c>
      <c r="J4249" t="inlineStr"/>
      <c r="K4249" t="inlineStr"/>
      <c r="L4249" t="inlineStr">
        <is>
          <t>XP_040195351.1 protein LDOC1-like [Rana temporaria]</t>
        </is>
      </c>
      <c r="M4249" t="n">
        <v>156</v>
      </c>
      <c r="N4249" t="inlineStr">
        <is>
          <t>Rana temporaria</t>
        </is>
      </c>
      <c r="O4249" t="inlineStr">
        <is>
          <t>protein LDOC1-like</t>
        </is>
      </c>
    </row>
    <row r="4250">
      <c r="A4250" t="inlineStr"/>
      <c r="B4250" t="inlineStr"/>
      <c r="C4250" t="inlineStr"/>
      <c r="D4250" t="inlineStr"/>
      <c r="E4250">
        <f>HYPERLINK("https://www.ncbi.nlm.nih.gov/gene/?term=AAH87517.1", "AAH87517.1")</f>
        <v/>
      </c>
      <c r="F4250" t="n">
        <v>36.1</v>
      </c>
      <c r="G4250" t="n">
        <v>119</v>
      </c>
      <c r="H4250" t="n">
        <v>8.23e-15</v>
      </c>
      <c r="I4250" t="inlineStr">
        <is>
          <t>Nr</t>
        </is>
      </c>
      <c r="J4250" t="inlineStr"/>
      <c r="K4250" t="inlineStr"/>
      <c r="L4250" t="inlineStr">
        <is>
          <t>AAH87517.1 LOC496091 protein, partial [Xenopus laevis]</t>
        </is>
      </c>
      <c r="M4250" t="n">
        <v>225</v>
      </c>
      <c r="N4250" t="inlineStr">
        <is>
          <t>Xenopus laevis</t>
        </is>
      </c>
      <c r="O4250" t="inlineStr">
        <is>
          <t>LOC496091 protein, partial</t>
        </is>
      </c>
    </row>
    <row r="4251">
      <c r="A4251" t="inlineStr"/>
      <c r="B4251" t="inlineStr"/>
      <c r="C4251" t="inlineStr"/>
      <c r="D4251" t="inlineStr"/>
      <c r="E4251">
        <f>HYPERLINK("https://www.ncbi.nlm.nih.gov/gene/?term=KAI4900898.1", "KAI4900898.1")</f>
        <v/>
      </c>
      <c r="F4251" t="n">
        <v>35</v>
      </c>
      <c r="G4251" t="n">
        <v>140</v>
      </c>
      <c r="H4251" t="n">
        <v>9.47e-15</v>
      </c>
      <c r="I4251" t="inlineStr">
        <is>
          <t>Nr</t>
        </is>
      </c>
      <c r="J4251" t="inlineStr"/>
      <c r="K4251" t="inlineStr"/>
      <c r="L4251" t="inlineStr">
        <is>
          <t>KAI4900898.1 hypothetical protein NFI96_007223 [Prochilodus magdalenae]</t>
        </is>
      </c>
      <c r="M4251" t="n">
        <v>332</v>
      </c>
      <c r="N4251" t="inlineStr">
        <is>
          <t>Prochilodus magdalenae</t>
        </is>
      </c>
      <c r="O4251" t="inlineStr">
        <is>
          <t>hypothetical protein NFI96_007223</t>
        </is>
      </c>
    </row>
    <row r="4252">
      <c r="A4252" t="inlineStr"/>
      <c r="B4252" t="inlineStr"/>
      <c r="C4252" t="inlineStr"/>
      <c r="D4252" t="inlineStr"/>
      <c r="E4252">
        <f>HYPERLINK("https://www.ncbi.nlm.nih.gov/gene/?term=KAI4880748.1", "KAI4880748.1")</f>
        <v/>
      </c>
      <c r="F4252" t="n">
        <v>35</v>
      </c>
      <c r="G4252" t="n">
        <v>140</v>
      </c>
      <c r="H4252" t="n">
        <v>9.47e-15</v>
      </c>
      <c r="I4252" t="inlineStr">
        <is>
          <t>Nr</t>
        </is>
      </c>
      <c r="J4252" t="inlineStr"/>
      <c r="K4252" t="inlineStr"/>
      <c r="L4252" t="inlineStr">
        <is>
          <t>KAI4880748.1 hypothetical protein NFI96_003002 [Prochilodus magdalenae]</t>
        </is>
      </c>
      <c r="M4252" t="n">
        <v>332</v>
      </c>
      <c r="N4252" t="inlineStr">
        <is>
          <t>Prochilodus magdalenae</t>
        </is>
      </c>
      <c r="O4252" t="inlineStr">
        <is>
          <t>hypothetical protein NFI96_003002</t>
        </is>
      </c>
    </row>
    <row r="4253">
      <c r="A4253" t="inlineStr"/>
      <c r="B4253" t="inlineStr"/>
      <c r="C4253" t="inlineStr"/>
      <c r="D4253" t="inlineStr"/>
      <c r="E4253">
        <f>HYPERLINK("https://www.uniprot.org/uniprotkb/A0A3B4XZG7/entry", "A0A3B4XZG7")</f>
        <v/>
      </c>
      <c r="F4253" t="n">
        <v>31.6</v>
      </c>
      <c r="G4253" t="n">
        <v>155</v>
      </c>
      <c r="H4253" t="n">
        <v>1.52e-14</v>
      </c>
      <c r="I4253" t="inlineStr">
        <is>
          <t>TrEMBL</t>
        </is>
      </c>
      <c r="J4253" t="inlineStr"/>
      <c r="K4253" t="inlineStr">
        <is>
          <t>A0A3B4XZG7_SERLL</t>
        </is>
      </c>
      <c r="L4253" t="inlineStr">
        <is>
          <t>tr|A0A3B4XZG7|A0A3B4XZG7_SERLL Retrotrans_gag domain-containing protein OS=Seriola lalandi dorsalis OX=1841481 PE=4 SV=1</t>
        </is>
      </c>
      <c r="M4253" t="n">
        <v>398</v>
      </c>
      <c r="N4253" t="inlineStr">
        <is>
          <t>Seriola lalandi dorsalis</t>
        </is>
      </c>
      <c r="O4253" t="inlineStr">
        <is>
          <t>Retrotrans_gag domain-containing protein</t>
        </is>
      </c>
    </row>
    <row r="4254">
      <c r="A4254" t="inlineStr"/>
      <c r="B4254" t="inlineStr"/>
      <c r="C4254" t="inlineStr"/>
      <c r="D4254" t="inlineStr"/>
      <c r="E4254">
        <f>HYPERLINK("https://www.uniprot.org/uniprotkb/A0A498P3F4/entry", "A0A498P3F4")</f>
        <v/>
      </c>
      <c r="F4254" t="n">
        <v>34.6</v>
      </c>
      <c r="G4254" t="n">
        <v>127</v>
      </c>
      <c r="H4254" t="n">
        <v>1.61e-14</v>
      </c>
      <c r="I4254" t="inlineStr">
        <is>
          <t>TrEMBL</t>
        </is>
      </c>
      <c r="J4254" t="inlineStr">
        <is>
          <t>ROHU_000424</t>
        </is>
      </c>
      <c r="K4254" t="inlineStr">
        <is>
          <t>A0A498P3F4_LABRO</t>
        </is>
      </c>
      <c r="L4254" t="inlineStr">
        <is>
          <t>tr|A0A498P3F4|A0A498P3F4_LABRO Retrotransposon-derived PEG10 OS=Labeo rohita OX=84645 GN=ROHU_000424 PE=4 SV=1</t>
        </is>
      </c>
      <c r="M4254" t="n">
        <v>318</v>
      </c>
      <c r="N4254" t="inlineStr">
        <is>
          <t>Labeo rohita</t>
        </is>
      </c>
      <c r="O4254" t="inlineStr">
        <is>
          <t>Retrotransposon-derived PEG10</t>
        </is>
      </c>
    </row>
    <row r="4255">
      <c r="A4255" t="inlineStr"/>
      <c r="B4255" t="inlineStr"/>
      <c r="C4255" t="inlineStr"/>
      <c r="D4255" t="inlineStr"/>
      <c r="E4255">
        <f>HYPERLINK("https://www.uniprot.org/uniprotkb/A0A8C9Y649/entry", "A0A8C9Y649")</f>
        <v/>
      </c>
      <c r="F4255" t="n">
        <v>32</v>
      </c>
      <c r="G4255" t="n">
        <v>150</v>
      </c>
      <c r="H4255" t="n">
        <v>1.71e-14</v>
      </c>
      <c r="I4255" t="inlineStr">
        <is>
          <t>TrEMBL</t>
        </is>
      </c>
      <c r="J4255" t="inlineStr"/>
      <c r="K4255" t="inlineStr">
        <is>
          <t>A0A8C9Y649_SANLU</t>
        </is>
      </c>
      <c r="L4255" t="inlineStr">
        <is>
          <t>tr|A0A8C9Y649|A0A8C9Y649_SANLU CCHC-type domain-containing protein OS=Sander lucioperca OX=283035 PE=4 SV=1</t>
        </is>
      </c>
      <c r="M4255" t="n">
        <v>427</v>
      </c>
      <c r="N4255" t="inlineStr">
        <is>
          <t>Sander lucioperca</t>
        </is>
      </c>
      <c r="O4255" t="inlineStr">
        <is>
          <t>CCHC-type domain-containing protein</t>
        </is>
      </c>
    </row>
    <row r="4256">
      <c r="A4256" t="inlineStr"/>
      <c r="B4256" t="inlineStr"/>
      <c r="C4256" t="inlineStr"/>
      <c r="D4256" t="inlineStr"/>
      <c r="E4256">
        <f>HYPERLINK("https://www.ncbi.nlm.nih.gov/gene/?term=KAI2656995.1", "KAI2656995.1")</f>
        <v/>
      </c>
      <c r="F4256" t="n">
        <v>34.6</v>
      </c>
      <c r="G4256" t="n">
        <v>127</v>
      </c>
      <c r="H4256" t="n">
        <v>2.15e-14</v>
      </c>
      <c r="I4256" t="inlineStr">
        <is>
          <t>Nr</t>
        </is>
      </c>
      <c r="J4256" t="inlineStr"/>
      <c r="K4256" t="inlineStr"/>
      <c r="L4256" t="inlineStr">
        <is>
          <t>KAI2656995.1 Retrotransposon-derived protein PEG10 [Labeo rohita]</t>
        </is>
      </c>
      <c r="M4256" t="n">
        <v>264</v>
      </c>
      <c r="N4256" t="inlineStr">
        <is>
          <t>Labeo rohita</t>
        </is>
      </c>
      <c r="O4256" t="inlineStr">
        <is>
          <t>Retrotransposon-derived protein PEG10</t>
        </is>
      </c>
    </row>
    <row r="4257">
      <c r="A4257" t="inlineStr"/>
      <c r="B4257" t="inlineStr"/>
      <c r="C4257" t="inlineStr"/>
      <c r="D4257" t="inlineStr"/>
      <c r="E4257">
        <f>HYPERLINK("https://www.uniprot.org/uniprotkb/A0A060WC53/entry", "A0A060WC53")</f>
        <v/>
      </c>
      <c r="F4257" t="n">
        <v>31.3</v>
      </c>
      <c r="G4257" t="n">
        <v>150</v>
      </c>
      <c r="H4257" t="n">
        <v>3.01e-14</v>
      </c>
      <c r="I4257" t="inlineStr">
        <is>
          <t>TrEMBL</t>
        </is>
      </c>
      <c r="J4257" t="inlineStr">
        <is>
          <t>GSONMT00066608001</t>
        </is>
      </c>
      <c r="K4257" t="inlineStr">
        <is>
          <t>A0A060WC53_ONCMY</t>
        </is>
      </c>
      <c r="L4257" t="inlineStr">
        <is>
          <t>tr|A0A060WC53|A0A060WC53_ONCMY DUF4939 domain-containing protein OS=Oncorhynchus mykiss OX=8022 GN=GSONMT00066608001 PE=4 SV=1</t>
        </is>
      </c>
      <c r="M4257" t="n">
        <v>185</v>
      </c>
      <c r="N4257" t="inlineStr">
        <is>
          <t>Oncorhynchus mykiss</t>
        </is>
      </c>
      <c r="O4257" t="inlineStr">
        <is>
          <t>DUF4939 domain-containing protein</t>
        </is>
      </c>
    </row>
    <row r="4258">
      <c r="A4258" t="inlineStr"/>
      <c r="B4258" t="inlineStr"/>
      <c r="C4258" t="inlineStr"/>
      <c r="D4258" t="inlineStr"/>
      <c r="E4258">
        <f>HYPERLINK("https://www.uniprot.org/uniprotkb/P16423/entry", "P16423")</f>
        <v/>
      </c>
      <c r="F4258" t="n">
        <v>24.2</v>
      </c>
      <c r="G4258" t="n">
        <v>418</v>
      </c>
      <c r="H4258" t="n">
        <v>3.36e-14</v>
      </c>
      <c r="I4258" t="inlineStr">
        <is>
          <t>Swiss-Prot</t>
        </is>
      </c>
      <c r="J4258" t="inlineStr">
        <is>
          <t>pol</t>
        </is>
      </c>
      <c r="K4258" t="inlineStr">
        <is>
          <t>POLR_DROME</t>
        </is>
      </c>
      <c r="L4258" t="inlineStr">
        <is>
          <t>sp|P16423|POLR_DROME Retrovirus-related Pol polyprotein from type-2 retrotransposable element R2DM OS=Drosophila melanogaster OX=7227 GN=pol PE=4 SV=1</t>
        </is>
      </c>
      <c r="M4258" t="n">
        <v>1057</v>
      </c>
      <c r="N4258" t="inlineStr">
        <is>
          <t>Drosophila melanogaster</t>
        </is>
      </c>
      <c r="O4258" t="inlineStr">
        <is>
          <t>Retrovirus-related Pol polyprotein from type-2 retrotransposable element R2DM</t>
        </is>
      </c>
    </row>
    <row r="4259">
      <c r="A4259" t="inlineStr"/>
      <c r="B4259" t="inlineStr"/>
      <c r="C4259" t="inlineStr"/>
      <c r="D4259" t="inlineStr"/>
      <c r="E4259">
        <f>HYPERLINK("https://www.ncbi.nlm.nih.gov/gene/?term=RXN39190.1", "RXN39190.1")</f>
        <v/>
      </c>
      <c r="F4259" t="n">
        <v>34.6</v>
      </c>
      <c r="G4259" t="n">
        <v>127</v>
      </c>
      <c r="H4259" t="n">
        <v>4.15e-14</v>
      </c>
      <c r="I4259" t="inlineStr">
        <is>
          <t>Nr</t>
        </is>
      </c>
      <c r="J4259" t="inlineStr"/>
      <c r="K4259" t="inlineStr"/>
      <c r="L4259" t="inlineStr">
        <is>
          <t>RXN39190.1 Retrotransposon-derived PEG10 [Labeo rohita]</t>
        </is>
      </c>
      <c r="M4259" t="n">
        <v>318</v>
      </c>
      <c r="N4259" t="inlineStr">
        <is>
          <t>Labeo rohita</t>
        </is>
      </c>
      <c r="O4259" t="inlineStr">
        <is>
          <t>Retrotransposon-derived PEG10</t>
        </is>
      </c>
    </row>
    <row r="4260">
      <c r="A4260" t="inlineStr"/>
      <c r="B4260" t="inlineStr"/>
      <c r="C4260" t="inlineStr"/>
      <c r="D4260" t="inlineStr"/>
      <c r="E4260">
        <f>HYPERLINK("https://www.uniprot.org/uniprotkb/A0A498L867/entry", "A0A498L867")</f>
        <v/>
      </c>
      <c r="F4260" t="n">
        <v>34.1</v>
      </c>
      <c r="G4260" t="n">
        <v>129</v>
      </c>
      <c r="H4260" t="n">
        <v>5.97e-14</v>
      </c>
      <c r="I4260" t="inlineStr">
        <is>
          <t>TrEMBL</t>
        </is>
      </c>
      <c r="J4260" t="inlineStr">
        <is>
          <t>ROHU_034023</t>
        </is>
      </c>
      <c r="K4260" t="inlineStr">
        <is>
          <t>A0A498L867_LABRO</t>
        </is>
      </c>
      <c r="L4260" t="inlineStr">
        <is>
          <t>tr|A0A498L867|A0A498L867_LABRO Retrotransposon-derived PEG10 OS=Labeo rohita OX=84645 GN=ROHU_034023 PE=4 SV=1</t>
        </is>
      </c>
      <c r="M4260" t="n">
        <v>320</v>
      </c>
      <c r="N4260" t="inlineStr">
        <is>
          <t>Labeo rohita</t>
        </is>
      </c>
      <c r="O4260" t="inlineStr">
        <is>
          <t>Retrotransposon-derived PEG10</t>
        </is>
      </c>
    </row>
    <row r="4261">
      <c r="A4261" t="inlineStr"/>
      <c r="B4261" t="inlineStr"/>
      <c r="C4261" t="inlineStr"/>
      <c r="D4261" t="inlineStr"/>
      <c r="E4261">
        <f>HYPERLINK("https://www.ncbi.nlm.nih.gov/gene/?term=CDQ62140.1", "CDQ62140.1")</f>
        <v/>
      </c>
      <c r="F4261" t="n">
        <v>31.3</v>
      </c>
      <c r="G4261" t="n">
        <v>150</v>
      </c>
      <c r="H4261" t="n">
        <v>7.72e-14</v>
      </c>
      <c r="I4261" t="inlineStr">
        <is>
          <t>Nr</t>
        </is>
      </c>
      <c r="J4261" t="inlineStr"/>
      <c r="K4261" t="inlineStr"/>
      <c r="L4261" t="inlineStr">
        <is>
          <t>CDQ62140.1 unnamed protein product [Oncorhynchus mykiss]</t>
        </is>
      </c>
      <c r="M4261" t="n">
        <v>185</v>
      </c>
      <c r="N4261" t="inlineStr">
        <is>
          <t>Oncorhynchus mykiss</t>
        </is>
      </c>
      <c r="O4261" t="inlineStr">
        <is>
          <t>unnamed protein product</t>
        </is>
      </c>
    </row>
    <row r="4262">
      <c r="A4262" t="inlineStr"/>
      <c r="B4262" t="inlineStr"/>
      <c r="C4262" t="inlineStr"/>
      <c r="D4262" t="inlineStr"/>
      <c r="E4262">
        <f>HYPERLINK("https://www.uniprot.org/uniprotkb/A0A8C5A820/entry", "A0A8C5A820")</f>
        <v/>
      </c>
      <c r="F4262" t="n">
        <v>35.8</v>
      </c>
      <c r="G4262" t="n">
        <v>137</v>
      </c>
      <c r="H4262" t="n">
        <v>9.15e-14</v>
      </c>
      <c r="I4262" t="inlineStr">
        <is>
          <t>TrEMBL</t>
        </is>
      </c>
      <c r="J4262" t="inlineStr"/>
      <c r="K4262" t="inlineStr">
        <is>
          <t>A0A8C5A820_GADMO</t>
        </is>
      </c>
      <c r="L4262" t="inlineStr">
        <is>
          <t>tr|A0A8C5A820|A0A8C5A820_GADMO DUF4939 domain-containing protein OS=Gadus morhua OX=8049 PE=4 SV=1</t>
        </is>
      </c>
      <c r="M4262" t="n">
        <v>144</v>
      </c>
      <c r="N4262" t="inlineStr">
        <is>
          <t>Gadus morhua</t>
        </is>
      </c>
      <c r="O4262" t="inlineStr">
        <is>
          <t>DUF4939 domain-containing protein</t>
        </is>
      </c>
    </row>
    <row r="4263">
      <c r="A4263" t="inlineStr"/>
      <c r="B4263" t="inlineStr"/>
      <c r="C4263" t="inlineStr"/>
      <c r="D4263" t="inlineStr"/>
      <c r="E4263">
        <f>HYPERLINK("https://www.uniprot.org/uniprotkb/A0A8B9JE09/entry", "A0A8B9JE09")</f>
        <v/>
      </c>
      <c r="F4263" t="n">
        <v>32.2</v>
      </c>
      <c r="G4263" t="n">
        <v>146</v>
      </c>
      <c r="H4263" t="n">
        <v>1.1e-13</v>
      </c>
      <c r="I4263" t="inlineStr">
        <is>
          <t>TrEMBL</t>
        </is>
      </c>
      <c r="J4263" t="inlineStr"/>
      <c r="K4263" t="inlineStr">
        <is>
          <t>A0A8B9JE09_ASTMX</t>
        </is>
      </c>
      <c r="L4263" t="inlineStr">
        <is>
          <t>tr|A0A8B9JE09|A0A8B9JE09_ASTMX Retrotrans_gag domain-containing protein OS=Astyanax mexicanus OX=7994 PE=4 SV=1</t>
        </is>
      </c>
      <c r="M4263" t="n">
        <v>357</v>
      </c>
      <c r="N4263" t="inlineStr">
        <is>
          <t>Astyanax mexicanus</t>
        </is>
      </c>
      <c r="O4263" t="inlineStr">
        <is>
          <t>Retrotrans_gag domain-containing protein</t>
        </is>
      </c>
    </row>
    <row r="4264">
      <c r="A4264" t="inlineStr"/>
      <c r="B4264" t="inlineStr"/>
      <c r="C4264" t="inlineStr"/>
      <c r="D4264" t="inlineStr"/>
      <c r="E4264">
        <f>HYPERLINK("https://www.uniprot.org/uniprotkb/A0A803J4Y9/entry", "A0A803J4Y9")</f>
        <v/>
      </c>
      <c r="F4264" t="n">
        <v>48.1</v>
      </c>
      <c r="G4264" t="n">
        <v>77</v>
      </c>
      <c r="H4264" t="n">
        <v>1.12e-13</v>
      </c>
      <c r="I4264" t="inlineStr">
        <is>
          <t>TrEMBL</t>
        </is>
      </c>
      <c r="J4264" t="inlineStr"/>
      <c r="K4264" t="inlineStr">
        <is>
          <t>A0A803J4Y9_XENTR</t>
        </is>
      </c>
      <c r="L4264" t="inlineStr">
        <is>
          <t>tr|A0A803J4Y9|A0A803J4Y9_XENTR CCHC-type domain-containing protein OS=Xenopus tropicalis OX=8364 PE=4 SV=1</t>
        </is>
      </c>
      <c r="M4264" t="n">
        <v>239</v>
      </c>
      <c r="N4264" t="inlineStr">
        <is>
          <t>Xenopus tropicalis</t>
        </is>
      </c>
      <c r="O4264" t="inlineStr">
        <is>
          <t>CCHC-type domain-containing protein</t>
        </is>
      </c>
    </row>
    <row r="4265">
      <c r="A4265" t="inlineStr"/>
      <c r="B4265" t="inlineStr"/>
      <c r="C4265" t="inlineStr"/>
      <c r="D4265" t="inlineStr"/>
      <c r="E4265">
        <f>HYPERLINK("https://www.ncbi.nlm.nih.gov/gene/?term=KAI2650915.1", "KAI2650915.1")</f>
        <v/>
      </c>
      <c r="F4265" t="n">
        <v>34.6</v>
      </c>
      <c r="G4265" t="n">
        <v>127</v>
      </c>
      <c r="H4265" t="n">
        <v>1.2e-13</v>
      </c>
      <c r="I4265" t="inlineStr">
        <is>
          <t>Nr</t>
        </is>
      </c>
      <c r="J4265" t="inlineStr"/>
      <c r="K4265" t="inlineStr"/>
      <c r="L4265" t="inlineStr">
        <is>
          <t>KAI2650915.1 Transposon Tf2-9 polyprotein [Labeo rohita]</t>
        </is>
      </c>
      <c r="M4265" t="n">
        <v>1381</v>
      </c>
      <c r="N4265" t="inlineStr">
        <is>
          <t>Labeo rohita</t>
        </is>
      </c>
      <c r="O4265" t="inlineStr">
        <is>
          <t>Transposon Tf2-9 polyprotein</t>
        </is>
      </c>
    </row>
    <row r="4266">
      <c r="A4266" t="inlineStr"/>
      <c r="B4266" t="inlineStr"/>
      <c r="C4266" t="inlineStr"/>
      <c r="D4266" t="inlineStr"/>
      <c r="E4266">
        <f>HYPERLINK("https://www.ncbi.nlm.nih.gov/gene/?term=KAI2656956.1", "KAI2656956.1")</f>
        <v/>
      </c>
      <c r="F4266" t="n">
        <v>34.6</v>
      </c>
      <c r="G4266" t="n">
        <v>127</v>
      </c>
      <c r="H4266" t="n">
        <v>1.21e-13</v>
      </c>
      <c r="I4266" t="inlineStr">
        <is>
          <t>Nr</t>
        </is>
      </c>
      <c r="J4266" t="inlineStr"/>
      <c r="K4266" t="inlineStr"/>
      <c r="L4266" t="inlineStr">
        <is>
          <t>KAI2656956.1 Transposon Tf2-6 polyprotein [Labeo rohita]</t>
        </is>
      </c>
      <c r="M4266" t="n">
        <v>1498</v>
      </c>
      <c r="N4266" t="inlineStr">
        <is>
          <t>Labeo rohita</t>
        </is>
      </c>
      <c r="O4266" t="inlineStr">
        <is>
          <t>Transposon Tf2-6 polyprotein</t>
        </is>
      </c>
    </row>
    <row r="4267">
      <c r="A4267" t="inlineStr"/>
      <c r="B4267" t="inlineStr"/>
      <c r="C4267" t="inlineStr"/>
      <c r="D4267" t="inlineStr"/>
      <c r="E4267">
        <f>HYPERLINK("https://www.ncbi.nlm.nih.gov/gene/?term=OCT57199.1", "OCT57199.1")</f>
        <v/>
      </c>
      <c r="F4267" t="n">
        <v>42.9</v>
      </c>
      <c r="G4267" t="n">
        <v>91</v>
      </c>
      <c r="H4267" t="n">
        <v>1.32e-13</v>
      </c>
      <c r="I4267" t="inlineStr">
        <is>
          <t>Nr</t>
        </is>
      </c>
      <c r="J4267" t="inlineStr"/>
      <c r="K4267" t="inlineStr"/>
      <c r="L4267" t="inlineStr">
        <is>
          <t>OCT57199.1 hypothetical protein XELAEV_18003842mg [Xenopus laevis]</t>
        </is>
      </c>
      <c r="M4267" t="n">
        <v>305</v>
      </c>
      <c r="N4267" t="inlineStr">
        <is>
          <t>Xenopus laevis</t>
        </is>
      </c>
      <c r="O4267" t="inlineStr">
        <is>
          <t>hypothetical protein XELAEV_18003842mg</t>
        </is>
      </c>
    </row>
    <row r="4268">
      <c r="A4268" t="inlineStr"/>
      <c r="B4268" t="inlineStr"/>
      <c r="C4268" t="inlineStr"/>
      <c r="D4268" t="inlineStr"/>
      <c r="E4268">
        <f>HYPERLINK("https://www.ncbi.nlm.nih.gov/gene/?term=RXN04479.1", "RXN04479.1")</f>
        <v/>
      </c>
      <c r="F4268" t="n">
        <v>34.1</v>
      </c>
      <c r="G4268" t="n">
        <v>129</v>
      </c>
      <c r="H4268" t="n">
        <v>1.53e-13</v>
      </c>
      <c r="I4268" t="inlineStr">
        <is>
          <t>Nr</t>
        </is>
      </c>
      <c r="J4268" t="inlineStr"/>
      <c r="K4268" t="inlineStr"/>
      <c r="L4268" t="inlineStr">
        <is>
          <t>RXN04479.1 Retrotransposon-derived PEG10 [Labeo rohita]</t>
        </is>
      </c>
      <c r="M4268" t="n">
        <v>320</v>
      </c>
      <c r="N4268" t="inlineStr">
        <is>
          <t>Labeo rohita</t>
        </is>
      </c>
      <c r="O4268" t="inlineStr">
        <is>
          <t>Retrotransposon-derived PEG10</t>
        </is>
      </c>
    </row>
    <row r="4269">
      <c r="A4269" t="inlineStr"/>
      <c r="B4269" t="inlineStr"/>
      <c r="C4269" t="inlineStr"/>
      <c r="D4269" t="inlineStr"/>
      <c r="E4269">
        <f>HYPERLINK("https://www.ncbi.nlm.nih.gov/gene/?term=KAI4887344.1", "KAI4887344.1")</f>
        <v/>
      </c>
      <c r="F4269" t="n">
        <v>34.3</v>
      </c>
      <c r="G4269" t="n">
        <v>140</v>
      </c>
      <c r="H4269" t="n">
        <v>1.7e-13</v>
      </c>
      <c r="I4269" t="inlineStr">
        <is>
          <t>Nr</t>
        </is>
      </c>
      <c r="J4269" t="inlineStr"/>
      <c r="K4269" t="inlineStr"/>
      <c r="L4269" t="inlineStr">
        <is>
          <t>KAI4887344.1 hypothetical protein NFI96_002623 [Prochilodus magdalenae]</t>
        </is>
      </c>
      <c r="M4269" t="n">
        <v>332</v>
      </c>
      <c r="N4269" t="inlineStr">
        <is>
          <t>Prochilodus magdalenae</t>
        </is>
      </c>
      <c r="O4269" t="inlineStr">
        <is>
          <t>hypothetical protein NFI96_002623</t>
        </is>
      </c>
    </row>
    <row r="4270">
      <c r="A4270" t="inlineStr"/>
      <c r="B4270" t="inlineStr"/>
      <c r="C4270" t="inlineStr"/>
      <c r="D4270" t="inlineStr"/>
      <c r="E4270">
        <f>HYPERLINK("https://www.uniprot.org/uniprotkb/A0A8C5AL08/entry", "A0A8C5AL08")</f>
        <v/>
      </c>
      <c r="F4270" t="n">
        <v>35</v>
      </c>
      <c r="G4270" t="n">
        <v>137</v>
      </c>
      <c r="H4270" t="n">
        <v>1.8e-13</v>
      </c>
      <c r="I4270" t="inlineStr">
        <is>
          <t>TrEMBL</t>
        </is>
      </c>
      <c r="J4270" t="inlineStr"/>
      <c r="K4270" t="inlineStr">
        <is>
          <t>A0A8C5AL08_GADMO</t>
        </is>
      </c>
      <c r="L4270" t="inlineStr">
        <is>
          <t>tr|A0A8C5AL08|A0A8C5AL08_GADMO DUF4939 domain-containing protein OS=Gadus morhua OX=8049 PE=4 SV=1</t>
        </is>
      </c>
      <c r="M4270" t="n">
        <v>144</v>
      </c>
      <c r="N4270" t="inlineStr">
        <is>
          <t>Gadus morhua</t>
        </is>
      </c>
      <c r="O4270" t="inlineStr">
        <is>
          <t>DUF4939 domain-containing protein</t>
        </is>
      </c>
    </row>
    <row r="4271">
      <c r="A4271" t="inlineStr"/>
      <c r="B4271" t="inlineStr"/>
      <c r="C4271" t="inlineStr"/>
      <c r="D4271" t="inlineStr"/>
      <c r="E4271">
        <f>HYPERLINK("https://www.uniprot.org/uniprotkb/A0A803J653/entry", "A0A803J653")</f>
        <v/>
      </c>
      <c r="F4271" t="n">
        <v>30.2</v>
      </c>
      <c r="G4271" t="n">
        <v>162</v>
      </c>
      <c r="H4271" t="n">
        <v>1.87e-13</v>
      </c>
      <c r="I4271" t="inlineStr">
        <is>
          <t>TrEMBL</t>
        </is>
      </c>
      <c r="J4271" t="inlineStr"/>
      <c r="K4271" t="inlineStr">
        <is>
          <t>A0A803J653_XENTR</t>
        </is>
      </c>
      <c r="L4271" t="inlineStr">
        <is>
          <t>tr|A0A803J653|A0A803J653_XENTR DUF4939 domain-containing protein OS=Xenopus tropicalis OX=8364 PE=4 SV=1</t>
        </is>
      </c>
      <c r="M4271" t="n">
        <v>230</v>
      </c>
      <c r="N4271" t="inlineStr">
        <is>
          <t>Xenopus tropicalis</t>
        </is>
      </c>
      <c r="O4271" t="inlineStr">
        <is>
          <t>DUF4939 domain-containing protein</t>
        </is>
      </c>
    </row>
    <row r="4272">
      <c r="A4272" t="inlineStr"/>
      <c r="B4272" t="inlineStr"/>
      <c r="C4272" t="inlineStr"/>
      <c r="D4272" t="inlineStr"/>
      <c r="E4272">
        <f>HYPERLINK("https://www.uniprot.org/uniprotkb/A0A6P7YHT5/entry", "A0A6P7YHT5")</f>
        <v/>
      </c>
      <c r="F4272" t="n">
        <v>45.2</v>
      </c>
      <c r="G4272" t="n">
        <v>84</v>
      </c>
      <c r="H4272" t="n">
        <v>2.12e-13</v>
      </c>
      <c r="I4272" t="inlineStr">
        <is>
          <t>TrEMBL</t>
        </is>
      </c>
      <c r="J4272" t="inlineStr">
        <is>
          <t>HFM1</t>
        </is>
      </c>
      <c r="K4272" t="inlineStr">
        <is>
          <t>A0A6P7YHT5_9AMPH</t>
        </is>
      </c>
      <c r="L4272" t="inlineStr">
        <is>
          <t>tr|A0A6P7YHT5|A0A6P7YHT5_9AMPH probable ATP-dependent DNA helicase HFM1 OS=Microcaecilia unicolor OX=1415580 GN=HFM1 PE=4 SV=1</t>
        </is>
      </c>
      <c r="M4272" t="n">
        <v>1215</v>
      </c>
      <c r="N4272" t="inlineStr">
        <is>
          <t>Microcaecilia unicolor</t>
        </is>
      </c>
      <c r="O4272" t="inlineStr">
        <is>
          <t>probable ATP-dependent DNA helicase HFM1</t>
        </is>
      </c>
    </row>
    <row r="4273">
      <c r="A4273" t="inlineStr"/>
      <c r="B4273" t="inlineStr"/>
      <c r="C4273" t="inlineStr"/>
      <c r="D4273" t="inlineStr"/>
      <c r="E4273">
        <f>HYPERLINK("https://www.uniprot.org/uniprotkb/A0A8C7MCS5/entry", "A0A8C7MCS5")</f>
        <v/>
      </c>
      <c r="F4273" t="n">
        <v>30.5</v>
      </c>
      <c r="G4273" t="n">
        <v>151</v>
      </c>
      <c r="H4273" t="n">
        <v>2.14e-13</v>
      </c>
      <c r="I4273" t="inlineStr">
        <is>
          <t>TrEMBL</t>
        </is>
      </c>
      <c r="J4273" t="inlineStr"/>
      <c r="K4273" t="inlineStr">
        <is>
          <t>A0A8C7MCS5_ONCKI</t>
        </is>
      </c>
      <c r="L4273" t="inlineStr">
        <is>
          <t>tr|A0A8C7MCS5|A0A8C7MCS5_ONCKI DUF4939 domain-containing protein OS=Oncorhynchus kisutch OX=8019 PE=4 SV=1</t>
        </is>
      </c>
      <c r="M4273" t="n">
        <v>319</v>
      </c>
      <c r="N4273" t="inlineStr">
        <is>
          <t>Oncorhynchus kisutch</t>
        </is>
      </c>
      <c r="O4273" t="inlineStr">
        <is>
          <t>DUF4939 domain-containing protein</t>
        </is>
      </c>
    </row>
    <row r="4274">
      <c r="A4274" t="inlineStr"/>
      <c r="B4274" t="inlineStr"/>
      <c r="C4274" t="inlineStr"/>
      <c r="D4274" t="inlineStr"/>
      <c r="E4274">
        <f>HYPERLINK("https://www.uniprot.org/uniprotkb/A0A8C7PKC4/entry", "A0A8C7PKC4")</f>
        <v/>
      </c>
      <c r="F4274" t="n">
        <v>30</v>
      </c>
      <c r="G4274" t="n">
        <v>150</v>
      </c>
      <c r="H4274" t="n">
        <v>2.17e-13</v>
      </c>
      <c r="I4274" t="inlineStr">
        <is>
          <t>TrEMBL</t>
        </is>
      </c>
      <c r="J4274" t="inlineStr"/>
      <c r="K4274" t="inlineStr">
        <is>
          <t>A0A8C7PKC4_ONCMY</t>
        </is>
      </c>
      <c r="L4274" t="inlineStr">
        <is>
          <t>tr|A0A8C7PKC4|A0A8C7PKC4_ONCMY CCHC-type domain-containing protein OS=Oncorhynchus mykiss OX=8022 PE=4 SV=2</t>
        </is>
      </c>
      <c r="M4274" t="n">
        <v>446</v>
      </c>
      <c r="N4274" t="inlineStr">
        <is>
          <t>Oncorhynchus mykiss</t>
        </is>
      </c>
      <c r="O4274" t="inlineStr">
        <is>
          <t>CCHC-type domain-containing protein</t>
        </is>
      </c>
    </row>
    <row r="4275">
      <c r="A4275" t="inlineStr"/>
      <c r="B4275" t="inlineStr"/>
      <c r="C4275" t="inlineStr"/>
      <c r="D4275" t="inlineStr"/>
      <c r="E4275">
        <f>HYPERLINK("https://www.uniprot.org/uniprotkb/A0A8C7JI88/entry", "A0A8C7JI88")</f>
        <v/>
      </c>
      <c r="F4275" t="n">
        <v>30</v>
      </c>
      <c r="G4275" t="n">
        <v>150</v>
      </c>
      <c r="H4275" t="n">
        <v>4.02e-13</v>
      </c>
      <c r="I4275" t="inlineStr">
        <is>
          <t>TrEMBL</t>
        </is>
      </c>
      <c r="J4275" t="inlineStr"/>
      <c r="K4275" t="inlineStr">
        <is>
          <t>A0A8C7JI88_ONCKI</t>
        </is>
      </c>
      <c r="L4275" t="inlineStr">
        <is>
          <t>tr|A0A8C7JI88|A0A8C7JI88_ONCKI CCHC-type domain-containing protein OS=Oncorhynchus kisutch OX=8019 PE=4 SV=1</t>
        </is>
      </c>
      <c r="M4275" t="n">
        <v>446</v>
      </c>
      <c r="N4275" t="inlineStr">
        <is>
          <t>Oncorhynchus kisutch</t>
        </is>
      </c>
      <c r="O4275" t="inlineStr">
        <is>
          <t>CCHC-type domain-containing protein</t>
        </is>
      </c>
    </row>
    <row r="4276">
      <c r="A4276" t="inlineStr"/>
      <c r="B4276" t="inlineStr"/>
      <c r="C4276" t="inlineStr"/>
      <c r="D4276" t="inlineStr"/>
      <c r="E4276">
        <f>HYPERLINK("https://www.ncbi.nlm.nih.gov/gene/?term=XP_030062595.1", "XP_030062595.1")</f>
        <v/>
      </c>
      <c r="F4276" t="n">
        <v>45.2</v>
      </c>
      <c r="G4276" t="n">
        <v>84</v>
      </c>
      <c r="H4276" t="n">
        <v>5.45e-13</v>
      </c>
      <c r="I4276" t="inlineStr">
        <is>
          <t>Nr</t>
        </is>
      </c>
      <c r="J4276" t="inlineStr"/>
      <c r="K4276" t="inlineStr"/>
      <c r="L4276" t="inlineStr">
        <is>
          <t>XP_030062595.1 probable ATP-dependent DNA helicase HFM1 [Microcaecilia unicolor]</t>
        </is>
      </c>
      <c r="M4276" t="n">
        <v>1215</v>
      </c>
      <c r="N4276" t="inlineStr">
        <is>
          <t>Microcaecilia unicolor</t>
        </is>
      </c>
      <c r="O4276" t="inlineStr">
        <is>
          <t>probable ATP-dependent DNA helicase HFM1</t>
        </is>
      </c>
    </row>
    <row r="4277">
      <c r="A4277" t="inlineStr"/>
      <c r="B4277" t="inlineStr"/>
      <c r="C4277" t="inlineStr"/>
      <c r="D4277" t="inlineStr"/>
      <c r="E4277">
        <f>HYPERLINK("https://www.uniprot.org/uniprotkb/A0A6I8S7P3/entry", "A0A6I8S7P3")</f>
        <v/>
      </c>
      <c r="F4277" t="n">
        <v>31.5</v>
      </c>
      <c r="G4277" t="n">
        <v>162</v>
      </c>
      <c r="H4277" t="n">
        <v>5.49e-13</v>
      </c>
      <c r="I4277" t="inlineStr">
        <is>
          <t>TrEMBL</t>
        </is>
      </c>
      <c r="J4277" t="inlineStr"/>
      <c r="K4277" t="inlineStr">
        <is>
          <t>A0A6I8S7P3_XENTR</t>
        </is>
      </c>
      <c r="L4277" t="inlineStr">
        <is>
          <t>tr|A0A6I8S7P3|A0A6I8S7P3_XENTR Ty3_capsid domain-containing protein OS=Xenopus tropicalis OX=8364 PE=4 SV=2</t>
        </is>
      </c>
      <c r="M4277" t="n">
        <v>317</v>
      </c>
      <c r="N4277" t="inlineStr">
        <is>
          <t>Xenopus tropicalis</t>
        </is>
      </c>
      <c r="O4277" t="inlineStr">
        <is>
          <t>Ty3_capsid domain-containing protein</t>
        </is>
      </c>
    </row>
    <row r="4278">
      <c r="A4278" t="inlineStr"/>
      <c r="B4278" t="inlineStr"/>
      <c r="C4278" t="inlineStr"/>
      <c r="D4278" t="inlineStr"/>
      <c r="E4278">
        <f>HYPERLINK("https://www.uniprot.org/uniprotkb/A0A8D3CF33/entry", "A0A8D3CF33")</f>
        <v/>
      </c>
      <c r="F4278" t="n">
        <v>32</v>
      </c>
      <c r="G4278" t="n">
        <v>169</v>
      </c>
      <c r="H4278" t="n">
        <v>6.26e-13</v>
      </c>
      <c r="I4278" t="inlineStr">
        <is>
          <t>TrEMBL</t>
        </is>
      </c>
      <c r="J4278" t="inlineStr"/>
      <c r="K4278" t="inlineStr">
        <is>
          <t>A0A8D3CF33_SCOMX</t>
        </is>
      </c>
      <c r="L4278" t="inlineStr">
        <is>
          <t>tr|A0A8D3CF33|A0A8D3CF33_SCOMX CCHC-type domain-containing protein OS=Scophthalmus maximus OX=52904 PE=4 SV=1</t>
        </is>
      </c>
      <c r="M4278" t="n">
        <v>388</v>
      </c>
      <c r="N4278" t="inlineStr">
        <is>
          <t>Scophthalmus maximus</t>
        </is>
      </c>
      <c r="O4278" t="inlineStr">
        <is>
          <t>CCHC-type domain-containing protein</t>
        </is>
      </c>
    </row>
    <row r="4279">
      <c r="A4279" t="inlineStr"/>
      <c r="B4279" t="inlineStr"/>
      <c r="C4279" t="inlineStr"/>
      <c r="D4279" t="inlineStr"/>
      <c r="E4279">
        <f>HYPERLINK("https://www.ncbi.nlm.nih.gov/gene/?term=KAG1939007.1", "KAG1939007.1")</f>
        <v/>
      </c>
      <c r="F4279" t="n">
        <v>33.6</v>
      </c>
      <c r="G4279" t="n">
        <v>140</v>
      </c>
      <c r="H4279" t="n">
        <v>7.38e-13</v>
      </c>
      <c r="I4279" t="inlineStr">
        <is>
          <t>Nr</t>
        </is>
      </c>
      <c r="J4279" t="inlineStr"/>
      <c r="K4279" t="inlineStr"/>
      <c r="L4279" t="inlineStr">
        <is>
          <t>KAG1939007.1 retrotransposable element [Pimephales promelas]</t>
        </is>
      </c>
      <c r="M4279" t="n">
        <v>1177</v>
      </c>
      <c r="N4279" t="inlineStr">
        <is>
          <t>Pimephales promelas</t>
        </is>
      </c>
      <c r="O4279" t="inlineStr">
        <is>
          <t>retrotransposable element</t>
        </is>
      </c>
    </row>
    <row r="4280">
      <c r="A4280" t="inlineStr"/>
      <c r="B4280" t="inlineStr"/>
      <c r="C4280" t="inlineStr"/>
      <c r="D4280" t="inlineStr"/>
      <c r="E4280">
        <f>HYPERLINK("https://www.uniprot.org/uniprotkb/P21328/entry", "P21328")</f>
        <v/>
      </c>
      <c r="F4280" t="n">
        <v>27.8</v>
      </c>
      <c r="G4280" t="n">
        <v>241</v>
      </c>
      <c r="H4280" t="n">
        <v>8.56e-13</v>
      </c>
      <c r="I4280" t="inlineStr">
        <is>
          <t>Swiss-Prot</t>
        </is>
      </c>
      <c r="J4280" t="inlineStr">
        <is>
          <t>pol</t>
        </is>
      </c>
      <c r="K4280" t="inlineStr">
        <is>
          <t>RTJK_DROME</t>
        </is>
      </c>
      <c r="L4280" t="inlineStr">
        <is>
          <t>sp|P21328|RTJK_DROME RNA-directed DNA polymerase from mobile element jockey OS=Drosophila melanogaster OX=7227 GN=pol PE=1 SV=1</t>
        </is>
      </c>
      <c r="M4280" t="n">
        <v>916</v>
      </c>
      <c r="N4280" t="inlineStr">
        <is>
          <t>Drosophila melanogaster</t>
        </is>
      </c>
      <c r="O4280" t="inlineStr">
        <is>
          <t>RNA-directed DNA polymerase from mobile element jockey</t>
        </is>
      </c>
    </row>
    <row r="4281">
      <c r="A4281" t="inlineStr"/>
      <c r="B4281" t="inlineStr"/>
      <c r="C4281" t="inlineStr"/>
      <c r="D4281" t="inlineStr"/>
      <c r="E4281">
        <f>HYPERLINK("https://www.uniprot.org/uniprotkb/A0A3B1IPN2/entry", "A0A3B1IPN2")</f>
        <v/>
      </c>
      <c r="F4281" t="n">
        <v>35.9</v>
      </c>
      <c r="G4281" t="n">
        <v>131</v>
      </c>
      <c r="H4281" t="n">
        <v>8.68e-13</v>
      </c>
      <c r="I4281" t="inlineStr">
        <is>
          <t>TrEMBL</t>
        </is>
      </c>
      <c r="J4281" t="inlineStr"/>
      <c r="K4281" t="inlineStr">
        <is>
          <t>A0A3B1IPN2_ASTMX</t>
        </is>
      </c>
      <c r="L4281" t="inlineStr">
        <is>
          <t>tr|A0A3B1IPN2|A0A3B1IPN2_ASTMX DUF4939 domain-containing protein OS=Astyanax mexicanus OX=7994 PE=4 SV=1</t>
        </is>
      </c>
      <c r="M4281" t="n">
        <v>125</v>
      </c>
      <c r="N4281" t="inlineStr">
        <is>
          <t>Astyanax mexicanus</t>
        </is>
      </c>
      <c r="O4281" t="inlineStr">
        <is>
          <t>DUF4939 domain-containing protein</t>
        </is>
      </c>
    </row>
    <row r="4282">
      <c r="A4282" t="inlineStr"/>
      <c r="B4282" t="inlineStr"/>
      <c r="C4282" t="inlineStr"/>
      <c r="D4282" t="inlineStr"/>
      <c r="E4282">
        <f>HYPERLINK("https://www.uniprot.org/uniprotkb/A0A5C6MY35/entry", "A0A5C6MY35")</f>
        <v/>
      </c>
      <c r="F4282" t="n">
        <v>30.1</v>
      </c>
      <c r="G4282" t="n">
        <v>153</v>
      </c>
      <c r="H4282" t="n">
        <v>9.179999999999999e-13</v>
      </c>
      <c r="I4282" t="inlineStr">
        <is>
          <t>TrEMBL</t>
        </is>
      </c>
      <c r="J4282" t="inlineStr">
        <is>
          <t>D4764_06G0014030</t>
        </is>
      </c>
      <c r="K4282" t="inlineStr">
        <is>
          <t>A0A5C6MY35_9TELE</t>
        </is>
      </c>
      <c r="L4282" t="inlineStr">
        <is>
          <t>tr|A0A5C6MY35|A0A5C6MY35_9TELE DUF4939 domain-containing protein OS=Takifugu flavidus OX=433684 GN=D4764_06G0014030 PE=4 SV=1</t>
        </is>
      </c>
      <c r="M4282" t="n">
        <v>407</v>
      </c>
      <c r="N4282" t="inlineStr">
        <is>
          <t>Takifugu flavidus</t>
        </is>
      </c>
      <c r="O4282" t="inlineStr">
        <is>
          <t>DUF4939 domain-containing protein</t>
        </is>
      </c>
    </row>
    <row r="4283">
      <c r="A4283" t="inlineStr"/>
      <c r="B4283" t="inlineStr"/>
      <c r="C4283" t="inlineStr"/>
      <c r="D4283" t="inlineStr"/>
      <c r="E4283">
        <f>HYPERLINK("https://www.uniprot.org/uniprotkb/A0A803K0P2/entry", "A0A803K0P2")</f>
        <v/>
      </c>
      <c r="F4283" t="n">
        <v>28.6</v>
      </c>
      <c r="G4283" t="n">
        <v>189</v>
      </c>
      <c r="H4283" t="n">
        <v>9.429999999999999e-13</v>
      </c>
      <c r="I4283" t="inlineStr">
        <is>
          <t>TrEMBL</t>
        </is>
      </c>
      <c r="J4283" t="inlineStr"/>
      <c r="K4283" t="inlineStr">
        <is>
          <t>A0A803K0P2_XENTR</t>
        </is>
      </c>
      <c r="L4283" t="inlineStr">
        <is>
          <t>tr|A0A803K0P2|A0A803K0P2_XENTR DUF4939 domain-containing protein OS=Xenopus tropicalis OX=8364 PE=4 SV=1</t>
        </is>
      </c>
      <c r="M4283" t="n">
        <v>190</v>
      </c>
      <c r="N4283" t="inlineStr">
        <is>
          <t>Xenopus tropicalis</t>
        </is>
      </c>
      <c r="O4283" t="inlineStr">
        <is>
          <t>DUF4939 domain-containing protein</t>
        </is>
      </c>
    </row>
    <row r="4284">
      <c r="A4284" t="inlineStr"/>
      <c r="B4284" t="inlineStr"/>
      <c r="C4284" t="inlineStr"/>
      <c r="D4284" t="inlineStr"/>
      <c r="E4284">
        <f>HYPERLINK("https://www.uniprot.org/uniprotkb/A0A6I8RQA9/entry", "A0A6I8RQA9")</f>
        <v/>
      </c>
      <c r="F4284" t="n">
        <v>37.3</v>
      </c>
      <c r="G4284" t="n">
        <v>110</v>
      </c>
      <c r="H4284" t="n">
        <v>1.12e-12</v>
      </c>
      <c r="I4284" t="inlineStr">
        <is>
          <t>TrEMBL</t>
        </is>
      </c>
      <c r="J4284" t="inlineStr"/>
      <c r="K4284" t="inlineStr">
        <is>
          <t>A0A6I8RQA9_XENTR</t>
        </is>
      </c>
      <c r="L4284" t="inlineStr">
        <is>
          <t>tr|A0A6I8RQA9|A0A6I8RQA9_XENTR Reverse transcriptase OS=Xenopus tropicalis OX=8364 PE=3 SV=2</t>
        </is>
      </c>
      <c r="M4284" t="n">
        <v>1269</v>
      </c>
      <c r="N4284" t="inlineStr">
        <is>
          <t>Xenopus tropicalis</t>
        </is>
      </c>
      <c r="O4284" t="inlineStr">
        <is>
          <t>Reverse transcriptase</t>
        </is>
      </c>
    </row>
    <row r="4285">
      <c r="A4285" t="inlineStr"/>
      <c r="B4285" t="inlineStr"/>
      <c r="C4285" t="inlineStr"/>
      <c r="D4285" t="inlineStr"/>
      <c r="E4285">
        <f>HYPERLINK("https://www.ncbi.nlm.nih.gov/gene/?term=KAI2650240.1", "KAI2650240.1")</f>
        <v/>
      </c>
      <c r="F4285" t="n">
        <v>34.9</v>
      </c>
      <c r="G4285" t="n">
        <v>129</v>
      </c>
      <c r="H4285" t="n">
        <v>1.28e-12</v>
      </c>
      <c r="I4285" t="inlineStr">
        <is>
          <t>Nr</t>
        </is>
      </c>
      <c r="J4285" t="inlineStr"/>
      <c r="K4285" t="inlineStr"/>
      <c r="L4285" t="inlineStr">
        <is>
          <t>KAI2650240.1 Transposon Tf2-6 polyprotein [Labeo rohita]</t>
        </is>
      </c>
      <c r="M4285" t="n">
        <v>796</v>
      </c>
      <c r="N4285" t="inlineStr">
        <is>
          <t>Labeo rohita</t>
        </is>
      </c>
      <c r="O4285" t="inlineStr">
        <is>
          <t>Transposon Tf2-6 polyprotein</t>
        </is>
      </c>
    </row>
    <row r="4286">
      <c r="A4286" t="inlineStr"/>
      <c r="B4286" t="inlineStr"/>
      <c r="C4286" t="inlineStr"/>
      <c r="D4286" t="inlineStr"/>
      <c r="E4286">
        <f>HYPERLINK("https://www.uniprot.org/uniprotkb/A0A6I8Q2K8/entry", "A0A6I8Q2K8")</f>
        <v/>
      </c>
      <c r="F4286" t="n">
        <v>36.4</v>
      </c>
      <c r="G4286" t="n">
        <v>110</v>
      </c>
      <c r="H4286" t="n">
        <v>2.08e-12</v>
      </c>
      <c r="I4286" t="inlineStr">
        <is>
          <t>TrEMBL</t>
        </is>
      </c>
      <c r="J4286" t="inlineStr"/>
      <c r="K4286" t="inlineStr">
        <is>
          <t>A0A6I8Q2K8_XENTR</t>
        </is>
      </c>
      <c r="L4286" t="inlineStr">
        <is>
          <t>tr|A0A6I8Q2K8|A0A6I8Q2K8_XENTR Reverse transcriptase OS=Xenopus tropicalis OX=8364 PE=3 SV=2</t>
        </is>
      </c>
      <c r="M4286" t="n">
        <v>1247</v>
      </c>
      <c r="N4286" t="inlineStr">
        <is>
          <t>Xenopus tropicalis</t>
        </is>
      </c>
      <c r="O4286" t="inlineStr">
        <is>
          <t>Reverse transcriptase</t>
        </is>
      </c>
    </row>
    <row r="4287">
      <c r="A4287" t="inlineStr"/>
      <c r="B4287" t="inlineStr"/>
      <c r="C4287" t="inlineStr"/>
      <c r="D4287" t="inlineStr"/>
      <c r="E4287">
        <f>HYPERLINK("https://www.ncbi.nlm.nih.gov/gene/?term=TWW59873.1", "TWW59873.1")</f>
        <v/>
      </c>
      <c r="F4287" t="n">
        <v>30.1</v>
      </c>
      <c r="G4287" t="n">
        <v>153</v>
      </c>
      <c r="H4287" t="n">
        <v>2.36e-12</v>
      </c>
      <c r="I4287" t="inlineStr">
        <is>
          <t>Nr</t>
        </is>
      </c>
      <c r="J4287" t="inlineStr"/>
      <c r="K4287" t="inlineStr"/>
      <c r="L4287" t="inlineStr">
        <is>
          <t>TWW59873.1 hypothetical protein D4764_06G0014030 [Takifugu flavidus]</t>
        </is>
      </c>
      <c r="M4287" t="n">
        <v>407</v>
      </c>
      <c r="N4287" t="inlineStr">
        <is>
          <t>Takifugu flavidus</t>
        </is>
      </c>
      <c r="O4287" t="inlineStr">
        <is>
          <t>hypothetical protein D4764_06G0014030</t>
        </is>
      </c>
    </row>
    <row r="4288">
      <c r="A4288" t="inlineStr"/>
      <c r="B4288" t="inlineStr"/>
      <c r="C4288" t="inlineStr"/>
      <c r="D4288" t="inlineStr"/>
      <c r="E4288">
        <f>HYPERLINK("https://www.ncbi.nlm.nih.gov/gene/?term=KAG8539111.1", "KAG8539111.1")</f>
        <v/>
      </c>
      <c r="F4288" t="n">
        <v>43</v>
      </c>
      <c r="G4288" t="n">
        <v>100</v>
      </c>
      <c r="H4288" t="n">
        <v>2.57e-12</v>
      </c>
      <c r="I4288" t="inlineStr">
        <is>
          <t>Nr</t>
        </is>
      </c>
      <c r="J4288" t="inlineStr"/>
      <c r="K4288" t="inlineStr"/>
      <c r="L4288" t="inlineStr">
        <is>
          <t>KAG8539111.1 hypothetical protein GDO81_021437 [Engystomops pustulosus]</t>
        </is>
      </c>
      <c r="M4288" t="n">
        <v>193</v>
      </c>
      <c r="N4288" t="inlineStr">
        <is>
          <t>Engystomops pustulosus</t>
        </is>
      </c>
      <c r="O4288" t="inlineStr">
        <is>
          <t>hypothetical protein GDO81_021437</t>
        </is>
      </c>
    </row>
    <row r="4289">
      <c r="A4289" t="inlineStr"/>
      <c r="B4289" t="inlineStr"/>
      <c r="C4289" t="inlineStr"/>
      <c r="D4289" t="inlineStr"/>
      <c r="E4289">
        <f>HYPERLINK("https://www.uniprot.org/uniprotkb/A0A6I8Q644/entry", "A0A6I8Q644")</f>
        <v/>
      </c>
      <c r="F4289" t="n">
        <v>36.4</v>
      </c>
      <c r="G4289" t="n">
        <v>110</v>
      </c>
      <c r="H4289" t="n">
        <v>2.65e-12</v>
      </c>
      <c r="I4289" t="inlineStr">
        <is>
          <t>TrEMBL</t>
        </is>
      </c>
      <c r="J4289" t="inlineStr"/>
      <c r="K4289" t="inlineStr">
        <is>
          <t>A0A6I8Q644_XENTR</t>
        </is>
      </c>
      <c r="L4289" t="inlineStr">
        <is>
          <t>tr|A0A6I8Q644|A0A6I8Q644_XENTR ribonuclease H OS=Xenopus tropicalis OX=8364 PE=3 SV=2</t>
        </is>
      </c>
      <c r="M4289" t="n">
        <v>535</v>
      </c>
      <c r="N4289" t="inlineStr">
        <is>
          <t>Xenopus tropicalis</t>
        </is>
      </c>
      <c r="O4289" t="inlineStr">
        <is>
          <t>ribonuclease H</t>
        </is>
      </c>
    </row>
    <row r="4290">
      <c r="A4290" t="inlineStr"/>
      <c r="B4290" t="inlineStr"/>
      <c r="C4290" t="inlineStr"/>
      <c r="D4290" t="inlineStr"/>
      <c r="E4290">
        <f>HYPERLINK("https://www.ncbi.nlm.nih.gov/gene/?term=KAI4900459.1", "KAI4900459.1")</f>
        <v/>
      </c>
      <c r="F4290" t="n">
        <v>32.4</v>
      </c>
      <c r="G4290" t="n">
        <v>142</v>
      </c>
      <c r="H4290" t="n">
        <v>3.49e-12</v>
      </c>
      <c r="I4290" t="inlineStr">
        <is>
          <t>Nr</t>
        </is>
      </c>
      <c r="J4290" t="inlineStr"/>
      <c r="K4290" t="inlineStr"/>
      <c r="L4290" t="inlineStr">
        <is>
          <t>KAI4900459.1 hypothetical protein NFI96_007345 [Prochilodus magdalenae]</t>
        </is>
      </c>
      <c r="M4290" t="n">
        <v>1467</v>
      </c>
      <c r="N4290" t="inlineStr">
        <is>
          <t>Prochilodus magdalenae</t>
        </is>
      </c>
      <c r="O4290" t="inlineStr">
        <is>
          <t>hypothetical protein NFI96_007345</t>
        </is>
      </c>
    </row>
    <row r="4291">
      <c r="A4291" t="inlineStr"/>
      <c r="B4291" t="inlineStr"/>
      <c r="C4291" t="inlineStr"/>
      <c r="D4291" t="inlineStr"/>
      <c r="E4291">
        <f>HYPERLINK("https://www.uniprot.org/uniprotkb/Q9UN81/entry", "Q9UN81")</f>
        <v/>
      </c>
      <c r="F4291" t="n">
        <v>33.3</v>
      </c>
      <c r="G4291" t="n">
        <v>150</v>
      </c>
      <c r="H4291" t="n">
        <v>3.62e-12</v>
      </c>
      <c r="I4291" t="inlineStr">
        <is>
          <t>Swiss-Prot</t>
        </is>
      </c>
      <c r="J4291" t="inlineStr">
        <is>
          <t>L1RE1</t>
        </is>
      </c>
      <c r="K4291" t="inlineStr">
        <is>
          <t>LORF1_HUMAN</t>
        </is>
      </c>
      <c r="L4291" t="inlineStr">
        <is>
          <t>sp|Q9UN81|LORF1_HUMAN LINE-1 retrotransposable element ORF1 protein OS=Homo sapiens OX=9606 GN=L1RE1 PE=1 SV=1</t>
        </is>
      </c>
      <c r="M4291" t="n">
        <v>338</v>
      </c>
      <c r="N4291" t="inlineStr">
        <is>
          <t>Homo sapiens</t>
        </is>
      </c>
      <c r="O4291" t="inlineStr">
        <is>
          <t>LINE-1 retrotransposable element ORF1 protein</t>
        </is>
      </c>
    </row>
    <row r="4292">
      <c r="A4292" t="inlineStr"/>
      <c r="B4292" t="inlineStr"/>
      <c r="C4292" t="inlineStr"/>
      <c r="D4292" t="inlineStr"/>
      <c r="E4292">
        <f>HYPERLINK("https://www.ncbi.nlm.nih.gov/gene/?term=KAJ0055221.1", "KAJ0055221.1")</f>
        <v/>
      </c>
      <c r="F4292" t="n">
        <v>30.1</v>
      </c>
      <c r="G4292" t="n">
        <v>163</v>
      </c>
      <c r="H4292" t="n">
        <v>4.9e-12</v>
      </c>
      <c r="I4292" t="inlineStr">
        <is>
          <t>Nr</t>
        </is>
      </c>
      <c r="J4292" t="inlineStr"/>
      <c r="K4292" t="inlineStr"/>
      <c r="L4292" t="inlineStr">
        <is>
          <t>KAJ0055221.1 hypothetical protein NL108_012724 [Boleophthalmus pectinirostris]</t>
        </is>
      </c>
      <c r="M4292" t="n">
        <v>359</v>
      </c>
      <c r="N4292" t="inlineStr">
        <is>
          <t>Boleophthalmus pectinirostris</t>
        </is>
      </c>
      <c r="O4292" t="inlineStr">
        <is>
          <t>hypothetical protein NL108_012724</t>
        </is>
      </c>
    </row>
    <row r="4293">
      <c r="A4293" t="inlineStr"/>
      <c r="B4293" t="inlineStr"/>
      <c r="C4293" t="inlineStr"/>
      <c r="D4293" t="inlineStr"/>
      <c r="E4293">
        <f>HYPERLINK("https://www.ncbi.nlm.nih.gov/gene/?term=XP_029442985.1", "XP_029442985.1")</f>
        <v/>
      </c>
      <c r="F4293" t="n">
        <v>37.1</v>
      </c>
      <c r="G4293" t="n">
        <v>116</v>
      </c>
      <c r="H4293" t="n">
        <v>6.62e-12</v>
      </c>
      <c r="I4293" t="inlineStr">
        <is>
          <t>Nr</t>
        </is>
      </c>
      <c r="J4293" t="inlineStr"/>
      <c r="K4293" t="inlineStr"/>
      <c r="L4293" t="inlineStr">
        <is>
          <t>XP_029442985.1 protein LDOC1 [Rhinatrema bivittatum]</t>
        </is>
      </c>
      <c r="M4293" t="n">
        <v>128</v>
      </c>
      <c r="N4293" t="inlineStr">
        <is>
          <t>Rhinatrema bivittatum</t>
        </is>
      </c>
      <c r="O4293" t="inlineStr">
        <is>
          <t>protein LDOC1</t>
        </is>
      </c>
    </row>
    <row r="4294">
      <c r="A4294" t="inlineStr"/>
      <c r="B4294" t="inlineStr"/>
      <c r="C4294" t="inlineStr"/>
      <c r="D4294" t="inlineStr"/>
      <c r="E4294">
        <f>HYPERLINK("https://www.ncbi.nlm.nih.gov/gene/?term=OMJ19599.1", "OMJ19599.1")</f>
        <v/>
      </c>
      <c r="F4294" t="n">
        <v>48.2</v>
      </c>
      <c r="G4294" t="n">
        <v>85</v>
      </c>
      <c r="H4294" t="n">
        <v>7.21e-12</v>
      </c>
      <c r="I4294" t="inlineStr">
        <is>
          <t>Nr</t>
        </is>
      </c>
      <c r="J4294" t="inlineStr"/>
      <c r="K4294" t="inlineStr"/>
      <c r="L4294" t="inlineStr">
        <is>
          <t>OMJ19599.1 Retrotransposon-like protein 1 [Smittium culicis]</t>
        </is>
      </c>
      <c r="M4294" t="n">
        <v>528</v>
      </c>
      <c r="N4294" t="inlineStr">
        <is>
          <t>Smittium culicis</t>
        </is>
      </c>
      <c r="O4294" t="inlineStr">
        <is>
          <t>Retrotransposon-like protein 1</t>
        </is>
      </c>
    </row>
    <row r="4295">
      <c r="A4295" t="inlineStr"/>
      <c r="B4295" t="inlineStr"/>
      <c r="C4295" t="inlineStr"/>
      <c r="D4295" t="inlineStr"/>
      <c r="E4295">
        <f>HYPERLINK("https://www.ncbi.nlm.nih.gov/gene/?term=KAI3363971.1", "KAI3363971.1")</f>
        <v/>
      </c>
      <c r="F4295" t="n">
        <v>29.3</v>
      </c>
      <c r="G4295" t="n">
        <v>157</v>
      </c>
      <c r="H4295" t="n">
        <v>8.39e-12</v>
      </c>
      <c r="I4295" t="inlineStr">
        <is>
          <t>Nr</t>
        </is>
      </c>
      <c r="J4295" t="inlineStr"/>
      <c r="K4295" t="inlineStr"/>
      <c r="L4295" t="inlineStr">
        <is>
          <t>KAI3363971.1 hypothetical protein L3Q82_001569 [Scortum barcoo]</t>
        </is>
      </c>
      <c r="M4295" t="n">
        <v>223</v>
      </c>
      <c r="N4295" t="inlineStr">
        <is>
          <t>Scortum barcoo</t>
        </is>
      </c>
      <c r="O4295" t="inlineStr">
        <is>
          <t>hypothetical protein L3Q82_001569</t>
        </is>
      </c>
    </row>
    <row r="4296">
      <c r="A4296" t="inlineStr"/>
      <c r="B4296" t="inlineStr"/>
      <c r="C4296" t="inlineStr"/>
      <c r="D4296" t="inlineStr"/>
      <c r="E4296">
        <f>HYPERLINK("https://www.ncbi.nlm.nih.gov/gene/?term=TWW66907.1", "TWW66907.1")</f>
        <v/>
      </c>
      <c r="F4296" t="n">
        <v>31.5</v>
      </c>
      <c r="G4296" t="n">
        <v>149</v>
      </c>
      <c r="H4296" t="n">
        <v>8.82e-12</v>
      </c>
      <c r="I4296" t="inlineStr">
        <is>
          <t>Nr</t>
        </is>
      </c>
      <c r="J4296" t="inlineStr"/>
      <c r="K4296" t="inlineStr"/>
      <c r="L4296" t="inlineStr">
        <is>
          <t>TWW66907.1 hypothetical protein D4764_20G0009390 [Takifugu flavidus]</t>
        </is>
      </c>
      <c r="M4296" t="n">
        <v>439</v>
      </c>
      <c r="N4296" t="inlineStr">
        <is>
          <t>Takifugu flavidus</t>
        </is>
      </c>
      <c r="O4296" t="inlineStr">
        <is>
          <t>hypothetical protein D4764_20G0009390</t>
        </is>
      </c>
    </row>
    <row r="4297">
      <c r="A4297" t="inlineStr"/>
      <c r="B4297" t="inlineStr"/>
      <c r="C4297" t="inlineStr"/>
      <c r="D4297" t="inlineStr"/>
      <c r="E4297">
        <f>HYPERLINK("https://www.ncbi.nlm.nih.gov/gene/?term=OMJ16824.1", "OMJ16824.1")</f>
        <v/>
      </c>
      <c r="F4297" t="n">
        <v>41.3</v>
      </c>
      <c r="G4297" t="n">
        <v>109</v>
      </c>
      <c r="H4297" t="n">
        <v>1.08e-11</v>
      </c>
      <c r="I4297" t="inlineStr">
        <is>
          <t>Nr</t>
        </is>
      </c>
      <c r="J4297" t="inlineStr"/>
      <c r="K4297" t="inlineStr"/>
      <c r="L4297" t="inlineStr">
        <is>
          <t>OMJ16824.1 Retrotransposon-derived protein PEG10, partial [Smittium culicis]</t>
        </is>
      </c>
      <c r="M4297" t="n">
        <v>780</v>
      </c>
      <c r="N4297" t="inlineStr">
        <is>
          <t>Smittium culicis</t>
        </is>
      </c>
      <c r="O4297" t="inlineStr">
        <is>
          <t>Retrotransposon-derived protein PEG10, partial</t>
        </is>
      </c>
    </row>
    <row r="4298">
      <c r="A4298" t="inlineStr"/>
      <c r="B4298" t="inlineStr"/>
      <c r="C4298" t="inlineStr"/>
      <c r="D4298" t="inlineStr"/>
      <c r="E4298">
        <f>HYPERLINK("https://www.uniprot.org/uniprotkb/A0A8C5C7H2/entry", "A0A8C5C7H2")</f>
        <v/>
      </c>
      <c r="F4298" t="n">
        <v>38.9</v>
      </c>
      <c r="G4298" t="n">
        <v>113</v>
      </c>
      <c r="H4298" t="n">
        <v>2.47e-11</v>
      </c>
      <c r="I4298" t="inlineStr">
        <is>
          <t>TrEMBL</t>
        </is>
      </c>
      <c r="J4298" t="inlineStr"/>
      <c r="K4298" t="inlineStr">
        <is>
          <t>A0A8C5C7H2_GADMO</t>
        </is>
      </c>
      <c r="L4298" t="inlineStr">
        <is>
          <t>tr|A0A8C5C7H2|A0A8C5C7H2_GADMO CCHC-type domain-containing protein OS=Gadus morhua OX=8049 PE=4 SV=1</t>
        </is>
      </c>
      <c r="M4298" t="n">
        <v>344</v>
      </c>
      <c r="N4298" t="inlineStr">
        <is>
          <t>Gadus morhua</t>
        </is>
      </c>
      <c r="O4298" t="inlineStr">
        <is>
          <t>CCHC-type domain-containing protein</t>
        </is>
      </c>
    </row>
    <row r="4299">
      <c r="A4299" t="inlineStr"/>
      <c r="B4299" t="inlineStr"/>
      <c r="C4299" t="inlineStr"/>
      <c r="D4299" t="inlineStr"/>
      <c r="E4299">
        <f>HYPERLINK("https://www.uniprot.org/uniprotkb/A0A6I8S7P3/entry", "A0A6I8S7P3")</f>
        <v/>
      </c>
      <c r="F4299" t="n">
        <v>35.5</v>
      </c>
      <c r="G4299" t="n">
        <v>110</v>
      </c>
      <c r="H4299" t="n">
        <v>4.1e-11</v>
      </c>
      <c r="I4299" t="inlineStr">
        <is>
          <t>TrEMBL</t>
        </is>
      </c>
      <c r="J4299" t="inlineStr"/>
      <c r="K4299" t="inlineStr">
        <is>
          <t>A0A6I8S7P3_XENTR</t>
        </is>
      </c>
      <c r="L4299" t="inlineStr">
        <is>
          <t>tr|A0A6I8S7P3|A0A6I8S7P3_XENTR Ty3_capsid domain-containing protein OS=Xenopus tropicalis OX=8364 PE=4 SV=2</t>
        </is>
      </c>
      <c r="M4299" t="n">
        <v>317</v>
      </c>
      <c r="N4299" t="inlineStr">
        <is>
          <t>Xenopus tropicalis</t>
        </is>
      </c>
      <c r="O4299" t="inlineStr">
        <is>
          <t>Ty3_capsid domain-containing protein</t>
        </is>
      </c>
    </row>
    <row r="4300">
      <c r="A4300" t="inlineStr"/>
      <c r="B4300" t="inlineStr"/>
      <c r="C4300" t="inlineStr"/>
      <c r="D4300" t="inlineStr"/>
      <c r="E4300">
        <f>HYPERLINK("https://www.uniprot.org/uniprotkb/A0A8C4ZVJ0/entry", "A0A8C4ZVJ0")</f>
        <v/>
      </c>
      <c r="F4300" t="n">
        <v>38.9</v>
      </c>
      <c r="G4300" t="n">
        <v>113</v>
      </c>
      <c r="H4300" t="n">
        <v>6.43e-11</v>
      </c>
      <c r="I4300" t="inlineStr">
        <is>
          <t>TrEMBL</t>
        </is>
      </c>
      <c r="J4300" t="inlineStr"/>
      <c r="K4300" t="inlineStr">
        <is>
          <t>A0A8C4ZVJ0_GADMO</t>
        </is>
      </c>
      <c r="L4300" t="inlineStr">
        <is>
          <t>tr|A0A8C4ZVJ0|A0A8C4ZVJ0_GADMO CCHC-type domain-containing protein OS=Gadus morhua OX=8049 PE=4 SV=1</t>
        </is>
      </c>
      <c r="M4300" t="n">
        <v>344</v>
      </c>
      <c r="N4300" t="inlineStr">
        <is>
          <t>Gadus morhua</t>
        </is>
      </c>
      <c r="O4300" t="inlineStr">
        <is>
          <t>CCHC-type domain-containing protein</t>
        </is>
      </c>
    </row>
    <row r="4301">
      <c r="A4301" t="inlineStr"/>
      <c r="B4301" t="inlineStr"/>
      <c r="C4301" t="inlineStr"/>
      <c r="D4301" t="inlineStr"/>
      <c r="E4301">
        <f>HYPERLINK("https://www.uniprot.org/uniprotkb/P21329/entry", "P21329")</f>
        <v/>
      </c>
      <c r="F4301" t="n">
        <v>26.3</v>
      </c>
      <c r="G4301" t="n">
        <v>281</v>
      </c>
      <c r="H4301" t="n">
        <v>6.99e-11</v>
      </c>
      <c r="I4301" t="inlineStr">
        <is>
          <t>Swiss-Prot</t>
        </is>
      </c>
      <c r="J4301" t="inlineStr">
        <is>
          <t>jockey\pol</t>
        </is>
      </c>
      <c r="K4301" t="inlineStr">
        <is>
          <t>RTJK_DROFU</t>
        </is>
      </c>
      <c r="L4301" t="inlineStr">
        <is>
          <t>sp|P21329|RTJK_DROFU RNA-directed DNA polymerase from mobile element jockey OS=Drosophila funebris OX=7221 GN=jockey\pol PE=1 SV=1</t>
        </is>
      </c>
      <c r="M4301" t="n">
        <v>916</v>
      </c>
      <c r="N4301" t="inlineStr">
        <is>
          <t>Drosophila funebris</t>
        </is>
      </c>
      <c r="O4301" t="inlineStr">
        <is>
          <t>RNA-directed DNA polymerase from mobile element jockey</t>
        </is>
      </c>
    </row>
    <row r="4302">
      <c r="A4302" t="inlineStr"/>
      <c r="B4302" t="inlineStr"/>
      <c r="C4302" t="inlineStr"/>
      <c r="D4302" t="inlineStr"/>
      <c r="E4302">
        <f>HYPERLINK("https://www.uniprot.org/uniprotkb/A0A803JG99/entry", "A0A803JG99")</f>
        <v/>
      </c>
      <c r="F4302" t="n">
        <v>34.8</v>
      </c>
      <c r="G4302" t="n">
        <v>112</v>
      </c>
      <c r="H4302" t="n">
        <v>8.33e-11</v>
      </c>
      <c r="I4302" t="inlineStr">
        <is>
          <t>TrEMBL</t>
        </is>
      </c>
      <c r="J4302" t="inlineStr"/>
      <c r="K4302" t="inlineStr">
        <is>
          <t>A0A803JG99_XENTR</t>
        </is>
      </c>
      <c r="L4302" t="inlineStr">
        <is>
          <t>tr|A0A803JG99|A0A803JG99_XENTR ribonuclease H OS=Xenopus tropicalis OX=8364 PE=3 SV=1</t>
        </is>
      </c>
      <c r="M4302" t="n">
        <v>692</v>
      </c>
      <c r="N4302" t="inlineStr">
        <is>
          <t>Xenopus tropicalis</t>
        </is>
      </c>
      <c r="O4302" t="inlineStr">
        <is>
          <t>ribonuclease H</t>
        </is>
      </c>
    </row>
    <row r="4303">
      <c r="A4303" t="inlineStr"/>
      <c r="B4303" t="inlineStr"/>
      <c r="C4303" t="inlineStr"/>
      <c r="D4303" t="inlineStr"/>
      <c r="E4303">
        <f>HYPERLINK("https://www.uniprot.org/uniprotkb/A0A6I8RAB1/entry", "A0A6I8RAB1")</f>
        <v/>
      </c>
      <c r="F4303" t="n">
        <v>35.5</v>
      </c>
      <c r="G4303" t="n">
        <v>110</v>
      </c>
      <c r="H4303" t="n">
        <v>8.73e-11</v>
      </c>
      <c r="I4303" t="inlineStr">
        <is>
          <t>TrEMBL</t>
        </is>
      </c>
      <c r="J4303" t="inlineStr"/>
      <c r="K4303" t="inlineStr">
        <is>
          <t>A0A6I8RAB1_XENTR</t>
        </is>
      </c>
      <c r="L4303" t="inlineStr">
        <is>
          <t>tr|A0A6I8RAB1|A0A6I8RAB1_XENTR Reverse transcriptase OS=Xenopus tropicalis OX=8364 PE=3 SV=2</t>
        </is>
      </c>
      <c r="M4303" t="n">
        <v>1468</v>
      </c>
      <c r="N4303" t="inlineStr">
        <is>
          <t>Xenopus tropicalis</t>
        </is>
      </c>
      <c r="O4303" t="inlineStr">
        <is>
          <t>Reverse transcriptase</t>
        </is>
      </c>
    </row>
    <row r="4304">
      <c r="A4304" t="inlineStr"/>
      <c r="B4304" t="inlineStr"/>
      <c r="C4304" t="inlineStr"/>
      <c r="D4304" t="inlineStr"/>
      <c r="E4304">
        <f>HYPERLINK("https://www.uniprot.org/uniprotkb/A0A6I8RVA1/entry", "A0A6I8RVA1")</f>
        <v/>
      </c>
      <c r="F4304" t="n">
        <v>34.8</v>
      </c>
      <c r="G4304" t="n">
        <v>112</v>
      </c>
      <c r="H4304" t="n">
        <v>8.74e-11</v>
      </c>
      <c r="I4304" t="inlineStr">
        <is>
          <t>TrEMBL</t>
        </is>
      </c>
      <c r="J4304" t="inlineStr"/>
      <c r="K4304" t="inlineStr">
        <is>
          <t>A0A6I8RVA1_XENTR</t>
        </is>
      </c>
      <c r="L4304" t="inlineStr">
        <is>
          <t>tr|A0A6I8RVA1|A0A6I8RVA1_XENTR Reverse transcriptase OS=Xenopus tropicalis OX=8364 PE=3 SV=2</t>
        </is>
      </c>
      <c r="M4304" t="n">
        <v>1488</v>
      </c>
      <c r="N4304" t="inlineStr">
        <is>
          <t>Xenopus tropicalis</t>
        </is>
      </c>
      <c r="O4304" t="inlineStr">
        <is>
          <t>Reverse transcriptase</t>
        </is>
      </c>
    </row>
    <row r="4305">
      <c r="A4305" t="inlineStr"/>
      <c r="B4305" t="inlineStr"/>
      <c r="C4305" t="inlineStr"/>
      <c r="D4305" t="inlineStr"/>
      <c r="E4305">
        <f>HYPERLINK("https://www.uniprot.org/uniprotkb/A0A6I8QGS6/entry", "A0A6I8QGS6")</f>
        <v/>
      </c>
      <c r="F4305" t="n">
        <v>35.5</v>
      </c>
      <c r="G4305" t="n">
        <v>110</v>
      </c>
      <c r="H4305" t="n">
        <v>1.19e-10</v>
      </c>
      <c r="I4305" t="inlineStr">
        <is>
          <t>TrEMBL</t>
        </is>
      </c>
      <c r="J4305" t="inlineStr"/>
      <c r="K4305" t="inlineStr">
        <is>
          <t>A0A6I8QGS6_XENTR</t>
        </is>
      </c>
      <c r="L4305" t="inlineStr">
        <is>
          <t>tr|A0A6I8QGS6|A0A6I8QGS6_XENTR Reverse transcriptase OS=Xenopus tropicalis OX=8364 PE=3 SV=2</t>
        </is>
      </c>
      <c r="M4305" t="n">
        <v>1492</v>
      </c>
      <c r="N4305" t="inlineStr">
        <is>
          <t>Xenopus tropicalis</t>
        </is>
      </c>
      <c r="O4305" t="inlineStr">
        <is>
          <t>Reverse transcriptase</t>
        </is>
      </c>
    </row>
    <row r="4306">
      <c r="A4306" t="inlineStr"/>
      <c r="B4306" t="inlineStr"/>
      <c r="C4306" t="inlineStr"/>
      <c r="D4306" t="inlineStr"/>
      <c r="E4306">
        <f>HYPERLINK("https://www.uniprot.org/uniprotkb/A0A6I8RS95/entry", "A0A6I8RS95")</f>
        <v/>
      </c>
      <c r="F4306" t="n">
        <v>35.5</v>
      </c>
      <c r="G4306" t="n">
        <v>110</v>
      </c>
      <c r="H4306" t="n">
        <v>1.19e-10</v>
      </c>
      <c r="I4306" t="inlineStr">
        <is>
          <t>TrEMBL</t>
        </is>
      </c>
      <c r="J4306" t="inlineStr"/>
      <c r="K4306" t="inlineStr">
        <is>
          <t>A0A6I8RS95_XENTR</t>
        </is>
      </c>
      <c r="L4306" t="inlineStr">
        <is>
          <t>tr|A0A6I8RS95|A0A6I8RS95_XENTR Reverse transcriptase OS=Xenopus tropicalis OX=8364 PE=3 SV=1</t>
        </is>
      </c>
      <c r="M4306" t="n">
        <v>1492</v>
      </c>
      <c r="N4306" t="inlineStr">
        <is>
          <t>Xenopus tropicalis</t>
        </is>
      </c>
      <c r="O4306" t="inlineStr">
        <is>
          <t>Reverse transcriptase</t>
        </is>
      </c>
    </row>
    <row r="4307">
      <c r="A4307" t="inlineStr"/>
      <c r="B4307" t="inlineStr"/>
      <c r="C4307" t="inlineStr"/>
      <c r="D4307" t="inlineStr"/>
      <c r="E4307">
        <f>HYPERLINK("https://www.uniprot.org/uniprotkb/A0A5S6JRJ2/entry", "A0A5S6JRJ2")</f>
        <v/>
      </c>
      <c r="F4307" t="n">
        <v>35.5</v>
      </c>
      <c r="G4307" t="n">
        <v>110</v>
      </c>
      <c r="H4307" t="n">
        <v>1.19e-10</v>
      </c>
      <c r="I4307" t="inlineStr">
        <is>
          <t>TrEMBL</t>
        </is>
      </c>
      <c r="J4307" t="inlineStr">
        <is>
          <t>gsg1lr</t>
        </is>
      </c>
      <c r="K4307" t="inlineStr">
        <is>
          <t>A0A5S6JRJ2_XENTR</t>
        </is>
      </c>
      <c r="L4307" t="inlineStr">
        <is>
          <t>tr|A0A5S6JRJ2|A0A5S6JRJ2_XENTR GSG1-like related OS=Xenopus tropicalis OX=8364 GN=gsg1lr PE=3 SV=1</t>
        </is>
      </c>
      <c r="M4307" t="n">
        <v>1528</v>
      </c>
      <c r="N4307" t="inlineStr">
        <is>
          <t>Xenopus tropicalis</t>
        </is>
      </c>
      <c r="O4307" t="inlineStr">
        <is>
          <t>GSG1-like related</t>
        </is>
      </c>
    </row>
    <row r="4308">
      <c r="A4308" t="inlineStr"/>
      <c r="B4308" t="inlineStr"/>
      <c r="C4308" t="inlineStr"/>
      <c r="D4308" t="inlineStr"/>
      <c r="E4308">
        <f>HYPERLINK("https://www.uniprot.org/uniprotkb/A0A6I8Q0N2/entry", "A0A6I8Q0N2")</f>
        <v/>
      </c>
      <c r="F4308" t="n">
        <v>35.5</v>
      </c>
      <c r="G4308" t="n">
        <v>110</v>
      </c>
      <c r="H4308" t="n">
        <v>1.58e-10</v>
      </c>
      <c r="I4308" t="inlineStr">
        <is>
          <t>TrEMBL</t>
        </is>
      </c>
      <c r="J4308" t="inlineStr"/>
      <c r="K4308" t="inlineStr">
        <is>
          <t>A0A6I8Q0N2_XENTR</t>
        </is>
      </c>
      <c r="L4308" t="inlineStr">
        <is>
          <t>tr|A0A6I8Q0N2|A0A6I8Q0N2_XENTR ribonuclease H OS=Xenopus tropicalis OX=8364 PE=3 SV=2</t>
        </is>
      </c>
      <c r="M4308" t="n">
        <v>881</v>
      </c>
      <c r="N4308" t="inlineStr">
        <is>
          <t>Xenopus tropicalis</t>
        </is>
      </c>
      <c r="O4308" t="inlineStr">
        <is>
          <t>ribonuclease H</t>
        </is>
      </c>
    </row>
    <row r="4309">
      <c r="A4309" t="inlineStr"/>
      <c r="B4309" t="inlineStr"/>
      <c r="C4309" t="inlineStr"/>
      <c r="D4309" t="inlineStr"/>
      <c r="E4309">
        <f>HYPERLINK("https://www.ncbi.nlm.nih.gov/gene/?term=KAG1939001.1", "KAG1939001.1")</f>
        <v/>
      </c>
      <c r="F4309" t="n">
        <v>36.3</v>
      </c>
      <c r="G4309" t="n">
        <v>113</v>
      </c>
      <c r="H4309" t="n">
        <v>1.63e-10</v>
      </c>
      <c r="I4309" t="inlineStr">
        <is>
          <t>Nr</t>
        </is>
      </c>
      <c r="J4309" t="inlineStr"/>
      <c r="K4309" t="inlineStr"/>
      <c r="L4309" t="inlineStr">
        <is>
          <t>KAG1939001.1 retrotransposable element [Pimephales promelas]</t>
        </is>
      </c>
      <c r="M4309" t="n">
        <v>1293</v>
      </c>
      <c r="N4309" t="inlineStr">
        <is>
          <t>Pimephales promelas</t>
        </is>
      </c>
      <c r="O4309" t="inlineStr">
        <is>
          <t>retrotransposable element</t>
        </is>
      </c>
    </row>
    <row r="4310">
      <c r="A4310" t="inlineStr"/>
      <c r="B4310" t="inlineStr"/>
      <c r="C4310" t="inlineStr"/>
      <c r="D4310" t="inlineStr"/>
      <c r="E4310">
        <f>HYPERLINK("https://www.uniprot.org/uniprotkb/E6ZGJ4/entry", "E6ZGJ4")</f>
        <v/>
      </c>
      <c r="F4310" t="n">
        <v>39</v>
      </c>
      <c r="G4310" t="n">
        <v>118</v>
      </c>
      <c r="H4310" t="n">
        <v>1.63e-10</v>
      </c>
      <c r="I4310" t="inlineStr">
        <is>
          <t>TrEMBL</t>
        </is>
      </c>
      <c r="J4310" t="inlineStr">
        <is>
          <t>POL</t>
        </is>
      </c>
      <c r="K4310" t="inlineStr">
        <is>
          <t>E6ZGJ4_DICLA</t>
        </is>
      </c>
      <c r="L4310" t="inlineStr">
        <is>
          <t>tr|E6ZGJ4|E6ZGJ4_DICLA Pol polyprotein OS=Dicentrarchus labrax OX=13489 GN=POL PE=3 SV=1</t>
        </is>
      </c>
      <c r="M4310" t="n">
        <v>1618</v>
      </c>
      <c r="N4310" t="inlineStr">
        <is>
          <t>Dicentrarchus labrax</t>
        </is>
      </c>
      <c r="O4310" t="inlineStr">
        <is>
          <t>Pol polyprotein</t>
        </is>
      </c>
    </row>
    <row r="4311">
      <c r="A4311" t="inlineStr"/>
      <c r="B4311" t="inlineStr"/>
      <c r="C4311" t="inlineStr"/>
      <c r="D4311" t="inlineStr"/>
      <c r="E4311">
        <f>HYPERLINK("https://www.uniprot.org/uniprotkb/A0A3P9NEE1/entry", "A0A3P9NEE1")</f>
        <v/>
      </c>
      <c r="F4311" t="n">
        <v>41.1</v>
      </c>
      <c r="G4311" t="n">
        <v>107</v>
      </c>
      <c r="H4311" t="n">
        <v>1.76e-10</v>
      </c>
      <c r="I4311" t="inlineStr">
        <is>
          <t>TrEMBL</t>
        </is>
      </c>
      <c r="J4311" t="inlineStr"/>
      <c r="K4311" t="inlineStr">
        <is>
          <t>A0A3P9NEE1_POERE</t>
        </is>
      </c>
      <c r="L4311" t="inlineStr">
        <is>
          <t>tr|A0A3P9NEE1|A0A3P9NEE1_POERE DUF4939 domain-containing protein OS=Poecilia reticulata OX=8081 PE=4 SV=1</t>
        </is>
      </c>
      <c r="M4311" t="n">
        <v>360</v>
      </c>
      <c r="N4311" t="inlineStr">
        <is>
          <t>Poecilia reticulata</t>
        </is>
      </c>
      <c r="O4311" t="inlineStr">
        <is>
          <t>DUF4939 domain-containing protein</t>
        </is>
      </c>
    </row>
    <row r="4312">
      <c r="A4312" t="inlineStr"/>
      <c r="B4312" t="inlineStr"/>
      <c r="C4312" t="inlineStr"/>
      <c r="D4312" t="inlineStr"/>
      <c r="E4312">
        <f>HYPERLINK("https://www.uniprot.org/uniprotkb/A0A6G0IWM4/entry", "A0A6G0IWM4")</f>
        <v/>
      </c>
      <c r="F4312" t="n">
        <v>38.4</v>
      </c>
      <c r="G4312" t="n">
        <v>125</v>
      </c>
      <c r="H4312" t="n">
        <v>1.84e-10</v>
      </c>
      <c r="I4312" t="inlineStr">
        <is>
          <t>TrEMBL</t>
        </is>
      </c>
      <c r="J4312" t="inlineStr">
        <is>
          <t>D5F01_LYC06661</t>
        </is>
      </c>
      <c r="K4312" t="inlineStr">
        <is>
          <t>A0A6G0IWM4_LARCR</t>
        </is>
      </c>
      <c r="L4312" t="inlineStr">
        <is>
          <t>tr|A0A6G0IWM4|A0A6G0IWM4_LARCR CCHC-type domain-containing protein OS=Larimichthys crocea OX=215358 GN=D5F01_LYC06661 PE=4 SV=1</t>
        </is>
      </c>
      <c r="M4312" t="n">
        <v>229</v>
      </c>
      <c r="N4312" t="inlineStr">
        <is>
          <t>Larimichthys crocea</t>
        </is>
      </c>
      <c r="O4312" t="inlineStr">
        <is>
          <t>CCHC-type domain-containing protein</t>
        </is>
      </c>
    </row>
    <row r="4313">
      <c r="A4313" t="inlineStr"/>
      <c r="B4313" t="inlineStr"/>
      <c r="C4313" t="inlineStr"/>
      <c r="D4313" t="inlineStr"/>
      <c r="E4313">
        <f>HYPERLINK("https://www.uniprot.org/uniprotkb/A0A8C5QWU9/entry", "A0A8C5QWU9")</f>
        <v/>
      </c>
      <c r="F4313" t="n">
        <v>35.1</v>
      </c>
      <c r="G4313" t="n">
        <v>111</v>
      </c>
      <c r="H4313" t="n">
        <v>2.08e-10</v>
      </c>
      <c r="I4313" t="inlineStr">
        <is>
          <t>TrEMBL</t>
        </is>
      </c>
      <c r="J4313" t="inlineStr"/>
      <c r="K4313" t="inlineStr">
        <is>
          <t>A0A8C5QWU9_9ANUR</t>
        </is>
      </c>
      <c r="L4313" t="inlineStr">
        <is>
          <t>tr|A0A8C5QWU9|A0A8C5QWU9_9ANUR ribonuclease H OS=Leptobrachium leishanense OX=445787 PE=3 SV=1</t>
        </is>
      </c>
      <c r="M4313" t="n">
        <v>575</v>
      </c>
      <c r="N4313" t="inlineStr">
        <is>
          <t>Leptobrachium leishanense</t>
        </is>
      </c>
      <c r="O4313" t="inlineStr">
        <is>
          <t>ribonuclease H</t>
        </is>
      </c>
    </row>
    <row r="4314">
      <c r="A4314" t="inlineStr"/>
      <c r="B4314" t="inlineStr"/>
      <c r="C4314" t="inlineStr"/>
      <c r="D4314" t="inlineStr"/>
      <c r="E4314">
        <f>HYPERLINK("https://www.uniprot.org/uniprotkb/A0A4U5TWH5/entry", "A0A4U5TWH5")</f>
        <v/>
      </c>
      <c r="F4314" t="n">
        <v>41.1</v>
      </c>
      <c r="G4314" t="n">
        <v>124</v>
      </c>
      <c r="H4314" t="n">
        <v>3.02e-10</v>
      </c>
      <c r="I4314" t="inlineStr">
        <is>
          <t>TrEMBL</t>
        </is>
      </c>
      <c r="J4314" t="inlineStr">
        <is>
          <t>D9C73_028448</t>
        </is>
      </c>
      <c r="K4314" t="inlineStr">
        <is>
          <t>A0A4U5TWH5_COLLU</t>
        </is>
      </c>
      <c r="L4314" t="inlineStr">
        <is>
          <t>tr|A0A4U5TWH5|A0A4U5TWH5_COLLU ribonuclease H OS=Collichthys lucidus OX=240159 GN=D9C73_028448 PE=3 SV=1</t>
        </is>
      </c>
      <c r="M4314" t="n">
        <v>1344</v>
      </c>
      <c r="N4314" t="inlineStr">
        <is>
          <t>Collichthys lucidus</t>
        </is>
      </c>
      <c r="O4314" t="inlineStr">
        <is>
          <t>ribonuclease H</t>
        </is>
      </c>
    </row>
    <row r="4315">
      <c r="A4315" t="inlineStr"/>
      <c r="B4315" t="inlineStr"/>
      <c r="C4315" t="inlineStr"/>
      <c r="D4315" t="inlineStr"/>
      <c r="E4315">
        <f>HYPERLINK("https://www.uniprot.org/uniprotkb/A0A498LZP6/entry", "A0A498LZP6")</f>
        <v/>
      </c>
      <c r="F4315" t="n">
        <v>36.9</v>
      </c>
      <c r="G4315" t="n">
        <v>111</v>
      </c>
      <c r="H4315" t="n">
        <v>3.69e-10</v>
      </c>
      <c r="I4315" t="inlineStr">
        <is>
          <t>TrEMBL</t>
        </is>
      </c>
      <c r="J4315" t="inlineStr">
        <is>
          <t>ROHU_029630</t>
        </is>
      </c>
      <c r="K4315" t="inlineStr">
        <is>
          <t>A0A498LZP6_LABRO</t>
        </is>
      </c>
      <c r="L4315" t="inlineStr">
        <is>
          <t>tr|A0A498LZP6|A0A498LZP6_LABRO Retrotransposon-derived PEG10 OS=Labeo rohita OX=84645 GN=ROHU_029630 PE=4 SV=1</t>
        </is>
      </c>
      <c r="M4315" t="n">
        <v>263</v>
      </c>
      <c r="N4315" t="inlineStr">
        <is>
          <t>Labeo rohita</t>
        </is>
      </c>
      <c r="O4315" t="inlineStr">
        <is>
          <t>Retrotransposon-derived PEG10</t>
        </is>
      </c>
    </row>
    <row r="4316">
      <c r="A4316" t="inlineStr"/>
      <c r="B4316" t="inlineStr"/>
      <c r="C4316" t="inlineStr"/>
      <c r="D4316" t="inlineStr"/>
      <c r="E4316">
        <f>HYPERLINK("https://www.uniprot.org/uniprotkb/A0A8P4GPN0/entry", "A0A8P4GPN0")</f>
        <v/>
      </c>
      <c r="F4316" t="n">
        <v>39</v>
      </c>
      <c r="G4316" t="n">
        <v>118</v>
      </c>
      <c r="H4316" t="n">
        <v>4.13e-10</v>
      </c>
      <c r="I4316" t="inlineStr">
        <is>
          <t>TrEMBL</t>
        </is>
      </c>
      <c r="J4316" t="inlineStr"/>
      <c r="K4316" t="inlineStr">
        <is>
          <t>A0A8P4GPN0_DICLA</t>
        </is>
      </c>
      <c r="L4316" t="inlineStr">
        <is>
          <t>tr|A0A8P4GPN0|A0A8P4GPN0_DICLA Reverse transcriptase OS=Dicentrarchus labrax OX=13489 PE=3 SV=1</t>
        </is>
      </c>
      <c r="M4316" t="n">
        <v>1450</v>
      </c>
      <c r="N4316" t="inlineStr">
        <is>
          <t>Dicentrarchus labrax</t>
        </is>
      </c>
      <c r="O4316" t="inlineStr">
        <is>
          <t>Reverse transcriptase</t>
        </is>
      </c>
    </row>
    <row r="4317">
      <c r="A4317" t="inlineStr"/>
      <c r="B4317" t="inlineStr"/>
      <c r="C4317" t="inlineStr"/>
      <c r="D4317" t="inlineStr"/>
      <c r="E4317">
        <f>HYPERLINK("https://www.ncbi.nlm.nih.gov/gene/?term=CBN81178.1", "CBN81178.1")</f>
        <v/>
      </c>
      <c r="F4317" t="n">
        <v>39</v>
      </c>
      <c r="G4317" t="n">
        <v>118</v>
      </c>
      <c r="H4317" t="n">
        <v>4.19e-10</v>
      </c>
      <c r="I4317" t="inlineStr">
        <is>
          <t>Nr</t>
        </is>
      </c>
      <c r="J4317" t="inlineStr"/>
      <c r="K4317" t="inlineStr"/>
      <c r="L4317" t="inlineStr">
        <is>
          <t>CBN81178.1 Pol polyprotein [Dicentrarchus labrax]</t>
        </is>
      </c>
      <c r="M4317" t="n">
        <v>1618</v>
      </c>
      <c r="N4317" t="inlineStr">
        <is>
          <t>Dicentrarchus labrax</t>
        </is>
      </c>
      <c r="O4317" t="inlineStr">
        <is>
          <t>Pol polyprotein</t>
        </is>
      </c>
    </row>
    <row r="4318">
      <c r="A4318" t="inlineStr"/>
      <c r="B4318" t="inlineStr"/>
      <c r="C4318" t="inlineStr"/>
      <c r="D4318" t="inlineStr"/>
      <c r="E4318">
        <f>HYPERLINK("https://www.ncbi.nlm.nih.gov/gene/?term=KAE8295724.1", "KAE8295724.1")</f>
        <v/>
      </c>
      <c r="F4318" t="n">
        <v>38.4</v>
      </c>
      <c r="G4318" t="n">
        <v>125</v>
      </c>
      <c r="H4318" t="n">
        <v>4.73e-10</v>
      </c>
      <c r="I4318" t="inlineStr">
        <is>
          <t>Nr</t>
        </is>
      </c>
      <c r="J4318" t="inlineStr"/>
      <c r="K4318" t="inlineStr"/>
      <c r="L4318" t="inlineStr">
        <is>
          <t>KAE8295724.1 hypothetical protein D5F01_LYC06661 [Larimichthys crocea]</t>
        </is>
      </c>
      <c r="M4318" t="n">
        <v>229</v>
      </c>
      <c r="N4318" t="inlineStr">
        <is>
          <t>Larimichthys crocea</t>
        </is>
      </c>
      <c r="O4318" t="inlineStr">
        <is>
          <t>hypothetical protein D5F01_LYC06661</t>
        </is>
      </c>
    </row>
    <row r="4319">
      <c r="A4319" t="inlineStr"/>
      <c r="B4319" t="inlineStr"/>
      <c r="C4319" t="inlineStr"/>
      <c r="D4319" t="inlineStr"/>
      <c r="E4319">
        <f>HYPERLINK("https://www.uniprot.org/uniprotkb/A0A803J4Y9/entry", "A0A803J4Y9")</f>
        <v/>
      </c>
      <c r="F4319" t="n">
        <v>35.8</v>
      </c>
      <c r="G4319" t="n">
        <v>109</v>
      </c>
      <c r="H4319" t="n">
        <v>5.6e-10</v>
      </c>
      <c r="I4319" t="inlineStr">
        <is>
          <t>TrEMBL</t>
        </is>
      </c>
      <c r="J4319" t="inlineStr"/>
      <c r="K4319" t="inlineStr">
        <is>
          <t>A0A803J4Y9_XENTR</t>
        </is>
      </c>
      <c r="L4319" t="inlineStr">
        <is>
          <t>tr|A0A803J4Y9|A0A803J4Y9_XENTR CCHC-type domain-containing protein OS=Xenopus tropicalis OX=8364 PE=4 SV=1</t>
        </is>
      </c>
      <c r="M4319" t="n">
        <v>239</v>
      </c>
      <c r="N4319" t="inlineStr">
        <is>
          <t>Xenopus tropicalis</t>
        </is>
      </c>
      <c r="O4319" t="inlineStr">
        <is>
          <t>CCHC-type domain-containing protein</t>
        </is>
      </c>
    </row>
    <row r="4320">
      <c r="A4320" t="inlineStr"/>
      <c r="B4320" t="inlineStr"/>
      <c r="C4320" t="inlineStr"/>
      <c r="D4320" t="inlineStr"/>
      <c r="E4320">
        <f>HYPERLINK("https://www.uniprot.org/uniprotkb/A0A8C5RCB3/entry", "A0A8C5RCB3")</f>
        <v/>
      </c>
      <c r="F4320" t="n">
        <v>35</v>
      </c>
      <c r="G4320" t="n">
        <v>117</v>
      </c>
      <c r="H4320" t="n">
        <v>6.87e-10</v>
      </c>
      <c r="I4320" t="inlineStr">
        <is>
          <t>TrEMBL</t>
        </is>
      </c>
      <c r="J4320" t="inlineStr"/>
      <c r="K4320" t="inlineStr">
        <is>
          <t>A0A8C5RCB3_9ANUR</t>
        </is>
      </c>
      <c r="L4320" t="inlineStr">
        <is>
          <t>tr|A0A8C5RCB3|A0A8C5RCB3_9ANUR CCHC-type domain-containing protein OS=Leptobrachium leishanense OX=445787 PE=4 SV=1</t>
        </is>
      </c>
      <c r="M4320" t="n">
        <v>433</v>
      </c>
      <c r="N4320" t="inlineStr">
        <is>
          <t>Leptobrachium leishanense</t>
        </is>
      </c>
      <c r="O4320" t="inlineStr">
        <is>
          <t>CCHC-type domain-containing protein</t>
        </is>
      </c>
    </row>
    <row r="4321">
      <c r="A4321" t="inlineStr"/>
      <c r="B4321" t="inlineStr"/>
      <c r="C4321" t="inlineStr"/>
      <c r="D4321" t="inlineStr"/>
      <c r="E4321">
        <f>HYPERLINK("https://www.uniprot.org/uniprotkb/A0A498LCN1/entry", "A0A498LCN1")</f>
        <v/>
      </c>
      <c r="F4321" t="n">
        <v>36.9</v>
      </c>
      <c r="G4321" t="n">
        <v>111</v>
      </c>
      <c r="H4321" t="n">
        <v>7.2e-10</v>
      </c>
      <c r="I4321" t="inlineStr">
        <is>
          <t>TrEMBL</t>
        </is>
      </c>
      <c r="J4321" t="inlineStr">
        <is>
          <t>ROHU_034651</t>
        </is>
      </c>
      <c r="K4321" t="inlineStr">
        <is>
          <t>A0A498LCN1_LABRO</t>
        </is>
      </c>
      <c r="L4321" t="inlineStr">
        <is>
          <t>tr|A0A498LCN1|A0A498LCN1_LABRO Retrotransposon-derived PEG10 OS=Labeo rohita OX=84645 GN=ROHU_034651 PE=4 SV=1</t>
        </is>
      </c>
      <c r="M4321" t="n">
        <v>313</v>
      </c>
      <c r="N4321" t="inlineStr">
        <is>
          <t>Labeo rohita</t>
        </is>
      </c>
      <c r="O4321" t="inlineStr">
        <is>
          <t>Retrotransposon-derived PEG10</t>
        </is>
      </c>
    </row>
    <row r="4322">
      <c r="A4322" t="inlineStr"/>
      <c r="B4322" t="inlineStr"/>
      <c r="C4322" t="inlineStr"/>
      <c r="D4322" t="inlineStr"/>
      <c r="E4322">
        <f>HYPERLINK("https://www.uniprot.org/uniprotkb/A0A498LB50/entry", "A0A498LB50")</f>
        <v/>
      </c>
      <c r="F4322" t="n">
        <v>36.9</v>
      </c>
      <c r="G4322" t="n">
        <v>111</v>
      </c>
      <c r="H4322" t="n">
        <v>7.2e-10</v>
      </c>
      <c r="I4322" t="inlineStr">
        <is>
          <t>TrEMBL</t>
        </is>
      </c>
      <c r="J4322" t="inlineStr">
        <is>
          <t>ROHU_034633</t>
        </is>
      </c>
      <c r="K4322" t="inlineStr">
        <is>
          <t>A0A498LB50_LABRO</t>
        </is>
      </c>
      <c r="L4322" t="inlineStr">
        <is>
          <t>tr|A0A498LB50|A0A498LB50_LABRO Retrotransposon-derived PEG10 OS=Labeo rohita OX=84645 GN=ROHU_034633 PE=4 SV=1</t>
        </is>
      </c>
      <c r="M4322" t="n">
        <v>313</v>
      </c>
      <c r="N4322" t="inlineStr">
        <is>
          <t>Labeo rohita</t>
        </is>
      </c>
      <c r="O4322" t="inlineStr">
        <is>
          <t>Retrotransposon-derived PEG10</t>
        </is>
      </c>
    </row>
    <row r="4323">
      <c r="A4323" t="inlineStr"/>
      <c r="B4323" t="inlineStr"/>
      <c r="C4323" t="inlineStr"/>
      <c r="D4323" t="inlineStr"/>
      <c r="E4323">
        <f>HYPERLINK("https://www.uniprot.org/uniprotkb/A0A8C5WGQ2/entry", "A0A8C5WGQ2")</f>
        <v/>
      </c>
      <c r="F4323" t="n">
        <v>33.3</v>
      </c>
      <c r="G4323" t="n">
        <v>111</v>
      </c>
      <c r="H4323" t="n">
        <v>7.41e-10</v>
      </c>
      <c r="I4323" t="inlineStr">
        <is>
          <t>TrEMBL</t>
        </is>
      </c>
      <c r="J4323" t="inlineStr"/>
      <c r="K4323" t="inlineStr">
        <is>
          <t>A0A8C5WGQ2_9ANUR</t>
        </is>
      </c>
      <c r="L4323" t="inlineStr">
        <is>
          <t>tr|A0A8C5WGQ2|A0A8C5WGQ2_9ANUR ribonuclease H OS=Leptobrachium leishanense OX=445787 PE=3 SV=1</t>
        </is>
      </c>
      <c r="M4323" t="n">
        <v>772</v>
      </c>
      <c r="N4323" t="inlineStr">
        <is>
          <t>Leptobrachium leishanense</t>
        </is>
      </c>
      <c r="O4323" t="inlineStr">
        <is>
          <t>ribonuclease H</t>
        </is>
      </c>
    </row>
    <row r="4324">
      <c r="A4324" t="inlineStr"/>
      <c r="B4324" t="inlineStr"/>
      <c r="C4324" t="inlineStr"/>
      <c r="D4324" t="inlineStr"/>
      <c r="E4324">
        <f>HYPERLINK("https://www.ncbi.nlm.nih.gov/gene/?term=TKS65853.1", "TKS65853.1")</f>
        <v/>
      </c>
      <c r="F4324" t="n">
        <v>41.1</v>
      </c>
      <c r="G4324" t="n">
        <v>124</v>
      </c>
      <c r="H4324" t="n">
        <v>7.75e-10</v>
      </c>
      <c r="I4324" t="inlineStr">
        <is>
          <t>Nr</t>
        </is>
      </c>
      <c r="J4324" t="inlineStr"/>
      <c r="K4324" t="inlineStr"/>
      <c r="L4324" t="inlineStr">
        <is>
          <t>TKS65853.1 Retrovirus-related Pol polyprotein from transposon 17.6 [Collichthys lucidus]</t>
        </is>
      </c>
      <c r="M4324" t="n">
        <v>1344</v>
      </c>
      <c r="N4324" t="inlineStr">
        <is>
          <t>Collichthys lucidus</t>
        </is>
      </c>
      <c r="O4324" t="inlineStr">
        <is>
          <t>Retrovirus-related Pol polyprotein from transposon 17.6</t>
        </is>
      </c>
    </row>
    <row r="4325">
      <c r="A4325" t="inlineStr"/>
      <c r="B4325" t="inlineStr"/>
      <c r="C4325" t="inlineStr"/>
      <c r="D4325" t="inlineStr"/>
      <c r="E4325">
        <f>HYPERLINK("https://www.ncbi.nlm.nih.gov/gene/?term=RXN12284.1", "RXN12284.1")</f>
        <v/>
      </c>
      <c r="F4325" t="n">
        <v>36.9</v>
      </c>
      <c r="G4325" t="n">
        <v>111</v>
      </c>
      <c r="H4325" t="n">
        <v>9.48e-10</v>
      </c>
      <c r="I4325" t="inlineStr">
        <is>
          <t>Nr</t>
        </is>
      </c>
      <c r="J4325" t="inlineStr"/>
      <c r="K4325" t="inlineStr"/>
      <c r="L4325" t="inlineStr">
        <is>
          <t>RXN12284.1 Retrotransposon-derived PEG10 [Labeo rohita]</t>
        </is>
      </c>
      <c r="M4325" t="n">
        <v>263</v>
      </c>
      <c r="N4325" t="inlineStr">
        <is>
          <t>Labeo rohita</t>
        </is>
      </c>
      <c r="O4325" t="inlineStr">
        <is>
          <t>Retrotransposon-derived PEG10</t>
        </is>
      </c>
    </row>
    <row r="4326">
      <c r="A4326" t="inlineStr"/>
      <c r="B4326" t="inlineStr"/>
      <c r="C4326" t="inlineStr"/>
      <c r="D4326" t="inlineStr"/>
      <c r="E4326">
        <f>HYPERLINK("https://www.ncbi.nlm.nih.gov/gene/?term=RXN03047.1", "RXN03047.1")</f>
        <v/>
      </c>
      <c r="F4326" t="n">
        <v>36.9</v>
      </c>
      <c r="G4326" t="n">
        <v>111</v>
      </c>
      <c r="H4326" t="n">
        <v>1.85e-09</v>
      </c>
      <c r="I4326" t="inlineStr">
        <is>
          <t>Nr</t>
        </is>
      </c>
      <c r="J4326" t="inlineStr"/>
      <c r="K4326" t="inlineStr"/>
      <c r="L4326" t="inlineStr">
        <is>
          <t>RXN03047.1 Retrotransposon-derived PEG10 [Labeo rohita]</t>
        </is>
      </c>
      <c r="M4326" t="n">
        <v>313</v>
      </c>
      <c r="N4326" t="inlineStr">
        <is>
          <t>Labeo rohita</t>
        </is>
      </c>
      <c r="O4326" t="inlineStr">
        <is>
          <t>Retrotransposon-derived PEG10</t>
        </is>
      </c>
    </row>
    <row r="4327">
      <c r="A4327" t="inlineStr"/>
      <c r="B4327" t="inlineStr"/>
      <c r="C4327" t="inlineStr"/>
      <c r="D4327" t="inlineStr"/>
      <c r="E4327">
        <f>HYPERLINK("https://www.ncbi.nlm.nih.gov/gene/?term=RXN03065.1", "RXN03065.1")</f>
        <v/>
      </c>
      <c r="F4327" t="n">
        <v>36.9</v>
      </c>
      <c r="G4327" t="n">
        <v>111</v>
      </c>
      <c r="H4327" t="n">
        <v>1.85e-09</v>
      </c>
      <c r="I4327" t="inlineStr">
        <is>
          <t>Nr</t>
        </is>
      </c>
      <c r="J4327" t="inlineStr"/>
      <c r="K4327" t="inlineStr"/>
      <c r="L4327" t="inlineStr">
        <is>
          <t>RXN03065.1 Retrotransposon-derived PEG10 [Labeo rohita]</t>
        </is>
      </c>
      <c r="M4327" t="n">
        <v>313</v>
      </c>
      <c r="N4327" t="inlineStr">
        <is>
          <t>Labeo rohita</t>
        </is>
      </c>
      <c r="O4327" t="inlineStr">
        <is>
          <t>Retrotransposon-derived PEG10</t>
        </is>
      </c>
    </row>
    <row r="4328">
      <c r="A4328" t="inlineStr"/>
      <c r="B4328" t="inlineStr"/>
      <c r="C4328" t="inlineStr"/>
      <c r="D4328" t="inlineStr"/>
      <c r="E4328">
        <f>HYPERLINK("https://www.uniprot.org/uniprotkb/P11260/entry", "P11260")</f>
        <v/>
      </c>
      <c r="F4328" t="n">
        <v>28.8</v>
      </c>
      <c r="G4328" t="n">
        <v>146</v>
      </c>
      <c r="H4328" t="n">
        <v>1.9e-09</v>
      </c>
      <c r="I4328" t="inlineStr">
        <is>
          <t>Swiss-Prot</t>
        </is>
      </c>
      <c r="J4328" t="inlineStr">
        <is>
          <t>Lire1</t>
        </is>
      </c>
      <c r="K4328" t="inlineStr">
        <is>
          <t>LORF1_MOUSE</t>
        </is>
      </c>
      <c r="L4328" t="inlineStr">
        <is>
          <t>sp|P11260|LORF1_MOUSE LINE-1 retrotransposable element ORF1 protein OS=Mus musculus OX=10090 GN=Lire1 PE=1 SV=2</t>
        </is>
      </c>
      <c r="M4328" t="n">
        <v>357</v>
      </c>
      <c r="N4328" t="inlineStr">
        <is>
          <t>Mus musculus</t>
        </is>
      </c>
      <c r="O4328" t="inlineStr">
        <is>
          <t>LINE-1 retrotransposable element ORF1 protein</t>
        </is>
      </c>
    </row>
    <row r="4329">
      <c r="A4329" t="inlineStr"/>
      <c r="B4329" t="inlineStr"/>
      <c r="C4329" t="inlineStr"/>
      <c r="D4329" t="inlineStr"/>
      <c r="E4329">
        <f>HYPERLINK("https://www.ncbi.nlm.nih.gov/gene/?term=RXN03132.1", "RXN03132.1")</f>
        <v/>
      </c>
      <c r="F4329" t="n">
        <v>36.9</v>
      </c>
      <c r="G4329" t="n">
        <v>111</v>
      </c>
      <c r="H4329" t="n">
        <v>2.51e-09</v>
      </c>
      <c r="I4329" t="inlineStr">
        <is>
          <t>Nr</t>
        </is>
      </c>
      <c r="J4329" t="inlineStr"/>
      <c r="K4329" t="inlineStr"/>
      <c r="L4329" t="inlineStr">
        <is>
          <t>RXN03132.1 Retrotransposon-derived PEG10 [Labeo rohita]</t>
        </is>
      </c>
      <c r="M4329" t="n">
        <v>554</v>
      </c>
      <c r="N4329" t="inlineStr">
        <is>
          <t>Labeo rohita</t>
        </is>
      </c>
      <c r="O4329" t="inlineStr">
        <is>
          <t>Retrotransposon-derived PEG10</t>
        </is>
      </c>
    </row>
    <row r="4330">
      <c r="A4330" t="inlineStr"/>
      <c r="B4330" t="inlineStr"/>
      <c r="C4330" t="inlineStr"/>
      <c r="D4330" t="inlineStr"/>
      <c r="E4330">
        <f>HYPERLINK("https://www.ncbi.nlm.nih.gov/gene/?term=XP_017945114.2", "XP_017945114.2")</f>
        <v/>
      </c>
      <c r="F4330" t="n">
        <v>42</v>
      </c>
      <c r="G4330" t="n">
        <v>112</v>
      </c>
      <c r="H4330" t="n">
        <v>2.7e-09</v>
      </c>
      <c r="I4330" t="inlineStr">
        <is>
          <t>Nr</t>
        </is>
      </c>
      <c r="J4330" t="inlineStr"/>
      <c r="K4330" t="inlineStr"/>
      <c r="L4330" t="inlineStr">
        <is>
          <t>XP_017945114.2 uncharacterized protein LOC108644811 [Xenopus tropicalis]</t>
        </is>
      </c>
      <c r="M4330" t="n">
        <v>1528</v>
      </c>
      <c r="N4330" t="inlineStr">
        <is>
          <t>Xenopus tropicalis</t>
        </is>
      </c>
      <c r="O4330" t="inlineStr">
        <is>
          <t>uncharacterized protein LOC108644811</t>
        </is>
      </c>
    </row>
    <row r="4331">
      <c r="A4331" t="inlineStr"/>
      <c r="B4331" t="inlineStr"/>
      <c r="C4331" t="inlineStr"/>
      <c r="D4331" t="inlineStr"/>
      <c r="E4331">
        <f>HYPERLINK("https://www.ncbi.nlm.nih.gov/gene/?term=KAJ0055221.1", "KAJ0055221.1")</f>
        <v/>
      </c>
      <c r="F4331" t="n">
        <v>34.4</v>
      </c>
      <c r="G4331" t="n">
        <v>122</v>
      </c>
      <c r="H4331" t="n">
        <v>2.99e-09</v>
      </c>
      <c r="I4331" t="inlineStr">
        <is>
          <t>Nr</t>
        </is>
      </c>
      <c r="J4331" t="inlineStr"/>
      <c r="K4331" t="inlineStr"/>
      <c r="L4331" t="inlineStr">
        <is>
          <t>KAJ0055221.1 hypothetical protein NL108_012724 [Boleophthalmus pectinirostris]</t>
        </is>
      </c>
      <c r="M4331" t="n">
        <v>359</v>
      </c>
      <c r="N4331" t="inlineStr">
        <is>
          <t>Boleophthalmus pectinirostris</t>
        </is>
      </c>
      <c r="O4331" t="inlineStr">
        <is>
          <t>hypothetical protein NL108_012724</t>
        </is>
      </c>
    </row>
    <row r="4332">
      <c r="A4332" t="inlineStr"/>
      <c r="B4332" t="inlineStr"/>
      <c r="C4332" t="inlineStr"/>
      <c r="D4332" t="inlineStr"/>
      <c r="E4332">
        <f>HYPERLINK("https://www.uniprot.org/uniprotkb/Q9BWD3/entry", "Q9BWD3")</f>
        <v/>
      </c>
      <c r="F4332" t="n">
        <v>37.1</v>
      </c>
      <c r="G4332" t="n">
        <v>89</v>
      </c>
      <c r="H4332" t="n">
        <v>4.22e-09</v>
      </c>
      <c r="I4332" t="inlineStr">
        <is>
          <t>Swiss-Prot</t>
        </is>
      </c>
      <c r="J4332" t="inlineStr">
        <is>
          <t>RTL8A</t>
        </is>
      </c>
      <c r="K4332" t="inlineStr">
        <is>
          <t>RTL8A_HUMAN</t>
        </is>
      </c>
      <c r="L4332" t="inlineStr">
        <is>
          <t>sp|Q9BWD3|RTL8A_HUMAN Retrotransposon Gag-like protein 8A OS=Homo sapiens OX=9606 GN=RTL8A PE=1 SV=3</t>
        </is>
      </c>
      <c r="M4332" t="n">
        <v>113</v>
      </c>
      <c r="N4332" t="inlineStr">
        <is>
          <t>Homo sapiens</t>
        </is>
      </c>
      <c r="O4332" t="inlineStr">
        <is>
          <t>Retrotransposon Gag-like protein 8A</t>
        </is>
      </c>
    </row>
    <row r="4333">
      <c r="A4333" t="inlineStr"/>
      <c r="B4333" t="inlineStr"/>
      <c r="C4333" t="inlineStr"/>
      <c r="D4333" t="inlineStr"/>
      <c r="E4333">
        <f>HYPERLINK("https://www.uniprot.org/uniprotkb/A6ZKI3/entry", "A6ZKI3")</f>
        <v/>
      </c>
      <c r="F4333" t="n">
        <v>38.8</v>
      </c>
      <c r="G4333" t="n">
        <v>80</v>
      </c>
      <c r="H4333" t="n">
        <v>4.22e-09</v>
      </c>
      <c r="I4333" t="inlineStr">
        <is>
          <t>Swiss-Prot</t>
        </is>
      </c>
      <c r="J4333" t="inlineStr">
        <is>
          <t>RTL8C</t>
        </is>
      </c>
      <c r="K4333" t="inlineStr">
        <is>
          <t>RTL8C_HUMAN</t>
        </is>
      </c>
      <c r="L4333" t="inlineStr">
        <is>
          <t>sp|A6ZKI3|RTL8C_HUMAN Retrotransposon Gag-like protein 8C OS=Homo sapiens OX=9606 GN=RTL8C PE=1 SV=1</t>
        </is>
      </c>
      <c r="M4333" t="n">
        <v>113</v>
      </c>
      <c r="N4333" t="inlineStr">
        <is>
          <t>Homo sapiens</t>
        </is>
      </c>
      <c r="O4333" t="inlineStr">
        <is>
          <t>Retrotransposon Gag-like protein 8C</t>
        </is>
      </c>
    </row>
    <row r="4334">
      <c r="A4334" t="inlineStr"/>
      <c r="B4334" t="inlineStr"/>
      <c r="C4334" t="inlineStr"/>
      <c r="D4334" t="inlineStr"/>
      <c r="E4334">
        <f>HYPERLINK("https://www.uniprot.org/uniprotkb/Q587J6/entry", "Q587J6")</f>
        <v/>
      </c>
      <c r="F4334" t="n">
        <v>28.2</v>
      </c>
      <c r="G4334" t="n">
        <v>181</v>
      </c>
      <c r="H4334" t="n">
        <v>5.93e-09</v>
      </c>
      <c r="I4334" t="inlineStr">
        <is>
          <t>Swiss-Prot</t>
        </is>
      </c>
      <c r="J4334" t="inlineStr">
        <is>
          <t>L1td1</t>
        </is>
      </c>
      <c r="K4334" t="inlineStr">
        <is>
          <t>LITD1_MOUSE</t>
        </is>
      </c>
      <c r="L4334" t="inlineStr">
        <is>
          <t>sp|Q587J6|LITD1_MOUSE LINE-1 type transposase domain-containing protein 1 OS=Mus musculus OX=10090 GN=L1td1 PE=2 SV=1</t>
        </is>
      </c>
      <c r="M4334" t="n">
        <v>782</v>
      </c>
      <c r="N4334" t="inlineStr">
        <is>
          <t>Mus musculus</t>
        </is>
      </c>
      <c r="O4334" t="inlineStr">
        <is>
          <t>LINE-1 type transposase domain-containing protein 1</t>
        </is>
      </c>
    </row>
    <row r="4335">
      <c r="A4335" t="inlineStr"/>
      <c r="B4335" t="inlineStr"/>
      <c r="C4335" t="inlineStr"/>
      <c r="D4335" t="inlineStr"/>
      <c r="E4335">
        <f>HYPERLINK("https://www.ncbi.nlm.nih.gov/gene/?term=XP_041430600.1", "XP_041430600.1")</f>
        <v/>
      </c>
      <c r="F4335" t="n">
        <v>35.8</v>
      </c>
      <c r="G4335" t="n">
        <v>120</v>
      </c>
      <c r="H4335" t="n">
        <v>1.24e-08</v>
      </c>
      <c r="I4335" t="inlineStr">
        <is>
          <t>Nr</t>
        </is>
      </c>
      <c r="J4335" t="inlineStr"/>
      <c r="K4335" t="inlineStr"/>
      <c r="L4335" t="inlineStr">
        <is>
          <t>XP_041430600.1 uncharacterized protein LOC121397614 [Xenopus laevis]</t>
        </is>
      </c>
      <c r="M4335" t="n">
        <v>892</v>
      </c>
      <c r="N4335" t="inlineStr">
        <is>
          <t>Xenopus laevis</t>
        </is>
      </c>
      <c r="O4335" t="inlineStr">
        <is>
          <t>uncharacterized protein LOC121397614</t>
        </is>
      </c>
    </row>
    <row r="4336">
      <c r="A4336" t="inlineStr"/>
      <c r="B4336" t="inlineStr"/>
      <c r="C4336" t="inlineStr"/>
      <c r="D4336" t="inlineStr"/>
      <c r="E4336">
        <f>HYPERLINK("https://www.uniprot.org/uniprotkb/Q17RB0/entry", "Q17RB0")</f>
        <v/>
      </c>
      <c r="F4336" t="n">
        <v>36</v>
      </c>
      <c r="G4336" t="n">
        <v>89</v>
      </c>
      <c r="H4336" t="n">
        <v>1.58e-08</v>
      </c>
      <c r="I4336" t="inlineStr">
        <is>
          <t>Swiss-Prot</t>
        </is>
      </c>
      <c r="J4336" t="inlineStr">
        <is>
          <t>RTL8B</t>
        </is>
      </c>
      <c r="K4336" t="inlineStr">
        <is>
          <t>RTL8B_HUMAN</t>
        </is>
      </c>
      <c r="L4336" t="inlineStr">
        <is>
          <t>sp|Q17RB0|RTL8B_HUMAN Retrotransposon Gag-like protein 8B OS=Homo sapiens OX=9606 GN=RTL8B PE=1 SV=1</t>
        </is>
      </c>
      <c r="M4336" t="n">
        <v>113</v>
      </c>
      <c r="N4336" t="inlineStr">
        <is>
          <t>Homo sapiens</t>
        </is>
      </c>
      <c r="O4336" t="inlineStr">
        <is>
          <t>Retrotransposon Gag-like protein 8B</t>
        </is>
      </c>
    </row>
    <row r="4337">
      <c r="A4337" t="inlineStr"/>
      <c r="B4337" t="inlineStr"/>
      <c r="C4337" t="inlineStr"/>
      <c r="D4337" t="inlineStr"/>
      <c r="E4337">
        <f>HYPERLINK("https://www.ncbi.nlm.nih.gov/gene/?term=CBN80957.1", "CBN80957.1")</f>
        <v/>
      </c>
      <c r="F4337" t="n">
        <v>37.9</v>
      </c>
      <c r="G4337" t="n">
        <v>116</v>
      </c>
      <c r="H4337" t="n">
        <v>7.849999999999999e-08</v>
      </c>
      <c r="I4337" t="inlineStr">
        <is>
          <t>Nr</t>
        </is>
      </c>
      <c r="J4337" t="inlineStr"/>
      <c r="K4337" t="inlineStr"/>
      <c r="L4337" t="inlineStr">
        <is>
          <t>CBN80957.1 Gag-protease [Dicentrarchus labrax]</t>
        </is>
      </c>
      <c r="M4337" t="n">
        <v>693</v>
      </c>
      <c r="N4337" t="inlineStr">
        <is>
          <t>Dicentrarchus labrax</t>
        </is>
      </c>
      <c r="O4337" t="inlineStr">
        <is>
          <t>Gag-protease</t>
        </is>
      </c>
    </row>
    <row r="4338">
      <c r="A4338" t="inlineStr"/>
      <c r="B4338" t="inlineStr"/>
      <c r="C4338" t="inlineStr"/>
      <c r="D4338" t="inlineStr"/>
      <c r="E4338">
        <f>HYPERLINK("https://www.uniprot.org/uniprotkb/Q1JQ94/entry", "Q1JQ94")</f>
        <v/>
      </c>
      <c r="F4338" t="n">
        <v>35</v>
      </c>
      <c r="G4338" t="n">
        <v>80</v>
      </c>
      <c r="H4338" t="n">
        <v>1.14e-07</v>
      </c>
      <c r="I4338" t="inlineStr">
        <is>
          <t>Swiss-Prot</t>
        </is>
      </c>
      <c r="J4338" t="inlineStr">
        <is>
          <t>RTL8A</t>
        </is>
      </c>
      <c r="K4338" t="inlineStr">
        <is>
          <t>RTL8_BOVIN</t>
        </is>
      </c>
      <c r="L4338" t="inlineStr">
        <is>
          <t>sp|Q1JQ94|RTL8_BOVIN Retrotransposon Gag-like protein 8 OS=Bos taurus OX=9913 GN=RTL8A PE=3 SV=1</t>
        </is>
      </c>
      <c r="M4338" t="n">
        <v>113</v>
      </c>
      <c r="N4338" t="inlineStr">
        <is>
          <t>Bos taurus</t>
        </is>
      </c>
      <c r="O4338" t="inlineStr">
        <is>
          <t>Retrotransposon Gag-like protein 8</t>
        </is>
      </c>
    </row>
    <row r="4339">
      <c r="A4339" t="inlineStr"/>
      <c r="B4339" t="inlineStr"/>
      <c r="C4339" t="inlineStr"/>
      <c r="D4339" t="inlineStr"/>
      <c r="E4339">
        <f>HYPERLINK("https://www.uniprot.org/uniprotkb/Q95SX7/entry", "Q95SX7")</f>
        <v/>
      </c>
      <c r="F4339" t="n">
        <v>25.2</v>
      </c>
      <c r="G4339" t="n">
        <v>250</v>
      </c>
      <c r="H4339" t="n">
        <v>1.52e-07</v>
      </c>
      <c r="I4339" t="inlineStr">
        <is>
          <t>Swiss-Prot</t>
        </is>
      </c>
      <c r="J4339" t="inlineStr">
        <is>
          <t>RTase</t>
        </is>
      </c>
      <c r="K4339" t="inlineStr">
        <is>
          <t>RTBS_DROME</t>
        </is>
      </c>
      <c r="L4339" t="inlineStr">
        <is>
          <t>sp|Q95SX7|RTBS_DROME Probable RNA-directed DNA polymerase from transposon BS OS=Drosophila melanogaster OX=7227 GN=RTase PE=2 SV=1</t>
        </is>
      </c>
      <c r="M4339" t="n">
        <v>906</v>
      </c>
      <c r="N4339" t="inlineStr">
        <is>
          <t>Drosophila melanogaster</t>
        </is>
      </c>
      <c r="O4339" t="inlineStr">
        <is>
          <t>Probable RNA-directed DNA polymerase from transposon BS</t>
        </is>
      </c>
    </row>
    <row r="4340">
      <c r="A4340" t="inlineStr"/>
      <c r="B4340" t="inlineStr"/>
      <c r="C4340" t="inlineStr"/>
      <c r="D4340" t="inlineStr"/>
      <c r="E4340">
        <f>HYPERLINK("https://www.ncbi.nlm.nih.gov/gene/?term=RXN39190.1", "RXN39190.1")</f>
        <v/>
      </c>
      <c r="F4340" t="n">
        <v>32.7</v>
      </c>
      <c r="G4340" t="n">
        <v>113</v>
      </c>
      <c r="H4340" t="n">
        <v>2.22e-07</v>
      </c>
      <c r="I4340" t="inlineStr">
        <is>
          <t>Nr</t>
        </is>
      </c>
      <c r="J4340" t="inlineStr"/>
      <c r="K4340" t="inlineStr"/>
      <c r="L4340" t="inlineStr">
        <is>
          <t>RXN39190.1 Retrotransposon-derived PEG10 [Labeo rohita]</t>
        </is>
      </c>
      <c r="M4340" t="n">
        <v>318</v>
      </c>
      <c r="N4340" t="inlineStr">
        <is>
          <t>Labeo rohita</t>
        </is>
      </c>
      <c r="O4340" t="inlineStr">
        <is>
          <t>Retrotransposon-derived PEG10</t>
        </is>
      </c>
    </row>
    <row r="4341">
      <c r="A4341" t="inlineStr"/>
      <c r="B4341" t="inlineStr"/>
      <c r="C4341" t="inlineStr"/>
      <c r="D4341" t="inlineStr"/>
      <c r="E4341">
        <f>HYPERLINK("https://www.ncbi.nlm.nih.gov/gene/?term=RXN04479.1", "RXN04479.1")</f>
        <v/>
      </c>
      <c r="F4341" t="n">
        <v>32.7</v>
      </c>
      <c r="G4341" t="n">
        <v>113</v>
      </c>
      <c r="H4341" t="n">
        <v>2.24e-07</v>
      </c>
      <c r="I4341" t="inlineStr">
        <is>
          <t>Nr</t>
        </is>
      </c>
      <c r="J4341" t="inlineStr"/>
      <c r="K4341" t="inlineStr"/>
      <c r="L4341" t="inlineStr">
        <is>
          <t>RXN04479.1 Retrotransposon-derived PEG10 [Labeo rohita]</t>
        </is>
      </c>
      <c r="M4341" t="n">
        <v>320</v>
      </c>
      <c r="N4341" t="inlineStr">
        <is>
          <t>Labeo rohita</t>
        </is>
      </c>
      <c r="O4341" t="inlineStr">
        <is>
          <t>Retrotransposon-derived PEG10</t>
        </is>
      </c>
    </row>
    <row r="4342">
      <c r="A4342" t="inlineStr"/>
      <c r="B4342" t="inlineStr"/>
      <c r="C4342" t="inlineStr"/>
      <c r="D4342" t="inlineStr"/>
      <c r="E4342">
        <f>HYPERLINK("https://www.ncbi.nlm.nih.gov/gene/?term=XP_040210218.1", "XP_040210218.1")</f>
        <v/>
      </c>
      <c r="F4342" t="n">
        <v>40.2</v>
      </c>
      <c r="G4342" t="n">
        <v>112</v>
      </c>
      <c r="H4342" t="n">
        <v>2.86e-07</v>
      </c>
      <c r="I4342" t="inlineStr">
        <is>
          <t>Nr</t>
        </is>
      </c>
      <c r="J4342" t="inlineStr"/>
      <c r="K4342" t="inlineStr"/>
      <c r="L4342" t="inlineStr">
        <is>
          <t>XP_040210218.1 retrotransposon-derived protein PEG10 [Rana temporaria]</t>
        </is>
      </c>
      <c r="M4342" t="n">
        <v>1481</v>
      </c>
      <c r="N4342" t="inlineStr">
        <is>
          <t>Rana temporaria</t>
        </is>
      </c>
      <c r="O4342" t="inlineStr">
        <is>
          <t>retrotransposon-derived protein PEG10</t>
        </is>
      </c>
    </row>
    <row r="4343">
      <c r="A4343" t="inlineStr"/>
      <c r="B4343" t="inlineStr"/>
      <c r="C4343" t="inlineStr"/>
      <c r="D4343" t="inlineStr"/>
      <c r="E4343">
        <f>HYPERLINK("https://www.uniprot.org/uniprotkb/P0CV25/entry", "P0CV25")</f>
        <v/>
      </c>
      <c r="F4343" t="n">
        <v>35.7</v>
      </c>
      <c r="G4343" t="n">
        <v>84</v>
      </c>
      <c r="H4343" t="n">
        <v>2.94e-07</v>
      </c>
      <c r="I4343" t="inlineStr">
        <is>
          <t>Swiss-Prot</t>
        </is>
      </c>
      <c r="J4343" t="inlineStr">
        <is>
          <t>RXLR78</t>
        </is>
      </c>
      <c r="K4343" t="inlineStr">
        <is>
          <t>RLR78_PLAVT</t>
        </is>
      </c>
      <c r="L4343" t="inlineStr">
        <is>
          <t>sp|P0CV25|RLR78_PLAVT Secreted RxLR effector protein 78 OS=Plasmopara viticola OX=143451 GN=RXLR78 PE=3 SV=1</t>
        </is>
      </c>
      <c r="M4343" t="n">
        <v>113</v>
      </c>
      <c r="N4343" t="inlineStr">
        <is>
          <t>Plasmopara viticola</t>
        </is>
      </c>
      <c r="O4343" t="inlineStr">
        <is>
          <t>Secreted RxLR effector protein 78</t>
        </is>
      </c>
    </row>
    <row r="4344">
      <c r="A4344" t="inlineStr"/>
      <c r="B4344" t="inlineStr"/>
      <c r="C4344" t="inlineStr"/>
      <c r="D4344" t="inlineStr"/>
      <c r="E4344">
        <f>HYPERLINK("https://www.ncbi.nlm.nih.gov/gene/?term=CAI5690006.1", "CAI5690006.1")</f>
        <v/>
      </c>
      <c r="F4344" t="n">
        <v>34.5</v>
      </c>
      <c r="G4344" t="n">
        <v>110</v>
      </c>
      <c r="H4344" t="n">
        <v>2.95e-07</v>
      </c>
      <c r="I4344" t="inlineStr">
        <is>
          <t>Nr</t>
        </is>
      </c>
      <c r="J4344" t="inlineStr"/>
      <c r="K4344" t="inlineStr"/>
      <c r="L4344" t="inlineStr">
        <is>
          <t>CAI5690006.1 unnamed protein product [Mustela putorius furo]</t>
        </is>
      </c>
      <c r="M4344" t="n">
        <v>213</v>
      </c>
      <c r="N4344" t="inlineStr">
        <is>
          <t>Mustela putorius furo</t>
        </is>
      </c>
      <c r="O4344" t="inlineStr">
        <is>
          <t>unnamed protein product</t>
        </is>
      </c>
    </row>
    <row r="4345">
      <c r="A4345" t="inlineStr"/>
      <c r="B4345" t="inlineStr"/>
      <c r="C4345" t="inlineStr"/>
      <c r="D4345" t="inlineStr"/>
      <c r="E4345">
        <f>HYPERLINK("https://www.ncbi.nlm.nih.gov/gene/?term=PWA19796.1", "PWA19796.1")</f>
        <v/>
      </c>
      <c r="F4345" t="n">
        <v>33.6</v>
      </c>
      <c r="G4345" t="n">
        <v>113</v>
      </c>
      <c r="H4345" t="n">
        <v>3.33e-07</v>
      </c>
      <c r="I4345" t="inlineStr">
        <is>
          <t>Nr</t>
        </is>
      </c>
      <c r="J4345" t="inlineStr"/>
      <c r="K4345" t="inlineStr"/>
      <c r="L4345" t="inlineStr">
        <is>
          <t>PWA19796.1 hypothetical protein CCH79_00020966, partial [Gambusia affinis]</t>
        </is>
      </c>
      <c r="M4345" t="n">
        <v>364</v>
      </c>
      <c r="N4345" t="inlineStr">
        <is>
          <t>Gambusia affinis</t>
        </is>
      </c>
      <c r="O4345" t="inlineStr">
        <is>
          <t>hypothetical protein CCH79_00020966, partial</t>
        </is>
      </c>
    </row>
    <row r="4346">
      <c r="A4346" t="inlineStr"/>
      <c r="B4346" t="inlineStr"/>
      <c r="C4346" t="inlineStr"/>
      <c r="D4346" t="inlineStr"/>
      <c r="E4346">
        <f>HYPERLINK("https://www.uniprot.org/uniprotkb/Q9NBX4/entry", "Q9NBX4")</f>
        <v/>
      </c>
      <c r="F4346" t="n">
        <v>25.1</v>
      </c>
      <c r="G4346" t="n">
        <v>227</v>
      </c>
      <c r="H4346" t="n">
        <v>3.46e-07</v>
      </c>
      <c r="I4346" t="inlineStr">
        <is>
          <t>Swiss-Prot</t>
        </is>
      </c>
      <c r="J4346" t="inlineStr">
        <is>
          <t>X-element\ORF2</t>
        </is>
      </c>
      <c r="K4346" t="inlineStr">
        <is>
          <t>RTXE_DROME</t>
        </is>
      </c>
      <c r="L4346" t="inlineStr">
        <is>
          <t>sp|Q9NBX4|RTXE_DROME Probable RNA-directed DNA polymerase from transposon X-element OS=Drosophila melanogaster OX=7227 GN=X-element\ORF2 PE=3 SV=1</t>
        </is>
      </c>
      <c r="M4346" t="n">
        <v>908</v>
      </c>
      <c r="N4346" t="inlineStr">
        <is>
          <t>Drosophila melanogaster</t>
        </is>
      </c>
      <c r="O4346" t="inlineStr">
        <is>
          <t>Probable RNA-directed DNA polymerase from transposon X-element</t>
        </is>
      </c>
    </row>
    <row r="4347">
      <c r="A4347" t="inlineStr"/>
      <c r="B4347" t="inlineStr"/>
      <c r="C4347" t="inlineStr"/>
      <c r="D4347" t="inlineStr"/>
      <c r="E4347">
        <f>HYPERLINK("https://www.uniprot.org/uniprotkb/P16425/entry", "P16425")</f>
        <v/>
      </c>
      <c r="F4347" t="n">
        <v>25.3</v>
      </c>
      <c r="G4347" t="n">
        <v>225</v>
      </c>
      <c r="H4347" t="n">
        <v>3.58e-07</v>
      </c>
      <c r="I4347" t="inlineStr">
        <is>
          <t>Swiss-Prot</t>
        </is>
      </c>
      <c r="J4347" t="inlineStr">
        <is>
          <t>R1A1-element\ORF2</t>
        </is>
      </c>
      <c r="K4347" t="inlineStr">
        <is>
          <t>Y2R2_DROME</t>
        </is>
      </c>
      <c r="L4347" t="inlineStr">
        <is>
          <t>sp|P16425|Y2R2_DROME Putative 115 kDa protein in type-1 retrotransposable element R1DM OS=Drosophila melanogaster OX=7227 GN=R1A1-element\ORF2 PE=4 SV=1</t>
        </is>
      </c>
      <c r="M4347" t="n">
        <v>1021</v>
      </c>
      <c r="N4347" t="inlineStr">
        <is>
          <t>Drosophila melanogaster</t>
        </is>
      </c>
      <c r="O4347" t="inlineStr">
        <is>
          <t>Putative 115 kDa protein in type-1 retrotransposable element R1DM</t>
        </is>
      </c>
    </row>
    <row r="4348">
      <c r="A4348" t="inlineStr"/>
      <c r="B4348" t="inlineStr"/>
      <c r="C4348" t="inlineStr"/>
      <c r="D4348" t="inlineStr"/>
      <c r="E4348">
        <f>HYPERLINK("https://www.uniprot.org/uniprotkb/Q03274/entry", "Q03274")</f>
        <v/>
      </c>
      <c r="F4348" t="n">
        <v>25</v>
      </c>
      <c r="G4348" t="n">
        <v>284</v>
      </c>
      <c r="H4348" t="n">
        <v>4.14e-07</v>
      </c>
      <c r="I4348" t="inlineStr">
        <is>
          <t>Swiss-Prot</t>
        </is>
      </c>
      <c r="J4348" t="inlineStr"/>
      <c r="K4348" t="inlineStr">
        <is>
          <t>PO22_POPJA</t>
        </is>
      </c>
      <c r="L4348" t="inlineStr">
        <is>
          <t>sp|Q03274|PO22_POPJA Retrovirus-related Pol polyprotein from type-1 retrotransposable element R2 (Fragment) OS=Popillia japonica OX=7064 PE=4 SV=1</t>
        </is>
      </c>
      <c r="M4348" t="n">
        <v>711</v>
      </c>
      <c r="N4348" t="inlineStr">
        <is>
          <t>Popillia japonica</t>
        </is>
      </c>
      <c r="O4348" t="inlineStr">
        <is>
          <t>Retrovirus-related Pol polyprotein from type-1 retrotransposable element R2 (Fragment)</t>
        </is>
      </c>
    </row>
    <row r="4349">
      <c r="A4349" t="inlineStr"/>
      <c r="B4349" t="inlineStr"/>
      <c r="C4349" t="inlineStr"/>
      <c r="D4349" t="inlineStr"/>
      <c r="E4349">
        <f>HYPERLINK("https://www.ncbi.nlm.nih.gov/gene/?term=KAI4900898.1", "KAI4900898.1")</f>
        <v/>
      </c>
      <c r="F4349" t="n">
        <v>34.8</v>
      </c>
      <c r="G4349" t="n">
        <v>112</v>
      </c>
      <c r="H4349" t="n">
        <v>5.92e-07</v>
      </c>
      <c r="I4349" t="inlineStr">
        <is>
          <t>Nr</t>
        </is>
      </c>
      <c r="J4349" t="inlineStr"/>
      <c r="K4349" t="inlineStr"/>
      <c r="L4349" t="inlineStr">
        <is>
          <t>KAI4900898.1 hypothetical protein NFI96_007223 [Prochilodus magdalenae]</t>
        </is>
      </c>
      <c r="M4349" t="n">
        <v>332</v>
      </c>
      <c r="N4349" t="inlineStr">
        <is>
          <t>Prochilodus magdalenae</t>
        </is>
      </c>
      <c r="O4349" t="inlineStr">
        <is>
          <t>hypothetical protein NFI96_007223</t>
        </is>
      </c>
    </row>
    <row r="4350">
      <c r="A4350" t="inlineStr"/>
      <c r="B4350" t="inlineStr"/>
      <c r="C4350" t="inlineStr"/>
      <c r="D4350" t="inlineStr"/>
      <c r="E4350">
        <f>HYPERLINK("https://www.ncbi.nlm.nih.gov/gene/?term=KAI4887344.1", "KAI4887344.1")</f>
        <v/>
      </c>
      <c r="F4350" t="n">
        <v>34.8</v>
      </c>
      <c r="G4350" t="n">
        <v>112</v>
      </c>
      <c r="H4350" t="n">
        <v>5.92e-07</v>
      </c>
      <c r="I4350" t="inlineStr">
        <is>
          <t>Nr</t>
        </is>
      </c>
      <c r="J4350" t="inlineStr"/>
      <c r="K4350" t="inlineStr"/>
      <c r="L4350" t="inlineStr">
        <is>
          <t>KAI4887344.1 hypothetical protein NFI96_002623 [Prochilodus magdalenae]</t>
        </is>
      </c>
      <c r="M4350" t="n">
        <v>332</v>
      </c>
      <c r="N4350" t="inlineStr">
        <is>
          <t>Prochilodus magdalenae</t>
        </is>
      </c>
      <c r="O4350" t="inlineStr">
        <is>
          <t>hypothetical protein NFI96_002623</t>
        </is>
      </c>
    </row>
    <row r="4351">
      <c r="A4351" t="inlineStr"/>
      <c r="B4351" t="inlineStr"/>
      <c r="C4351" t="inlineStr"/>
      <c r="D4351" t="inlineStr"/>
      <c r="E4351">
        <f>HYPERLINK("https://www.ncbi.nlm.nih.gov/gene/?term=KAI4880748.1", "KAI4880748.1")</f>
        <v/>
      </c>
      <c r="F4351" t="n">
        <v>34.8</v>
      </c>
      <c r="G4351" t="n">
        <v>112</v>
      </c>
      <c r="H4351" t="n">
        <v>5.92e-07</v>
      </c>
      <c r="I4351" t="inlineStr">
        <is>
          <t>Nr</t>
        </is>
      </c>
      <c r="J4351" t="inlineStr"/>
      <c r="K4351" t="inlineStr"/>
      <c r="L4351" t="inlineStr">
        <is>
          <t>KAI4880748.1 hypothetical protein NFI96_003002 [Prochilodus magdalenae]</t>
        </is>
      </c>
      <c r="M4351" t="n">
        <v>332</v>
      </c>
      <c r="N4351" t="inlineStr">
        <is>
          <t>Prochilodus magdalenae</t>
        </is>
      </c>
      <c r="O4351" t="inlineStr">
        <is>
          <t>hypothetical protein NFI96_003002</t>
        </is>
      </c>
    </row>
    <row r="4352">
      <c r="A4352" t="inlineStr"/>
      <c r="B4352" t="inlineStr"/>
      <c r="C4352" t="inlineStr"/>
      <c r="D4352" t="inlineStr"/>
      <c r="E4352">
        <f>HYPERLINK("https://www.ncbi.nlm.nih.gov/gene/?term=KAI2657893.1", "KAI2657893.1")</f>
        <v/>
      </c>
      <c r="F4352" t="n">
        <v>36.7</v>
      </c>
      <c r="G4352" t="n">
        <v>109</v>
      </c>
      <c r="H4352" t="n">
        <v>7.22e-07</v>
      </c>
      <c r="I4352" t="inlineStr">
        <is>
          <t>Nr</t>
        </is>
      </c>
      <c r="J4352" t="inlineStr"/>
      <c r="K4352" t="inlineStr"/>
      <c r="L4352" t="inlineStr">
        <is>
          <t>KAI2657893.1 Transposon Tf2-6 polyprotein [Labeo rohita]</t>
        </is>
      </c>
      <c r="M4352" t="n">
        <v>1336</v>
      </c>
      <c r="N4352" t="inlineStr">
        <is>
          <t>Labeo rohita</t>
        </is>
      </c>
      <c r="O4352" t="inlineStr">
        <is>
          <t>Transposon Tf2-6 polyprotein</t>
        </is>
      </c>
    </row>
    <row r="4353">
      <c r="A4353" t="inlineStr"/>
      <c r="B4353" t="inlineStr"/>
      <c r="C4353" t="inlineStr"/>
      <c r="D4353" t="inlineStr"/>
      <c r="E4353">
        <f>HYPERLINK("https://www.ncbi.nlm.nih.gov/gene/?term=KAG1930238.1", "KAG1930238.1")</f>
        <v/>
      </c>
      <c r="F4353" t="n">
        <v>32.7</v>
      </c>
      <c r="G4353" t="n">
        <v>107</v>
      </c>
      <c r="H4353" t="n">
        <v>7.24e-07</v>
      </c>
      <c r="I4353" t="inlineStr">
        <is>
          <t>Nr</t>
        </is>
      </c>
      <c r="J4353" t="inlineStr"/>
      <c r="K4353" t="inlineStr"/>
      <c r="L4353" t="inlineStr">
        <is>
          <t>KAG1930238.1 retrotransposable element [Pimephales promelas]</t>
        </is>
      </c>
      <c r="M4353" t="n">
        <v>1408</v>
      </c>
      <c r="N4353" t="inlineStr">
        <is>
          <t>Pimephales promelas</t>
        </is>
      </c>
      <c r="O4353" t="inlineStr">
        <is>
          <t>retrotransposable element</t>
        </is>
      </c>
    </row>
    <row r="4354">
      <c r="A4354" t="inlineStr"/>
      <c r="B4354" t="inlineStr"/>
      <c r="C4354" t="inlineStr"/>
      <c r="D4354" t="inlineStr"/>
      <c r="E4354">
        <f>HYPERLINK("https://www.ncbi.nlm.nih.gov/gene/?term=KAI2656613.1", "KAI2656613.1")</f>
        <v/>
      </c>
      <c r="F4354" t="n">
        <v>35.5</v>
      </c>
      <c r="G4354" t="n">
        <v>107</v>
      </c>
      <c r="H4354" t="n">
        <v>1.34e-06</v>
      </c>
      <c r="I4354" t="inlineStr">
        <is>
          <t>Nr</t>
        </is>
      </c>
      <c r="J4354" t="inlineStr"/>
      <c r="K4354" t="inlineStr"/>
      <c r="L4354" t="inlineStr">
        <is>
          <t>KAI2656613.1 Transposon Tf2-9 polyprotein [Labeo rohita]</t>
        </is>
      </c>
      <c r="M4354" t="n">
        <v>1230</v>
      </c>
      <c r="N4354" t="inlineStr">
        <is>
          <t>Labeo rohita</t>
        </is>
      </c>
      <c r="O4354" t="inlineStr">
        <is>
          <t>Transposon Tf2-9 polyprotein</t>
        </is>
      </c>
    </row>
    <row r="4355">
      <c r="A4355" t="inlineStr"/>
      <c r="B4355" t="inlineStr"/>
      <c r="C4355" t="inlineStr"/>
      <c r="D4355" t="inlineStr"/>
      <c r="E4355">
        <f>HYPERLINK("https://www.ncbi.nlm.nih.gov/gene/?term=XP_028313905.1", "XP_028313905.1")</f>
        <v/>
      </c>
      <c r="F4355" t="n">
        <v>31.4</v>
      </c>
      <c r="G4355" t="n">
        <v>121</v>
      </c>
      <c r="H4355" t="n">
        <v>2.49e-06</v>
      </c>
      <c r="I4355" t="inlineStr">
        <is>
          <t>Nr</t>
        </is>
      </c>
      <c r="J4355" t="inlineStr"/>
      <c r="K4355" t="inlineStr"/>
      <c r="L4355" t="inlineStr">
        <is>
          <t>XP_028313905.1 uncharacterized protein LOC114470090 [Gouania willdenowi]</t>
        </is>
      </c>
      <c r="M4355" t="n">
        <v>1217</v>
      </c>
      <c r="N4355" t="inlineStr">
        <is>
          <t>Gouania willdenowi</t>
        </is>
      </c>
      <c r="O4355" t="inlineStr">
        <is>
          <t>uncharacterized protein LOC114470090</t>
        </is>
      </c>
    </row>
    <row r="4356">
      <c r="A4356" t="inlineStr"/>
      <c r="B4356" t="inlineStr"/>
      <c r="C4356" t="inlineStr"/>
      <c r="D4356" t="inlineStr"/>
      <c r="E4356">
        <f>HYPERLINK("https://www.ncbi.nlm.nih.gov/gene/?term=KAG1032294.1", "KAG1032294.1")</f>
        <v/>
      </c>
      <c r="F4356" t="n">
        <v>32.3</v>
      </c>
      <c r="G4356" t="n">
        <v>127</v>
      </c>
      <c r="H4356" t="n">
        <v>2.51e-06</v>
      </c>
      <c r="I4356" t="inlineStr">
        <is>
          <t>Nr</t>
        </is>
      </c>
      <c r="J4356" t="inlineStr"/>
      <c r="K4356" t="inlineStr"/>
      <c r="L4356" t="inlineStr">
        <is>
          <t>KAG1032294.1 hypothetical protein G6F43_013800 [Rhizopus delemar]</t>
        </is>
      </c>
      <c r="M4356" t="n">
        <v>198</v>
      </c>
      <c r="N4356" t="inlineStr">
        <is>
          <t>Rhizopus delemar</t>
        </is>
      </c>
      <c r="O4356" t="inlineStr">
        <is>
          <t>hypothetical protein G6F43_013800</t>
        </is>
      </c>
    </row>
    <row r="4357">
      <c r="A4357" t="inlineStr"/>
      <c r="B4357" t="inlineStr"/>
      <c r="C4357" t="inlineStr"/>
      <c r="D4357" t="inlineStr"/>
      <c r="E4357">
        <f>HYPERLINK("https://www.uniprot.org/uniprotkb/Q7TPY9/entry", "Q7TPY9")</f>
        <v/>
      </c>
      <c r="F4357" t="n">
        <v>31.3</v>
      </c>
      <c r="G4357" t="n">
        <v>80</v>
      </c>
      <c r="H4357" t="n">
        <v>3.86e-05</v>
      </c>
      <c r="I4357" t="inlineStr">
        <is>
          <t>Swiss-Prot</t>
        </is>
      </c>
      <c r="J4357" t="inlineStr">
        <is>
          <t>Ldoc1</t>
        </is>
      </c>
      <c r="K4357" t="inlineStr">
        <is>
          <t>LDOC1_MOUSE</t>
        </is>
      </c>
      <c r="L4357" t="inlineStr">
        <is>
          <t>sp|Q7TPY9|LDOC1_MOUSE Protein LDOC1 OS=Mus musculus OX=10090 GN=Ldoc1 PE=2 SV=1</t>
        </is>
      </c>
      <c r="M4357" t="n">
        <v>151</v>
      </c>
      <c r="N4357" t="inlineStr">
        <is>
          <t>Mus musculus</t>
        </is>
      </c>
      <c r="O4357" t="inlineStr">
        <is>
          <t>Protein LDOC1</t>
        </is>
      </c>
    </row>
    <row r="4358">
      <c r="A4358" t="inlineStr"/>
      <c r="B4358" t="inlineStr"/>
      <c r="C4358" t="inlineStr"/>
      <c r="D4358" t="inlineStr"/>
      <c r="E4358">
        <f>HYPERLINK("https://www.uniprot.org/uniprotkb/Q6SEH5/entry", "Q6SEH5")</f>
        <v/>
      </c>
      <c r="F4358" t="n">
        <v>32.5</v>
      </c>
      <c r="G4358" t="n">
        <v>80</v>
      </c>
      <c r="H4358" t="n">
        <v>4.87e-05</v>
      </c>
      <c r="I4358" t="inlineStr">
        <is>
          <t>Swiss-Prot</t>
        </is>
      </c>
      <c r="J4358" t="inlineStr">
        <is>
          <t>LDOC1</t>
        </is>
      </c>
      <c r="K4358" t="inlineStr">
        <is>
          <t>LDOC1_GORGO</t>
        </is>
      </c>
      <c r="L4358" t="inlineStr">
        <is>
          <t>sp|Q6SEH5|LDOC1_GORGO Protein LDOC1 OS=Gorilla gorilla gorilla OX=9595 GN=LDOC1 PE=3 SV=1</t>
        </is>
      </c>
      <c r="M4358" t="n">
        <v>145</v>
      </c>
      <c r="N4358" t="inlineStr">
        <is>
          <t>Gorilla gorilla gorilla</t>
        </is>
      </c>
      <c r="O4358" t="inlineStr">
        <is>
          <t>Protein LDOC1</t>
        </is>
      </c>
    </row>
    <row r="4359">
      <c r="A4359" t="inlineStr"/>
      <c r="B4359" t="inlineStr"/>
      <c r="C4359" t="inlineStr"/>
      <c r="D4359" t="inlineStr"/>
      <c r="E4359">
        <f>HYPERLINK("https://www.uniprot.org/uniprotkb/O95751/entry", "O95751")</f>
        <v/>
      </c>
      <c r="F4359" t="n">
        <v>32.5</v>
      </c>
      <c r="G4359" t="n">
        <v>80</v>
      </c>
      <c r="H4359" t="n">
        <v>4.94e-05</v>
      </c>
      <c r="I4359" t="inlineStr">
        <is>
          <t>Swiss-Prot</t>
        </is>
      </c>
      <c r="J4359" t="inlineStr">
        <is>
          <t>LDOC1</t>
        </is>
      </c>
      <c r="K4359" t="inlineStr">
        <is>
          <t>LDOC1_HUMAN</t>
        </is>
      </c>
      <c r="L4359" t="inlineStr">
        <is>
          <t>sp|O95751|LDOC1_HUMAN Protein LDOC1 OS=Homo sapiens OX=9606 GN=LDOC1 PE=1 SV=1</t>
        </is>
      </c>
      <c r="M4359" t="n">
        <v>146</v>
      </c>
      <c r="N4359" t="inlineStr">
        <is>
          <t>Homo sapiens</t>
        </is>
      </c>
      <c r="O4359" t="inlineStr">
        <is>
          <t>Protein LDOC1</t>
        </is>
      </c>
    </row>
    <row r="4360">
      <c r="A4360" t="inlineStr"/>
      <c r="B4360" t="inlineStr"/>
      <c r="C4360" t="inlineStr"/>
      <c r="D4360" t="inlineStr"/>
      <c r="E4360">
        <f>HYPERLINK("https://www.uniprot.org/uniprotkb/Q6SEH4/entry", "Q6SEH4")</f>
        <v/>
      </c>
      <c r="F4360" t="n">
        <v>32.5</v>
      </c>
      <c r="G4360" t="n">
        <v>80</v>
      </c>
      <c r="H4360" t="n">
        <v>4.94e-05</v>
      </c>
      <c r="I4360" t="inlineStr">
        <is>
          <t>Swiss-Prot</t>
        </is>
      </c>
      <c r="J4360" t="inlineStr">
        <is>
          <t>LDOC1</t>
        </is>
      </c>
      <c r="K4360" t="inlineStr">
        <is>
          <t>LDOC1_PANPA</t>
        </is>
      </c>
      <c r="L4360" t="inlineStr">
        <is>
          <t>sp|Q6SEH4|LDOC1_PANPA Protein LDOC1 OS=Pan paniscus OX=9597 GN=LDOC1 PE=3 SV=1</t>
        </is>
      </c>
      <c r="M4360" t="n">
        <v>146</v>
      </c>
      <c r="N4360" t="inlineStr">
        <is>
          <t>Pan paniscus</t>
        </is>
      </c>
      <c r="O4360" t="inlineStr">
        <is>
          <t>Protein LDOC1</t>
        </is>
      </c>
    </row>
    <row r="4361">
      <c r="A4361" t="inlineStr"/>
      <c r="B4361" t="inlineStr"/>
      <c r="C4361" t="inlineStr"/>
      <c r="D4361" t="inlineStr"/>
      <c r="E4361">
        <f>HYPERLINK("https://www.uniprot.org/uniprotkb/Q7TN75/entry", "Q7TN75")</f>
        <v/>
      </c>
      <c r="F4361" t="n">
        <v>31.2</v>
      </c>
      <c r="G4361" t="n">
        <v>77</v>
      </c>
      <c r="H4361" t="n">
        <v>7.85e-05</v>
      </c>
      <c r="I4361" t="inlineStr">
        <is>
          <t>Swiss-Prot</t>
        </is>
      </c>
      <c r="J4361" t="inlineStr">
        <is>
          <t>Peg10</t>
        </is>
      </c>
      <c r="K4361" t="inlineStr">
        <is>
          <t>PEG10_MOUSE</t>
        </is>
      </c>
      <c r="L4361" t="inlineStr">
        <is>
          <t>sp|Q7TN75|PEG10_MOUSE Retrotransposon-derived protein PEG10 OS=Mus musculus OX=10090 GN=Peg10 PE=1 SV=2</t>
        </is>
      </c>
      <c r="M4361" t="n">
        <v>958</v>
      </c>
      <c r="N4361" t="inlineStr">
        <is>
          <t>Mus musculus</t>
        </is>
      </c>
      <c r="O4361" t="inlineStr">
        <is>
          <t>Retrotransposon-derived protein PEG10</t>
        </is>
      </c>
    </row>
    <row r="4362">
      <c r="A4362" t="inlineStr"/>
      <c r="B4362" t="inlineStr"/>
      <c r="C4362" t="inlineStr"/>
      <c r="D4362" t="inlineStr"/>
      <c r="E4362">
        <f>HYPERLINK("https://www.uniprot.org/uniprotkb/Q5T7N2/entry", "Q5T7N2")</f>
        <v/>
      </c>
      <c r="F4362" t="n">
        <v>27.6</v>
      </c>
      <c r="G4362" t="n">
        <v>152</v>
      </c>
      <c r="H4362" t="n">
        <v>9.04e-05</v>
      </c>
      <c r="I4362" t="inlineStr">
        <is>
          <t>Swiss-Prot</t>
        </is>
      </c>
      <c r="J4362" t="inlineStr">
        <is>
          <t>L1TD1</t>
        </is>
      </c>
      <c r="K4362" t="inlineStr">
        <is>
          <t>LITD1_HUMAN</t>
        </is>
      </c>
      <c r="L4362" t="inlineStr">
        <is>
          <t>sp|Q5T7N2|LITD1_HUMAN LINE-1 type transposase domain-containing protein 1 OS=Homo sapiens OX=9606 GN=L1TD1 PE=1 SV=1</t>
        </is>
      </c>
      <c r="M4362" t="n">
        <v>865</v>
      </c>
      <c r="N4362" t="inlineStr">
        <is>
          <t>Homo sapiens</t>
        </is>
      </c>
      <c r="O4362" t="inlineStr">
        <is>
          <t>LINE-1 type transposase domain-containing protein 1</t>
        </is>
      </c>
    </row>
    <row r="4363">
      <c r="A4363" t="inlineStr"/>
      <c r="B4363" t="inlineStr"/>
      <c r="C4363" t="inlineStr"/>
      <c r="D4363" t="inlineStr"/>
      <c r="E4363">
        <f>HYPERLINK("https://www.uniprot.org/uniprotkb/A6NKG5/entry", "A6NKG5")</f>
        <v/>
      </c>
      <c r="F4363" t="n">
        <v>28.8</v>
      </c>
      <c r="G4363" t="n">
        <v>80</v>
      </c>
      <c r="H4363" t="n">
        <v>0.00011</v>
      </c>
      <c r="I4363" t="inlineStr">
        <is>
          <t>Swiss-Prot</t>
        </is>
      </c>
      <c r="J4363" t="inlineStr">
        <is>
          <t>RTL1</t>
        </is>
      </c>
      <c r="K4363" t="inlineStr">
        <is>
          <t>RTL1_HUMAN</t>
        </is>
      </c>
      <c r="L4363" t="inlineStr">
        <is>
          <t>sp|A6NKG5|RTL1_HUMAN Retrotransposon-like protein 1 OS=Homo sapiens OX=9606 GN=RTL1 PE=3 SV=3</t>
        </is>
      </c>
      <c r="M4363" t="n">
        <v>1358</v>
      </c>
      <c r="N4363" t="inlineStr">
        <is>
          <t>Homo sapiens</t>
        </is>
      </c>
      <c r="O4363" t="inlineStr">
        <is>
          <t>Retrotransposon-like protein 1</t>
        </is>
      </c>
    </row>
    <row r="4364">
      <c r="A4364" t="inlineStr"/>
      <c r="B4364" t="inlineStr"/>
      <c r="C4364" t="inlineStr"/>
      <c r="D4364" t="inlineStr"/>
      <c r="E4364">
        <f>HYPERLINK("https://www.uniprot.org/uniprotkb/Q7M732/entry", "Q7M732")</f>
        <v/>
      </c>
      <c r="F4364" t="n">
        <v>31.3</v>
      </c>
      <c r="G4364" t="n">
        <v>67</v>
      </c>
      <c r="H4364" t="n">
        <v>0.000151</v>
      </c>
      <c r="I4364" t="inlineStr">
        <is>
          <t>Swiss-Prot</t>
        </is>
      </c>
      <c r="J4364" t="inlineStr">
        <is>
          <t>Rtl1</t>
        </is>
      </c>
      <c r="K4364" t="inlineStr">
        <is>
          <t>RTL1_MOUSE</t>
        </is>
      </c>
      <c r="L4364" t="inlineStr">
        <is>
          <t>sp|Q7M732|RTL1_MOUSE Retrotransposon-like protein 1 OS=Mus musculus OX=10090 GN=Rtl1 PE=2 SV=1</t>
        </is>
      </c>
      <c r="M4364" t="n">
        <v>1744</v>
      </c>
      <c r="N4364" t="inlineStr">
        <is>
          <t>Mus musculus</t>
        </is>
      </c>
      <c r="O4364" t="inlineStr">
        <is>
          <t>Retrotransposon-like protein 1</t>
        </is>
      </c>
    </row>
    <row r="4365">
      <c r="A4365" t="inlineStr"/>
      <c r="B4365" t="inlineStr"/>
      <c r="C4365" t="inlineStr"/>
      <c r="D4365" t="inlineStr"/>
      <c r="E4365">
        <f>HYPERLINK("https://www.uniprot.org/uniprotkb/Q52QI2/entry", "Q52QI2")</f>
        <v/>
      </c>
      <c r="F4365" t="n">
        <v>28.8</v>
      </c>
      <c r="G4365" t="n">
        <v>80</v>
      </c>
      <c r="H4365" t="n">
        <v>0.000199</v>
      </c>
      <c r="I4365" t="inlineStr">
        <is>
          <t>Swiss-Prot</t>
        </is>
      </c>
      <c r="J4365" t="inlineStr">
        <is>
          <t>RTL1</t>
        </is>
      </c>
      <c r="K4365" t="inlineStr">
        <is>
          <t>RTL1_BOVIN</t>
        </is>
      </c>
      <c r="L4365" t="inlineStr">
        <is>
          <t>sp|Q52QI2|RTL1_BOVIN Retrotransposon-like protein 1 OS=Bos taurus OX=9913 GN=RTL1 PE=2 SV=2</t>
        </is>
      </c>
      <c r="M4365" t="n">
        <v>1331</v>
      </c>
      <c r="N4365" t="inlineStr">
        <is>
          <t>Bos taurus</t>
        </is>
      </c>
      <c r="O4365" t="inlineStr">
        <is>
          <t>Retrotransposon-like protein 1</t>
        </is>
      </c>
    </row>
    <row r="4366">
      <c r="A4366" t="inlineStr"/>
      <c r="B4366" t="inlineStr"/>
      <c r="C4366" t="inlineStr"/>
      <c r="D4366" t="inlineStr"/>
      <c r="E4366">
        <f>HYPERLINK("https://www.uniprot.org/uniprotkb/Q86TG7/entry", "Q86TG7")</f>
        <v/>
      </c>
      <c r="F4366" t="n">
        <v>24.8</v>
      </c>
      <c r="G4366" t="n">
        <v>113</v>
      </c>
      <c r="H4366" t="n">
        <v>0.000232</v>
      </c>
      <c r="I4366" t="inlineStr">
        <is>
          <t>Swiss-Prot</t>
        </is>
      </c>
      <c r="J4366" t="inlineStr">
        <is>
          <t>PEG10</t>
        </is>
      </c>
      <c r="K4366" t="inlineStr">
        <is>
          <t>PEG10_HUMAN</t>
        </is>
      </c>
      <c r="L4366" t="inlineStr">
        <is>
          <t>sp|Q86TG7|PEG10_HUMAN Retrotransposon-derived protein PEG10 OS=Homo sapiens OX=9606 GN=PEG10 PE=1 SV=2</t>
        </is>
      </c>
      <c r="M4366" t="n">
        <v>708</v>
      </c>
      <c r="N4366" t="inlineStr">
        <is>
          <t>Homo sapiens</t>
        </is>
      </c>
      <c r="O4366" t="inlineStr">
        <is>
          <t>Retrotransposon-derived protein PEG10</t>
        </is>
      </c>
    </row>
    <row r="4367">
      <c r="A4367" t="inlineStr"/>
      <c r="B4367" t="inlineStr"/>
      <c r="C4367" t="inlineStr"/>
      <c r="D4367" t="inlineStr"/>
      <c r="E4367">
        <f>HYPERLINK("https://www.uniprot.org/uniprotkb/Q17QF6/entry", "Q17QF6")</f>
        <v/>
      </c>
      <c r="F4367" t="n">
        <v>31.3</v>
      </c>
      <c r="G4367" t="n">
        <v>80</v>
      </c>
      <c r="H4367" t="n">
        <v>0.00024</v>
      </c>
      <c r="I4367" t="inlineStr">
        <is>
          <t>Swiss-Prot</t>
        </is>
      </c>
      <c r="J4367" t="inlineStr">
        <is>
          <t>LDOC1</t>
        </is>
      </c>
      <c r="K4367" t="inlineStr">
        <is>
          <t>LDOC1_BOVIN</t>
        </is>
      </c>
      <c r="L4367" t="inlineStr">
        <is>
          <t>sp|Q17QF6|LDOC1_BOVIN Protein LDOC1 OS=Bos taurus OX=9913 GN=LDOC1 PE=2 SV=2</t>
        </is>
      </c>
      <c r="M4367" t="n">
        <v>146</v>
      </c>
      <c r="N4367" t="inlineStr">
        <is>
          <t>Bos taurus</t>
        </is>
      </c>
      <c r="O4367" t="inlineStr">
        <is>
          <t>Protein LDOC1</t>
        </is>
      </c>
    </row>
    <row r="4368">
      <c r="A4368" t="inlineStr"/>
      <c r="B4368" t="inlineStr"/>
      <c r="C4368" t="inlineStr"/>
      <c r="D4368" t="inlineStr"/>
      <c r="E4368">
        <f>HYPERLINK("https://www.uniprot.org/uniprotkb/Q86TG7/entry", "Q86TG7")</f>
        <v/>
      </c>
      <c r="F4368" t="n">
        <v>28.6</v>
      </c>
      <c r="G4368" t="n">
        <v>77</v>
      </c>
      <c r="H4368" t="n">
        <v>0.000246</v>
      </c>
      <c r="I4368" t="inlineStr">
        <is>
          <t>Swiss-Prot</t>
        </is>
      </c>
      <c r="J4368" t="inlineStr">
        <is>
          <t>PEG10</t>
        </is>
      </c>
      <c r="K4368" t="inlineStr">
        <is>
          <t>PEG10_HUMAN</t>
        </is>
      </c>
      <c r="L4368" t="inlineStr">
        <is>
          <t>sp|Q86TG7|PEG10_HUMAN Retrotransposon-derived protein PEG10 OS=Homo sapiens OX=9606 GN=PEG10 PE=1 SV=2</t>
        </is>
      </c>
      <c r="M4368" t="n">
        <v>708</v>
      </c>
      <c r="N4368" t="inlineStr">
        <is>
          <t>Homo sapiens</t>
        </is>
      </c>
      <c r="O4368" t="inlineStr">
        <is>
          <t>Retrotransposon-derived protein PEG10</t>
        </is>
      </c>
    </row>
    <row r="4369">
      <c r="A4369" t="inlineStr">
        <is>
          <t>NODE_25561_length_4341_cov_83.684839_g105_i44</t>
        </is>
      </c>
      <c r="B4369" t="inlineStr">
        <is>
          <t>bombina_pachypus_blastx</t>
        </is>
      </c>
      <c r="C4369" t="n">
        <v>-3.11931277267008</v>
      </c>
      <c r="D4369" t="n">
        <v>0.0006432544536911</v>
      </c>
      <c r="E4369">
        <f>HYPERLINK("https://www.uniprot.org/uniprotkb/A0A8C5T2S5/entry", "A0A8C5T2S5")</f>
        <v/>
      </c>
      <c r="F4369" t="n">
        <v>70.7</v>
      </c>
      <c r="G4369" t="n">
        <v>123</v>
      </c>
      <c r="H4369" t="n">
        <v>7.43e-61</v>
      </c>
      <c r="I4369" t="inlineStr">
        <is>
          <t>TrEMBL</t>
        </is>
      </c>
      <c r="J4369" t="inlineStr"/>
      <c r="K4369" t="inlineStr">
        <is>
          <t>A0A8C5T2S5_9PASS</t>
        </is>
      </c>
      <c r="L4369" t="inlineStr">
        <is>
          <t>tr|A0A8C5T2S5|A0A8C5T2S5_9PASS Paraoxonase OS=Malurus cyaneus samueli OX=2593467 PE=3 SV=1</t>
        </is>
      </c>
      <c r="M4369" t="n">
        <v>345</v>
      </c>
      <c r="N4369" t="inlineStr">
        <is>
          <t>Malurus cyaneus samueli</t>
        </is>
      </c>
      <c r="O4369" t="inlineStr">
        <is>
          <t>Paraoxonase</t>
        </is>
      </c>
    </row>
    <row r="4370">
      <c r="A4370" t="inlineStr"/>
      <c r="B4370" t="inlineStr"/>
      <c r="C4370" t="inlineStr"/>
      <c r="D4370" t="inlineStr"/>
      <c r="E4370">
        <f>HYPERLINK("https://www.uniprot.org/uniprotkb/A0A8C5X0K7/entry", "A0A8C5X0K7")</f>
        <v/>
      </c>
      <c r="F4370" t="n">
        <v>70.7</v>
      </c>
      <c r="G4370" t="n">
        <v>123</v>
      </c>
      <c r="H4370" t="n">
        <v>9.739999999999999e-61</v>
      </c>
      <c r="I4370" t="inlineStr">
        <is>
          <t>TrEMBL</t>
        </is>
      </c>
      <c r="J4370" t="inlineStr"/>
      <c r="K4370" t="inlineStr">
        <is>
          <t>A0A8C5X0K7_9PASS</t>
        </is>
      </c>
      <c r="L4370" t="inlineStr">
        <is>
          <t>tr|A0A8C5X0K7|A0A8C5X0K7_9PASS Paraoxonase OS=Malurus cyaneus samueli OX=2593467 PE=3 SV=1</t>
        </is>
      </c>
      <c r="M4370" t="n">
        <v>355</v>
      </c>
      <c r="N4370" t="inlineStr">
        <is>
          <t>Malurus cyaneus samueli</t>
        </is>
      </c>
      <c r="O4370" t="inlineStr">
        <is>
          <t>Paraoxonase</t>
        </is>
      </c>
    </row>
    <row r="4371">
      <c r="A4371" t="inlineStr"/>
      <c r="B4371" t="inlineStr"/>
      <c r="C4371" t="inlineStr"/>
      <c r="D4371" t="inlineStr"/>
      <c r="E4371">
        <f>HYPERLINK("https://www.uniprot.org/uniprotkb/Q6DF09/entry", "Q6DF09")</f>
        <v/>
      </c>
      <c r="F4371" t="n">
        <v>71.8</v>
      </c>
      <c r="G4371" t="n">
        <v>124</v>
      </c>
      <c r="H4371" t="n">
        <v>1.42e-60</v>
      </c>
      <c r="I4371" t="inlineStr">
        <is>
          <t>TrEMBL</t>
        </is>
      </c>
      <c r="J4371" t="inlineStr">
        <is>
          <t>pon2</t>
        </is>
      </c>
      <c r="K4371" t="inlineStr">
        <is>
          <t>Q6DF09_XENTR</t>
        </is>
      </c>
      <c r="L4371" t="inlineStr">
        <is>
          <t>tr|Q6DF09|Q6DF09_XENTR Paraoxonase OS=Xenopus tropicalis OX=8364 GN=pon2 PE=2 SV=1</t>
        </is>
      </c>
      <c r="M4371" t="n">
        <v>356</v>
      </c>
      <c r="N4371" t="inlineStr">
        <is>
          <t>Xenopus tropicalis</t>
        </is>
      </c>
      <c r="O4371" t="inlineStr">
        <is>
          <t>Paraoxonase</t>
        </is>
      </c>
    </row>
    <row r="4372">
      <c r="A4372" t="inlineStr"/>
      <c r="B4372" t="inlineStr"/>
      <c r="C4372" t="inlineStr"/>
      <c r="D4372" t="inlineStr"/>
      <c r="E4372">
        <f>HYPERLINK("https://www.ncbi.nlm.nih.gov/gene/?term=NP_001006848.1", "NP_001006848.1")</f>
        <v/>
      </c>
      <c r="F4372" t="n">
        <v>71.8</v>
      </c>
      <c r="G4372" t="n">
        <v>124</v>
      </c>
      <c r="H4372" t="n">
        <v>3.64e-60</v>
      </c>
      <c r="I4372" t="inlineStr">
        <is>
          <t>Nr</t>
        </is>
      </c>
      <c r="J4372" t="inlineStr"/>
      <c r="K4372" t="inlineStr"/>
      <c r="L4372" t="inlineStr">
        <is>
          <t>NP_001006848.1 serum paraoxonase/arylesterase 2 precursor [Xenopus tropicalis]</t>
        </is>
      </c>
      <c r="M4372" t="n">
        <v>356</v>
      </c>
      <c r="N4372" t="inlineStr">
        <is>
          <t>Xenopus tropicalis</t>
        </is>
      </c>
      <c r="O4372" t="inlineStr">
        <is>
          <t>serum paraoxonase/arylesterase 2 precursor</t>
        </is>
      </c>
    </row>
    <row r="4373">
      <c r="A4373" t="inlineStr"/>
      <c r="B4373" t="inlineStr"/>
      <c r="C4373" t="inlineStr"/>
      <c r="D4373" t="inlineStr"/>
      <c r="E4373">
        <f>HYPERLINK("https://www.uniprot.org/uniprotkb/A0A7L2QSR7/entry", "A0A7L2QSR7")</f>
        <v/>
      </c>
      <c r="F4373" t="n">
        <v>69.09999999999999</v>
      </c>
      <c r="G4373" t="n">
        <v>123</v>
      </c>
      <c r="H4373" t="n">
        <v>5.25e-60</v>
      </c>
      <c r="I4373" t="inlineStr">
        <is>
          <t>TrEMBL</t>
        </is>
      </c>
      <c r="J4373" t="inlineStr">
        <is>
          <t>Pon2</t>
        </is>
      </c>
      <c r="K4373" t="inlineStr">
        <is>
          <t>A0A7L2QSR7_9PASS</t>
        </is>
      </c>
      <c r="L4373" t="inlineStr">
        <is>
          <t>tr|A0A7L2QSR7|A0A7L2QSR7_9PASS Paraoxonase (Fragment) OS=Oxylabes madagascariensis OX=98144 GN=Pon2 PE=3 SV=1</t>
        </is>
      </c>
      <c r="M4373" t="n">
        <v>291</v>
      </c>
      <c r="N4373" t="inlineStr">
        <is>
          <t>Oxylabes madagascariensis</t>
        </is>
      </c>
      <c r="O4373" t="inlineStr">
        <is>
          <t>Paraoxonase (Fragment)</t>
        </is>
      </c>
    </row>
    <row r="4374">
      <c r="A4374" t="inlineStr"/>
      <c r="B4374" t="inlineStr"/>
      <c r="C4374" t="inlineStr"/>
      <c r="D4374" t="inlineStr"/>
      <c r="E4374">
        <f>HYPERLINK("https://www.ncbi.nlm.nih.gov/gene/?term=XP_009508891.1", "XP_009508891.1")</f>
        <v/>
      </c>
      <c r="F4374" t="n">
        <v>68.90000000000001</v>
      </c>
      <c r="G4374" t="n">
        <v>122</v>
      </c>
      <c r="H4374" t="n">
        <v>9.259999999999999e-60</v>
      </c>
      <c r="I4374" t="inlineStr">
        <is>
          <t>Nr</t>
        </is>
      </c>
      <c r="J4374" t="inlineStr"/>
      <c r="K4374" t="inlineStr"/>
      <c r="L4374" t="inlineStr">
        <is>
          <t>XP_009508891.1 PREDICTED: serum paraoxonase/arylesterase 2-like, partial [Phalacrocorax carbo]</t>
        </is>
      </c>
      <c r="M4374" t="n">
        <v>122</v>
      </c>
      <c r="N4374" t="inlineStr">
        <is>
          <t>Phalacrocorax carbo</t>
        </is>
      </c>
      <c r="O4374" t="inlineStr">
        <is>
          <t>PREDICTED: serum paraoxonase/arylesterase 2-like, partial</t>
        </is>
      </c>
    </row>
    <row r="4375">
      <c r="A4375" t="inlineStr"/>
      <c r="B4375" t="inlineStr"/>
      <c r="C4375" t="inlineStr"/>
      <c r="D4375" t="inlineStr"/>
      <c r="E4375">
        <f>HYPERLINK("https://www.ncbi.nlm.nih.gov/gene/?term=NXR99036.1", "NXR99036.1")</f>
        <v/>
      </c>
      <c r="F4375" t="n">
        <v>69.09999999999999</v>
      </c>
      <c r="G4375" t="n">
        <v>123</v>
      </c>
      <c r="H4375" t="n">
        <v>1.35e-59</v>
      </c>
      <c r="I4375" t="inlineStr">
        <is>
          <t>Nr</t>
        </is>
      </c>
      <c r="J4375" t="inlineStr"/>
      <c r="K4375" t="inlineStr"/>
      <c r="L4375" t="inlineStr">
        <is>
          <t>NXR99036.1 PON2 arylesterase [Oxylabes madagascariensis]</t>
        </is>
      </c>
      <c r="M4375" t="n">
        <v>291</v>
      </c>
      <c r="N4375" t="inlineStr">
        <is>
          <t>Oxylabes madagascariensis</t>
        </is>
      </c>
      <c r="O4375" t="inlineStr">
        <is>
          <t>PON2 arylesterase</t>
        </is>
      </c>
    </row>
    <row r="4376">
      <c r="A4376" t="inlineStr"/>
      <c r="B4376" t="inlineStr"/>
      <c r="C4376" t="inlineStr"/>
      <c r="D4376" t="inlineStr"/>
      <c r="E4376">
        <f>HYPERLINK("https://www.uniprot.org/uniprotkb/Q7ZTN3/entry", "Q7ZTN3")</f>
        <v/>
      </c>
      <c r="F4376" t="n">
        <v>73.40000000000001</v>
      </c>
      <c r="G4376" t="n">
        <v>124</v>
      </c>
      <c r="H4376" t="n">
        <v>2.32e-59</v>
      </c>
      <c r="I4376" t="inlineStr">
        <is>
          <t>TrEMBL</t>
        </is>
      </c>
      <c r="J4376" t="inlineStr">
        <is>
          <t>pon2.L</t>
        </is>
      </c>
      <c r="K4376" t="inlineStr">
        <is>
          <t>Q7ZTN3_XENLA</t>
        </is>
      </c>
      <c r="L4376" t="inlineStr">
        <is>
          <t>tr|Q7ZTN3|Q7ZTN3_XENLA Paraoxonase OS=Xenopus laevis OX=8355 GN=pon2.L PE=2 SV=1</t>
        </is>
      </c>
      <c r="M4376" t="n">
        <v>357</v>
      </c>
      <c r="N4376" t="inlineStr">
        <is>
          <t>Xenopus laevis</t>
        </is>
      </c>
      <c r="O4376" t="inlineStr">
        <is>
          <t>Paraoxonase</t>
        </is>
      </c>
    </row>
    <row r="4377">
      <c r="A4377" t="inlineStr"/>
      <c r="B4377" t="inlineStr"/>
      <c r="C4377" t="inlineStr"/>
      <c r="D4377" t="inlineStr"/>
      <c r="E4377">
        <f>HYPERLINK("https://www.uniprot.org/uniprotkb/A0A218V916/entry", "A0A218V916")</f>
        <v/>
      </c>
      <c r="F4377" t="n">
        <v>69.90000000000001</v>
      </c>
      <c r="G4377" t="n">
        <v>123</v>
      </c>
      <c r="H4377" t="n">
        <v>3.03e-59</v>
      </c>
      <c r="I4377" t="inlineStr">
        <is>
          <t>TrEMBL</t>
        </is>
      </c>
      <c r="J4377" t="inlineStr">
        <is>
          <t>PON2</t>
        </is>
      </c>
      <c r="K4377" t="inlineStr">
        <is>
          <t>A0A218V916_9PASE</t>
        </is>
      </c>
      <c r="L4377" t="inlineStr">
        <is>
          <t>tr|A0A218V916|A0A218V916_9PASE Paraoxonase OS=Lonchura striata domestica OX=299123 GN=PON2 PE=3 SV=1</t>
        </is>
      </c>
      <c r="M4377" t="n">
        <v>354</v>
      </c>
      <c r="N4377" t="inlineStr">
        <is>
          <t>Lonchura striata domestica</t>
        </is>
      </c>
      <c r="O4377" t="inlineStr">
        <is>
          <t>Paraoxonase</t>
        </is>
      </c>
    </row>
    <row r="4378">
      <c r="A4378" t="inlineStr"/>
      <c r="B4378" t="inlineStr"/>
      <c r="C4378" t="inlineStr"/>
      <c r="D4378" t="inlineStr"/>
      <c r="E4378">
        <f>HYPERLINK("https://www.uniprot.org/uniprotkb/A0A7K5D9K5/entry", "A0A7K5D9K5")</f>
        <v/>
      </c>
      <c r="F4378" t="n">
        <v>69.90000000000001</v>
      </c>
      <c r="G4378" t="n">
        <v>123</v>
      </c>
      <c r="H4378" t="n">
        <v>3.78e-59</v>
      </c>
      <c r="I4378" t="inlineStr">
        <is>
          <t>TrEMBL</t>
        </is>
      </c>
      <c r="J4378" t="inlineStr">
        <is>
          <t>Pon2</t>
        </is>
      </c>
      <c r="K4378" t="inlineStr">
        <is>
          <t>A0A7K5D9K5_9TYRA</t>
        </is>
      </c>
      <c r="L4378" t="inlineStr">
        <is>
          <t>tr|A0A7K5D9K5|A0A7K5D9K5_9TYRA Paraoxonase (Fragment) OS=Pachyramphus minor OX=369605 GN=Pon2 PE=3 SV=1</t>
        </is>
      </c>
      <c r="M4378" t="n">
        <v>287</v>
      </c>
      <c r="N4378" t="inlineStr">
        <is>
          <t>Pachyramphus minor</t>
        </is>
      </c>
      <c r="O4378" t="inlineStr">
        <is>
          <t>Paraoxonase (Fragment)</t>
        </is>
      </c>
    </row>
    <row r="4379">
      <c r="A4379" t="inlineStr"/>
      <c r="B4379" t="inlineStr"/>
      <c r="C4379" t="inlineStr"/>
      <c r="D4379" t="inlineStr"/>
      <c r="E4379">
        <f>HYPERLINK("https://www.ncbi.nlm.nih.gov/gene/?term=XP_041322741.1", "XP_041322741.1")</f>
        <v/>
      </c>
      <c r="F4379" t="n">
        <v>69.09999999999999</v>
      </c>
      <c r="G4379" t="n">
        <v>123</v>
      </c>
      <c r="H4379" t="n">
        <v>4.840000000000001e-59</v>
      </c>
      <c r="I4379" t="inlineStr">
        <is>
          <t>Nr</t>
        </is>
      </c>
      <c r="J4379" t="inlineStr"/>
      <c r="K4379" t="inlineStr"/>
      <c r="L4379" t="inlineStr">
        <is>
          <t>XP_041322741.1 serum paraoxonase/arylesterase 2-like [Pyrgilauda ruficollis]</t>
        </is>
      </c>
      <c r="M4379" t="n">
        <v>287</v>
      </c>
      <c r="N4379" t="inlineStr">
        <is>
          <t>Pyrgilauda ruficollis</t>
        </is>
      </c>
      <c r="O4379" t="inlineStr">
        <is>
          <t>serum paraoxonase/arylesterase 2-like</t>
        </is>
      </c>
    </row>
    <row r="4380">
      <c r="A4380" t="inlineStr"/>
      <c r="B4380" t="inlineStr"/>
      <c r="C4380" t="inlineStr"/>
      <c r="D4380" t="inlineStr"/>
      <c r="E4380">
        <f>HYPERLINK("https://www.uniprot.org/uniprotkb/A0A091NNV2/entry", "A0A091NNV2")</f>
        <v/>
      </c>
      <c r="F4380" t="n">
        <v>71.5</v>
      </c>
      <c r="G4380" t="n">
        <v>123</v>
      </c>
      <c r="H4380" t="n">
        <v>5e-59</v>
      </c>
      <c r="I4380" t="inlineStr">
        <is>
          <t>TrEMBL</t>
        </is>
      </c>
      <c r="J4380" t="inlineStr">
        <is>
          <t>N311_01733</t>
        </is>
      </c>
      <c r="K4380" t="inlineStr">
        <is>
          <t>A0A091NNV2_APAVI</t>
        </is>
      </c>
      <c r="L4380" t="inlineStr">
        <is>
          <t>tr|A0A091NNV2|A0A091NNV2_APAVI Paraoxonase (Fragment) OS=Apaloderma vittatum OX=57397 GN=N311_01733 PE=3 SV=1</t>
        </is>
      </c>
      <c r="M4380" t="n">
        <v>334</v>
      </c>
      <c r="N4380" t="inlineStr">
        <is>
          <t>Apaloderma vittatum</t>
        </is>
      </c>
      <c r="O4380" t="inlineStr">
        <is>
          <t>Paraoxonase (Fragment)</t>
        </is>
      </c>
    </row>
    <row r="4381">
      <c r="A4381" t="inlineStr"/>
      <c r="B4381" t="inlineStr"/>
      <c r="C4381" t="inlineStr"/>
      <c r="D4381" t="inlineStr"/>
      <c r="E4381">
        <f>HYPERLINK("https://www.ncbi.nlm.nih.gov/gene/?term=NP_001080649.1", "NP_001080649.1")</f>
        <v/>
      </c>
      <c r="F4381" t="n">
        <v>73.40000000000001</v>
      </c>
      <c r="G4381" t="n">
        <v>124</v>
      </c>
      <c r="H4381" t="n">
        <v>5.97e-59</v>
      </c>
      <c r="I4381" t="inlineStr">
        <is>
          <t>Nr</t>
        </is>
      </c>
      <c r="J4381" t="inlineStr"/>
      <c r="K4381" t="inlineStr"/>
      <c r="L4381" t="inlineStr">
        <is>
          <t>NP_001080649.1 serum paraoxonase/arylesterase 2 [Xenopus laevis]</t>
        </is>
      </c>
      <c r="M4381" t="n">
        <v>357</v>
      </c>
      <c r="N4381" t="inlineStr">
        <is>
          <t>Xenopus laevis</t>
        </is>
      </c>
      <c r="O4381" t="inlineStr">
        <is>
          <t>serum paraoxonase/arylesterase 2</t>
        </is>
      </c>
    </row>
    <row r="4382">
      <c r="A4382" t="inlineStr"/>
      <c r="B4382" t="inlineStr"/>
      <c r="C4382" t="inlineStr"/>
      <c r="D4382" t="inlineStr"/>
      <c r="E4382">
        <f>HYPERLINK("https://www.ncbi.nlm.nih.gov/gene/?term=XP_021394067.1", "XP_021394067.1")</f>
        <v/>
      </c>
      <c r="F4382" t="n">
        <v>69.90000000000001</v>
      </c>
      <c r="G4382" t="n">
        <v>123</v>
      </c>
      <c r="H4382" t="n">
        <v>7.79e-59</v>
      </c>
      <c r="I4382" t="inlineStr">
        <is>
          <t>Nr</t>
        </is>
      </c>
      <c r="J4382" t="inlineStr"/>
      <c r="K4382" t="inlineStr"/>
      <c r="L4382" t="inlineStr">
        <is>
          <t>XP_021394067.1 serum paraoxonase/arylesterase 2 [Lonchura striata domestica]</t>
        </is>
      </c>
      <c r="M4382" t="n">
        <v>354</v>
      </c>
      <c r="N4382" t="inlineStr">
        <is>
          <t>Lonchura striata domestica</t>
        </is>
      </c>
      <c r="O4382" t="inlineStr">
        <is>
          <t>serum paraoxonase/arylesterase 2</t>
        </is>
      </c>
    </row>
    <row r="4383">
      <c r="A4383" t="inlineStr"/>
      <c r="B4383" t="inlineStr"/>
      <c r="C4383" t="inlineStr"/>
      <c r="D4383" t="inlineStr"/>
      <c r="E4383">
        <f>HYPERLINK("https://www.uniprot.org/uniprotkb/A0A8C3QNK8/entry", "A0A8C3QNK8")</f>
        <v/>
      </c>
      <c r="F4383" t="n">
        <v>68.3</v>
      </c>
      <c r="G4383" t="n">
        <v>123</v>
      </c>
      <c r="H4383" t="n">
        <v>8.57e-59</v>
      </c>
      <c r="I4383" t="inlineStr">
        <is>
          <t>TrEMBL</t>
        </is>
      </c>
      <c r="J4383" t="inlineStr"/>
      <c r="K4383" t="inlineStr">
        <is>
          <t>A0A8C3QNK8_9PASS</t>
        </is>
      </c>
      <c r="L4383" t="inlineStr">
        <is>
          <t>tr|A0A8C3QNK8|A0A8C3QNK8_9PASS Paraoxonase OS=Cyanoderma ruficeps OX=181631 PE=3 SV=1</t>
        </is>
      </c>
      <c r="M4383" t="n">
        <v>354</v>
      </c>
      <c r="N4383" t="inlineStr">
        <is>
          <t>Cyanoderma ruficeps</t>
        </is>
      </c>
      <c r="O4383" t="inlineStr">
        <is>
          <t>Paraoxonase</t>
        </is>
      </c>
    </row>
    <row r="4384">
      <c r="A4384" t="inlineStr"/>
      <c r="B4384" t="inlineStr"/>
      <c r="C4384" t="inlineStr"/>
      <c r="D4384" t="inlineStr"/>
      <c r="E4384">
        <f>HYPERLINK("https://www.uniprot.org/uniprotkb/A0A803VZ29/entry", "A0A803VZ29")</f>
        <v/>
      </c>
      <c r="F4384" t="n">
        <v>69.09999999999999</v>
      </c>
      <c r="G4384" t="n">
        <v>123</v>
      </c>
      <c r="H4384" t="n">
        <v>8.790000000000001e-59</v>
      </c>
      <c r="I4384" t="inlineStr">
        <is>
          <t>TrEMBL</t>
        </is>
      </c>
      <c r="J4384" t="inlineStr">
        <is>
          <t>LOC101812552</t>
        </is>
      </c>
      <c r="K4384" t="inlineStr">
        <is>
          <t>A0A803VZ29_FICAL</t>
        </is>
      </c>
      <c r="L4384" t="inlineStr">
        <is>
          <t>tr|A0A803VZ29|A0A803VZ29_FICAL Paraoxonase OS=Ficedula albicollis OX=59894 GN=LOC101812552 PE=3 SV=1</t>
        </is>
      </c>
      <c r="M4384" t="n">
        <v>342</v>
      </c>
      <c r="N4384" t="inlineStr">
        <is>
          <t>Ficedula albicollis</t>
        </is>
      </c>
      <c r="O4384" t="inlineStr">
        <is>
          <t>Paraoxonase</t>
        </is>
      </c>
    </row>
    <row r="4385">
      <c r="A4385" t="inlineStr"/>
      <c r="B4385" t="inlineStr"/>
      <c r="C4385" t="inlineStr"/>
      <c r="D4385" t="inlineStr"/>
      <c r="E4385">
        <f>HYPERLINK("https://www.ncbi.nlm.nih.gov/gene/?term=NWS16904.1", "NWS16904.1")</f>
        <v/>
      </c>
      <c r="F4385" t="n">
        <v>69.90000000000001</v>
      </c>
      <c r="G4385" t="n">
        <v>123</v>
      </c>
      <c r="H4385" t="n">
        <v>9.7e-59</v>
      </c>
      <c r="I4385" t="inlineStr">
        <is>
          <t>Nr</t>
        </is>
      </c>
      <c r="J4385" t="inlineStr"/>
      <c r="K4385" t="inlineStr"/>
      <c r="L4385" t="inlineStr">
        <is>
          <t>NWS16904.1 PON2 arylesterase [Pachyramphus minor]</t>
        </is>
      </c>
      <c r="M4385" t="n">
        <v>287</v>
      </c>
      <c r="N4385" t="inlineStr">
        <is>
          <t>Pachyramphus minor</t>
        </is>
      </c>
      <c r="O4385" t="inlineStr">
        <is>
          <t>PON2 arylesterase</t>
        </is>
      </c>
    </row>
    <row r="4386">
      <c r="A4386" t="inlineStr"/>
      <c r="B4386" t="inlineStr"/>
      <c r="C4386" t="inlineStr"/>
      <c r="D4386" t="inlineStr"/>
      <c r="E4386">
        <f>HYPERLINK("https://www.ncbi.nlm.nih.gov/gene/?term=KFP91463.1", "KFP91463.1")</f>
        <v/>
      </c>
      <c r="F4386" t="n">
        <v>71.5</v>
      </c>
      <c r="G4386" t="n">
        <v>123</v>
      </c>
      <c r="H4386" t="n">
        <v>1.28e-58</v>
      </c>
      <c r="I4386" t="inlineStr">
        <is>
          <t>Nr</t>
        </is>
      </c>
      <c r="J4386" t="inlineStr"/>
      <c r="K4386" t="inlineStr"/>
      <c r="L4386" t="inlineStr">
        <is>
          <t>KFP91463.1 Serum paraoxonase/arylesterase 2, partial [Apaloderma vittatum]</t>
        </is>
      </c>
      <c r="M4386" t="n">
        <v>334</v>
      </c>
      <c r="N4386" t="inlineStr">
        <is>
          <t>Apaloderma vittatum</t>
        </is>
      </c>
      <c r="O4386" t="inlineStr">
        <is>
          <t>Serum paraoxonase/arylesterase 2, partial</t>
        </is>
      </c>
    </row>
    <row r="4387">
      <c r="A4387" t="inlineStr"/>
      <c r="B4387" t="inlineStr"/>
      <c r="C4387" t="inlineStr"/>
      <c r="D4387" t="inlineStr"/>
      <c r="E4387">
        <f>HYPERLINK("https://www.uniprot.org/uniprotkb/A0A1L8FVT9/entry", "A0A1L8FVT9")</f>
        <v/>
      </c>
      <c r="F4387" t="n">
        <v>71.8</v>
      </c>
      <c r="G4387" t="n">
        <v>124</v>
      </c>
      <c r="H4387" t="n">
        <v>1.81e-58</v>
      </c>
      <c r="I4387" t="inlineStr">
        <is>
          <t>TrEMBL</t>
        </is>
      </c>
      <c r="J4387" t="inlineStr">
        <is>
          <t>LOC108718843</t>
        </is>
      </c>
      <c r="K4387" t="inlineStr">
        <is>
          <t>A0A1L8FVT9_XENLA</t>
        </is>
      </c>
      <c r="L4387" t="inlineStr">
        <is>
          <t>tr|A0A1L8FVT9|A0A1L8FVT9_XENLA Paraoxonase OS=Xenopus laevis OX=8355 GN=LOC108718843 PE=3 SV=1</t>
        </is>
      </c>
      <c r="M4387" t="n">
        <v>356</v>
      </c>
      <c r="N4387" t="inlineStr">
        <is>
          <t>Xenopus laevis</t>
        </is>
      </c>
      <c r="O4387" t="inlineStr">
        <is>
          <t>Paraoxonase</t>
        </is>
      </c>
    </row>
    <row r="4388">
      <c r="A4388" t="inlineStr"/>
      <c r="B4388" t="inlineStr"/>
      <c r="C4388" t="inlineStr"/>
      <c r="D4388" t="inlineStr"/>
      <c r="E4388">
        <f>HYPERLINK("https://www.uniprot.org/uniprotkb/A0A8C3E874/entry", "A0A8C3E874")</f>
        <v/>
      </c>
      <c r="F4388" t="n">
        <v>67.5</v>
      </c>
      <c r="G4388" t="n">
        <v>123</v>
      </c>
      <c r="H4388" t="n">
        <v>1.86e-58</v>
      </c>
      <c r="I4388" t="inlineStr">
        <is>
          <t>TrEMBL</t>
        </is>
      </c>
      <c r="J4388" t="inlineStr">
        <is>
          <t>LOC116445298</t>
        </is>
      </c>
      <c r="K4388" t="inlineStr">
        <is>
          <t>A0A8C3E874_CORMO</t>
        </is>
      </c>
      <c r="L4388" t="inlineStr">
        <is>
          <t>tr|A0A8C3E874|A0A8C3E874_CORMO Paraoxonase OS=Corvus moneduloides OX=1196302 GN=LOC116445298 PE=3 SV=1</t>
        </is>
      </c>
      <c r="M4388" t="n">
        <v>344</v>
      </c>
      <c r="N4388" t="inlineStr">
        <is>
          <t>Corvus moneduloides</t>
        </is>
      </c>
      <c r="O4388" t="inlineStr">
        <is>
          <t>Paraoxonase</t>
        </is>
      </c>
    </row>
    <row r="4389">
      <c r="A4389" t="inlineStr"/>
      <c r="B4389" t="inlineStr"/>
      <c r="C4389" t="inlineStr"/>
      <c r="D4389" t="inlineStr"/>
      <c r="E4389">
        <f>HYPERLINK("https://www.ncbi.nlm.nih.gov/gene/?term=XP_005041138.1", "XP_005041138.1")</f>
        <v/>
      </c>
      <c r="F4389" t="n">
        <v>69.09999999999999</v>
      </c>
      <c r="G4389" t="n">
        <v>123</v>
      </c>
      <c r="H4389" t="n">
        <v>2.26e-58</v>
      </c>
      <c r="I4389" t="inlineStr">
        <is>
          <t>Nr</t>
        </is>
      </c>
      <c r="J4389" t="inlineStr"/>
      <c r="K4389" t="inlineStr"/>
      <c r="L4389" t="inlineStr">
        <is>
          <t>XP_005041138.1 PREDICTED: serum paraoxonase/arylesterase 2 isoform X2 [Ficedula albicollis]</t>
        </is>
      </c>
      <c r="M4389" t="n">
        <v>342</v>
      </c>
      <c r="N4389" t="inlineStr">
        <is>
          <t>Ficedula albicollis</t>
        </is>
      </c>
      <c r="O4389" t="inlineStr">
        <is>
          <t>PREDICTED: serum paraoxonase/arylesterase 2 isoform X2</t>
        </is>
      </c>
    </row>
    <row r="4390">
      <c r="A4390" t="inlineStr"/>
      <c r="B4390" t="inlineStr"/>
      <c r="C4390" t="inlineStr"/>
      <c r="D4390" t="inlineStr"/>
      <c r="E4390">
        <f>HYPERLINK("https://www.ncbi.nlm.nih.gov/gene/?term=OCT75697.1", "OCT75697.1")</f>
        <v/>
      </c>
      <c r="F4390" t="n">
        <v>72.59999999999999</v>
      </c>
      <c r="G4390" t="n">
        <v>124</v>
      </c>
      <c r="H4390" t="n">
        <v>2.38e-58</v>
      </c>
      <c r="I4390" t="inlineStr">
        <is>
          <t>Nr</t>
        </is>
      </c>
      <c r="J4390" t="inlineStr"/>
      <c r="K4390" t="inlineStr"/>
      <c r="L4390" t="inlineStr">
        <is>
          <t>OCT75697.1 hypothetical protein XELAEV_18030881mg [Xenopus laevis]</t>
        </is>
      </c>
      <c r="M4390" t="n">
        <v>357</v>
      </c>
      <c r="N4390" t="inlineStr">
        <is>
          <t>Xenopus laevis</t>
        </is>
      </c>
      <c r="O4390" t="inlineStr">
        <is>
          <t>hypothetical protein XELAEV_18030881mg</t>
        </is>
      </c>
    </row>
    <row r="4391">
      <c r="A4391" t="inlineStr"/>
      <c r="B4391" t="inlineStr"/>
      <c r="C4391" t="inlineStr"/>
      <c r="D4391" t="inlineStr"/>
      <c r="E4391">
        <f>HYPERLINK("https://www.uniprot.org/uniprotkb/A0A7K9PVL7/entry", "A0A7K9PVL7")</f>
        <v/>
      </c>
      <c r="F4391" t="n">
        <v>69.09999999999999</v>
      </c>
      <c r="G4391" t="n">
        <v>123</v>
      </c>
      <c r="H4391" t="n">
        <v>3.42e-58</v>
      </c>
      <c r="I4391" t="inlineStr">
        <is>
          <t>TrEMBL</t>
        </is>
      </c>
      <c r="J4391" t="inlineStr">
        <is>
          <t>Pon2</t>
        </is>
      </c>
      <c r="K4391" t="inlineStr">
        <is>
          <t>A0A7K9PVL7_9CORV</t>
        </is>
      </c>
      <c r="L4391" t="inlineStr">
        <is>
          <t>tr|A0A7K9PVL7|A0A7K9PVL7_9CORV Paraoxonase (Fragment) OS=Pachycephala philippinensis OX=449367 GN=Pon2 PE=3 SV=1</t>
        </is>
      </c>
      <c r="M4391" t="n">
        <v>291</v>
      </c>
      <c r="N4391" t="inlineStr">
        <is>
          <t>Pachycephala philippinensis</t>
        </is>
      </c>
      <c r="O4391" t="inlineStr">
        <is>
          <t>Paraoxonase (Fragment)</t>
        </is>
      </c>
    </row>
    <row r="4392">
      <c r="A4392" t="inlineStr"/>
      <c r="B4392" t="inlineStr"/>
      <c r="C4392" t="inlineStr"/>
      <c r="D4392" t="inlineStr"/>
      <c r="E4392">
        <f>HYPERLINK("https://www.ncbi.nlm.nih.gov/gene/?term=XP_005041136.1", "XP_005041136.1")</f>
        <v/>
      </c>
      <c r="F4392" t="n">
        <v>69.09999999999999</v>
      </c>
      <c r="G4392" t="n">
        <v>123</v>
      </c>
      <c r="H4392" t="n">
        <v>3.650000000000001e-58</v>
      </c>
      <c r="I4392" t="inlineStr">
        <is>
          <t>Nr</t>
        </is>
      </c>
      <c r="J4392" t="inlineStr"/>
      <c r="K4392" t="inlineStr"/>
      <c r="L4392" t="inlineStr">
        <is>
          <t>XP_005041136.1 PREDICTED: serum paraoxonase/arylesterase 2 isoform X1 [Ficedula albicollis]</t>
        </is>
      </c>
      <c r="M4392" t="n">
        <v>360</v>
      </c>
      <c r="N4392" t="inlineStr">
        <is>
          <t>Ficedula albicollis</t>
        </is>
      </c>
      <c r="O4392" t="inlineStr">
        <is>
          <t>PREDICTED: serum paraoxonase/arylesterase 2 isoform X1</t>
        </is>
      </c>
    </row>
    <row r="4393">
      <c r="A4393" t="inlineStr"/>
      <c r="B4393" t="inlineStr"/>
      <c r="C4393" t="inlineStr"/>
      <c r="D4393" t="inlineStr"/>
      <c r="E4393">
        <f>HYPERLINK("https://www.uniprot.org/uniprotkb/A0A093HGW6/entry", "A0A093HGW6")</f>
        <v/>
      </c>
      <c r="F4393" t="n">
        <v>69.09999999999999</v>
      </c>
      <c r="G4393" t="n">
        <v>123</v>
      </c>
      <c r="H4393" t="n">
        <v>4.01e-58</v>
      </c>
      <c r="I4393" t="inlineStr">
        <is>
          <t>TrEMBL</t>
        </is>
      </c>
      <c r="J4393" t="inlineStr">
        <is>
          <t>N308_12081</t>
        </is>
      </c>
      <c r="K4393" t="inlineStr">
        <is>
          <t>A0A093HGW6_STRCA</t>
        </is>
      </c>
      <c r="L4393" t="inlineStr">
        <is>
          <t>tr|A0A093HGW6|A0A093HGW6_STRCA Paraoxonase (Fragment) OS=Struthio camelus australis OX=441894 GN=N308_12081 PE=3 SV=1</t>
        </is>
      </c>
      <c r="M4393" t="n">
        <v>334</v>
      </c>
      <c r="N4393" t="inlineStr">
        <is>
          <t>Struthio camelus australis</t>
        </is>
      </c>
      <c r="O4393" t="inlineStr">
        <is>
          <t>Paraoxonase (Fragment)</t>
        </is>
      </c>
    </row>
    <row r="4394">
      <c r="A4394" t="inlineStr"/>
      <c r="B4394" t="inlineStr"/>
      <c r="C4394" t="inlineStr"/>
      <c r="D4394" t="inlineStr"/>
      <c r="E4394">
        <f>HYPERLINK("https://www.uniprot.org/uniprotkb/A0A091EE74/entry", "A0A091EE74")</f>
        <v/>
      </c>
      <c r="F4394" t="n">
        <v>66.7</v>
      </c>
      <c r="G4394" t="n">
        <v>123</v>
      </c>
      <c r="H4394" t="n">
        <v>4.01e-58</v>
      </c>
      <c r="I4394" t="inlineStr">
        <is>
          <t>TrEMBL</t>
        </is>
      </c>
      <c r="J4394" t="inlineStr">
        <is>
          <t>N302_03089</t>
        </is>
      </c>
      <c r="K4394" t="inlineStr">
        <is>
          <t>A0A091EE74_CORBR</t>
        </is>
      </c>
      <c r="L4394" t="inlineStr">
        <is>
          <t>tr|A0A091EE74|A0A091EE74_CORBR Paraoxonase (Fragment) OS=Corvus brachyrhynchos OX=85066 GN=N302_03089 PE=3 SV=1</t>
        </is>
      </c>
      <c r="M4394" t="n">
        <v>334</v>
      </c>
      <c r="N4394" t="inlineStr">
        <is>
          <t>Corvus brachyrhynchos</t>
        </is>
      </c>
      <c r="O4394" t="inlineStr">
        <is>
          <t>Paraoxonase (Fragment)</t>
        </is>
      </c>
    </row>
    <row r="4395">
      <c r="A4395" t="inlineStr"/>
      <c r="B4395" t="inlineStr"/>
      <c r="C4395" t="inlineStr"/>
      <c r="D4395" t="inlineStr"/>
      <c r="E4395">
        <f>HYPERLINK("https://www.ncbi.nlm.nih.gov/gene/?term=XP_018122811.1", "XP_018122811.1")</f>
        <v/>
      </c>
      <c r="F4395" t="n">
        <v>71.8</v>
      </c>
      <c r="G4395" t="n">
        <v>124</v>
      </c>
      <c r="H4395" t="n">
        <v>4.64e-58</v>
      </c>
      <c r="I4395" t="inlineStr">
        <is>
          <t>Nr</t>
        </is>
      </c>
      <c r="J4395" t="inlineStr"/>
      <c r="K4395" t="inlineStr"/>
      <c r="L4395" t="inlineStr">
        <is>
          <t>XP_018122811.1 serum paraoxonase/arylesterase 2-like [Xenopus laevis]</t>
        </is>
      </c>
      <c r="M4395" t="n">
        <v>356</v>
      </c>
      <c r="N4395" t="inlineStr">
        <is>
          <t>Xenopus laevis</t>
        </is>
      </c>
      <c r="O4395" t="inlineStr">
        <is>
          <t>serum paraoxonase/arylesterase 2-like</t>
        </is>
      </c>
    </row>
    <row r="4396">
      <c r="A4396" t="inlineStr"/>
      <c r="B4396" t="inlineStr"/>
      <c r="C4396" t="inlineStr"/>
      <c r="D4396" t="inlineStr"/>
      <c r="E4396">
        <f>HYPERLINK("https://www.uniprot.org/uniprotkb/A0A7K9NH30/entry", "A0A7K9NH30")</f>
        <v/>
      </c>
      <c r="F4396" t="n">
        <v>66.7</v>
      </c>
      <c r="G4396" t="n">
        <v>123</v>
      </c>
      <c r="H4396" t="n">
        <v>4.84e-58</v>
      </c>
      <c r="I4396" t="inlineStr">
        <is>
          <t>TrEMBL</t>
        </is>
      </c>
      <c r="J4396" t="inlineStr">
        <is>
          <t>Pon2</t>
        </is>
      </c>
      <c r="K4396" t="inlineStr">
        <is>
          <t>A0A7K9NH30_9CORV</t>
        </is>
      </c>
      <c r="L4396" t="inlineStr">
        <is>
          <t>tr|A0A7K9NH30|A0A7K9NH30_9CORV Paraoxonase (Fragment) OS=Edolisoma coerulescens OX=2585810 GN=Pon2 PE=3 SV=1</t>
        </is>
      </c>
      <c r="M4396" t="n">
        <v>291</v>
      </c>
      <c r="N4396" t="inlineStr">
        <is>
          <t>Edolisoma coerulescens</t>
        </is>
      </c>
      <c r="O4396" t="inlineStr">
        <is>
          <t>Paraoxonase (Fragment)</t>
        </is>
      </c>
    </row>
    <row r="4397">
      <c r="A4397" t="inlineStr"/>
      <c r="B4397" t="inlineStr"/>
      <c r="C4397" t="inlineStr"/>
      <c r="D4397" t="inlineStr"/>
      <c r="E4397">
        <f>HYPERLINK("https://www.ncbi.nlm.nih.gov/gene/?term=XP_031967704.1", "XP_031967704.1")</f>
        <v/>
      </c>
      <c r="F4397" t="n">
        <v>67.5</v>
      </c>
      <c r="G4397" t="n">
        <v>123</v>
      </c>
      <c r="H4397" t="n">
        <v>6.22e-58</v>
      </c>
      <c r="I4397" t="inlineStr">
        <is>
          <t>Nr</t>
        </is>
      </c>
      <c r="J4397" t="inlineStr"/>
      <c r="K4397" t="inlineStr"/>
      <c r="L4397" t="inlineStr">
        <is>
          <t>XP_031967704.1 serum paraoxonase/arylesterase 2 [Corvus moneduloides]</t>
        </is>
      </c>
      <c r="M4397" t="n">
        <v>354</v>
      </c>
      <c r="N4397" t="inlineStr">
        <is>
          <t>Corvus moneduloides</t>
        </is>
      </c>
      <c r="O4397" t="inlineStr">
        <is>
          <t>serum paraoxonase/arylesterase 2</t>
        </is>
      </c>
    </row>
    <row r="4398">
      <c r="A4398" t="inlineStr"/>
      <c r="B4398" t="inlineStr"/>
      <c r="C4398" t="inlineStr"/>
      <c r="D4398" t="inlineStr"/>
      <c r="E4398">
        <f>HYPERLINK("https://www.ncbi.nlm.nih.gov/gene/?term=XP_009952247.1", "XP_009952247.1")</f>
        <v/>
      </c>
      <c r="F4398" t="n">
        <v>66.40000000000001</v>
      </c>
      <c r="G4398" t="n">
        <v>122</v>
      </c>
      <c r="H4398" t="n">
        <v>6.24e-58</v>
      </c>
      <c r="I4398" t="inlineStr">
        <is>
          <t>Nr</t>
        </is>
      </c>
      <c r="J4398" t="inlineStr"/>
      <c r="K4398" t="inlineStr"/>
      <c r="L4398" t="inlineStr">
        <is>
          <t>XP_009952247.1 PREDICTED: serum paraoxonase/arylesterase 2-like, partial [Leptosomus discolor]</t>
        </is>
      </c>
      <c r="M4398" t="n">
        <v>122</v>
      </c>
      <c r="N4398" t="inlineStr">
        <is>
          <t>Leptosomus discolor</t>
        </is>
      </c>
      <c r="O4398" t="inlineStr">
        <is>
          <t>PREDICTED: serum paraoxonase/arylesterase 2-like, partial</t>
        </is>
      </c>
    </row>
    <row r="4399">
      <c r="A4399" t="inlineStr"/>
      <c r="B4399" t="inlineStr"/>
      <c r="C4399" t="inlineStr"/>
      <c r="D4399" t="inlineStr"/>
      <c r="E4399">
        <f>HYPERLINK("https://www.uniprot.org/uniprotkb/A0A8C0V9K3/entry", "A0A8C0V9K3")</f>
        <v/>
      </c>
      <c r="F4399" t="n">
        <v>67.5</v>
      </c>
      <c r="G4399" t="n">
        <v>123</v>
      </c>
      <c r="H4399" t="n">
        <v>8.700000000000001e-58</v>
      </c>
      <c r="I4399" t="inlineStr">
        <is>
          <t>TrEMBL</t>
        </is>
      </c>
      <c r="J4399" t="inlineStr">
        <is>
          <t>LOC111924234</t>
        </is>
      </c>
      <c r="K4399" t="inlineStr">
        <is>
          <t>A0A8C0V9K3_CYACU</t>
        </is>
      </c>
      <c r="L4399" t="inlineStr">
        <is>
          <t>tr|A0A8C0V9K3|A0A8C0V9K3_CYACU Paraoxonase OS=Cyanistes caeruleus OX=156563 GN=LOC111924234 PE=3 SV=1</t>
        </is>
      </c>
      <c r="M4399" t="n">
        <v>337</v>
      </c>
      <c r="N4399" t="inlineStr">
        <is>
          <t>Cyanistes caeruleus</t>
        </is>
      </c>
      <c r="O4399" t="inlineStr">
        <is>
          <t>Paraoxonase</t>
        </is>
      </c>
    </row>
    <row r="4400">
      <c r="A4400" t="inlineStr"/>
      <c r="B4400" t="inlineStr"/>
      <c r="C4400" t="inlineStr"/>
      <c r="D4400" t="inlineStr"/>
      <c r="E4400">
        <f>HYPERLINK("https://www.ncbi.nlm.nih.gov/gene/?term=NXI03205.1", "NXI03205.1")</f>
        <v/>
      </c>
      <c r="F4400" t="n">
        <v>69.09999999999999</v>
      </c>
      <c r="G4400" t="n">
        <v>123</v>
      </c>
      <c r="H4400" t="n">
        <v>8.790000000000001e-58</v>
      </c>
      <c r="I4400" t="inlineStr">
        <is>
          <t>Nr</t>
        </is>
      </c>
      <c r="J4400" t="inlineStr"/>
      <c r="K4400" t="inlineStr"/>
      <c r="L4400" t="inlineStr">
        <is>
          <t>NXI03205.1 PON2 arylesterase [Pachycephala philippinensis]</t>
        </is>
      </c>
      <c r="M4400" t="n">
        <v>291</v>
      </c>
      <c r="N4400" t="inlineStr">
        <is>
          <t>Pachycephala philippinensis</t>
        </is>
      </c>
      <c r="O4400" t="inlineStr">
        <is>
          <t>PON2 arylesterase</t>
        </is>
      </c>
    </row>
    <row r="4401">
      <c r="A4401" t="inlineStr"/>
      <c r="B4401" t="inlineStr"/>
      <c r="C4401" t="inlineStr"/>
      <c r="D4401" t="inlineStr"/>
      <c r="E4401">
        <f>HYPERLINK("https://www.uniprot.org/uniprotkb/A0A8C4P616/entry", "A0A8C4P616")</f>
        <v/>
      </c>
      <c r="F4401" t="n">
        <v>70.7</v>
      </c>
      <c r="G4401" t="n">
        <v>123</v>
      </c>
      <c r="H4401" t="n">
        <v>9.42e-58</v>
      </c>
      <c r="I4401" t="inlineStr">
        <is>
          <t>TrEMBL</t>
        </is>
      </c>
      <c r="J4401" t="inlineStr">
        <is>
          <t>LOC112982366</t>
        </is>
      </c>
      <c r="K4401" t="inlineStr">
        <is>
          <t>A0A8C4P616_DRONO</t>
        </is>
      </c>
      <c r="L4401" t="inlineStr">
        <is>
          <t>tr|A0A8C4P616|A0A8C4P616_DRONO Paraoxonase OS=Dromaius novaehollandiae OX=8790 GN=LOC112982366 PE=3 SV=1</t>
        </is>
      </c>
      <c r="M4401" t="n">
        <v>353</v>
      </c>
      <c r="N4401" t="inlineStr">
        <is>
          <t>Dromaius novaehollandiae</t>
        </is>
      </c>
      <c r="O4401" t="inlineStr">
        <is>
          <t>Paraoxonase</t>
        </is>
      </c>
    </row>
    <row r="4402">
      <c r="A4402" t="inlineStr"/>
      <c r="B4402" t="inlineStr"/>
      <c r="C4402" t="inlineStr"/>
      <c r="D4402" t="inlineStr"/>
      <c r="E4402">
        <f>HYPERLINK("https://www.ncbi.nlm.nih.gov/gene/?term=XP_015473525.1", "XP_015473525.1")</f>
        <v/>
      </c>
      <c r="F4402" t="n">
        <v>69.09999999999999</v>
      </c>
      <c r="G4402" t="n">
        <v>123</v>
      </c>
      <c r="H4402" t="n">
        <v>9.79e-58</v>
      </c>
      <c r="I4402" t="inlineStr">
        <is>
          <t>Nr</t>
        </is>
      </c>
      <c r="J4402" t="inlineStr"/>
      <c r="K4402" t="inlineStr"/>
      <c r="L4402" t="inlineStr">
        <is>
          <t>XP_015473525.1 serum paraoxonase/arylesterase 2 isoform X3 [Parus major]</t>
        </is>
      </c>
      <c r="M4402" t="n">
        <v>345</v>
      </c>
      <c r="N4402" t="inlineStr">
        <is>
          <t>Parus major</t>
        </is>
      </c>
      <c r="O4402" t="inlineStr">
        <is>
          <t>serum paraoxonase/arylesterase 2 isoform X3</t>
        </is>
      </c>
    </row>
    <row r="4403">
      <c r="A4403" t="inlineStr"/>
      <c r="B4403" t="inlineStr"/>
      <c r="C4403" t="inlineStr"/>
      <c r="D4403" t="inlineStr"/>
      <c r="E4403">
        <f>HYPERLINK("https://www.ncbi.nlm.nih.gov/gene/?term=KFV80956.1", "KFV80956.1")</f>
        <v/>
      </c>
      <c r="F4403" t="n">
        <v>69.09999999999999</v>
      </c>
      <c r="G4403" t="n">
        <v>123</v>
      </c>
      <c r="H4403" t="n">
        <v>1.03e-57</v>
      </c>
      <c r="I4403" t="inlineStr">
        <is>
          <t>Nr</t>
        </is>
      </c>
      <c r="J4403" t="inlineStr"/>
      <c r="K4403" t="inlineStr"/>
      <c r="L4403" t="inlineStr">
        <is>
          <t>KFV80956.1 Serum paraoxonase/arylesterase 2, partial [Struthio camelus australis]</t>
        </is>
      </c>
      <c r="M4403" t="n">
        <v>334</v>
      </c>
      <c r="N4403" t="inlineStr">
        <is>
          <t>Struthio camelus australis</t>
        </is>
      </c>
      <c r="O4403" t="inlineStr">
        <is>
          <t>Serum paraoxonase/arylesterase 2, partial</t>
        </is>
      </c>
    </row>
    <row r="4404">
      <c r="A4404" t="inlineStr"/>
      <c r="B4404" t="inlineStr"/>
      <c r="C4404" t="inlineStr"/>
      <c r="D4404" t="inlineStr"/>
      <c r="E4404">
        <f>HYPERLINK("https://www.ncbi.nlm.nih.gov/gene/?term=KFO56263.1", "KFO56263.1")</f>
        <v/>
      </c>
      <c r="F4404" t="n">
        <v>66.7</v>
      </c>
      <c r="G4404" t="n">
        <v>123</v>
      </c>
      <c r="H4404" t="n">
        <v>1.03e-57</v>
      </c>
      <c r="I4404" t="inlineStr">
        <is>
          <t>Nr</t>
        </is>
      </c>
      <c r="J4404" t="inlineStr"/>
      <c r="K4404" t="inlineStr"/>
      <c r="L4404" t="inlineStr">
        <is>
          <t>KFO56263.1 Serum paraoxonase/arylesterase 2, partial [Corvus brachyrhynchos]</t>
        </is>
      </c>
      <c r="M4404" t="n">
        <v>334</v>
      </c>
      <c r="N4404" t="inlineStr">
        <is>
          <t>Corvus brachyrhynchos</t>
        </is>
      </c>
      <c r="O4404" t="inlineStr">
        <is>
          <t>Serum paraoxonase/arylesterase 2, partial</t>
        </is>
      </c>
    </row>
    <row r="4405">
      <c r="A4405" t="inlineStr"/>
      <c r="B4405" t="inlineStr"/>
      <c r="C4405" t="inlineStr"/>
      <c r="D4405" t="inlineStr"/>
      <c r="E4405">
        <f>HYPERLINK("https://www.ncbi.nlm.nih.gov/gene/?term=XP_033367743.1", "XP_033367743.1")</f>
        <v/>
      </c>
      <c r="F4405" t="n">
        <v>69.09999999999999</v>
      </c>
      <c r="G4405" t="n">
        <v>123</v>
      </c>
      <c r="H4405" t="n">
        <v>1.12e-57</v>
      </c>
      <c r="I4405" t="inlineStr">
        <is>
          <t>Nr</t>
        </is>
      </c>
      <c r="J4405" t="inlineStr"/>
      <c r="K4405" t="inlineStr"/>
      <c r="L4405" t="inlineStr">
        <is>
          <t>XP_033367743.1 serum paraoxonase/arylesterase 2 isoform X2 [Parus major]</t>
        </is>
      </c>
      <c r="M4405" t="n">
        <v>350</v>
      </c>
      <c r="N4405" t="inlineStr">
        <is>
          <t>Parus major</t>
        </is>
      </c>
      <c r="O4405" t="inlineStr">
        <is>
          <t>serum paraoxonase/arylesterase 2 isoform X2</t>
        </is>
      </c>
    </row>
    <row r="4406">
      <c r="A4406" t="inlineStr"/>
      <c r="B4406" t="inlineStr"/>
      <c r="C4406" t="inlineStr"/>
      <c r="D4406" t="inlineStr"/>
      <c r="E4406">
        <f>HYPERLINK("https://www.ncbi.nlm.nih.gov/gene/?term=XP_014749525.1", "XP_014749525.1")</f>
        <v/>
      </c>
      <c r="F4406" t="n">
        <v>68.3</v>
      </c>
      <c r="G4406" t="n">
        <v>123</v>
      </c>
      <c r="H4406" t="n">
        <v>1.24e-57</v>
      </c>
      <c r="I4406" t="inlineStr">
        <is>
          <t>Nr</t>
        </is>
      </c>
      <c r="J4406" t="inlineStr"/>
      <c r="K4406" t="inlineStr"/>
      <c r="L4406" t="inlineStr">
        <is>
          <t>XP_014749525.1 PREDICTED: serum paraoxonase/arylesterase 2-like [Sturnus vulgaris]</t>
        </is>
      </c>
      <c r="M4406" t="n">
        <v>267</v>
      </c>
      <c r="N4406" t="inlineStr">
        <is>
          <t>Sturnus vulgaris</t>
        </is>
      </c>
      <c r="O4406" t="inlineStr">
        <is>
          <t>PREDICTED: serum paraoxonase/arylesterase 2-like</t>
        </is>
      </c>
    </row>
    <row r="4407">
      <c r="A4407" t="inlineStr"/>
      <c r="B4407" t="inlineStr"/>
      <c r="C4407" t="inlineStr"/>
      <c r="D4407" t="inlineStr"/>
      <c r="E4407">
        <f>HYPERLINK("https://www.ncbi.nlm.nih.gov/gene/?term=XP_041264870.1", "XP_041264870.1")</f>
        <v/>
      </c>
      <c r="F4407" t="n">
        <v>67.5</v>
      </c>
      <c r="G4407" t="n">
        <v>123</v>
      </c>
      <c r="H4407" t="n">
        <v>1.24e-57</v>
      </c>
      <c r="I4407" t="inlineStr">
        <is>
          <t>Nr</t>
        </is>
      </c>
      <c r="J4407" t="inlineStr"/>
      <c r="K4407" t="inlineStr"/>
      <c r="L4407" t="inlineStr">
        <is>
          <t>XP_041264870.1 serum paraoxonase/arylesterase 2 [Onychostruthus taczanowskii]</t>
        </is>
      </c>
      <c r="M4407" t="n">
        <v>354</v>
      </c>
      <c r="N4407" t="inlineStr">
        <is>
          <t>Onychostruthus taczanowskii</t>
        </is>
      </c>
      <c r="O4407" t="inlineStr">
        <is>
          <t>serum paraoxonase/arylesterase 2</t>
        </is>
      </c>
    </row>
    <row r="4408">
      <c r="A4408" t="inlineStr"/>
      <c r="B4408" t="inlineStr"/>
      <c r="C4408" t="inlineStr"/>
      <c r="D4408" t="inlineStr"/>
      <c r="E4408">
        <f>HYPERLINK("https://www.ncbi.nlm.nih.gov/gene/?term=XP_015473524.1", "XP_015473524.1")</f>
        <v/>
      </c>
      <c r="F4408" t="n">
        <v>69.09999999999999</v>
      </c>
      <c r="G4408" t="n">
        <v>123</v>
      </c>
      <c r="H4408" t="n">
        <v>1.24e-57</v>
      </c>
      <c r="I4408" t="inlineStr">
        <is>
          <t>Nr</t>
        </is>
      </c>
      <c r="J4408" t="inlineStr"/>
      <c r="K4408" t="inlineStr"/>
      <c r="L4408" t="inlineStr">
        <is>
          <t>XP_015473524.1 serum paraoxonase/arylesterase 2 isoform X1 [Parus major]</t>
        </is>
      </c>
      <c r="M4408" t="n">
        <v>354</v>
      </c>
      <c r="N4408" t="inlineStr">
        <is>
          <t>Parus major</t>
        </is>
      </c>
      <c r="O4408" t="inlineStr">
        <is>
          <t>serum paraoxonase/arylesterase 2 isoform X1</t>
        </is>
      </c>
    </row>
    <row r="4409">
      <c r="A4409" t="inlineStr"/>
      <c r="B4409" t="inlineStr"/>
      <c r="C4409" t="inlineStr"/>
      <c r="D4409" t="inlineStr"/>
      <c r="E4409">
        <f>HYPERLINK("https://www.ncbi.nlm.nih.gov/gene/?term=NXH86417.1", "NXH86417.1")</f>
        <v/>
      </c>
      <c r="F4409" t="n">
        <v>66.7</v>
      </c>
      <c r="G4409" t="n">
        <v>123</v>
      </c>
      <c r="H4409" t="n">
        <v>1.24e-57</v>
      </c>
      <c r="I4409" t="inlineStr">
        <is>
          <t>Nr</t>
        </is>
      </c>
      <c r="J4409" t="inlineStr"/>
      <c r="K4409" t="inlineStr"/>
      <c r="L4409" t="inlineStr">
        <is>
          <t>NXH86417.1 PON2 arylesterase [Edolisoma coerulescens]</t>
        </is>
      </c>
      <c r="M4409" t="n">
        <v>291</v>
      </c>
      <c r="N4409" t="inlineStr">
        <is>
          <t>Edolisoma coerulescens</t>
        </is>
      </c>
      <c r="O4409" t="inlineStr">
        <is>
          <t>PON2 arylesterase</t>
        </is>
      </c>
    </row>
    <row r="4410">
      <c r="A4410" t="inlineStr"/>
      <c r="B4410" t="inlineStr"/>
      <c r="C4410" t="inlineStr"/>
      <c r="D4410" t="inlineStr"/>
      <c r="E4410">
        <f>HYPERLINK("https://www.ncbi.nlm.nih.gov/gene/?term=XP_009672628.1", "XP_009672628.1")</f>
        <v/>
      </c>
      <c r="F4410" t="n">
        <v>69.09999999999999</v>
      </c>
      <c r="G4410" t="n">
        <v>123</v>
      </c>
      <c r="H4410" t="n">
        <v>1.31e-57</v>
      </c>
      <c r="I4410" t="inlineStr">
        <is>
          <t>Nr</t>
        </is>
      </c>
      <c r="J4410" t="inlineStr"/>
      <c r="K4410" t="inlineStr"/>
      <c r="L4410" t="inlineStr">
        <is>
          <t>XP_009672628.1 PREDICTED: serum paraoxonase/arylesterase 2, partial [Struthio camelus australis]</t>
        </is>
      </c>
      <c r="M4410" t="n">
        <v>343</v>
      </c>
      <c r="N4410" t="inlineStr">
        <is>
          <t>Struthio camelus australis</t>
        </is>
      </c>
      <c r="O4410" t="inlineStr">
        <is>
          <t>PREDICTED: serum paraoxonase/arylesterase 2, partial</t>
        </is>
      </c>
    </row>
    <row r="4411">
      <c r="A4411" t="inlineStr"/>
      <c r="B4411" t="inlineStr"/>
      <c r="C4411" t="inlineStr"/>
      <c r="D4411" t="inlineStr"/>
      <c r="E4411">
        <f>HYPERLINK("https://www.ncbi.nlm.nih.gov/gene/?term=XP_009873061.1", "XP_009873061.1")</f>
        <v/>
      </c>
      <c r="F4411" t="n">
        <v>71.5</v>
      </c>
      <c r="G4411" t="n">
        <v>123</v>
      </c>
      <c r="H4411" t="n">
        <v>1.48e-57</v>
      </c>
      <c r="I4411" t="inlineStr">
        <is>
          <t>Nr</t>
        </is>
      </c>
      <c r="J4411" t="inlineStr"/>
      <c r="K4411" t="inlineStr"/>
      <c r="L4411" t="inlineStr">
        <is>
          <t>XP_009873061.1 PREDICTED: serum paraoxonase/arylesterase 2-like [Apaloderma vittatum]</t>
        </is>
      </c>
      <c r="M4411" t="n">
        <v>430</v>
      </c>
      <c r="N4411" t="inlineStr">
        <is>
          <t>Apaloderma vittatum</t>
        </is>
      </c>
      <c r="O4411" t="inlineStr">
        <is>
          <t>PREDICTED: serum paraoxonase/arylesterase 2-like</t>
        </is>
      </c>
    </row>
    <row r="4412">
      <c r="A4412" t="inlineStr"/>
      <c r="B4412" t="inlineStr"/>
      <c r="C4412" t="inlineStr"/>
      <c r="D4412" t="inlineStr"/>
      <c r="E4412">
        <f>HYPERLINK("https://www.uniprot.org/uniprotkb/A0A093C9G6/entry", "A0A093C9G6")</f>
        <v/>
      </c>
      <c r="F4412" t="n">
        <v>69.09999999999999</v>
      </c>
      <c r="G4412" t="n">
        <v>123</v>
      </c>
      <c r="H4412" t="n">
        <v>1.6e-57</v>
      </c>
      <c r="I4412" t="inlineStr">
        <is>
          <t>TrEMBL</t>
        </is>
      </c>
      <c r="J4412" t="inlineStr">
        <is>
          <t>N340_13938</t>
        </is>
      </c>
      <c r="K4412" t="inlineStr">
        <is>
          <t>A0A093C9G6_TAUER</t>
        </is>
      </c>
      <c r="L4412" t="inlineStr">
        <is>
          <t>tr|A0A093C9G6|A0A093C9G6_TAUER Paraoxonase (Fragment) OS=Tauraco erythrolophus OX=121530 GN=N340_13938 PE=3 SV=1</t>
        </is>
      </c>
      <c r="M4412" t="n">
        <v>334</v>
      </c>
      <c r="N4412" t="inlineStr">
        <is>
          <t>Tauraco erythrolophus</t>
        </is>
      </c>
      <c r="O4412" t="inlineStr">
        <is>
          <t>Paraoxonase (Fragment)</t>
        </is>
      </c>
    </row>
    <row r="4413">
      <c r="A4413" t="inlineStr"/>
      <c r="B4413" t="inlineStr"/>
      <c r="C4413" t="inlineStr"/>
      <c r="D4413" t="inlineStr"/>
      <c r="E4413">
        <f>HYPERLINK("https://www.uniprot.org/uniprotkb/A0A087V4D5/entry", "A0A087V4D5")</f>
        <v/>
      </c>
      <c r="F4413" t="n">
        <v>68.3</v>
      </c>
      <c r="G4413" t="n">
        <v>123</v>
      </c>
      <c r="H4413" t="n">
        <v>1.79e-57</v>
      </c>
      <c r="I4413" t="inlineStr">
        <is>
          <t>TrEMBL</t>
        </is>
      </c>
      <c r="J4413" t="inlineStr">
        <is>
          <t>N312_06912</t>
        </is>
      </c>
      <c r="K4413" t="inlineStr">
        <is>
          <t>A0A087V4D5_BALRE</t>
        </is>
      </c>
      <c r="L4413" t="inlineStr">
        <is>
          <t>tr|A0A087V4D5|A0A087V4D5_BALRE Paraoxonase (Fragment) OS=Balearica regulorum gibbericeps OX=100784 GN=N312_06912 PE=3 SV=1</t>
        </is>
      </c>
      <c r="M4413" t="n">
        <v>338</v>
      </c>
      <c r="N4413" t="inlineStr">
        <is>
          <t>Balearica regulorum gibbericeps</t>
        </is>
      </c>
      <c r="O4413" t="inlineStr">
        <is>
          <t>Paraoxonase (Fragment)</t>
        </is>
      </c>
    </row>
    <row r="4414">
      <c r="A4414" t="inlineStr"/>
      <c r="B4414" t="inlineStr"/>
      <c r="C4414" t="inlineStr"/>
      <c r="D4414" t="inlineStr"/>
      <c r="E4414">
        <f>HYPERLINK("https://www.uniprot.org/uniprotkb/A0A8C9NGT6/entry", "A0A8C9NGT6")</f>
        <v/>
      </c>
      <c r="F4414" t="n">
        <v>66.7</v>
      </c>
      <c r="G4414" t="n">
        <v>123</v>
      </c>
      <c r="H4414" t="n">
        <v>2.16e-57</v>
      </c>
      <c r="I4414" t="inlineStr">
        <is>
          <t>TrEMBL</t>
        </is>
      </c>
      <c r="J4414" t="inlineStr"/>
      <c r="K4414" t="inlineStr">
        <is>
          <t>A0A8C9NGT6_SERCA</t>
        </is>
      </c>
      <c r="L4414" t="inlineStr">
        <is>
          <t>tr|A0A8C9NGT6|A0A8C9NGT6_SERCA Paraoxonase OS=Serinus canaria OX=9135 PE=3 SV=1</t>
        </is>
      </c>
      <c r="M4414" t="n">
        <v>345</v>
      </c>
      <c r="N4414" t="inlineStr">
        <is>
          <t>Serinus canaria</t>
        </is>
      </c>
      <c r="O4414" t="inlineStr">
        <is>
          <t>Paraoxonase</t>
        </is>
      </c>
    </row>
    <row r="4415">
      <c r="A4415" t="inlineStr"/>
      <c r="B4415" t="inlineStr"/>
      <c r="C4415" t="inlineStr"/>
      <c r="D4415" t="inlineStr"/>
      <c r="E4415">
        <f>HYPERLINK("https://www.uniprot.org/uniprotkb/A0A8K1LDQ8/entry", "A0A8K1LDQ8")</f>
        <v/>
      </c>
      <c r="F4415" t="n">
        <v>68.3</v>
      </c>
      <c r="G4415" t="n">
        <v>123</v>
      </c>
      <c r="H4415" t="n">
        <v>2.73e-57</v>
      </c>
      <c r="I4415" t="inlineStr">
        <is>
          <t>TrEMBL</t>
        </is>
      </c>
      <c r="J4415" t="inlineStr">
        <is>
          <t>HGM15179_017063</t>
        </is>
      </c>
      <c r="K4415" t="inlineStr">
        <is>
          <t>A0A8K1LDQ8_9PASS</t>
        </is>
      </c>
      <c r="L4415" t="inlineStr">
        <is>
          <t>tr|A0A8K1LDQ8|A0A8K1LDQ8_9PASS Paraoxonase OS=Zosterops borbonicus OX=364589 GN=HGM15179_017063 PE=3 SV=1</t>
        </is>
      </c>
      <c r="M4415" t="n">
        <v>354</v>
      </c>
      <c r="N4415" t="inlineStr">
        <is>
          <t>Zosterops borbonicus</t>
        </is>
      </c>
      <c r="O4415" t="inlineStr">
        <is>
          <t>Paraoxonase</t>
        </is>
      </c>
    </row>
    <row r="4416">
      <c r="A4416" t="inlineStr"/>
      <c r="B4416" t="inlineStr"/>
      <c r="C4416" t="inlineStr"/>
      <c r="D4416" t="inlineStr"/>
      <c r="E4416">
        <f>HYPERLINK("https://www.uniprot.org/uniprotkb/A0A8B9RS33/entry", "A0A8B9RS33")</f>
        <v/>
      </c>
      <c r="F4416" t="n">
        <v>68.3</v>
      </c>
      <c r="G4416" t="n">
        <v>123</v>
      </c>
      <c r="H4416" t="n">
        <v>3.86e-57</v>
      </c>
      <c r="I4416" t="inlineStr">
        <is>
          <t>TrEMBL</t>
        </is>
      </c>
      <c r="J4416" t="inlineStr"/>
      <c r="K4416" t="inlineStr">
        <is>
          <t>A0A8B9RS33_9AVES</t>
        </is>
      </c>
      <c r="L4416" t="inlineStr">
        <is>
          <t>tr|A0A8B9RS33|A0A8B9RS33_9AVES Paraoxonase OS=Accipiter nisus OX=211598 PE=3 SV=1</t>
        </is>
      </c>
      <c r="M4416" t="n">
        <v>354</v>
      </c>
      <c r="N4416" t="inlineStr">
        <is>
          <t>Accipiter nisus</t>
        </is>
      </c>
      <c r="O4416" t="inlineStr">
        <is>
          <t>Paraoxonase</t>
        </is>
      </c>
    </row>
    <row r="4417">
      <c r="A4417" t="inlineStr"/>
      <c r="B4417" t="inlineStr"/>
      <c r="C4417" t="inlineStr"/>
      <c r="D4417" t="inlineStr"/>
      <c r="E4417">
        <f>HYPERLINK("https://www.uniprot.org/uniprotkb/A0A7K7JE20/entry", "A0A7K7JE20")</f>
        <v/>
      </c>
      <c r="F4417" t="n">
        <v>66.7</v>
      </c>
      <c r="G4417" t="n">
        <v>123</v>
      </c>
      <c r="H4417" t="n">
        <v>3.91e-57</v>
      </c>
      <c r="I4417" t="inlineStr">
        <is>
          <t>TrEMBL</t>
        </is>
      </c>
      <c r="J4417" t="inlineStr">
        <is>
          <t>Pon2</t>
        </is>
      </c>
      <c r="K4417" t="inlineStr">
        <is>
          <t>A0A7K7JE20_AGEPH</t>
        </is>
      </c>
      <c r="L4417" t="inlineStr">
        <is>
          <t>tr|A0A7K7JE20|A0A7K7JE20_AGEPH Paraoxonase (Fragment) OS=Agelaius phoeniceus OX=39638 GN=Pon2 PE=3 SV=1</t>
        </is>
      </c>
      <c r="M4417" t="n">
        <v>291</v>
      </c>
      <c r="N4417" t="inlineStr">
        <is>
          <t>Agelaius phoeniceus</t>
        </is>
      </c>
      <c r="O4417" t="inlineStr">
        <is>
          <t>Paraoxonase (Fragment)</t>
        </is>
      </c>
    </row>
    <row r="4418">
      <c r="A4418" t="inlineStr"/>
      <c r="B4418" t="inlineStr"/>
      <c r="C4418" t="inlineStr"/>
      <c r="D4418" t="inlineStr"/>
      <c r="E4418">
        <f>HYPERLINK("https://www.uniprot.org/uniprotkb/A0A7L2FV32/entry", "A0A7L2FV32")</f>
        <v/>
      </c>
      <c r="F4418" t="n">
        <v>66.7</v>
      </c>
      <c r="G4418" t="n">
        <v>123</v>
      </c>
      <c r="H4418" t="n">
        <v>3.91e-57</v>
      </c>
      <c r="I4418" t="inlineStr">
        <is>
          <t>TrEMBL</t>
        </is>
      </c>
      <c r="J4418" t="inlineStr">
        <is>
          <t>Pon2</t>
        </is>
      </c>
      <c r="K4418" t="inlineStr">
        <is>
          <t>A0A7L2FV32_QUIME</t>
        </is>
      </c>
      <c r="L4418" t="inlineStr">
        <is>
          <t>tr|A0A7L2FV32|A0A7L2FV32_QUIME Paraoxonase (Fragment) OS=Quiscalus mexicanus OX=64278 GN=Pon2 PE=3 SV=1</t>
        </is>
      </c>
      <c r="M4418" t="n">
        <v>291</v>
      </c>
      <c r="N4418" t="inlineStr">
        <is>
          <t>Quiscalus mexicanus</t>
        </is>
      </c>
      <c r="O4418" t="inlineStr">
        <is>
          <t>Paraoxonase (Fragment)</t>
        </is>
      </c>
    </row>
    <row r="4419">
      <c r="A4419" t="inlineStr"/>
      <c r="B4419" t="inlineStr"/>
      <c r="C4419" t="inlineStr"/>
      <c r="D4419" t="inlineStr"/>
      <c r="E4419">
        <f>HYPERLINK("https://www.uniprot.org/uniprotkb/P27169/entry", "P27169")</f>
        <v/>
      </c>
      <c r="F4419" t="n">
        <v>65</v>
      </c>
      <c r="G4419" t="n">
        <v>123</v>
      </c>
      <c r="H4419" t="n">
        <v>2.03e-56</v>
      </c>
      <c r="I4419" t="inlineStr">
        <is>
          <t>Swiss-Prot</t>
        </is>
      </c>
      <c r="J4419" t="inlineStr">
        <is>
          <t>PON1</t>
        </is>
      </c>
      <c r="K4419" t="inlineStr">
        <is>
          <t>PON1_HUMAN</t>
        </is>
      </c>
      <c r="L4419" t="inlineStr">
        <is>
          <t>sp|P27169|PON1_HUMAN Serum paraoxonase/arylesterase 1 OS=Homo sapiens OX=9606 GN=PON1 PE=1 SV=3</t>
        </is>
      </c>
      <c r="M4419" t="n">
        <v>355</v>
      </c>
      <c r="N4419" t="inlineStr">
        <is>
          <t>Homo sapiens</t>
        </is>
      </c>
      <c r="O4419" t="inlineStr">
        <is>
          <t>Serum paraoxonase/arylesterase 1</t>
        </is>
      </c>
    </row>
    <row r="4420">
      <c r="A4420" t="inlineStr"/>
      <c r="B4420" t="inlineStr"/>
      <c r="C4420" t="inlineStr"/>
      <c r="D4420" t="inlineStr"/>
      <c r="E4420">
        <f>HYPERLINK("https://www.uniprot.org/uniprotkb/Q90952/entry", "Q90952")</f>
        <v/>
      </c>
      <c r="F4420" t="n">
        <v>63.4</v>
      </c>
      <c r="G4420" t="n">
        <v>123</v>
      </c>
      <c r="H4420" t="n">
        <v>3.52e-54</v>
      </c>
      <c r="I4420" t="inlineStr">
        <is>
          <t>Swiss-Prot</t>
        </is>
      </c>
      <c r="J4420" t="inlineStr">
        <is>
          <t>PON2</t>
        </is>
      </c>
      <c r="K4420" t="inlineStr">
        <is>
          <t>PON2_CHICK</t>
        </is>
      </c>
      <c r="L4420" t="inlineStr">
        <is>
          <t>sp|Q90952|PON2_CHICK Serum paraoxonase/arylesterase 2 OS=Gallus gallus OX=9031 GN=PON2 PE=2 SV=1</t>
        </is>
      </c>
      <c r="M4420" t="n">
        <v>354</v>
      </c>
      <c r="N4420" t="inlineStr">
        <is>
          <t>Gallus gallus</t>
        </is>
      </c>
      <c r="O4420" t="inlineStr">
        <is>
          <t>Serum paraoxonase/arylesterase 2</t>
        </is>
      </c>
    </row>
    <row r="4421">
      <c r="A4421" t="inlineStr"/>
      <c r="B4421" t="inlineStr"/>
      <c r="C4421" t="inlineStr"/>
      <c r="D4421" t="inlineStr"/>
      <c r="E4421">
        <f>HYPERLINK("https://www.uniprot.org/uniprotkb/P52430/entry", "P52430")</f>
        <v/>
      </c>
      <c r="F4421" t="n">
        <v>61.8</v>
      </c>
      <c r="G4421" t="n">
        <v>123</v>
      </c>
      <c r="H4421" t="n">
        <v>1.02e-53</v>
      </c>
      <c r="I4421" t="inlineStr">
        <is>
          <t>Swiss-Prot</t>
        </is>
      </c>
      <c r="J4421" t="inlineStr">
        <is>
          <t>Pon1</t>
        </is>
      </c>
      <c r="K4421" t="inlineStr">
        <is>
          <t>PON1_MOUSE</t>
        </is>
      </c>
      <c r="L4421" t="inlineStr">
        <is>
          <t>sp|P52430|PON1_MOUSE Serum paraoxonase/arylesterase 1 OS=Mus musculus OX=10090 GN=Pon1 PE=1 SV=2</t>
        </is>
      </c>
      <c r="M4421" t="n">
        <v>355</v>
      </c>
      <c r="N4421" t="inlineStr">
        <is>
          <t>Mus musculus</t>
        </is>
      </c>
      <c r="O4421" t="inlineStr">
        <is>
          <t>Serum paraoxonase/arylesterase 1</t>
        </is>
      </c>
    </row>
    <row r="4422">
      <c r="A4422" t="inlineStr"/>
      <c r="B4422" t="inlineStr"/>
      <c r="C4422" t="inlineStr"/>
      <c r="D4422" t="inlineStr"/>
      <c r="E4422">
        <f>HYPERLINK("https://www.uniprot.org/uniprotkb/Q15165/entry", "Q15165")</f>
        <v/>
      </c>
      <c r="F4422" t="n">
        <v>63.4</v>
      </c>
      <c r="G4422" t="n">
        <v>123</v>
      </c>
      <c r="H4422" t="n">
        <v>1.56e-52</v>
      </c>
      <c r="I4422" t="inlineStr">
        <is>
          <t>Swiss-Prot</t>
        </is>
      </c>
      <c r="J4422" t="inlineStr">
        <is>
          <t>PON2</t>
        </is>
      </c>
      <c r="K4422" t="inlineStr">
        <is>
          <t>PON2_HUMAN</t>
        </is>
      </c>
      <c r="L4422" t="inlineStr">
        <is>
          <t>sp|Q15165|PON2_HUMAN Serum paraoxonase/arylesterase 2 OS=Homo sapiens OX=9606 GN=PON2 PE=1 SV=4</t>
        </is>
      </c>
      <c r="M4422" t="n">
        <v>354</v>
      </c>
      <c r="N4422" t="inlineStr">
        <is>
          <t>Homo sapiens</t>
        </is>
      </c>
      <c r="O4422" t="inlineStr">
        <is>
          <t>Serum paraoxonase/arylesterase 2</t>
        </is>
      </c>
    </row>
    <row r="4423">
      <c r="A4423" t="inlineStr"/>
      <c r="B4423" t="inlineStr"/>
      <c r="C4423" t="inlineStr"/>
      <c r="D4423" t="inlineStr"/>
      <c r="E4423">
        <f>HYPERLINK("https://www.uniprot.org/uniprotkb/Q91090/entry", "Q91090")</f>
        <v/>
      </c>
      <c r="F4423" t="n">
        <v>61.8</v>
      </c>
      <c r="G4423" t="n">
        <v>123</v>
      </c>
      <c r="H4423" t="n">
        <v>4.399999999999999e-52</v>
      </c>
      <c r="I4423" t="inlineStr">
        <is>
          <t>Swiss-Prot</t>
        </is>
      </c>
      <c r="J4423" t="inlineStr">
        <is>
          <t>PON2</t>
        </is>
      </c>
      <c r="K4423" t="inlineStr">
        <is>
          <t>PON2_MELGA</t>
        </is>
      </c>
      <c r="L4423" t="inlineStr">
        <is>
          <t>sp|Q91090|PON2_MELGA Serum paraoxonase/arylesterase 2 OS=Meleagris gallopavo OX=9103 GN=PON2 PE=2 SV=1</t>
        </is>
      </c>
      <c r="M4423" t="n">
        <v>354</v>
      </c>
      <c r="N4423" t="inlineStr">
        <is>
          <t>Meleagris gallopavo</t>
        </is>
      </c>
      <c r="O4423" t="inlineStr">
        <is>
          <t>Serum paraoxonase/arylesterase 2</t>
        </is>
      </c>
    </row>
    <row r="4424">
      <c r="A4424" t="inlineStr"/>
      <c r="B4424" t="inlineStr"/>
      <c r="C4424" t="inlineStr"/>
      <c r="D4424" t="inlineStr"/>
      <c r="E4424">
        <f>HYPERLINK("https://www.uniprot.org/uniprotkb/P27170/entry", "P27170")</f>
        <v/>
      </c>
      <c r="F4424" t="n">
        <v>60.5</v>
      </c>
      <c r="G4424" t="n">
        <v>124</v>
      </c>
      <c r="H4424" t="n">
        <v>4.969999999999999e-52</v>
      </c>
      <c r="I4424" t="inlineStr">
        <is>
          <t>Swiss-Prot</t>
        </is>
      </c>
      <c r="J4424" t="inlineStr">
        <is>
          <t>PON1</t>
        </is>
      </c>
      <c r="K4424" t="inlineStr">
        <is>
          <t>PON1_RABIT</t>
        </is>
      </c>
      <c r="L4424" t="inlineStr">
        <is>
          <t>sp|P27170|PON1_RABIT Serum paraoxonase/arylesterase 1 OS=Oryctolagus cuniculus OX=9986 GN=PON1 PE=1 SV=2</t>
        </is>
      </c>
      <c r="M4424" t="n">
        <v>359</v>
      </c>
      <c r="N4424" t="inlineStr">
        <is>
          <t>Oryctolagus cuniculus</t>
        </is>
      </c>
      <c r="O4424" t="inlineStr">
        <is>
          <t>Serum paraoxonase/arylesterase 1</t>
        </is>
      </c>
    </row>
    <row r="4425">
      <c r="A4425" t="inlineStr"/>
      <c r="B4425" t="inlineStr"/>
      <c r="C4425" t="inlineStr"/>
      <c r="D4425" t="inlineStr"/>
      <c r="E4425">
        <f>HYPERLINK("https://www.uniprot.org/uniprotkb/Q15166/entry", "Q15166")</f>
        <v/>
      </c>
      <c r="F4425" t="n">
        <v>62.6</v>
      </c>
      <c r="G4425" t="n">
        <v>123</v>
      </c>
      <c r="H4425" t="n">
        <v>1.75e-51</v>
      </c>
      <c r="I4425" t="inlineStr">
        <is>
          <t>Swiss-Prot</t>
        </is>
      </c>
      <c r="J4425" t="inlineStr">
        <is>
          <t>PON3</t>
        </is>
      </c>
      <c r="K4425" t="inlineStr">
        <is>
          <t>PON3_HUMAN</t>
        </is>
      </c>
      <c r="L4425" t="inlineStr">
        <is>
          <t>sp|Q15166|PON3_HUMAN Serum paraoxonase/lactonase 3 OS=Homo sapiens OX=9606 GN=PON3 PE=1 SV=3</t>
        </is>
      </c>
      <c r="M4425" t="n">
        <v>354</v>
      </c>
      <c r="N4425" t="inlineStr">
        <is>
          <t>Homo sapiens</t>
        </is>
      </c>
      <c r="O4425" t="inlineStr">
        <is>
          <t>Serum paraoxonase/lactonase 3</t>
        </is>
      </c>
    </row>
    <row r="4426">
      <c r="A4426" t="inlineStr"/>
      <c r="B4426" t="inlineStr"/>
      <c r="C4426" t="inlineStr"/>
      <c r="D4426" t="inlineStr"/>
      <c r="E4426">
        <f>HYPERLINK("https://www.uniprot.org/uniprotkb/P55159/entry", "P55159")</f>
        <v/>
      </c>
      <c r="F4426" t="n">
        <v>59.3</v>
      </c>
      <c r="G4426" t="n">
        <v>123</v>
      </c>
      <c r="H4426" t="n">
        <v>7.1e-51</v>
      </c>
      <c r="I4426" t="inlineStr">
        <is>
          <t>Swiss-Prot</t>
        </is>
      </c>
      <c r="J4426" t="inlineStr">
        <is>
          <t>Pon1</t>
        </is>
      </c>
      <c r="K4426" t="inlineStr">
        <is>
          <t>PON1_RAT</t>
        </is>
      </c>
      <c r="L4426" t="inlineStr">
        <is>
          <t>sp|P55159|PON1_RAT Serum paraoxonase/arylesterase 1 OS=Rattus norvegicus OX=10116 GN=Pon1 PE=1 SV=3</t>
        </is>
      </c>
      <c r="M4426" t="n">
        <v>355</v>
      </c>
      <c r="N4426" t="inlineStr">
        <is>
          <t>Rattus norvegicus</t>
        </is>
      </c>
      <c r="O4426" t="inlineStr">
        <is>
          <t>Serum paraoxonase/arylesterase 1</t>
        </is>
      </c>
    </row>
    <row r="4427">
      <c r="A4427" t="inlineStr"/>
      <c r="B4427" t="inlineStr"/>
      <c r="C4427" t="inlineStr"/>
      <c r="D4427" t="inlineStr"/>
      <c r="E4427">
        <f>HYPERLINK("https://www.uniprot.org/uniprotkb/Q68FP2/entry", "Q68FP2")</f>
        <v/>
      </c>
      <c r="F4427" t="n">
        <v>61</v>
      </c>
      <c r="G4427" t="n">
        <v>123</v>
      </c>
      <c r="H4427" t="n">
        <v>6.08e-49</v>
      </c>
      <c r="I4427" t="inlineStr">
        <is>
          <t>Swiss-Prot</t>
        </is>
      </c>
      <c r="J4427" t="inlineStr">
        <is>
          <t>Pon3</t>
        </is>
      </c>
      <c r="K4427" t="inlineStr">
        <is>
          <t>PON3_RAT</t>
        </is>
      </c>
      <c r="L4427" t="inlineStr">
        <is>
          <t>sp|Q68FP2|PON3_RAT Serum paraoxonase/lactonase 3 OS=Rattus norvegicus OX=10116 GN=Pon3 PE=2 SV=1</t>
        </is>
      </c>
      <c r="M4427" t="n">
        <v>354</v>
      </c>
      <c r="N4427" t="inlineStr">
        <is>
          <t>Rattus norvegicus</t>
        </is>
      </c>
      <c r="O4427" t="inlineStr">
        <is>
          <t>Serum paraoxonase/lactonase 3</t>
        </is>
      </c>
    </row>
    <row r="4428">
      <c r="A4428" t="inlineStr"/>
      <c r="B4428" t="inlineStr"/>
      <c r="C4428" t="inlineStr"/>
      <c r="D4428" t="inlineStr"/>
      <c r="E4428">
        <f>HYPERLINK("https://www.uniprot.org/uniprotkb/Q58DS7/entry", "Q58DS7")</f>
        <v/>
      </c>
      <c r="F4428" t="n">
        <v>61</v>
      </c>
      <c r="G4428" t="n">
        <v>123</v>
      </c>
      <c r="H4428" t="n">
        <v>8.57e-49</v>
      </c>
      <c r="I4428" t="inlineStr">
        <is>
          <t>Swiss-Prot</t>
        </is>
      </c>
      <c r="J4428" t="inlineStr">
        <is>
          <t>PON2</t>
        </is>
      </c>
      <c r="K4428" t="inlineStr">
        <is>
          <t>PON2_BOVIN</t>
        </is>
      </c>
      <c r="L4428" t="inlineStr">
        <is>
          <t>sp|Q58DS7|PON2_BOVIN Serum paraoxonase/arylesterase 2 OS=Bos taurus OX=9913 GN=PON2 PE=2 SV=1</t>
        </is>
      </c>
      <c r="M4428" t="n">
        <v>354</v>
      </c>
      <c r="N4428" t="inlineStr">
        <is>
          <t>Bos taurus</t>
        </is>
      </c>
      <c r="O4428" t="inlineStr">
        <is>
          <t>Serum paraoxonase/arylesterase 2</t>
        </is>
      </c>
    </row>
    <row r="4429">
      <c r="A4429" t="inlineStr"/>
      <c r="B4429" t="inlineStr"/>
      <c r="C4429" t="inlineStr"/>
      <c r="D4429" t="inlineStr"/>
      <c r="E4429">
        <f>HYPERLINK("https://www.uniprot.org/uniprotkb/Q9BGN0/entry", "Q9BGN0")</f>
        <v/>
      </c>
      <c r="F4429" t="n">
        <v>60.2</v>
      </c>
      <c r="G4429" t="n">
        <v>123</v>
      </c>
      <c r="H4429" t="n">
        <v>8.57e-49</v>
      </c>
      <c r="I4429" t="inlineStr">
        <is>
          <t>Swiss-Prot</t>
        </is>
      </c>
      <c r="J4429" t="inlineStr">
        <is>
          <t>PON3</t>
        </is>
      </c>
      <c r="K4429" t="inlineStr">
        <is>
          <t>PON3_RABIT</t>
        </is>
      </c>
      <c r="L4429" t="inlineStr">
        <is>
          <t>sp|Q9BGN0|PON3_RABIT Serum paraoxonase/lactonase 3 OS=Oryctolagus cuniculus OX=9986 GN=PON3 PE=1 SV=1</t>
        </is>
      </c>
      <c r="M4429" t="n">
        <v>354</v>
      </c>
      <c r="N4429" t="inlineStr">
        <is>
          <t>Oryctolagus cuniculus</t>
        </is>
      </c>
      <c r="O4429" t="inlineStr">
        <is>
          <t>Serum paraoxonase/lactonase 3</t>
        </is>
      </c>
    </row>
    <row r="4430">
      <c r="A4430" t="inlineStr"/>
      <c r="B4430" t="inlineStr"/>
      <c r="C4430" t="inlineStr"/>
      <c r="D4430" t="inlineStr"/>
      <c r="E4430">
        <f>HYPERLINK("https://www.uniprot.org/uniprotkb/P54832/entry", "P54832")</f>
        <v/>
      </c>
      <c r="F4430" t="n">
        <v>61</v>
      </c>
      <c r="G4430" t="n">
        <v>123</v>
      </c>
      <c r="H4430" t="n">
        <v>4.779999999999999e-48</v>
      </c>
      <c r="I4430" t="inlineStr">
        <is>
          <t>Swiss-Prot</t>
        </is>
      </c>
      <c r="J4430" t="inlineStr">
        <is>
          <t>PON2</t>
        </is>
      </c>
      <c r="K4430" t="inlineStr">
        <is>
          <t>PON2_CANLF</t>
        </is>
      </c>
      <c r="L4430" t="inlineStr">
        <is>
          <t>sp|P54832|PON2_CANLF Serum paraoxonase/arylesterase 2 OS=Canis lupus familiaris OX=9615 GN=PON2 PE=2 SV=1</t>
        </is>
      </c>
      <c r="M4430" t="n">
        <v>354</v>
      </c>
      <c r="N4430" t="inlineStr">
        <is>
          <t>Canis lupus familiaris</t>
        </is>
      </c>
      <c r="O4430" t="inlineStr">
        <is>
          <t>Serum paraoxonase/arylesterase 2</t>
        </is>
      </c>
    </row>
    <row r="4431">
      <c r="A4431" t="inlineStr"/>
      <c r="B4431" t="inlineStr"/>
      <c r="C4431" t="inlineStr"/>
      <c r="D4431" t="inlineStr"/>
      <c r="E4431">
        <f>HYPERLINK("https://www.uniprot.org/uniprotkb/Q62087/entry", "Q62087")</f>
        <v/>
      </c>
      <c r="F4431" t="n">
        <v>58.5</v>
      </c>
      <c r="G4431" t="n">
        <v>123</v>
      </c>
      <c r="H4431" t="n">
        <v>1.34e-47</v>
      </c>
      <c r="I4431" t="inlineStr">
        <is>
          <t>Swiss-Prot</t>
        </is>
      </c>
      <c r="J4431" t="inlineStr">
        <is>
          <t>Pon3</t>
        </is>
      </c>
      <c r="K4431" t="inlineStr">
        <is>
          <t>PON3_MOUSE</t>
        </is>
      </c>
      <c r="L4431" t="inlineStr">
        <is>
          <t>sp|Q62087|PON3_MOUSE Serum paraoxonase/lactonase 3 OS=Mus musculus OX=10090 GN=Pon3 PE=1 SV=2</t>
        </is>
      </c>
      <c r="M4431" t="n">
        <v>354</v>
      </c>
      <c r="N4431" t="inlineStr">
        <is>
          <t>Mus musculus</t>
        </is>
      </c>
      <c r="O4431" t="inlineStr">
        <is>
          <t>Serum paraoxonase/lactonase 3</t>
        </is>
      </c>
    </row>
    <row r="4432">
      <c r="A4432" t="inlineStr"/>
      <c r="B4432" t="inlineStr"/>
      <c r="C4432" t="inlineStr"/>
      <c r="D4432" t="inlineStr"/>
      <c r="E4432">
        <f>HYPERLINK("https://www.uniprot.org/uniprotkb/Q62086/entry", "Q62086")</f>
        <v/>
      </c>
      <c r="F4432" t="n">
        <v>60.2</v>
      </c>
      <c r="G4432" t="n">
        <v>123</v>
      </c>
      <c r="H4432" t="n">
        <v>3.76e-47</v>
      </c>
      <c r="I4432" t="inlineStr">
        <is>
          <t>Swiss-Prot</t>
        </is>
      </c>
      <c r="J4432" t="inlineStr">
        <is>
          <t>Pon2</t>
        </is>
      </c>
      <c r="K4432" t="inlineStr">
        <is>
          <t>PON2_MOUSE</t>
        </is>
      </c>
      <c r="L4432" t="inlineStr">
        <is>
          <t>sp|Q62086|PON2_MOUSE Serum paraoxonase/arylesterase 2 OS=Mus musculus OX=10090 GN=Pon2 PE=1 SV=2</t>
        </is>
      </c>
      <c r="M4432" t="n">
        <v>354</v>
      </c>
      <c r="N4432" t="inlineStr">
        <is>
          <t>Mus musculus</t>
        </is>
      </c>
      <c r="O4432" t="inlineStr">
        <is>
          <t>Serum paraoxonase/arylesterase 2</t>
        </is>
      </c>
    </row>
    <row r="4433">
      <c r="A4433" t="inlineStr"/>
      <c r="B4433" t="inlineStr"/>
      <c r="C4433" t="inlineStr"/>
      <c r="D4433" t="inlineStr"/>
      <c r="E4433">
        <f>HYPERLINK("https://www.uniprot.org/uniprotkb/Q6AXM8/entry", "Q6AXM8")</f>
        <v/>
      </c>
      <c r="F4433" t="n">
        <v>60.2</v>
      </c>
      <c r="G4433" t="n">
        <v>123</v>
      </c>
      <c r="H4433" t="n">
        <v>3.76e-47</v>
      </c>
      <c r="I4433" t="inlineStr">
        <is>
          <t>Swiss-Prot</t>
        </is>
      </c>
      <c r="J4433" t="inlineStr">
        <is>
          <t>Pon2</t>
        </is>
      </c>
      <c r="K4433" t="inlineStr">
        <is>
          <t>PON2_RAT</t>
        </is>
      </c>
      <c r="L4433" t="inlineStr">
        <is>
          <t>sp|Q6AXM8|PON2_RAT Serum paraoxonase/arylesterase 2 OS=Rattus norvegicus OX=10116 GN=Pon2 PE=2 SV=1</t>
        </is>
      </c>
      <c r="M4433" t="n">
        <v>354</v>
      </c>
      <c r="N4433" t="inlineStr">
        <is>
          <t>Rattus norvegicus</t>
        </is>
      </c>
      <c r="O4433" t="inlineStr">
        <is>
          <t>Serum paraoxonase/arylesterase 2</t>
        </is>
      </c>
    </row>
    <row r="4434">
      <c r="A4434" t="inlineStr"/>
      <c r="B4434" t="inlineStr"/>
      <c r="C4434" t="inlineStr"/>
      <c r="D4434" t="inlineStr"/>
      <c r="E4434">
        <f>HYPERLINK("https://www.uniprot.org/uniprotkb/O01811/entry", "O01811")</f>
        <v/>
      </c>
      <c r="F4434" t="n">
        <v>27.1</v>
      </c>
      <c r="G4434" t="n">
        <v>129</v>
      </c>
      <c r="H4434" t="n">
        <v>7.01e-09</v>
      </c>
      <c r="I4434" t="inlineStr">
        <is>
          <t>Swiss-Prot</t>
        </is>
      </c>
      <c r="J4434" t="inlineStr">
        <is>
          <t>mec-6</t>
        </is>
      </c>
      <c r="K4434" t="inlineStr">
        <is>
          <t>MEC6_CAEEL</t>
        </is>
      </c>
      <c r="L4434" t="inlineStr">
        <is>
          <t>sp|O01811|MEC6_CAEEL Mechanosensory abnormality protein 6 OS=Caenorhabditis elegans OX=6239 GN=mec-6 PE=1 SV=2</t>
        </is>
      </c>
      <c r="M4434" t="n">
        <v>377</v>
      </c>
      <c r="N4434" t="inlineStr">
        <is>
          <t>Caenorhabditis elegans</t>
        </is>
      </c>
      <c r="O4434" t="inlineStr">
        <is>
          <t>Mechanosensory abnormality protein 6</t>
        </is>
      </c>
    </row>
    <row r="4435">
      <c r="A4435" t="inlineStr">
        <is>
          <t>NODE_28687_length_4108_cov_3558.481811_g3800_i2</t>
        </is>
      </c>
      <c r="B4435" t="inlineStr">
        <is>
          <t>bombina_pachypus_blastx</t>
        </is>
      </c>
      <c r="C4435" t="n">
        <v>-29.4825810440266</v>
      </c>
      <c r="D4435" t="n">
        <v>2.65034915028416e-10</v>
      </c>
      <c r="E4435">
        <f>HYPERLINK("https://www.ncbi.nlm.nih.gov/gene/?term=XP_053310145.1", "XP_053310145.1")</f>
        <v/>
      </c>
      <c r="F4435" t="n">
        <v>93.2</v>
      </c>
      <c r="G4435" t="n">
        <v>222</v>
      </c>
      <c r="H4435" t="n">
        <v>9.490000000000001e-156</v>
      </c>
      <c r="I4435" t="inlineStr">
        <is>
          <t>Nr</t>
        </is>
      </c>
      <c r="J4435" t="inlineStr"/>
      <c r="K4435" t="inlineStr"/>
      <c r="L4435" t="inlineStr">
        <is>
          <t>XP_053310145.1 metalloproteinase inhibitor 2 [Spea bombifrons]</t>
        </is>
      </c>
      <c r="M4435" t="n">
        <v>222</v>
      </c>
      <c r="N4435" t="inlineStr">
        <is>
          <t>Spea bombifrons</t>
        </is>
      </c>
      <c r="O4435" t="inlineStr">
        <is>
          <t>metalloproteinase inhibitor 2</t>
        </is>
      </c>
    </row>
    <row r="4436">
      <c r="A4436" t="inlineStr"/>
      <c r="B4436" t="inlineStr"/>
      <c r="C4436" t="inlineStr"/>
      <c r="D4436" t="inlineStr"/>
      <c r="E4436">
        <f>HYPERLINK("https://www.ncbi.nlm.nih.gov/gene/?term=KAG8565040.1", "KAG8565040.1")</f>
        <v/>
      </c>
      <c r="F4436" t="n">
        <v>89.59999999999999</v>
      </c>
      <c r="G4436" t="n">
        <v>222</v>
      </c>
      <c r="H4436" t="n">
        <v>1.76e-151</v>
      </c>
      <c r="I4436" t="inlineStr">
        <is>
          <t>Nr</t>
        </is>
      </c>
      <c r="J4436" t="inlineStr"/>
      <c r="K4436" t="inlineStr"/>
      <c r="L4436" t="inlineStr">
        <is>
          <t>KAG8565040.1 hypothetical protein GDO81_012684 [Engystomops pustulosus]</t>
        </is>
      </c>
      <c r="M4436" t="n">
        <v>222</v>
      </c>
      <c r="N4436" t="inlineStr">
        <is>
          <t>Engystomops pustulosus</t>
        </is>
      </c>
      <c r="O4436" t="inlineStr">
        <is>
          <t>hypothetical protein GDO81_012684</t>
        </is>
      </c>
    </row>
    <row r="4437">
      <c r="A4437" t="inlineStr"/>
      <c r="B4437" t="inlineStr"/>
      <c r="C4437" t="inlineStr"/>
      <c r="D4437" t="inlineStr"/>
      <c r="E4437">
        <f>HYPERLINK("https://www.uniprot.org/uniprotkb/A0A8J6JZA2/entry", "A0A8J6JZA2")</f>
        <v/>
      </c>
      <c r="F4437" t="n">
        <v>89.59999999999999</v>
      </c>
      <c r="G4437" t="n">
        <v>222</v>
      </c>
      <c r="H4437" t="n">
        <v>7.690000000000001e-151</v>
      </c>
      <c r="I4437" t="inlineStr">
        <is>
          <t>TrEMBL</t>
        </is>
      </c>
      <c r="J4437" t="inlineStr">
        <is>
          <t>GDO78_004099</t>
        </is>
      </c>
      <c r="K4437" t="inlineStr">
        <is>
          <t>A0A8J6JZA2_ELECQ</t>
        </is>
      </c>
      <c r="L4437" t="inlineStr">
        <is>
          <t>tr|A0A8J6JZA2|A0A8J6JZA2_ELECQ Metalloproteinase inhibitor 2 OS=Eleutherodactylus coqui OX=57060 GN=GDO78_004099 PE=3 SV=1</t>
        </is>
      </c>
      <c r="M4437" t="n">
        <v>299</v>
      </c>
      <c r="N4437" t="inlineStr">
        <is>
          <t>Eleutherodactylus coqui</t>
        </is>
      </c>
      <c r="O4437" t="inlineStr">
        <is>
          <t>Metalloproteinase inhibitor 2</t>
        </is>
      </c>
    </row>
    <row r="4438">
      <c r="A4438" t="inlineStr"/>
      <c r="B4438" t="inlineStr"/>
      <c r="C4438" t="inlineStr"/>
      <c r="D4438" t="inlineStr"/>
      <c r="E4438">
        <f>HYPERLINK("https://www.uniprot.org/uniprotkb/F6VSG7/entry", "F6VSG7")</f>
        <v/>
      </c>
      <c r="F4438" t="n">
        <v>88.3</v>
      </c>
      <c r="G4438" t="n">
        <v>222</v>
      </c>
      <c r="H4438" t="n">
        <v>8.020000000000001e-151</v>
      </c>
      <c r="I4438" t="inlineStr">
        <is>
          <t>TrEMBL</t>
        </is>
      </c>
      <c r="J4438" t="inlineStr">
        <is>
          <t>timp2</t>
        </is>
      </c>
      <c r="K4438" t="inlineStr">
        <is>
          <t>F6VSG7_XENTR</t>
        </is>
      </c>
      <c r="L4438" t="inlineStr">
        <is>
          <t>tr|F6VSG7|F6VSG7_XENTR Metalloproteinase inhibitor 2 OS=Xenopus tropicalis OX=8364 GN=timp2 PE=2 SV=2</t>
        </is>
      </c>
      <c r="M4438" t="n">
        <v>222</v>
      </c>
      <c r="N4438" t="inlineStr">
        <is>
          <t>Xenopus tropicalis</t>
        </is>
      </c>
      <c r="O4438" t="inlineStr">
        <is>
          <t>Metalloproteinase inhibitor 2</t>
        </is>
      </c>
    </row>
    <row r="4439">
      <c r="A4439" t="inlineStr"/>
      <c r="B4439" t="inlineStr"/>
      <c r="C4439" t="inlineStr"/>
      <c r="D4439" t="inlineStr"/>
      <c r="E4439">
        <f>HYPERLINK("https://www.ncbi.nlm.nih.gov/gene/?term=KAG9473617.1", "KAG9473617.1")</f>
        <v/>
      </c>
      <c r="F4439" t="n">
        <v>89.59999999999999</v>
      </c>
      <c r="G4439" t="n">
        <v>222</v>
      </c>
      <c r="H4439" t="n">
        <v>1.98e-150</v>
      </c>
      <c r="I4439" t="inlineStr">
        <is>
          <t>Nr</t>
        </is>
      </c>
      <c r="J4439" t="inlineStr"/>
      <c r="K4439" t="inlineStr"/>
      <c r="L4439" t="inlineStr">
        <is>
          <t>KAG9473617.1 hypothetical protein GDO78_004099 [Eleutherodactylus coqui]</t>
        </is>
      </c>
      <c r="M4439" t="n">
        <v>299</v>
      </c>
      <c r="N4439" t="inlineStr">
        <is>
          <t>Eleutherodactylus coqui</t>
        </is>
      </c>
      <c r="O4439" t="inlineStr">
        <is>
          <t>hypothetical protein GDO78_004099</t>
        </is>
      </c>
    </row>
    <row r="4440">
      <c r="A4440" t="inlineStr"/>
      <c r="B4440" t="inlineStr"/>
      <c r="C4440" t="inlineStr"/>
      <c r="D4440" t="inlineStr"/>
      <c r="E4440">
        <f>HYPERLINK("https://www.ncbi.nlm.nih.gov/gene/?term=NP_001015760.1", "NP_001015760.1")</f>
        <v/>
      </c>
      <c r="F4440" t="n">
        <v>88.3</v>
      </c>
      <c r="G4440" t="n">
        <v>222</v>
      </c>
      <c r="H4440" t="n">
        <v>2.06e-150</v>
      </c>
      <c r="I4440" t="inlineStr">
        <is>
          <t>Nr</t>
        </is>
      </c>
      <c r="J4440" t="inlineStr"/>
      <c r="K4440" t="inlineStr"/>
      <c r="L4440" t="inlineStr">
        <is>
          <t>NP_001015760.1 metalloproteinase inhibitor 2 precursor [Xenopus tropicalis]</t>
        </is>
      </c>
      <c r="M4440" t="n">
        <v>222</v>
      </c>
      <c r="N4440" t="inlineStr">
        <is>
          <t>Xenopus tropicalis</t>
        </is>
      </c>
      <c r="O4440" t="inlineStr">
        <is>
          <t>metalloproteinase inhibitor 2 precursor</t>
        </is>
      </c>
    </row>
    <row r="4441">
      <c r="A4441" t="inlineStr"/>
      <c r="B4441" t="inlineStr"/>
      <c r="C4441" t="inlineStr"/>
      <c r="D4441" t="inlineStr"/>
      <c r="E4441">
        <f>HYPERLINK("https://www.ncbi.nlm.nih.gov/gene/?term=XP_040291990.1", "XP_040291990.1")</f>
        <v/>
      </c>
      <c r="F4441" t="n">
        <v>87.8</v>
      </c>
      <c r="G4441" t="n">
        <v>222</v>
      </c>
      <c r="H4441" t="n">
        <v>1.98e-148</v>
      </c>
      <c r="I4441" t="inlineStr">
        <is>
          <t>Nr</t>
        </is>
      </c>
      <c r="J4441" t="inlineStr"/>
      <c r="K4441" t="inlineStr"/>
      <c r="L4441" t="inlineStr">
        <is>
          <t>XP_040291990.1 metalloproteinase inhibitor 2 [Bufo bufo]</t>
        </is>
      </c>
      <c r="M4441" t="n">
        <v>222</v>
      </c>
      <c r="N4441" t="inlineStr">
        <is>
          <t>Bufo bufo</t>
        </is>
      </c>
      <c r="O4441" t="inlineStr">
        <is>
          <t>metalloproteinase inhibitor 2</t>
        </is>
      </c>
    </row>
    <row r="4442">
      <c r="A4442" t="inlineStr"/>
      <c r="B4442" t="inlineStr"/>
      <c r="C4442" t="inlineStr"/>
      <c r="D4442" t="inlineStr"/>
      <c r="E4442">
        <f>HYPERLINK("https://www.uniprot.org/uniprotkb/Q66IW0/entry", "Q66IW0")</f>
        <v/>
      </c>
      <c r="F4442" t="n">
        <v>86.5</v>
      </c>
      <c r="G4442" t="n">
        <v>222</v>
      </c>
      <c r="H4442" t="n">
        <v>4.45e-148</v>
      </c>
      <c r="I4442" t="inlineStr">
        <is>
          <t>TrEMBL</t>
        </is>
      </c>
      <c r="J4442" t="inlineStr">
        <is>
          <t>timp2.L</t>
        </is>
      </c>
      <c r="K4442" t="inlineStr">
        <is>
          <t>Q66IW0_XENLA</t>
        </is>
      </c>
      <c r="L4442" t="inlineStr">
        <is>
          <t>tr|Q66IW0|Q66IW0_XENLA Metalloproteinase inhibitor 2 OS=Xenopus laevis OX=8355 GN=timp2.L PE=2 SV=1</t>
        </is>
      </c>
      <c r="M4442" t="n">
        <v>222</v>
      </c>
      <c r="N4442" t="inlineStr">
        <is>
          <t>Xenopus laevis</t>
        </is>
      </c>
      <c r="O4442" t="inlineStr">
        <is>
          <t>Metalloproteinase inhibitor 2</t>
        </is>
      </c>
    </row>
    <row r="4443">
      <c r="A4443" t="inlineStr"/>
      <c r="B4443" t="inlineStr"/>
      <c r="C4443" t="inlineStr"/>
      <c r="D4443" t="inlineStr"/>
      <c r="E4443">
        <f>HYPERLINK("https://www.ncbi.nlm.nih.gov/gene/?term=NP_001087748.1", "NP_001087748.1")</f>
        <v/>
      </c>
      <c r="F4443" t="n">
        <v>86.5</v>
      </c>
      <c r="G4443" t="n">
        <v>222</v>
      </c>
      <c r="H4443" t="n">
        <v>1.14e-147</v>
      </c>
      <c r="I4443" t="inlineStr">
        <is>
          <t>Nr</t>
        </is>
      </c>
      <c r="J4443" t="inlineStr"/>
      <c r="K4443" t="inlineStr"/>
      <c r="L4443" t="inlineStr">
        <is>
          <t>NP_001087748.1 TIMP metallopeptidase inhibitor 2 L homeolog precursor [Xenopus laevis]</t>
        </is>
      </c>
      <c r="M4443" t="n">
        <v>222</v>
      </c>
      <c r="N4443" t="inlineStr">
        <is>
          <t>Xenopus laevis</t>
        </is>
      </c>
      <c r="O4443" t="inlineStr">
        <is>
          <t>TIMP metallopeptidase inhibitor 2 L homeolog precursor</t>
        </is>
      </c>
    </row>
    <row r="4444">
      <c r="A4444" t="inlineStr"/>
      <c r="B4444" t="inlineStr"/>
      <c r="C4444" t="inlineStr"/>
      <c r="D4444" t="inlineStr"/>
      <c r="E4444">
        <f>HYPERLINK("https://www.ncbi.nlm.nih.gov/gene/?term=XP_044152590.1", "XP_044152590.1")</f>
        <v/>
      </c>
      <c r="F4444" t="n">
        <v>87.40000000000001</v>
      </c>
      <c r="G4444" t="n">
        <v>222</v>
      </c>
      <c r="H4444" t="n">
        <v>1.14e-147</v>
      </c>
      <c r="I4444" t="inlineStr">
        <is>
          <t>Nr</t>
        </is>
      </c>
      <c r="J4444" t="inlineStr"/>
      <c r="K4444" t="inlineStr"/>
      <c r="L4444" t="inlineStr">
        <is>
          <t>XP_044152590.1 metalloproteinase inhibitor 2 [Bufo gargarizans]</t>
        </is>
      </c>
      <c r="M4444" t="n">
        <v>222</v>
      </c>
      <c r="N4444" t="inlineStr">
        <is>
          <t>Bufo gargarizans</t>
        </is>
      </c>
      <c r="O4444" t="inlineStr">
        <is>
          <t>metalloproteinase inhibitor 2</t>
        </is>
      </c>
    </row>
    <row r="4445">
      <c r="A4445" t="inlineStr"/>
      <c r="B4445" t="inlineStr"/>
      <c r="C4445" t="inlineStr"/>
      <c r="D4445" t="inlineStr"/>
      <c r="E4445">
        <f>HYPERLINK("https://www.uniprot.org/uniprotkb/A0A8T2JRV4/entry", "A0A8T2JRV4")</f>
        <v/>
      </c>
      <c r="F4445" t="n">
        <v>86.5</v>
      </c>
      <c r="G4445" t="n">
        <v>222</v>
      </c>
      <c r="H4445" t="n">
        <v>3e-146</v>
      </c>
      <c r="I4445" t="inlineStr">
        <is>
          <t>TrEMBL</t>
        </is>
      </c>
      <c r="J4445" t="inlineStr">
        <is>
          <t>GDO86_014132</t>
        </is>
      </c>
      <c r="K4445" t="inlineStr">
        <is>
          <t>A0A8T2JRV4_9PIPI</t>
        </is>
      </c>
      <c r="L4445" t="inlineStr">
        <is>
          <t>tr|A0A8T2JRV4|A0A8T2JRV4_9PIPI Metalloproteinase inhibitor 2 OS=Hymenochirus boettgeri OX=247094 GN=GDO86_014132 PE=3 SV=1</t>
        </is>
      </c>
      <c r="M4445" t="n">
        <v>222</v>
      </c>
      <c r="N4445" t="inlineStr">
        <is>
          <t>Hymenochirus boettgeri</t>
        </is>
      </c>
      <c r="O4445" t="inlineStr">
        <is>
          <t>Metalloproteinase inhibitor 2</t>
        </is>
      </c>
    </row>
    <row r="4446">
      <c r="A4446" t="inlineStr"/>
      <c r="B4446" t="inlineStr"/>
      <c r="C4446" t="inlineStr"/>
      <c r="D4446" t="inlineStr"/>
      <c r="E4446">
        <f>HYPERLINK("https://www.ncbi.nlm.nih.gov/gene/?term=KAG8446558.1", "KAG8446558.1")</f>
        <v/>
      </c>
      <c r="F4446" t="n">
        <v>86.5</v>
      </c>
      <c r="G4446" t="n">
        <v>222</v>
      </c>
      <c r="H4446" t="n">
        <v>7.71e-146</v>
      </c>
      <c r="I4446" t="inlineStr">
        <is>
          <t>Nr</t>
        </is>
      </c>
      <c r="J4446" t="inlineStr"/>
      <c r="K4446" t="inlineStr"/>
      <c r="L4446" t="inlineStr">
        <is>
          <t>KAG8446558.1 hypothetical protein GDO86_014132 [Hymenochirus boettgeri]</t>
        </is>
      </c>
      <c r="M4446" t="n">
        <v>222</v>
      </c>
      <c r="N4446" t="inlineStr">
        <is>
          <t>Hymenochirus boettgeri</t>
        </is>
      </c>
      <c r="O4446" t="inlineStr">
        <is>
          <t>hypothetical protein GDO86_014132</t>
        </is>
      </c>
    </row>
    <row r="4447">
      <c r="A4447" t="inlineStr"/>
      <c r="B4447" t="inlineStr"/>
      <c r="C4447" t="inlineStr"/>
      <c r="D4447" t="inlineStr"/>
      <c r="E4447">
        <f>HYPERLINK("https://www.ncbi.nlm.nih.gov/gene/?term=XP_040186676.1", "XP_040186676.1")</f>
        <v/>
      </c>
      <c r="F4447" t="n">
        <v>86.5</v>
      </c>
      <c r="G4447" t="n">
        <v>222</v>
      </c>
      <c r="H4447" t="n">
        <v>1.28e-144</v>
      </c>
      <c r="I4447" t="inlineStr">
        <is>
          <t>Nr</t>
        </is>
      </c>
      <c r="J4447" t="inlineStr"/>
      <c r="K4447" t="inlineStr"/>
      <c r="L4447" t="inlineStr">
        <is>
          <t>XP_040186676.1 metalloproteinase inhibitor 2 [Rana temporaria]</t>
        </is>
      </c>
      <c r="M4447" t="n">
        <v>222</v>
      </c>
      <c r="N4447" t="inlineStr">
        <is>
          <t>Rana temporaria</t>
        </is>
      </c>
      <c r="O4447" t="inlineStr">
        <is>
          <t>metalloproteinase inhibitor 2</t>
        </is>
      </c>
    </row>
    <row r="4448">
      <c r="A4448" t="inlineStr"/>
      <c r="B4448" t="inlineStr"/>
      <c r="C4448" t="inlineStr"/>
      <c r="D4448" t="inlineStr"/>
      <c r="E4448">
        <f>HYPERLINK("https://www.ncbi.nlm.nih.gov/gene/?term=XP_018423377.1", "XP_018423377.1")</f>
        <v/>
      </c>
      <c r="F4448" t="n">
        <v>85.09999999999999</v>
      </c>
      <c r="G4448" t="n">
        <v>222</v>
      </c>
      <c r="H4448" t="n">
        <v>1.82e-144</v>
      </c>
      <c r="I4448" t="inlineStr">
        <is>
          <t>Nr</t>
        </is>
      </c>
      <c r="J4448" t="inlineStr"/>
      <c r="K4448" t="inlineStr"/>
      <c r="L4448" t="inlineStr">
        <is>
          <t>XP_018423377.1 PREDICTED: metalloproteinase inhibitor 2 [Nanorana parkeri]</t>
        </is>
      </c>
      <c r="M4448" t="n">
        <v>222</v>
      </c>
      <c r="N4448" t="inlineStr">
        <is>
          <t>Nanorana parkeri</t>
        </is>
      </c>
      <c r="O4448" t="inlineStr">
        <is>
          <t>PREDICTED: metalloproteinase inhibitor 2</t>
        </is>
      </c>
    </row>
    <row r="4449">
      <c r="A4449" t="inlineStr"/>
      <c r="B4449" t="inlineStr"/>
      <c r="C4449" t="inlineStr"/>
      <c r="D4449" t="inlineStr"/>
      <c r="E4449">
        <f>HYPERLINK("https://www.uniprot.org/uniprotkb/Q6GLM1/entry", "Q6GLM1")</f>
        <v/>
      </c>
      <c r="F4449" t="n">
        <v>85.09999999999999</v>
      </c>
      <c r="G4449" t="n">
        <v>222</v>
      </c>
      <c r="H4449" t="n">
        <v>3.65e-142</v>
      </c>
      <c r="I4449" t="inlineStr">
        <is>
          <t>TrEMBL</t>
        </is>
      </c>
      <c r="J4449" t="inlineStr">
        <is>
          <t>timp2.S</t>
        </is>
      </c>
      <c r="K4449" t="inlineStr">
        <is>
          <t>Q6GLM1_XENLA</t>
        </is>
      </c>
      <c r="L4449" t="inlineStr">
        <is>
          <t>tr|Q6GLM1|Q6GLM1_XENLA Metalloproteinase inhibitor 2 OS=Xenopus laevis OX=8355 GN=timp2.S PE=2 SV=1</t>
        </is>
      </c>
      <c r="M4449" t="n">
        <v>220</v>
      </c>
      <c r="N4449" t="inlineStr">
        <is>
          <t>Xenopus laevis</t>
        </is>
      </c>
      <c r="O4449" t="inlineStr">
        <is>
          <t>Metalloproteinase inhibitor 2</t>
        </is>
      </c>
    </row>
    <row r="4450">
      <c r="A4450" t="inlineStr"/>
      <c r="B4450" t="inlineStr"/>
      <c r="C4450" t="inlineStr"/>
      <c r="D4450" t="inlineStr"/>
      <c r="E4450">
        <f>HYPERLINK("https://www.ncbi.nlm.nih.gov/gene/?term=XP_041434185.1", "XP_041434185.1")</f>
        <v/>
      </c>
      <c r="F4450" t="n">
        <v>85.09999999999999</v>
      </c>
      <c r="G4450" t="n">
        <v>222</v>
      </c>
      <c r="H4450" t="n">
        <v>9.37e-142</v>
      </c>
      <c r="I4450" t="inlineStr">
        <is>
          <t>Nr</t>
        </is>
      </c>
      <c r="J4450" t="inlineStr"/>
      <c r="K4450" t="inlineStr"/>
      <c r="L4450" t="inlineStr">
        <is>
          <t>XP_041434185.1 metalloproteinase inhibitor 2 [Xenopus laevis]</t>
        </is>
      </c>
      <c r="M4450" t="n">
        <v>220</v>
      </c>
      <c r="N4450" t="inlineStr">
        <is>
          <t>Xenopus laevis</t>
        </is>
      </c>
      <c r="O4450" t="inlineStr">
        <is>
          <t>metalloproteinase inhibitor 2</t>
        </is>
      </c>
    </row>
    <row r="4451">
      <c r="A4451" t="inlineStr"/>
      <c r="B4451" t="inlineStr"/>
      <c r="C4451" t="inlineStr"/>
      <c r="D4451" t="inlineStr"/>
      <c r="E4451">
        <f>HYPERLINK("https://www.uniprot.org/uniprotkb/A0A6P7YHI8/entry", "A0A6P7YHI8")</f>
        <v/>
      </c>
      <c r="F4451" t="n">
        <v>84.2</v>
      </c>
      <c r="G4451" t="n">
        <v>222</v>
      </c>
      <c r="H4451" t="n">
        <v>1.49e-141</v>
      </c>
      <c r="I4451" t="inlineStr">
        <is>
          <t>TrEMBL</t>
        </is>
      </c>
      <c r="J4451" t="inlineStr">
        <is>
          <t>TIMP2</t>
        </is>
      </c>
      <c r="K4451" t="inlineStr">
        <is>
          <t>A0A6P7YHI8_9AMPH</t>
        </is>
      </c>
      <c r="L4451" t="inlineStr">
        <is>
          <t>tr|A0A6P7YHI8|A0A6P7YHI8_9AMPH Metalloproteinase inhibitor 2 OS=Microcaecilia unicolor OX=1415580 GN=TIMP2 PE=3 SV=1</t>
        </is>
      </c>
      <c r="M4451" t="n">
        <v>220</v>
      </c>
      <c r="N4451" t="inlineStr">
        <is>
          <t>Microcaecilia unicolor</t>
        </is>
      </c>
      <c r="O4451" t="inlineStr">
        <is>
          <t>Metalloproteinase inhibitor 2</t>
        </is>
      </c>
    </row>
    <row r="4452">
      <c r="A4452" t="inlineStr"/>
      <c r="B4452" t="inlineStr"/>
      <c r="C4452" t="inlineStr"/>
      <c r="D4452" t="inlineStr"/>
      <c r="E4452">
        <f>HYPERLINK("https://www.ncbi.nlm.nih.gov/gene/?term=XP_030064488.1", "XP_030064488.1")</f>
        <v/>
      </c>
      <c r="F4452" t="n">
        <v>84.2</v>
      </c>
      <c r="G4452" t="n">
        <v>222</v>
      </c>
      <c r="H4452" t="n">
        <v>3.81e-141</v>
      </c>
      <c r="I4452" t="inlineStr">
        <is>
          <t>Nr</t>
        </is>
      </c>
      <c r="J4452" t="inlineStr"/>
      <c r="K4452" t="inlineStr"/>
      <c r="L4452" t="inlineStr">
        <is>
          <t>XP_030064488.1 metalloproteinase inhibitor 2 [Microcaecilia unicolor]</t>
        </is>
      </c>
      <c r="M4452" t="n">
        <v>220</v>
      </c>
      <c r="N4452" t="inlineStr">
        <is>
          <t>Microcaecilia unicolor</t>
        </is>
      </c>
      <c r="O4452" t="inlineStr">
        <is>
          <t>metalloproteinase inhibitor 2</t>
        </is>
      </c>
    </row>
    <row r="4453">
      <c r="A4453" t="inlineStr"/>
      <c r="B4453" t="inlineStr"/>
      <c r="C4453" t="inlineStr"/>
      <c r="D4453" t="inlineStr"/>
      <c r="E4453">
        <f>HYPERLINK("https://www.ncbi.nlm.nih.gov/gene/?term=XP_029455004.1", "XP_029455004.1")</f>
        <v/>
      </c>
      <c r="F4453" t="n">
        <v>82.8</v>
      </c>
      <c r="G4453" t="n">
        <v>215</v>
      </c>
      <c r="H4453" t="n">
        <v>5.42e-141</v>
      </c>
      <c r="I4453" t="inlineStr">
        <is>
          <t>Nr</t>
        </is>
      </c>
      <c r="J4453" t="inlineStr"/>
      <c r="K4453" t="inlineStr"/>
      <c r="L4453" t="inlineStr">
        <is>
          <t>XP_029455004.1 metalloproteinase inhibitor 2 [Rhinatrema bivittatum]</t>
        </is>
      </c>
      <c r="M4453" t="n">
        <v>220</v>
      </c>
      <c r="N4453" t="inlineStr">
        <is>
          <t>Rhinatrema bivittatum</t>
        </is>
      </c>
      <c r="O4453" t="inlineStr">
        <is>
          <t>metalloproteinase inhibitor 2</t>
        </is>
      </c>
    </row>
    <row r="4454">
      <c r="A4454" t="inlineStr"/>
      <c r="B4454" t="inlineStr"/>
      <c r="C4454" t="inlineStr"/>
      <c r="D4454" t="inlineStr"/>
      <c r="E4454">
        <f>HYPERLINK("https://www.uniprot.org/uniprotkb/A0A8C4Y4U4/entry", "A0A8C4Y4U4")</f>
        <v/>
      </c>
      <c r="F4454" t="n">
        <v>85.09999999999999</v>
      </c>
      <c r="G4454" t="n">
        <v>215</v>
      </c>
      <c r="H4454" t="n">
        <v>8.23e-139</v>
      </c>
      <c r="I4454" t="inlineStr">
        <is>
          <t>TrEMBL</t>
        </is>
      </c>
      <c r="J4454" t="inlineStr">
        <is>
          <t>TIMP2</t>
        </is>
      </c>
      <c r="K4454" t="inlineStr">
        <is>
          <t>A0A8C4Y4U4_9SAUR</t>
        </is>
      </c>
      <c r="L4454" t="inlineStr">
        <is>
          <t>tr|A0A8C4Y4U4|A0A8C4Y4U4_9SAUR Metalloproteinase inhibitor 2 OS=Gopherus evgoodei OX=1825980 GN=TIMP2 PE=3 SV=1</t>
        </is>
      </c>
      <c r="M4454" t="n">
        <v>220</v>
      </c>
      <c r="N4454" t="inlineStr">
        <is>
          <t>Gopherus evgoodei</t>
        </is>
      </c>
      <c r="O4454" t="inlineStr">
        <is>
          <t>Metalloproteinase inhibitor 2</t>
        </is>
      </c>
    </row>
    <row r="4455">
      <c r="A4455" t="inlineStr"/>
      <c r="B4455" t="inlineStr"/>
      <c r="C4455" t="inlineStr"/>
      <c r="D4455" t="inlineStr"/>
      <c r="E4455">
        <f>HYPERLINK("https://www.uniprot.org/uniprotkb/A0A8C0IMC2/entry", "A0A8C0IMC2")</f>
        <v/>
      </c>
      <c r="F4455" t="n">
        <v>85.09999999999999</v>
      </c>
      <c r="G4455" t="n">
        <v>215</v>
      </c>
      <c r="H4455" t="n">
        <v>8.23e-139</v>
      </c>
      <c r="I4455" t="inlineStr">
        <is>
          <t>TrEMBL</t>
        </is>
      </c>
      <c r="J4455" t="inlineStr">
        <is>
          <t>TIMP2</t>
        </is>
      </c>
      <c r="K4455" t="inlineStr">
        <is>
          <t>A0A8C0IMC2_CHEAB</t>
        </is>
      </c>
      <c r="L4455" t="inlineStr">
        <is>
          <t>tr|A0A8C0IMC2|A0A8C0IMC2_CHEAB Metalloproteinase inhibitor 2 OS=Chelonoidis abingdonii OX=106734 GN=TIMP2 PE=3 SV=1</t>
        </is>
      </c>
      <c r="M4455" t="n">
        <v>220</v>
      </c>
      <c r="N4455" t="inlineStr">
        <is>
          <t>Chelonoidis abingdonii</t>
        </is>
      </c>
      <c r="O4455" t="inlineStr">
        <is>
          <t>Metalloproteinase inhibitor 2</t>
        </is>
      </c>
    </row>
    <row r="4456">
      <c r="A4456" t="inlineStr"/>
      <c r="B4456" t="inlineStr"/>
      <c r="C4456" t="inlineStr"/>
      <c r="D4456" t="inlineStr"/>
      <c r="E4456">
        <f>HYPERLINK("https://www.uniprot.org/uniprotkb/A0A452J4L3/entry", "A0A452J4L3")</f>
        <v/>
      </c>
      <c r="F4456" t="n">
        <v>85.09999999999999</v>
      </c>
      <c r="G4456" t="n">
        <v>215</v>
      </c>
      <c r="H4456" t="n">
        <v>8.23e-139</v>
      </c>
      <c r="I4456" t="inlineStr">
        <is>
          <t>TrEMBL</t>
        </is>
      </c>
      <c r="J4456" t="inlineStr"/>
      <c r="K4456" t="inlineStr">
        <is>
          <t>A0A452J4L3_9SAUR</t>
        </is>
      </c>
      <c r="L4456" t="inlineStr">
        <is>
          <t>tr|A0A452J4L3|A0A452J4L3_9SAUR Metalloproteinase inhibitor 2 OS=Gopherus agassizii OX=38772 PE=3 SV=1</t>
        </is>
      </c>
      <c r="M4456" t="n">
        <v>220</v>
      </c>
      <c r="N4456" t="inlineStr">
        <is>
          <t>Gopherus agassizii</t>
        </is>
      </c>
      <c r="O4456" t="inlineStr">
        <is>
          <t>Metalloproteinase inhibitor 2</t>
        </is>
      </c>
    </row>
    <row r="4457">
      <c r="A4457" t="inlineStr"/>
      <c r="B4457" t="inlineStr"/>
      <c r="C4457" t="inlineStr"/>
      <c r="D4457" t="inlineStr"/>
      <c r="E4457">
        <f>HYPERLINK("https://www.ncbi.nlm.nih.gov/gene/?term=XP_030389955.1", "XP_030389955.1")</f>
        <v/>
      </c>
      <c r="F4457" t="n">
        <v>85.09999999999999</v>
      </c>
      <c r="G4457" t="n">
        <v>215</v>
      </c>
      <c r="H4457" t="n">
        <v>2.11e-138</v>
      </c>
      <c r="I4457" t="inlineStr">
        <is>
          <t>Nr</t>
        </is>
      </c>
      <c r="J4457" t="inlineStr"/>
      <c r="K4457" t="inlineStr"/>
      <c r="L4457" t="inlineStr">
        <is>
          <t>XP_030389955.1 metalloproteinase inhibitor 2 [Gopherus evgoodei]</t>
        </is>
      </c>
      <c r="M4457" t="n">
        <v>220</v>
      </c>
      <c r="N4457" t="inlineStr">
        <is>
          <t>Gopherus evgoodei</t>
        </is>
      </c>
      <c r="O4457" t="inlineStr">
        <is>
          <t>metalloproteinase inhibitor 2</t>
        </is>
      </c>
    </row>
    <row r="4458">
      <c r="A4458" t="inlineStr"/>
      <c r="B4458" t="inlineStr"/>
      <c r="C4458" t="inlineStr"/>
      <c r="D4458" t="inlineStr"/>
      <c r="E4458">
        <f>HYPERLINK("https://www.ncbi.nlm.nih.gov/gene/?term=XP_050776022.1", "XP_050776022.1")</f>
        <v/>
      </c>
      <c r="F4458" t="n">
        <v>85.59999999999999</v>
      </c>
      <c r="G4458" t="n">
        <v>215</v>
      </c>
      <c r="H4458" t="n">
        <v>4.26e-138</v>
      </c>
      <c r="I4458" t="inlineStr">
        <is>
          <t>Nr</t>
        </is>
      </c>
      <c r="J4458" t="inlineStr"/>
      <c r="K4458" t="inlineStr"/>
      <c r="L4458" t="inlineStr">
        <is>
          <t>XP_050776022.1 metalloproteinase inhibitor 2 [Gopherus flavomarginatus]</t>
        </is>
      </c>
      <c r="M4458" t="n">
        <v>220</v>
      </c>
      <c r="N4458" t="inlineStr">
        <is>
          <t>Gopherus flavomarginatus</t>
        </is>
      </c>
      <c r="O4458" t="inlineStr">
        <is>
          <t>metalloproteinase inhibitor 2</t>
        </is>
      </c>
    </row>
    <row r="4459">
      <c r="A4459" t="inlineStr"/>
      <c r="B4459" t="inlineStr"/>
      <c r="C4459" t="inlineStr"/>
      <c r="D4459" t="inlineStr"/>
      <c r="E4459">
        <f>HYPERLINK("https://www.ncbi.nlm.nih.gov/gene/?term=XP_037769991.1", "XP_037769991.1")</f>
        <v/>
      </c>
      <c r="F4459" t="n">
        <v>84.5</v>
      </c>
      <c r="G4459" t="n">
        <v>220</v>
      </c>
      <c r="H4459" t="n">
        <v>4.26e-138</v>
      </c>
      <c r="I4459" t="inlineStr">
        <is>
          <t>Nr</t>
        </is>
      </c>
      <c r="J4459" t="inlineStr"/>
      <c r="K4459" t="inlineStr"/>
      <c r="L4459" t="inlineStr">
        <is>
          <t>XP_037769991.1 metalloproteinase inhibitor 2 isoform X1 [Chelonia mydas]</t>
        </is>
      </c>
      <c r="M4459" t="n">
        <v>220</v>
      </c>
      <c r="N4459" t="inlineStr">
        <is>
          <t>Chelonia mydas</t>
        </is>
      </c>
      <c r="O4459" t="inlineStr">
        <is>
          <t>metalloproteinase inhibitor 2 isoform X1</t>
        </is>
      </c>
    </row>
    <row r="4460">
      <c r="A4460" t="inlineStr"/>
      <c r="B4460" t="inlineStr"/>
      <c r="C4460" t="inlineStr"/>
      <c r="D4460" t="inlineStr"/>
      <c r="E4460">
        <f>HYPERLINK("https://www.uniprot.org/uniprotkb/A0A670Y0B1/entry", "A0A670Y0B1")</f>
        <v/>
      </c>
      <c r="F4460" t="n">
        <v>82.7</v>
      </c>
      <c r="G4460" t="n">
        <v>220</v>
      </c>
      <c r="H4460" t="n">
        <v>4.76e-138</v>
      </c>
      <c r="I4460" t="inlineStr">
        <is>
          <t>TrEMBL</t>
        </is>
      </c>
      <c r="J4460" t="inlineStr">
        <is>
          <t>TIMP2</t>
        </is>
      </c>
      <c r="K4460" t="inlineStr">
        <is>
          <t>A0A670Y0B1_PSETE</t>
        </is>
      </c>
      <c r="L4460" t="inlineStr">
        <is>
          <t>tr|A0A670Y0B1|A0A670Y0B1_PSETE Metalloproteinase inhibitor 2 OS=Pseudonaja textilis OX=8673 GN=TIMP2 PE=3 SV=1</t>
        </is>
      </c>
      <c r="M4460" t="n">
        <v>220</v>
      </c>
      <c r="N4460" t="inlineStr">
        <is>
          <t>Pseudonaja textilis</t>
        </is>
      </c>
      <c r="O4460" t="inlineStr">
        <is>
          <t>Metalloproteinase inhibitor 2</t>
        </is>
      </c>
    </row>
    <row r="4461">
      <c r="A4461" t="inlineStr"/>
      <c r="B4461" t="inlineStr"/>
      <c r="C4461" t="inlineStr"/>
      <c r="D4461" t="inlineStr"/>
      <c r="E4461">
        <f>HYPERLINK("https://www.uniprot.org/uniprotkb/A0A2H4N3D9/entry", "A0A2H4N3D9")</f>
        <v/>
      </c>
      <c r="F4461" t="n">
        <v>82.7</v>
      </c>
      <c r="G4461" t="n">
        <v>220</v>
      </c>
      <c r="H4461" t="n">
        <v>6.76e-138</v>
      </c>
      <c r="I4461" t="inlineStr">
        <is>
          <t>TrEMBL</t>
        </is>
      </c>
      <c r="J4461" t="inlineStr"/>
      <c r="K4461" t="inlineStr">
        <is>
          <t>A0A2H4N3D9_BOTMO</t>
        </is>
      </c>
      <c r="L4461" t="inlineStr">
        <is>
          <t>tr|A0A2H4N3D9|A0A2H4N3D9_BOTMO Metalloproteinase inhibitor 2 (Fragment) OS=Bothrops moojeni OX=98334 PE=2 SV=1</t>
        </is>
      </c>
      <c r="M4461" t="n">
        <v>220</v>
      </c>
      <c r="N4461" t="inlineStr">
        <is>
          <t>Bothrops moojeni</t>
        </is>
      </c>
      <c r="O4461" t="inlineStr">
        <is>
          <t>Metalloproteinase inhibitor 2 (Fragment)</t>
        </is>
      </c>
    </row>
    <row r="4462">
      <c r="A4462" t="inlineStr"/>
      <c r="B4462" t="inlineStr"/>
      <c r="C4462" t="inlineStr"/>
      <c r="D4462" t="inlineStr"/>
      <c r="E4462">
        <f>HYPERLINK("https://www.uniprot.org/uniprotkb/A0A8C5SNV0/entry", "A0A8C5SNV0")</f>
        <v/>
      </c>
      <c r="F4462" t="n">
        <v>82.7</v>
      </c>
      <c r="G4462" t="n">
        <v>220</v>
      </c>
      <c r="H4462" t="n">
        <v>6.76e-138</v>
      </c>
      <c r="I4462" t="inlineStr">
        <is>
          <t>TrEMBL</t>
        </is>
      </c>
      <c r="J4462" t="inlineStr">
        <is>
          <t>TIMP2</t>
        </is>
      </c>
      <c r="K4462" t="inlineStr">
        <is>
          <t>A0A8C5SNV0_LATLA</t>
        </is>
      </c>
      <c r="L4462" t="inlineStr">
        <is>
          <t>tr|A0A8C5SNV0|A0A8C5SNV0_LATLA Metalloproteinase inhibitor 2 OS=Laticauda laticaudata OX=8630 GN=TIMP2 PE=3 SV=1</t>
        </is>
      </c>
      <c r="M4462" t="n">
        <v>220</v>
      </c>
      <c r="N4462" t="inlineStr">
        <is>
          <t>Laticauda laticaudata</t>
        </is>
      </c>
      <c r="O4462" t="inlineStr">
        <is>
          <t>Metalloproteinase inhibitor 2</t>
        </is>
      </c>
    </row>
    <row r="4463">
      <c r="A4463" t="inlineStr"/>
      <c r="B4463" t="inlineStr"/>
      <c r="C4463" t="inlineStr"/>
      <c r="D4463" t="inlineStr"/>
      <c r="E4463">
        <f>HYPERLINK("https://www.uniprot.org/uniprotkb/A0A1W7RFR1/entry", "A0A1W7RFR1")</f>
        <v/>
      </c>
      <c r="F4463" t="n">
        <v>82.7</v>
      </c>
      <c r="G4463" t="n">
        <v>220</v>
      </c>
      <c r="H4463" t="n">
        <v>6.76e-138</v>
      </c>
      <c r="I4463" t="inlineStr">
        <is>
          <t>TrEMBL</t>
        </is>
      </c>
      <c r="J4463" t="inlineStr"/>
      <c r="K4463" t="inlineStr">
        <is>
          <t>A0A1W7RFR1_AGKCO</t>
        </is>
      </c>
      <c r="L4463" t="inlineStr">
        <is>
          <t>tr|A0A1W7RFR1|A0A1W7RFR1_AGKCO Metalloproteinase inhibitor 2 OS=Agkistrodon contortrix contortrix OX=8713 PE=3 SV=1</t>
        </is>
      </c>
      <c r="M4463" t="n">
        <v>220</v>
      </c>
      <c r="N4463" t="inlineStr">
        <is>
          <t>Agkistrodon contortrix contortrix</t>
        </is>
      </c>
      <c r="O4463" t="inlineStr">
        <is>
          <t>Metalloproteinase inhibitor 2</t>
        </is>
      </c>
    </row>
    <row r="4464">
      <c r="A4464" t="inlineStr"/>
      <c r="B4464" t="inlineStr"/>
      <c r="C4464" t="inlineStr"/>
      <c r="D4464" t="inlineStr"/>
      <c r="E4464">
        <f>HYPERLINK("https://www.uniprot.org/uniprotkb/T1DAJ8/entry", "T1DAJ8")</f>
        <v/>
      </c>
      <c r="F4464" t="n">
        <v>82.7</v>
      </c>
      <c r="G4464" t="n">
        <v>220</v>
      </c>
      <c r="H4464" t="n">
        <v>9.6e-138</v>
      </c>
      <c r="I4464" t="inlineStr">
        <is>
          <t>TrEMBL</t>
        </is>
      </c>
      <c r="J4464" t="inlineStr"/>
      <c r="K4464" t="inlineStr">
        <is>
          <t>T1DAJ8_CROHD</t>
        </is>
      </c>
      <c r="L4464" t="inlineStr">
        <is>
          <t>tr|T1DAJ8|T1DAJ8_CROHD Metalloproteinase inhibitor 2 OS=Crotalus horridus OX=35024 PE=2 SV=1</t>
        </is>
      </c>
      <c r="M4464" t="n">
        <v>220</v>
      </c>
      <c r="N4464" t="inlineStr">
        <is>
          <t>Crotalus horridus</t>
        </is>
      </c>
      <c r="O4464" t="inlineStr">
        <is>
          <t>Metalloproteinase inhibitor 2</t>
        </is>
      </c>
    </row>
    <row r="4465">
      <c r="A4465" t="inlineStr"/>
      <c r="B4465" t="inlineStr"/>
      <c r="C4465" t="inlineStr"/>
      <c r="D4465" t="inlineStr"/>
      <c r="E4465">
        <f>HYPERLINK("https://www.ncbi.nlm.nih.gov/gene/?term=XP_038227493.1", "XP_038227493.1")</f>
        <v/>
      </c>
      <c r="F4465" t="n">
        <v>84.09999999999999</v>
      </c>
      <c r="G4465" t="n">
        <v>220</v>
      </c>
      <c r="H4465" t="n">
        <v>1.22e-137</v>
      </c>
      <c r="I4465" t="inlineStr">
        <is>
          <t>Nr</t>
        </is>
      </c>
      <c r="J4465" t="inlineStr"/>
      <c r="K4465" t="inlineStr"/>
      <c r="L4465" t="inlineStr">
        <is>
          <t>XP_038227493.1 metalloproteinase inhibitor 2 [Dermochelys coriacea]</t>
        </is>
      </c>
      <c r="M4465" t="n">
        <v>220</v>
      </c>
      <c r="N4465" t="inlineStr">
        <is>
          <t>Dermochelys coriacea</t>
        </is>
      </c>
      <c r="O4465" t="inlineStr">
        <is>
          <t>metalloproteinase inhibitor 2</t>
        </is>
      </c>
    </row>
    <row r="4466">
      <c r="A4466" t="inlineStr"/>
      <c r="B4466" t="inlineStr"/>
      <c r="C4466" t="inlineStr"/>
      <c r="D4466" t="inlineStr"/>
      <c r="E4466">
        <f>HYPERLINK("https://www.ncbi.nlm.nih.gov/gene/?term=XP_026557599.1", "XP_026557599.1")</f>
        <v/>
      </c>
      <c r="F4466" t="n">
        <v>82.7</v>
      </c>
      <c r="G4466" t="n">
        <v>220</v>
      </c>
      <c r="H4466" t="n">
        <v>1.22e-137</v>
      </c>
      <c r="I4466" t="inlineStr">
        <is>
          <t>Nr</t>
        </is>
      </c>
      <c r="J4466" t="inlineStr"/>
      <c r="K4466" t="inlineStr"/>
      <c r="L4466" t="inlineStr">
        <is>
          <t>XP_026557599.1 metalloproteinase inhibitor 2 [Pseudonaja textilis]</t>
        </is>
      </c>
      <c r="M4466" t="n">
        <v>220</v>
      </c>
      <c r="N4466" t="inlineStr">
        <is>
          <t>Pseudonaja textilis</t>
        </is>
      </c>
      <c r="O4466" t="inlineStr">
        <is>
          <t>metalloproteinase inhibitor 2</t>
        </is>
      </c>
    </row>
    <row r="4467">
      <c r="A4467" t="inlineStr"/>
      <c r="B4467" t="inlineStr"/>
      <c r="C4467" t="inlineStr"/>
      <c r="D4467" t="inlineStr"/>
      <c r="E4467">
        <f>HYPERLINK("https://www.ncbi.nlm.nih.gov/gene/?term=ATU85545.1", "ATU85545.1")</f>
        <v/>
      </c>
      <c r="F4467" t="n">
        <v>82.7</v>
      </c>
      <c r="G4467" t="n">
        <v>220</v>
      </c>
      <c r="H4467" t="n">
        <v>1.74e-137</v>
      </c>
      <c r="I4467" t="inlineStr">
        <is>
          <t>Nr</t>
        </is>
      </c>
      <c r="J4467" t="inlineStr"/>
      <c r="K4467" t="inlineStr"/>
      <c r="L4467" t="inlineStr">
        <is>
          <t>ATU85545.1 metalloproteinase inhibitor 2, partial [Bothrops moojeni]</t>
        </is>
      </c>
      <c r="M4467" t="n">
        <v>220</v>
      </c>
      <c r="N4467" t="inlineStr">
        <is>
          <t>Bothrops moojeni</t>
        </is>
      </c>
      <c r="O4467" t="inlineStr">
        <is>
          <t>metalloproteinase inhibitor 2, partial</t>
        </is>
      </c>
    </row>
    <row r="4468">
      <c r="A4468" t="inlineStr"/>
      <c r="B4468" t="inlineStr"/>
      <c r="C4468" t="inlineStr"/>
      <c r="D4468" t="inlineStr"/>
      <c r="E4468">
        <f>HYPERLINK("https://www.ncbi.nlm.nih.gov/gene/?term=XP_048673717.1", "XP_048673717.1")</f>
        <v/>
      </c>
      <c r="F4468" t="n">
        <v>84.90000000000001</v>
      </c>
      <c r="G4468" t="n">
        <v>218</v>
      </c>
      <c r="H4468" t="n">
        <v>1.74e-137</v>
      </c>
      <c r="I4468" t="inlineStr">
        <is>
          <t>Nr</t>
        </is>
      </c>
      <c r="J4468" t="inlineStr"/>
      <c r="K4468" t="inlineStr"/>
      <c r="L4468" t="inlineStr">
        <is>
          <t>XP_048673717.1 metalloproteinase inhibitor 2 [Caretta caretta]</t>
        </is>
      </c>
      <c r="M4468" t="n">
        <v>220</v>
      </c>
      <c r="N4468" t="inlineStr">
        <is>
          <t>Caretta caretta</t>
        </is>
      </c>
      <c r="O4468" t="inlineStr">
        <is>
          <t>metalloproteinase inhibitor 2</t>
        </is>
      </c>
    </row>
    <row r="4469">
      <c r="A4469" t="inlineStr"/>
      <c r="B4469" t="inlineStr"/>
      <c r="C4469" t="inlineStr"/>
      <c r="D4469" t="inlineStr"/>
      <c r="E4469">
        <f>HYPERLINK("https://www.uniprot.org/uniprotkb/A0A4D9E4J5/entry", "A0A4D9E4J5")</f>
        <v/>
      </c>
      <c r="F4469" t="n">
        <v>83.59999999999999</v>
      </c>
      <c r="G4469" t="n">
        <v>220</v>
      </c>
      <c r="H4469" t="n">
        <v>2.75e-137</v>
      </c>
      <c r="I4469" t="inlineStr">
        <is>
          <t>TrEMBL</t>
        </is>
      </c>
      <c r="J4469" t="inlineStr">
        <is>
          <t>DR999_PMT11438</t>
        </is>
      </c>
      <c r="K4469" t="inlineStr">
        <is>
          <t>A0A4D9E4J5_9SAUR</t>
        </is>
      </c>
      <c r="L4469" t="inlineStr">
        <is>
          <t>tr|A0A4D9E4J5|A0A4D9E4J5_9SAUR Metalloproteinase inhibitor 2 OS=Platysternon megacephalum OX=55544 GN=DR999_PMT11438 PE=3 SV=1</t>
        </is>
      </c>
      <c r="M4469" t="n">
        <v>220</v>
      </c>
      <c r="N4469" t="inlineStr">
        <is>
          <t>Platysternon megacephalum</t>
        </is>
      </c>
      <c r="O4469" t="inlineStr">
        <is>
          <t>Metalloproteinase inhibitor 2</t>
        </is>
      </c>
    </row>
    <row r="4470">
      <c r="A4470" t="inlineStr"/>
      <c r="B4470" t="inlineStr"/>
      <c r="C4470" t="inlineStr"/>
      <c r="D4470" t="inlineStr"/>
      <c r="E4470">
        <f>HYPERLINK("https://www.uniprot.org/uniprotkb/J3S068/entry", "J3S068")</f>
        <v/>
      </c>
      <c r="F4470" t="n">
        <v>82.3</v>
      </c>
      <c r="G4470" t="n">
        <v>220</v>
      </c>
      <c r="H4470" t="n">
        <v>3.91e-137</v>
      </c>
      <c r="I4470" t="inlineStr">
        <is>
          <t>TrEMBL</t>
        </is>
      </c>
      <c r="J4470" t="inlineStr"/>
      <c r="K4470" t="inlineStr">
        <is>
          <t>J3S068_CROAD</t>
        </is>
      </c>
      <c r="L4470" t="inlineStr">
        <is>
          <t>tr|J3S068|J3S068_CROAD Metalloproteinase inhibitor 2 OS=Crotalus adamanteus OX=8729 PE=2 SV=1</t>
        </is>
      </c>
      <c r="M4470" t="n">
        <v>220</v>
      </c>
      <c r="N4470" t="inlineStr">
        <is>
          <t>Crotalus adamanteus</t>
        </is>
      </c>
      <c r="O4470" t="inlineStr">
        <is>
          <t>Metalloproteinase inhibitor 2</t>
        </is>
      </c>
    </row>
    <row r="4471">
      <c r="A4471" t="inlineStr"/>
      <c r="B4471" t="inlineStr"/>
      <c r="C4471" t="inlineStr"/>
      <c r="D4471" t="inlineStr"/>
      <c r="E4471">
        <f>HYPERLINK("https://www.uniprot.org/uniprotkb/A0A2D4IFI0/entry", "A0A2D4IFI0")</f>
        <v/>
      </c>
      <c r="F4471" t="n">
        <v>82.7</v>
      </c>
      <c r="G4471" t="n">
        <v>220</v>
      </c>
      <c r="H4471" t="n">
        <v>3.91e-137</v>
      </c>
      <c r="I4471" t="inlineStr">
        <is>
          <t>TrEMBL</t>
        </is>
      </c>
      <c r="J4471" t="inlineStr"/>
      <c r="K4471" t="inlineStr">
        <is>
          <t>A0A2D4IFI0_MICLE</t>
        </is>
      </c>
      <c r="L4471" t="inlineStr">
        <is>
          <t>tr|A0A2D4IFI0|A0A2D4IFI0_MICLE Metalloproteinase inhibitor 2 OS=Micrurus lemniscatus lemniscatus OX=129467 PE=3 SV=1</t>
        </is>
      </c>
      <c r="M4471" t="n">
        <v>220</v>
      </c>
      <c r="N4471" t="inlineStr">
        <is>
          <t>Micrurus lemniscatus lemniscatus</t>
        </is>
      </c>
      <c r="O4471" t="inlineStr">
        <is>
          <t>Metalloproteinase inhibitor 2</t>
        </is>
      </c>
    </row>
    <row r="4472">
      <c r="A4472" t="inlineStr"/>
      <c r="B4472" t="inlineStr"/>
      <c r="C4472" t="inlineStr"/>
      <c r="D4472" t="inlineStr"/>
      <c r="E4472">
        <f>HYPERLINK("https://www.uniprot.org/uniprotkb/A0A6J1TXC4/entry", "A0A6J1TXC4")</f>
        <v/>
      </c>
      <c r="F4472" t="n">
        <v>82.3</v>
      </c>
      <c r="G4472" t="n">
        <v>220</v>
      </c>
      <c r="H4472" t="n">
        <v>3.91e-137</v>
      </c>
      <c r="I4472" t="inlineStr">
        <is>
          <t>TrEMBL</t>
        </is>
      </c>
      <c r="J4472" t="inlineStr">
        <is>
          <t>TIMP2</t>
        </is>
      </c>
      <c r="K4472" t="inlineStr">
        <is>
          <t>A0A6J1TXC4_9SAUR</t>
        </is>
      </c>
      <c r="L4472" t="inlineStr">
        <is>
          <t>tr|A0A6J1TXC4|A0A6J1TXC4_9SAUR Metalloproteinase inhibitor 2 OS=Notechis scutatus OX=8663 GN=TIMP2 PE=3 SV=1</t>
        </is>
      </c>
      <c r="M4472" t="n">
        <v>220</v>
      </c>
      <c r="N4472" t="inlineStr">
        <is>
          <t>Notechis scutatus</t>
        </is>
      </c>
      <c r="O4472" t="inlineStr">
        <is>
          <t>Metalloproteinase inhibitor 2</t>
        </is>
      </c>
    </row>
    <row r="4473">
      <c r="A4473" t="inlineStr"/>
      <c r="B4473" t="inlineStr"/>
      <c r="C4473" t="inlineStr"/>
      <c r="D4473" t="inlineStr"/>
      <c r="E4473">
        <f>HYPERLINK("https://www.uniprot.org/uniprotkb/A0A098LX68/entry", "A0A098LX68")</f>
        <v/>
      </c>
      <c r="F4473" t="n">
        <v>82.7</v>
      </c>
      <c r="G4473" t="n">
        <v>220</v>
      </c>
      <c r="H4473" t="n">
        <v>3.91e-137</v>
      </c>
      <c r="I4473" t="inlineStr">
        <is>
          <t>TrEMBL</t>
        </is>
      </c>
      <c r="J4473" t="inlineStr"/>
      <c r="K4473" t="inlineStr">
        <is>
          <t>A0A098LX68_9SAUR</t>
        </is>
      </c>
      <c r="L4473" t="inlineStr">
        <is>
          <t>tr|A0A098LX68|A0A098LX68_9SAUR Metalloproteinase inhibitor 2 OS=Hypsiglena sp. JMG-2014 OX=1550645 PE=3 SV=1</t>
        </is>
      </c>
      <c r="M4473" t="n">
        <v>220</v>
      </c>
      <c r="N4473" t="inlineStr">
        <is>
          <t>Hypsiglena sp. JMG-2014</t>
        </is>
      </c>
      <c r="O4473" t="inlineStr">
        <is>
          <t>Metalloproteinase inhibitor 2</t>
        </is>
      </c>
    </row>
    <row r="4474">
      <c r="A4474" t="inlineStr"/>
      <c r="B4474" t="inlineStr"/>
      <c r="C4474" t="inlineStr"/>
      <c r="D4474" t="inlineStr"/>
      <c r="E4474">
        <f>HYPERLINK("https://www.uniprot.org/uniprotkb/A0A0K8RT02/entry", "A0A0K8RT02")</f>
        <v/>
      </c>
      <c r="F4474" t="n">
        <v>82.3</v>
      </c>
      <c r="G4474" t="n">
        <v>220</v>
      </c>
      <c r="H4474" t="n">
        <v>3.91e-137</v>
      </c>
      <c r="I4474" t="inlineStr">
        <is>
          <t>TrEMBL</t>
        </is>
      </c>
      <c r="J4474" t="inlineStr"/>
      <c r="K4474" t="inlineStr">
        <is>
          <t>A0A0K8RT02_CROHD</t>
        </is>
      </c>
      <c r="L4474" t="inlineStr">
        <is>
          <t>tr|A0A0K8RT02|A0A0K8RT02_CROHD Metalloproteinase inhibitor 2 OS=Crotalus horridus OX=35024 PE=3 SV=1</t>
        </is>
      </c>
      <c r="M4474" t="n">
        <v>220</v>
      </c>
      <c r="N4474" t="inlineStr">
        <is>
          <t>Crotalus horridus</t>
        </is>
      </c>
      <c r="O4474" t="inlineStr">
        <is>
          <t>Metalloproteinase inhibitor 2</t>
        </is>
      </c>
    </row>
    <row r="4475">
      <c r="A4475" t="inlineStr"/>
      <c r="B4475" t="inlineStr"/>
      <c r="C4475" t="inlineStr"/>
      <c r="D4475" t="inlineStr"/>
      <c r="E4475">
        <f>HYPERLINK("https://www.uniprot.org/uniprotkb/A0A2D4Q6G9/entry", "A0A2D4Q6G9")</f>
        <v/>
      </c>
      <c r="F4475" t="n">
        <v>82.7</v>
      </c>
      <c r="G4475" t="n">
        <v>220</v>
      </c>
      <c r="H4475" t="n">
        <v>4.839999999999999e-137</v>
      </c>
      <c r="I4475" t="inlineStr">
        <is>
          <t>TrEMBL</t>
        </is>
      </c>
      <c r="J4475" t="inlineStr"/>
      <c r="K4475" t="inlineStr">
        <is>
          <t>A0A2D4Q6G9_MICSU</t>
        </is>
      </c>
      <c r="L4475" t="inlineStr">
        <is>
          <t>tr|A0A2D4Q6G9|A0A2D4Q6G9_MICSU Metalloproteinase inhibitor 2 (Fragment) OS=Micrurus surinamensis OX=129470 PE=3 SV=1</t>
        </is>
      </c>
      <c r="M4475" t="n">
        <v>226</v>
      </c>
      <c r="N4475" t="inlineStr">
        <is>
          <t>Micrurus surinamensis</t>
        </is>
      </c>
      <c r="O4475" t="inlineStr">
        <is>
          <t>Metalloproteinase inhibitor 2 (Fragment)</t>
        </is>
      </c>
    </row>
    <row r="4476">
      <c r="A4476" t="inlineStr"/>
      <c r="B4476" t="inlineStr"/>
      <c r="C4476" t="inlineStr"/>
      <c r="D4476" t="inlineStr"/>
      <c r="E4476">
        <f>HYPERLINK("https://www.ncbi.nlm.nih.gov/gene/?term=XP_053148608.1", "XP_053148608.1")</f>
        <v/>
      </c>
      <c r="F4476" t="n">
        <v>82.7</v>
      </c>
      <c r="G4476" t="n">
        <v>220</v>
      </c>
      <c r="H4476" t="n">
        <v>4.97e-137</v>
      </c>
      <c r="I4476" t="inlineStr">
        <is>
          <t>Nr</t>
        </is>
      </c>
      <c r="J4476" t="inlineStr"/>
      <c r="K4476" t="inlineStr"/>
      <c r="L4476" t="inlineStr">
        <is>
          <t>XP_053148608.1 metalloproteinase inhibitor 2 isoform X1 [Hemicordylus capensis]</t>
        </is>
      </c>
      <c r="M4476" t="n">
        <v>220</v>
      </c>
      <c r="N4476" t="inlineStr">
        <is>
          <t>Hemicordylus capensis</t>
        </is>
      </c>
      <c r="O4476" t="inlineStr">
        <is>
          <t>metalloproteinase inhibitor 2 isoform X1</t>
        </is>
      </c>
    </row>
    <row r="4477">
      <c r="A4477" t="inlineStr"/>
      <c r="B4477" t="inlineStr"/>
      <c r="C4477" t="inlineStr"/>
      <c r="D4477" t="inlineStr"/>
      <c r="E4477">
        <f>HYPERLINK("https://www.uniprot.org/uniprotkb/A0A8D0H499/entry", "A0A8D0H499")</f>
        <v/>
      </c>
      <c r="F4477" t="n">
        <v>82.3</v>
      </c>
      <c r="G4477" t="n">
        <v>220</v>
      </c>
      <c r="H4477" t="n">
        <v>5.55e-137</v>
      </c>
      <c r="I4477" t="inlineStr">
        <is>
          <t>TrEMBL</t>
        </is>
      </c>
      <c r="J4477" t="inlineStr">
        <is>
          <t>TIMP2</t>
        </is>
      </c>
      <c r="K4477" t="inlineStr">
        <is>
          <t>A0A8D0H499_SPHPU</t>
        </is>
      </c>
      <c r="L4477" t="inlineStr">
        <is>
          <t>tr|A0A8D0H499|A0A8D0H499_SPHPU Metalloproteinase inhibitor 2 OS=Sphenodon punctatus OX=8508 GN=TIMP2 PE=3 SV=1</t>
        </is>
      </c>
      <c r="M4477" t="n">
        <v>220</v>
      </c>
      <c r="N4477" t="inlineStr">
        <is>
          <t>Sphenodon punctatus</t>
        </is>
      </c>
      <c r="O4477" t="inlineStr">
        <is>
          <t>Metalloproteinase inhibitor 2</t>
        </is>
      </c>
    </row>
    <row r="4478">
      <c r="A4478" t="inlineStr"/>
      <c r="B4478" t="inlineStr"/>
      <c r="C4478" t="inlineStr"/>
      <c r="D4478" t="inlineStr"/>
      <c r="E4478">
        <f>HYPERLINK("https://www.ncbi.nlm.nih.gov/gene/?term=TFK05811.1", "TFK05811.1")</f>
        <v/>
      </c>
      <c r="F4478" t="n">
        <v>83.59999999999999</v>
      </c>
      <c r="G4478" t="n">
        <v>220</v>
      </c>
      <c r="H4478" t="n">
        <v>7.059999999999999e-137</v>
      </c>
      <c r="I4478" t="inlineStr">
        <is>
          <t>Nr</t>
        </is>
      </c>
      <c r="J4478" t="inlineStr"/>
      <c r="K4478" t="inlineStr"/>
      <c r="L4478" t="inlineStr">
        <is>
          <t>TFK05811.1 Metalloproteinase inhibitor 2 [Platysternon megacephalum]</t>
        </is>
      </c>
      <c r="M4478" t="n">
        <v>220</v>
      </c>
      <c r="N4478" t="inlineStr">
        <is>
          <t>Platysternon megacephalum</t>
        </is>
      </c>
      <c r="O4478" t="inlineStr">
        <is>
          <t>Metalloproteinase inhibitor 2</t>
        </is>
      </c>
    </row>
    <row r="4479">
      <c r="A4479" t="inlineStr"/>
      <c r="B4479" t="inlineStr"/>
      <c r="C4479" t="inlineStr"/>
      <c r="D4479" t="inlineStr"/>
      <c r="E4479">
        <f>HYPERLINK("https://www.ncbi.nlm.nih.gov/gene/?term=XP_015676761.1", "XP_015676761.1")</f>
        <v/>
      </c>
      <c r="F4479" t="n">
        <v>82.3</v>
      </c>
      <c r="G4479" t="n">
        <v>220</v>
      </c>
      <c r="H4479" t="n">
        <v>1e-136</v>
      </c>
      <c r="I4479" t="inlineStr">
        <is>
          <t>Nr</t>
        </is>
      </c>
      <c r="J4479" t="inlineStr"/>
      <c r="K4479" t="inlineStr"/>
      <c r="L4479" t="inlineStr">
        <is>
          <t>XP_015676761.1 metalloproteinase inhibitor 2 [Protobothrops mucrosquamatus]</t>
        </is>
      </c>
      <c r="M4479" t="n">
        <v>220</v>
      </c>
      <c r="N4479" t="inlineStr">
        <is>
          <t>Protobothrops mucrosquamatus</t>
        </is>
      </c>
      <c r="O4479" t="inlineStr">
        <is>
          <t>metalloproteinase inhibitor 2</t>
        </is>
      </c>
    </row>
    <row r="4480">
      <c r="A4480" t="inlineStr"/>
      <c r="B4480" t="inlineStr"/>
      <c r="C4480" t="inlineStr"/>
      <c r="D4480" t="inlineStr"/>
      <c r="E4480">
        <f>HYPERLINK("https://www.ncbi.nlm.nih.gov/gene/?term=XP_026523071.1", "XP_026523071.1")</f>
        <v/>
      </c>
      <c r="F4480" t="n">
        <v>82.3</v>
      </c>
      <c r="G4480" t="n">
        <v>220</v>
      </c>
      <c r="H4480" t="n">
        <v>1e-136</v>
      </c>
      <c r="I4480" t="inlineStr">
        <is>
          <t>Nr</t>
        </is>
      </c>
      <c r="J4480" t="inlineStr"/>
      <c r="K4480" t="inlineStr"/>
      <c r="L4480" t="inlineStr">
        <is>
          <t>XP_026523071.1 metalloproteinase inhibitor 2 [Notechis scutatus]</t>
        </is>
      </c>
      <c r="M4480" t="n">
        <v>220</v>
      </c>
      <c r="N4480" t="inlineStr">
        <is>
          <t>Notechis scutatus</t>
        </is>
      </c>
      <c r="O4480" t="inlineStr">
        <is>
          <t>metalloproteinase inhibitor 2</t>
        </is>
      </c>
    </row>
    <row r="4481">
      <c r="A4481" t="inlineStr"/>
      <c r="B4481" t="inlineStr"/>
      <c r="C4481" t="inlineStr"/>
      <c r="D4481" t="inlineStr"/>
      <c r="E4481">
        <f>HYPERLINK("https://www.uniprot.org/uniprotkb/A0A8D2KTK5/entry", "A0A8D2KTK5")</f>
        <v/>
      </c>
      <c r="F4481" t="n">
        <v>81.8</v>
      </c>
      <c r="G4481" t="n">
        <v>220</v>
      </c>
      <c r="H4481" t="n">
        <v>1.12e-136</v>
      </c>
      <c r="I4481" t="inlineStr">
        <is>
          <t>TrEMBL</t>
        </is>
      </c>
      <c r="J4481" t="inlineStr"/>
      <c r="K4481" t="inlineStr">
        <is>
          <t>A0A8D2KTK5_VARKO</t>
        </is>
      </c>
      <c r="L4481" t="inlineStr">
        <is>
          <t>tr|A0A8D2KTK5|A0A8D2KTK5_VARKO Metalloproteinase inhibitor 2 OS=Varanus komodoensis OX=61221 PE=3 SV=1</t>
        </is>
      </c>
      <c r="M4481" t="n">
        <v>220</v>
      </c>
      <c r="N4481" t="inlineStr">
        <is>
          <t>Varanus komodoensis</t>
        </is>
      </c>
      <c r="O4481" t="inlineStr">
        <is>
          <t>Metalloproteinase inhibitor 2</t>
        </is>
      </c>
    </row>
    <row r="4482">
      <c r="A4482" t="inlineStr"/>
      <c r="B4482" t="inlineStr"/>
      <c r="C4482" t="inlineStr"/>
      <c r="D4482" t="inlineStr"/>
      <c r="E4482">
        <f>HYPERLINK("https://www.uniprot.org/uniprotkb/A0A0B8RY84/entry", "A0A0B8RY84")</f>
        <v/>
      </c>
      <c r="F4482" t="n">
        <v>82.3</v>
      </c>
      <c r="G4482" t="n">
        <v>220</v>
      </c>
      <c r="H4482" t="n">
        <v>1.59e-136</v>
      </c>
      <c r="I4482" t="inlineStr">
        <is>
          <t>TrEMBL</t>
        </is>
      </c>
      <c r="J4482" t="inlineStr"/>
      <c r="K4482" t="inlineStr">
        <is>
          <t>A0A0B8RY84_BOIIR</t>
        </is>
      </c>
      <c r="L4482" t="inlineStr">
        <is>
          <t>tr|A0A0B8RY84|A0A0B8RY84_BOIIR Metalloproteinase inhibitor 2 OS=Boiga irregularis OX=92519 PE=3 SV=1</t>
        </is>
      </c>
      <c r="M4482" t="n">
        <v>220</v>
      </c>
      <c r="N4482" t="inlineStr">
        <is>
          <t>Boiga irregularis</t>
        </is>
      </c>
      <c r="O4482" t="inlineStr">
        <is>
          <t>Metalloproteinase inhibitor 2</t>
        </is>
      </c>
    </row>
    <row r="4483">
      <c r="A4483" t="inlineStr"/>
      <c r="B4483" t="inlineStr"/>
      <c r="C4483" t="inlineStr"/>
      <c r="D4483" t="inlineStr"/>
      <c r="E4483">
        <f>HYPERLINK("https://www.uniprot.org/uniprotkb/A0A6P9BBU9/entry", "A0A6P9BBU9")</f>
        <v/>
      </c>
      <c r="F4483" t="n">
        <v>82.3</v>
      </c>
      <c r="G4483" t="n">
        <v>220</v>
      </c>
      <c r="H4483" t="n">
        <v>1.59e-136</v>
      </c>
      <c r="I4483" t="inlineStr">
        <is>
          <t>TrEMBL</t>
        </is>
      </c>
      <c r="J4483" t="inlineStr">
        <is>
          <t>TIMP2</t>
        </is>
      </c>
      <c r="K4483" t="inlineStr">
        <is>
          <t>A0A6P9BBU9_PANGU</t>
        </is>
      </c>
      <c r="L4483" t="inlineStr">
        <is>
          <t>tr|A0A6P9BBU9|A0A6P9BBU9_PANGU Metalloproteinase inhibitor 2 OS=Pantherophis guttatus OX=94885 GN=TIMP2 PE=3 SV=1</t>
        </is>
      </c>
      <c r="M4483" t="n">
        <v>220</v>
      </c>
      <c r="N4483" t="inlineStr">
        <is>
          <t>Pantherophis guttatus</t>
        </is>
      </c>
      <c r="O4483" t="inlineStr">
        <is>
          <t>Metalloproteinase inhibitor 2</t>
        </is>
      </c>
    </row>
    <row r="4484">
      <c r="A4484" t="inlineStr"/>
      <c r="B4484" t="inlineStr"/>
      <c r="C4484" t="inlineStr"/>
      <c r="D4484" t="inlineStr"/>
      <c r="E4484">
        <f>HYPERLINK("https://www.ncbi.nlm.nih.gov/gene/?term=XP_044837975.1", "XP_044837975.1")</f>
        <v/>
      </c>
      <c r="F4484" t="n">
        <v>82</v>
      </c>
      <c r="G4484" t="n">
        <v>222</v>
      </c>
      <c r="H4484" t="n">
        <v>2.17e-136</v>
      </c>
      <c r="I4484" t="inlineStr">
        <is>
          <t>Nr</t>
        </is>
      </c>
      <c r="J4484" t="inlineStr"/>
      <c r="K4484" t="inlineStr"/>
      <c r="L4484" t="inlineStr">
        <is>
          <t>XP_044837975.1 metalloproteinase inhibitor 2 isoform X1 [Mauremys mutica]</t>
        </is>
      </c>
      <c r="M4484" t="n">
        <v>222</v>
      </c>
      <c r="N4484" t="inlineStr">
        <is>
          <t>Mauremys mutica</t>
        </is>
      </c>
      <c r="O4484" t="inlineStr">
        <is>
          <t>metalloproteinase inhibitor 2 isoform X1</t>
        </is>
      </c>
    </row>
    <row r="4485">
      <c r="A4485" t="inlineStr"/>
      <c r="B4485" t="inlineStr"/>
      <c r="C4485" t="inlineStr"/>
      <c r="D4485" t="inlineStr"/>
      <c r="E4485">
        <f>HYPERLINK("https://www.uniprot.org/uniprotkb/P25785/entry", "P25785")</f>
        <v/>
      </c>
      <c r="F4485" t="n">
        <v>82.09999999999999</v>
      </c>
      <c r="G4485" t="n">
        <v>207</v>
      </c>
      <c r="H4485" t="n">
        <v>2.05e-132</v>
      </c>
      <c r="I4485" t="inlineStr">
        <is>
          <t>Swiss-Prot</t>
        </is>
      </c>
      <c r="J4485" t="inlineStr">
        <is>
          <t>Timp2</t>
        </is>
      </c>
      <c r="K4485" t="inlineStr">
        <is>
          <t>TIMP2_MOUSE</t>
        </is>
      </c>
      <c r="L4485" t="inlineStr">
        <is>
          <t>sp|P25785|TIMP2_MOUSE Metalloproteinase inhibitor 2 OS=Mus musculus OX=10090 GN=Timp2 PE=1 SV=2</t>
        </is>
      </c>
      <c r="M4485" t="n">
        <v>220</v>
      </c>
      <c r="N4485" t="inlineStr">
        <is>
          <t>Mus musculus</t>
        </is>
      </c>
      <c r="O4485" t="inlineStr">
        <is>
          <t>Metalloproteinase inhibitor 2</t>
        </is>
      </c>
    </row>
    <row r="4486">
      <c r="A4486" t="inlineStr"/>
      <c r="B4486" t="inlineStr"/>
      <c r="C4486" t="inlineStr"/>
      <c r="D4486" t="inlineStr"/>
      <c r="E4486">
        <f>HYPERLINK("https://www.uniprot.org/uniprotkb/P30121/entry", "P30121")</f>
        <v/>
      </c>
      <c r="F4486" t="n">
        <v>82.09999999999999</v>
      </c>
      <c r="G4486" t="n">
        <v>207</v>
      </c>
      <c r="H4486" t="n">
        <v>2.05e-132</v>
      </c>
      <c r="I4486" t="inlineStr">
        <is>
          <t>Swiss-Prot</t>
        </is>
      </c>
      <c r="J4486" t="inlineStr">
        <is>
          <t>Timp2</t>
        </is>
      </c>
      <c r="K4486" t="inlineStr">
        <is>
          <t>TIMP2_RAT</t>
        </is>
      </c>
      <c r="L4486" t="inlineStr">
        <is>
          <t>sp|P30121|TIMP2_RAT Metalloproteinase inhibitor 2 OS=Rattus norvegicus OX=10116 GN=Timp2 PE=1 SV=3</t>
        </is>
      </c>
      <c r="M4486" t="n">
        <v>220</v>
      </c>
      <c r="N4486" t="inlineStr">
        <is>
          <t>Rattus norvegicus</t>
        </is>
      </c>
      <c r="O4486" t="inlineStr">
        <is>
          <t>Metalloproteinase inhibitor 2</t>
        </is>
      </c>
    </row>
    <row r="4487">
      <c r="A4487" t="inlineStr"/>
      <c r="B4487" t="inlineStr"/>
      <c r="C4487" t="inlineStr"/>
      <c r="D4487" t="inlineStr"/>
      <c r="E4487">
        <f>HYPERLINK("https://www.uniprot.org/uniprotkb/Q9WUC6/entry", "Q9WUC6")</f>
        <v/>
      </c>
      <c r="F4487" t="n">
        <v>81.59999999999999</v>
      </c>
      <c r="G4487" t="n">
        <v>207</v>
      </c>
      <c r="H4487" t="n">
        <v>4.14e-132</v>
      </c>
      <c r="I4487" t="inlineStr">
        <is>
          <t>Swiss-Prot</t>
        </is>
      </c>
      <c r="J4487" t="inlineStr">
        <is>
          <t>TIMP2</t>
        </is>
      </c>
      <c r="K4487" t="inlineStr">
        <is>
          <t>TIMP2_CAVPO</t>
        </is>
      </c>
      <c r="L4487" t="inlineStr">
        <is>
          <t>sp|Q9WUC6|TIMP2_CAVPO Metalloproteinase inhibitor 2 OS=Cavia porcellus OX=10141 GN=TIMP2 PE=2 SV=1</t>
        </is>
      </c>
      <c r="M4487" t="n">
        <v>220</v>
      </c>
      <c r="N4487" t="inlineStr">
        <is>
          <t>Cavia porcellus</t>
        </is>
      </c>
      <c r="O4487" t="inlineStr">
        <is>
          <t>Metalloproteinase inhibitor 2</t>
        </is>
      </c>
    </row>
    <row r="4488">
      <c r="A4488" t="inlineStr"/>
      <c r="B4488" t="inlineStr"/>
      <c r="C4488" t="inlineStr"/>
      <c r="D4488" t="inlineStr"/>
      <c r="E4488">
        <f>HYPERLINK("https://www.uniprot.org/uniprotkb/Q9TTY1/entry", "Q9TTY1")</f>
        <v/>
      </c>
      <c r="F4488" t="n">
        <v>81.59999999999999</v>
      </c>
      <c r="G4488" t="n">
        <v>207</v>
      </c>
      <c r="H4488" t="n">
        <v>8.350000000000001e-132</v>
      </c>
      <c r="I4488" t="inlineStr">
        <is>
          <t>Swiss-Prot</t>
        </is>
      </c>
      <c r="J4488" t="inlineStr">
        <is>
          <t>TIMP2</t>
        </is>
      </c>
      <c r="K4488" t="inlineStr">
        <is>
          <t>TIMP2_CANLF</t>
        </is>
      </c>
      <c r="L4488" t="inlineStr">
        <is>
          <t>sp|Q9TTY1|TIMP2_CANLF Metalloproteinase inhibitor 2 OS=Canis lupus familiaris OX=9615 GN=TIMP2 PE=2 SV=2</t>
        </is>
      </c>
      <c r="M4488" t="n">
        <v>220</v>
      </c>
      <c r="N4488" t="inlineStr">
        <is>
          <t>Canis lupus familiaris</t>
        </is>
      </c>
      <c r="O4488" t="inlineStr">
        <is>
          <t>Metalloproteinase inhibitor 2</t>
        </is>
      </c>
    </row>
    <row r="4489">
      <c r="A4489" t="inlineStr"/>
      <c r="B4489" t="inlineStr"/>
      <c r="C4489" t="inlineStr"/>
      <c r="D4489" t="inlineStr"/>
      <c r="E4489">
        <f>HYPERLINK("https://www.uniprot.org/uniprotkb/P16035/entry", "P16035")</f>
        <v/>
      </c>
      <c r="F4489" t="n">
        <v>81.2</v>
      </c>
      <c r="G4489" t="n">
        <v>207</v>
      </c>
      <c r="H4489" t="n">
        <v>1.68e-131</v>
      </c>
      <c r="I4489" t="inlineStr">
        <is>
          <t>Swiss-Prot</t>
        </is>
      </c>
      <c r="J4489" t="inlineStr">
        <is>
          <t>TIMP2</t>
        </is>
      </c>
      <c r="K4489" t="inlineStr">
        <is>
          <t>TIMP2_HUMAN</t>
        </is>
      </c>
      <c r="L4489" t="inlineStr">
        <is>
          <t>sp|P16035|TIMP2_HUMAN Metalloproteinase inhibitor 2 OS=Homo sapiens OX=9606 GN=TIMP2 PE=1 SV=2</t>
        </is>
      </c>
      <c r="M4489" t="n">
        <v>220</v>
      </c>
      <c r="N4489" t="inlineStr">
        <is>
          <t>Homo sapiens</t>
        </is>
      </c>
      <c r="O4489" t="inlineStr">
        <is>
          <t>Metalloproteinase inhibitor 2</t>
        </is>
      </c>
    </row>
    <row r="4490">
      <c r="A4490" t="inlineStr"/>
      <c r="B4490" t="inlineStr"/>
      <c r="C4490" t="inlineStr"/>
      <c r="D4490" t="inlineStr"/>
      <c r="E4490">
        <f>HYPERLINK("https://www.uniprot.org/uniprotkb/Q60453/entry", "Q60453")</f>
        <v/>
      </c>
      <c r="F4490" t="n">
        <v>84.7</v>
      </c>
      <c r="G4490" t="n">
        <v>196</v>
      </c>
      <c r="H4490" t="n">
        <v>2.06e-131</v>
      </c>
      <c r="I4490" t="inlineStr">
        <is>
          <t>Swiss-Prot</t>
        </is>
      </c>
      <c r="J4490" t="inlineStr">
        <is>
          <t>TIMP2</t>
        </is>
      </c>
      <c r="K4490" t="inlineStr">
        <is>
          <t>TIMP2_CRILO</t>
        </is>
      </c>
      <c r="L4490" t="inlineStr">
        <is>
          <t>sp|Q60453|TIMP2_CRILO Metalloproteinase inhibitor 2 (Fragment) OS=Cricetulus longicaudatus OX=10030 GN=TIMP2 PE=2 SV=1</t>
        </is>
      </c>
      <c r="M4490" t="n">
        <v>196</v>
      </c>
      <c r="N4490" t="inlineStr">
        <is>
          <t>Cricetulus longicaudatus</t>
        </is>
      </c>
      <c r="O4490" t="inlineStr">
        <is>
          <t>Metalloproteinase inhibitor 2 (Fragment)</t>
        </is>
      </c>
    </row>
    <row r="4491">
      <c r="A4491" t="inlineStr"/>
      <c r="B4491" t="inlineStr"/>
      <c r="C4491" t="inlineStr"/>
      <c r="D4491" t="inlineStr"/>
      <c r="E4491">
        <f>HYPERLINK("https://www.uniprot.org/uniprotkb/P16368/entry", "P16368")</f>
        <v/>
      </c>
      <c r="F4491" t="n">
        <v>79.2</v>
      </c>
      <c r="G4491" t="n">
        <v>207</v>
      </c>
      <c r="H4491" t="n">
        <v>1.88e-128</v>
      </c>
      <c r="I4491" t="inlineStr">
        <is>
          <t>Swiss-Prot</t>
        </is>
      </c>
      <c r="J4491" t="inlineStr">
        <is>
          <t>TIMP2</t>
        </is>
      </c>
      <c r="K4491" t="inlineStr">
        <is>
          <t>TIMP2_BOVIN</t>
        </is>
      </c>
      <c r="L4491" t="inlineStr">
        <is>
          <t>sp|P16368|TIMP2_BOVIN Metalloproteinase inhibitor 2 OS=Bos taurus OX=9913 GN=TIMP2 PE=1 SV=2</t>
        </is>
      </c>
      <c r="M4491" t="n">
        <v>220</v>
      </c>
      <c r="N4491" t="inlineStr">
        <is>
          <t>Bos taurus</t>
        </is>
      </c>
      <c r="O4491" t="inlineStr">
        <is>
          <t>Metalloproteinase inhibitor 2</t>
        </is>
      </c>
    </row>
    <row r="4492">
      <c r="A4492" t="inlineStr"/>
      <c r="B4492" t="inlineStr"/>
      <c r="C4492" t="inlineStr"/>
      <c r="D4492" t="inlineStr"/>
      <c r="E4492">
        <f>HYPERLINK("https://www.uniprot.org/uniprotkb/Q9TRZ7/entry", "Q9TRZ7")</f>
        <v/>
      </c>
      <c r="F4492" t="n">
        <v>83</v>
      </c>
      <c r="G4492" t="n">
        <v>194</v>
      </c>
      <c r="H4492" t="n">
        <v>5.04e-127</v>
      </c>
      <c r="I4492" t="inlineStr">
        <is>
          <t>Swiss-Prot</t>
        </is>
      </c>
      <c r="J4492" t="inlineStr">
        <is>
          <t>TIMP2</t>
        </is>
      </c>
      <c r="K4492" t="inlineStr">
        <is>
          <t>TIMP2_RABIT</t>
        </is>
      </c>
      <c r="L4492" t="inlineStr">
        <is>
          <t>sp|Q9TRZ7|TIMP2_RABIT Metalloproteinase inhibitor 2 OS=Oryctolagus cuniculus OX=9986 GN=TIMP2 PE=2 SV=1</t>
        </is>
      </c>
      <c r="M4492" t="n">
        <v>194</v>
      </c>
      <c r="N4492" t="inlineStr">
        <is>
          <t>Oryctolagus cuniculus</t>
        </is>
      </c>
      <c r="O4492" t="inlineStr">
        <is>
          <t>Metalloproteinase inhibitor 2</t>
        </is>
      </c>
    </row>
    <row r="4493">
      <c r="A4493" t="inlineStr"/>
      <c r="B4493" t="inlineStr"/>
      <c r="C4493" t="inlineStr"/>
      <c r="D4493" t="inlineStr"/>
      <c r="E4493">
        <f>HYPERLINK("https://www.uniprot.org/uniprotkb/O42146/entry", "O42146")</f>
        <v/>
      </c>
      <c r="F4493" t="n">
        <v>77.90000000000001</v>
      </c>
      <c r="G4493" t="n">
        <v>208</v>
      </c>
      <c r="H4493" t="n">
        <v>6.26e-127</v>
      </c>
      <c r="I4493" t="inlineStr">
        <is>
          <t>Swiss-Prot</t>
        </is>
      </c>
      <c r="J4493" t="inlineStr">
        <is>
          <t>TIMP2</t>
        </is>
      </c>
      <c r="K4493" t="inlineStr">
        <is>
          <t>TIMP2_CHICK</t>
        </is>
      </c>
      <c r="L4493" t="inlineStr">
        <is>
          <t>sp|O42146|TIMP2_CHICK Metalloproteinase inhibitor 2 OS=Gallus gallus OX=9031 GN=TIMP2 PE=2 SV=1</t>
        </is>
      </c>
      <c r="M4493" t="n">
        <v>220</v>
      </c>
      <c r="N4493" t="inlineStr">
        <is>
          <t>Gallus gallus</t>
        </is>
      </c>
      <c r="O4493" t="inlineStr">
        <is>
          <t>Metalloproteinase inhibitor 2</t>
        </is>
      </c>
    </row>
    <row r="4494">
      <c r="A4494" t="inlineStr"/>
      <c r="B4494" t="inlineStr"/>
      <c r="C4494" t="inlineStr"/>
      <c r="D4494" t="inlineStr"/>
      <c r="E4494">
        <f>HYPERLINK("https://www.uniprot.org/uniprotkb/P81556/entry", "P81556")</f>
        <v/>
      </c>
      <c r="F4494" t="n">
        <v>49.5</v>
      </c>
      <c r="G4494" t="n">
        <v>210</v>
      </c>
      <c r="H4494" t="n">
        <v>2.11e-74</v>
      </c>
      <c r="I4494" t="inlineStr">
        <is>
          <t>Swiss-Prot</t>
        </is>
      </c>
      <c r="J4494" t="inlineStr">
        <is>
          <t>Timp4</t>
        </is>
      </c>
      <c r="K4494" t="inlineStr">
        <is>
          <t>TIMP4_RAT</t>
        </is>
      </c>
      <c r="L4494" t="inlineStr">
        <is>
          <t>sp|P81556|TIMP4_RAT Metalloproteinase inhibitor 4 OS=Rattus norvegicus OX=10116 GN=Timp4 PE=2 SV=2</t>
        </is>
      </c>
      <c r="M4494" t="n">
        <v>224</v>
      </c>
      <c r="N4494" t="inlineStr">
        <is>
          <t>Rattus norvegicus</t>
        </is>
      </c>
      <c r="O4494" t="inlineStr">
        <is>
          <t>Metalloproteinase inhibitor 4</t>
        </is>
      </c>
    </row>
    <row r="4495">
      <c r="A4495" t="inlineStr"/>
      <c r="B4495" t="inlineStr"/>
      <c r="C4495" t="inlineStr"/>
      <c r="D4495" t="inlineStr"/>
      <c r="E4495">
        <f>HYPERLINK("https://www.uniprot.org/uniprotkb/Q9JHB3/entry", "Q9JHB3")</f>
        <v/>
      </c>
      <c r="F4495" t="n">
        <v>49.5</v>
      </c>
      <c r="G4495" t="n">
        <v>210</v>
      </c>
      <c r="H4495" t="n">
        <v>4.23e-74</v>
      </c>
      <c r="I4495" t="inlineStr">
        <is>
          <t>Swiss-Prot</t>
        </is>
      </c>
      <c r="J4495" t="inlineStr">
        <is>
          <t>Timp4</t>
        </is>
      </c>
      <c r="K4495" t="inlineStr">
        <is>
          <t>TIMP4_MOUSE</t>
        </is>
      </c>
      <c r="L4495" t="inlineStr">
        <is>
          <t>sp|Q9JHB3|TIMP4_MOUSE Metalloproteinase inhibitor 4 OS=Mus musculus OX=10090 GN=Timp4 PE=2 SV=1</t>
        </is>
      </c>
      <c r="M4495" t="n">
        <v>224</v>
      </c>
      <c r="N4495" t="inlineStr">
        <is>
          <t>Mus musculus</t>
        </is>
      </c>
      <c r="O4495" t="inlineStr">
        <is>
          <t>Metalloproteinase inhibitor 4</t>
        </is>
      </c>
    </row>
    <row r="4496">
      <c r="A4496" t="inlineStr"/>
      <c r="B4496" t="inlineStr"/>
      <c r="C4496" t="inlineStr"/>
      <c r="D4496" t="inlineStr"/>
      <c r="E4496">
        <f>HYPERLINK("https://www.uniprot.org/uniprotkb/O97563/entry", "O97563")</f>
        <v/>
      </c>
      <c r="F4496" t="n">
        <v>48.4</v>
      </c>
      <c r="G4496" t="n">
        <v>223</v>
      </c>
      <c r="H4496" t="n">
        <v>8.51e-74</v>
      </c>
      <c r="I4496" t="inlineStr">
        <is>
          <t>Swiss-Prot</t>
        </is>
      </c>
      <c r="J4496" t="inlineStr">
        <is>
          <t>TIMP4</t>
        </is>
      </c>
      <c r="K4496" t="inlineStr">
        <is>
          <t>TIMP4_BOVIN</t>
        </is>
      </c>
      <c r="L4496" t="inlineStr">
        <is>
          <t>sp|O97563|TIMP4_BOVIN Metalloproteinase inhibitor 4 OS=Bos taurus OX=9913 GN=TIMP4 PE=2 SV=2</t>
        </is>
      </c>
      <c r="M4496" t="n">
        <v>224</v>
      </c>
      <c r="N4496" t="inlineStr">
        <is>
          <t>Bos taurus</t>
        </is>
      </c>
      <c r="O4496" t="inlineStr">
        <is>
          <t>Metalloproteinase inhibitor 4</t>
        </is>
      </c>
    </row>
    <row r="4497">
      <c r="A4497" t="inlineStr"/>
      <c r="B4497" t="inlineStr"/>
      <c r="C4497" t="inlineStr"/>
      <c r="D4497" t="inlineStr"/>
      <c r="E4497">
        <f>HYPERLINK("https://www.uniprot.org/uniprotkb/Q99727/entry", "Q99727")</f>
        <v/>
      </c>
      <c r="F4497" t="n">
        <v>48.6</v>
      </c>
      <c r="G4497" t="n">
        <v>210</v>
      </c>
      <c r="H4497" t="n">
        <v>9.800000000000001e-73</v>
      </c>
      <c r="I4497" t="inlineStr">
        <is>
          <t>Swiss-Prot</t>
        </is>
      </c>
      <c r="J4497" t="inlineStr">
        <is>
          <t>TIMP4</t>
        </is>
      </c>
      <c r="K4497" t="inlineStr">
        <is>
          <t>TIMP4_HUMAN</t>
        </is>
      </c>
      <c r="L4497" t="inlineStr">
        <is>
          <t>sp|Q99727|TIMP4_HUMAN Metalloproteinase inhibitor 4 OS=Homo sapiens OX=9606 GN=TIMP4 PE=2 SV=1</t>
        </is>
      </c>
      <c r="M4497" t="n">
        <v>224</v>
      </c>
      <c r="N4497" t="inlineStr">
        <is>
          <t>Homo sapiens</t>
        </is>
      </c>
      <c r="O4497" t="inlineStr">
        <is>
          <t>Metalloproteinase inhibitor 4</t>
        </is>
      </c>
    </row>
    <row r="4498">
      <c r="A4498" t="inlineStr"/>
      <c r="B4498" t="inlineStr"/>
      <c r="C4498" t="inlineStr"/>
      <c r="D4498" t="inlineStr"/>
      <c r="E4498">
        <f>HYPERLINK("https://www.uniprot.org/uniprotkb/Q9W6B4/entry", "Q9W6B4")</f>
        <v/>
      </c>
      <c r="F4498" t="n">
        <v>45.5</v>
      </c>
      <c r="G4498" t="n">
        <v>202</v>
      </c>
      <c r="H4498" t="n">
        <v>2.88e-67</v>
      </c>
      <c r="I4498" t="inlineStr">
        <is>
          <t>Swiss-Prot</t>
        </is>
      </c>
      <c r="J4498" t="inlineStr">
        <is>
          <t>TIMP3</t>
        </is>
      </c>
      <c r="K4498" t="inlineStr">
        <is>
          <t>TIMP3_SCYTO</t>
        </is>
      </c>
      <c r="L4498" t="inlineStr">
        <is>
          <t>sp|Q9W6B4|TIMP3_SCYTO Metalloproteinase inhibitor 3 OS=Scyliorhinus torazame OX=75743 GN=TIMP3 PE=2 SV=1</t>
        </is>
      </c>
      <c r="M4498" t="n">
        <v>214</v>
      </c>
      <c r="N4498" t="inlineStr">
        <is>
          <t>Scyliorhinus torazame</t>
        </is>
      </c>
      <c r="O4498" t="inlineStr">
        <is>
          <t>Metalloproteinase inhibitor 3</t>
        </is>
      </c>
    </row>
    <row r="4499">
      <c r="A4499" t="inlineStr"/>
      <c r="B4499" t="inlineStr"/>
      <c r="C4499" t="inlineStr"/>
      <c r="D4499" t="inlineStr"/>
      <c r="E4499">
        <f>HYPERLINK("https://www.uniprot.org/uniprotkb/P35625/entry", "P35625")</f>
        <v/>
      </c>
      <c r="F4499" t="n">
        <v>49</v>
      </c>
      <c r="G4499" t="n">
        <v>198</v>
      </c>
      <c r="H4499" t="n">
        <v>7.459999999999999e-67</v>
      </c>
      <c r="I4499" t="inlineStr">
        <is>
          <t>Swiss-Prot</t>
        </is>
      </c>
      <c r="J4499" t="inlineStr">
        <is>
          <t>TIMP3</t>
        </is>
      </c>
      <c r="K4499" t="inlineStr">
        <is>
          <t>TIMP3_HUMAN</t>
        </is>
      </c>
      <c r="L4499" t="inlineStr">
        <is>
          <t>sp|P35625|TIMP3_HUMAN Metalloproteinase inhibitor 3 OS=Homo sapiens OX=9606 GN=TIMP3 PE=1 SV=2</t>
        </is>
      </c>
      <c r="M4499" t="n">
        <v>211</v>
      </c>
      <c r="N4499" t="inlineStr">
        <is>
          <t>Homo sapiens</t>
        </is>
      </c>
      <c r="O4499" t="inlineStr">
        <is>
          <t>Metalloproteinase inhibitor 3</t>
        </is>
      </c>
    </row>
    <row r="4500">
      <c r="A4500" t="inlineStr"/>
      <c r="B4500" t="inlineStr"/>
      <c r="C4500" t="inlineStr"/>
      <c r="D4500" t="inlineStr"/>
      <c r="E4500">
        <f>HYPERLINK("https://www.uniprot.org/uniprotkb/P61269/entry", "P61269")</f>
        <v/>
      </c>
      <c r="F4500" t="n">
        <v>49</v>
      </c>
      <c r="G4500" t="n">
        <v>198</v>
      </c>
      <c r="H4500" t="n">
        <v>7.459999999999999e-67</v>
      </c>
      <c r="I4500" t="inlineStr">
        <is>
          <t>Swiss-Prot</t>
        </is>
      </c>
      <c r="J4500" t="inlineStr">
        <is>
          <t>TIMP3</t>
        </is>
      </c>
      <c r="K4500" t="inlineStr">
        <is>
          <t>TIMP3_MACFA</t>
        </is>
      </c>
      <c r="L4500" t="inlineStr">
        <is>
          <t>sp|P61269|TIMP3_MACFA Metalloproteinase inhibitor 3 OS=Macaca fascicularis OX=9541 GN=TIMP3 PE=2 SV=1</t>
        </is>
      </c>
      <c r="M4500" t="n">
        <v>211</v>
      </c>
      <c r="N4500" t="inlineStr">
        <is>
          <t>Macaca fascicularis</t>
        </is>
      </c>
      <c r="O4500" t="inlineStr">
        <is>
          <t>Metalloproteinase inhibitor 3</t>
        </is>
      </c>
    </row>
    <row r="4501">
      <c r="A4501" t="inlineStr"/>
      <c r="B4501" t="inlineStr"/>
      <c r="C4501" t="inlineStr"/>
      <c r="D4501" t="inlineStr"/>
      <c r="E4501">
        <f>HYPERLINK("https://www.uniprot.org/uniprotkb/Q5PXZ9/entry", "Q5PXZ9")</f>
        <v/>
      </c>
      <c r="F4501" t="n">
        <v>49</v>
      </c>
      <c r="G4501" t="n">
        <v>198</v>
      </c>
      <c r="H4501" t="n">
        <v>7.459999999999999e-67</v>
      </c>
      <c r="I4501" t="inlineStr">
        <is>
          <t>Swiss-Prot</t>
        </is>
      </c>
      <c r="J4501" t="inlineStr">
        <is>
          <t>TIMP3</t>
        </is>
      </c>
      <c r="K4501" t="inlineStr">
        <is>
          <t>TIMP3_MACMU</t>
        </is>
      </c>
      <c r="L4501" t="inlineStr">
        <is>
          <t>sp|Q5PXZ9|TIMP3_MACMU Metalloproteinase inhibitor 3 OS=Macaca mulatta OX=9544 GN=TIMP3 PE=2 SV=1</t>
        </is>
      </c>
      <c r="M4501" t="n">
        <v>211</v>
      </c>
      <c r="N4501" t="inlineStr">
        <is>
          <t>Macaca mulatta</t>
        </is>
      </c>
      <c r="O4501" t="inlineStr">
        <is>
          <t>Metalloproteinase inhibitor 3</t>
        </is>
      </c>
    </row>
    <row r="4502">
      <c r="A4502" t="inlineStr"/>
      <c r="B4502" t="inlineStr"/>
      <c r="C4502" t="inlineStr"/>
      <c r="D4502" t="inlineStr"/>
      <c r="E4502">
        <f>HYPERLINK("https://www.uniprot.org/uniprotkb/Q9TUL9/entry", "Q9TUL9")</f>
        <v/>
      </c>
      <c r="F4502" t="n">
        <v>49</v>
      </c>
      <c r="G4502" t="n">
        <v>198</v>
      </c>
      <c r="H4502" t="n">
        <v>1.06e-66</v>
      </c>
      <c r="I4502" t="inlineStr">
        <is>
          <t>Swiss-Prot</t>
        </is>
      </c>
      <c r="J4502" t="inlineStr">
        <is>
          <t>TIMP3</t>
        </is>
      </c>
      <c r="K4502" t="inlineStr">
        <is>
          <t>TIMP3_HORSE</t>
        </is>
      </c>
      <c r="L4502" t="inlineStr">
        <is>
          <t>sp|Q9TUL9|TIMP3_HORSE Metalloproteinase inhibitor 3 OS=Equus caballus OX=9796 GN=TIMP3 PE=2 SV=1</t>
        </is>
      </c>
      <c r="M4502" t="n">
        <v>211</v>
      </c>
      <c r="N4502" t="inlineStr">
        <is>
          <t>Equus caballus</t>
        </is>
      </c>
      <c r="O4502" t="inlineStr">
        <is>
          <t>Metalloproteinase inhibitor 3</t>
        </is>
      </c>
    </row>
    <row r="4503">
      <c r="A4503" t="inlineStr"/>
      <c r="B4503" t="inlineStr"/>
      <c r="C4503" t="inlineStr"/>
      <c r="D4503" t="inlineStr"/>
      <c r="E4503">
        <f>HYPERLINK("https://www.uniprot.org/uniprotkb/P48032/entry", "P48032")</f>
        <v/>
      </c>
      <c r="F4503" t="n">
        <v>47.4</v>
      </c>
      <c r="G4503" t="n">
        <v>215</v>
      </c>
      <c r="H4503" t="n">
        <v>3.01e-66</v>
      </c>
      <c r="I4503" t="inlineStr">
        <is>
          <t>Swiss-Prot</t>
        </is>
      </c>
      <c r="J4503" t="inlineStr">
        <is>
          <t>Timp3</t>
        </is>
      </c>
      <c r="K4503" t="inlineStr">
        <is>
          <t>TIMP3_RAT</t>
        </is>
      </c>
      <c r="L4503" t="inlineStr">
        <is>
          <t>sp|P48032|TIMP3_RAT Metalloproteinase inhibitor 3 OS=Rattus norvegicus OX=10116 GN=Timp3 PE=2 SV=1</t>
        </is>
      </c>
      <c r="M4503" t="n">
        <v>211</v>
      </c>
      <c r="N4503" t="inlineStr">
        <is>
          <t>Rattus norvegicus</t>
        </is>
      </c>
      <c r="O4503" t="inlineStr">
        <is>
          <t>Metalloproteinase inhibitor 3</t>
        </is>
      </c>
    </row>
    <row r="4504">
      <c r="A4504" t="inlineStr"/>
      <c r="B4504" t="inlineStr"/>
      <c r="C4504" t="inlineStr"/>
      <c r="D4504" t="inlineStr"/>
      <c r="E4504">
        <f>HYPERLINK("https://www.uniprot.org/uniprotkb/P79121/entry", "P79121")</f>
        <v/>
      </c>
      <c r="F4504" t="n">
        <v>48.5</v>
      </c>
      <c r="G4504" t="n">
        <v>198</v>
      </c>
      <c r="H4504" t="n">
        <v>6.050000000000001e-66</v>
      </c>
      <c r="I4504" t="inlineStr">
        <is>
          <t>Swiss-Prot</t>
        </is>
      </c>
      <c r="J4504" t="inlineStr">
        <is>
          <t>TIMP3</t>
        </is>
      </c>
      <c r="K4504" t="inlineStr">
        <is>
          <t>TIMP3_BOVIN</t>
        </is>
      </c>
      <c r="L4504" t="inlineStr">
        <is>
          <t>sp|P79121|TIMP3_BOVIN Metalloproteinase inhibitor 3 OS=Bos taurus OX=9913 GN=TIMP3 PE=2 SV=1</t>
        </is>
      </c>
      <c r="M4504" t="n">
        <v>211</v>
      </c>
      <c r="N4504" t="inlineStr">
        <is>
          <t>Bos taurus</t>
        </is>
      </c>
      <c r="O4504" t="inlineStr">
        <is>
          <t>Metalloproteinase inhibitor 3</t>
        </is>
      </c>
    </row>
    <row r="4505">
      <c r="A4505" t="inlineStr"/>
      <c r="B4505" t="inlineStr"/>
      <c r="C4505" t="inlineStr"/>
      <c r="D4505" t="inlineStr"/>
      <c r="E4505">
        <f>HYPERLINK("https://www.uniprot.org/uniprotkb/P39876/entry", "P39876")</f>
        <v/>
      </c>
      <c r="F4505" t="n">
        <v>47</v>
      </c>
      <c r="G4505" t="n">
        <v>215</v>
      </c>
      <c r="H4505" t="n">
        <v>8.58e-66</v>
      </c>
      <c r="I4505" t="inlineStr">
        <is>
          <t>Swiss-Prot</t>
        </is>
      </c>
      <c r="J4505" t="inlineStr">
        <is>
          <t>Timp3</t>
        </is>
      </c>
      <c r="K4505" t="inlineStr">
        <is>
          <t>TIMP3_MOUSE</t>
        </is>
      </c>
      <c r="L4505" t="inlineStr">
        <is>
          <t>sp|P39876|TIMP3_MOUSE Metalloproteinase inhibitor 3 OS=Mus musculus OX=10090 GN=Timp3 PE=1 SV=1</t>
        </is>
      </c>
      <c r="M4505" t="n">
        <v>211</v>
      </c>
      <c r="N4505" t="inlineStr">
        <is>
          <t>Mus musculus</t>
        </is>
      </c>
      <c r="O4505" t="inlineStr">
        <is>
          <t>Metalloproteinase inhibitor 3</t>
        </is>
      </c>
    </row>
    <row r="4506">
      <c r="A4506" t="inlineStr"/>
      <c r="B4506" t="inlineStr"/>
      <c r="C4506" t="inlineStr"/>
      <c r="D4506" t="inlineStr"/>
      <c r="E4506">
        <f>HYPERLINK("https://www.uniprot.org/uniprotkb/P26652/entry", "P26652")</f>
        <v/>
      </c>
      <c r="F4506" t="n">
        <v>44.6</v>
      </c>
      <c r="G4506" t="n">
        <v>213</v>
      </c>
      <c r="H4506" t="n">
        <v>5.07e-65</v>
      </c>
      <c r="I4506" t="inlineStr">
        <is>
          <t>Swiss-Prot</t>
        </is>
      </c>
      <c r="J4506" t="inlineStr">
        <is>
          <t>TIMP3</t>
        </is>
      </c>
      <c r="K4506" t="inlineStr">
        <is>
          <t>TIMP3_CHICK</t>
        </is>
      </c>
      <c r="L4506" t="inlineStr">
        <is>
          <t>sp|P26652|TIMP3_CHICK Metalloproteinase inhibitor 3 OS=Gallus gallus OX=9031 GN=TIMP3 PE=1 SV=2</t>
        </is>
      </c>
      <c r="M4506" t="n">
        <v>212</v>
      </c>
      <c r="N4506" t="inlineStr">
        <is>
          <t>Gallus gallus</t>
        </is>
      </c>
      <c r="O4506" t="inlineStr">
        <is>
          <t>Metalloproteinase inhibitor 3</t>
        </is>
      </c>
    </row>
    <row r="4507">
      <c r="A4507" t="inlineStr"/>
      <c r="B4507" t="inlineStr"/>
      <c r="C4507" t="inlineStr"/>
      <c r="D4507" t="inlineStr"/>
      <c r="E4507">
        <f>HYPERLINK("https://www.uniprot.org/uniprotkb/O73746/entry", "O73746")</f>
        <v/>
      </c>
      <c r="F4507" t="n">
        <v>44.5</v>
      </c>
      <c r="G4507" t="n">
        <v>209</v>
      </c>
      <c r="H4507" t="n">
        <v>3.09e-64</v>
      </c>
      <c r="I4507" t="inlineStr">
        <is>
          <t>Swiss-Prot</t>
        </is>
      </c>
      <c r="J4507" t="inlineStr">
        <is>
          <t>timp3</t>
        </is>
      </c>
      <c r="K4507" t="inlineStr">
        <is>
          <t>TIMP3_XENLA</t>
        </is>
      </c>
      <c r="L4507" t="inlineStr">
        <is>
          <t>sp|O73746|TIMP3_XENLA Metalloproteinase inhibitor 3 OS=Xenopus laevis OX=8355 GN=timp3 PE=2 SV=1</t>
        </is>
      </c>
      <c r="M4507" t="n">
        <v>214</v>
      </c>
      <c r="N4507" t="inlineStr">
        <is>
          <t>Xenopus laevis</t>
        </is>
      </c>
      <c r="O4507" t="inlineStr">
        <is>
          <t>Metalloproteinase inhibitor 3</t>
        </is>
      </c>
    </row>
    <row r="4508">
      <c r="A4508" t="inlineStr"/>
      <c r="B4508" t="inlineStr"/>
      <c r="C4508" t="inlineStr"/>
      <c r="D4508" t="inlineStr"/>
      <c r="E4508">
        <f>HYPERLINK("https://www.uniprot.org/uniprotkb/O97591/entry", "O97591")</f>
        <v/>
      </c>
      <c r="F4508" t="n">
        <v>45.3</v>
      </c>
      <c r="G4508" t="n">
        <v>170</v>
      </c>
      <c r="H4508" t="n">
        <v>1.42e-57</v>
      </c>
      <c r="I4508" t="inlineStr">
        <is>
          <t>Swiss-Prot</t>
        </is>
      </c>
      <c r="J4508" t="inlineStr">
        <is>
          <t>TIMP4</t>
        </is>
      </c>
      <c r="K4508" t="inlineStr">
        <is>
          <t>TIMP4_RABIT</t>
        </is>
      </c>
      <c r="L4508" t="inlineStr">
        <is>
          <t>sp|O97591|TIMP4_RABIT Metalloproteinase inhibitor 4 (Fragment) OS=Oryctolagus cuniculus OX=9986 GN=TIMP4 PE=2 SV=1</t>
        </is>
      </c>
      <c r="M4508" t="n">
        <v>170</v>
      </c>
      <c r="N4508" t="inlineStr">
        <is>
          <t>Oryctolagus cuniculus</t>
        </is>
      </c>
      <c r="O4508" t="inlineStr">
        <is>
          <t>Metalloproteinase inhibitor 4 (Fragment)</t>
        </is>
      </c>
    </row>
    <row r="4509">
      <c r="A4509" t="inlineStr"/>
      <c r="B4509" t="inlineStr"/>
      <c r="C4509" t="inlineStr"/>
      <c r="D4509" t="inlineStr"/>
      <c r="E4509">
        <f>HYPERLINK("https://www.uniprot.org/uniprotkb/O77717/entry", "O77717")</f>
        <v/>
      </c>
      <c r="F4509" t="n">
        <v>83.3</v>
      </c>
      <c r="G4509" t="n">
        <v>90</v>
      </c>
      <c r="H4509" t="n">
        <v>7.719999999999999e-52</v>
      </c>
      <c r="I4509" t="inlineStr">
        <is>
          <t>Swiss-Prot</t>
        </is>
      </c>
      <c r="J4509" t="inlineStr">
        <is>
          <t>TIMP2</t>
        </is>
      </c>
      <c r="K4509" t="inlineStr">
        <is>
          <t>TIMP2_HORSE</t>
        </is>
      </c>
      <c r="L4509" t="inlineStr">
        <is>
          <t>sp|O77717|TIMP2_HORSE Metalloproteinase inhibitor 2 (Fragment) OS=Equus caballus OX=9796 GN=TIMP2 PE=1 SV=1</t>
        </is>
      </c>
      <c r="M4509" t="n">
        <v>91</v>
      </c>
      <c r="N4509" t="inlineStr">
        <is>
          <t>Equus caballus</t>
        </is>
      </c>
      <c r="O4509" t="inlineStr">
        <is>
          <t>Metalloproteinase inhibitor 2 (Fragment)</t>
        </is>
      </c>
    </row>
    <row r="4510">
      <c r="A4510" t="inlineStr">
        <is>
          <t>NODE_29413_length_4066_cov_9.014754_g10122_i0</t>
        </is>
      </c>
      <c r="B4510" t="inlineStr">
        <is>
          <t>bombina_pachypus_blastx</t>
        </is>
      </c>
      <c r="C4510" t="n">
        <v>6.1442934708005</v>
      </c>
      <c r="D4510" t="n">
        <v>4.03718724385723e-08</v>
      </c>
      <c r="E4510">
        <f>HYPERLINK("https://www.uniprot.org/uniprotkb/A0A8C5QBF2/entry", "A0A8C5QBF2")</f>
        <v/>
      </c>
      <c r="F4510" t="n">
        <v>49.2</v>
      </c>
      <c r="G4510" t="n">
        <v>636</v>
      </c>
      <c r="H4510" t="n">
        <v>4.31e-191</v>
      </c>
      <c r="I4510" t="inlineStr">
        <is>
          <t>TrEMBL</t>
        </is>
      </c>
      <c r="J4510" t="inlineStr"/>
      <c r="K4510" t="inlineStr">
        <is>
          <t>A0A8C5QBF2_9ANUR</t>
        </is>
      </c>
      <c r="L4510" t="inlineStr">
        <is>
          <t>tr|A0A8C5QBF2|A0A8C5QBF2_9ANUR Reverse transcriptase OS=Leptobrachium leishanense OX=445787 PE=3 SV=1</t>
        </is>
      </c>
      <c r="M4510" t="n">
        <v>1083</v>
      </c>
      <c r="N4510" t="inlineStr">
        <is>
          <t>Leptobrachium leishanense</t>
        </is>
      </c>
      <c r="O4510" t="inlineStr">
        <is>
          <t>Reverse transcriptase</t>
        </is>
      </c>
    </row>
    <row r="4511">
      <c r="A4511" t="inlineStr"/>
      <c r="B4511" t="inlineStr"/>
      <c r="C4511" t="inlineStr"/>
      <c r="D4511" t="inlineStr"/>
      <c r="E4511">
        <f>HYPERLINK("https://www.uniprot.org/uniprotkb/A0A8C5MZR0/entry", "A0A8C5MZR0")</f>
        <v/>
      </c>
      <c r="F4511" t="n">
        <v>48.2</v>
      </c>
      <c r="G4511" t="n">
        <v>620</v>
      </c>
      <c r="H4511" t="n">
        <v>1.38e-190</v>
      </c>
      <c r="I4511" t="inlineStr">
        <is>
          <t>TrEMBL</t>
        </is>
      </c>
      <c r="J4511" t="inlineStr"/>
      <c r="K4511" t="inlineStr">
        <is>
          <t>A0A8C5MZR0_9ANUR</t>
        </is>
      </c>
      <c r="L4511" t="inlineStr">
        <is>
          <t>tr|A0A8C5MZR0|A0A8C5MZR0_9ANUR Integrase catalytic domain-containing protein OS=Leptobrachium leishanense OX=445787 PE=4 SV=1</t>
        </is>
      </c>
      <c r="M4511" t="n">
        <v>780</v>
      </c>
      <c r="N4511" t="inlineStr">
        <is>
          <t>Leptobrachium leishanense</t>
        </is>
      </c>
      <c r="O4511" t="inlineStr">
        <is>
          <t>Integrase catalytic domain-containing protein</t>
        </is>
      </c>
    </row>
    <row r="4512">
      <c r="A4512" t="inlineStr"/>
      <c r="B4512" t="inlineStr"/>
      <c r="C4512" t="inlineStr"/>
      <c r="D4512" t="inlineStr"/>
      <c r="E4512">
        <f>HYPERLINK("https://www.uniprot.org/uniprotkb/A0A8C5Q592/entry", "A0A8C5Q592")</f>
        <v/>
      </c>
      <c r="F4512" t="n">
        <v>48.5</v>
      </c>
      <c r="G4512" t="n">
        <v>620</v>
      </c>
      <c r="H4512" t="n">
        <v>4.939999999999999e-188</v>
      </c>
      <c r="I4512" t="inlineStr">
        <is>
          <t>TrEMBL</t>
        </is>
      </c>
      <c r="J4512" t="inlineStr"/>
      <c r="K4512" t="inlineStr">
        <is>
          <t>A0A8C5Q592_9ANUR</t>
        </is>
      </c>
      <c r="L4512" t="inlineStr">
        <is>
          <t>tr|A0A8C5Q592|A0A8C5Q592_9ANUR Reverse transcriptase OS=Leptobrachium leishanense OX=445787 PE=3 SV=1</t>
        </is>
      </c>
      <c r="M4512" t="n">
        <v>1456</v>
      </c>
      <c r="N4512" t="inlineStr">
        <is>
          <t>Leptobrachium leishanense</t>
        </is>
      </c>
      <c r="O4512" t="inlineStr">
        <is>
          <t>Reverse transcriptase</t>
        </is>
      </c>
    </row>
    <row r="4513">
      <c r="A4513" t="inlineStr"/>
      <c r="B4513" t="inlineStr"/>
      <c r="C4513" t="inlineStr"/>
      <c r="D4513" t="inlineStr"/>
      <c r="E4513">
        <f>HYPERLINK("https://www.uniprot.org/uniprotkb/A0A8C5PE09/entry", "A0A8C5PE09")</f>
        <v/>
      </c>
      <c r="F4513" t="n">
        <v>48</v>
      </c>
      <c r="G4513" t="n">
        <v>619</v>
      </c>
      <c r="H4513" t="n">
        <v>3.47e-187</v>
      </c>
      <c r="I4513" t="inlineStr">
        <is>
          <t>TrEMBL</t>
        </is>
      </c>
      <c r="J4513" t="inlineStr"/>
      <c r="K4513" t="inlineStr">
        <is>
          <t>A0A8C5PE09_9ANUR</t>
        </is>
      </c>
      <c r="L4513" t="inlineStr">
        <is>
          <t>tr|A0A8C5PE09|A0A8C5PE09_9ANUR ribonuclease H OS=Leptobrachium leishanense OX=445787 PE=3 SV=1</t>
        </is>
      </c>
      <c r="M4513" t="n">
        <v>1085</v>
      </c>
      <c r="N4513" t="inlineStr">
        <is>
          <t>Leptobrachium leishanense</t>
        </is>
      </c>
      <c r="O4513" t="inlineStr">
        <is>
          <t>ribonuclease H</t>
        </is>
      </c>
    </row>
    <row r="4514">
      <c r="A4514" t="inlineStr"/>
      <c r="B4514" t="inlineStr"/>
      <c r="C4514" t="inlineStr"/>
      <c r="D4514" t="inlineStr"/>
      <c r="E4514">
        <f>HYPERLINK("https://www.uniprot.org/uniprotkb/A0A803JEY3/entry", "A0A803JEY3")</f>
        <v/>
      </c>
      <c r="F4514" t="n">
        <v>47.6</v>
      </c>
      <c r="G4514" t="n">
        <v>620</v>
      </c>
      <c r="H4514" t="n">
        <v>5.45e-187</v>
      </c>
      <c r="I4514" t="inlineStr">
        <is>
          <t>TrEMBL</t>
        </is>
      </c>
      <c r="J4514" t="inlineStr"/>
      <c r="K4514" t="inlineStr">
        <is>
          <t>A0A803JEY3_XENTR</t>
        </is>
      </c>
      <c r="L4514" t="inlineStr">
        <is>
          <t>tr|A0A803JEY3|A0A803JEY3_XENTR ribonuclease H OS=Xenopus tropicalis OX=8364 PE=3 SV=1</t>
        </is>
      </c>
      <c r="M4514" t="n">
        <v>1222</v>
      </c>
      <c r="N4514" t="inlineStr">
        <is>
          <t>Xenopus tropicalis</t>
        </is>
      </c>
      <c r="O4514" t="inlineStr">
        <is>
          <t>ribonuclease H</t>
        </is>
      </c>
    </row>
    <row r="4515">
      <c r="A4515" t="inlineStr"/>
      <c r="B4515" t="inlineStr"/>
      <c r="C4515" t="inlineStr"/>
      <c r="D4515" t="inlineStr"/>
      <c r="E4515">
        <f>HYPERLINK("https://www.uniprot.org/uniprotkb/A0A8C5LZH6/entry", "A0A8C5LZH6")</f>
        <v/>
      </c>
      <c r="F4515" t="n">
        <v>48.9</v>
      </c>
      <c r="G4515" t="n">
        <v>619</v>
      </c>
      <c r="H4515" t="n">
        <v>1.75e-186</v>
      </c>
      <c r="I4515" t="inlineStr">
        <is>
          <t>TrEMBL</t>
        </is>
      </c>
      <c r="J4515" t="inlineStr"/>
      <c r="K4515" t="inlineStr">
        <is>
          <t>A0A8C5LZH6_9ANUR</t>
        </is>
      </c>
      <c r="L4515" t="inlineStr">
        <is>
          <t>tr|A0A8C5LZH6|A0A8C5LZH6_9ANUR ribonuclease H OS=Leptobrachium leishanense OX=445787 PE=3 SV=1</t>
        </is>
      </c>
      <c r="M4515" t="n">
        <v>1529</v>
      </c>
      <c r="N4515" t="inlineStr">
        <is>
          <t>Leptobrachium leishanense</t>
        </is>
      </c>
      <c r="O4515" t="inlineStr">
        <is>
          <t>ribonuclease H</t>
        </is>
      </c>
    </row>
    <row r="4516">
      <c r="A4516" t="inlineStr"/>
      <c r="B4516" t="inlineStr"/>
      <c r="C4516" t="inlineStr"/>
      <c r="D4516" t="inlineStr"/>
      <c r="E4516">
        <f>HYPERLINK("https://www.uniprot.org/uniprotkb/A0A8C5Q3J9/entry", "A0A8C5Q3J9")</f>
        <v/>
      </c>
      <c r="F4516" t="n">
        <v>49.1</v>
      </c>
      <c r="G4516" t="n">
        <v>619</v>
      </c>
      <c r="H4516" t="n">
        <v>9.019999999999999e-186</v>
      </c>
      <c r="I4516" t="inlineStr">
        <is>
          <t>TrEMBL</t>
        </is>
      </c>
      <c r="J4516" t="inlineStr"/>
      <c r="K4516" t="inlineStr">
        <is>
          <t>A0A8C5Q3J9_9ANUR</t>
        </is>
      </c>
      <c r="L4516" t="inlineStr">
        <is>
          <t>tr|A0A8C5Q3J9|A0A8C5Q3J9_9ANUR Reverse transcriptase OS=Leptobrachium leishanense OX=445787 PE=3 SV=1</t>
        </is>
      </c>
      <c r="M4516" t="n">
        <v>1577</v>
      </c>
      <c r="N4516" t="inlineStr">
        <is>
          <t>Leptobrachium leishanense</t>
        </is>
      </c>
      <c r="O4516" t="inlineStr">
        <is>
          <t>Reverse transcriptase</t>
        </is>
      </c>
    </row>
    <row r="4517">
      <c r="A4517" t="inlineStr"/>
      <c r="B4517" t="inlineStr"/>
      <c r="C4517" t="inlineStr"/>
      <c r="D4517" t="inlineStr"/>
      <c r="E4517">
        <f>HYPERLINK("https://www.uniprot.org/uniprotkb/A0A8C5PBY8/entry", "A0A8C5PBY8")</f>
        <v/>
      </c>
      <c r="F4517" t="n">
        <v>48.5</v>
      </c>
      <c r="G4517" t="n">
        <v>623</v>
      </c>
      <c r="H4517" t="n">
        <v>1.52e-185</v>
      </c>
      <c r="I4517" t="inlineStr">
        <is>
          <t>TrEMBL</t>
        </is>
      </c>
      <c r="J4517" t="inlineStr"/>
      <c r="K4517" t="inlineStr">
        <is>
          <t>A0A8C5PBY8_9ANUR</t>
        </is>
      </c>
      <c r="L4517" t="inlineStr">
        <is>
          <t>tr|A0A8C5PBY8|A0A8C5PBY8_9ANUR ribonuclease H OS=Leptobrachium leishanense OX=445787 PE=3 SV=1</t>
        </is>
      </c>
      <c r="M4517" t="n">
        <v>1232</v>
      </c>
      <c r="N4517" t="inlineStr">
        <is>
          <t>Leptobrachium leishanense</t>
        </is>
      </c>
      <c r="O4517" t="inlineStr">
        <is>
          <t>ribonuclease H</t>
        </is>
      </c>
    </row>
    <row r="4518">
      <c r="A4518" t="inlineStr"/>
      <c r="B4518" t="inlineStr"/>
      <c r="C4518" t="inlineStr"/>
      <c r="D4518" t="inlineStr"/>
      <c r="E4518">
        <f>HYPERLINK("https://www.uniprot.org/uniprotkb/A0A8C5LPA6/entry", "A0A8C5LPA6")</f>
        <v/>
      </c>
      <c r="F4518" t="n">
        <v>48</v>
      </c>
      <c r="G4518" t="n">
        <v>623</v>
      </c>
      <c r="H4518" t="n">
        <v>1.92e-185</v>
      </c>
      <c r="I4518" t="inlineStr">
        <is>
          <t>TrEMBL</t>
        </is>
      </c>
      <c r="J4518" t="inlineStr"/>
      <c r="K4518" t="inlineStr">
        <is>
          <t>A0A8C5LPA6_9ANUR</t>
        </is>
      </c>
      <c r="L4518" t="inlineStr">
        <is>
          <t>tr|A0A8C5LPA6|A0A8C5LPA6_9ANUR Integrase catalytic domain-containing protein OS=Leptobrachium leishanense OX=445787 PE=4 SV=1</t>
        </is>
      </c>
      <c r="M4518" t="n">
        <v>782</v>
      </c>
      <c r="N4518" t="inlineStr">
        <is>
          <t>Leptobrachium leishanense</t>
        </is>
      </c>
      <c r="O4518" t="inlineStr">
        <is>
          <t>Integrase catalytic domain-containing protein</t>
        </is>
      </c>
    </row>
    <row r="4519">
      <c r="A4519" t="inlineStr"/>
      <c r="B4519" t="inlineStr"/>
      <c r="C4519" t="inlineStr"/>
      <c r="D4519" t="inlineStr"/>
      <c r="E4519">
        <f>HYPERLINK("https://www.ncbi.nlm.nih.gov/gene/?term=XP_040210218.1", "XP_040210218.1")</f>
        <v/>
      </c>
      <c r="F4519" t="n">
        <v>49.1</v>
      </c>
      <c r="G4519" t="n">
        <v>615</v>
      </c>
      <c r="H4519" t="n">
        <v>2.66e-184</v>
      </c>
      <c r="I4519" t="inlineStr">
        <is>
          <t>Nr</t>
        </is>
      </c>
      <c r="J4519" t="inlineStr"/>
      <c r="K4519" t="inlineStr"/>
      <c r="L4519" t="inlineStr">
        <is>
          <t>XP_040210218.1 retrotransposon-derived protein PEG10 [Rana temporaria]</t>
        </is>
      </c>
      <c r="M4519" t="n">
        <v>1481</v>
      </c>
      <c r="N4519" t="inlineStr">
        <is>
          <t>Rana temporaria</t>
        </is>
      </c>
      <c r="O4519" t="inlineStr">
        <is>
          <t>retrotransposon-derived protein PEG10</t>
        </is>
      </c>
    </row>
    <row r="4520">
      <c r="A4520" t="inlineStr"/>
      <c r="B4520" t="inlineStr"/>
      <c r="C4520" t="inlineStr"/>
      <c r="D4520" t="inlineStr"/>
      <c r="E4520">
        <f>HYPERLINK("https://www.uniprot.org/uniprotkb/A0A8C5QN78/entry", "A0A8C5QN78")</f>
        <v/>
      </c>
      <c r="F4520" t="n">
        <v>48.1</v>
      </c>
      <c r="G4520" t="n">
        <v>626</v>
      </c>
      <c r="H4520" t="n">
        <v>9.929999999999999e-184</v>
      </c>
      <c r="I4520" t="inlineStr">
        <is>
          <t>TrEMBL</t>
        </is>
      </c>
      <c r="J4520" t="inlineStr"/>
      <c r="K4520" t="inlineStr">
        <is>
          <t>A0A8C5QN78_9ANUR</t>
        </is>
      </c>
      <c r="L4520" t="inlineStr">
        <is>
          <t>tr|A0A8C5QN78|A0A8C5QN78_9ANUR ribonuclease H OS=Leptobrachium leishanense OX=445787 PE=3 SV=1</t>
        </is>
      </c>
      <c r="M4520" t="n">
        <v>1492</v>
      </c>
      <c r="N4520" t="inlineStr">
        <is>
          <t>Leptobrachium leishanense</t>
        </is>
      </c>
      <c r="O4520" t="inlineStr">
        <is>
          <t>ribonuclease H</t>
        </is>
      </c>
    </row>
    <row r="4521">
      <c r="A4521" t="inlineStr"/>
      <c r="B4521" t="inlineStr"/>
      <c r="C4521" t="inlineStr"/>
      <c r="D4521" t="inlineStr"/>
      <c r="E4521">
        <f>HYPERLINK("https://www.uniprot.org/uniprotkb/A0A8C5MRI8/entry", "A0A8C5MRI8")</f>
        <v/>
      </c>
      <c r="F4521" t="n">
        <v>48</v>
      </c>
      <c r="G4521" t="n">
        <v>629</v>
      </c>
      <c r="H4521" t="n">
        <v>1.39e-183</v>
      </c>
      <c r="I4521" t="inlineStr">
        <is>
          <t>TrEMBL</t>
        </is>
      </c>
      <c r="J4521" t="inlineStr"/>
      <c r="K4521" t="inlineStr">
        <is>
          <t>A0A8C5MRI8_9ANUR</t>
        </is>
      </c>
      <c r="L4521" t="inlineStr">
        <is>
          <t>tr|A0A8C5MRI8|A0A8C5MRI8_9ANUR ribonuclease H OS=Leptobrachium leishanense OX=445787 PE=3 SV=1</t>
        </is>
      </c>
      <c r="M4521" t="n">
        <v>1492</v>
      </c>
      <c r="N4521" t="inlineStr">
        <is>
          <t>Leptobrachium leishanense</t>
        </is>
      </c>
      <c r="O4521" t="inlineStr">
        <is>
          <t>ribonuclease H</t>
        </is>
      </c>
    </row>
    <row r="4522">
      <c r="A4522" t="inlineStr"/>
      <c r="B4522" t="inlineStr"/>
      <c r="C4522" t="inlineStr"/>
      <c r="D4522" t="inlineStr"/>
      <c r="E4522">
        <f>HYPERLINK("https://www.uniprot.org/uniprotkb/A0A8C5MZB2/entry", "A0A8C5MZB2")</f>
        <v/>
      </c>
      <c r="F4522" t="n">
        <v>47.5</v>
      </c>
      <c r="G4522" t="n">
        <v>619</v>
      </c>
      <c r="H4522" t="n">
        <v>1.57e-183</v>
      </c>
      <c r="I4522" t="inlineStr">
        <is>
          <t>TrEMBL</t>
        </is>
      </c>
      <c r="J4522" t="inlineStr"/>
      <c r="K4522" t="inlineStr">
        <is>
          <t>A0A8C5MZB2_9ANUR</t>
        </is>
      </c>
      <c r="L4522" t="inlineStr">
        <is>
          <t>tr|A0A8C5MZB2|A0A8C5MZB2_9ANUR ribonuclease H OS=Leptobrachium leishanense OX=445787 PE=3 SV=1</t>
        </is>
      </c>
      <c r="M4522" t="n">
        <v>978</v>
      </c>
      <c r="N4522" t="inlineStr">
        <is>
          <t>Leptobrachium leishanense</t>
        </is>
      </c>
      <c r="O4522" t="inlineStr">
        <is>
          <t>ribonuclease H</t>
        </is>
      </c>
    </row>
    <row r="4523">
      <c r="A4523" t="inlineStr"/>
      <c r="B4523" t="inlineStr"/>
      <c r="C4523" t="inlineStr"/>
      <c r="D4523" t="inlineStr"/>
      <c r="E4523">
        <f>HYPERLINK("https://www.uniprot.org/uniprotkb/A0A8C5MMY2/entry", "A0A8C5MMY2")</f>
        <v/>
      </c>
      <c r="F4523" t="n">
        <v>48.4</v>
      </c>
      <c r="G4523" t="n">
        <v>620</v>
      </c>
      <c r="H4523" t="n">
        <v>2.53e-183</v>
      </c>
      <c r="I4523" t="inlineStr">
        <is>
          <t>TrEMBL</t>
        </is>
      </c>
      <c r="J4523" t="inlineStr"/>
      <c r="K4523" t="inlineStr">
        <is>
          <t>A0A8C5MMY2_9ANUR</t>
        </is>
      </c>
      <c r="L4523" t="inlineStr">
        <is>
          <t>tr|A0A8C5MMY2|A0A8C5MMY2_9ANUR ribonuclease H OS=Leptobrachium leishanense OX=445787 PE=3 SV=1</t>
        </is>
      </c>
      <c r="M4523" t="n">
        <v>1555</v>
      </c>
      <c r="N4523" t="inlineStr">
        <is>
          <t>Leptobrachium leishanense</t>
        </is>
      </c>
      <c r="O4523" t="inlineStr">
        <is>
          <t>ribonuclease H</t>
        </is>
      </c>
    </row>
    <row r="4524">
      <c r="A4524" t="inlineStr"/>
      <c r="B4524" t="inlineStr"/>
      <c r="C4524" t="inlineStr"/>
      <c r="D4524" t="inlineStr"/>
      <c r="E4524">
        <f>HYPERLINK("https://www.uniprot.org/uniprotkb/A0A8C5LZM1/entry", "A0A8C5LZM1")</f>
        <v/>
      </c>
      <c r="F4524" t="n">
        <v>46</v>
      </c>
      <c r="G4524" t="n">
        <v>632</v>
      </c>
      <c r="H4524" t="n">
        <v>1.54e-182</v>
      </c>
      <c r="I4524" t="inlineStr">
        <is>
          <t>TrEMBL</t>
        </is>
      </c>
      <c r="J4524" t="inlineStr"/>
      <c r="K4524" t="inlineStr">
        <is>
          <t>A0A8C5LZM1_9ANUR</t>
        </is>
      </c>
      <c r="L4524" t="inlineStr">
        <is>
          <t>tr|A0A8C5LZM1|A0A8C5LZM1_9ANUR Integrase catalytic domain-containing protein OS=Leptobrachium leishanense OX=445787 PE=4 SV=1</t>
        </is>
      </c>
      <c r="M4524" t="n">
        <v>708</v>
      </c>
      <c r="N4524" t="inlineStr">
        <is>
          <t>Leptobrachium leishanense</t>
        </is>
      </c>
      <c r="O4524" t="inlineStr">
        <is>
          <t>Integrase catalytic domain-containing protein</t>
        </is>
      </c>
    </row>
    <row r="4525">
      <c r="A4525" t="inlineStr"/>
      <c r="B4525" t="inlineStr"/>
      <c r="C4525" t="inlineStr"/>
      <c r="D4525" t="inlineStr"/>
      <c r="E4525">
        <f>HYPERLINK("https://www.uniprot.org/uniprotkb/A0A8C5Q1L6/entry", "A0A8C5Q1L6")</f>
        <v/>
      </c>
      <c r="F4525" t="n">
        <v>47</v>
      </c>
      <c r="G4525" t="n">
        <v>628</v>
      </c>
      <c r="H4525" t="n">
        <v>4.08e-182</v>
      </c>
      <c r="I4525" t="inlineStr">
        <is>
          <t>TrEMBL</t>
        </is>
      </c>
      <c r="J4525" t="inlineStr"/>
      <c r="K4525" t="inlineStr">
        <is>
          <t>A0A8C5Q1L6_9ANUR</t>
        </is>
      </c>
      <c r="L4525" t="inlineStr">
        <is>
          <t>tr|A0A8C5Q1L6|A0A8C5Q1L6_9ANUR ribonuclease H OS=Leptobrachium leishanense OX=445787 PE=3 SV=1</t>
        </is>
      </c>
      <c r="M4525" t="n">
        <v>959</v>
      </c>
      <c r="N4525" t="inlineStr">
        <is>
          <t>Leptobrachium leishanense</t>
        </is>
      </c>
      <c r="O4525" t="inlineStr">
        <is>
          <t>ribonuclease H</t>
        </is>
      </c>
    </row>
    <row r="4526">
      <c r="A4526" t="inlineStr"/>
      <c r="B4526" t="inlineStr"/>
      <c r="C4526" t="inlineStr"/>
      <c r="D4526" t="inlineStr"/>
      <c r="E4526">
        <f>HYPERLINK("https://www.uniprot.org/uniprotkb/A0A8C5LZY7/entry", "A0A8C5LZY7")</f>
        <v/>
      </c>
      <c r="F4526" t="n">
        <v>48.5</v>
      </c>
      <c r="G4526" t="n">
        <v>620</v>
      </c>
      <c r="H4526" t="n">
        <v>9e-182</v>
      </c>
      <c r="I4526" t="inlineStr">
        <is>
          <t>TrEMBL</t>
        </is>
      </c>
      <c r="J4526" t="inlineStr"/>
      <c r="K4526" t="inlineStr">
        <is>
          <t>A0A8C5LZY7_9ANUR</t>
        </is>
      </c>
      <c r="L4526" t="inlineStr">
        <is>
          <t>tr|A0A8C5LZY7|A0A8C5LZY7_9ANUR ribonuclease H OS=Leptobrachium leishanense OX=445787 PE=3 SV=1</t>
        </is>
      </c>
      <c r="M4526" t="n">
        <v>1210</v>
      </c>
      <c r="N4526" t="inlineStr">
        <is>
          <t>Leptobrachium leishanense</t>
        </is>
      </c>
      <c r="O4526" t="inlineStr">
        <is>
          <t>ribonuclease H</t>
        </is>
      </c>
    </row>
    <row r="4527">
      <c r="A4527" t="inlineStr"/>
      <c r="B4527" t="inlineStr"/>
      <c r="C4527" t="inlineStr"/>
      <c r="D4527" t="inlineStr"/>
      <c r="E4527">
        <f>HYPERLINK("https://www.uniprot.org/uniprotkb/A0A8C5M6V8/entry", "A0A8C5M6V8")</f>
        <v/>
      </c>
      <c r="F4527" t="n">
        <v>48.3</v>
      </c>
      <c r="G4527" t="n">
        <v>621</v>
      </c>
      <c r="H4527" t="n">
        <v>2.16e-181</v>
      </c>
      <c r="I4527" t="inlineStr">
        <is>
          <t>TrEMBL</t>
        </is>
      </c>
      <c r="J4527" t="inlineStr"/>
      <c r="K4527" t="inlineStr">
        <is>
          <t>A0A8C5M6V8_9ANUR</t>
        </is>
      </c>
      <c r="L4527" t="inlineStr">
        <is>
          <t>tr|A0A8C5M6V8|A0A8C5M6V8_9ANUR Reverse transcriptase OS=Leptobrachium leishanense OX=445787 PE=3 SV=1</t>
        </is>
      </c>
      <c r="M4527" t="n">
        <v>1524</v>
      </c>
      <c r="N4527" t="inlineStr">
        <is>
          <t>Leptobrachium leishanense</t>
        </is>
      </c>
      <c r="O4527" t="inlineStr">
        <is>
          <t>Reverse transcriptase</t>
        </is>
      </c>
    </row>
    <row r="4528">
      <c r="A4528" t="inlineStr"/>
      <c r="B4528" t="inlineStr"/>
      <c r="C4528" t="inlineStr"/>
      <c r="D4528" t="inlineStr"/>
      <c r="E4528">
        <f>HYPERLINK("https://www.uniprot.org/uniprotkb/A0A8C5M117/entry", "A0A8C5M117")</f>
        <v/>
      </c>
      <c r="F4528" t="n">
        <v>48.5</v>
      </c>
      <c r="G4528" t="n">
        <v>620</v>
      </c>
      <c r="H4528" t="n">
        <v>3.6e-181</v>
      </c>
      <c r="I4528" t="inlineStr">
        <is>
          <t>TrEMBL</t>
        </is>
      </c>
      <c r="J4528" t="inlineStr"/>
      <c r="K4528" t="inlineStr">
        <is>
          <t>A0A8C5M117_9ANUR</t>
        </is>
      </c>
      <c r="L4528" t="inlineStr">
        <is>
          <t>tr|A0A8C5M117|A0A8C5M117_9ANUR Reverse transcriptase OS=Leptobrachium leishanense OX=445787 PE=3 SV=1</t>
        </is>
      </c>
      <c r="M4528" t="n">
        <v>1434</v>
      </c>
      <c r="N4528" t="inlineStr">
        <is>
          <t>Leptobrachium leishanense</t>
        </is>
      </c>
      <c r="O4528" t="inlineStr">
        <is>
          <t>Reverse transcriptase</t>
        </is>
      </c>
    </row>
    <row r="4529">
      <c r="A4529" t="inlineStr"/>
      <c r="B4529" t="inlineStr"/>
      <c r="C4529" t="inlineStr"/>
      <c r="D4529" t="inlineStr"/>
      <c r="E4529">
        <f>HYPERLINK("https://www.uniprot.org/uniprotkb/A0A8C5WDZ6/entry", "A0A8C5WDZ6")</f>
        <v/>
      </c>
      <c r="F4529" t="n">
        <v>47.1</v>
      </c>
      <c r="G4529" t="n">
        <v>618</v>
      </c>
      <c r="H4529" t="n">
        <v>1.59e-180</v>
      </c>
      <c r="I4529" t="inlineStr">
        <is>
          <t>TrEMBL</t>
        </is>
      </c>
      <c r="J4529" t="inlineStr"/>
      <c r="K4529" t="inlineStr">
        <is>
          <t>A0A8C5WDZ6_9ANUR</t>
        </is>
      </c>
      <c r="L4529" t="inlineStr">
        <is>
          <t>tr|A0A8C5WDZ6|A0A8C5WDZ6_9ANUR ribonuclease H OS=Leptobrachium leishanense OX=445787 PE=3 SV=1</t>
        </is>
      </c>
      <c r="M4529" t="n">
        <v>918</v>
      </c>
      <c r="N4529" t="inlineStr">
        <is>
          <t>Leptobrachium leishanense</t>
        </is>
      </c>
      <c r="O4529" t="inlineStr">
        <is>
          <t>ribonuclease H</t>
        </is>
      </c>
    </row>
    <row r="4530">
      <c r="A4530" t="inlineStr"/>
      <c r="B4530" t="inlineStr"/>
      <c r="C4530" t="inlineStr"/>
      <c r="D4530" t="inlineStr"/>
      <c r="E4530">
        <f>HYPERLINK("https://www.uniprot.org/uniprotkb/A0A8C5MC00/entry", "A0A8C5MC00")</f>
        <v/>
      </c>
      <c r="F4530" t="n">
        <v>48.7</v>
      </c>
      <c r="G4530" t="n">
        <v>622</v>
      </c>
      <c r="H4530" t="n">
        <v>2e-180</v>
      </c>
      <c r="I4530" t="inlineStr">
        <is>
          <t>TrEMBL</t>
        </is>
      </c>
      <c r="J4530" t="inlineStr"/>
      <c r="K4530" t="inlineStr">
        <is>
          <t>A0A8C5MC00_9ANUR</t>
        </is>
      </c>
      <c r="L4530" t="inlineStr">
        <is>
          <t>tr|A0A8C5MC00|A0A8C5MC00_9ANUR Reverse transcriptase OS=Leptobrachium leishanense OX=445787 PE=3 SV=1</t>
        </is>
      </c>
      <c r="M4530" t="n">
        <v>1569</v>
      </c>
      <c r="N4530" t="inlineStr">
        <is>
          <t>Leptobrachium leishanense</t>
        </is>
      </c>
      <c r="O4530" t="inlineStr">
        <is>
          <t>Reverse transcriptase</t>
        </is>
      </c>
    </row>
    <row r="4531">
      <c r="A4531" t="inlineStr"/>
      <c r="B4531" t="inlineStr"/>
      <c r="C4531" t="inlineStr"/>
      <c r="D4531" t="inlineStr"/>
      <c r="E4531">
        <f>HYPERLINK("https://www.uniprot.org/uniprotkb/A0A8J1JL04/entry", "A0A8J1JL04")</f>
        <v/>
      </c>
      <c r="F4531" t="n">
        <v>46.3</v>
      </c>
      <c r="G4531" t="n">
        <v>620</v>
      </c>
      <c r="H4531" t="n">
        <v>5.25e-180</v>
      </c>
      <c r="I4531" t="inlineStr">
        <is>
          <t>TrEMBL</t>
        </is>
      </c>
      <c r="J4531" t="inlineStr">
        <is>
          <t>LOC108647661</t>
        </is>
      </c>
      <c r="K4531" t="inlineStr">
        <is>
          <t>A0A8J1JL04_XENTR</t>
        </is>
      </c>
      <c r="L4531" t="inlineStr">
        <is>
          <t>tr|A0A8J1JL04|A0A8J1JL04_XENTR uncharacterized protein LOC108647661 OS=Xenopus tropicalis OX=8364 GN=LOC108647661 PE=3 SV=1</t>
        </is>
      </c>
      <c r="M4531" t="n">
        <v>1100</v>
      </c>
      <c r="N4531" t="inlineStr">
        <is>
          <t>Xenopus tropicalis</t>
        </is>
      </c>
      <c r="O4531" t="inlineStr">
        <is>
          <t>uncharacterized protein LOC108647661</t>
        </is>
      </c>
    </row>
    <row r="4532">
      <c r="A4532" t="inlineStr"/>
      <c r="B4532" t="inlineStr"/>
      <c r="C4532" t="inlineStr"/>
      <c r="D4532" t="inlineStr"/>
      <c r="E4532">
        <f>HYPERLINK("https://www.ncbi.nlm.nih.gov/gene/?term=XP_031758562.1", "XP_031758562.1")</f>
        <v/>
      </c>
      <c r="F4532" t="n">
        <v>46.3</v>
      </c>
      <c r="G4532" t="n">
        <v>620</v>
      </c>
      <c r="H4532" t="n">
        <v>1.35e-179</v>
      </c>
      <c r="I4532" t="inlineStr">
        <is>
          <t>Nr</t>
        </is>
      </c>
      <c r="J4532" t="inlineStr"/>
      <c r="K4532" t="inlineStr"/>
      <c r="L4532" t="inlineStr">
        <is>
          <t>XP_031758562.1 uncharacterized protein LOC108647661 [Xenopus tropicalis]</t>
        </is>
      </c>
      <c r="M4532" t="n">
        <v>1100</v>
      </c>
      <c r="N4532" t="inlineStr">
        <is>
          <t>Xenopus tropicalis</t>
        </is>
      </c>
      <c r="O4532" t="inlineStr">
        <is>
          <t>uncharacterized protein LOC108647661</t>
        </is>
      </c>
    </row>
    <row r="4533">
      <c r="A4533" t="inlineStr"/>
      <c r="B4533" t="inlineStr"/>
      <c r="C4533" t="inlineStr"/>
      <c r="D4533" t="inlineStr"/>
      <c r="E4533">
        <f>HYPERLINK("https://www.uniprot.org/uniprotkb/A0A8C5MZ13/entry", "A0A8C5MZ13")</f>
        <v/>
      </c>
      <c r="F4533" t="n">
        <v>46.5</v>
      </c>
      <c r="G4533" t="n">
        <v>624</v>
      </c>
      <c r="H4533" t="n">
        <v>1.54e-179</v>
      </c>
      <c r="I4533" t="inlineStr">
        <is>
          <t>TrEMBL</t>
        </is>
      </c>
      <c r="J4533" t="inlineStr"/>
      <c r="K4533" t="inlineStr">
        <is>
          <t>A0A8C5MZ13_9ANUR</t>
        </is>
      </c>
      <c r="L4533" t="inlineStr">
        <is>
          <t>tr|A0A8C5MZ13|A0A8C5MZ13_9ANUR ribonuclease H OS=Leptobrachium leishanense OX=445787 PE=3 SV=1</t>
        </is>
      </c>
      <c r="M4533" t="n">
        <v>1468</v>
      </c>
      <c r="N4533" t="inlineStr">
        <is>
          <t>Leptobrachium leishanense</t>
        </is>
      </c>
      <c r="O4533" t="inlineStr">
        <is>
          <t>ribonuclease H</t>
        </is>
      </c>
    </row>
    <row r="4534">
      <c r="A4534" t="inlineStr"/>
      <c r="B4534" t="inlineStr"/>
      <c r="C4534" t="inlineStr"/>
      <c r="D4534" t="inlineStr"/>
      <c r="E4534">
        <f>HYPERLINK("https://www.uniprot.org/uniprotkb/A0A8C5M348/entry", "A0A8C5M348")</f>
        <v/>
      </c>
      <c r="F4534" t="n">
        <v>47.3</v>
      </c>
      <c r="G4534" t="n">
        <v>621</v>
      </c>
      <c r="H4534" t="n">
        <v>5.78e-179</v>
      </c>
      <c r="I4534" t="inlineStr">
        <is>
          <t>TrEMBL</t>
        </is>
      </c>
      <c r="J4534" t="inlineStr"/>
      <c r="K4534" t="inlineStr">
        <is>
          <t>A0A8C5M348_9ANUR</t>
        </is>
      </c>
      <c r="L4534" t="inlineStr">
        <is>
          <t>tr|A0A8C5M348|A0A8C5M348_9ANUR Reverse transcriptase OS=Leptobrachium leishanense OX=445787 PE=3 SV=1</t>
        </is>
      </c>
      <c r="M4534" t="n">
        <v>1434</v>
      </c>
      <c r="N4534" t="inlineStr">
        <is>
          <t>Leptobrachium leishanense</t>
        </is>
      </c>
      <c r="O4534" t="inlineStr">
        <is>
          <t>Reverse transcriptase</t>
        </is>
      </c>
    </row>
    <row r="4535">
      <c r="A4535" t="inlineStr"/>
      <c r="B4535" t="inlineStr"/>
      <c r="C4535" t="inlineStr"/>
      <c r="D4535" t="inlineStr"/>
      <c r="E4535">
        <f>HYPERLINK("https://www.uniprot.org/uniprotkb/A0A8C5QAW2/entry", "A0A8C5QAW2")</f>
        <v/>
      </c>
      <c r="F4535" t="n">
        <v>47.2</v>
      </c>
      <c r="G4535" t="n">
        <v>621</v>
      </c>
      <c r="H4535" t="n">
        <v>8.110000000000001e-179</v>
      </c>
      <c r="I4535" t="inlineStr">
        <is>
          <t>TrEMBL</t>
        </is>
      </c>
      <c r="J4535" t="inlineStr"/>
      <c r="K4535" t="inlineStr">
        <is>
          <t>A0A8C5QAW2_9ANUR</t>
        </is>
      </c>
      <c r="L4535" t="inlineStr">
        <is>
          <t>tr|A0A8C5QAW2|A0A8C5QAW2_9ANUR Reverse transcriptase OS=Leptobrachium leishanense OX=445787 PE=3 SV=1</t>
        </is>
      </c>
      <c r="M4535" t="n">
        <v>1434</v>
      </c>
      <c r="N4535" t="inlineStr">
        <is>
          <t>Leptobrachium leishanense</t>
        </is>
      </c>
      <c r="O4535" t="inlineStr">
        <is>
          <t>Reverse transcriptase</t>
        </is>
      </c>
    </row>
    <row r="4536">
      <c r="A4536" t="inlineStr"/>
      <c r="B4536" t="inlineStr"/>
      <c r="C4536" t="inlineStr"/>
      <c r="D4536" t="inlineStr"/>
      <c r="E4536">
        <f>HYPERLINK("https://www.uniprot.org/uniprotkb/A0A8C5PQQ3/entry", "A0A8C5PQQ3")</f>
        <v/>
      </c>
      <c r="F4536" t="n">
        <v>46.8</v>
      </c>
      <c r="G4536" t="n">
        <v>619</v>
      </c>
      <c r="H4536" t="n">
        <v>2.24e-178</v>
      </c>
      <c r="I4536" t="inlineStr">
        <is>
          <t>TrEMBL</t>
        </is>
      </c>
      <c r="J4536" t="inlineStr"/>
      <c r="K4536" t="inlineStr">
        <is>
          <t>A0A8C5PQQ3_9ANUR</t>
        </is>
      </c>
      <c r="L4536" t="inlineStr">
        <is>
          <t>tr|A0A8C5PQQ3|A0A8C5PQQ3_9ANUR Reverse transcriptase OS=Leptobrachium leishanense OX=445787 PE=3 SV=1</t>
        </is>
      </c>
      <c r="M4536" t="n">
        <v>1434</v>
      </c>
      <c r="N4536" t="inlineStr">
        <is>
          <t>Leptobrachium leishanense</t>
        </is>
      </c>
      <c r="O4536" t="inlineStr">
        <is>
          <t>Reverse transcriptase</t>
        </is>
      </c>
    </row>
    <row r="4537">
      <c r="A4537" t="inlineStr"/>
      <c r="B4537" t="inlineStr"/>
      <c r="C4537" t="inlineStr"/>
      <c r="D4537" t="inlineStr"/>
      <c r="E4537">
        <f>HYPERLINK("https://www.ncbi.nlm.nih.gov/gene/?term=XP_017945114.2", "XP_017945114.2")</f>
        <v/>
      </c>
      <c r="F4537" t="n">
        <v>46.3</v>
      </c>
      <c r="G4537" t="n">
        <v>639</v>
      </c>
      <c r="H4537" t="n">
        <v>7.54e-177</v>
      </c>
      <c r="I4537" t="inlineStr">
        <is>
          <t>Nr</t>
        </is>
      </c>
      <c r="J4537" t="inlineStr"/>
      <c r="K4537" t="inlineStr"/>
      <c r="L4537" t="inlineStr">
        <is>
          <t>XP_017945114.2 uncharacterized protein LOC108644811 [Xenopus tropicalis]</t>
        </is>
      </c>
      <c r="M4537" t="n">
        <v>1528</v>
      </c>
      <c r="N4537" t="inlineStr">
        <is>
          <t>Xenopus tropicalis</t>
        </is>
      </c>
      <c r="O4537" t="inlineStr">
        <is>
          <t>uncharacterized protein LOC108644811</t>
        </is>
      </c>
    </row>
    <row r="4538">
      <c r="A4538" t="inlineStr"/>
      <c r="B4538" t="inlineStr"/>
      <c r="C4538" t="inlineStr"/>
      <c r="D4538" t="inlineStr"/>
      <c r="E4538">
        <f>HYPERLINK("https://www.ncbi.nlm.nih.gov/gene/?term=XP_040202660.1", "XP_040202660.1")</f>
        <v/>
      </c>
      <c r="F4538" t="n">
        <v>48.7</v>
      </c>
      <c r="G4538" t="n">
        <v>614</v>
      </c>
      <c r="H4538" t="n">
        <v>4.09e-175</v>
      </c>
      <c r="I4538" t="inlineStr">
        <is>
          <t>Nr</t>
        </is>
      </c>
      <c r="J4538" t="inlineStr"/>
      <c r="K4538" t="inlineStr"/>
      <c r="L4538" t="inlineStr">
        <is>
          <t>XP_040202660.1 E3 ubiquitin-protein ligase TRIM23 [Rana temporaria]</t>
        </is>
      </c>
      <c r="M4538" t="n">
        <v>1775</v>
      </c>
      <c r="N4538" t="inlineStr">
        <is>
          <t>Rana temporaria</t>
        </is>
      </c>
      <c r="O4538" t="inlineStr">
        <is>
          <t>E3 ubiquitin-protein ligase TRIM23</t>
        </is>
      </c>
    </row>
    <row r="4539">
      <c r="A4539" t="inlineStr"/>
      <c r="B4539" t="inlineStr"/>
      <c r="C4539" t="inlineStr"/>
      <c r="D4539" t="inlineStr"/>
      <c r="E4539">
        <f>HYPERLINK("https://www.ncbi.nlm.nih.gov/gene/?term=SAM04558.1", "SAM04558.1")</f>
        <v/>
      </c>
      <c r="F4539" t="n">
        <v>43.6</v>
      </c>
      <c r="G4539" t="n">
        <v>621</v>
      </c>
      <c r="H4539" t="n">
        <v>1.26e-164</v>
      </c>
      <c r="I4539" t="inlineStr">
        <is>
          <t>Nr</t>
        </is>
      </c>
      <c r="J4539" t="inlineStr"/>
      <c r="K4539" t="inlineStr"/>
      <c r="L4539" t="inlineStr">
        <is>
          <t>SAM04558.1 hypothetical protein [Absidia glauca]</t>
        </is>
      </c>
      <c r="M4539" t="n">
        <v>989</v>
      </c>
      <c r="N4539" t="inlineStr">
        <is>
          <t>Absidia glauca</t>
        </is>
      </c>
      <c r="O4539" t="inlineStr">
        <is>
          <t>hypothetical protein</t>
        </is>
      </c>
    </row>
    <row r="4540">
      <c r="A4540" t="inlineStr"/>
      <c r="B4540" t="inlineStr"/>
      <c r="C4540" t="inlineStr"/>
      <c r="D4540" t="inlineStr"/>
      <c r="E4540">
        <f>HYPERLINK("https://www.ncbi.nlm.nih.gov/gene/?term=CAD6929912.1", "CAD6929912.1")</f>
        <v/>
      </c>
      <c r="F4540" t="n">
        <v>42.1</v>
      </c>
      <c r="G4540" t="n">
        <v>660</v>
      </c>
      <c r="H4540" t="n">
        <v>3.83e-158</v>
      </c>
      <c r="I4540" t="inlineStr">
        <is>
          <t>Nr</t>
        </is>
      </c>
      <c r="J4540" t="inlineStr"/>
      <c r="K4540" t="inlineStr"/>
      <c r="L4540" t="inlineStr">
        <is>
          <t>CAD6929912.1 unnamed protein product [Tilletia controversa]</t>
        </is>
      </c>
      <c r="M4540" t="n">
        <v>737</v>
      </c>
      <c r="N4540" t="inlineStr">
        <is>
          <t>Tilletia controversa</t>
        </is>
      </c>
      <c r="O4540" t="inlineStr">
        <is>
          <t>unnamed protein product</t>
        </is>
      </c>
    </row>
    <row r="4541">
      <c r="A4541" t="inlineStr"/>
      <c r="B4541" t="inlineStr"/>
      <c r="C4541" t="inlineStr"/>
      <c r="D4541" t="inlineStr"/>
      <c r="E4541">
        <f>HYPERLINK("https://www.ncbi.nlm.nih.gov/gene/?term=KAI2657349.1", "KAI2657349.1")</f>
        <v/>
      </c>
      <c r="F4541" t="n">
        <v>41.7</v>
      </c>
      <c r="G4541" t="n">
        <v>648</v>
      </c>
      <c r="H4541" t="n">
        <v>3.11e-157</v>
      </c>
      <c r="I4541" t="inlineStr">
        <is>
          <t>Nr</t>
        </is>
      </c>
      <c r="J4541" t="inlineStr"/>
      <c r="K4541" t="inlineStr"/>
      <c r="L4541" t="inlineStr">
        <is>
          <t>KAI2657349.1 Transposon Tf2-6 polyprotein [Labeo rohita]</t>
        </is>
      </c>
      <c r="M4541" t="n">
        <v>998</v>
      </c>
      <c r="N4541" t="inlineStr">
        <is>
          <t>Labeo rohita</t>
        </is>
      </c>
      <c r="O4541" t="inlineStr">
        <is>
          <t>Transposon Tf2-6 polyprotein</t>
        </is>
      </c>
    </row>
    <row r="4542">
      <c r="A4542" t="inlineStr"/>
      <c r="B4542" t="inlineStr"/>
      <c r="C4542" t="inlineStr"/>
      <c r="D4542" t="inlineStr"/>
      <c r="E4542">
        <f>HYPERLINK("https://www.ncbi.nlm.nih.gov/gene/?term=KAJ1181205.1", "KAJ1181205.1")</f>
        <v/>
      </c>
      <c r="F4542" t="n">
        <v>42.7</v>
      </c>
      <c r="G4542" t="n">
        <v>618</v>
      </c>
      <c r="H4542" t="n">
        <v>1.02e-156</v>
      </c>
      <c r="I4542" t="inlineStr">
        <is>
          <t>Nr</t>
        </is>
      </c>
      <c r="J4542" t="inlineStr"/>
      <c r="K4542" t="inlineStr"/>
      <c r="L4542" t="inlineStr">
        <is>
          <t>KAJ1181205.1 hypothetical protein NDU88_006415 [Pleurodeles waltl]</t>
        </is>
      </c>
      <c r="M4542" t="n">
        <v>790</v>
      </c>
      <c r="N4542" t="inlineStr">
        <is>
          <t>Pleurodeles waltl</t>
        </is>
      </c>
      <c r="O4542" t="inlineStr">
        <is>
          <t>hypothetical protein NDU88_006415</t>
        </is>
      </c>
    </row>
    <row r="4543">
      <c r="A4543" t="inlineStr"/>
      <c r="B4543" t="inlineStr"/>
      <c r="C4543" t="inlineStr"/>
      <c r="D4543" t="inlineStr"/>
      <c r="E4543">
        <f>HYPERLINK("https://www.ncbi.nlm.nih.gov/gene/?term=KAI2663462.1", "KAI2663462.1")</f>
        <v/>
      </c>
      <c r="F4543" t="n">
        <v>42.1</v>
      </c>
      <c r="G4543" t="n">
        <v>623</v>
      </c>
      <c r="H4543" t="n">
        <v>2.29e-156</v>
      </c>
      <c r="I4543" t="inlineStr">
        <is>
          <t>Nr</t>
        </is>
      </c>
      <c r="J4543" t="inlineStr"/>
      <c r="K4543" t="inlineStr"/>
      <c r="L4543" t="inlineStr">
        <is>
          <t>KAI2663462.1 Transposon Tf2-9 polyprotein [Labeo rohita]</t>
        </is>
      </c>
      <c r="M4543" t="n">
        <v>794</v>
      </c>
      <c r="N4543" t="inlineStr">
        <is>
          <t>Labeo rohita</t>
        </is>
      </c>
      <c r="O4543" t="inlineStr">
        <is>
          <t>Transposon Tf2-9 polyprotein</t>
        </is>
      </c>
    </row>
    <row r="4544">
      <c r="A4544" t="inlineStr"/>
      <c r="B4544" t="inlineStr"/>
      <c r="C4544" t="inlineStr"/>
      <c r="D4544" t="inlineStr"/>
      <c r="E4544">
        <f>HYPERLINK("https://www.ncbi.nlm.nih.gov/gene/?term=XP_041810033.1", "XP_041810033.1")</f>
        <v/>
      </c>
      <c r="F4544" t="n">
        <v>41.8</v>
      </c>
      <c r="G4544" t="n">
        <v>619</v>
      </c>
      <c r="H4544" t="n">
        <v>2.75e-156</v>
      </c>
      <c r="I4544" t="inlineStr">
        <is>
          <t>Nr</t>
        </is>
      </c>
      <c r="J4544" t="inlineStr"/>
      <c r="K4544" t="inlineStr"/>
      <c r="L4544" t="inlineStr">
        <is>
          <t>XP_041810033.1 uncharacterized protein lrfn4b [Chelmon rostratus]</t>
        </is>
      </c>
      <c r="M4544" t="n">
        <v>937</v>
      </c>
      <c r="N4544" t="inlineStr">
        <is>
          <t>Chelmon rostratus</t>
        </is>
      </c>
      <c r="O4544" t="inlineStr">
        <is>
          <t>uncharacterized protein lrfn4b</t>
        </is>
      </c>
    </row>
    <row r="4545">
      <c r="A4545" t="inlineStr"/>
      <c r="B4545" t="inlineStr"/>
      <c r="C4545" t="inlineStr"/>
      <c r="D4545" t="inlineStr"/>
      <c r="E4545">
        <f>HYPERLINK("https://www.ncbi.nlm.nih.gov/gene/?term=CAD6973780.1", "CAD6973780.1")</f>
        <v/>
      </c>
      <c r="F4545" t="n">
        <v>42.1</v>
      </c>
      <c r="G4545" t="n">
        <v>660</v>
      </c>
      <c r="H4545" t="n">
        <v>4.35e-156</v>
      </c>
      <c r="I4545" t="inlineStr">
        <is>
          <t>Nr</t>
        </is>
      </c>
      <c r="J4545" t="inlineStr"/>
      <c r="K4545" t="inlineStr"/>
      <c r="L4545" t="inlineStr">
        <is>
          <t>CAD6973780.1 unnamed protein product [Tilletia controversa]</t>
        </is>
      </c>
      <c r="M4545" t="n">
        <v>903</v>
      </c>
      <c r="N4545" t="inlineStr">
        <is>
          <t>Tilletia controversa</t>
        </is>
      </c>
      <c r="O4545" t="inlineStr">
        <is>
          <t>unnamed protein product</t>
        </is>
      </c>
    </row>
    <row r="4546">
      <c r="A4546" t="inlineStr"/>
      <c r="B4546" t="inlineStr"/>
      <c r="C4546" t="inlineStr"/>
      <c r="D4546" t="inlineStr"/>
      <c r="E4546">
        <f>HYPERLINK("https://www.ncbi.nlm.nih.gov/gene/?term=CAD6966452.1", "CAD6966452.1")</f>
        <v/>
      </c>
      <c r="F4546" t="n">
        <v>42.1</v>
      </c>
      <c r="G4546" t="n">
        <v>660</v>
      </c>
      <c r="H4546" t="n">
        <v>1.22e-155</v>
      </c>
      <c r="I4546" t="inlineStr">
        <is>
          <t>Nr</t>
        </is>
      </c>
      <c r="J4546" t="inlineStr"/>
      <c r="K4546" t="inlineStr"/>
      <c r="L4546" t="inlineStr">
        <is>
          <t>CAD6966452.1 unnamed protein product [Tilletia laevis]</t>
        </is>
      </c>
      <c r="M4546" t="n">
        <v>903</v>
      </c>
      <c r="N4546" t="inlineStr">
        <is>
          <t>Tilletia laevis</t>
        </is>
      </c>
      <c r="O4546" t="inlineStr">
        <is>
          <t>unnamed protein product</t>
        </is>
      </c>
    </row>
    <row r="4547">
      <c r="A4547" t="inlineStr"/>
      <c r="B4547" t="inlineStr"/>
      <c r="C4547" t="inlineStr"/>
      <c r="D4547" t="inlineStr"/>
      <c r="E4547">
        <f>HYPERLINK("https://www.ncbi.nlm.nih.gov/gene/?term=CAD6962302.1", "CAD6962302.1")</f>
        <v/>
      </c>
      <c r="F4547" t="n">
        <v>42.1</v>
      </c>
      <c r="G4547" t="n">
        <v>660</v>
      </c>
      <c r="H4547" t="n">
        <v>1.98e-155</v>
      </c>
      <c r="I4547" t="inlineStr">
        <is>
          <t>Nr</t>
        </is>
      </c>
      <c r="J4547" t="inlineStr"/>
      <c r="K4547" t="inlineStr"/>
      <c r="L4547" t="inlineStr">
        <is>
          <t>CAD6962302.1 unnamed protein product, partial [Tilletia controversa]</t>
        </is>
      </c>
      <c r="M4547" t="n">
        <v>960</v>
      </c>
      <c r="N4547" t="inlineStr">
        <is>
          <t>Tilletia controversa</t>
        </is>
      </c>
      <c r="O4547" t="inlineStr">
        <is>
          <t>unnamed protein product, partial</t>
        </is>
      </c>
    </row>
    <row r="4548">
      <c r="A4548" t="inlineStr"/>
      <c r="B4548" t="inlineStr"/>
      <c r="C4548" t="inlineStr"/>
      <c r="D4548" t="inlineStr"/>
      <c r="E4548">
        <f>HYPERLINK("https://www.ncbi.nlm.nih.gov/gene/?term=CAD6953499.1", "CAD6953499.1")</f>
        <v/>
      </c>
      <c r="F4548" t="n">
        <v>42</v>
      </c>
      <c r="G4548" t="n">
        <v>660</v>
      </c>
      <c r="H4548" t="n">
        <v>2.42e-155</v>
      </c>
      <c r="I4548" t="inlineStr">
        <is>
          <t>Nr</t>
        </is>
      </c>
      <c r="J4548" t="inlineStr"/>
      <c r="K4548" t="inlineStr"/>
      <c r="L4548" t="inlineStr">
        <is>
          <t>CAD6953499.1 unnamed protein product [Tilletia caries]</t>
        </is>
      </c>
      <c r="M4548" t="n">
        <v>903</v>
      </c>
      <c r="N4548" t="inlineStr">
        <is>
          <t>Tilletia caries</t>
        </is>
      </c>
      <c r="O4548" t="inlineStr">
        <is>
          <t>unnamed protein product</t>
        </is>
      </c>
    </row>
    <row r="4549">
      <c r="A4549" t="inlineStr"/>
      <c r="B4549" t="inlineStr"/>
      <c r="C4549" t="inlineStr"/>
      <c r="D4549" t="inlineStr"/>
      <c r="E4549">
        <f>HYPERLINK("https://www.ncbi.nlm.nih.gov/gene/?term=KAI2664072.1", "KAI2664072.1")</f>
        <v/>
      </c>
      <c r="F4549" t="n">
        <v>41.4</v>
      </c>
      <c r="G4549" t="n">
        <v>648</v>
      </c>
      <c r="H4549" t="n">
        <v>2.66e-155</v>
      </c>
      <c r="I4549" t="inlineStr">
        <is>
          <t>Nr</t>
        </is>
      </c>
      <c r="J4549" t="inlineStr"/>
      <c r="K4549" t="inlineStr"/>
      <c r="L4549" t="inlineStr">
        <is>
          <t>KAI2664072.1 Transposon Tf2-9 polyprotein [Labeo rohita]</t>
        </is>
      </c>
      <c r="M4549" t="n">
        <v>998</v>
      </c>
      <c r="N4549" t="inlineStr">
        <is>
          <t>Labeo rohita</t>
        </is>
      </c>
      <c r="O4549" t="inlineStr">
        <is>
          <t>Transposon Tf2-9 polyprotein</t>
        </is>
      </c>
    </row>
    <row r="4550">
      <c r="A4550" t="inlineStr"/>
      <c r="B4550" t="inlineStr"/>
      <c r="C4550" t="inlineStr"/>
      <c r="D4550" t="inlineStr"/>
      <c r="E4550">
        <f>HYPERLINK("https://www.ncbi.nlm.nih.gov/gene/?term=KAI2665952.1", "KAI2665952.1")</f>
        <v/>
      </c>
      <c r="F4550" t="n">
        <v>42.7</v>
      </c>
      <c r="G4550" t="n">
        <v>626</v>
      </c>
      <c r="H4550" t="n">
        <v>5.71e-155</v>
      </c>
      <c r="I4550" t="inlineStr">
        <is>
          <t>Nr</t>
        </is>
      </c>
      <c r="J4550" t="inlineStr"/>
      <c r="K4550" t="inlineStr"/>
      <c r="L4550" t="inlineStr">
        <is>
          <t>KAI2665952.1 Transposon Tf2-9 polyprotein [Labeo rohita]</t>
        </is>
      </c>
      <c r="M4550" t="n">
        <v>739</v>
      </c>
      <c r="N4550" t="inlineStr">
        <is>
          <t>Labeo rohita</t>
        </is>
      </c>
      <c r="O4550" t="inlineStr">
        <is>
          <t>Transposon Tf2-9 polyprotein</t>
        </is>
      </c>
    </row>
    <row r="4551">
      <c r="A4551" t="inlineStr"/>
      <c r="B4551" t="inlineStr"/>
      <c r="C4551" t="inlineStr"/>
      <c r="D4551" t="inlineStr"/>
      <c r="E4551">
        <f>HYPERLINK("https://www.ncbi.nlm.nih.gov/gene/?term=OAJ44613.1", "OAJ44613.1")</f>
        <v/>
      </c>
      <c r="F4551" t="n">
        <v>42.5</v>
      </c>
      <c r="G4551" t="n">
        <v>643</v>
      </c>
      <c r="H4551" t="n">
        <v>1.22e-154</v>
      </c>
      <c r="I4551" t="inlineStr">
        <is>
          <t>Nr</t>
        </is>
      </c>
      <c r="J4551" t="inlineStr"/>
      <c r="K4551" t="inlineStr"/>
      <c r="L4551" t="inlineStr">
        <is>
          <t>OAJ44613.1 hypothetical protein BDEG_27815 [Batrachochytrium dendrobatidis JEL423]</t>
        </is>
      </c>
      <c r="M4551" t="n">
        <v>1540</v>
      </c>
      <c r="N4551" t="inlineStr">
        <is>
          <t>Batrachochytrium dendrobatidis JEL423</t>
        </is>
      </c>
      <c r="O4551" t="inlineStr">
        <is>
          <t>hypothetical protein BDEG_27815</t>
        </is>
      </c>
    </row>
    <row r="4552">
      <c r="A4552" t="inlineStr"/>
      <c r="B4552" t="inlineStr"/>
      <c r="C4552" t="inlineStr"/>
      <c r="D4552" t="inlineStr"/>
      <c r="E4552">
        <f>HYPERLINK("https://www.ncbi.nlm.nih.gov/gene/?term=KAJ1170010.1", "KAJ1170010.1")</f>
        <v/>
      </c>
      <c r="F4552" t="n">
        <v>42.8</v>
      </c>
      <c r="G4552" t="n">
        <v>621</v>
      </c>
      <c r="H4552" t="n">
        <v>1.66e-154</v>
      </c>
      <c r="I4552" t="inlineStr">
        <is>
          <t>Nr</t>
        </is>
      </c>
      <c r="J4552" t="inlineStr"/>
      <c r="K4552" t="inlineStr"/>
      <c r="L4552" t="inlineStr">
        <is>
          <t>KAJ1170010.1 hypothetical protein NDU88_001891 [Pleurodeles waltl]</t>
        </is>
      </c>
      <c r="M4552" t="n">
        <v>976</v>
      </c>
      <c r="N4552" t="inlineStr">
        <is>
          <t>Pleurodeles waltl</t>
        </is>
      </c>
      <c r="O4552" t="inlineStr">
        <is>
          <t>hypothetical protein NDU88_001891</t>
        </is>
      </c>
    </row>
    <row r="4553">
      <c r="A4553" t="inlineStr"/>
      <c r="B4553" t="inlineStr"/>
      <c r="C4553" t="inlineStr"/>
      <c r="D4553" t="inlineStr"/>
      <c r="E4553">
        <f>HYPERLINK("https://www.ncbi.nlm.nih.gov/gene/?term=KAI2652390.1", "KAI2652390.1")</f>
        <v/>
      </c>
      <c r="F4553" t="n">
        <v>41.5</v>
      </c>
      <c r="G4553" t="n">
        <v>648</v>
      </c>
      <c r="H4553" t="n">
        <v>2.47e-154</v>
      </c>
      <c r="I4553" t="inlineStr">
        <is>
          <t>Nr</t>
        </is>
      </c>
      <c r="J4553" t="inlineStr"/>
      <c r="K4553" t="inlineStr"/>
      <c r="L4553" t="inlineStr">
        <is>
          <t>KAI2652390.1 Transposon Tf2-6 polyprotein [Labeo rohita]</t>
        </is>
      </c>
      <c r="M4553" t="n">
        <v>1355</v>
      </c>
      <c r="N4553" t="inlineStr">
        <is>
          <t>Labeo rohita</t>
        </is>
      </c>
      <c r="O4553" t="inlineStr">
        <is>
          <t>Transposon Tf2-6 polyprotein</t>
        </is>
      </c>
    </row>
    <row r="4554">
      <c r="A4554" t="inlineStr"/>
      <c r="B4554" t="inlineStr"/>
      <c r="C4554" t="inlineStr"/>
      <c r="D4554" t="inlineStr"/>
      <c r="E4554">
        <f>HYPERLINK("https://www.ncbi.nlm.nih.gov/gene/?term=KAJ1164023.1", "KAJ1164023.1")</f>
        <v/>
      </c>
      <c r="F4554" t="n">
        <v>43</v>
      </c>
      <c r="G4554" t="n">
        <v>623</v>
      </c>
      <c r="H4554" t="n">
        <v>8.23e-154</v>
      </c>
      <c r="I4554" t="inlineStr">
        <is>
          <t>Nr</t>
        </is>
      </c>
      <c r="J4554" t="inlineStr"/>
      <c r="K4554" t="inlineStr"/>
      <c r="L4554" t="inlineStr">
        <is>
          <t>KAJ1164023.1 hypothetical protein NDU88_004470 [Pleurodeles waltl]</t>
        </is>
      </c>
      <c r="M4554" t="n">
        <v>1155</v>
      </c>
      <c r="N4554" t="inlineStr">
        <is>
          <t>Pleurodeles waltl</t>
        </is>
      </c>
      <c r="O4554" t="inlineStr">
        <is>
          <t>hypothetical protein NDU88_004470</t>
        </is>
      </c>
    </row>
    <row r="4555">
      <c r="A4555" t="inlineStr"/>
      <c r="B4555" t="inlineStr"/>
      <c r="C4555" t="inlineStr"/>
      <c r="D4555" t="inlineStr"/>
      <c r="E4555">
        <f>HYPERLINK("https://www.ncbi.nlm.nih.gov/gene/?term=KAI2655589.1", "KAI2655589.1")</f>
        <v/>
      </c>
      <c r="F4555" t="n">
        <v>41.7</v>
      </c>
      <c r="G4555" t="n">
        <v>641</v>
      </c>
      <c r="H4555" t="n">
        <v>8.74e-154</v>
      </c>
      <c r="I4555" t="inlineStr">
        <is>
          <t>Nr</t>
        </is>
      </c>
      <c r="J4555" t="inlineStr"/>
      <c r="K4555" t="inlineStr"/>
      <c r="L4555" t="inlineStr">
        <is>
          <t>KAI2655589.1 Transposon Tf2-9 polyprotein [Labeo rohita]</t>
        </is>
      </c>
      <c r="M4555" t="n">
        <v>1404</v>
      </c>
      <c r="N4555" t="inlineStr">
        <is>
          <t>Labeo rohita</t>
        </is>
      </c>
      <c r="O4555" t="inlineStr">
        <is>
          <t>Transposon Tf2-9 polyprotein</t>
        </is>
      </c>
    </row>
    <row r="4556">
      <c r="A4556" t="inlineStr"/>
      <c r="B4556" t="inlineStr"/>
      <c r="C4556" t="inlineStr"/>
      <c r="D4556" t="inlineStr"/>
      <c r="E4556">
        <f>HYPERLINK("https://www.ncbi.nlm.nih.gov/gene/?term=KAI2649136.1", "KAI2649136.1")</f>
        <v/>
      </c>
      <c r="F4556" t="n">
        <v>41.8</v>
      </c>
      <c r="G4556" t="n">
        <v>649</v>
      </c>
      <c r="H4556" t="n">
        <v>1.11e-153</v>
      </c>
      <c r="I4556" t="inlineStr">
        <is>
          <t>Nr</t>
        </is>
      </c>
      <c r="J4556" t="inlineStr"/>
      <c r="K4556" t="inlineStr"/>
      <c r="L4556" t="inlineStr">
        <is>
          <t>KAI2649136.1 Transposon Tf2-6 polyprotein [Labeo rohita]</t>
        </is>
      </c>
      <c r="M4556" t="n">
        <v>1399</v>
      </c>
      <c r="N4556" t="inlineStr">
        <is>
          <t>Labeo rohita</t>
        </is>
      </c>
      <c r="O4556" t="inlineStr">
        <is>
          <t>Transposon Tf2-6 polyprotein</t>
        </is>
      </c>
    </row>
    <row r="4557">
      <c r="A4557" t="inlineStr"/>
      <c r="B4557" t="inlineStr"/>
      <c r="C4557" t="inlineStr"/>
      <c r="D4557" t="inlineStr"/>
      <c r="E4557">
        <f>HYPERLINK("https://www.ncbi.nlm.nih.gov/gene/?term=KAJ1105820.1", "KAJ1105820.1")</f>
        <v/>
      </c>
      <c r="F4557" t="n">
        <v>42.2</v>
      </c>
      <c r="G4557" t="n">
        <v>623</v>
      </c>
      <c r="H4557" t="n">
        <v>3.28e-153</v>
      </c>
      <c r="I4557" t="inlineStr">
        <is>
          <t>Nr</t>
        </is>
      </c>
      <c r="J4557" t="inlineStr"/>
      <c r="K4557" t="inlineStr"/>
      <c r="L4557" t="inlineStr">
        <is>
          <t>KAJ1105820.1 hypothetical protein NDU88_003224 [Pleurodeles waltl]</t>
        </is>
      </c>
      <c r="M4557" t="n">
        <v>844</v>
      </c>
      <c r="N4557" t="inlineStr">
        <is>
          <t>Pleurodeles waltl</t>
        </is>
      </c>
      <c r="O4557" t="inlineStr">
        <is>
          <t>hypothetical protein NDU88_003224</t>
        </is>
      </c>
    </row>
    <row r="4558">
      <c r="A4558" t="inlineStr"/>
      <c r="B4558" t="inlineStr"/>
      <c r="C4558" t="inlineStr"/>
      <c r="D4558" t="inlineStr"/>
      <c r="E4558">
        <f>HYPERLINK("https://www.ncbi.nlm.nih.gov/gene/?term=KAJ1137487.1", "KAJ1137487.1")</f>
        <v/>
      </c>
      <c r="F4558" t="n">
        <v>42.7</v>
      </c>
      <c r="G4558" t="n">
        <v>623</v>
      </c>
      <c r="H4558" t="n">
        <v>4.55e-153</v>
      </c>
      <c r="I4558" t="inlineStr">
        <is>
          <t>Nr</t>
        </is>
      </c>
      <c r="J4558" t="inlineStr"/>
      <c r="K4558" t="inlineStr"/>
      <c r="L4558" t="inlineStr">
        <is>
          <t>KAJ1137487.1 hypothetical protein NDU88_003885 [Pleurodeles waltl]</t>
        </is>
      </c>
      <c r="M4558" t="n">
        <v>1026</v>
      </c>
      <c r="N4558" t="inlineStr">
        <is>
          <t>Pleurodeles waltl</t>
        </is>
      </c>
      <c r="O4558" t="inlineStr">
        <is>
          <t>hypothetical protein NDU88_003885</t>
        </is>
      </c>
    </row>
    <row r="4559">
      <c r="A4559" t="inlineStr"/>
      <c r="B4559" t="inlineStr"/>
      <c r="C4559" t="inlineStr"/>
      <c r="D4559" t="inlineStr"/>
      <c r="E4559">
        <f>HYPERLINK("https://www.ncbi.nlm.nih.gov/gene/?term=KAJ1098500.1", "KAJ1098500.1")</f>
        <v/>
      </c>
      <c r="F4559" t="n">
        <v>42.6</v>
      </c>
      <c r="G4559" t="n">
        <v>631</v>
      </c>
      <c r="H4559" t="n">
        <v>1.34e-152</v>
      </c>
      <c r="I4559" t="inlineStr">
        <is>
          <t>Nr</t>
        </is>
      </c>
      <c r="J4559" t="inlineStr"/>
      <c r="K4559" t="inlineStr"/>
      <c r="L4559" t="inlineStr">
        <is>
          <t>KAJ1098500.1 hypothetical protein NDU88_003611 [Pleurodeles waltl]</t>
        </is>
      </c>
      <c r="M4559" t="n">
        <v>737</v>
      </c>
      <c r="N4559" t="inlineStr">
        <is>
          <t>Pleurodeles waltl</t>
        </is>
      </c>
      <c r="O4559" t="inlineStr">
        <is>
          <t>hypothetical protein NDU88_003611</t>
        </is>
      </c>
    </row>
    <row r="4560">
      <c r="A4560" t="inlineStr"/>
      <c r="B4560" t="inlineStr"/>
      <c r="C4560" t="inlineStr"/>
      <c r="D4560" t="inlineStr"/>
      <c r="E4560">
        <f>HYPERLINK("https://www.uniprot.org/uniprotkb/Q9UR07/entry", "Q9UR07")</f>
        <v/>
      </c>
      <c r="F4560" t="n">
        <v>33.3</v>
      </c>
      <c r="G4560" t="n">
        <v>559</v>
      </c>
      <c r="H4560" t="n">
        <v>1.11e-83</v>
      </c>
      <c r="I4560" t="inlineStr">
        <is>
          <t>Swiss-Prot</t>
        </is>
      </c>
      <c r="J4560" t="inlineStr">
        <is>
          <t>Tf2-11</t>
        </is>
      </c>
      <c r="K4560" t="inlineStr">
        <is>
          <t>TF211_SCHPO</t>
        </is>
      </c>
      <c r="L4560" t="inlineStr">
        <is>
          <t>sp|Q9UR07|TF211_SCHPO Transposon Tf2-11 polyprotein OS=Schizosaccharomyces pombe (strain 972 / ATCC 24843) OX=284812 GN=Tf2-11 PE=3 SV=1</t>
        </is>
      </c>
      <c r="M4560" t="n">
        <v>1333</v>
      </c>
      <c r="N4560" t="inlineStr">
        <is>
          <t>Schizosaccharomyces pombe (strain 972 / ATCC 24843)</t>
        </is>
      </c>
      <c r="O4560" t="inlineStr">
        <is>
          <t>Transposon Tf2-11 polyprotein</t>
        </is>
      </c>
    </row>
    <row r="4561">
      <c r="A4561" t="inlineStr"/>
      <c r="B4561" t="inlineStr"/>
      <c r="C4561" t="inlineStr"/>
      <c r="D4561" t="inlineStr"/>
      <c r="E4561">
        <f>HYPERLINK("https://www.uniprot.org/uniprotkb/P0CT41/entry", "P0CT41")</f>
        <v/>
      </c>
      <c r="F4561" t="n">
        <v>33.3</v>
      </c>
      <c r="G4561" t="n">
        <v>559</v>
      </c>
      <c r="H4561" t="n">
        <v>1.11e-83</v>
      </c>
      <c r="I4561" t="inlineStr">
        <is>
          <t>Swiss-Prot</t>
        </is>
      </c>
      <c r="J4561" t="inlineStr">
        <is>
          <t>Tf2-12</t>
        </is>
      </c>
      <c r="K4561" t="inlineStr">
        <is>
          <t>TF212_SCHPO</t>
        </is>
      </c>
      <c r="L4561" t="inlineStr">
        <is>
          <t>sp|P0CT41|TF212_SCHPO Transposon Tf2-12 polyprotein OS=Schizosaccharomyces pombe (strain 972 / ATCC 24843) OX=284812 GN=Tf2-12 PE=3 SV=1</t>
        </is>
      </c>
      <c r="M4561" t="n">
        <v>1333</v>
      </c>
      <c r="N4561" t="inlineStr">
        <is>
          <t>Schizosaccharomyces pombe (strain 972 / ATCC 24843)</t>
        </is>
      </c>
      <c r="O4561" t="inlineStr">
        <is>
          <t>Transposon Tf2-12 polyprotein</t>
        </is>
      </c>
    </row>
    <row r="4562">
      <c r="A4562" t="inlineStr"/>
      <c r="B4562" t="inlineStr"/>
      <c r="C4562" t="inlineStr"/>
      <c r="D4562" t="inlineStr"/>
      <c r="E4562">
        <f>HYPERLINK("https://www.uniprot.org/uniprotkb/P0CT34/entry", "P0CT34")</f>
        <v/>
      </c>
      <c r="F4562" t="n">
        <v>33.3</v>
      </c>
      <c r="G4562" t="n">
        <v>559</v>
      </c>
      <c r="H4562" t="n">
        <v>1.11e-83</v>
      </c>
      <c r="I4562" t="inlineStr">
        <is>
          <t>Swiss-Prot</t>
        </is>
      </c>
      <c r="J4562" t="inlineStr">
        <is>
          <t>Tf2-1</t>
        </is>
      </c>
      <c r="K4562" t="inlineStr">
        <is>
          <t>TF21_SCHPO</t>
        </is>
      </c>
      <c r="L4562" t="inlineStr">
        <is>
          <t>sp|P0CT34|TF21_SCHPO Transposon Tf2-1 polyprotein OS=Schizosaccharomyces pombe (strain 972 / ATCC 24843) OX=284812 GN=Tf2-1 PE=3 SV=1</t>
        </is>
      </c>
      <c r="M4562" t="n">
        <v>1333</v>
      </c>
      <c r="N4562" t="inlineStr">
        <is>
          <t>Schizosaccharomyces pombe (strain 972 / ATCC 24843)</t>
        </is>
      </c>
      <c r="O4562" t="inlineStr">
        <is>
          <t>Transposon Tf2-1 polyprotein</t>
        </is>
      </c>
    </row>
    <row r="4563">
      <c r="A4563" t="inlineStr"/>
      <c r="B4563" t="inlineStr"/>
      <c r="C4563" t="inlineStr"/>
      <c r="D4563" t="inlineStr"/>
      <c r="E4563">
        <f>HYPERLINK("https://www.uniprot.org/uniprotkb/P0CT35/entry", "P0CT35")</f>
        <v/>
      </c>
      <c r="F4563" t="n">
        <v>33.3</v>
      </c>
      <c r="G4563" t="n">
        <v>559</v>
      </c>
      <c r="H4563" t="n">
        <v>1.11e-83</v>
      </c>
      <c r="I4563" t="inlineStr">
        <is>
          <t>Swiss-Prot</t>
        </is>
      </c>
      <c r="J4563" t="inlineStr">
        <is>
          <t>Tf2-2</t>
        </is>
      </c>
      <c r="K4563" t="inlineStr">
        <is>
          <t>TF22_SCHPO</t>
        </is>
      </c>
      <c r="L4563" t="inlineStr">
        <is>
          <t>sp|P0CT35|TF22_SCHPO Transposon Tf2-2 polyprotein OS=Schizosaccharomyces pombe (strain 972 / ATCC 24843) OX=284812 GN=Tf2-2 PE=3 SV=1</t>
        </is>
      </c>
      <c r="M4563" t="n">
        <v>1333</v>
      </c>
      <c r="N4563" t="inlineStr">
        <is>
          <t>Schizosaccharomyces pombe (strain 972 / ATCC 24843)</t>
        </is>
      </c>
      <c r="O4563" t="inlineStr">
        <is>
          <t>Transposon Tf2-2 polyprotein</t>
        </is>
      </c>
    </row>
    <row r="4564">
      <c r="A4564" t="inlineStr"/>
      <c r="B4564" t="inlineStr"/>
      <c r="C4564" t="inlineStr"/>
      <c r="D4564" t="inlineStr"/>
      <c r="E4564">
        <f>HYPERLINK("https://www.uniprot.org/uniprotkb/P0CT36/entry", "P0CT36")</f>
        <v/>
      </c>
      <c r="F4564" t="n">
        <v>33.3</v>
      </c>
      <c r="G4564" t="n">
        <v>559</v>
      </c>
      <c r="H4564" t="n">
        <v>1.11e-83</v>
      </c>
      <c r="I4564" t="inlineStr">
        <is>
          <t>Swiss-Prot</t>
        </is>
      </c>
      <c r="J4564" t="inlineStr">
        <is>
          <t>Tf2-3</t>
        </is>
      </c>
      <c r="K4564" t="inlineStr">
        <is>
          <t>TF23_SCHPO</t>
        </is>
      </c>
      <c r="L4564" t="inlineStr">
        <is>
          <t>sp|P0CT36|TF23_SCHPO Transposon Tf2-3 polyprotein OS=Schizosaccharomyces pombe (strain 972 / ATCC 24843) OX=284812 GN=Tf2-3 PE=1 SV=1</t>
        </is>
      </c>
      <c r="M4564" t="n">
        <v>1333</v>
      </c>
      <c r="N4564" t="inlineStr">
        <is>
          <t>Schizosaccharomyces pombe (strain 972 / ATCC 24843)</t>
        </is>
      </c>
      <c r="O4564" t="inlineStr">
        <is>
          <t>Transposon Tf2-3 polyprotein</t>
        </is>
      </c>
    </row>
    <row r="4565">
      <c r="A4565" t="inlineStr"/>
      <c r="B4565" t="inlineStr"/>
      <c r="C4565" t="inlineStr"/>
      <c r="D4565" t="inlineStr"/>
      <c r="E4565">
        <f>HYPERLINK("https://www.uniprot.org/uniprotkb/P0CT37/entry", "P0CT37")</f>
        <v/>
      </c>
      <c r="F4565" t="n">
        <v>33.3</v>
      </c>
      <c r="G4565" t="n">
        <v>559</v>
      </c>
      <c r="H4565" t="n">
        <v>1.11e-83</v>
      </c>
      <c r="I4565" t="inlineStr">
        <is>
          <t>Swiss-Prot</t>
        </is>
      </c>
      <c r="J4565" t="inlineStr">
        <is>
          <t>Tf2-4</t>
        </is>
      </c>
      <c r="K4565" t="inlineStr">
        <is>
          <t>TF24_SCHPO</t>
        </is>
      </c>
      <c r="L4565" t="inlineStr">
        <is>
          <t>sp|P0CT37|TF24_SCHPO Transposon Tf2-4 polyprotein OS=Schizosaccharomyces pombe (strain 972 / ATCC 24843) OX=284812 GN=Tf2-4 PE=3 SV=1</t>
        </is>
      </c>
      <c r="M4565" t="n">
        <v>1333</v>
      </c>
      <c r="N4565" t="inlineStr">
        <is>
          <t>Schizosaccharomyces pombe (strain 972 / ATCC 24843)</t>
        </is>
      </c>
      <c r="O4565" t="inlineStr">
        <is>
          <t>Transposon Tf2-4 polyprotein</t>
        </is>
      </c>
    </row>
    <row r="4566">
      <c r="A4566" t="inlineStr"/>
      <c r="B4566" t="inlineStr"/>
      <c r="C4566" t="inlineStr"/>
      <c r="D4566" t="inlineStr"/>
      <c r="E4566">
        <f>HYPERLINK("https://www.uniprot.org/uniprotkb/P0CT38/entry", "P0CT38")</f>
        <v/>
      </c>
      <c r="F4566" t="n">
        <v>33.3</v>
      </c>
      <c r="G4566" t="n">
        <v>559</v>
      </c>
      <c r="H4566" t="n">
        <v>1.11e-83</v>
      </c>
      <c r="I4566" t="inlineStr">
        <is>
          <t>Swiss-Prot</t>
        </is>
      </c>
      <c r="J4566" t="inlineStr">
        <is>
          <t>Tf2-5</t>
        </is>
      </c>
      <c r="K4566" t="inlineStr">
        <is>
          <t>TF25_SCHPO</t>
        </is>
      </c>
      <c r="L4566" t="inlineStr">
        <is>
          <t>sp|P0CT38|TF25_SCHPO Transposon Tf2-5 polyprotein OS=Schizosaccharomyces pombe (strain 972 / ATCC 24843) OX=284812 GN=Tf2-5 PE=3 SV=1</t>
        </is>
      </c>
      <c r="M4566" t="n">
        <v>1333</v>
      </c>
      <c r="N4566" t="inlineStr">
        <is>
          <t>Schizosaccharomyces pombe (strain 972 / ATCC 24843)</t>
        </is>
      </c>
      <c r="O4566" t="inlineStr">
        <is>
          <t>Transposon Tf2-5 polyprotein</t>
        </is>
      </c>
    </row>
    <row r="4567">
      <c r="A4567" t="inlineStr"/>
      <c r="B4567" t="inlineStr"/>
      <c r="C4567" t="inlineStr"/>
      <c r="D4567" t="inlineStr"/>
      <c r="E4567">
        <f>HYPERLINK("https://www.uniprot.org/uniprotkb/P0CT39/entry", "P0CT39")</f>
        <v/>
      </c>
      <c r="F4567" t="n">
        <v>33.3</v>
      </c>
      <c r="G4567" t="n">
        <v>559</v>
      </c>
      <c r="H4567" t="n">
        <v>1.11e-83</v>
      </c>
      <c r="I4567" t="inlineStr">
        <is>
          <t>Swiss-Prot</t>
        </is>
      </c>
      <c r="J4567" t="inlineStr">
        <is>
          <t>Tf2-6</t>
        </is>
      </c>
      <c r="K4567" t="inlineStr">
        <is>
          <t>TF26_SCHPO</t>
        </is>
      </c>
      <c r="L4567" t="inlineStr">
        <is>
          <t>sp|P0CT39|TF26_SCHPO Transposon Tf2-6 polyprotein OS=Schizosaccharomyces pombe (strain 972 / ATCC 24843) OX=284812 GN=Tf2-6 PE=3 SV=1</t>
        </is>
      </c>
      <c r="M4567" t="n">
        <v>1333</v>
      </c>
      <c r="N4567" t="inlineStr">
        <is>
          <t>Schizosaccharomyces pombe (strain 972 / ATCC 24843)</t>
        </is>
      </c>
      <c r="O4567" t="inlineStr">
        <is>
          <t>Transposon Tf2-6 polyprotein</t>
        </is>
      </c>
    </row>
    <row r="4568">
      <c r="A4568" t="inlineStr"/>
      <c r="B4568" t="inlineStr"/>
      <c r="C4568" t="inlineStr"/>
      <c r="D4568" t="inlineStr"/>
      <c r="E4568">
        <f>HYPERLINK("https://www.uniprot.org/uniprotkb/P0CT42/entry", "P0CT42")</f>
        <v/>
      </c>
      <c r="F4568" t="n">
        <v>33.3</v>
      </c>
      <c r="G4568" t="n">
        <v>559</v>
      </c>
      <c r="H4568" t="n">
        <v>1.11e-83</v>
      </c>
      <c r="I4568" t="inlineStr">
        <is>
          <t>Swiss-Prot</t>
        </is>
      </c>
      <c r="J4568" t="inlineStr">
        <is>
          <t>Tf2-7</t>
        </is>
      </c>
      <c r="K4568" t="inlineStr">
        <is>
          <t>TF27_SCHPO</t>
        </is>
      </c>
      <c r="L4568" t="inlineStr">
        <is>
          <t>sp|P0CT42|TF27_SCHPO Transposon Tf2-7 polyprotein OS=Schizosaccharomyces pombe (strain 972 / ATCC 24843) OX=284812 GN=Tf2-7 PE=3 SV=1</t>
        </is>
      </c>
      <c r="M4568" t="n">
        <v>1333</v>
      </c>
      <c r="N4568" t="inlineStr">
        <is>
          <t>Schizosaccharomyces pombe (strain 972 / ATCC 24843)</t>
        </is>
      </c>
      <c r="O4568" t="inlineStr">
        <is>
          <t>Transposon Tf2-7 polyprotein</t>
        </is>
      </c>
    </row>
    <row r="4569">
      <c r="A4569" t="inlineStr"/>
      <c r="B4569" t="inlineStr"/>
      <c r="C4569" t="inlineStr"/>
      <c r="D4569" t="inlineStr"/>
      <c r="E4569">
        <f>HYPERLINK("https://www.uniprot.org/uniprotkb/P0CT43/entry", "P0CT43")</f>
        <v/>
      </c>
      <c r="F4569" t="n">
        <v>33.3</v>
      </c>
      <c r="G4569" t="n">
        <v>559</v>
      </c>
      <c r="H4569" t="n">
        <v>1.11e-83</v>
      </c>
      <c r="I4569" t="inlineStr">
        <is>
          <t>Swiss-Prot</t>
        </is>
      </c>
      <c r="J4569" t="inlineStr">
        <is>
          <t>Tf2-8</t>
        </is>
      </c>
      <c r="K4569" t="inlineStr">
        <is>
          <t>TF28_SCHPO</t>
        </is>
      </c>
      <c r="L4569" t="inlineStr">
        <is>
          <t>sp|P0CT43|TF28_SCHPO Transposon Tf2-8 polyprotein OS=Schizosaccharomyces pombe (strain 972 / ATCC 24843) OX=284812 GN=Tf2-8 PE=3 SV=1</t>
        </is>
      </c>
      <c r="M4569" t="n">
        <v>1333</v>
      </c>
      <c r="N4569" t="inlineStr">
        <is>
          <t>Schizosaccharomyces pombe (strain 972 / ATCC 24843)</t>
        </is>
      </c>
      <c r="O4569" t="inlineStr">
        <is>
          <t>Transposon Tf2-8 polyprotein</t>
        </is>
      </c>
    </row>
    <row r="4570">
      <c r="A4570" t="inlineStr"/>
      <c r="B4570" t="inlineStr"/>
      <c r="C4570" t="inlineStr"/>
      <c r="D4570" t="inlineStr"/>
      <c r="E4570">
        <f>HYPERLINK("https://www.uniprot.org/uniprotkb/P0CT40/entry", "P0CT40")</f>
        <v/>
      </c>
      <c r="F4570" t="n">
        <v>33.3</v>
      </c>
      <c r="G4570" t="n">
        <v>559</v>
      </c>
      <c r="H4570" t="n">
        <v>1.11e-83</v>
      </c>
      <c r="I4570" t="inlineStr">
        <is>
          <t>Swiss-Prot</t>
        </is>
      </c>
      <c r="J4570" t="inlineStr">
        <is>
          <t>Tf2-9</t>
        </is>
      </c>
      <c r="K4570" t="inlineStr">
        <is>
          <t>TF29_SCHPO</t>
        </is>
      </c>
      <c r="L4570" t="inlineStr">
        <is>
          <t>sp|P0CT40|TF29_SCHPO Transposon Tf2-9 polyprotein OS=Schizosaccharomyces pombe (strain 972 / ATCC 24843) OX=284812 GN=Tf2-9 PE=3 SV=1</t>
        </is>
      </c>
      <c r="M4570" t="n">
        <v>1333</v>
      </c>
      <c r="N4570" t="inlineStr">
        <is>
          <t>Schizosaccharomyces pombe (strain 972 / ATCC 24843)</t>
        </is>
      </c>
      <c r="O4570" t="inlineStr">
        <is>
          <t>Transposon Tf2-9 polyprotein</t>
        </is>
      </c>
    </row>
    <row r="4571">
      <c r="A4571" t="inlineStr"/>
      <c r="B4571" t="inlineStr"/>
      <c r="C4571" t="inlineStr"/>
      <c r="D4571" t="inlineStr"/>
      <c r="E4571">
        <f>HYPERLINK("https://www.uniprot.org/uniprotkb/Q7LHG5/entry", "Q7LHG5")</f>
        <v/>
      </c>
      <c r="F4571" t="n">
        <v>31.6</v>
      </c>
      <c r="G4571" t="n">
        <v>569</v>
      </c>
      <c r="H4571" t="n">
        <v>3.7e-66</v>
      </c>
      <c r="I4571" t="inlineStr">
        <is>
          <t>Swiss-Prot</t>
        </is>
      </c>
      <c r="J4571" t="inlineStr">
        <is>
          <t>TY3B-I</t>
        </is>
      </c>
      <c r="K4571" t="inlineStr">
        <is>
          <t>YI31B_YEAST</t>
        </is>
      </c>
      <c r="L4571" t="inlineStr">
        <is>
          <t>sp|Q7LHG5|YI31B_YEAST Transposon Ty3-I Gag-Pol polyprotein OS=Saccharomyces cerevisiae (strain ATCC 204508 / S288c) OX=559292 GN=TY3B-I PE=1 SV=2</t>
        </is>
      </c>
      <c r="M4571" t="n">
        <v>1498</v>
      </c>
      <c r="N4571" t="inlineStr">
        <is>
          <t>Saccharomyces cerevisiae (strain ATCC 204508 / S288c)</t>
        </is>
      </c>
      <c r="O4571" t="inlineStr">
        <is>
          <t>Transposon Ty3-I Gag-Pol polyprotein</t>
        </is>
      </c>
    </row>
    <row r="4572">
      <c r="A4572" t="inlineStr"/>
      <c r="B4572" t="inlineStr"/>
      <c r="C4572" t="inlineStr"/>
      <c r="D4572" t="inlineStr"/>
      <c r="E4572">
        <f>HYPERLINK("https://www.uniprot.org/uniprotkb/Q99315/entry", "Q99315")</f>
        <v/>
      </c>
      <c r="F4572" t="n">
        <v>31.5</v>
      </c>
      <c r="G4572" t="n">
        <v>571</v>
      </c>
      <c r="H4572" t="n">
        <v>1.26e-65</v>
      </c>
      <c r="I4572" t="inlineStr">
        <is>
          <t>Swiss-Prot</t>
        </is>
      </c>
      <c r="J4572" t="inlineStr">
        <is>
          <t>TY3B-G</t>
        </is>
      </c>
      <c r="K4572" t="inlineStr">
        <is>
          <t>YG31B_YEAST</t>
        </is>
      </c>
      <c r="L4572" t="inlineStr">
        <is>
          <t>sp|Q99315|YG31B_YEAST Transposon Ty3-G Gag-Pol polyprotein OS=Saccharomyces cerevisiae (strain ATCC 204508 / S288c) OX=559292 GN=TY3B-G PE=1 SV=3</t>
        </is>
      </c>
      <c r="M4572" t="n">
        <v>1547</v>
      </c>
      <c r="N4572" t="inlineStr">
        <is>
          <t>Saccharomyces cerevisiae (strain ATCC 204508 / S288c)</t>
        </is>
      </c>
      <c r="O4572" t="inlineStr">
        <is>
          <t>Transposon Ty3-G Gag-Pol polyprotein</t>
        </is>
      </c>
    </row>
    <row r="4573">
      <c r="A4573" t="inlineStr"/>
      <c r="B4573" t="inlineStr"/>
      <c r="C4573" t="inlineStr"/>
      <c r="D4573" t="inlineStr"/>
      <c r="E4573">
        <f>HYPERLINK("https://www.uniprot.org/uniprotkb/A0A803JLE4/entry", "A0A803JLE4")</f>
        <v/>
      </c>
      <c r="F4573" t="n">
        <v>44.4</v>
      </c>
      <c r="G4573" t="n">
        <v>144</v>
      </c>
      <c r="H4573" t="n">
        <v>7.379999999999999e-34</v>
      </c>
      <c r="I4573" t="inlineStr">
        <is>
          <t>TrEMBL</t>
        </is>
      </c>
      <c r="J4573" t="inlineStr"/>
      <c r="K4573" t="inlineStr">
        <is>
          <t>A0A803JLE4_XENTR</t>
        </is>
      </c>
      <c r="L4573" t="inlineStr">
        <is>
          <t>tr|A0A803JLE4|A0A803JLE4_XENTR CCHC-type domain-containing protein OS=Xenopus tropicalis OX=8364 PE=4 SV=1</t>
        </is>
      </c>
      <c r="M4573" t="n">
        <v>323</v>
      </c>
      <c r="N4573" t="inlineStr">
        <is>
          <t>Xenopus tropicalis</t>
        </is>
      </c>
      <c r="O4573" t="inlineStr">
        <is>
          <t>CCHC-type domain-containing protein</t>
        </is>
      </c>
    </row>
    <row r="4574">
      <c r="A4574" t="inlineStr"/>
      <c r="B4574" t="inlineStr"/>
      <c r="C4574" t="inlineStr"/>
      <c r="D4574" t="inlineStr"/>
      <c r="E4574">
        <f>HYPERLINK("https://www.uniprot.org/uniprotkb/A0A803JXG2/entry", "A0A803JXG2")</f>
        <v/>
      </c>
      <c r="F4574" t="n">
        <v>48.6</v>
      </c>
      <c r="G4574" t="n">
        <v>148</v>
      </c>
      <c r="H4574" t="n">
        <v>7.5e-34</v>
      </c>
      <c r="I4574" t="inlineStr">
        <is>
          <t>TrEMBL</t>
        </is>
      </c>
      <c r="J4574" t="inlineStr"/>
      <c r="K4574" t="inlineStr">
        <is>
          <t>A0A803JXG2_XENTR</t>
        </is>
      </c>
      <c r="L4574" t="inlineStr">
        <is>
          <t>tr|A0A803JXG2|A0A803JXG2_XENTR ribonuclease H OS=Xenopus tropicalis OX=8364 PE=3 SV=1</t>
        </is>
      </c>
      <c r="M4574" t="n">
        <v>754</v>
      </c>
      <c r="N4574" t="inlineStr">
        <is>
          <t>Xenopus tropicalis</t>
        </is>
      </c>
      <c r="O4574" t="inlineStr">
        <is>
          <t>ribonuclease H</t>
        </is>
      </c>
    </row>
    <row r="4575">
      <c r="A4575" t="inlineStr"/>
      <c r="B4575" t="inlineStr"/>
      <c r="C4575" t="inlineStr"/>
      <c r="D4575" t="inlineStr"/>
      <c r="E4575">
        <f>HYPERLINK("https://www.uniprot.org/uniprotkb/A0A803J384/entry", "A0A803J384")</f>
        <v/>
      </c>
      <c r="F4575" t="n">
        <v>44.4</v>
      </c>
      <c r="G4575" t="n">
        <v>144</v>
      </c>
      <c r="H4575" t="n">
        <v>1.04e-33</v>
      </c>
      <c r="I4575" t="inlineStr">
        <is>
          <t>TrEMBL</t>
        </is>
      </c>
      <c r="J4575" t="inlineStr"/>
      <c r="K4575" t="inlineStr">
        <is>
          <t>A0A803J384_XENTR</t>
        </is>
      </c>
      <c r="L4575" t="inlineStr">
        <is>
          <t>tr|A0A803J384|A0A803J384_XENTR CCHC-type domain-containing protein OS=Xenopus tropicalis OX=8364 PE=4 SV=1</t>
        </is>
      </c>
      <c r="M4575" t="n">
        <v>323</v>
      </c>
      <c r="N4575" t="inlineStr">
        <is>
          <t>Xenopus tropicalis</t>
        </is>
      </c>
      <c r="O4575" t="inlineStr">
        <is>
          <t>CCHC-type domain-containing protein</t>
        </is>
      </c>
    </row>
    <row r="4576">
      <c r="A4576" t="inlineStr"/>
      <c r="B4576" t="inlineStr"/>
      <c r="C4576" t="inlineStr"/>
      <c r="D4576" t="inlineStr"/>
      <c r="E4576">
        <f>HYPERLINK("https://www.uniprot.org/uniprotkb/A0A8C5R259/entry", "A0A8C5R259")</f>
        <v/>
      </c>
      <c r="F4576" t="n">
        <v>40.2</v>
      </c>
      <c r="G4576" t="n">
        <v>164</v>
      </c>
      <c r="H4576" t="n">
        <v>1.62e-32</v>
      </c>
      <c r="I4576" t="inlineStr">
        <is>
          <t>TrEMBL</t>
        </is>
      </c>
      <c r="J4576" t="inlineStr"/>
      <c r="K4576" t="inlineStr">
        <is>
          <t>A0A8C5R259_9ANUR</t>
        </is>
      </c>
      <c r="L4576" t="inlineStr">
        <is>
          <t>tr|A0A8C5R259|A0A8C5R259_9ANUR ribonuclease H OS=Leptobrachium leishanense OX=445787 PE=3 SV=1</t>
        </is>
      </c>
      <c r="M4576" t="n">
        <v>706</v>
      </c>
      <c r="N4576" t="inlineStr">
        <is>
          <t>Leptobrachium leishanense</t>
        </is>
      </c>
      <c r="O4576" t="inlineStr">
        <is>
          <t>ribonuclease H</t>
        </is>
      </c>
    </row>
    <row r="4577">
      <c r="A4577" t="inlineStr"/>
      <c r="B4577" t="inlineStr"/>
      <c r="C4577" t="inlineStr"/>
      <c r="D4577" t="inlineStr"/>
      <c r="E4577">
        <f>HYPERLINK("https://www.uniprot.org/uniprotkb/A0A8C5LU98/entry", "A0A8C5LU98")</f>
        <v/>
      </c>
      <c r="F4577" t="n">
        <v>40.2</v>
      </c>
      <c r="G4577" t="n">
        <v>164</v>
      </c>
      <c r="H4577" t="n">
        <v>2.03e-32</v>
      </c>
      <c r="I4577" t="inlineStr">
        <is>
          <t>TrEMBL</t>
        </is>
      </c>
      <c r="J4577" t="inlineStr"/>
      <c r="K4577" t="inlineStr">
        <is>
          <t>A0A8C5LU98_9ANUR</t>
        </is>
      </c>
      <c r="L4577" t="inlineStr">
        <is>
          <t>tr|A0A8C5LU98|A0A8C5LU98_9ANUR ribonuclease H OS=Leptobrachium leishanense OX=445787 PE=3 SV=1</t>
        </is>
      </c>
      <c r="M4577" t="n">
        <v>1471</v>
      </c>
      <c r="N4577" t="inlineStr">
        <is>
          <t>Leptobrachium leishanense</t>
        </is>
      </c>
      <c r="O4577" t="inlineStr">
        <is>
          <t>ribonuclease H</t>
        </is>
      </c>
    </row>
    <row r="4578">
      <c r="A4578" t="inlineStr"/>
      <c r="B4578" t="inlineStr"/>
      <c r="C4578" t="inlineStr"/>
      <c r="D4578" t="inlineStr"/>
      <c r="E4578">
        <f>HYPERLINK("https://www.uniprot.org/uniprotkb/A0A6I8SYT0/entry", "A0A6I8SYT0")</f>
        <v/>
      </c>
      <c r="F4578" t="n">
        <v>47</v>
      </c>
      <c r="G4578" t="n">
        <v>151</v>
      </c>
      <c r="H4578" t="n">
        <v>2.21e-32</v>
      </c>
      <c r="I4578" t="inlineStr">
        <is>
          <t>TrEMBL</t>
        </is>
      </c>
      <c r="J4578" t="inlineStr"/>
      <c r="K4578" t="inlineStr">
        <is>
          <t>A0A6I8SYT0_XENTR</t>
        </is>
      </c>
      <c r="L4578" t="inlineStr">
        <is>
          <t>tr|A0A6I8SYT0|A0A6I8SYT0_XENTR CCHC-type domain-containing protein OS=Xenopus tropicalis OX=8364 PE=4 SV=2</t>
        </is>
      </c>
      <c r="M4578" t="n">
        <v>397</v>
      </c>
      <c r="N4578" t="inlineStr">
        <is>
          <t>Xenopus tropicalis</t>
        </is>
      </c>
      <c r="O4578" t="inlineStr">
        <is>
          <t>CCHC-type domain-containing protein</t>
        </is>
      </c>
    </row>
    <row r="4579">
      <c r="A4579" t="inlineStr"/>
      <c r="B4579" t="inlineStr"/>
      <c r="C4579" t="inlineStr"/>
      <c r="D4579" t="inlineStr"/>
      <c r="E4579">
        <f>HYPERLINK("https://www.uniprot.org/uniprotkb/A0A8C5LJ63/entry", "A0A8C5LJ63")</f>
        <v/>
      </c>
      <c r="F4579" t="n">
        <v>38.8</v>
      </c>
      <c r="G4579" t="n">
        <v>160</v>
      </c>
      <c r="H4579" t="n">
        <v>3.34e-32</v>
      </c>
      <c r="I4579" t="inlineStr">
        <is>
          <t>TrEMBL</t>
        </is>
      </c>
      <c r="J4579" t="inlineStr"/>
      <c r="K4579" t="inlineStr">
        <is>
          <t>A0A8C5LJ63_9ANUR</t>
        </is>
      </c>
      <c r="L4579" t="inlineStr">
        <is>
          <t>tr|A0A8C5LJ63|A0A8C5LJ63_9ANUR Retrotrans_gag domain-containing protein OS=Leptobrachium leishanense OX=445787 PE=4 SV=1</t>
        </is>
      </c>
      <c r="M4579" t="n">
        <v>501</v>
      </c>
      <c r="N4579" t="inlineStr">
        <is>
          <t>Leptobrachium leishanense</t>
        </is>
      </c>
      <c r="O4579" t="inlineStr">
        <is>
          <t>Retrotrans_gag domain-containing protein</t>
        </is>
      </c>
    </row>
    <row r="4580">
      <c r="A4580" t="inlineStr"/>
      <c r="B4580" t="inlineStr"/>
      <c r="C4580" t="inlineStr"/>
      <c r="D4580" t="inlineStr"/>
      <c r="E4580">
        <f>HYPERLINK("https://www.uniprot.org/uniprotkb/A0A803JXG2/entry", "A0A803JXG2")</f>
        <v/>
      </c>
      <c r="F4580" t="n">
        <v>37.5</v>
      </c>
      <c r="G4580" t="n">
        <v>160</v>
      </c>
      <c r="H4580" t="n">
        <v>4.52e-32</v>
      </c>
      <c r="I4580" t="inlineStr">
        <is>
          <t>TrEMBL</t>
        </is>
      </c>
      <c r="J4580" t="inlineStr"/>
      <c r="K4580" t="inlineStr">
        <is>
          <t>A0A803JXG2_XENTR</t>
        </is>
      </c>
      <c r="L4580" t="inlineStr">
        <is>
          <t>tr|A0A803JXG2|A0A803JXG2_XENTR ribonuclease H OS=Xenopus tropicalis OX=8364 PE=3 SV=1</t>
        </is>
      </c>
      <c r="M4580" t="n">
        <v>754</v>
      </c>
      <c r="N4580" t="inlineStr">
        <is>
          <t>Xenopus tropicalis</t>
        </is>
      </c>
      <c r="O4580" t="inlineStr">
        <is>
          <t>ribonuclease H</t>
        </is>
      </c>
    </row>
    <row r="4581">
      <c r="A4581" t="inlineStr"/>
      <c r="B4581" t="inlineStr"/>
      <c r="C4581" t="inlineStr"/>
      <c r="D4581" t="inlineStr"/>
      <c r="E4581">
        <f>HYPERLINK("https://www.ncbi.nlm.nih.gov/gene/?term=XP_040210218.1", "XP_040210218.1")</f>
        <v/>
      </c>
      <c r="F4581" t="n">
        <v>46.6</v>
      </c>
      <c r="G4581" t="n">
        <v>146</v>
      </c>
      <c r="H4581" t="n">
        <v>9.34e-32</v>
      </c>
      <c r="I4581" t="inlineStr">
        <is>
          <t>Nr</t>
        </is>
      </c>
      <c r="J4581" t="inlineStr"/>
      <c r="K4581" t="inlineStr"/>
      <c r="L4581" t="inlineStr">
        <is>
          <t>XP_040210218.1 retrotransposon-derived protein PEG10 [Rana temporaria]</t>
        </is>
      </c>
      <c r="M4581" t="n">
        <v>1481</v>
      </c>
      <c r="N4581" t="inlineStr">
        <is>
          <t>Rana temporaria</t>
        </is>
      </c>
      <c r="O4581" t="inlineStr">
        <is>
          <t>retrotransposon-derived protein PEG10</t>
        </is>
      </c>
    </row>
    <row r="4582">
      <c r="A4582" t="inlineStr"/>
      <c r="B4582" t="inlineStr"/>
      <c r="C4582" t="inlineStr"/>
      <c r="D4582" t="inlineStr"/>
      <c r="E4582">
        <f>HYPERLINK("https://www.uniprot.org/uniprotkb/A0A803K217/entry", "A0A803K217")</f>
        <v/>
      </c>
      <c r="F4582" t="n">
        <v>46.2</v>
      </c>
      <c r="G4582" t="n">
        <v>145</v>
      </c>
      <c r="H4582" t="n">
        <v>1.25e-31</v>
      </c>
      <c r="I4582" t="inlineStr">
        <is>
          <t>TrEMBL</t>
        </is>
      </c>
      <c r="J4582" t="inlineStr"/>
      <c r="K4582" t="inlineStr">
        <is>
          <t>A0A803K217_XENTR</t>
        </is>
      </c>
      <c r="L4582" t="inlineStr">
        <is>
          <t>tr|A0A803K217|A0A803K217_XENTR Reverse transcriptase OS=Xenopus tropicalis OX=8364 PE=3 SV=1</t>
        </is>
      </c>
      <c r="M4582" t="n">
        <v>1435</v>
      </c>
      <c r="N4582" t="inlineStr">
        <is>
          <t>Xenopus tropicalis</t>
        </is>
      </c>
      <c r="O4582" t="inlineStr">
        <is>
          <t>Reverse transcriptase</t>
        </is>
      </c>
    </row>
    <row r="4583">
      <c r="A4583" t="inlineStr"/>
      <c r="B4583" t="inlineStr"/>
      <c r="C4583" t="inlineStr"/>
      <c r="D4583" t="inlineStr"/>
      <c r="E4583">
        <f>HYPERLINK("https://www.uniprot.org/uniprotkb/A0A8C5MYN5/entry", "A0A8C5MYN5")</f>
        <v/>
      </c>
      <c r="F4583" t="n">
        <v>39</v>
      </c>
      <c r="G4583" t="n">
        <v>164</v>
      </c>
      <c r="H4583" t="n">
        <v>5.4e-31</v>
      </c>
      <c r="I4583" t="inlineStr">
        <is>
          <t>TrEMBL</t>
        </is>
      </c>
      <c r="J4583" t="inlineStr"/>
      <c r="K4583" t="inlineStr">
        <is>
          <t>A0A8C5MYN5_9ANUR</t>
        </is>
      </c>
      <c r="L4583" t="inlineStr">
        <is>
          <t>tr|A0A8C5MYN5|A0A8C5MYN5_9ANUR ribonuclease H OS=Leptobrachium leishanense OX=445787 PE=3 SV=1</t>
        </is>
      </c>
      <c r="M4583" t="n">
        <v>519</v>
      </c>
      <c r="N4583" t="inlineStr">
        <is>
          <t>Leptobrachium leishanense</t>
        </is>
      </c>
      <c r="O4583" t="inlineStr">
        <is>
          <t>ribonuclease H</t>
        </is>
      </c>
    </row>
    <row r="4584">
      <c r="A4584" t="inlineStr"/>
      <c r="B4584" t="inlineStr"/>
      <c r="C4584" t="inlineStr"/>
      <c r="D4584" t="inlineStr"/>
      <c r="E4584">
        <f>HYPERLINK("https://www.uniprot.org/uniprotkb/A0A8C5Q352/entry", "A0A8C5Q352")</f>
        <v/>
      </c>
      <c r="F4584" t="n">
        <v>39</v>
      </c>
      <c r="G4584" t="n">
        <v>164</v>
      </c>
      <c r="H4584" t="n">
        <v>7.01e-31</v>
      </c>
      <c r="I4584" t="inlineStr">
        <is>
          <t>TrEMBL</t>
        </is>
      </c>
      <c r="J4584" t="inlineStr"/>
      <c r="K4584" t="inlineStr">
        <is>
          <t>A0A8C5Q352_9ANUR</t>
        </is>
      </c>
      <c r="L4584" t="inlineStr">
        <is>
          <t>tr|A0A8C5Q352|A0A8C5Q352_9ANUR CCHC-type domain-containing protein OS=Leptobrachium leishanense OX=445787 PE=4 SV=1</t>
        </is>
      </c>
      <c r="M4584" t="n">
        <v>552</v>
      </c>
      <c r="N4584" t="inlineStr">
        <is>
          <t>Leptobrachium leishanense</t>
        </is>
      </c>
      <c r="O4584" t="inlineStr">
        <is>
          <t>CCHC-type domain-containing protein</t>
        </is>
      </c>
    </row>
    <row r="4585">
      <c r="A4585" t="inlineStr"/>
      <c r="B4585" t="inlineStr"/>
      <c r="C4585" t="inlineStr"/>
      <c r="D4585" t="inlineStr"/>
      <c r="E4585">
        <f>HYPERLINK("https://www.uniprot.org/uniprotkb/A0A8C5M421/entry", "A0A8C5M421")</f>
        <v/>
      </c>
      <c r="F4585" t="n">
        <v>39</v>
      </c>
      <c r="G4585" t="n">
        <v>164</v>
      </c>
      <c r="H4585" t="n">
        <v>1.53e-30</v>
      </c>
      <c r="I4585" t="inlineStr">
        <is>
          <t>TrEMBL</t>
        </is>
      </c>
      <c r="J4585" t="inlineStr"/>
      <c r="K4585" t="inlineStr">
        <is>
          <t>A0A8C5M421_9ANUR</t>
        </is>
      </c>
      <c r="L4585" t="inlineStr">
        <is>
          <t>tr|A0A8C5M421|A0A8C5M421_9ANUR Reverse transcriptase OS=Leptobrachium leishanense OX=445787 PE=3 SV=1</t>
        </is>
      </c>
      <c r="M4585" t="n">
        <v>1245</v>
      </c>
      <c r="N4585" t="inlineStr">
        <is>
          <t>Leptobrachium leishanense</t>
        </is>
      </c>
      <c r="O4585" t="inlineStr">
        <is>
          <t>Reverse transcriptase</t>
        </is>
      </c>
    </row>
    <row r="4586">
      <c r="A4586" t="inlineStr"/>
      <c r="B4586" t="inlineStr"/>
      <c r="C4586" t="inlineStr"/>
      <c r="D4586" t="inlineStr"/>
      <c r="E4586">
        <f>HYPERLINK("https://www.uniprot.org/uniprotkb/A0A8C5MPS0/entry", "A0A8C5MPS0")</f>
        <v/>
      </c>
      <c r="F4586" t="n">
        <v>39</v>
      </c>
      <c r="G4586" t="n">
        <v>164</v>
      </c>
      <c r="H4586" t="n">
        <v>1.55e-30</v>
      </c>
      <c r="I4586" t="inlineStr">
        <is>
          <t>TrEMBL</t>
        </is>
      </c>
      <c r="J4586" t="inlineStr"/>
      <c r="K4586" t="inlineStr">
        <is>
          <t>A0A8C5MPS0_9ANUR</t>
        </is>
      </c>
      <c r="L4586" t="inlineStr">
        <is>
          <t>tr|A0A8C5MPS0|A0A8C5MPS0_9ANUR Reverse transcriptase OS=Leptobrachium leishanense OX=445787 PE=3 SV=1</t>
        </is>
      </c>
      <c r="M4586" t="n">
        <v>1529</v>
      </c>
      <c r="N4586" t="inlineStr">
        <is>
          <t>Leptobrachium leishanense</t>
        </is>
      </c>
      <c r="O4586" t="inlineStr">
        <is>
          <t>Reverse transcriptase</t>
        </is>
      </c>
    </row>
    <row r="4587">
      <c r="A4587" t="inlineStr"/>
      <c r="B4587" t="inlineStr"/>
      <c r="C4587" t="inlineStr"/>
      <c r="D4587" t="inlineStr"/>
      <c r="E4587">
        <f>HYPERLINK("https://www.uniprot.org/uniprotkb/A0A803JUM4/entry", "A0A803JUM4")</f>
        <v/>
      </c>
      <c r="F4587" t="n">
        <v>39.6</v>
      </c>
      <c r="G4587" t="n">
        <v>159</v>
      </c>
      <c r="H4587" t="n">
        <v>3.01e-30</v>
      </c>
      <c r="I4587" t="inlineStr">
        <is>
          <t>TrEMBL</t>
        </is>
      </c>
      <c r="J4587" t="inlineStr"/>
      <c r="K4587" t="inlineStr">
        <is>
          <t>A0A803JUM4_XENTR</t>
        </is>
      </c>
      <c r="L4587" t="inlineStr">
        <is>
          <t>tr|A0A803JUM4|A0A803JUM4_XENTR CCHC-type domain-containing protein OS=Xenopus tropicalis OX=8364 PE=4 SV=1</t>
        </is>
      </c>
      <c r="M4587" t="n">
        <v>410</v>
      </c>
      <c r="N4587" t="inlineStr">
        <is>
          <t>Xenopus tropicalis</t>
        </is>
      </c>
      <c r="O4587" t="inlineStr">
        <is>
          <t>CCHC-type domain-containing protein</t>
        </is>
      </c>
    </row>
    <row r="4588">
      <c r="A4588" t="inlineStr"/>
      <c r="B4588" t="inlineStr"/>
      <c r="C4588" t="inlineStr"/>
      <c r="D4588" t="inlineStr"/>
      <c r="E4588">
        <f>HYPERLINK("https://www.uniprot.org/uniprotkb/A0A8C5P957/entry", "A0A8C5P957")</f>
        <v/>
      </c>
      <c r="F4588" t="n">
        <v>34.6</v>
      </c>
      <c r="G4588" t="n">
        <v>162</v>
      </c>
      <c r="H4588" t="n">
        <v>3.819999999999999e-30</v>
      </c>
      <c r="I4588" t="inlineStr">
        <is>
          <t>TrEMBL</t>
        </is>
      </c>
      <c r="J4588" t="inlineStr"/>
      <c r="K4588" t="inlineStr">
        <is>
          <t>A0A8C5P957_9ANUR</t>
        </is>
      </c>
      <c r="L4588" t="inlineStr">
        <is>
          <t>tr|A0A8C5P957|A0A8C5P957_9ANUR Reverse transcriptase OS=Leptobrachium leishanense OX=445787 PE=3 SV=1</t>
        </is>
      </c>
      <c r="M4588" t="n">
        <v>1068</v>
      </c>
      <c r="N4588" t="inlineStr">
        <is>
          <t>Leptobrachium leishanense</t>
        </is>
      </c>
      <c r="O4588" t="inlineStr">
        <is>
          <t>Reverse transcriptase</t>
        </is>
      </c>
    </row>
    <row r="4589">
      <c r="A4589" t="inlineStr"/>
      <c r="B4589" t="inlineStr"/>
      <c r="C4589" t="inlineStr"/>
      <c r="D4589" t="inlineStr"/>
      <c r="E4589">
        <f>HYPERLINK("https://www.uniprot.org/uniprotkb/A0A8J1LPH9/entry", "A0A8J1LPH9")</f>
        <v/>
      </c>
      <c r="F4589" t="n">
        <v>47.3</v>
      </c>
      <c r="G4589" t="n">
        <v>146</v>
      </c>
      <c r="H4589" t="n">
        <v>6.709999999999999e-30</v>
      </c>
      <c r="I4589" t="inlineStr">
        <is>
          <t>TrEMBL</t>
        </is>
      </c>
      <c r="J4589" t="inlineStr">
        <is>
          <t>LOC121397614</t>
        </is>
      </c>
      <c r="K4589" t="inlineStr">
        <is>
          <t>A0A8J1LPH9_XENLA</t>
        </is>
      </c>
      <c r="L4589" t="inlineStr">
        <is>
          <t>tr|A0A8J1LPH9|A0A8J1LPH9_XENLA ribonuclease H OS=Xenopus laevis OX=8355 GN=LOC121397614 PE=3 SV=1</t>
        </is>
      </c>
      <c r="M4589" t="n">
        <v>892</v>
      </c>
      <c r="N4589" t="inlineStr">
        <is>
          <t>Xenopus laevis</t>
        </is>
      </c>
      <c r="O4589" t="inlineStr">
        <is>
          <t>ribonuclease H</t>
        </is>
      </c>
    </row>
    <row r="4590">
      <c r="A4590" t="inlineStr"/>
      <c r="B4590" t="inlineStr"/>
      <c r="C4590" t="inlineStr"/>
      <c r="D4590" t="inlineStr"/>
      <c r="E4590">
        <f>HYPERLINK("https://www.uniprot.org/uniprotkb/A0A803K217/entry", "A0A803K217")</f>
        <v/>
      </c>
      <c r="F4590" t="n">
        <v>39.4</v>
      </c>
      <c r="G4590" t="n">
        <v>160</v>
      </c>
      <c r="H4590" t="n">
        <v>9.92e-30</v>
      </c>
      <c r="I4590" t="inlineStr">
        <is>
          <t>TrEMBL</t>
        </is>
      </c>
      <c r="J4590" t="inlineStr"/>
      <c r="K4590" t="inlineStr">
        <is>
          <t>A0A803K217_XENTR</t>
        </is>
      </c>
      <c r="L4590" t="inlineStr">
        <is>
          <t>tr|A0A803K217|A0A803K217_XENTR Reverse transcriptase OS=Xenopus tropicalis OX=8364 PE=3 SV=1</t>
        </is>
      </c>
      <c r="M4590" t="n">
        <v>1435</v>
      </c>
      <c r="N4590" t="inlineStr">
        <is>
          <t>Xenopus tropicalis</t>
        </is>
      </c>
      <c r="O4590" t="inlineStr">
        <is>
          <t>Reverse transcriptase</t>
        </is>
      </c>
    </row>
    <row r="4591">
      <c r="A4591" t="inlineStr"/>
      <c r="B4591" t="inlineStr"/>
      <c r="C4591" t="inlineStr"/>
      <c r="D4591" t="inlineStr"/>
      <c r="E4591">
        <f>HYPERLINK("https://www.uniprot.org/uniprotkb/A0A8C5W6H1/entry", "A0A8C5W6H1")</f>
        <v/>
      </c>
      <c r="F4591" t="n">
        <v>37</v>
      </c>
      <c r="G4591" t="n">
        <v>162</v>
      </c>
      <c r="H4591" t="n">
        <v>1.63e-29</v>
      </c>
      <c r="I4591" t="inlineStr">
        <is>
          <t>TrEMBL</t>
        </is>
      </c>
      <c r="J4591" t="inlineStr"/>
      <c r="K4591" t="inlineStr">
        <is>
          <t>A0A8C5W6H1_9ANUR</t>
        </is>
      </c>
      <c r="L4591" t="inlineStr">
        <is>
          <t>tr|A0A8C5W6H1|A0A8C5W6H1_9ANUR ribonuclease H OS=Leptobrachium leishanense OX=445787 PE=3 SV=1</t>
        </is>
      </c>
      <c r="M4591" t="n">
        <v>725</v>
      </c>
      <c r="N4591" t="inlineStr">
        <is>
          <t>Leptobrachium leishanense</t>
        </is>
      </c>
      <c r="O4591" t="inlineStr">
        <is>
          <t>ribonuclease H</t>
        </is>
      </c>
    </row>
    <row r="4592">
      <c r="A4592" t="inlineStr"/>
      <c r="B4592" t="inlineStr"/>
      <c r="C4592" t="inlineStr"/>
      <c r="D4592" t="inlineStr"/>
      <c r="E4592">
        <f>HYPERLINK("https://www.ncbi.nlm.nih.gov/gene/?term=XP_041430600.1", "XP_041430600.1")</f>
        <v/>
      </c>
      <c r="F4592" t="n">
        <v>47.3</v>
      </c>
      <c r="G4592" t="n">
        <v>146</v>
      </c>
      <c r="H4592" t="n">
        <v>1.72e-29</v>
      </c>
      <c r="I4592" t="inlineStr">
        <is>
          <t>Nr</t>
        </is>
      </c>
      <c r="J4592" t="inlineStr"/>
      <c r="K4592" t="inlineStr"/>
      <c r="L4592" t="inlineStr">
        <is>
          <t>XP_041430600.1 uncharacterized protein LOC121397614 [Xenopus laevis]</t>
        </is>
      </c>
      <c r="M4592" t="n">
        <v>892</v>
      </c>
      <c r="N4592" t="inlineStr">
        <is>
          <t>Xenopus laevis</t>
        </is>
      </c>
      <c r="O4592" t="inlineStr">
        <is>
          <t>uncharacterized protein LOC121397614</t>
        </is>
      </c>
    </row>
    <row r="4593">
      <c r="A4593" t="inlineStr"/>
      <c r="B4593" t="inlineStr"/>
      <c r="C4593" t="inlineStr"/>
      <c r="D4593" t="inlineStr"/>
      <c r="E4593">
        <f>HYPERLINK("https://www.uniprot.org/uniprotkb/A0A8C5PM58/entry", "A0A8C5PM58")</f>
        <v/>
      </c>
      <c r="F4593" t="n">
        <v>36.4</v>
      </c>
      <c r="G4593" t="n">
        <v>165</v>
      </c>
      <c r="H4593" t="n">
        <v>2.36e-29</v>
      </c>
      <c r="I4593" t="inlineStr">
        <is>
          <t>TrEMBL</t>
        </is>
      </c>
      <c r="J4593" t="inlineStr"/>
      <c r="K4593" t="inlineStr">
        <is>
          <t>A0A8C5PM58_9ANUR</t>
        </is>
      </c>
      <c r="L4593" t="inlineStr">
        <is>
          <t>tr|A0A8C5PM58|A0A8C5PM58_9ANUR CCHC-type domain-containing protein OS=Leptobrachium leishanense OX=445787 PE=4 SV=1</t>
        </is>
      </c>
      <c r="M4593" t="n">
        <v>391</v>
      </c>
      <c r="N4593" t="inlineStr">
        <is>
          <t>Leptobrachium leishanense</t>
        </is>
      </c>
      <c r="O4593" t="inlineStr">
        <is>
          <t>CCHC-type domain-containing protein</t>
        </is>
      </c>
    </row>
    <row r="4594">
      <c r="A4594" t="inlineStr"/>
      <c r="B4594" t="inlineStr"/>
      <c r="C4594" t="inlineStr"/>
      <c r="D4594" t="inlineStr"/>
      <c r="E4594">
        <f>HYPERLINK("https://www.uniprot.org/uniprotkb/A0A803JPC4/entry", "A0A803JPC4")</f>
        <v/>
      </c>
      <c r="F4594" t="n">
        <v>46.2</v>
      </c>
      <c r="G4594" t="n">
        <v>143</v>
      </c>
      <c r="H4594" t="n">
        <v>3.2e-29</v>
      </c>
      <c r="I4594" t="inlineStr">
        <is>
          <t>TrEMBL</t>
        </is>
      </c>
      <c r="J4594" t="inlineStr"/>
      <c r="K4594" t="inlineStr">
        <is>
          <t>A0A803JPC4_XENTR</t>
        </is>
      </c>
      <c r="L4594" t="inlineStr">
        <is>
          <t>tr|A0A803JPC4|A0A803JPC4_XENTR ribonuclease H OS=Xenopus tropicalis OX=8364 PE=3 SV=1</t>
        </is>
      </c>
      <c r="M4594" t="n">
        <v>1014</v>
      </c>
      <c r="N4594" t="inlineStr">
        <is>
          <t>Xenopus tropicalis</t>
        </is>
      </c>
      <c r="O4594" t="inlineStr">
        <is>
          <t>ribonuclease H</t>
        </is>
      </c>
    </row>
    <row r="4595">
      <c r="A4595" t="inlineStr"/>
      <c r="B4595" t="inlineStr"/>
      <c r="C4595" t="inlineStr"/>
      <c r="D4595" t="inlineStr"/>
      <c r="E4595">
        <f>HYPERLINK("https://www.uniprot.org/uniprotkb/A0A8C5PPI8/entry", "A0A8C5PPI8")</f>
        <v/>
      </c>
      <c r="F4595" t="n">
        <v>37</v>
      </c>
      <c r="G4595" t="n">
        <v>162</v>
      </c>
      <c r="H4595" t="n">
        <v>3.24e-29</v>
      </c>
      <c r="I4595" t="inlineStr">
        <is>
          <t>TrEMBL</t>
        </is>
      </c>
      <c r="J4595" t="inlineStr"/>
      <c r="K4595" t="inlineStr">
        <is>
          <t>A0A8C5PPI8_9ANUR</t>
        </is>
      </c>
      <c r="L4595" t="inlineStr">
        <is>
          <t>tr|A0A8C5PPI8|A0A8C5PPI8_9ANUR Retrotrans_gag domain-containing protein OS=Leptobrachium leishanense OX=445787 PE=4 SV=1</t>
        </is>
      </c>
      <c r="M4595" t="n">
        <v>469</v>
      </c>
      <c r="N4595" t="inlineStr">
        <is>
          <t>Leptobrachium leishanense</t>
        </is>
      </c>
      <c r="O4595" t="inlineStr">
        <is>
          <t>Retrotrans_gag domain-containing protein</t>
        </is>
      </c>
    </row>
    <row r="4596">
      <c r="A4596" t="inlineStr"/>
      <c r="B4596" t="inlineStr"/>
      <c r="C4596" t="inlineStr"/>
      <c r="D4596" t="inlineStr"/>
      <c r="E4596">
        <f>HYPERLINK("https://www.uniprot.org/uniprotkb/A0A8C5M7C9/entry", "A0A8C5M7C9")</f>
        <v/>
      </c>
      <c r="F4596" t="n">
        <v>39.4</v>
      </c>
      <c r="G4596" t="n">
        <v>160</v>
      </c>
      <c r="H4596" t="n">
        <v>3.36e-29</v>
      </c>
      <c r="I4596" t="inlineStr">
        <is>
          <t>TrEMBL</t>
        </is>
      </c>
      <c r="J4596" t="inlineStr"/>
      <c r="K4596" t="inlineStr">
        <is>
          <t>A0A8C5M7C9_9ANUR</t>
        </is>
      </c>
      <c r="L4596" t="inlineStr">
        <is>
          <t>tr|A0A8C5M7C9|A0A8C5M7C9_9ANUR ribonuclease H OS=Leptobrachium leishanense OX=445787 PE=3 SV=1</t>
        </is>
      </c>
      <c r="M4596" t="n">
        <v>621</v>
      </c>
      <c r="N4596" t="inlineStr">
        <is>
          <t>Leptobrachium leishanense</t>
        </is>
      </c>
      <c r="O4596" t="inlineStr">
        <is>
          <t>ribonuclease H</t>
        </is>
      </c>
    </row>
    <row r="4597">
      <c r="A4597" t="inlineStr"/>
      <c r="B4597" t="inlineStr"/>
      <c r="C4597" t="inlineStr"/>
      <c r="D4597" t="inlineStr"/>
      <c r="E4597">
        <f>HYPERLINK("https://www.uniprot.org/uniprotkb/A0A8C5MFT5/entry", "A0A8C5MFT5")</f>
        <v/>
      </c>
      <c r="F4597" t="n">
        <v>36.6</v>
      </c>
      <c r="G4597" t="n">
        <v>161</v>
      </c>
      <c r="H4597" t="n">
        <v>5.870000000000001e-29</v>
      </c>
      <c r="I4597" t="inlineStr">
        <is>
          <t>TrEMBL</t>
        </is>
      </c>
      <c r="J4597" t="inlineStr"/>
      <c r="K4597" t="inlineStr">
        <is>
          <t>A0A8C5MFT5_9ANUR</t>
        </is>
      </c>
      <c r="L4597" t="inlineStr">
        <is>
          <t>tr|A0A8C5MFT5|A0A8C5MFT5_9ANUR CCHC-type domain-containing protein OS=Leptobrachium leishanense OX=445787 PE=4 SV=1</t>
        </is>
      </c>
      <c r="M4597" t="n">
        <v>385</v>
      </c>
      <c r="N4597" t="inlineStr">
        <is>
          <t>Leptobrachium leishanense</t>
        </is>
      </c>
      <c r="O4597" t="inlineStr">
        <is>
          <t>CCHC-type domain-containing protein</t>
        </is>
      </c>
    </row>
    <row r="4598">
      <c r="A4598" t="inlineStr"/>
      <c r="B4598" t="inlineStr"/>
      <c r="C4598" t="inlineStr"/>
      <c r="D4598" t="inlineStr"/>
      <c r="E4598">
        <f>HYPERLINK("https://www.uniprot.org/uniprotkb/A0A8C5LXA2/entry", "A0A8C5LXA2")</f>
        <v/>
      </c>
      <c r="F4598" t="n">
        <v>37.3</v>
      </c>
      <c r="G4598" t="n">
        <v>161</v>
      </c>
      <c r="H4598" t="n">
        <v>1.08e-28</v>
      </c>
      <c r="I4598" t="inlineStr">
        <is>
          <t>TrEMBL</t>
        </is>
      </c>
      <c r="J4598" t="inlineStr"/>
      <c r="K4598" t="inlineStr">
        <is>
          <t>A0A8C5LXA2_9ANUR</t>
        </is>
      </c>
      <c r="L4598" t="inlineStr">
        <is>
          <t>tr|A0A8C5LXA2|A0A8C5LXA2_9ANUR CCHC-type domain-containing protein OS=Leptobrachium leishanense OX=445787 PE=4 SV=1</t>
        </is>
      </c>
      <c r="M4598" t="n">
        <v>404</v>
      </c>
      <c r="N4598" t="inlineStr">
        <is>
          <t>Leptobrachium leishanense</t>
        </is>
      </c>
      <c r="O4598" t="inlineStr">
        <is>
          <t>CCHC-type domain-containing protein</t>
        </is>
      </c>
    </row>
    <row r="4599">
      <c r="A4599" t="inlineStr"/>
      <c r="B4599" t="inlineStr"/>
      <c r="C4599" t="inlineStr"/>
      <c r="D4599" t="inlineStr"/>
      <c r="E4599">
        <f>HYPERLINK("https://www.uniprot.org/uniprotkb/A0A8C5R0Q2/entry", "A0A8C5R0Q2")</f>
        <v/>
      </c>
      <c r="F4599" t="n">
        <v>36.4</v>
      </c>
      <c r="G4599" t="n">
        <v>162</v>
      </c>
      <c r="H4599" t="n">
        <v>1.29e-28</v>
      </c>
      <c r="I4599" t="inlineStr">
        <is>
          <t>TrEMBL</t>
        </is>
      </c>
      <c r="J4599" t="inlineStr"/>
      <c r="K4599" t="inlineStr">
        <is>
          <t>A0A8C5R0Q2_9ANUR</t>
        </is>
      </c>
      <c r="L4599" t="inlineStr">
        <is>
          <t>tr|A0A8C5R0Q2|A0A8C5R0Q2_9ANUR ribonuclease H OS=Leptobrachium leishanense OX=445787 PE=3 SV=1</t>
        </is>
      </c>
      <c r="M4599" t="n">
        <v>651</v>
      </c>
      <c r="N4599" t="inlineStr">
        <is>
          <t>Leptobrachium leishanense</t>
        </is>
      </c>
      <c r="O4599" t="inlineStr">
        <is>
          <t>ribonuclease H</t>
        </is>
      </c>
    </row>
    <row r="4600">
      <c r="A4600" t="inlineStr"/>
      <c r="B4600" t="inlineStr"/>
      <c r="C4600" t="inlineStr"/>
      <c r="D4600" t="inlineStr"/>
      <c r="E4600">
        <f>HYPERLINK("https://www.uniprot.org/uniprotkb/A0A8C5M025/entry", "A0A8C5M025")</f>
        <v/>
      </c>
      <c r="F4600" t="n">
        <v>36.6</v>
      </c>
      <c r="G4600" t="n">
        <v>161</v>
      </c>
      <c r="H4600" t="n">
        <v>1.38e-28</v>
      </c>
      <c r="I4600" t="inlineStr">
        <is>
          <t>TrEMBL</t>
        </is>
      </c>
      <c r="J4600" t="inlineStr"/>
      <c r="K4600" t="inlineStr">
        <is>
          <t>A0A8C5M025_9ANUR</t>
        </is>
      </c>
      <c r="L4600" t="inlineStr">
        <is>
          <t>tr|A0A8C5M025|A0A8C5M025_9ANUR CCHC-type domain-containing protein OS=Leptobrachium leishanense OX=445787 PE=4 SV=1</t>
        </is>
      </c>
      <c r="M4600" t="n">
        <v>451</v>
      </c>
      <c r="N4600" t="inlineStr">
        <is>
          <t>Leptobrachium leishanense</t>
        </is>
      </c>
      <c r="O4600" t="inlineStr">
        <is>
          <t>CCHC-type domain-containing protein</t>
        </is>
      </c>
    </row>
    <row r="4601">
      <c r="A4601" t="inlineStr"/>
      <c r="B4601" t="inlineStr"/>
      <c r="C4601" t="inlineStr"/>
      <c r="D4601" t="inlineStr"/>
      <c r="E4601">
        <f>HYPERLINK("https://www.uniprot.org/uniprotkb/A0A8C5PRD9/entry", "A0A8C5PRD9")</f>
        <v/>
      </c>
      <c r="F4601" t="n">
        <v>38.9</v>
      </c>
      <c r="G4601" t="n">
        <v>162</v>
      </c>
      <c r="H4601" t="n">
        <v>1.38e-28</v>
      </c>
      <c r="I4601" t="inlineStr">
        <is>
          <t>TrEMBL</t>
        </is>
      </c>
      <c r="J4601" t="inlineStr"/>
      <c r="K4601" t="inlineStr">
        <is>
          <t>A0A8C5PRD9_9ANUR</t>
        </is>
      </c>
      <c r="L4601" t="inlineStr">
        <is>
          <t>tr|A0A8C5PRD9|A0A8C5PRD9_9ANUR Retrotrans_gag domain-containing protein OS=Leptobrachium leishanense OX=445787 PE=4 SV=1</t>
        </is>
      </c>
      <c r="M4601" t="n">
        <v>484</v>
      </c>
      <c r="N4601" t="inlineStr">
        <is>
          <t>Leptobrachium leishanense</t>
        </is>
      </c>
      <c r="O4601" t="inlineStr">
        <is>
          <t>Retrotrans_gag domain-containing protein</t>
        </is>
      </c>
    </row>
    <row r="4602">
      <c r="A4602" t="inlineStr"/>
      <c r="B4602" t="inlineStr"/>
      <c r="C4602" t="inlineStr"/>
      <c r="D4602" t="inlineStr"/>
      <c r="E4602">
        <f>HYPERLINK("https://www.uniprot.org/uniprotkb/A0A8C5PD72/entry", "A0A8C5PD72")</f>
        <v/>
      </c>
      <c r="F4602" t="n">
        <v>44.2</v>
      </c>
      <c r="G4602" t="n">
        <v>147</v>
      </c>
      <c r="H4602" t="n">
        <v>1.43e-28</v>
      </c>
      <c r="I4602" t="inlineStr">
        <is>
          <t>TrEMBL</t>
        </is>
      </c>
      <c r="J4602" t="inlineStr"/>
      <c r="K4602" t="inlineStr">
        <is>
          <t>A0A8C5PD72_9ANUR</t>
        </is>
      </c>
      <c r="L4602" t="inlineStr">
        <is>
          <t>tr|A0A8C5PD72|A0A8C5PD72_9ANUR CCHC-type domain-containing protein OS=Leptobrachium leishanense OX=445787 PE=4 SV=1</t>
        </is>
      </c>
      <c r="M4602" t="n">
        <v>320</v>
      </c>
      <c r="N4602" t="inlineStr">
        <is>
          <t>Leptobrachium leishanense</t>
        </is>
      </c>
      <c r="O4602" t="inlineStr">
        <is>
          <t>CCHC-type domain-containing protein</t>
        </is>
      </c>
    </row>
    <row r="4603">
      <c r="A4603" t="inlineStr"/>
      <c r="B4603" t="inlineStr"/>
      <c r="C4603" t="inlineStr"/>
      <c r="D4603" t="inlineStr"/>
      <c r="E4603">
        <f>HYPERLINK("https://www.uniprot.org/uniprotkb/A0A8C5MC00/entry", "A0A8C5MC00")</f>
        <v/>
      </c>
      <c r="F4603" t="n">
        <v>33.3</v>
      </c>
      <c r="G4603" t="n">
        <v>162</v>
      </c>
      <c r="H4603" t="n">
        <v>1.62e-28</v>
      </c>
      <c r="I4603" t="inlineStr">
        <is>
          <t>TrEMBL</t>
        </is>
      </c>
      <c r="J4603" t="inlineStr"/>
      <c r="K4603" t="inlineStr">
        <is>
          <t>A0A8C5MC00_9ANUR</t>
        </is>
      </c>
      <c r="L4603" t="inlineStr">
        <is>
          <t>tr|A0A8C5MC00|A0A8C5MC00_9ANUR Reverse transcriptase OS=Leptobrachium leishanense OX=445787 PE=3 SV=1</t>
        </is>
      </c>
      <c r="M4603" t="n">
        <v>1569</v>
      </c>
      <c r="N4603" t="inlineStr">
        <is>
          <t>Leptobrachium leishanense</t>
        </is>
      </c>
      <c r="O4603" t="inlineStr">
        <is>
          <t>Reverse transcriptase</t>
        </is>
      </c>
    </row>
    <row r="4604">
      <c r="A4604" t="inlineStr"/>
      <c r="B4604" t="inlineStr"/>
      <c r="C4604" t="inlineStr"/>
      <c r="D4604" t="inlineStr"/>
      <c r="E4604">
        <f>HYPERLINK("https://www.uniprot.org/uniprotkb/A0A8C5R5D1/entry", "A0A8C5R5D1")</f>
        <v/>
      </c>
      <c r="F4604" t="n">
        <v>37.3</v>
      </c>
      <c r="G4604" t="n">
        <v>161</v>
      </c>
      <c r="H4604" t="n">
        <v>2.61e-28</v>
      </c>
      <c r="I4604" t="inlineStr">
        <is>
          <t>TrEMBL</t>
        </is>
      </c>
      <c r="J4604" t="inlineStr"/>
      <c r="K4604" t="inlineStr">
        <is>
          <t>A0A8C5R5D1_9ANUR</t>
        </is>
      </c>
      <c r="L4604" t="inlineStr">
        <is>
          <t>tr|A0A8C5R5D1|A0A8C5R5D1_9ANUR ribonuclease H OS=Leptobrachium leishanense OX=445787 PE=3 SV=1</t>
        </is>
      </c>
      <c r="M4604" t="n">
        <v>482</v>
      </c>
      <c r="N4604" t="inlineStr">
        <is>
          <t>Leptobrachium leishanense</t>
        </is>
      </c>
      <c r="O4604" t="inlineStr">
        <is>
          <t>ribonuclease H</t>
        </is>
      </c>
    </row>
    <row r="4605">
      <c r="A4605" t="inlineStr"/>
      <c r="B4605" t="inlineStr"/>
      <c r="C4605" t="inlineStr"/>
      <c r="D4605" t="inlineStr"/>
      <c r="E4605">
        <f>HYPERLINK("https://www.uniprot.org/uniprotkb/A0A803KG11/entry", "A0A803KG11")</f>
        <v/>
      </c>
      <c r="F4605" t="n">
        <v>44.5</v>
      </c>
      <c r="G4605" t="n">
        <v>146</v>
      </c>
      <c r="H4605" t="n">
        <v>2.81e-28</v>
      </c>
      <c r="I4605" t="inlineStr">
        <is>
          <t>TrEMBL</t>
        </is>
      </c>
      <c r="J4605" t="inlineStr"/>
      <c r="K4605" t="inlineStr">
        <is>
          <t>A0A803KG11_XENTR</t>
        </is>
      </c>
      <c r="L4605" t="inlineStr">
        <is>
          <t>tr|A0A803KG11|A0A803KG11_XENTR Retrotrans_gag domain-containing protein OS=Xenopus tropicalis OX=8364 PE=4 SV=1</t>
        </is>
      </c>
      <c r="M4605" t="n">
        <v>320</v>
      </c>
      <c r="N4605" t="inlineStr">
        <is>
          <t>Xenopus tropicalis</t>
        </is>
      </c>
      <c r="O4605" t="inlineStr">
        <is>
          <t>Retrotrans_gag domain-containing protein</t>
        </is>
      </c>
    </row>
    <row r="4606">
      <c r="A4606" t="inlineStr"/>
      <c r="B4606" t="inlineStr"/>
      <c r="C4606" t="inlineStr"/>
      <c r="D4606" t="inlineStr"/>
      <c r="E4606">
        <f>HYPERLINK("https://www.uniprot.org/uniprotkb/A0A8C5WBK5/entry", "A0A8C5WBK5")</f>
        <v/>
      </c>
      <c r="F4606" t="n">
        <v>35.8</v>
      </c>
      <c r="G4606" t="n">
        <v>165</v>
      </c>
      <c r="H4606" t="n">
        <v>3.36e-28</v>
      </c>
      <c r="I4606" t="inlineStr">
        <is>
          <t>TrEMBL</t>
        </is>
      </c>
      <c r="J4606" t="inlineStr"/>
      <c r="K4606" t="inlineStr">
        <is>
          <t>A0A8C5WBK5_9ANUR</t>
        </is>
      </c>
      <c r="L4606" t="inlineStr">
        <is>
          <t>tr|A0A8C5WBK5|A0A8C5WBK5_9ANUR CCHC-type domain-containing protein OS=Leptobrachium leishanense OX=445787 PE=4 SV=1</t>
        </is>
      </c>
      <c r="M4606" t="n">
        <v>658</v>
      </c>
      <c r="N4606" t="inlineStr">
        <is>
          <t>Leptobrachium leishanense</t>
        </is>
      </c>
      <c r="O4606" t="inlineStr">
        <is>
          <t>CCHC-type domain-containing protein</t>
        </is>
      </c>
    </row>
    <row r="4607">
      <c r="A4607" t="inlineStr"/>
      <c r="B4607" t="inlineStr"/>
      <c r="C4607" t="inlineStr"/>
      <c r="D4607" t="inlineStr"/>
      <c r="E4607">
        <f>HYPERLINK("https://www.uniprot.org/uniprotkb/A0A8C5WFX1/entry", "A0A8C5WFX1")</f>
        <v/>
      </c>
      <c r="F4607" t="n">
        <v>35.8</v>
      </c>
      <c r="G4607" t="n">
        <v>165</v>
      </c>
      <c r="H4607" t="n">
        <v>3.8e-28</v>
      </c>
      <c r="I4607" t="inlineStr">
        <is>
          <t>TrEMBL</t>
        </is>
      </c>
      <c r="J4607" t="inlineStr"/>
      <c r="K4607" t="inlineStr">
        <is>
          <t>A0A8C5WFX1_9ANUR</t>
        </is>
      </c>
      <c r="L4607" t="inlineStr">
        <is>
          <t>tr|A0A8C5WFX1|A0A8C5WFX1_9ANUR CCHC-type domain-containing protein OS=Leptobrachium leishanense OX=445787 PE=4 SV=1</t>
        </is>
      </c>
      <c r="M4607" t="n">
        <v>399</v>
      </c>
      <c r="N4607" t="inlineStr">
        <is>
          <t>Leptobrachium leishanense</t>
        </is>
      </c>
      <c r="O4607" t="inlineStr">
        <is>
          <t>CCHC-type domain-containing protein</t>
        </is>
      </c>
    </row>
    <row r="4608">
      <c r="A4608" t="inlineStr"/>
      <c r="B4608" t="inlineStr"/>
      <c r="C4608" t="inlineStr"/>
      <c r="D4608" t="inlineStr"/>
      <c r="E4608">
        <f>HYPERLINK("https://www.uniprot.org/uniprotkb/A0A803JPC4/entry", "A0A803JPC4")</f>
        <v/>
      </c>
      <c r="F4608" t="n">
        <v>39.4</v>
      </c>
      <c r="G4608" t="n">
        <v>165</v>
      </c>
      <c r="H4608" t="n">
        <v>3.95e-28</v>
      </c>
      <c r="I4608" t="inlineStr">
        <is>
          <t>TrEMBL</t>
        </is>
      </c>
      <c r="J4608" t="inlineStr"/>
      <c r="K4608" t="inlineStr">
        <is>
          <t>A0A803JPC4_XENTR</t>
        </is>
      </c>
      <c r="L4608" t="inlineStr">
        <is>
          <t>tr|A0A803JPC4|A0A803JPC4_XENTR ribonuclease H OS=Xenopus tropicalis OX=8364 PE=3 SV=1</t>
        </is>
      </c>
      <c r="M4608" t="n">
        <v>1014</v>
      </c>
      <c r="N4608" t="inlineStr">
        <is>
          <t>Xenopus tropicalis</t>
        </is>
      </c>
      <c r="O4608" t="inlineStr">
        <is>
          <t>ribonuclease H</t>
        </is>
      </c>
    </row>
    <row r="4609">
      <c r="A4609" t="inlineStr"/>
      <c r="B4609" t="inlineStr"/>
      <c r="C4609" t="inlineStr"/>
      <c r="D4609" t="inlineStr"/>
      <c r="E4609">
        <f>HYPERLINK("https://www.uniprot.org/uniprotkb/A0A803JZ19/entry", "A0A803JZ19")</f>
        <v/>
      </c>
      <c r="F4609" t="n">
        <v>44.8</v>
      </c>
      <c r="G4609" t="n">
        <v>145</v>
      </c>
      <c r="H4609" t="n">
        <v>8.25e-28</v>
      </c>
      <c r="I4609" t="inlineStr">
        <is>
          <t>TrEMBL</t>
        </is>
      </c>
      <c r="J4609" t="inlineStr"/>
      <c r="K4609" t="inlineStr">
        <is>
          <t>A0A803JZ19_XENTR</t>
        </is>
      </c>
      <c r="L4609" t="inlineStr">
        <is>
          <t>tr|A0A803JZ19|A0A803JZ19_XENTR CCHC-type domain-containing protein OS=Xenopus tropicalis OX=8364 PE=4 SV=1</t>
        </is>
      </c>
      <c r="M4609" t="n">
        <v>560</v>
      </c>
      <c r="N4609" t="inlineStr">
        <is>
          <t>Xenopus tropicalis</t>
        </is>
      </c>
      <c r="O4609" t="inlineStr">
        <is>
          <t>CCHC-type domain-containing protein</t>
        </is>
      </c>
    </row>
    <row r="4610">
      <c r="A4610" t="inlineStr"/>
      <c r="B4610" t="inlineStr"/>
      <c r="C4610" t="inlineStr"/>
      <c r="D4610" t="inlineStr"/>
      <c r="E4610">
        <f>HYPERLINK("https://www.uniprot.org/uniprotkb/A0A803K5F4/entry", "A0A803K5F4")</f>
        <v/>
      </c>
      <c r="F4610" t="n">
        <v>43.8</v>
      </c>
      <c r="G4610" t="n">
        <v>146</v>
      </c>
      <c r="H4610" t="n">
        <v>1.19e-27</v>
      </c>
      <c r="I4610" t="inlineStr">
        <is>
          <t>TrEMBL</t>
        </is>
      </c>
      <c r="J4610" t="inlineStr"/>
      <c r="K4610" t="inlineStr">
        <is>
          <t>A0A803K5F4_XENTR</t>
        </is>
      </c>
      <c r="L4610" t="inlineStr">
        <is>
          <t>tr|A0A803K5F4|A0A803K5F4_XENTR DUF4939 domain-containing protein OS=Xenopus tropicalis OX=8364 PE=4 SV=1</t>
        </is>
      </c>
      <c r="M4610" t="n">
        <v>325</v>
      </c>
      <c r="N4610" t="inlineStr">
        <is>
          <t>Xenopus tropicalis</t>
        </is>
      </c>
      <c r="O4610" t="inlineStr">
        <is>
          <t>DUF4939 domain-containing protein</t>
        </is>
      </c>
    </row>
    <row r="4611">
      <c r="A4611" t="inlineStr"/>
      <c r="B4611" t="inlineStr"/>
      <c r="C4611" t="inlineStr"/>
      <c r="D4611" t="inlineStr"/>
      <c r="E4611">
        <f>HYPERLINK("https://www.uniprot.org/uniprotkb/A0A8C5N325/entry", "A0A8C5N325")</f>
        <v/>
      </c>
      <c r="F4611" t="n">
        <v>44.2</v>
      </c>
      <c r="G4611" t="n">
        <v>147</v>
      </c>
      <c r="H4611" t="n">
        <v>1.19e-27</v>
      </c>
      <c r="I4611" t="inlineStr">
        <is>
          <t>TrEMBL</t>
        </is>
      </c>
      <c r="J4611" t="inlineStr"/>
      <c r="K4611" t="inlineStr">
        <is>
          <t>A0A8C5N325_9ANUR</t>
        </is>
      </c>
      <c r="L4611" t="inlineStr">
        <is>
          <t>tr|A0A8C5N325|A0A8C5N325_9ANUR CCHC-type domain-containing protein OS=Leptobrachium leishanense OX=445787 PE=4 SV=1</t>
        </is>
      </c>
      <c r="M4611" t="n">
        <v>413</v>
      </c>
      <c r="N4611" t="inlineStr">
        <is>
          <t>Leptobrachium leishanense</t>
        </is>
      </c>
      <c r="O4611" t="inlineStr">
        <is>
          <t>CCHC-type domain-containing protein</t>
        </is>
      </c>
    </row>
    <row r="4612">
      <c r="A4612" t="inlineStr"/>
      <c r="B4612" t="inlineStr"/>
      <c r="C4612" t="inlineStr"/>
      <c r="D4612" t="inlineStr"/>
      <c r="E4612">
        <f>HYPERLINK("https://www.uniprot.org/uniprotkb/A0A803JZC2/entry", "A0A803JZC2")</f>
        <v/>
      </c>
      <c r="F4612" t="n">
        <v>43.8</v>
      </c>
      <c r="G4612" t="n">
        <v>146</v>
      </c>
      <c r="H4612" t="n">
        <v>1.37e-27</v>
      </c>
      <c r="I4612" t="inlineStr">
        <is>
          <t>TrEMBL</t>
        </is>
      </c>
      <c r="J4612" t="inlineStr"/>
      <c r="K4612" t="inlineStr">
        <is>
          <t>A0A803JZC2_XENTR</t>
        </is>
      </c>
      <c r="L4612" t="inlineStr">
        <is>
          <t>tr|A0A803JZC2|A0A803JZC2_XENTR DUF4939 domain-containing protein OS=Xenopus tropicalis OX=8364 PE=4 SV=1</t>
        </is>
      </c>
      <c r="M4612" t="n">
        <v>333</v>
      </c>
      <c r="N4612" t="inlineStr">
        <is>
          <t>Xenopus tropicalis</t>
        </is>
      </c>
      <c r="O4612" t="inlineStr">
        <is>
          <t>DUF4939 domain-containing protein</t>
        </is>
      </c>
    </row>
    <row r="4613">
      <c r="A4613" t="inlineStr"/>
      <c r="B4613" t="inlineStr"/>
      <c r="C4613" t="inlineStr"/>
      <c r="D4613" t="inlineStr"/>
      <c r="E4613">
        <f>HYPERLINK("https://www.uniprot.org/uniprotkb/A0A8C5Q2K5/entry", "A0A8C5Q2K5")</f>
        <v/>
      </c>
      <c r="F4613" t="n">
        <v>54.2</v>
      </c>
      <c r="G4613" t="n">
        <v>96</v>
      </c>
      <c r="H4613" t="n">
        <v>2.64e-27</v>
      </c>
      <c r="I4613" t="inlineStr">
        <is>
          <t>TrEMBL</t>
        </is>
      </c>
      <c r="J4613" t="inlineStr"/>
      <c r="K4613" t="inlineStr">
        <is>
          <t>A0A8C5Q2K5_9ANUR</t>
        </is>
      </c>
      <c r="L4613" t="inlineStr">
        <is>
          <t>tr|A0A8C5Q2K5|A0A8C5Q2K5_9ANUR CCHC-type domain-containing protein OS=Leptobrachium leishanense OX=445787 PE=4 SV=1</t>
        </is>
      </c>
      <c r="M4613" t="n">
        <v>313</v>
      </c>
      <c r="N4613" t="inlineStr">
        <is>
          <t>Leptobrachium leishanense</t>
        </is>
      </c>
      <c r="O4613" t="inlineStr">
        <is>
          <t>CCHC-type domain-containing protein</t>
        </is>
      </c>
    </row>
    <row r="4614">
      <c r="A4614" t="inlineStr"/>
      <c r="B4614" t="inlineStr"/>
      <c r="C4614" t="inlineStr"/>
      <c r="D4614" t="inlineStr"/>
      <c r="E4614">
        <f>HYPERLINK("https://www.uniprot.org/uniprotkb/A0A8C5M025/entry", "A0A8C5M025")</f>
        <v/>
      </c>
      <c r="F4614" t="n">
        <v>43.5</v>
      </c>
      <c r="G4614" t="n">
        <v>147</v>
      </c>
      <c r="H4614" t="n">
        <v>9.420000000000001e-27</v>
      </c>
      <c r="I4614" t="inlineStr">
        <is>
          <t>TrEMBL</t>
        </is>
      </c>
      <c r="J4614" t="inlineStr"/>
      <c r="K4614" t="inlineStr">
        <is>
          <t>A0A8C5M025_9ANUR</t>
        </is>
      </c>
      <c r="L4614" t="inlineStr">
        <is>
          <t>tr|A0A8C5M025|A0A8C5M025_9ANUR CCHC-type domain-containing protein OS=Leptobrachium leishanense OX=445787 PE=4 SV=1</t>
        </is>
      </c>
      <c r="M4614" t="n">
        <v>451</v>
      </c>
      <c r="N4614" t="inlineStr">
        <is>
          <t>Leptobrachium leishanense</t>
        </is>
      </c>
      <c r="O4614" t="inlineStr">
        <is>
          <t>CCHC-type domain-containing protein</t>
        </is>
      </c>
    </row>
    <row r="4615">
      <c r="A4615" t="inlineStr"/>
      <c r="B4615" t="inlineStr"/>
      <c r="C4615" t="inlineStr"/>
      <c r="D4615" t="inlineStr"/>
      <c r="E4615">
        <f>HYPERLINK("https://www.uniprot.org/uniprotkb/A0A803JUM4/entry", "A0A803JUM4")</f>
        <v/>
      </c>
      <c r="F4615" t="n">
        <v>46.8</v>
      </c>
      <c r="G4615" t="n">
        <v>126</v>
      </c>
      <c r="H4615" t="n">
        <v>1.16e-26</v>
      </c>
      <c r="I4615" t="inlineStr">
        <is>
          <t>TrEMBL</t>
        </is>
      </c>
      <c r="J4615" t="inlineStr"/>
      <c r="K4615" t="inlineStr">
        <is>
          <t>A0A803JUM4_XENTR</t>
        </is>
      </c>
      <c r="L4615" t="inlineStr">
        <is>
          <t>tr|A0A803JUM4|A0A803JUM4_XENTR CCHC-type domain-containing protein OS=Xenopus tropicalis OX=8364 PE=4 SV=1</t>
        </is>
      </c>
      <c r="M4615" t="n">
        <v>410</v>
      </c>
      <c r="N4615" t="inlineStr">
        <is>
          <t>Xenopus tropicalis</t>
        </is>
      </c>
      <c r="O4615" t="inlineStr">
        <is>
          <t>CCHC-type domain-containing protein</t>
        </is>
      </c>
    </row>
    <row r="4616">
      <c r="A4616" t="inlineStr"/>
      <c r="B4616" t="inlineStr"/>
      <c r="C4616" t="inlineStr"/>
      <c r="D4616" t="inlineStr"/>
      <c r="E4616">
        <f>HYPERLINK("https://www.uniprot.org/uniprotkb/A0A803K8L9/entry", "A0A803K8L9")</f>
        <v/>
      </c>
      <c r="F4616" t="n">
        <v>43.5</v>
      </c>
      <c r="G4616" t="n">
        <v>147</v>
      </c>
      <c r="H4616" t="n">
        <v>1.57e-26</v>
      </c>
      <c r="I4616" t="inlineStr">
        <is>
          <t>TrEMBL</t>
        </is>
      </c>
      <c r="J4616" t="inlineStr"/>
      <c r="K4616" t="inlineStr">
        <is>
          <t>A0A803K8L9_XENTR</t>
        </is>
      </c>
      <c r="L4616" t="inlineStr">
        <is>
          <t>tr|A0A803K8L9|A0A803K8L9_XENTR Retrotrans_gag domain-containing protein OS=Xenopus tropicalis OX=8364 PE=4 SV=1</t>
        </is>
      </c>
      <c r="M4616" t="n">
        <v>338</v>
      </c>
      <c r="N4616" t="inlineStr">
        <is>
          <t>Xenopus tropicalis</t>
        </is>
      </c>
      <c r="O4616" t="inlineStr">
        <is>
          <t>Retrotrans_gag domain-containing protein</t>
        </is>
      </c>
    </row>
    <row r="4617">
      <c r="A4617" t="inlineStr"/>
      <c r="B4617" t="inlineStr"/>
      <c r="C4617" t="inlineStr"/>
      <c r="D4617" t="inlineStr"/>
      <c r="E4617">
        <f>HYPERLINK("https://www.uniprot.org/uniprotkb/A0A8C5MRI8/entry", "A0A8C5MRI8")</f>
        <v/>
      </c>
      <c r="F4617" t="n">
        <v>44</v>
      </c>
      <c r="G4617" t="n">
        <v>150</v>
      </c>
      <c r="H4617" t="n">
        <v>3.01e-26</v>
      </c>
      <c r="I4617" t="inlineStr">
        <is>
          <t>TrEMBL</t>
        </is>
      </c>
      <c r="J4617" t="inlineStr"/>
      <c r="K4617" t="inlineStr">
        <is>
          <t>A0A8C5MRI8_9ANUR</t>
        </is>
      </c>
      <c r="L4617" t="inlineStr">
        <is>
          <t>tr|A0A8C5MRI8|A0A8C5MRI8_9ANUR ribonuclease H OS=Leptobrachium leishanense OX=445787 PE=3 SV=1</t>
        </is>
      </c>
      <c r="M4617" t="n">
        <v>1492</v>
      </c>
      <c r="N4617" t="inlineStr">
        <is>
          <t>Leptobrachium leishanense</t>
        </is>
      </c>
      <c r="O4617" t="inlineStr">
        <is>
          <t>ribonuclease H</t>
        </is>
      </c>
    </row>
    <row r="4618">
      <c r="A4618" t="inlineStr"/>
      <c r="B4618" t="inlineStr"/>
      <c r="C4618" t="inlineStr"/>
      <c r="D4618" t="inlineStr"/>
      <c r="E4618">
        <f>HYPERLINK("https://www.uniprot.org/uniprotkb/A0A803J340/entry", "A0A803J340")</f>
        <v/>
      </c>
      <c r="F4618" t="n">
        <v>44.2</v>
      </c>
      <c r="G4618" t="n">
        <v>147</v>
      </c>
      <c r="H4618" t="n">
        <v>3.17e-26</v>
      </c>
      <c r="I4618" t="inlineStr">
        <is>
          <t>TrEMBL</t>
        </is>
      </c>
      <c r="J4618" t="inlineStr"/>
      <c r="K4618" t="inlineStr">
        <is>
          <t>A0A803J340_XENTR</t>
        </is>
      </c>
      <c r="L4618" t="inlineStr">
        <is>
          <t>tr|A0A803J340|A0A803J340_XENTR Retrotrans_gag domain-containing protein OS=Xenopus tropicalis OX=8364 PE=4 SV=1</t>
        </is>
      </c>
      <c r="M4618" t="n">
        <v>603</v>
      </c>
      <c r="N4618" t="inlineStr">
        <is>
          <t>Xenopus tropicalis</t>
        </is>
      </c>
      <c r="O4618" t="inlineStr">
        <is>
          <t>Retrotrans_gag domain-containing protein</t>
        </is>
      </c>
    </row>
    <row r="4619">
      <c r="A4619" t="inlineStr"/>
      <c r="B4619" t="inlineStr"/>
      <c r="C4619" t="inlineStr"/>
      <c r="D4619" t="inlineStr"/>
      <c r="E4619">
        <f>HYPERLINK("https://www.uniprot.org/uniprotkb/A0A803JAE8/entry", "A0A803JAE8")</f>
        <v/>
      </c>
      <c r="F4619" t="n">
        <v>44.2</v>
      </c>
      <c r="G4619" t="n">
        <v>147</v>
      </c>
      <c r="H4619" t="n">
        <v>3.26e-26</v>
      </c>
      <c r="I4619" t="inlineStr">
        <is>
          <t>TrEMBL</t>
        </is>
      </c>
      <c r="J4619" t="inlineStr"/>
      <c r="K4619" t="inlineStr">
        <is>
          <t>A0A803JAE8_XENTR</t>
        </is>
      </c>
      <c r="L4619" t="inlineStr">
        <is>
          <t>tr|A0A803JAE8|A0A803JAE8_XENTR Retrotrans_gag domain-containing protein OS=Xenopus tropicalis OX=8364 PE=4 SV=1</t>
        </is>
      </c>
      <c r="M4619" t="n">
        <v>615</v>
      </c>
      <c r="N4619" t="inlineStr">
        <is>
          <t>Xenopus tropicalis</t>
        </is>
      </c>
      <c r="O4619" t="inlineStr">
        <is>
          <t>Retrotrans_gag domain-containing protein</t>
        </is>
      </c>
    </row>
    <row r="4620">
      <c r="A4620" t="inlineStr"/>
      <c r="B4620" t="inlineStr"/>
      <c r="C4620" t="inlineStr"/>
      <c r="D4620" t="inlineStr"/>
      <c r="E4620">
        <f>HYPERLINK("https://www.uniprot.org/uniprotkb/A0A803KEF0/entry", "A0A803KEF0")</f>
        <v/>
      </c>
      <c r="F4620" t="n">
        <v>44.2</v>
      </c>
      <c r="G4620" t="n">
        <v>147</v>
      </c>
      <c r="H4620" t="n">
        <v>3.26e-26</v>
      </c>
      <c r="I4620" t="inlineStr">
        <is>
          <t>TrEMBL</t>
        </is>
      </c>
      <c r="J4620" t="inlineStr"/>
      <c r="K4620" t="inlineStr">
        <is>
          <t>A0A803KEF0_XENTR</t>
        </is>
      </c>
      <c r="L4620" t="inlineStr">
        <is>
          <t>tr|A0A803KEF0|A0A803KEF0_XENTR Retrotrans_gag domain-containing protein OS=Xenopus tropicalis OX=8364 PE=4 SV=1</t>
        </is>
      </c>
      <c r="M4620" t="n">
        <v>615</v>
      </c>
      <c r="N4620" t="inlineStr">
        <is>
          <t>Xenopus tropicalis</t>
        </is>
      </c>
      <c r="O4620" t="inlineStr">
        <is>
          <t>Retrotrans_gag domain-containing protein</t>
        </is>
      </c>
    </row>
    <row r="4621">
      <c r="A4621" t="inlineStr"/>
      <c r="B4621" t="inlineStr"/>
      <c r="C4621" t="inlineStr"/>
      <c r="D4621" t="inlineStr"/>
      <c r="E4621">
        <f>HYPERLINK("https://www.uniprot.org/uniprotkb/A0A8C5PCM9/entry", "A0A8C5PCM9")</f>
        <v/>
      </c>
      <c r="F4621" t="n">
        <v>44.4</v>
      </c>
      <c r="G4621" t="n">
        <v>153</v>
      </c>
      <c r="H4621" t="n">
        <v>3.6e-26</v>
      </c>
      <c r="I4621" t="inlineStr">
        <is>
          <t>TrEMBL</t>
        </is>
      </c>
      <c r="J4621" t="inlineStr"/>
      <c r="K4621" t="inlineStr">
        <is>
          <t>A0A8C5PCM9_9ANUR</t>
        </is>
      </c>
      <c r="L4621" t="inlineStr">
        <is>
          <t>tr|A0A8C5PCM9|A0A8C5PCM9_9ANUR CCHC-type domain-containing protein OS=Leptobrachium leishanense OX=445787 PE=4 SV=1</t>
        </is>
      </c>
      <c r="M4621" t="n">
        <v>308</v>
      </c>
      <c r="N4621" t="inlineStr">
        <is>
          <t>Leptobrachium leishanense</t>
        </is>
      </c>
      <c r="O4621" t="inlineStr">
        <is>
          <t>CCHC-type domain-containing protein</t>
        </is>
      </c>
    </row>
    <row r="4622">
      <c r="A4622" t="inlineStr"/>
      <c r="B4622" t="inlineStr"/>
      <c r="C4622" t="inlineStr"/>
      <c r="D4622" t="inlineStr"/>
      <c r="E4622">
        <f>HYPERLINK("https://www.uniprot.org/uniprotkb/A0A8C5LNN8/entry", "A0A8C5LNN8")</f>
        <v/>
      </c>
      <c r="F4622" t="n">
        <v>43</v>
      </c>
      <c r="G4622" t="n">
        <v>151</v>
      </c>
      <c r="H4622" t="n">
        <v>3.66e-26</v>
      </c>
      <c r="I4622" t="inlineStr">
        <is>
          <t>TrEMBL</t>
        </is>
      </c>
      <c r="J4622" t="inlineStr"/>
      <c r="K4622" t="inlineStr">
        <is>
          <t>A0A8C5LNN8_9ANUR</t>
        </is>
      </c>
      <c r="L4622" t="inlineStr">
        <is>
          <t>tr|A0A8C5LNN8|A0A8C5LNN8_9ANUR CCHC-type domain-containing protein OS=Leptobrachium leishanense OX=445787 PE=4 SV=1</t>
        </is>
      </c>
      <c r="M4622" t="n">
        <v>424</v>
      </c>
      <c r="N4622" t="inlineStr">
        <is>
          <t>Leptobrachium leishanense</t>
        </is>
      </c>
      <c r="O4622" t="inlineStr">
        <is>
          <t>CCHC-type domain-containing protein</t>
        </is>
      </c>
    </row>
    <row r="4623">
      <c r="A4623" t="inlineStr"/>
      <c r="B4623" t="inlineStr"/>
      <c r="C4623" t="inlineStr"/>
      <c r="D4623" t="inlineStr"/>
      <c r="E4623">
        <f>HYPERLINK("https://www.uniprot.org/uniprotkb/A0A8J0T0M0/entry", "A0A8J0T0M0")</f>
        <v/>
      </c>
      <c r="F4623" t="n">
        <v>44.2</v>
      </c>
      <c r="G4623" t="n">
        <v>147</v>
      </c>
      <c r="H4623" t="n">
        <v>4.11e-26</v>
      </c>
      <c r="I4623" t="inlineStr">
        <is>
          <t>TrEMBL</t>
        </is>
      </c>
      <c r="J4623" t="inlineStr">
        <is>
          <t>LOC108644811</t>
        </is>
      </c>
      <c r="K4623" t="inlineStr">
        <is>
          <t>A0A8J0T0M0_XENTR</t>
        </is>
      </c>
      <c r="L4623" t="inlineStr">
        <is>
          <t>tr|A0A8J0T0M0|A0A8J0T0M0_XENTR ribonuclease H OS=Xenopus tropicalis OX=8364 GN=LOC108644811 PE=3 SV=1</t>
        </is>
      </c>
      <c r="M4623" t="n">
        <v>1528</v>
      </c>
      <c r="N4623" t="inlineStr">
        <is>
          <t>Xenopus tropicalis</t>
        </is>
      </c>
      <c r="O4623" t="inlineStr">
        <is>
          <t>ribonuclease H</t>
        </is>
      </c>
    </row>
    <row r="4624">
      <c r="A4624" t="inlineStr"/>
      <c r="B4624" t="inlineStr"/>
      <c r="C4624" t="inlineStr"/>
      <c r="D4624" t="inlineStr"/>
      <c r="E4624">
        <f>HYPERLINK("https://www.uniprot.org/uniprotkb/A0A8C5PUW8/entry", "A0A8C5PUW8")</f>
        <v/>
      </c>
      <c r="F4624" t="n">
        <v>54.2</v>
      </c>
      <c r="G4624" t="n">
        <v>96</v>
      </c>
      <c r="H4624" t="n">
        <v>5.2e-26</v>
      </c>
      <c r="I4624" t="inlineStr">
        <is>
          <t>TrEMBL</t>
        </is>
      </c>
      <c r="J4624" t="inlineStr"/>
      <c r="K4624" t="inlineStr">
        <is>
          <t>A0A8C5PUW8_9ANUR</t>
        </is>
      </c>
      <c r="L4624" t="inlineStr">
        <is>
          <t>tr|A0A8C5PUW8|A0A8C5PUW8_9ANUR ribonuclease H OS=Leptobrachium leishanense OX=445787 PE=3 SV=1</t>
        </is>
      </c>
      <c r="M4624" t="n">
        <v>768</v>
      </c>
      <c r="N4624" t="inlineStr">
        <is>
          <t>Leptobrachium leishanense</t>
        </is>
      </c>
      <c r="O4624" t="inlineStr">
        <is>
          <t>ribonuclease H</t>
        </is>
      </c>
    </row>
    <row r="4625">
      <c r="A4625" t="inlineStr"/>
      <c r="B4625" t="inlineStr"/>
      <c r="C4625" t="inlineStr"/>
      <c r="D4625" t="inlineStr"/>
      <c r="E4625">
        <f>HYPERLINK("https://www.ncbi.nlm.nih.gov/gene/?term=XP_017945114.2", "XP_017945114.2")</f>
        <v/>
      </c>
      <c r="F4625" t="n">
        <v>44.2</v>
      </c>
      <c r="G4625" t="n">
        <v>147</v>
      </c>
      <c r="H4625" t="n">
        <v>1.06e-25</v>
      </c>
      <c r="I4625" t="inlineStr">
        <is>
          <t>Nr</t>
        </is>
      </c>
      <c r="J4625" t="inlineStr"/>
      <c r="K4625" t="inlineStr"/>
      <c r="L4625" t="inlineStr">
        <is>
          <t>XP_017945114.2 uncharacterized protein LOC108644811 [Xenopus tropicalis]</t>
        </is>
      </c>
      <c r="M4625" t="n">
        <v>1528</v>
      </c>
      <c r="N4625" t="inlineStr">
        <is>
          <t>Xenopus tropicalis</t>
        </is>
      </c>
      <c r="O4625" t="inlineStr">
        <is>
          <t>uncharacterized protein LOC108644811</t>
        </is>
      </c>
    </row>
    <row r="4626">
      <c r="A4626" t="inlineStr"/>
      <c r="B4626" t="inlineStr"/>
      <c r="C4626" t="inlineStr"/>
      <c r="D4626" t="inlineStr"/>
      <c r="E4626">
        <f>HYPERLINK("https://www.ncbi.nlm.nih.gov/gene/?term=XP_017945114.2", "XP_017945114.2")</f>
        <v/>
      </c>
      <c r="F4626" t="n">
        <v>38.5</v>
      </c>
      <c r="G4626" t="n">
        <v>161</v>
      </c>
      <c r="H4626" t="n">
        <v>1.49e-25</v>
      </c>
      <c r="I4626" t="inlineStr">
        <is>
          <t>Nr</t>
        </is>
      </c>
      <c r="J4626" t="inlineStr"/>
      <c r="K4626" t="inlineStr"/>
      <c r="L4626" t="inlineStr">
        <is>
          <t>XP_017945114.2 uncharacterized protein LOC108644811 [Xenopus tropicalis]</t>
        </is>
      </c>
      <c r="M4626" t="n">
        <v>1528</v>
      </c>
      <c r="N4626" t="inlineStr">
        <is>
          <t>Xenopus tropicalis</t>
        </is>
      </c>
      <c r="O4626" t="inlineStr">
        <is>
          <t>uncharacterized protein LOC108644811</t>
        </is>
      </c>
    </row>
    <row r="4627">
      <c r="A4627" t="inlineStr"/>
      <c r="B4627" t="inlineStr"/>
      <c r="C4627" t="inlineStr"/>
      <c r="D4627" t="inlineStr"/>
      <c r="E4627">
        <f>HYPERLINK("https://www.ncbi.nlm.nih.gov/gene/?term=OMH78676.1", "OMH78676.1")</f>
        <v/>
      </c>
      <c r="F4627" t="n">
        <v>41.8</v>
      </c>
      <c r="G4627" t="n">
        <v>122</v>
      </c>
      <c r="H4627" t="n">
        <v>2.05e-24</v>
      </c>
      <c r="I4627" t="inlineStr">
        <is>
          <t>Nr</t>
        </is>
      </c>
      <c r="J4627" t="inlineStr"/>
      <c r="K4627" t="inlineStr"/>
      <c r="L4627" t="inlineStr">
        <is>
          <t>OMH78676.1 Retrotransposon-derived protein PEG10, partial [Zancudomyces culisetae]</t>
        </is>
      </c>
      <c r="M4627" t="n">
        <v>183</v>
      </c>
      <c r="N4627" t="inlineStr">
        <is>
          <t>Zancudomyces culisetae</t>
        </is>
      </c>
      <c r="O4627" t="inlineStr">
        <is>
          <t>Retrotransposon-derived protein PEG10, partial</t>
        </is>
      </c>
    </row>
    <row r="4628">
      <c r="A4628" t="inlineStr"/>
      <c r="B4628" t="inlineStr"/>
      <c r="C4628" t="inlineStr"/>
      <c r="D4628" t="inlineStr"/>
      <c r="E4628">
        <f>HYPERLINK("https://www.uniprot.org/uniprotkb/P27401/entry", "P27401")</f>
        <v/>
      </c>
      <c r="F4628" t="n">
        <v>31.9</v>
      </c>
      <c r="G4628" t="n">
        <v>229</v>
      </c>
      <c r="H4628" t="n">
        <v>2.43e-24</v>
      </c>
      <c r="I4628" t="inlineStr">
        <is>
          <t>Swiss-Prot</t>
        </is>
      </c>
      <c r="J4628" t="inlineStr">
        <is>
          <t>pol</t>
        </is>
      </c>
      <c r="K4628" t="inlineStr">
        <is>
          <t>POL_SFV3L</t>
        </is>
      </c>
      <c r="L4628" t="inlineStr">
        <is>
          <t>sp|P27401|POL_SFV3L Pro-Pol polyprotein OS=Simian foamy virus type 3 (strain LK3) OX=11644 GN=pol PE=3 SV=2</t>
        </is>
      </c>
      <c r="M4628" t="n">
        <v>1143</v>
      </c>
      <c r="N4628" t="inlineStr">
        <is>
          <t>Simian foamy virus type 3 (strain LK3)</t>
        </is>
      </c>
      <c r="O4628" t="inlineStr">
        <is>
          <t>Pro-Pol polyprotein</t>
        </is>
      </c>
    </row>
    <row r="4629">
      <c r="A4629" t="inlineStr"/>
      <c r="B4629" t="inlineStr"/>
      <c r="C4629" t="inlineStr"/>
      <c r="D4629" t="inlineStr"/>
      <c r="E4629">
        <f>HYPERLINK("https://www.uniprot.org/uniprotkb/Q09575/entry", "Q09575")</f>
        <v/>
      </c>
      <c r="F4629" t="n">
        <v>33.3</v>
      </c>
      <c r="G4629" t="n">
        <v>258</v>
      </c>
      <c r="H4629" t="n">
        <v>3.41e-24</v>
      </c>
      <c r="I4629" t="inlineStr">
        <is>
          <t>Swiss-Prot</t>
        </is>
      </c>
      <c r="J4629" t="inlineStr">
        <is>
          <t>K02A2.6</t>
        </is>
      </c>
      <c r="K4629" t="inlineStr">
        <is>
          <t>YRD6_CAEEL</t>
        </is>
      </c>
      <c r="L4629" t="inlineStr">
        <is>
          <t>sp|Q09575|YRD6_CAEEL Uncharacterized protein K02A2.6 OS=Caenorhabditis elegans OX=6239 GN=K02A2.6 PE=4 SV=1</t>
        </is>
      </c>
      <c r="M4629" t="n">
        <v>1268</v>
      </c>
      <c r="N4629" t="inlineStr">
        <is>
          <t>Caenorhabditis elegans</t>
        </is>
      </c>
      <c r="O4629" t="inlineStr">
        <is>
          <t>Uncharacterized protein K02A2.6</t>
        </is>
      </c>
    </row>
    <row r="4630">
      <c r="A4630" t="inlineStr"/>
      <c r="B4630" t="inlineStr"/>
      <c r="C4630" t="inlineStr"/>
      <c r="D4630" t="inlineStr"/>
      <c r="E4630">
        <f>HYPERLINK("https://www.uniprot.org/uniprotkb/Q87040/entry", "Q87040")</f>
        <v/>
      </c>
      <c r="F4630" t="n">
        <v>30.4</v>
      </c>
      <c r="G4630" t="n">
        <v>230</v>
      </c>
      <c r="H4630" t="n">
        <v>2.29e-23</v>
      </c>
      <c r="I4630" t="inlineStr">
        <is>
          <t>Swiss-Prot</t>
        </is>
      </c>
      <c r="J4630" t="inlineStr">
        <is>
          <t>pol</t>
        </is>
      </c>
      <c r="K4630" t="inlineStr">
        <is>
          <t>POL_SFVCP</t>
        </is>
      </c>
      <c r="L4630" t="inlineStr">
        <is>
          <t>sp|Q87040|POL_SFVCP Pro-Pol polyprotein OS=Simian foamy virus (isolate chimpanzee) OX=298339 GN=pol PE=3 SV=1</t>
        </is>
      </c>
      <c r="M4630" t="n">
        <v>1146</v>
      </c>
      <c r="N4630" t="inlineStr">
        <is>
          <t>Simian foamy virus (isolate chimpanzee)</t>
        </is>
      </c>
      <c r="O4630" t="inlineStr">
        <is>
          <t>Pro-Pol polyprotein</t>
        </is>
      </c>
    </row>
    <row r="4631">
      <c r="A4631" t="inlineStr"/>
      <c r="B4631" t="inlineStr"/>
      <c r="C4631" t="inlineStr"/>
      <c r="D4631" t="inlineStr"/>
      <c r="E4631">
        <f>HYPERLINK("https://www.ncbi.nlm.nih.gov/gene/?term=KAI2667107.1", "KAI2667107.1")</f>
        <v/>
      </c>
      <c r="F4631" t="n">
        <v>32.5</v>
      </c>
      <c r="G4631" t="n">
        <v>154</v>
      </c>
      <c r="H4631" t="n">
        <v>7.249999999999999e-23</v>
      </c>
      <c r="I4631" t="inlineStr">
        <is>
          <t>Nr</t>
        </is>
      </c>
      <c r="J4631" t="inlineStr"/>
      <c r="K4631" t="inlineStr"/>
      <c r="L4631" t="inlineStr">
        <is>
          <t>KAI2667107.1 Transposon Tf2-6 polyprotein [Labeo rohita]</t>
        </is>
      </c>
      <c r="M4631" t="n">
        <v>1483</v>
      </c>
      <c r="N4631" t="inlineStr">
        <is>
          <t>Labeo rohita</t>
        </is>
      </c>
      <c r="O4631" t="inlineStr">
        <is>
          <t>Transposon Tf2-6 polyprotein</t>
        </is>
      </c>
    </row>
    <row r="4632">
      <c r="A4632" t="inlineStr"/>
      <c r="B4632" t="inlineStr"/>
      <c r="C4632" t="inlineStr"/>
      <c r="D4632" t="inlineStr"/>
      <c r="E4632">
        <f>HYPERLINK("https://www.ncbi.nlm.nih.gov/gene/?term=KAI2668609.1", "KAI2668609.1")</f>
        <v/>
      </c>
      <c r="F4632" t="n">
        <v>32.5</v>
      </c>
      <c r="G4632" t="n">
        <v>154</v>
      </c>
      <c r="H4632" t="n">
        <v>7.289999999999999e-23</v>
      </c>
      <c r="I4632" t="inlineStr">
        <is>
          <t>Nr</t>
        </is>
      </c>
      <c r="J4632" t="inlineStr"/>
      <c r="K4632" t="inlineStr"/>
      <c r="L4632" t="inlineStr">
        <is>
          <t>KAI2668609.1 Transposon Tf2-6 polyprotein [Labeo rohita]</t>
        </is>
      </c>
      <c r="M4632" t="n">
        <v>1603</v>
      </c>
      <c r="N4632" t="inlineStr">
        <is>
          <t>Labeo rohita</t>
        </is>
      </c>
      <c r="O4632" t="inlineStr">
        <is>
          <t>Transposon Tf2-6 polyprotein</t>
        </is>
      </c>
    </row>
    <row r="4633">
      <c r="A4633" t="inlineStr"/>
      <c r="B4633" t="inlineStr"/>
      <c r="C4633" t="inlineStr"/>
      <c r="D4633" t="inlineStr"/>
      <c r="E4633">
        <f>HYPERLINK("https://www.ncbi.nlm.nih.gov/gene/?term=KAI2656914.1", "KAI2656914.1")</f>
        <v/>
      </c>
      <c r="F4633" t="n">
        <v>32.5</v>
      </c>
      <c r="G4633" t="n">
        <v>154</v>
      </c>
      <c r="H4633" t="n">
        <v>7.31e-23</v>
      </c>
      <c r="I4633" t="inlineStr">
        <is>
          <t>Nr</t>
        </is>
      </c>
      <c r="J4633" t="inlineStr"/>
      <c r="K4633" t="inlineStr"/>
      <c r="L4633" t="inlineStr">
        <is>
          <t>KAI2656914.1 Transposon Tf2-6 polyprotein [Labeo rohita]</t>
        </is>
      </c>
      <c r="M4633" t="n">
        <v>1665</v>
      </c>
      <c r="N4633" t="inlineStr">
        <is>
          <t>Labeo rohita</t>
        </is>
      </c>
      <c r="O4633" t="inlineStr">
        <is>
          <t>Transposon Tf2-6 polyprotein</t>
        </is>
      </c>
    </row>
    <row r="4634">
      <c r="A4634" t="inlineStr"/>
      <c r="B4634" t="inlineStr"/>
      <c r="C4634" t="inlineStr"/>
      <c r="D4634" t="inlineStr"/>
      <c r="E4634">
        <f>HYPERLINK("https://www.ncbi.nlm.nih.gov/gene/?term=KAI2658101.1", "KAI2658101.1")</f>
        <v/>
      </c>
      <c r="F4634" t="n">
        <v>32.5</v>
      </c>
      <c r="G4634" t="n">
        <v>154</v>
      </c>
      <c r="H4634" t="n">
        <v>7.31e-23</v>
      </c>
      <c r="I4634" t="inlineStr">
        <is>
          <t>Nr</t>
        </is>
      </c>
      <c r="J4634" t="inlineStr"/>
      <c r="K4634" t="inlineStr"/>
      <c r="L4634" t="inlineStr">
        <is>
          <t>KAI2658101.1 Transposon Tf2-6 polyprotein [Labeo rohita]</t>
        </is>
      </c>
      <c r="M4634" t="n">
        <v>1679</v>
      </c>
      <c r="N4634" t="inlineStr">
        <is>
          <t>Labeo rohita</t>
        </is>
      </c>
      <c r="O4634" t="inlineStr">
        <is>
          <t>Transposon Tf2-6 polyprotein</t>
        </is>
      </c>
    </row>
    <row r="4635">
      <c r="A4635" t="inlineStr"/>
      <c r="B4635" t="inlineStr"/>
      <c r="C4635" t="inlineStr"/>
      <c r="D4635" t="inlineStr"/>
      <c r="E4635">
        <f>HYPERLINK("https://www.ncbi.nlm.nih.gov/gene/?term=KAI2650819.1", "KAI2650819.1")</f>
        <v/>
      </c>
      <c r="F4635" t="n">
        <v>32.5</v>
      </c>
      <c r="G4635" t="n">
        <v>154</v>
      </c>
      <c r="H4635" t="n">
        <v>7.359999999999999e-23</v>
      </c>
      <c r="I4635" t="inlineStr">
        <is>
          <t>Nr</t>
        </is>
      </c>
      <c r="J4635" t="inlineStr"/>
      <c r="K4635" t="inlineStr"/>
      <c r="L4635" t="inlineStr">
        <is>
          <t>KAI2650819.1 Transposon Tf2-6 polyprotein [Labeo rohita]</t>
        </is>
      </c>
      <c r="M4635" t="n">
        <v>1865</v>
      </c>
      <c r="N4635" t="inlineStr">
        <is>
          <t>Labeo rohita</t>
        </is>
      </c>
      <c r="O4635" t="inlineStr">
        <is>
          <t>Transposon Tf2-6 polyprotein</t>
        </is>
      </c>
    </row>
    <row r="4636">
      <c r="A4636" t="inlineStr"/>
      <c r="B4636" t="inlineStr"/>
      <c r="C4636" t="inlineStr"/>
      <c r="D4636" t="inlineStr"/>
      <c r="E4636">
        <f>HYPERLINK("https://www.ncbi.nlm.nih.gov/gene/?term=KAI2645331.1", "KAI2645331.1")</f>
        <v/>
      </c>
      <c r="F4636" t="n">
        <v>32.5</v>
      </c>
      <c r="G4636" t="n">
        <v>154</v>
      </c>
      <c r="H4636" t="n">
        <v>9.8e-23</v>
      </c>
      <c r="I4636" t="inlineStr">
        <is>
          <t>Nr</t>
        </is>
      </c>
      <c r="J4636" t="inlineStr"/>
      <c r="K4636" t="inlineStr"/>
      <c r="L4636" t="inlineStr">
        <is>
          <t>KAI2645331.1 Transposon Tf2-6 polyprotein [Labeo rohita]</t>
        </is>
      </c>
      <c r="M4636" t="n">
        <v>1326</v>
      </c>
      <c r="N4636" t="inlineStr">
        <is>
          <t>Labeo rohita</t>
        </is>
      </c>
      <c r="O4636" t="inlineStr">
        <is>
          <t>Transposon Tf2-6 polyprotein</t>
        </is>
      </c>
    </row>
    <row r="4637">
      <c r="A4637" t="inlineStr"/>
      <c r="B4637" t="inlineStr"/>
      <c r="C4637" t="inlineStr"/>
      <c r="D4637" t="inlineStr"/>
      <c r="E4637">
        <f>HYPERLINK("https://www.ncbi.nlm.nih.gov/gene/?term=XP_040210218.1", "XP_040210218.1")</f>
        <v/>
      </c>
      <c r="F4637" t="n">
        <v>31.3</v>
      </c>
      <c r="G4637" t="n">
        <v>166</v>
      </c>
      <c r="H4637" t="n">
        <v>1.84e-22</v>
      </c>
      <c r="I4637" t="inlineStr">
        <is>
          <t>Nr</t>
        </is>
      </c>
      <c r="J4637" t="inlineStr"/>
      <c r="K4637" t="inlineStr"/>
      <c r="L4637" t="inlineStr">
        <is>
          <t>XP_040210218.1 retrotransposon-derived protein PEG10 [Rana temporaria]</t>
        </is>
      </c>
      <c r="M4637" t="n">
        <v>1481</v>
      </c>
      <c r="N4637" t="inlineStr">
        <is>
          <t>Rana temporaria</t>
        </is>
      </c>
      <c r="O4637" t="inlineStr">
        <is>
          <t>retrotransposon-derived protein PEG10</t>
        </is>
      </c>
    </row>
    <row r="4638">
      <c r="A4638" t="inlineStr"/>
      <c r="B4638" t="inlineStr"/>
      <c r="C4638" t="inlineStr"/>
      <c r="D4638" t="inlineStr"/>
      <c r="E4638">
        <f>HYPERLINK("https://www.uniprot.org/uniprotkb/Q86TG7/entry", "Q86TG7")</f>
        <v/>
      </c>
      <c r="F4638" t="n">
        <v>40</v>
      </c>
      <c r="G4638" t="n">
        <v>110</v>
      </c>
      <c r="H4638" t="n">
        <v>3.83e-22</v>
      </c>
      <c r="I4638" t="inlineStr">
        <is>
          <t>Swiss-Prot</t>
        </is>
      </c>
      <c r="J4638" t="inlineStr">
        <is>
          <t>PEG10</t>
        </is>
      </c>
      <c r="K4638" t="inlineStr">
        <is>
          <t>PEG10_HUMAN</t>
        </is>
      </c>
      <c r="L4638" t="inlineStr">
        <is>
          <t>sp|Q86TG7|PEG10_HUMAN Retrotransposon-derived protein PEG10 OS=Homo sapiens OX=9606 GN=PEG10 PE=1 SV=2</t>
        </is>
      </c>
      <c r="M4638" t="n">
        <v>708</v>
      </c>
      <c r="N4638" t="inlineStr">
        <is>
          <t>Homo sapiens</t>
        </is>
      </c>
      <c r="O4638" t="inlineStr">
        <is>
          <t>Retrotransposon-derived protein PEG10</t>
        </is>
      </c>
    </row>
    <row r="4639">
      <c r="A4639" t="inlineStr"/>
      <c r="B4639" t="inlineStr"/>
      <c r="C4639" t="inlineStr"/>
      <c r="D4639" t="inlineStr"/>
      <c r="E4639">
        <f>HYPERLINK("https://www.uniprot.org/uniprotkb/P10394/entry", "P10394")</f>
        <v/>
      </c>
      <c r="F4639" t="n">
        <v>23.5</v>
      </c>
      <c r="G4639" t="n">
        <v>618</v>
      </c>
      <c r="H4639" t="n">
        <v>5.17e-22</v>
      </c>
      <c r="I4639" t="inlineStr">
        <is>
          <t>Swiss-Prot</t>
        </is>
      </c>
      <c r="J4639" t="inlineStr">
        <is>
          <t>POL</t>
        </is>
      </c>
      <c r="K4639" t="inlineStr">
        <is>
          <t>POL4_DROME</t>
        </is>
      </c>
      <c r="L4639" t="inlineStr">
        <is>
          <t>sp|P10394|POL4_DROME Retrovirus-related Pol polyprotein from transposon 412 OS=Drosophila melanogaster OX=7227 GN=POL PE=4 SV=1</t>
        </is>
      </c>
      <c r="M4639" t="n">
        <v>1237</v>
      </c>
      <c r="N4639" t="inlineStr">
        <is>
          <t>Drosophila melanogaster</t>
        </is>
      </c>
      <c r="O4639" t="inlineStr">
        <is>
          <t>Retrovirus-related Pol polyprotein from transposon 412</t>
        </is>
      </c>
    </row>
    <row r="4640">
      <c r="A4640" t="inlineStr"/>
      <c r="B4640" t="inlineStr"/>
      <c r="C4640" t="inlineStr"/>
      <c r="D4640" t="inlineStr"/>
      <c r="E4640">
        <f>HYPERLINK("https://www.uniprot.org/uniprotkb/P14350/entry", "P14350")</f>
        <v/>
      </c>
      <c r="F4640" t="n">
        <v>28.8</v>
      </c>
      <c r="G4640" t="n">
        <v>229</v>
      </c>
      <c r="H4640" t="n">
        <v>8.660000000000001e-22</v>
      </c>
      <c r="I4640" t="inlineStr">
        <is>
          <t>Swiss-Prot</t>
        </is>
      </c>
      <c r="J4640" t="inlineStr">
        <is>
          <t>pol</t>
        </is>
      </c>
      <c r="K4640" t="inlineStr">
        <is>
          <t>POL_FOAMV</t>
        </is>
      </c>
      <c r="L4640" t="inlineStr">
        <is>
          <t>sp|P14350|POL_FOAMV Pro-Pol polyprotein OS=Human spumaretrovirus OX=11963 GN=pol PE=1 SV=2</t>
        </is>
      </c>
      <c r="M4640" t="n">
        <v>1143</v>
      </c>
      <c r="N4640" t="inlineStr">
        <is>
          <t>Human spumaretrovirus</t>
        </is>
      </c>
      <c r="O4640" t="inlineStr">
        <is>
          <t>Pro-Pol polyprotein</t>
        </is>
      </c>
    </row>
    <row r="4641">
      <c r="A4641" t="inlineStr"/>
      <c r="B4641" t="inlineStr"/>
      <c r="C4641" t="inlineStr"/>
      <c r="D4641" t="inlineStr"/>
      <c r="E4641">
        <f>HYPERLINK("https://www.uniprot.org/uniprotkb/Q7TN75/entry", "Q7TN75")</f>
        <v/>
      </c>
      <c r="F4641" t="n">
        <v>44.8</v>
      </c>
      <c r="G4641" t="n">
        <v>105</v>
      </c>
      <c r="H4641" t="n">
        <v>1.01e-21</v>
      </c>
      <c r="I4641" t="inlineStr">
        <is>
          <t>Swiss-Prot</t>
        </is>
      </c>
      <c r="J4641" t="inlineStr">
        <is>
          <t>Peg10</t>
        </is>
      </c>
      <c r="K4641" t="inlineStr">
        <is>
          <t>PEG10_MOUSE</t>
        </is>
      </c>
      <c r="L4641" t="inlineStr">
        <is>
          <t>sp|Q7TN75|PEG10_MOUSE Retrotransposon-derived protein PEG10 OS=Mus musculus OX=10090 GN=Peg10 PE=1 SV=2</t>
        </is>
      </c>
      <c r="M4641" t="n">
        <v>958</v>
      </c>
      <c r="N4641" t="inlineStr">
        <is>
          <t>Mus musculus</t>
        </is>
      </c>
      <c r="O4641" t="inlineStr">
        <is>
          <t>Retrotransposon-derived protein PEG10</t>
        </is>
      </c>
    </row>
    <row r="4642">
      <c r="A4642" t="inlineStr"/>
      <c r="B4642" t="inlineStr"/>
      <c r="C4642" t="inlineStr"/>
      <c r="D4642" t="inlineStr"/>
      <c r="E4642">
        <f>HYPERLINK("https://www.ncbi.nlm.nih.gov/gene/?term=XP_041437205.1", "XP_041437205.1")</f>
        <v/>
      </c>
      <c r="F4642" t="n">
        <v>41.8</v>
      </c>
      <c r="G4642" t="n">
        <v>146</v>
      </c>
      <c r="H4642" t="n">
        <v>1.02e-21</v>
      </c>
      <c r="I4642" t="inlineStr">
        <is>
          <t>Nr</t>
        </is>
      </c>
      <c r="J4642" t="inlineStr"/>
      <c r="K4642" t="inlineStr"/>
      <c r="L4642" t="inlineStr">
        <is>
          <t>XP_041437205.1 uncharacterized protein LOC121399720 [Xenopus laevis]</t>
        </is>
      </c>
      <c r="M4642" t="n">
        <v>647</v>
      </c>
      <c r="N4642" t="inlineStr">
        <is>
          <t>Xenopus laevis</t>
        </is>
      </c>
      <c r="O4642" t="inlineStr">
        <is>
          <t>uncharacterized protein LOC121399720</t>
        </is>
      </c>
    </row>
    <row r="4643">
      <c r="A4643" t="inlineStr"/>
      <c r="B4643" t="inlineStr"/>
      <c r="C4643" t="inlineStr"/>
      <c r="D4643" t="inlineStr"/>
      <c r="E4643">
        <f>HYPERLINK("https://www.ncbi.nlm.nih.gov/gene/?term=XP_040202660.1", "XP_040202660.1")</f>
        <v/>
      </c>
      <c r="F4643" t="n">
        <v>32.3</v>
      </c>
      <c r="G4643" t="n">
        <v>167</v>
      </c>
      <c r="H4643" t="n">
        <v>1.19e-21</v>
      </c>
      <c r="I4643" t="inlineStr">
        <is>
          <t>Nr</t>
        </is>
      </c>
      <c r="J4643" t="inlineStr"/>
      <c r="K4643" t="inlineStr"/>
      <c r="L4643" t="inlineStr">
        <is>
          <t>XP_040202660.1 E3 ubiquitin-protein ligase TRIM23 [Rana temporaria]</t>
        </is>
      </c>
      <c r="M4643" t="n">
        <v>1775</v>
      </c>
      <c r="N4643" t="inlineStr">
        <is>
          <t>Rana temporaria</t>
        </is>
      </c>
      <c r="O4643" t="inlineStr">
        <is>
          <t>E3 ubiquitin-protein ligase TRIM23</t>
        </is>
      </c>
    </row>
    <row r="4644">
      <c r="A4644" t="inlineStr"/>
      <c r="B4644" t="inlineStr"/>
      <c r="C4644" t="inlineStr"/>
      <c r="D4644" t="inlineStr"/>
      <c r="E4644">
        <f>HYPERLINK("https://www.ncbi.nlm.nih.gov/gene/?term=KAG1576854.1", "KAG1576854.1")</f>
        <v/>
      </c>
      <c r="F4644" t="n">
        <v>35</v>
      </c>
      <c r="G4644" t="n">
        <v>160</v>
      </c>
      <c r="H4644" t="n">
        <v>2.64e-21</v>
      </c>
      <c r="I4644" t="inlineStr">
        <is>
          <t>Nr</t>
        </is>
      </c>
      <c r="J4644" t="inlineStr"/>
      <c r="K4644" t="inlineStr"/>
      <c r="L4644" t="inlineStr">
        <is>
          <t>KAG1576854.1 hypothetical protein G6F48_013021 [Rhizopus delemar]</t>
        </is>
      </c>
      <c r="M4644" t="n">
        <v>258</v>
      </c>
      <c r="N4644" t="inlineStr">
        <is>
          <t>Rhizopus delemar</t>
        </is>
      </c>
      <c r="O4644" t="inlineStr">
        <is>
          <t>hypothetical protein G6F48_013021</t>
        </is>
      </c>
    </row>
    <row r="4645">
      <c r="A4645" t="inlineStr"/>
      <c r="B4645" t="inlineStr"/>
      <c r="C4645" t="inlineStr"/>
      <c r="D4645" t="inlineStr"/>
      <c r="E4645">
        <f>HYPERLINK("https://www.ncbi.nlm.nih.gov/gene/?term=KAG1536207.1", "KAG1536207.1")</f>
        <v/>
      </c>
      <c r="F4645" t="n">
        <v>35</v>
      </c>
      <c r="G4645" t="n">
        <v>160</v>
      </c>
      <c r="H4645" t="n">
        <v>2.64e-21</v>
      </c>
      <c r="I4645" t="inlineStr">
        <is>
          <t>Nr</t>
        </is>
      </c>
      <c r="J4645" t="inlineStr"/>
      <c r="K4645" t="inlineStr"/>
      <c r="L4645" t="inlineStr">
        <is>
          <t>KAG1536207.1 hypothetical protein G6F49_013029 [Rhizopus delemar]</t>
        </is>
      </c>
      <c r="M4645" t="n">
        <v>258</v>
      </c>
      <c r="N4645" t="inlineStr">
        <is>
          <t>Rhizopus delemar</t>
        </is>
      </c>
      <c r="O4645" t="inlineStr">
        <is>
          <t>hypothetical protein G6F49_013029</t>
        </is>
      </c>
    </row>
    <row r="4646">
      <c r="A4646" t="inlineStr"/>
      <c r="B4646" t="inlineStr"/>
      <c r="C4646" t="inlineStr"/>
      <c r="D4646" t="inlineStr"/>
      <c r="E4646">
        <f>HYPERLINK("https://www.uniprot.org/uniprotkb/A6NKG5/entry", "A6NKG5")</f>
        <v/>
      </c>
      <c r="F4646" t="n">
        <v>38.7</v>
      </c>
      <c r="G4646" t="n">
        <v>111</v>
      </c>
      <c r="H4646" t="n">
        <v>2.64e-21</v>
      </c>
      <c r="I4646" t="inlineStr">
        <is>
          <t>Swiss-Prot</t>
        </is>
      </c>
      <c r="J4646" t="inlineStr">
        <is>
          <t>RTL1</t>
        </is>
      </c>
      <c r="K4646" t="inlineStr">
        <is>
          <t>RTL1_HUMAN</t>
        </is>
      </c>
      <c r="L4646" t="inlineStr">
        <is>
          <t>sp|A6NKG5|RTL1_HUMAN Retrotransposon-like protein 1 OS=Homo sapiens OX=9606 GN=RTL1 PE=3 SV=3</t>
        </is>
      </c>
      <c r="M4646" t="n">
        <v>1358</v>
      </c>
      <c r="N4646" t="inlineStr">
        <is>
          <t>Homo sapiens</t>
        </is>
      </c>
      <c r="O4646" t="inlineStr">
        <is>
          <t>Retrotransposon-like protein 1</t>
        </is>
      </c>
    </row>
    <row r="4647">
      <c r="A4647" t="inlineStr"/>
      <c r="B4647" t="inlineStr"/>
      <c r="C4647" t="inlineStr"/>
      <c r="D4647" t="inlineStr"/>
      <c r="E4647">
        <f>HYPERLINK("https://www.uniprot.org/uniprotkb/Q7M732/entry", "Q7M732")</f>
        <v/>
      </c>
      <c r="F4647" t="n">
        <v>36.6</v>
      </c>
      <c r="G4647" t="n">
        <v>123</v>
      </c>
      <c r="H4647" t="n">
        <v>2.68e-21</v>
      </c>
      <c r="I4647" t="inlineStr">
        <is>
          <t>Swiss-Prot</t>
        </is>
      </c>
      <c r="J4647" t="inlineStr">
        <is>
          <t>Rtl1</t>
        </is>
      </c>
      <c r="K4647" t="inlineStr">
        <is>
          <t>RTL1_MOUSE</t>
        </is>
      </c>
      <c r="L4647" t="inlineStr">
        <is>
          <t>sp|Q7M732|RTL1_MOUSE Retrotransposon-like protein 1 OS=Mus musculus OX=10090 GN=Rtl1 PE=2 SV=1</t>
        </is>
      </c>
      <c r="M4647" t="n">
        <v>1744</v>
      </c>
      <c r="N4647" t="inlineStr">
        <is>
          <t>Mus musculus</t>
        </is>
      </c>
      <c r="O4647" t="inlineStr">
        <is>
          <t>Retrotransposon-like protein 1</t>
        </is>
      </c>
    </row>
    <row r="4648">
      <c r="A4648" t="inlineStr"/>
      <c r="B4648" t="inlineStr"/>
      <c r="C4648" t="inlineStr"/>
      <c r="D4648" t="inlineStr"/>
      <c r="E4648">
        <f>HYPERLINK("https://www.ncbi.nlm.nih.gov/gene/?term=KAB0345466.1", "KAB0345466.1")</f>
        <v/>
      </c>
      <c r="F4648" t="n">
        <v>34.9</v>
      </c>
      <c r="G4648" t="n">
        <v>166</v>
      </c>
      <c r="H4648" t="n">
        <v>2.78e-21</v>
      </c>
      <c r="I4648" t="inlineStr">
        <is>
          <t>Nr</t>
        </is>
      </c>
      <c r="J4648" t="inlineStr"/>
      <c r="K4648" t="inlineStr"/>
      <c r="L4648" t="inlineStr">
        <is>
          <t>KAB0345466.1 hypothetical protein FD754_022392 [Muntiacus muntjak]</t>
        </is>
      </c>
      <c r="M4648" t="n">
        <v>778</v>
      </c>
      <c r="N4648" t="inlineStr">
        <is>
          <t>Muntiacus muntjak</t>
        </is>
      </c>
      <c r="O4648" t="inlineStr">
        <is>
          <t>hypothetical protein FD754_022392</t>
        </is>
      </c>
    </row>
    <row r="4649">
      <c r="A4649" t="inlineStr"/>
      <c r="B4649" t="inlineStr"/>
      <c r="C4649" t="inlineStr"/>
      <c r="D4649" t="inlineStr"/>
      <c r="E4649">
        <f>HYPERLINK("https://www.ncbi.nlm.nih.gov/gene/?term=KAI2644234.1", "KAI2644234.1")</f>
        <v/>
      </c>
      <c r="F4649" t="n">
        <v>31.8</v>
      </c>
      <c r="G4649" t="n">
        <v>154</v>
      </c>
      <c r="H4649" t="n">
        <v>5.57e-21</v>
      </c>
      <c r="I4649" t="inlineStr">
        <is>
          <t>Nr</t>
        </is>
      </c>
      <c r="J4649" t="inlineStr"/>
      <c r="K4649" t="inlineStr"/>
      <c r="L4649" t="inlineStr">
        <is>
          <t>KAI2644234.1 Transposon Tf2-6 polyprotein [Labeo rohita]</t>
        </is>
      </c>
      <c r="M4649" t="n">
        <v>1705</v>
      </c>
      <c r="N4649" t="inlineStr">
        <is>
          <t>Labeo rohita</t>
        </is>
      </c>
      <c r="O4649" t="inlineStr">
        <is>
          <t>Transposon Tf2-6 polyprotein</t>
        </is>
      </c>
    </row>
    <row r="4650">
      <c r="A4650" t="inlineStr"/>
      <c r="B4650" t="inlineStr"/>
      <c r="C4650" t="inlineStr"/>
      <c r="D4650" t="inlineStr"/>
      <c r="E4650">
        <f>HYPERLINK("https://www.ncbi.nlm.nih.gov/gene/?term=OCT57199.1", "OCT57199.1")</f>
        <v/>
      </c>
      <c r="F4650" t="n">
        <v>36.8</v>
      </c>
      <c r="G4650" t="n">
        <v>144</v>
      </c>
      <c r="H4650" t="n">
        <v>5.790000000000001e-21</v>
      </c>
      <c r="I4650" t="inlineStr">
        <is>
          <t>Nr</t>
        </is>
      </c>
      <c r="J4650" t="inlineStr"/>
      <c r="K4650" t="inlineStr"/>
      <c r="L4650" t="inlineStr">
        <is>
          <t>OCT57199.1 hypothetical protein XELAEV_18003842mg [Xenopus laevis]</t>
        </is>
      </c>
      <c r="M4650" t="n">
        <v>305</v>
      </c>
      <c r="N4650" t="inlineStr">
        <is>
          <t>Xenopus laevis</t>
        </is>
      </c>
      <c r="O4650" t="inlineStr">
        <is>
          <t>hypothetical protein XELAEV_18003842mg</t>
        </is>
      </c>
    </row>
    <row r="4651">
      <c r="A4651" t="inlineStr"/>
      <c r="B4651" t="inlineStr"/>
      <c r="C4651" t="inlineStr"/>
      <c r="D4651" t="inlineStr"/>
      <c r="E4651">
        <f>HYPERLINK("https://www.ncbi.nlm.nih.gov/gene/?term=XP_036986197.1", "XP_036986197.1")</f>
        <v/>
      </c>
      <c r="F4651" t="n">
        <v>40.5</v>
      </c>
      <c r="G4651" t="n">
        <v>111</v>
      </c>
      <c r="H4651" t="n">
        <v>1.38e-20</v>
      </c>
      <c r="I4651" t="inlineStr">
        <is>
          <t>Nr</t>
        </is>
      </c>
      <c r="J4651" t="inlineStr"/>
      <c r="K4651" t="inlineStr"/>
      <c r="L4651" t="inlineStr">
        <is>
          <t>XP_036986197.1 retrotransposon-like protein 1 [Artibeus jamaicensis]</t>
        </is>
      </c>
      <c r="M4651" t="n">
        <v>1326</v>
      </c>
      <c r="N4651" t="inlineStr">
        <is>
          <t>Artibeus jamaicensis</t>
        </is>
      </c>
      <c r="O4651" t="inlineStr">
        <is>
          <t>retrotransposon-like protein 1</t>
        </is>
      </c>
    </row>
    <row r="4652">
      <c r="A4652" t="inlineStr"/>
      <c r="B4652" t="inlineStr"/>
      <c r="C4652" t="inlineStr"/>
      <c r="D4652" t="inlineStr"/>
      <c r="E4652">
        <f>HYPERLINK("https://www.ncbi.nlm.nih.gov/gene/?term=XP_012612625.1", "XP_012612625.1")</f>
        <v/>
      </c>
      <c r="F4652" t="n">
        <v>33.5</v>
      </c>
      <c r="G4652" t="n">
        <v>176</v>
      </c>
      <c r="H4652" t="n">
        <v>1.79e-20</v>
      </c>
      <c r="I4652" t="inlineStr">
        <is>
          <t>Nr</t>
        </is>
      </c>
      <c r="J4652" t="inlineStr"/>
      <c r="K4652" t="inlineStr"/>
      <c r="L4652" t="inlineStr">
        <is>
          <t>XP_012612625.1 LOW QUALITY PROTEIN: retrotransposon-derived protein PEG10 [Microcebus murinus]</t>
        </is>
      </c>
      <c r="M4652" t="n">
        <v>797</v>
      </c>
      <c r="N4652" t="inlineStr">
        <is>
          <t>Microcebus murinus</t>
        </is>
      </c>
      <c r="O4652" t="inlineStr">
        <is>
          <t>LOW QUALITY PROTEIN: retrotransposon-derived protein PEG10</t>
        </is>
      </c>
    </row>
    <row r="4653">
      <c r="A4653" t="inlineStr"/>
      <c r="B4653" t="inlineStr"/>
      <c r="C4653" t="inlineStr"/>
      <c r="D4653" t="inlineStr"/>
      <c r="E4653">
        <f>HYPERLINK("https://www.ncbi.nlm.nih.gov/gene/?term=XP_040334177.1", "XP_040334177.1")</f>
        <v/>
      </c>
      <c r="F4653" t="n">
        <v>39.6</v>
      </c>
      <c r="G4653" t="n">
        <v>111</v>
      </c>
      <c r="H4653" t="n">
        <v>1.89e-20</v>
      </c>
      <c r="I4653" t="inlineStr">
        <is>
          <t>Nr</t>
        </is>
      </c>
      <c r="J4653" t="inlineStr"/>
      <c r="K4653" t="inlineStr"/>
      <c r="L4653" t="inlineStr">
        <is>
          <t>XP_040334177.1 retrotransposon-like protein 1 [Puma yagouaroundi]</t>
        </is>
      </c>
      <c r="M4653" t="n">
        <v>1329</v>
      </c>
      <c r="N4653" t="inlineStr">
        <is>
          <t>Puma yagouaroundi</t>
        </is>
      </c>
      <c r="O4653" t="inlineStr">
        <is>
          <t>retrotransposon-like protein 1</t>
        </is>
      </c>
    </row>
    <row r="4654">
      <c r="A4654" t="inlineStr"/>
      <c r="B4654" t="inlineStr"/>
      <c r="C4654" t="inlineStr"/>
      <c r="D4654" t="inlineStr"/>
      <c r="E4654">
        <f>HYPERLINK("https://www.ncbi.nlm.nih.gov/gene/?term=XP_026922439.1", "XP_026922439.1")</f>
        <v/>
      </c>
      <c r="F4654" t="n">
        <v>39.6</v>
      </c>
      <c r="G4654" t="n">
        <v>111</v>
      </c>
      <c r="H4654" t="n">
        <v>1.89e-20</v>
      </c>
      <c r="I4654" t="inlineStr">
        <is>
          <t>Nr</t>
        </is>
      </c>
      <c r="J4654" t="inlineStr"/>
      <c r="K4654" t="inlineStr"/>
      <c r="L4654" t="inlineStr">
        <is>
          <t>XP_026922439.1 retrotransposon-like protein 1 [Acinonyx jubatus]</t>
        </is>
      </c>
      <c r="M4654" t="n">
        <v>1330</v>
      </c>
      <c r="N4654" t="inlineStr">
        <is>
          <t>Acinonyx jubatus</t>
        </is>
      </c>
      <c r="O4654" t="inlineStr">
        <is>
          <t>retrotransposon-like protein 1</t>
        </is>
      </c>
    </row>
    <row r="4655">
      <c r="A4655" t="inlineStr"/>
      <c r="B4655" t="inlineStr"/>
      <c r="C4655" t="inlineStr"/>
      <c r="D4655" t="inlineStr"/>
      <c r="E4655">
        <f>HYPERLINK("https://www.ncbi.nlm.nih.gov/gene/?term=XP_045308076.1", "XP_045308076.1")</f>
        <v/>
      </c>
      <c r="F4655" t="n">
        <v>39.6</v>
      </c>
      <c r="G4655" t="n">
        <v>111</v>
      </c>
      <c r="H4655" t="n">
        <v>1.89e-20</v>
      </c>
      <c r="I4655" t="inlineStr">
        <is>
          <t>Nr</t>
        </is>
      </c>
      <c r="J4655" t="inlineStr"/>
      <c r="K4655" t="inlineStr"/>
      <c r="L4655" t="inlineStr">
        <is>
          <t>XP_045308076.1 retrotransposon-like protein 1 [Leopardus geoffroyi]</t>
        </is>
      </c>
      <c r="M4655" t="n">
        <v>1332</v>
      </c>
      <c r="N4655" t="inlineStr">
        <is>
          <t>Leopardus geoffroyi</t>
        </is>
      </c>
      <c r="O4655" t="inlineStr">
        <is>
          <t>retrotransposon-like protein 1</t>
        </is>
      </c>
    </row>
    <row r="4656">
      <c r="A4656" t="inlineStr"/>
      <c r="B4656" t="inlineStr"/>
      <c r="C4656" t="inlineStr"/>
      <c r="D4656" t="inlineStr"/>
      <c r="E4656">
        <f>HYPERLINK("https://www.ncbi.nlm.nih.gov/gene/?term=XP_007095332.2", "XP_007095332.2")</f>
        <v/>
      </c>
      <c r="F4656" t="n">
        <v>39.6</v>
      </c>
      <c r="G4656" t="n">
        <v>111</v>
      </c>
      <c r="H4656" t="n">
        <v>1.89e-20</v>
      </c>
      <c r="I4656" t="inlineStr">
        <is>
          <t>Nr</t>
        </is>
      </c>
      <c r="J4656" t="inlineStr"/>
      <c r="K4656" t="inlineStr"/>
      <c r="L4656" t="inlineStr">
        <is>
          <t>XP_007095332.2 retrotransposon-like protein 1 [Panthera tigris]</t>
        </is>
      </c>
      <c r="M4656" t="n">
        <v>1332</v>
      </c>
      <c r="N4656" t="inlineStr">
        <is>
          <t>Panthera tigris</t>
        </is>
      </c>
      <c r="O4656" t="inlineStr">
        <is>
          <t>retrotransposon-like protein 1</t>
        </is>
      </c>
    </row>
    <row r="4657">
      <c r="A4657" t="inlineStr"/>
      <c r="B4657" t="inlineStr"/>
      <c r="C4657" t="inlineStr"/>
      <c r="D4657" t="inlineStr"/>
      <c r="E4657">
        <f>HYPERLINK("https://www.ncbi.nlm.nih.gov/gene/?term=XP_049467932.1", "XP_049467932.1")</f>
        <v/>
      </c>
      <c r="F4657" t="n">
        <v>39.6</v>
      </c>
      <c r="G4657" t="n">
        <v>111</v>
      </c>
      <c r="H4657" t="n">
        <v>1.89e-20</v>
      </c>
      <c r="I4657" t="inlineStr">
        <is>
          <t>Nr</t>
        </is>
      </c>
      <c r="J4657" t="inlineStr"/>
      <c r="K4657" t="inlineStr"/>
      <c r="L4657" t="inlineStr">
        <is>
          <t>XP_049467932.1 LOW QUALITY PROTEIN: retrotransposon-like protein 1 [Panthera uncia]</t>
        </is>
      </c>
      <c r="M4657" t="n">
        <v>1332</v>
      </c>
      <c r="N4657" t="inlineStr">
        <is>
          <t>Panthera uncia</t>
        </is>
      </c>
      <c r="O4657" t="inlineStr">
        <is>
          <t>LOW QUALITY PROTEIN: retrotransposon-like protein 1</t>
        </is>
      </c>
    </row>
    <row r="4658">
      <c r="A4658" t="inlineStr"/>
      <c r="B4658" t="inlineStr"/>
      <c r="C4658" t="inlineStr"/>
      <c r="D4658" t="inlineStr"/>
      <c r="E4658">
        <f>HYPERLINK("https://www.ncbi.nlm.nih.gov/gene/?term=XP_023111810.2", "XP_023111810.2")</f>
        <v/>
      </c>
      <c r="F4658" t="n">
        <v>39.6</v>
      </c>
      <c r="G4658" t="n">
        <v>111</v>
      </c>
      <c r="H4658" t="n">
        <v>1.89e-20</v>
      </c>
      <c r="I4658" t="inlineStr">
        <is>
          <t>Nr</t>
        </is>
      </c>
      <c r="J4658" t="inlineStr"/>
      <c r="K4658" t="inlineStr"/>
      <c r="L4658" t="inlineStr">
        <is>
          <t>XP_023111810.2 retrotransposon-like protein 1 [Felis catus]</t>
        </is>
      </c>
      <c r="M4658" t="n">
        <v>1333</v>
      </c>
      <c r="N4658" t="inlineStr">
        <is>
          <t>Felis catus</t>
        </is>
      </c>
      <c r="O4658" t="inlineStr">
        <is>
          <t>retrotransposon-like protein 1</t>
        </is>
      </c>
    </row>
    <row r="4659">
      <c r="A4659" t="inlineStr"/>
      <c r="B4659" t="inlineStr"/>
      <c r="C4659" t="inlineStr"/>
      <c r="D4659" t="inlineStr"/>
      <c r="E4659">
        <f>HYPERLINK("https://www.ncbi.nlm.nih.gov/gene/?term=XP_043412973.1", "XP_043412973.1")</f>
        <v/>
      </c>
      <c r="F4659" t="n">
        <v>39.6</v>
      </c>
      <c r="G4659" t="n">
        <v>111</v>
      </c>
      <c r="H4659" t="n">
        <v>1.89e-20</v>
      </c>
      <c r="I4659" t="inlineStr">
        <is>
          <t>Nr</t>
        </is>
      </c>
      <c r="J4659" t="inlineStr"/>
      <c r="K4659" t="inlineStr"/>
      <c r="L4659" t="inlineStr">
        <is>
          <t>XP_043412973.1 retrotransposon-like protein 1 [Prionailurus bengalensis]</t>
        </is>
      </c>
      <c r="M4659" t="n">
        <v>1333</v>
      </c>
      <c r="N4659" t="inlineStr">
        <is>
          <t>Prionailurus bengalensis</t>
        </is>
      </c>
      <c r="O4659" t="inlineStr">
        <is>
          <t>retrotransposon-like protein 1</t>
        </is>
      </c>
    </row>
    <row r="4660">
      <c r="A4660" t="inlineStr"/>
      <c r="B4660" t="inlineStr"/>
      <c r="C4660" t="inlineStr"/>
      <c r="D4660" t="inlineStr"/>
      <c r="E4660">
        <f>HYPERLINK("https://www.ncbi.nlm.nih.gov/gene/?term=VFV25257.1", "VFV25257.1")</f>
        <v/>
      </c>
      <c r="F4660" t="n">
        <v>39.6</v>
      </c>
      <c r="G4660" t="n">
        <v>111</v>
      </c>
      <c r="H4660" t="n">
        <v>1.89e-20</v>
      </c>
      <c r="I4660" t="inlineStr">
        <is>
          <t>Nr</t>
        </is>
      </c>
      <c r="J4660" t="inlineStr"/>
      <c r="K4660" t="inlineStr"/>
      <c r="L4660" t="inlineStr">
        <is>
          <t>VFV25257.1 retrotransposon-like protein 1-like [Lynx pardinus]</t>
        </is>
      </c>
      <c r="M4660" t="n">
        <v>1333</v>
      </c>
      <c r="N4660" t="inlineStr">
        <is>
          <t>Lynx pardinus</t>
        </is>
      </c>
      <c r="O4660" t="inlineStr">
        <is>
          <t>retrotransposon-like protein 1-like</t>
        </is>
      </c>
    </row>
    <row r="4661">
      <c r="A4661" t="inlineStr"/>
      <c r="B4661" t="inlineStr"/>
      <c r="C4661" t="inlineStr"/>
      <c r="D4661" t="inlineStr"/>
      <c r="E4661">
        <f>HYPERLINK("https://www.ncbi.nlm.nih.gov/gene/?term=XP_019317820.1", "XP_019317820.1")</f>
        <v/>
      </c>
      <c r="F4661" t="n">
        <v>39.6</v>
      </c>
      <c r="G4661" t="n">
        <v>111</v>
      </c>
      <c r="H4661" t="n">
        <v>1.89e-20</v>
      </c>
      <c r="I4661" t="inlineStr">
        <is>
          <t>Nr</t>
        </is>
      </c>
      <c r="J4661" t="inlineStr"/>
      <c r="K4661" t="inlineStr"/>
      <c r="L4661" t="inlineStr">
        <is>
          <t>XP_019317820.1 PREDICTED: retrotransposon-like protein 1 [Panthera pardus]</t>
        </is>
      </c>
      <c r="M4661" t="n">
        <v>1333</v>
      </c>
      <c r="N4661" t="inlineStr">
        <is>
          <t>Panthera pardus</t>
        </is>
      </c>
      <c r="O4661" t="inlineStr">
        <is>
          <t>PREDICTED: retrotransposon-like protein 1</t>
        </is>
      </c>
    </row>
    <row r="4662">
      <c r="A4662" t="inlineStr"/>
      <c r="B4662" t="inlineStr"/>
      <c r="C4662" t="inlineStr"/>
      <c r="D4662" t="inlineStr"/>
      <c r="E4662">
        <f>HYPERLINK("https://www.uniprot.org/uniprotkb/O93209/entry", "O93209")</f>
        <v/>
      </c>
      <c r="F4662" t="n">
        <v>30.2</v>
      </c>
      <c r="G4662" t="n">
        <v>212</v>
      </c>
      <c r="H4662" t="n">
        <v>4.3e-20</v>
      </c>
      <c r="I4662" t="inlineStr">
        <is>
          <t>Swiss-Prot</t>
        </is>
      </c>
      <c r="J4662" t="inlineStr">
        <is>
          <t>pol</t>
        </is>
      </c>
      <c r="K4662" t="inlineStr">
        <is>
          <t>POL_FFV</t>
        </is>
      </c>
      <c r="L4662" t="inlineStr">
        <is>
          <t>sp|O93209|POL_FFV Pro-Pol polyprotein OS=Feline foamy virus OX=53182 GN=pol PE=3 SV=1</t>
        </is>
      </c>
      <c r="M4662" t="n">
        <v>1156</v>
      </c>
      <c r="N4662" t="inlineStr">
        <is>
          <t>Feline foamy virus</t>
        </is>
      </c>
      <c r="O4662" t="inlineStr">
        <is>
          <t>Pro-Pol polyprotein</t>
        </is>
      </c>
    </row>
    <row r="4663">
      <c r="A4663" t="inlineStr"/>
      <c r="B4663" t="inlineStr"/>
      <c r="C4663" t="inlineStr"/>
      <c r="D4663" t="inlineStr"/>
      <c r="E4663">
        <f>HYPERLINK("https://www.ncbi.nlm.nih.gov/gene/?term=XP_018422186.1", "XP_018422186.1")</f>
        <v/>
      </c>
      <c r="F4663" t="n">
        <v>64.2</v>
      </c>
      <c r="G4663" t="n">
        <v>67</v>
      </c>
      <c r="H4663" t="n">
        <v>8.27e-20</v>
      </c>
      <c r="I4663" t="inlineStr">
        <is>
          <t>Nr</t>
        </is>
      </c>
      <c r="J4663" t="inlineStr"/>
      <c r="K4663" t="inlineStr"/>
      <c r="L4663" t="inlineStr">
        <is>
          <t>XP_018422186.1 PREDICTED: protocadherin alpha-3-like [Nanorana parkeri]</t>
        </is>
      </c>
      <c r="M4663" t="n">
        <v>934</v>
      </c>
      <c r="N4663" t="inlineStr">
        <is>
          <t>Nanorana parkeri</t>
        </is>
      </c>
      <c r="O4663" t="inlineStr">
        <is>
          <t>PREDICTED: protocadherin alpha-3-like</t>
        </is>
      </c>
    </row>
    <row r="4664">
      <c r="A4664" t="inlineStr"/>
      <c r="B4664" t="inlineStr"/>
      <c r="C4664" t="inlineStr"/>
      <c r="D4664" t="inlineStr"/>
      <c r="E4664">
        <f>HYPERLINK("https://www.uniprot.org/uniprotkb/P10401/entry", "P10401")</f>
        <v/>
      </c>
      <c r="F4664" t="n">
        <v>24.6</v>
      </c>
      <c r="G4664" t="n">
        <v>491</v>
      </c>
      <c r="H4664" t="n">
        <v>1.63e-19</v>
      </c>
      <c r="I4664" t="inlineStr">
        <is>
          <t>Swiss-Prot</t>
        </is>
      </c>
      <c r="J4664" t="inlineStr">
        <is>
          <t>pol</t>
        </is>
      </c>
      <c r="K4664" t="inlineStr">
        <is>
          <t>POLY_DROME</t>
        </is>
      </c>
      <c r="L4664" t="inlineStr">
        <is>
          <t>sp|P10401|POLY_DROME Retrovirus-related Pol polyprotein from transposon gypsy OS=Drosophila melanogaster OX=7227 GN=pol PE=4 SV=1</t>
        </is>
      </c>
      <c r="M4664" t="n">
        <v>1035</v>
      </c>
      <c r="N4664" t="inlineStr">
        <is>
          <t>Drosophila melanogaster</t>
        </is>
      </c>
      <c r="O4664" t="inlineStr">
        <is>
          <t>Retrovirus-related Pol polyprotein from transposon gypsy</t>
        </is>
      </c>
    </row>
    <row r="4665">
      <c r="A4665" t="inlineStr"/>
      <c r="B4665" t="inlineStr"/>
      <c r="C4665" t="inlineStr"/>
      <c r="D4665" t="inlineStr"/>
      <c r="E4665">
        <f>HYPERLINK("https://www.ncbi.nlm.nih.gov/gene/?term=KAE8597686.1", "KAE8597686.1")</f>
        <v/>
      </c>
      <c r="F4665" t="n">
        <v>40.1</v>
      </c>
      <c r="G4665" t="n">
        <v>147</v>
      </c>
      <c r="H4665" t="n">
        <v>1.77e-19</v>
      </c>
      <c r="I4665" t="inlineStr">
        <is>
          <t>Nr</t>
        </is>
      </c>
      <c r="J4665" t="inlineStr"/>
      <c r="K4665" t="inlineStr"/>
      <c r="L4665" t="inlineStr">
        <is>
          <t>KAE8597686.1 hypothetical protein XENTR_v10016564 [Xenopus tropicalis]</t>
        </is>
      </c>
      <c r="M4665" t="n">
        <v>185</v>
      </c>
      <c r="N4665" t="inlineStr">
        <is>
          <t>Xenopus tropicalis</t>
        </is>
      </c>
      <c r="O4665" t="inlineStr">
        <is>
          <t>hypothetical protein XENTR_v10016564</t>
        </is>
      </c>
    </row>
    <row r="4666">
      <c r="A4666" t="inlineStr"/>
      <c r="B4666" t="inlineStr"/>
      <c r="C4666" t="inlineStr"/>
      <c r="D4666" t="inlineStr"/>
      <c r="E4666">
        <f>HYPERLINK("https://www.uniprot.org/uniprotkb/A4FUB7/entry", "A4FUB7")</f>
        <v/>
      </c>
      <c r="F4666" t="n">
        <v>28.7</v>
      </c>
      <c r="G4666" t="n">
        <v>230</v>
      </c>
      <c r="H4666" t="n">
        <v>3.39e-19</v>
      </c>
      <c r="I4666" t="inlineStr">
        <is>
          <t>Swiss-Prot</t>
        </is>
      </c>
      <c r="J4666" t="inlineStr">
        <is>
          <t>GIN1</t>
        </is>
      </c>
      <c r="K4666" t="inlineStr">
        <is>
          <t>GIN1_BOVIN</t>
        </is>
      </c>
      <c r="L4666" t="inlineStr">
        <is>
          <t>sp|A4FUB7|GIN1_BOVIN Gypsy retrotransposon integrase-like protein 1 OS=Bos taurus OX=9913 GN=GIN1 PE=2 SV=1</t>
        </is>
      </c>
      <c r="M4666" t="n">
        <v>499</v>
      </c>
      <c r="N4666" t="inlineStr">
        <is>
          <t>Bos taurus</t>
        </is>
      </c>
      <c r="O4666" t="inlineStr">
        <is>
          <t>Gypsy retrotransposon integrase-like protein 1</t>
        </is>
      </c>
    </row>
    <row r="4667">
      <c r="A4667" t="inlineStr"/>
      <c r="B4667" t="inlineStr"/>
      <c r="C4667" t="inlineStr"/>
      <c r="D4667" t="inlineStr"/>
      <c r="E4667">
        <f>HYPERLINK("https://www.ncbi.nlm.nih.gov/gene/?term=KAG8580255.1", "KAG8580255.1")</f>
        <v/>
      </c>
      <c r="F4667" t="n">
        <v>44.4</v>
      </c>
      <c r="G4667" t="n">
        <v>99</v>
      </c>
      <c r="H4667" t="n">
        <v>4.55e-19</v>
      </c>
      <c r="I4667" t="inlineStr">
        <is>
          <t>Nr</t>
        </is>
      </c>
      <c r="J4667" t="inlineStr"/>
      <c r="K4667" t="inlineStr"/>
      <c r="L4667" t="inlineStr">
        <is>
          <t>KAG8580255.1 hypothetical protein GDO81_007209 [Engystomops pustulosus]</t>
        </is>
      </c>
      <c r="M4667" t="n">
        <v>332</v>
      </c>
      <c r="N4667" t="inlineStr">
        <is>
          <t>Engystomops pustulosus</t>
        </is>
      </c>
      <c r="O4667" t="inlineStr">
        <is>
          <t>hypothetical protein GDO81_007209</t>
        </is>
      </c>
    </row>
    <row r="4668">
      <c r="A4668" t="inlineStr"/>
      <c r="B4668" t="inlineStr"/>
      <c r="C4668" t="inlineStr"/>
      <c r="D4668" t="inlineStr"/>
      <c r="E4668">
        <f>HYPERLINK("https://www.ncbi.nlm.nih.gov/gene/?term=XP_031759194.1", "XP_031759194.1")</f>
        <v/>
      </c>
      <c r="F4668" t="n">
        <v>50.6</v>
      </c>
      <c r="G4668" t="n">
        <v>83</v>
      </c>
      <c r="H4668" t="n">
        <v>1.16e-18</v>
      </c>
      <c r="I4668" t="inlineStr">
        <is>
          <t>Nr</t>
        </is>
      </c>
      <c r="J4668" t="inlineStr"/>
      <c r="K4668" t="inlineStr"/>
      <c r="L4668" t="inlineStr">
        <is>
          <t>XP_031759194.1 UPF0489 protein C5orf22 homolog isoform X3 [Xenopus tropicalis]</t>
        </is>
      </c>
      <c r="M4668" t="n">
        <v>357</v>
      </c>
      <c r="N4668" t="inlineStr">
        <is>
          <t>Xenopus tropicalis</t>
        </is>
      </c>
      <c r="O4668" t="inlineStr">
        <is>
          <t>UPF0489 protein C5orf22 homolog isoform X3</t>
        </is>
      </c>
    </row>
    <row r="4669">
      <c r="A4669" t="inlineStr"/>
      <c r="B4669" t="inlineStr"/>
      <c r="C4669" t="inlineStr"/>
      <c r="D4669" t="inlineStr"/>
      <c r="E4669">
        <f>HYPERLINK("https://www.ncbi.nlm.nih.gov/gene/?term=AAH87517.1", "AAH87517.1")</f>
        <v/>
      </c>
      <c r="F4669" t="n">
        <v>43.8</v>
      </c>
      <c r="G4669" t="n">
        <v>96</v>
      </c>
      <c r="H4669" t="n">
        <v>1.65e-18</v>
      </c>
      <c r="I4669" t="inlineStr">
        <is>
          <t>Nr</t>
        </is>
      </c>
      <c r="J4669" t="inlineStr"/>
      <c r="K4669" t="inlineStr"/>
      <c r="L4669" t="inlineStr">
        <is>
          <t>AAH87517.1 LOC496091 protein, partial [Xenopus laevis]</t>
        </is>
      </c>
      <c r="M4669" t="n">
        <v>225</v>
      </c>
      <c r="N4669" t="inlineStr">
        <is>
          <t>Xenopus laevis</t>
        </is>
      </c>
      <c r="O4669" t="inlineStr">
        <is>
          <t>LOC496091 protein, partial</t>
        </is>
      </c>
    </row>
    <row r="4670">
      <c r="A4670" t="inlineStr"/>
      <c r="B4670" t="inlineStr"/>
      <c r="C4670" t="inlineStr"/>
      <c r="D4670" t="inlineStr"/>
      <c r="E4670">
        <f>HYPERLINK("https://www.ncbi.nlm.nih.gov/gene/?term=XP_040289910.1", "XP_040289910.1")</f>
        <v/>
      </c>
      <c r="F4670" t="n">
        <v>46.8</v>
      </c>
      <c r="G4670" t="n">
        <v>94</v>
      </c>
      <c r="H4670" t="n">
        <v>1.86e-18</v>
      </c>
      <c r="I4670" t="inlineStr">
        <is>
          <t>Nr</t>
        </is>
      </c>
      <c r="J4670" t="inlineStr"/>
      <c r="K4670" t="inlineStr"/>
      <c r="L4670" t="inlineStr">
        <is>
          <t>XP_040289910.1 collagen alpha-1(XXI) chain-like [Bufo bufo]</t>
        </is>
      </c>
      <c r="M4670" t="n">
        <v>1113</v>
      </c>
      <c r="N4670" t="inlineStr">
        <is>
          <t>Bufo bufo</t>
        </is>
      </c>
      <c r="O4670" t="inlineStr">
        <is>
          <t>collagen alpha-1(XXI) chain-like</t>
        </is>
      </c>
    </row>
    <row r="4671">
      <c r="A4671" t="inlineStr"/>
      <c r="B4671" t="inlineStr"/>
      <c r="C4671" t="inlineStr"/>
      <c r="D4671" t="inlineStr"/>
      <c r="E4671">
        <f>HYPERLINK("https://www.uniprot.org/uniprotkb/Q52QI2/entry", "Q52QI2")</f>
        <v/>
      </c>
      <c r="F4671" t="n">
        <v>35.1</v>
      </c>
      <c r="G4671" t="n">
        <v>111</v>
      </c>
      <c r="H4671" t="n">
        <v>1.5e-17</v>
      </c>
      <c r="I4671" t="inlineStr">
        <is>
          <t>Swiss-Prot</t>
        </is>
      </c>
      <c r="J4671" t="inlineStr">
        <is>
          <t>RTL1</t>
        </is>
      </c>
      <c r="K4671" t="inlineStr">
        <is>
          <t>RTL1_BOVIN</t>
        </is>
      </c>
      <c r="L4671" t="inlineStr">
        <is>
          <t>sp|Q52QI2|RTL1_BOVIN Retrotransposon-like protein 1 OS=Bos taurus OX=9913 GN=RTL1 PE=2 SV=2</t>
        </is>
      </c>
      <c r="M4671" t="n">
        <v>1331</v>
      </c>
      <c r="N4671" t="inlineStr">
        <is>
          <t>Bos taurus</t>
        </is>
      </c>
      <c r="O4671" t="inlineStr">
        <is>
          <t>Retrotransposon-like protein 1</t>
        </is>
      </c>
    </row>
    <row r="4672">
      <c r="A4672" t="inlineStr"/>
      <c r="B4672" t="inlineStr"/>
      <c r="C4672" t="inlineStr"/>
      <c r="D4672" t="inlineStr"/>
      <c r="E4672">
        <f>HYPERLINK("https://www.uniprot.org/uniprotkb/Q4R6I1/entry", "Q4R6I1")</f>
        <v/>
      </c>
      <c r="F4672" t="n">
        <v>26.9</v>
      </c>
      <c r="G4672" t="n">
        <v>253</v>
      </c>
      <c r="H4672" t="n">
        <v>2.03e-17</v>
      </c>
      <c r="I4672" t="inlineStr">
        <is>
          <t>Swiss-Prot</t>
        </is>
      </c>
      <c r="J4672" t="inlineStr">
        <is>
          <t>GIN1</t>
        </is>
      </c>
      <c r="K4672" t="inlineStr">
        <is>
          <t>GIN1_MACFA</t>
        </is>
      </c>
      <c r="L4672" t="inlineStr">
        <is>
          <t>sp|Q4R6I1|GIN1_MACFA Gypsy retrotransposon integrase-like protein 1 OS=Macaca fascicularis OX=9541 GN=GIN1 PE=2 SV=1</t>
        </is>
      </c>
      <c r="M4672" t="n">
        <v>522</v>
      </c>
      <c r="N4672" t="inlineStr">
        <is>
          <t>Macaca fascicularis</t>
        </is>
      </c>
      <c r="O4672" t="inlineStr">
        <is>
          <t>Gypsy retrotransposon integrase-like protein 1</t>
        </is>
      </c>
    </row>
    <row r="4673">
      <c r="A4673" t="inlineStr"/>
      <c r="B4673" t="inlineStr"/>
      <c r="C4673" t="inlineStr"/>
      <c r="D4673" t="inlineStr"/>
      <c r="E4673">
        <f>HYPERLINK("https://www.uniprot.org/uniprotkb/P23074/entry", "P23074")</f>
        <v/>
      </c>
      <c r="F4673" t="n">
        <v>28.4</v>
      </c>
      <c r="G4673" t="n">
        <v>229</v>
      </c>
      <c r="H4673" t="n">
        <v>2.53e-17</v>
      </c>
      <c r="I4673" t="inlineStr">
        <is>
          <t>Swiss-Prot</t>
        </is>
      </c>
      <c r="J4673" t="inlineStr">
        <is>
          <t>pol</t>
        </is>
      </c>
      <c r="K4673" t="inlineStr">
        <is>
          <t>POL_SFV1</t>
        </is>
      </c>
      <c r="L4673" t="inlineStr">
        <is>
          <t>sp|P23074|POL_SFV1 Pro-Pol polyprotein OS=Simian foamy virus type 1 OX=338478 GN=pol PE=1 SV=3</t>
        </is>
      </c>
      <c r="M4673" t="n">
        <v>1149</v>
      </c>
      <c r="N4673" t="inlineStr">
        <is>
          <t>Simian foamy virus type 1</t>
        </is>
      </c>
      <c r="O4673" t="inlineStr">
        <is>
          <t>Pro-Pol polyprotein</t>
        </is>
      </c>
    </row>
    <row r="4674">
      <c r="A4674" t="inlineStr"/>
      <c r="B4674" t="inlineStr"/>
      <c r="C4674" t="inlineStr"/>
      <c r="D4674" t="inlineStr"/>
      <c r="E4674">
        <f>HYPERLINK("https://www.uniprot.org/uniprotkb/Q9NXP7/entry", "Q9NXP7")</f>
        <v/>
      </c>
      <c r="F4674" t="n">
        <v>27</v>
      </c>
      <c r="G4674" t="n">
        <v>237</v>
      </c>
      <c r="H4674" t="n">
        <v>3.58e-17</v>
      </c>
      <c r="I4674" t="inlineStr">
        <is>
          <t>Swiss-Prot</t>
        </is>
      </c>
      <c r="J4674" t="inlineStr">
        <is>
          <t>GIN1</t>
        </is>
      </c>
      <c r="K4674" t="inlineStr">
        <is>
          <t>GIN1_HUMAN</t>
        </is>
      </c>
      <c r="L4674" t="inlineStr">
        <is>
          <t>sp|Q9NXP7|GIN1_HUMAN Gypsy retrotransposon integrase-like protein 1 OS=Homo sapiens OX=9606 GN=GIN1 PE=1 SV=3</t>
        </is>
      </c>
      <c r="M4674" t="n">
        <v>522</v>
      </c>
      <c r="N4674" t="inlineStr">
        <is>
          <t>Homo sapiens</t>
        </is>
      </c>
      <c r="O4674" t="inlineStr">
        <is>
          <t>Gypsy retrotransposon integrase-like protein 1</t>
        </is>
      </c>
    </row>
    <row r="4675">
      <c r="A4675" t="inlineStr"/>
      <c r="B4675" t="inlineStr"/>
      <c r="C4675" t="inlineStr"/>
      <c r="D4675" t="inlineStr"/>
      <c r="E4675">
        <f>HYPERLINK("https://www.uniprot.org/uniprotkb/Q5RBK0/entry", "Q5RBK0")</f>
        <v/>
      </c>
      <c r="F4675" t="n">
        <v>27</v>
      </c>
      <c r="G4675" t="n">
        <v>237</v>
      </c>
      <c r="H4675" t="n">
        <v>8.360000000000001e-17</v>
      </c>
      <c r="I4675" t="inlineStr">
        <is>
          <t>Swiss-Prot</t>
        </is>
      </c>
      <c r="J4675" t="inlineStr">
        <is>
          <t>GIN1</t>
        </is>
      </c>
      <c r="K4675" t="inlineStr">
        <is>
          <t>GIN1_PONAB</t>
        </is>
      </c>
      <c r="L4675" t="inlineStr">
        <is>
          <t>sp|Q5RBK0|GIN1_PONAB Gypsy retrotransposon integrase-like protein 1 OS=Pongo abelii OX=9601 GN=GIN1 PE=2 SV=1</t>
        </is>
      </c>
      <c r="M4675" t="n">
        <v>522</v>
      </c>
      <c r="N4675" t="inlineStr">
        <is>
          <t>Pongo abelii</t>
        </is>
      </c>
      <c r="O4675" t="inlineStr">
        <is>
          <t>Gypsy retrotransposon integrase-like protein 1</t>
        </is>
      </c>
    </row>
    <row r="4676">
      <c r="A4676" t="inlineStr"/>
      <c r="B4676" t="inlineStr"/>
      <c r="C4676" t="inlineStr"/>
      <c r="D4676" t="inlineStr"/>
      <c r="E4676">
        <f>HYPERLINK("https://www.ncbi.nlm.nih.gov/gene/?term=XP_026546188.1", "XP_026546188.1")</f>
        <v/>
      </c>
      <c r="F4676" t="n">
        <v>35.1</v>
      </c>
      <c r="G4676" t="n">
        <v>148</v>
      </c>
      <c r="H4676" t="n">
        <v>1.83e-16</v>
      </c>
      <c r="I4676" t="inlineStr">
        <is>
          <t>Nr</t>
        </is>
      </c>
      <c r="J4676" t="inlineStr"/>
      <c r="K4676" t="inlineStr"/>
      <c r="L4676" t="inlineStr">
        <is>
          <t>XP_026546188.1 proline-rich protein 12-like [Notechis scutatus]</t>
        </is>
      </c>
      <c r="M4676" t="n">
        <v>761</v>
      </c>
      <c r="N4676" t="inlineStr">
        <is>
          <t>Notechis scutatus</t>
        </is>
      </c>
      <c r="O4676" t="inlineStr">
        <is>
          <t>proline-rich protein 12-like</t>
        </is>
      </c>
    </row>
    <row r="4677">
      <c r="A4677" t="inlineStr"/>
      <c r="B4677" t="inlineStr"/>
      <c r="C4677" t="inlineStr"/>
      <c r="D4677" t="inlineStr"/>
      <c r="E4677">
        <f>HYPERLINK("https://www.ncbi.nlm.nih.gov/gene/?term=XP_040286170.1", "XP_040286170.1")</f>
        <v/>
      </c>
      <c r="F4677" t="n">
        <v>44.1</v>
      </c>
      <c r="G4677" t="n">
        <v>93</v>
      </c>
      <c r="H4677" t="n">
        <v>4.56e-16</v>
      </c>
      <c r="I4677" t="inlineStr">
        <is>
          <t>Nr</t>
        </is>
      </c>
      <c r="J4677" t="inlineStr"/>
      <c r="K4677" t="inlineStr"/>
      <c r="L4677" t="inlineStr">
        <is>
          <t>XP_040286170.1 zinc finger protein 615-like [Bufo bufo]</t>
        </is>
      </c>
      <c r="M4677" t="n">
        <v>334</v>
      </c>
      <c r="N4677" t="inlineStr">
        <is>
          <t>Bufo bufo</t>
        </is>
      </c>
      <c r="O4677" t="inlineStr">
        <is>
          <t>zinc finger protein 615-like</t>
        </is>
      </c>
    </row>
    <row r="4678">
      <c r="A4678" t="inlineStr"/>
      <c r="B4678" t="inlineStr"/>
      <c r="C4678" t="inlineStr"/>
      <c r="D4678" t="inlineStr"/>
      <c r="E4678">
        <f>HYPERLINK("https://www.ncbi.nlm.nih.gov/gene/?term=XP_040275758.1", "XP_040275758.1")</f>
        <v/>
      </c>
      <c r="F4678" t="n">
        <v>45.7</v>
      </c>
      <c r="G4678" t="n">
        <v>92</v>
      </c>
      <c r="H4678" t="n">
        <v>1.76e-15</v>
      </c>
      <c r="I4678" t="inlineStr">
        <is>
          <t>Nr</t>
        </is>
      </c>
      <c r="J4678" t="inlineStr"/>
      <c r="K4678" t="inlineStr"/>
      <c r="L4678" t="inlineStr">
        <is>
          <t>XP_040275758.1 retrotransposon Gag-like protein 6 [Bufo bufo]</t>
        </is>
      </c>
      <c r="M4678" t="n">
        <v>237</v>
      </c>
      <c r="N4678" t="inlineStr">
        <is>
          <t>Bufo bufo</t>
        </is>
      </c>
      <c r="O4678" t="inlineStr">
        <is>
          <t>retrotransposon Gag-like protein 6</t>
        </is>
      </c>
    </row>
    <row r="4679">
      <c r="A4679" t="inlineStr"/>
      <c r="B4679" t="inlineStr"/>
      <c r="C4679" t="inlineStr"/>
      <c r="D4679" t="inlineStr"/>
      <c r="E4679">
        <f>HYPERLINK("https://www.ncbi.nlm.nih.gov/gene/?term=KAI4880169.1", "KAI4880169.1")</f>
        <v/>
      </c>
      <c r="F4679" t="n">
        <v>35.3</v>
      </c>
      <c r="G4679" t="n">
        <v>139</v>
      </c>
      <c r="H4679" t="n">
        <v>1.01e-13</v>
      </c>
      <c r="I4679" t="inlineStr">
        <is>
          <t>Nr</t>
        </is>
      </c>
      <c r="J4679" t="inlineStr"/>
      <c r="K4679" t="inlineStr"/>
      <c r="L4679" t="inlineStr">
        <is>
          <t>KAI4880169.1 hypothetical protein NFI96_015536, partial [Prochilodus magdalenae]</t>
        </is>
      </c>
      <c r="M4679" t="n">
        <v>219</v>
      </c>
      <c r="N4679" t="inlineStr">
        <is>
          <t>Prochilodus magdalenae</t>
        </is>
      </c>
      <c r="O4679" t="inlineStr">
        <is>
          <t>hypothetical protein NFI96_015536, partial</t>
        </is>
      </c>
    </row>
    <row r="4680">
      <c r="A4680" t="inlineStr"/>
      <c r="B4680" t="inlineStr"/>
      <c r="C4680" t="inlineStr"/>
      <c r="D4680" t="inlineStr"/>
      <c r="E4680">
        <f>HYPERLINK("https://www.ncbi.nlm.nih.gov/gene/?term=XP_029427066.1", "XP_029427066.1")</f>
        <v/>
      </c>
      <c r="F4680" t="n">
        <v>37.7</v>
      </c>
      <c r="G4680" t="n">
        <v>114</v>
      </c>
      <c r="H4680" t="n">
        <v>1.04e-13</v>
      </c>
      <c r="I4680" t="inlineStr">
        <is>
          <t>Nr</t>
        </is>
      </c>
      <c r="J4680" t="inlineStr"/>
      <c r="K4680" t="inlineStr"/>
      <c r="L4680" t="inlineStr">
        <is>
          <t>XP_029427066.1 calcium-binding protein 7 [Rhinatrema bivittatum]</t>
        </is>
      </c>
      <c r="M4680" t="n">
        <v>324</v>
      </c>
      <c r="N4680" t="inlineStr">
        <is>
          <t>Rhinatrema bivittatum</t>
        </is>
      </c>
      <c r="O4680" t="inlineStr">
        <is>
          <t>calcium-binding protein 7</t>
        </is>
      </c>
    </row>
    <row r="4681">
      <c r="A4681" t="inlineStr"/>
      <c r="B4681" t="inlineStr"/>
      <c r="C4681" t="inlineStr"/>
      <c r="D4681" t="inlineStr"/>
      <c r="E4681">
        <f>HYPERLINK("https://www.ncbi.nlm.nih.gov/gene/?term=KAE8202361.1", "KAE8202361.1")</f>
        <v/>
      </c>
      <c r="F4681" t="n">
        <v>36.4</v>
      </c>
      <c r="G4681" t="n">
        <v>151</v>
      </c>
      <c r="H4681" t="n">
        <v>1.23e-13</v>
      </c>
      <c r="I4681" t="inlineStr">
        <is>
          <t>Nr</t>
        </is>
      </c>
      <c r="J4681" t="inlineStr"/>
      <c r="K4681" t="inlineStr"/>
      <c r="L4681" t="inlineStr">
        <is>
          <t>KAE8202361.1 hypothetical protein CF327_g7830, partial [Tilletia walkeri]</t>
        </is>
      </c>
      <c r="M4681" t="n">
        <v>345</v>
      </c>
      <c r="N4681" t="inlineStr">
        <is>
          <t>Tilletia walkeri</t>
        </is>
      </c>
      <c r="O4681" t="inlineStr">
        <is>
          <t>hypothetical protein CF327_g7830, partial</t>
        </is>
      </c>
    </row>
    <row r="4682">
      <c r="A4682" t="inlineStr"/>
      <c r="B4682" t="inlineStr"/>
      <c r="C4682" t="inlineStr"/>
      <c r="D4682" t="inlineStr"/>
      <c r="E4682">
        <f>HYPERLINK("https://www.ncbi.nlm.nih.gov/gene/?term=SAM05196.1", "SAM05196.1")</f>
        <v/>
      </c>
      <c r="F4682" t="n">
        <v>36.9</v>
      </c>
      <c r="G4682" t="n">
        <v>157</v>
      </c>
      <c r="H4682" t="n">
        <v>1.75e-13</v>
      </c>
      <c r="I4682" t="inlineStr">
        <is>
          <t>Nr</t>
        </is>
      </c>
      <c r="J4682" t="inlineStr"/>
      <c r="K4682" t="inlineStr"/>
      <c r="L4682" t="inlineStr">
        <is>
          <t>SAM05196.1 hypothetical protein [Absidia glauca]</t>
        </is>
      </c>
      <c r="M4682" t="n">
        <v>1478</v>
      </c>
      <c r="N4682" t="inlineStr">
        <is>
          <t>Absidia glauca</t>
        </is>
      </c>
      <c r="O4682" t="inlineStr">
        <is>
          <t>hypothetical protein</t>
        </is>
      </c>
    </row>
    <row r="4683">
      <c r="A4683" t="inlineStr"/>
      <c r="B4683" t="inlineStr"/>
      <c r="C4683" t="inlineStr"/>
      <c r="D4683" t="inlineStr"/>
      <c r="E4683">
        <f>HYPERLINK("https://www.ncbi.nlm.nih.gov/gene/?term=XP_012808855.2", "XP_012808855.2")</f>
        <v/>
      </c>
      <c r="F4683" t="n">
        <v>51.5</v>
      </c>
      <c r="G4683" t="n">
        <v>66</v>
      </c>
      <c r="H4683" t="n">
        <v>4.03e-13</v>
      </c>
      <c r="I4683" t="inlineStr">
        <is>
          <t>Nr</t>
        </is>
      </c>
      <c r="J4683" t="inlineStr"/>
      <c r="K4683" t="inlineStr"/>
      <c r="L4683" t="inlineStr">
        <is>
          <t>XP_012808855.2 galactose-3-O-sulfotransferase 2 [Xenopus tropicalis]</t>
        </is>
      </c>
      <c r="M4683" t="n">
        <v>658</v>
      </c>
      <c r="N4683" t="inlineStr">
        <is>
          <t>Xenopus tropicalis</t>
        </is>
      </c>
      <c r="O4683" t="inlineStr">
        <is>
          <t>galactose-3-O-sulfotransferase 2</t>
        </is>
      </c>
    </row>
    <row r="4684">
      <c r="A4684" t="inlineStr"/>
      <c r="B4684" t="inlineStr"/>
      <c r="C4684" t="inlineStr"/>
      <c r="D4684" t="inlineStr"/>
      <c r="E4684">
        <f>HYPERLINK("https://www.ncbi.nlm.nih.gov/gene/?term=OMJ12323.1", "OMJ12323.1")</f>
        <v/>
      </c>
      <c r="F4684" t="n">
        <v>36.6</v>
      </c>
      <c r="G4684" t="n">
        <v>93</v>
      </c>
      <c r="H4684" t="n">
        <v>4.35e-13</v>
      </c>
      <c r="I4684" t="inlineStr">
        <is>
          <t>Nr</t>
        </is>
      </c>
      <c r="J4684" t="inlineStr"/>
      <c r="K4684" t="inlineStr"/>
      <c r="L4684" t="inlineStr">
        <is>
          <t>OMJ12323.1 Retrotransposon-derived protein PEG10 [Smittium culicis]</t>
        </is>
      </c>
      <c r="M4684" t="n">
        <v>226</v>
      </c>
      <c r="N4684" t="inlineStr">
        <is>
          <t>Smittium culicis</t>
        </is>
      </c>
      <c r="O4684" t="inlineStr">
        <is>
          <t>Retrotransposon-derived protein PEG10</t>
        </is>
      </c>
    </row>
    <row r="4685">
      <c r="A4685" t="inlineStr"/>
      <c r="B4685" t="inlineStr"/>
      <c r="C4685" t="inlineStr"/>
      <c r="D4685" t="inlineStr"/>
      <c r="E4685">
        <f>HYPERLINK("https://www.ncbi.nlm.nih.gov/gene/?term=KAJ1121323.1", "KAJ1121323.1")</f>
        <v/>
      </c>
      <c r="F4685" t="n">
        <v>32</v>
      </c>
      <c r="G4685" t="n">
        <v>153</v>
      </c>
      <c r="H4685" t="n">
        <v>4.43e-13</v>
      </c>
      <c r="I4685" t="inlineStr">
        <is>
          <t>Nr</t>
        </is>
      </c>
      <c r="J4685" t="inlineStr"/>
      <c r="K4685" t="inlineStr"/>
      <c r="L4685" t="inlineStr">
        <is>
          <t>KAJ1121323.1 hypothetical protein NDU88_009436 [Pleurodeles waltl]</t>
        </is>
      </c>
      <c r="M4685" t="n">
        <v>305</v>
      </c>
      <c r="N4685" t="inlineStr">
        <is>
          <t>Pleurodeles waltl</t>
        </is>
      </c>
      <c r="O4685" t="inlineStr">
        <is>
          <t>hypothetical protein NDU88_009436</t>
        </is>
      </c>
    </row>
    <row r="4686">
      <c r="A4686" t="inlineStr"/>
      <c r="B4686" t="inlineStr"/>
      <c r="C4686" t="inlineStr"/>
      <c r="D4686" t="inlineStr"/>
      <c r="E4686">
        <f>HYPERLINK("https://www.ncbi.nlm.nih.gov/gene/?term=KAG9462955.1", "KAG9462955.1")</f>
        <v/>
      </c>
      <c r="F4686" t="n">
        <v>36.8</v>
      </c>
      <c r="G4686" t="n">
        <v>95</v>
      </c>
      <c r="H4686" t="n">
        <v>6.87e-13</v>
      </c>
      <c r="I4686" t="inlineStr">
        <is>
          <t>Nr</t>
        </is>
      </c>
      <c r="J4686" t="inlineStr"/>
      <c r="K4686" t="inlineStr"/>
      <c r="L4686" t="inlineStr">
        <is>
          <t>KAG9462955.1 hypothetical protein GDO78_022756 [Eleutherodactylus coqui]</t>
        </is>
      </c>
      <c r="M4686" t="n">
        <v>481</v>
      </c>
      <c r="N4686" t="inlineStr">
        <is>
          <t>Eleutherodactylus coqui</t>
        </is>
      </c>
      <c r="O4686" t="inlineStr">
        <is>
          <t>hypothetical protein GDO78_022756</t>
        </is>
      </c>
    </row>
    <row r="4687">
      <c r="A4687" t="inlineStr"/>
      <c r="B4687" t="inlineStr"/>
      <c r="C4687" t="inlineStr"/>
      <c r="D4687" t="inlineStr"/>
      <c r="E4687">
        <f>HYPERLINK("https://www.ncbi.nlm.nih.gov/gene/?term=KAI4901307.1", "KAI4901307.1")</f>
        <v/>
      </c>
      <c r="F4687" t="n">
        <v>35.3</v>
      </c>
      <c r="G4687" t="n">
        <v>139</v>
      </c>
      <c r="H4687" t="n">
        <v>9.03e-13</v>
      </c>
      <c r="I4687" t="inlineStr">
        <is>
          <t>Nr</t>
        </is>
      </c>
      <c r="J4687" t="inlineStr"/>
      <c r="K4687" t="inlineStr"/>
      <c r="L4687" t="inlineStr">
        <is>
          <t>KAI4901307.1 hypothetical protein NFI96_004115 [Prochilodus magdalenae]</t>
        </is>
      </c>
      <c r="M4687" t="n">
        <v>312</v>
      </c>
      <c r="N4687" t="inlineStr">
        <is>
          <t>Prochilodus magdalenae</t>
        </is>
      </c>
      <c r="O4687" t="inlineStr">
        <is>
          <t>hypothetical protein NFI96_004115</t>
        </is>
      </c>
    </row>
    <row r="4688">
      <c r="A4688" t="inlineStr"/>
      <c r="B4688" t="inlineStr"/>
      <c r="C4688" t="inlineStr"/>
      <c r="D4688" t="inlineStr"/>
      <c r="E4688">
        <f>HYPERLINK("https://www.ncbi.nlm.nih.gov/gene/?term=XP_029442726.1", "XP_029442726.1")</f>
        <v/>
      </c>
      <c r="F4688" t="n">
        <v>36.7</v>
      </c>
      <c r="G4688" t="n">
        <v>147</v>
      </c>
      <c r="H4688" t="n">
        <v>2e-12</v>
      </c>
      <c r="I4688" t="inlineStr">
        <is>
          <t>Nr</t>
        </is>
      </c>
      <c r="J4688" t="inlineStr"/>
      <c r="K4688" t="inlineStr"/>
      <c r="L4688" t="inlineStr">
        <is>
          <t>XP_029442726.1 zinc finger protein 271-like [Rhinatrema bivittatum]</t>
        </is>
      </c>
      <c r="M4688" t="n">
        <v>1008</v>
      </c>
      <c r="N4688" t="inlineStr">
        <is>
          <t>Rhinatrema bivittatum</t>
        </is>
      </c>
      <c r="O4688" t="inlineStr">
        <is>
          <t>zinc finger protein 271-like</t>
        </is>
      </c>
    </row>
    <row r="4689">
      <c r="A4689" t="inlineStr"/>
      <c r="B4689" t="inlineStr"/>
      <c r="C4689" t="inlineStr"/>
      <c r="D4689" t="inlineStr"/>
      <c r="E4689">
        <f>HYPERLINK("https://www.ncbi.nlm.nih.gov/gene/?term=TKA44817.1", "TKA44817.1")</f>
        <v/>
      </c>
      <c r="F4689" t="n">
        <v>35.9</v>
      </c>
      <c r="G4689" t="n">
        <v>142</v>
      </c>
      <c r="H4689" t="n">
        <v>2.7e-12</v>
      </c>
      <c r="I4689" t="inlineStr">
        <is>
          <t>Nr</t>
        </is>
      </c>
      <c r="J4689" t="inlineStr"/>
      <c r="K4689" t="inlineStr"/>
      <c r="L4689" t="inlineStr">
        <is>
          <t>TKA44817.1 hypothetical protein B0A49_13660, partial [Cryomyces minteri]</t>
        </is>
      </c>
      <c r="M4689" t="n">
        <v>934</v>
      </c>
      <c r="N4689" t="inlineStr">
        <is>
          <t>Cryomyces minteri</t>
        </is>
      </c>
      <c r="O4689" t="inlineStr">
        <is>
          <t>hypothetical protein B0A49_13660, partial</t>
        </is>
      </c>
    </row>
    <row r="4690">
      <c r="A4690" t="inlineStr"/>
      <c r="B4690" t="inlineStr"/>
      <c r="C4690" t="inlineStr"/>
      <c r="D4690" t="inlineStr"/>
      <c r="E4690">
        <f>HYPERLINK("https://www.uniprot.org/uniprotkb/Q7TN75/entry", "Q7TN75")</f>
        <v/>
      </c>
      <c r="F4690" t="n">
        <v>33</v>
      </c>
      <c r="G4690" t="n">
        <v>100</v>
      </c>
      <c r="H4690" t="n">
        <v>6.96e-09</v>
      </c>
      <c r="I4690" t="inlineStr">
        <is>
          <t>Swiss-Prot</t>
        </is>
      </c>
      <c r="J4690" t="inlineStr">
        <is>
          <t>Peg10</t>
        </is>
      </c>
      <c r="K4690" t="inlineStr">
        <is>
          <t>PEG10_MOUSE</t>
        </is>
      </c>
      <c r="L4690" t="inlineStr">
        <is>
          <t>sp|Q7TN75|PEG10_MOUSE Retrotransposon-derived protein PEG10 OS=Mus musculus OX=10090 GN=Peg10 PE=1 SV=2</t>
        </is>
      </c>
      <c r="M4690" t="n">
        <v>958</v>
      </c>
      <c r="N4690" t="inlineStr">
        <is>
          <t>Mus musculus</t>
        </is>
      </c>
      <c r="O4690" t="inlineStr">
        <is>
          <t>Retrotransposon-derived protein PEG10</t>
        </is>
      </c>
    </row>
    <row r="4691">
      <c r="A4691" t="inlineStr"/>
      <c r="B4691" t="inlineStr"/>
      <c r="C4691" t="inlineStr"/>
      <c r="D4691" t="inlineStr"/>
      <c r="E4691">
        <f>HYPERLINK("https://www.uniprot.org/uniprotkb/Q86TG7/entry", "Q86TG7")</f>
        <v/>
      </c>
      <c r="F4691" t="n">
        <v>28.5</v>
      </c>
      <c r="G4691" t="n">
        <v>144</v>
      </c>
      <c r="H4691" t="n">
        <v>2.28e-08</v>
      </c>
      <c r="I4691" t="inlineStr">
        <is>
          <t>Swiss-Prot</t>
        </is>
      </c>
      <c r="J4691" t="inlineStr">
        <is>
          <t>PEG10</t>
        </is>
      </c>
      <c r="K4691" t="inlineStr">
        <is>
          <t>PEG10_HUMAN</t>
        </is>
      </c>
      <c r="L4691" t="inlineStr">
        <is>
          <t>sp|Q86TG7|PEG10_HUMAN Retrotransposon-derived protein PEG10 OS=Homo sapiens OX=9606 GN=PEG10 PE=1 SV=2</t>
        </is>
      </c>
      <c r="M4691" t="n">
        <v>708</v>
      </c>
      <c r="N4691" t="inlineStr">
        <is>
          <t>Homo sapiens</t>
        </is>
      </c>
      <c r="O4691" t="inlineStr">
        <is>
          <t>Retrotransposon-derived protein PEG10</t>
        </is>
      </c>
    </row>
    <row r="4692">
      <c r="A4692" t="inlineStr"/>
      <c r="B4692" t="inlineStr"/>
      <c r="C4692" t="inlineStr"/>
      <c r="D4692" t="inlineStr"/>
      <c r="E4692">
        <f>HYPERLINK("https://www.uniprot.org/uniprotkb/Q7M732/entry", "Q7M732")</f>
        <v/>
      </c>
      <c r="F4692" t="n">
        <v>33.8</v>
      </c>
      <c r="G4692" t="n">
        <v>80</v>
      </c>
      <c r="H4692" t="n">
        <v>1.12e-05</v>
      </c>
      <c r="I4692" t="inlineStr">
        <is>
          <t>Swiss-Prot</t>
        </is>
      </c>
      <c r="J4692" t="inlineStr">
        <is>
          <t>Rtl1</t>
        </is>
      </c>
      <c r="K4692" t="inlineStr">
        <is>
          <t>RTL1_MOUSE</t>
        </is>
      </c>
      <c r="L4692" t="inlineStr">
        <is>
          <t>sp|Q7M732|RTL1_MOUSE Retrotransposon-like protein 1 OS=Mus musculus OX=10090 GN=Rtl1 PE=2 SV=1</t>
        </is>
      </c>
      <c r="M4692" t="n">
        <v>1744</v>
      </c>
      <c r="N4692" t="inlineStr">
        <is>
          <t>Mus musculus</t>
        </is>
      </c>
      <c r="O4692" t="inlineStr">
        <is>
          <t>Retrotransposon-like protein 1</t>
        </is>
      </c>
    </row>
    <row r="4693">
      <c r="A4693" t="inlineStr"/>
      <c r="B4693" t="inlineStr"/>
      <c r="C4693" t="inlineStr"/>
      <c r="D4693" t="inlineStr"/>
      <c r="E4693">
        <f>HYPERLINK("https://www.uniprot.org/uniprotkb/A6NKG5/entry", "A6NKG5")</f>
        <v/>
      </c>
      <c r="F4693" t="n">
        <v>32.5</v>
      </c>
      <c r="G4693" t="n">
        <v>80</v>
      </c>
      <c r="H4693" t="n">
        <v>1.49e-05</v>
      </c>
      <c r="I4693" t="inlineStr">
        <is>
          <t>Swiss-Prot</t>
        </is>
      </c>
      <c r="J4693" t="inlineStr">
        <is>
          <t>RTL1</t>
        </is>
      </c>
      <c r="K4693" t="inlineStr">
        <is>
          <t>RTL1_HUMAN</t>
        </is>
      </c>
      <c r="L4693" t="inlineStr">
        <is>
          <t>sp|A6NKG5|RTL1_HUMAN Retrotransposon-like protein 1 OS=Homo sapiens OX=9606 GN=RTL1 PE=3 SV=3</t>
        </is>
      </c>
      <c r="M4693" t="n">
        <v>1358</v>
      </c>
      <c r="N4693" t="inlineStr">
        <is>
          <t>Homo sapiens</t>
        </is>
      </c>
      <c r="O4693" t="inlineStr">
        <is>
          <t>Retrotransposon-like protein 1</t>
        </is>
      </c>
    </row>
    <row r="4694">
      <c r="A4694" t="inlineStr"/>
      <c r="B4694" t="inlineStr"/>
      <c r="C4694" t="inlineStr"/>
      <c r="D4694" t="inlineStr"/>
      <c r="E4694">
        <f>HYPERLINK("https://www.uniprot.org/uniprotkb/Q52QI2/entry", "Q52QI2")</f>
        <v/>
      </c>
      <c r="F4694" t="n">
        <v>30.9</v>
      </c>
      <c r="G4694" t="n">
        <v>94</v>
      </c>
      <c r="H4694" t="n">
        <v>3.7e-05</v>
      </c>
      <c r="I4694" t="inlineStr">
        <is>
          <t>Swiss-Prot</t>
        </is>
      </c>
      <c r="J4694" t="inlineStr">
        <is>
          <t>RTL1</t>
        </is>
      </c>
      <c r="K4694" t="inlineStr">
        <is>
          <t>RTL1_BOVIN</t>
        </is>
      </c>
      <c r="L4694" t="inlineStr">
        <is>
          <t>sp|Q52QI2|RTL1_BOVIN Retrotransposon-like protein 1 OS=Bos taurus OX=9913 GN=RTL1 PE=2 SV=2</t>
        </is>
      </c>
      <c r="M4694" t="n">
        <v>1331</v>
      </c>
      <c r="N4694" t="inlineStr">
        <is>
          <t>Bos taurus</t>
        </is>
      </c>
      <c r="O4694" t="inlineStr">
        <is>
          <t>Retrotransposon-like protein 1</t>
        </is>
      </c>
    </row>
    <row r="4695">
      <c r="A4695" t="inlineStr">
        <is>
          <t>NODE_2960_length_8817_cov_610.497829_g1186_i0</t>
        </is>
      </c>
      <c r="B4695" t="inlineStr">
        <is>
          <t>bombina_pachypus_blastx</t>
        </is>
      </c>
      <c r="C4695" t="n">
        <v>4.99497032022826</v>
      </c>
      <c r="D4695" t="n">
        <v>0.0267199167998055</v>
      </c>
      <c r="E4695">
        <f>HYPERLINK("https://www.ncbi.nlm.nih.gov/gene/?term=KAI3369334.1", "KAI3369334.1")</f>
        <v/>
      </c>
      <c r="F4695" t="n">
        <v>85.09999999999999</v>
      </c>
      <c r="G4695" t="n">
        <v>194</v>
      </c>
      <c r="H4695" t="n">
        <v>5.21e-113</v>
      </c>
      <c r="I4695" t="inlineStr">
        <is>
          <t>Nr</t>
        </is>
      </c>
      <c r="J4695" t="inlineStr"/>
      <c r="K4695" t="inlineStr"/>
      <c r="L4695" t="inlineStr">
        <is>
          <t>KAI3369334.1 hypothetical protein L3Q82_007457 [Scortum barcoo]</t>
        </is>
      </c>
      <c r="M4695" t="n">
        <v>260</v>
      </c>
      <c r="N4695" t="inlineStr">
        <is>
          <t>Scortum barcoo</t>
        </is>
      </c>
      <c r="O4695" t="inlineStr">
        <is>
          <t>hypothetical protein L3Q82_007457</t>
        </is>
      </c>
    </row>
    <row r="4696">
      <c r="A4696" t="inlineStr"/>
      <c r="B4696" t="inlineStr"/>
      <c r="C4696" t="inlineStr"/>
      <c r="D4696" t="inlineStr"/>
      <c r="E4696">
        <f>HYPERLINK("https://www.uniprot.org/uniprotkb/A0A673Y201/entry", "A0A673Y201")</f>
        <v/>
      </c>
      <c r="F4696" t="n">
        <v>87.40000000000001</v>
      </c>
      <c r="G4696" t="n">
        <v>191</v>
      </c>
      <c r="H4696" t="n">
        <v>5.12e-109</v>
      </c>
      <c r="I4696" t="inlineStr">
        <is>
          <t>TrEMBL</t>
        </is>
      </c>
      <c r="J4696" t="inlineStr">
        <is>
          <t>ADAMTS2</t>
        </is>
      </c>
      <c r="K4696" t="inlineStr">
        <is>
          <t>A0A673Y201_SALTR</t>
        </is>
      </c>
      <c r="L4696" t="inlineStr">
        <is>
          <t>tr|A0A673Y201|A0A673Y201_SALTR A disintegrin and metalloproteinase with thrombospondin motifs 2-like OS=Salmo trutta OX=8032 GN=ADAMTS2 PE=4 SV=1</t>
        </is>
      </c>
      <c r="M4696" t="n">
        <v>1242</v>
      </c>
      <c r="N4696" t="inlineStr">
        <is>
          <t>Salmo trutta</t>
        </is>
      </c>
      <c r="O4696" t="inlineStr">
        <is>
          <t>A disintegrin and metalloproteinase with thrombospondin motifs 2-like</t>
        </is>
      </c>
    </row>
    <row r="4697">
      <c r="A4697" t="inlineStr"/>
      <c r="B4697" t="inlineStr"/>
      <c r="C4697" t="inlineStr"/>
      <c r="D4697" t="inlineStr"/>
      <c r="E4697">
        <f>HYPERLINK("https://www.uniprot.org/uniprotkb/A0A803KBT2/entry", "A0A803KBT2")</f>
        <v/>
      </c>
      <c r="F4697" t="n">
        <v>48.3</v>
      </c>
      <c r="G4697" t="n">
        <v>346</v>
      </c>
      <c r="H4697" t="n">
        <v>9.33e-98</v>
      </c>
      <c r="I4697" t="inlineStr">
        <is>
          <t>TrEMBL</t>
        </is>
      </c>
      <c r="J4697" t="inlineStr"/>
      <c r="K4697" t="inlineStr">
        <is>
          <t>A0A803KBT2_XENTR</t>
        </is>
      </c>
      <c r="L4697" t="inlineStr">
        <is>
          <t>tr|A0A803KBT2|A0A803KBT2_XENTR Reverse transcriptase domain-containing protein OS=Xenopus tropicalis OX=8364 PE=4 SV=1</t>
        </is>
      </c>
      <c r="M4697" t="n">
        <v>735</v>
      </c>
      <c r="N4697" t="inlineStr">
        <is>
          <t>Xenopus tropicalis</t>
        </is>
      </c>
      <c r="O4697" t="inlineStr">
        <is>
          <t>Reverse transcriptase domain-containing protein</t>
        </is>
      </c>
    </row>
    <row r="4698">
      <c r="A4698" t="inlineStr"/>
      <c r="B4698" t="inlineStr"/>
      <c r="C4698" t="inlineStr"/>
      <c r="D4698" t="inlineStr"/>
      <c r="E4698">
        <f>HYPERLINK("https://www.ncbi.nlm.nih.gov/gene/?term=KAI3358489.1", "KAI3358489.1")</f>
        <v/>
      </c>
      <c r="F4698" t="n">
        <v>82.59999999999999</v>
      </c>
      <c r="G4698" t="n">
        <v>172</v>
      </c>
      <c r="H4698" t="n">
        <v>2e-94</v>
      </c>
      <c r="I4698" t="inlineStr">
        <is>
          <t>Nr</t>
        </is>
      </c>
      <c r="J4698" t="inlineStr"/>
      <c r="K4698" t="inlineStr"/>
      <c r="L4698" t="inlineStr">
        <is>
          <t>KAI3358489.1 hypothetical protein L3Q82_014907 [Scortum barcoo]</t>
        </is>
      </c>
      <c r="M4698" t="n">
        <v>304</v>
      </c>
      <c r="N4698" t="inlineStr">
        <is>
          <t>Scortum barcoo</t>
        </is>
      </c>
      <c r="O4698" t="inlineStr">
        <is>
          <t>hypothetical protein L3Q82_014907</t>
        </is>
      </c>
    </row>
    <row r="4699">
      <c r="A4699" t="inlineStr"/>
      <c r="B4699" t="inlineStr"/>
      <c r="C4699" t="inlineStr"/>
      <c r="D4699" t="inlineStr"/>
      <c r="E4699">
        <f>HYPERLINK("https://www.uniprot.org/uniprotkb/A0A674AKC5/entry", "A0A674AKC5")</f>
        <v/>
      </c>
      <c r="F4699" t="n">
        <v>90.2</v>
      </c>
      <c r="G4699" t="n">
        <v>164</v>
      </c>
      <c r="H4699" t="n">
        <v>3e-94</v>
      </c>
      <c r="I4699" t="inlineStr">
        <is>
          <t>TrEMBL</t>
        </is>
      </c>
      <c r="J4699" t="inlineStr">
        <is>
          <t>LOC115183255</t>
        </is>
      </c>
      <c r="K4699" t="inlineStr">
        <is>
          <t>A0A674AKC5_SALTR</t>
        </is>
      </c>
      <c r="L4699" t="inlineStr">
        <is>
          <t>tr|A0A674AKC5|A0A674AKC5_SALTR Kinesin-like protein KIF1C OS=Salmo trutta OX=8032 GN=LOC115183255 PE=4 SV=1</t>
        </is>
      </c>
      <c r="M4699" t="n">
        <v>1892</v>
      </c>
      <c r="N4699" t="inlineStr">
        <is>
          <t>Salmo trutta</t>
        </is>
      </c>
      <c r="O4699" t="inlineStr">
        <is>
          <t>Kinesin-like protein KIF1C</t>
        </is>
      </c>
    </row>
    <row r="4700">
      <c r="A4700" t="inlineStr"/>
      <c r="B4700" t="inlineStr"/>
      <c r="C4700" t="inlineStr"/>
      <c r="D4700" t="inlineStr"/>
      <c r="E4700">
        <f>HYPERLINK("https://www.uniprot.org/uniprotkb/A0A803JQ01/entry", "A0A803JQ01")</f>
        <v/>
      </c>
      <c r="F4700" t="n">
        <v>46.9</v>
      </c>
      <c r="G4700" t="n">
        <v>350</v>
      </c>
      <c r="H4700" t="n">
        <v>1.4e-93</v>
      </c>
      <c r="I4700" t="inlineStr">
        <is>
          <t>TrEMBL</t>
        </is>
      </c>
      <c r="J4700" t="inlineStr"/>
      <c r="K4700" t="inlineStr">
        <is>
          <t>A0A803JQ01_XENTR</t>
        </is>
      </c>
      <c r="L4700" t="inlineStr">
        <is>
          <t>tr|A0A803JQ01|A0A803JQ01_XENTR Reverse transcriptase domain-containing protein OS=Xenopus tropicalis OX=8364 PE=4 SV=1</t>
        </is>
      </c>
      <c r="M4700" t="n">
        <v>786</v>
      </c>
      <c r="N4700" t="inlineStr">
        <is>
          <t>Xenopus tropicalis</t>
        </is>
      </c>
      <c r="O4700" t="inlineStr">
        <is>
          <t>Reverse transcriptase domain-containing protein</t>
        </is>
      </c>
    </row>
    <row r="4701">
      <c r="A4701" t="inlineStr"/>
      <c r="B4701" t="inlineStr"/>
      <c r="C4701" t="inlineStr"/>
      <c r="D4701" t="inlineStr"/>
      <c r="E4701">
        <f>HYPERLINK("https://www.uniprot.org/uniprotkb/A0A803J2S1/entry", "A0A803J2S1")</f>
        <v/>
      </c>
      <c r="F4701" t="n">
        <v>46</v>
      </c>
      <c r="G4701" t="n">
        <v>341</v>
      </c>
      <c r="H4701" t="n">
        <v>2.91e-91</v>
      </c>
      <c r="I4701" t="inlineStr">
        <is>
          <t>TrEMBL</t>
        </is>
      </c>
      <c r="J4701" t="inlineStr"/>
      <c r="K4701" t="inlineStr">
        <is>
          <t>A0A803J2S1_XENTR</t>
        </is>
      </c>
      <c r="L4701" t="inlineStr">
        <is>
          <t>tr|A0A803J2S1|A0A803J2S1_XENTR Reverse transcriptase domain-containing protein OS=Xenopus tropicalis OX=8364 PE=4 SV=1</t>
        </is>
      </c>
      <c r="M4701" t="n">
        <v>734</v>
      </c>
      <c r="N4701" t="inlineStr">
        <is>
          <t>Xenopus tropicalis</t>
        </is>
      </c>
      <c r="O4701" t="inlineStr">
        <is>
          <t>Reverse transcriptase domain-containing protein</t>
        </is>
      </c>
    </row>
    <row r="4702">
      <c r="A4702" t="inlineStr"/>
      <c r="B4702" t="inlineStr"/>
      <c r="C4702" t="inlineStr"/>
      <c r="D4702" t="inlineStr"/>
      <c r="E4702">
        <f>HYPERLINK("https://www.uniprot.org/uniprotkb/A0A803K2A9/entry", "A0A803K2A9")</f>
        <v/>
      </c>
      <c r="F4702" t="n">
        <v>46.6</v>
      </c>
      <c r="G4702" t="n">
        <v>337</v>
      </c>
      <c r="H4702" t="n">
        <v>2.94e-90</v>
      </c>
      <c r="I4702" t="inlineStr">
        <is>
          <t>TrEMBL</t>
        </is>
      </c>
      <c r="J4702" t="inlineStr"/>
      <c r="K4702" t="inlineStr">
        <is>
          <t>A0A803K2A9_XENTR</t>
        </is>
      </c>
      <c r="L4702" t="inlineStr">
        <is>
          <t>tr|A0A803K2A9|A0A803K2A9_XENTR Reverse transcriptase domain-containing protein OS=Xenopus tropicalis OX=8364 PE=4 SV=1</t>
        </is>
      </c>
      <c r="M4702" t="n">
        <v>656</v>
      </c>
      <c r="N4702" t="inlineStr">
        <is>
          <t>Xenopus tropicalis</t>
        </is>
      </c>
      <c r="O4702" t="inlineStr">
        <is>
          <t>Reverse transcriptase domain-containing protein</t>
        </is>
      </c>
    </row>
    <row r="4703">
      <c r="A4703" t="inlineStr"/>
      <c r="B4703" t="inlineStr"/>
      <c r="C4703" t="inlineStr"/>
      <c r="D4703" t="inlineStr"/>
      <c r="E4703">
        <f>HYPERLINK("https://www.uniprot.org/uniprotkb/A0A803JTL3/entry", "A0A803JTL3")</f>
        <v/>
      </c>
      <c r="F4703" t="n">
        <v>46.6</v>
      </c>
      <c r="G4703" t="n">
        <v>337</v>
      </c>
      <c r="H4703" t="n">
        <v>1.71e-89</v>
      </c>
      <c r="I4703" t="inlineStr">
        <is>
          <t>TrEMBL</t>
        </is>
      </c>
      <c r="J4703" t="inlineStr"/>
      <c r="K4703" t="inlineStr">
        <is>
          <t>A0A803JTL3_XENTR</t>
        </is>
      </c>
      <c r="L4703" t="inlineStr">
        <is>
          <t>tr|A0A803JTL3|A0A803JTL3_XENTR Reverse transcriptase domain-containing protein OS=Xenopus tropicalis OX=8364 PE=4 SV=1</t>
        </is>
      </c>
      <c r="M4703" t="n">
        <v>734</v>
      </c>
      <c r="N4703" t="inlineStr">
        <is>
          <t>Xenopus tropicalis</t>
        </is>
      </c>
      <c r="O4703" t="inlineStr">
        <is>
          <t>Reverse transcriptase domain-containing protein</t>
        </is>
      </c>
    </row>
    <row r="4704">
      <c r="A4704" t="inlineStr"/>
      <c r="B4704" t="inlineStr"/>
      <c r="C4704" t="inlineStr"/>
      <c r="D4704" t="inlineStr"/>
      <c r="E4704">
        <f>HYPERLINK("https://www.uniprot.org/uniprotkb/A0A6I8T244/entry", "A0A6I8T244")</f>
        <v/>
      </c>
      <c r="F4704" t="n">
        <v>46.6</v>
      </c>
      <c r="G4704" t="n">
        <v>337</v>
      </c>
      <c r="H4704" t="n">
        <v>1.71e-89</v>
      </c>
      <c r="I4704" t="inlineStr">
        <is>
          <t>TrEMBL</t>
        </is>
      </c>
      <c r="J4704" t="inlineStr"/>
      <c r="K4704" t="inlineStr">
        <is>
          <t>A0A6I8T244_XENTR</t>
        </is>
      </c>
      <c r="L4704" t="inlineStr">
        <is>
          <t>tr|A0A6I8T244|A0A6I8T244_XENTR Reverse transcriptase domain-containing protein OS=Xenopus tropicalis OX=8364 PE=4 SV=2</t>
        </is>
      </c>
      <c r="M4704" t="n">
        <v>734</v>
      </c>
      <c r="N4704" t="inlineStr">
        <is>
          <t>Xenopus tropicalis</t>
        </is>
      </c>
      <c r="O4704" t="inlineStr">
        <is>
          <t>Reverse transcriptase domain-containing protein</t>
        </is>
      </c>
    </row>
    <row r="4705">
      <c r="A4705" t="inlineStr"/>
      <c r="B4705" t="inlineStr"/>
      <c r="C4705" t="inlineStr"/>
      <c r="D4705" t="inlineStr"/>
      <c r="E4705">
        <f>HYPERLINK("https://www.uniprot.org/uniprotkb/A0A803J3W6/entry", "A0A803J3W6")</f>
        <v/>
      </c>
      <c r="F4705" t="n">
        <v>46.6</v>
      </c>
      <c r="G4705" t="n">
        <v>337</v>
      </c>
      <c r="H4705" t="n">
        <v>2.4e-89</v>
      </c>
      <c r="I4705" t="inlineStr">
        <is>
          <t>TrEMBL</t>
        </is>
      </c>
      <c r="J4705" t="inlineStr"/>
      <c r="K4705" t="inlineStr">
        <is>
          <t>A0A803J3W6_XENTR</t>
        </is>
      </c>
      <c r="L4705" t="inlineStr">
        <is>
          <t>tr|A0A803J3W6|A0A803J3W6_XENTR Reverse transcriptase domain-containing protein OS=Xenopus tropicalis OX=8364 PE=4 SV=1</t>
        </is>
      </c>
      <c r="M4705" t="n">
        <v>734</v>
      </c>
      <c r="N4705" t="inlineStr">
        <is>
          <t>Xenopus tropicalis</t>
        </is>
      </c>
      <c r="O4705" t="inlineStr">
        <is>
          <t>Reverse transcriptase domain-containing protein</t>
        </is>
      </c>
    </row>
    <row r="4706">
      <c r="A4706" t="inlineStr"/>
      <c r="B4706" t="inlineStr"/>
      <c r="C4706" t="inlineStr"/>
      <c r="D4706" t="inlineStr"/>
      <c r="E4706">
        <f>HYPERLINK("https://www.uniprot.org/uniprotkb/A0A803K1M9/entry", "A0A803K1M9")</f>
        <v/>
      </c>
      <c r="F4706" t="n">
        <v>46.6</v>
      </c>
      <c r="G4706" t="n">
        <v>337</v>
      </c>
      <c r="H4706" t="n">
        <v>3.62e-88</v>
      </c>
      <c r="I4706" t="inlineStr">
        <is>
          <t>TrEMBL</t>
        </is>
      </c>
      <c r="J4706" t="inlineStr"/>
      <c r="K4706" t="inlineStr">
        <is>
          <t>A0A803K1M9_XENTR</t>
        </is>
      </c>
      <c r="L4706" t="inlineStr">
        <is>
          <t>tr|A0A803K1M9|A0A803K1M9_XENTR Reverse transcriptase domain-containing protein OS=Xenopus tropicalis OX=8364 PE=4 SV=1</t>
        </is>
      </c>
      <c r="M4706" t="n">
        <v>734</v>
      </c>
      <c r="N4706" t="inlineStr">
        <is>
          <t>Xenopus tropicalis</t>
        </is>
      </c>
      <c r="O4706" t="inlineStr">
        <is>
          <t>Reverse transcriptase domain-containing protein</t>
        </is>
      </c>
    </row>
    <row r="4707">
      <c r="A4707" t="inlineStr"/>
      <c r="B4707" t="inlineStr"/>
      <c r="C4707" t="inlineStr"/>
      <c r="D4707" t="inlineStr"/>
      <c r="E4707">
        <f>HYPERLINK("https://www.uniprot.org/uniprotkb/A0A803JDM3/entry", "A0A803JDM3")</f>
        <v/>
      </c>
      <c r="F4707" t="n">
        <v>46.6</v>
      </c>
      <c r="G4707" t="n">
        <v>337</v>
      </c>
      <c r="H4707" t="n">
        <v>7.13e-88</v>
      </c>
      <c r="I4707" t="inlineStr">
        <is>
          <t>TrEMBL</t>
        </is>
      </c>
      <c r="J4707" t="inlineStr"/>
      <c r="K4707" t="inlineStr">
        <is>
          <t>A0A803JDM3_XENTR</t>
        </is>
      </c>
      <c r="L4707" t="inlineStr">
        <is>
          <t>tr|A0A803JDM3|A0A803JDM3_XENTR Reverse transcriptase domain-containing protein OS=Xenopus tropicalis OX=8364 PE=4 SV=1</t>
        </is>
      </c>
      <c r="M4707" t="n">
        <v>734</v>
      </c>
      <c r="N4707" t="inlineStr">
        <is>
          <t>Xenopus tropicalis</t>
        </is>
      </c>
      <c r="O4707" t="inlineStr">
        <is>
          <t>Reverse transcriptase domain-containing protein</t>
        </is>
      </c>
    </row>
    <row r="4708">
      <c r="A4708" t="inlineStr"/>
      <c r="B4708" t="inlineStr"/>
      <c r="C4708" t="inlineStr"/>
      <c r="D4708" t="inlineStr"/>
      <c r="E4708">
        <f>HYPERLINK("https://www.uniprot.org/uniprotkb/A0A8J1KI66/entry", "A0A8J1KI66")</f>
        <v/>
      </c>
      <c r="F4708" t="n">
        <v>46.4</v>
      </c>
      <c r="G4708" t="n">
        <v>343</v>
      </c>
      <c r="H4708" t="n">
        <v>1.02e-87</v>
      </c>
      <c r="I4708" t="inlineStr">
        <is>
          <t>TrEMBL</t>
        </is>
      </c>
      <c r="J4708" t="inlineStr">
        <is>
          <t>LOC121393214</t>
        </is>
      </c>
      <c r="K4708" t="inlineStr">
        <is>
          <t>A0A8J1KI66_XENLA</t>
        </is>
      </c>
      <c r="L4708" t="inlineStr">
        <is>
          <t>tr|A0A8J1KI66|A0A8J1KI66_XENLA uncharacterized protein LOC121393214 OS=Xenopus laevis OX=8355 GN=LOC121393214 PE=4 SV=1</t>
        </is>
      </c>
      <c r="M4708" t="n">
        <v>574</v>
      </c>
      <c r="N4708" t="inlineStr">
        <is>
          <t>Xenopus laevis</t>
        </is>
      </c>
      <c r="O4708" t="inlineStr">
        <is>
          <t>uncharacterized protein LOC121393214</t>
        </is>
      </c>
    </row>
    <row r="4709">
      <c r="A4709" t="inlineStr"/>
      <c r="B4709" t="inlineStr"/>
      <c r="C4709" t="inlineStr"/>
      <c r="D4709" t="inlineStr"/>
      <c r="E4709">
        <f>HYPERLINK("https://www.ncbi.nlm.nih.gov/gene/?term=XP_041417050.1", "XP_041417050.1")</f>
        <v/>
      </c>
      <c r="F4709" t="n">
        <v>46.4</v>
      </c>
      <c r="G4709" t="n">
        <v>343</v>
      </c>
      <c r="H4709" t="n">
        <v>2.63e-87</v>
      </c>
      <c r="I4709" t="inlineStr">
        <is>
          <t>Nr</t>
        </is>
      </c>
      <c r="J4709" t="inlineStr"/>
      <c r="K4709" t="inlineStr"/>
      <c r="L4709" t="inlineStr">
        <is>
          <t>XP_041417050.1 uncharacterized protein LOC121393214 [Xenopus laevis]</t>
        </is>
      </c>
      <c r="M4709" t="n">
        <v>574</v>
      </c>
      <c r="N4709" t="inlineStr">
        <is>
          <t>Xenopus laevis</t>
        </is>
      </c>
      <c r="O4709" t="inlineStr">
        <is>
          <t>uncharacterized protein LOC121393214</t>
        </is>
      </c>
    </row>
    <row r="4710">
      <c r="A4710" t="inlineStr"/>
      <c r="B4710" t="inlineStr"/>
      <c r="C4710" t="inlineStr"/>
      <c r="D4710" t="inlineStr"/>
      <c r="E4710">
        <f>HYPERLINK("https://www.uniprot.org/uniprotkb/A0A803J6V2/entry", "A0A803J6V2")</f>
        <v/>
      </c>
      <c r="F4710" t="n">
        <v>45.7</v>
      </c>
      <c r="G4710" t="n">
        <v>339</v>
      </c>
      <c r="H4710" t="n">
        <v>3.8e-87</v>
      </c>
      <c r="I4710" t="inlineStr">
        <is>
          <t>TrEMBL</t>
        </is>
      </c>
      <c r="J4710" t="inlineStr"/>
      <c r="K4710" t="inlineStr">
        <is>
          <t>A0A803J6V2_XENTR</t>
        </is>
      </c>
      <c r="L4710" t="inlineStr">
        <is>
          <t>tr|A0A803J6V2|A0A803J6V2_XENTR Reverse transcriptase domain-containing protein OS=Xenopus tropicalis OX=8364 PE=4 SV=1</t>
        </is>
      </c>
      <c r="M4710" t="n">
        <v>733</v>
      </c>
      <c r="N4710" t="inlineStr">
        <is>
          <t>Xenopus tropicalis</t>
        </is>
      </c>
      <c r="O4710" t="inlineStr">
        <is>
          <t>Reverse transcriptase domain-containing protein</t>
        </is>
      </c>
    </row>
    <row r="4711">
      <c r="A4711" t="inlineStr"/>
      <c r="B4711" t="inlineStr"/>
      <c r="C4711" t="inlineStr"/>
      <c r="D4711" t="inlineStr"/>
      <c r="E4711">
        <f>HYPERLINK("https://www.uniprot.org/uniprotkb/A0A803KCA4/entry", "A0A803KCA4")</f>
        <v/>
      </c>
      <c r="F4711" t="n">
        <v>46.5</v>
      </c>
      <c r="G4711" t="n">
        <v>331</v>
      </c>
      <c r="H4711" t="n">
        <v>1.11e-86</v>
      </c>
      <c r="I4711" t="inlineStr">
        <is>
          <t>TrEMBL</t>
        </is>
      </c>
      <c r="J4711" t="inlineStr">
        <is>
          <t>LOC116410997</t>
        </is>
      </c>
      <c r="K4711" t="inlineStr">
        <is>
          <t>A0A803KCA4_XENTR</t>
        </is>
      </c>
      <c r="L4711" t="inlineStr">
        <is>
          <t>tr|A0A803KCA4|A0A803KCA4_XENTR Uncharacterized LOC116410997 OS=Xenopus tropicalis OX=8364 GN=LOC116410997 PE=4 SV=1</t>
        </is>
      </c>
      <c r="M4711" t="n">
        <v>786</v>
      </c>
      <c r="N4711" t="inlineStr">
        <is>
          <t>Xenopus tropicalis</t>
        </is>
      </c>
      <c r="O4711" t="inlineStr">
        <is>
          <t>Uncharacterized LOC116410997</t>
        </is>
      </c>
    </row>
    <row r="4712">
      <c r="A4712" t="inlineStr"/>
      <c r="B4712" t="inlineStr"/>
      <c r="C4712" t="inlineStr"/>
      <c r="D4712" t="inlineStr"/>
      <c r="E4712">
        <f>HYPERLINK("https://www.ncbi.nlm.nih.gov/gene/?term=XP_031758619.1", "XP_031758619.1")</f>
        <v/>
      </c>
      <c r="F4712" t="n">
        <v>46.5</v>
      </c>
      <c r="G4712" t="n">
        <v>331</v>
      </c>
      <c r="H4712" t="n">
        <v>2.86e-86</v>
      </c>
      <c r="I4712" t="inlineStr">
        <is>
          <t>Nr</t>
        </is>
      </c>
      <c r="J4712" t="inlineStr"/>
      <c r="K4712" t="inlineStr"/>
      <c r="L4712" t="inlineStr">
        <is>
          <t>XP_031758619.1 uncharacterized protein LOC116410997 [Xenopus tropicalis]</t>
        </is>
      </c>
      <c r="M4712" t="n">
        <v>786</v>
      </c>
      <c r="N4712" t="inlineStr">
        <is>
          <t>Xenopus tropicalis</t>
        </is>
      </c>
      <c r="O4712" t="inlineStr">
        <is>
          <t>uncharacterized protein LOC116410997</t>
        </is>
      </c>
    </row>
    <row r="4713">
      <c r="A4713" t="inlineStr"/>
      <c r="B4713" t="inlineStr"/>
      <c r="C4713" t="inlineStr"/>
      <c r="D4713" t="inlineStr"/>
      <c r="E4713">
        <f>HYPERLINK("https://www.uniprot.org/uniprotkb/A0A8J1KSY9/entry", "A0A8J1KSY9")</f>
        <v/>
      </c>
      <c r="F4713" t="n">
        <v>46.5</v>
      </c>
      <c r="G4713" t="n">
        <v>340</v>
      </c>
      <c r="H4713" t="n">
        <v>2.12e-85</v>
      </c>
      <c r="I4713" t="inlineStr">
        <is>
          <t>TrEMBL</t>
        </is>
      </c>
      <c r="J4713" t="inlineStr">
        <is>
          <t>LOC121394203</t>
        </is>
      </c>
      <c r="K4713" t="inlineStr">
        <is>
          <t>A0A8J1KSY9_XENLA</t>
        </is>
      </c>
      <c r="L4713" t="inlineStr">
        <is>
          <t>tr|A0A8J1KSY9|A0A8J1KSY9_XENLA uncharacterized protein LOC121394203 OS=Xenopus laevis OX=8355 GN=LOC121394203 PE=4 SV=1</t>
        </is>
      </c>
      <c r="M4713" t="n">
        <v>731</v>
      </c>
      <c r="N4713" t="inlineStr">
        <is>
          <t>Xenopus laevis</t>
        </is>
      </c>
      <c r="O4713" t="inlineStr">
        <is>
          <t>uncharacterized protein LOC121394203</t>
        </is>
      </c>
    </row>
    <row r="4714">
      <c r="A4714" t="inlineStr"/>
      <c r="B4714" t="inlineStr"/>
      <c r="C4714" t="inlineStr"/>
      <c r="D4714" t="inlineStr"/>
      <c r="E4714">
        <f>HYPERLINK("https://www.ncbi.nlm.nih.gov/gene/?term=XP_041420430.1", "XP_041420430.1")</f>
        <v/>
      </c>
      <c r="F4714" t="n">
        <v>46.5</v>
      </c>
      <c r="G4714" t="n">
        <v>340</v>
      </c>
      <c r="H4714" t="n">
        <v>5.45e-85</v>
      </c>
      <c r="I4714" t="inlineStr">
        <is>
          <t>Nr</t>
        </is>
      </c>
      <c r="J4714" t="inlineStr"/>
      <c r="K4714" t="inlineStr"/>
      <c r="L4714" t="inlineStr">
        <is>
          <t>XP_041420430.1 uncharacterized protein LOC121394203 [Xenopus laevis]</t>
        </is>
      </c>
      <c r="M4714" t="n">
        <v>731</v>
      </c>
      <c r="N4714" t="inlineStr">
        <is>
          <t>Xenopus laevis</t>
        </is>
      </c>
      <c r="O4714" t="inlineStr">
        <is>
          <t>uncharacterized protein LOC121394203</t>
        </is>
      </c>
    </row>
    <row r="4715">
      <c r="A4715" t="inlineStr"/>
      <c r="B4715" t="inlineStr"/>
      <c r="C4715" t="inlineStr"/>
      <c r="D4715" t="inlineStr"/>
      <c r="E4715">
        <f>HYPERLINK("https://www.uniprot.org/uniprotkb/A0A060WUR0/entry", "A0A060WUR0")</f>
        <v/>
      </c>
      <c r="F4715" t="n">
        <v>81.40000000000001</v>
      </c>
      <c r="G4715" t="n">
        <v>161</v>
      </c>
      <c r="H4715" t="n">
        <v>1.28e-82</v>
      </c>
      <c r="I4715" t="inlineStr">
        <is>
          <t>TrEMBL</t>
        </is>
      </c>
      <c r="J4715" t="inlineStr">
        <is>
          <t>GSONMT00059071001</t>
        </is>
      </c>
      <c r="K4715" t="inlineStr">
        <is>
          <t>A0A060WUR0_ONCMY</t>
        </is>
      </c>
      <c r="L4715" t="inlineStr">
        <is>
          <t>tr|A0A060WUR0|A0A060WUR0_ONCMY HTH_Tnp_Tc3_2 domain-containing protein OS=Oncorhynchus mykiss OX=8022 GN=GSONMT00059071001 PE=4 SV=1</t>
        </is>
      </c>
      <c r="M4715" t="n">
        <v>192</v>
      </c>
      <c r="N4715" t="inlineStr">
        <is>
          <t>Oncorhynchus mykiss</t>
        </is>
      </c>
      <c r="O4715" t="inlineStr">
        <is>
          <t>HTH_Tnp_Tc3_2 domain-containing protein</t>
        </is>
      </c>
    </row>
    <row r="4716">
      <c r="A4716" t="inlineStr"/>
      <c r="B4716" t="inlineStr"/>
      <c r="C4716" t="inlineStr"/>
      <c r="D4716" t="inlineStr"/>
      <c r="E4716">
        <f>HYPERLINK("https://www.ncbi.nlm.nih.gov/gene/?term=CDQ70737.1", "CDQ70737.1")</f>
        <v/>
      </c>
      <c r="F4716" t="n">
        <v>81.40000000000001</v>
      </c>
      <c r="G4716" t="n">
        <v>161</v>
      </c>
      <c r="H4716" t="n">
        <v>3.28e-82</v>
      </c>
      <c r="I4716" t="inlineStr">
        <is>
          <t>Nr</t>
        </is>
      </c>
      <c r="J4716" t="inlineStr"/>
      <c r="K4716" t="inlineStr"/>
      <c r="L4716" t="inlineStr">
        <is>
          <t>CDQ70737.1 unnamed protein product [Oncorhynchus mykiss]</t>
        </is>
      </c>
      <c r="M4716" t="n">
        <v>192</v>
      </c>
      <c r="N4716" t="inlineStr">
        <is>
          <t>Oncorhynchus mykiss</t>
        </is>
      </c>
      <c r="O4716" t="inlineStr">
        <is>
          <t>unnamed protein product</t>
        </is>
      </c>
    </row>
    <row r="4717">
      <c r="A4717" t="inlineStr"/>
      <c r="B4717" t="inlineStr"/>
      <c r="C4717" t="inlineStr"/>
      <c r="D4717" t="inlineStr"/>
      <c r="E4717">
        <f>HYPERLINK("https://www.uniprot.org/uniprotkb/A0A803J933/entry", "A0A803J933")</f>
        <v/>
      </c>
      <c r="F4717" t="n">
        <v>46.1</v>
      </c>
      <c r="G4717" t="n">
        <v>321</v>
      </c>
      <c r="H4717" t="n">
        <v>3.44e-81</v>
      </c>
      <c r="I4717" t="inlineStr">
        <is>
          <t>TrEMBL</t>
        </is>
      </c>
      <c r="J4717" t="inlineStr"/>
      <c r="K4717" t="inlineStr">
        <is>
          <t>A0A803J933_XENTR</t>
        </is>
      </c>
      <c r="L4717" t="inlineStr">
        <is>
          <t>tr|A0A803J933|A0A803J933_XENTR Reverse transcriptase domain-containing protein OS=Xenopus tropicalis OX=8364 PE=4 SV=1</t>
        </is>
      </c>
      <c r="M4717" t="n">
        <v>661</v>
      </c>
      <c r="N4717" t="inlineStr">
        <is>
          <t>Xenopus tropicalis</t>
        </is>
      </c>
      <c r="O4717" t="inlineStr">
        <is>
          <t>Reverse transcriptase domain-containing protein</t>
        </is>
      </c>
    </row>
    <row r="4718">
      <c r="A4718" t="inlineStr"/>
      <c r="B4718" t="inlineStr"/>
      <c r="C4718" t="inlineStr"/>
      <c r="D4718" t="inlineStr"/>
      <c r="E4718">
        <f>HYPERLINK("https://www.uniprot.org/uniprotkb/A0A803J7B8/entry", "A0A803J7B8")</f>
        <v/>
      </c>
      <c r="F4718" t="n">
        <v>46</v>
      </c>
      <c r="G4718" t="n">
        <v>322</v>
      </c>
      <c r="H4718" t="n">
        <v>3.89e-81</v>
      </c>
      <c r="I4718" t="inlineStr">
        <is>
          <t>TrEMBL</t>
        </is>
      </c>
      <c r="J4718" t="inlineStr"/>
      <c r="K4718" t="inlineStr">
        <is>
          <t>A0A803J7B8_XENTR</t>
        </is>
      </c>
      <c r="L4718" t="inlineStr">
        <is>
          <t>tr|A0A803J7B8|A0A803J7B8_XENTR Reverse transcriptase domain-containing protein OS=Xenopus tropicalis OX=8364 PE=4 SV=1</t>
        </is>
      </c>
      <c r="M4718" t="n">
        <v>592</v>
      </c>
      <c r="N4718" t="inlineStr">
        <is>
          <t>Xenopus tropicalis</t>
        </is>
      </c>
      <c r="O4718" t="inlineStr">
        <is>
          <t>Reverse transcriptase domain-containing protein</t>
        </is>
      </c>
    </row>
    <row r="4719">
      <c r="A4719" t="inlineStr"/>
      <c r="B4719" t="inlineStr"/>
      <c r="C4719" t="inlineStr"/>
      <c r="D4719" t="inlineStr"/>
      <c r="E4719">
        <f>HYPERLINK("https://www.uniprot.org/uniprotkb/A0A803KCU3/entry", "A0A803KCU3")</f>
        <v/>
      </c>
      <c r="F4719" t="n">
        <v>46.1</v>
      </c>
      <c r="G4719" t="n">
        <v>319</v>
      </c>
      <c r="H4719" t="n">
        <v>9.869999999999999e-81</v>
      </c>
      <c r="I4719" t="inlineStr">
        <is>
          <t>TrEMBL</t>
        </is>
      </c>
      <c r="J4719" t="inlineStr"/>
      <c r="K4719" t="inlineStr">
        <is>
          <t>A0A803KCU3_XENTR</t>
        </is>
      </c>
      <c r="L4719" t="inlineStr">
        <is>
          <t>tr|A0A803KCU3|A0A803KCU3_XENTR Reverse transcriptase domain-containing protein OS=Xenopus tropicalis OX=8364 PE=4 SV=1</t>
        </is>
      </c>
      <c r="M4719" t="n">
        <v>711</v>
      </c>
      <c r="N4719" t="inlineStr">
        <is>
          <t>Xenopus tropicalis</t>
        </is>
      </c>
      <c r="O4719" t="inlineStr">
        <is>
          <t>Reverse transcriptase domain-containing protein</t>
        </is>
      </c>
    </row>
    <row r="4720">
      <c r="A4720" t="inlineStr"/>
      <c r="B4720" t="inlineStr"/>
      <c r="C4720" t="inlineStr"/>
      <c r="D4720" t="inlineStr"/>
      <c r="E4720">
        <f>HYPERLINK("https://www.uniprot.org/uniprotkb/A0A803JGD4/entry", "A0A803JGD4")</f>
        <v/>
      </c>
      <c r="F4720" t="n">
        <v>51.4</v>
      </c>
      <c r="G4720" t="n">
        <v>259</v>
      </c>
      <c r="H4720" t="n">
        <v>1.09e-80</v>
      </c>
      <c r="I4720" t="inlineStr">
        <is>
          <t>TrEMBL</t>
        </is>
      </c>
      <c r="J4720" t="inlineStr"/>
      <c r="K4720" t="inlineStr">
        <is>
          <t>A0A803JGD4_XENTR</t>
        </is>
      </c>
      <c r="L4720" t="inlineStr">
        <is>
          <t>tr|A0A803JGD4|A0A803JGD4_XENTR Reverse transcriptase domain-containing protein OS=Xenopus tropicalis OX=8364 PE=4 SV=1</t>
        </is>
      </c>
      <c r="M4720" t="n">
        <v>375</v>
      </c>
      <c r="N4720" t="inlineStr">
        <is>
          <t>Xenopus tropicalis</t>
        </is>
      </c>
      <c r="O4720" t="inlineStr">
        <is>
          <t>Reverse transcriptase domain-containing protein</t>
        </is>
      </c>
    </row>
    <row r="4721">
      <c r="A4721" t="inlineStr"/>
      <c r="B4721" t="inlineStr"/>
      <c r="C4721" t="inlineStr"/>
      <c r="D4721" t="inlineStr"/>
      <c r="E4721">
        <f>HYPERLINK("https://www.uniprot.org/uniprotkb/A0A803K1V8/entry", "A0A803K1V8")</f>
        <v/>
      </c>
      <c r="F4721" t="n">
        <v>51.2</v>
      </c>
      <c r="G4721" t="n">
        <v>258</v>
      </c>
      <c r="H4721" t="n">
        <v>5.54e-80</v>
      </c>
      <c r="I4721" t="inlineStr">
        <is>
          <t>TrEMBL</t>
        </is>
      </c>
      <c r="J4721" t="inlineStr"/>
      <c r="K4721" t="inlineStr">
        <is>
          <t>A0A803K1V8_XENTR</t>
        </is>
      </c>
      <c r="L4721" t="inlineStr">
        <is>
          <t>tr|A0A803K1V8|A0A803K1V8_XENTR Reverse transcriptase domain-containing protein OS=Xenopus tropicalis OX=8364 PE=4 SV=1</t>
        </is>
      </c>
      <c r="M4721" t="n">
        <v>315</v>
      </c>
      <c r="N4721" t="inlineStr">
        <is>
          <t>Xenopus tropicalis</t>
        </is>
      </c>
      <c r="O4721" t="inlineStr">
        <is>
          <t>Reverse transcriptase domain-containing protein</t>
        </is>
      </c>
    </row>
    <row r="4722">
      <c r="A4722" t="inlineStr"/>
      <c r="B4722" t="inlineStr"/>
      <c r="C4722" t="inlineStr"/>
      <c r="D4722" t="inlineStr"/>
      <c r="E4722">
        <f>HYPERLINK("https://www.uniprot.org/uniprotkb/A0A2D4LSH5/entry", "A0A2D4LSH5")</f>
        <v/>
      </c>
      <c r="F4722" t="n">
        <v>82.90000000000001</v>
      </c>
      <c r="G4722" t="n">
        <v>140</v>
      </c>
      <c r="H4722" t="n">
        <v>5.76e-79</v>
      </c>
      <c r="I4722" t="inlineStr">
        <is>
          <t>TrEMBL</t>
        </is>
      </c>
      <c r="J4722" t="inlineStr"/>
      <c r="K4722" t="inlineStr">
        <is>
          <t>A0A2D4LSH5_9SAUR</t>
        </is>
      </c>
      <c r="L4722" t="inlineStr">
        <is>
          <t>tr|A0A2D4LSH5|A0A2D4LSH5_9SAUR cDNA (Fragment) OS=Micrurus spixii OX=129469 PE=4 SV=1</t>
        </is>
      </c>
      <c r="M4722" t="n">
        <v>140</v>
      </c>
      <c r="N4722" t="inlineStr">
        <is>
          <t>Micrurus spixii</t>
        </is>
      </c>
      <c r="O4722" t="inlineStr">
        <is>
          <t>cDNA (Fragment)</t>
        </is>
      </c>
    </row>
    <row r="4723">
      <c r="A4723" t="inlineStr"/>
      <c r="B4723" t="inlineStr"/>
      <c r="C4723" t="inlineStr"/>
      <c r="D4723" t="inlineStr"/>
      <c r="E4723">
        <f>HYPERLINK("https://www.uniprot.org/uniprotkb/A0A803JJ24/entry", "A0A803JJ24")</f>
        <v/>
      </c>
      <c r="F4723" t="n">
        <v>41.8</v>
      </c>
      <c r="G4723" t="n">
        <v>354</v>
      </c>
      <c r="H4723" t="n">
        <v>1.69e-78</v>
      </c>
      <c r="I4723" t="inlineStr">
        <is>
          <t>TrEMBL</t>
        </is>
      </c>
      <c r="J4723" t="inlineStr"/>
      <c r="K4723" t="inlineStr">
        <is>
          <t>A0A803JJ24_XENTR</t>
        </is>
      </c>
      <c r="L4723" t="inlineStr">
        <is>
          <t>tr|A0A803JJ24|A0A803JJ24_XENTR Reverse transcriptase domain-containing protein OS=Xenopus tropicalis OX=8364 PE=4 SV=1</t>
        </is>
      </c>
      <c r="M4723" t="n">
        <v>787</v>
      </c>
      <c r="N4723" t="inlineStr">
        <is>
          <t>Xenopus tropicalis</t>
        </is>
      </c>
      <c r="O4723" t="inlineStr">
        <is>
          <t>Reverse transcriptase domain-containing protein</t>
        </is>
      </c>
    </row>
    <row r="4724">
      <c r="A4724" t="inlineStr"/>
      <c r="B4724" t="inlineStr"/>
      <c r="C4724" t="inlineStr"/>
      <c r="D4724" t="inlineStr"/>
      <c r="E4724">
        <f>HYPERLINK("https://www.ncbi.nlm.nih.gov/gene/?term=KAI3375517.1", "KAI3375517.1")</f>
        <v/>
      </c>
      <c r="F4724" t="n">
        <v>78.5</v>
      </c>
      <c r="G4724" t="n">
        <v>191</v>
      </c>
      <c r="H4724" t="n">
        <v>9.95e-76</v>
      </c>
      <c r="I4724" t="inlineStr">
        <is>
          <t>Nr</t>
        </is>
      </c>
      <c r="J4724" t="inlineStr"/>
      <c r="K4724" t="inlineStr"/>
      <c r="L4724" t="inlineStr">
        <is>
          <t>KAI3375517.1 hypothetical protein L3Q82_003849 [Scortum barcoo]</t>
        </is>
      </c>
      <c r="M4724" t="n">
        <v>252</v>
      </c>
      <c r="N4724" t="inlineStr">
        <is>
          <t>Scortum barcoo</t>
        </is>
      </c>
      <c r="O4724" t="inlineStr">
        <is>
          <t>hypothetical protein L3Q82_003849</t>
        </is>
      </c>
    </row>
    <row r="4725">
      <c r="A4725" t="inlineStr"/>
      <c r="B4725" t="inlineStr"/>
      <c r="C4725" t="inlineStr"/>
      <c r="D4725" t="inlineStr"/>
      <c r="E4725">
        <f>HYPERLINK("https://www.uniprot.org/uniprotkb/A0A8J1KTE8/entry", "A0A8J1KTE8")</f>
        <v/>
      </c>
      <c r="F4725" t="n">
        <v>39.9</v>
      </c>
      <c r="G4725" t="n">
        <v>346</v>
      </c>
      <c r="H4725" t="n">
        <v>4.34e-75</v>
      </c>
      <c r="I4725" t="inlineStr">
        <is>
          <t>TrEMBL</t>
        </is>
      </c>
      <c r="J4725" t="inlineStr">
        <is>
          <t>LOC121394250</t>
        </is>
      </c>
      <c r="K4725" t="inlineStr">
        <is>
          <t>A0A8J1KTE8_XENLA</t>
        </is>
      </c>
      <c r="L4725" t="inlineStr">
        <is>
          <t>tr|A0A8J1KTE8|A0A8J1KTE8_XENLA uncharacterized protein LOC121394250 OS=Xenopus laevis OX=8355 GN=LOC121394250 PE=4 SV=1</t>
        </is>
      </c>
      <c r="M4725" t="n">
        <v>561</v>
      </c>
      <c r="N4725" t="inlineStr">
        <is>
          <t>Xenopus laevis</t>
        </is>
      </c>
      <c r="O4725" t="inlineStr">
        <is>
          <t>uncharacterized protein LOC121394250</t>
        </is>
      </c>
    </row>
    <row r="4726">
      <c r="A4726" t="inlineStr"/>
      <c r="B4726" t="inlineStr"/>
      <c r="C4726" t="inlineStr"/>
      <c r="D4726" t="inlineStr"/>
      <c r="E4726">
        <f>HYPERLINK("https://www.ncbi.nlm.nih.gov/gene/?term=XP_041420586.1", "XP_041420586.1")</f>
        <v/>
      </c>
      <c r="F4726" t="n">
        <v>39.9</v>
      </c>
      <c r="G4726" t="n">
        <v>346</v>
      </c>
      <c r="H4726" t="n">
        <v>1.11e-74</v>
      </c>
      <c r="I4726" t="inlineStr">
        <is>
          <t>Nr</t>
        </is>
      </c>
      <c r="J4726" t="inlineStr"/>
      <c r="K4726" t="inlineStr"/>
      <c r="L4726" t="inlineStr">
        <is>
          <t>XP_041420586.1 uncharacterized protein LOC121394250 [Xenopus laevis]</t>
        </is>
      </c>
      <c r="M4726" t="n">
        <v>561</v>
      </c>
      <c r="N4726" t="inlineStr">
        <is>
          <t>Xenopus laevis</t>
        </is>
      </c>
      <c r="O4726" t="inlineStr">
        <is>
          <t>uncharacterized protein LOC121394250</t>
        </is>
      </c>
    </row>
    <row r="4727">
      <c r="A4727" t="inlineStr"/>
      <c r="B4727" t="inlineStr"/>
      <c r="C4727" t="inlineStr"/>
      <c r="D4727" t="inlineStr"/>
      <c r="E4727">
        <f>HYPERLINK("https://www.ncbi.nlm.nih.gov/gene/?term=KAI3372539.1", "KAI3372539.1")</f>
        <v/>
      </c>
      <c r="F4727" t="n">
        <v>95.09999999999999</v>
      </c>
      <c r="G4727" t="n">
        <v>143</v>
      </c>
      <c r="H4727" t="n">
        <v>2.12e-73</v>
      </c>
      <c r="I4727" t="inlineStr">
        <is>
          <t>Nr</t>
        </is>
      </c>
      <c r="J4727" t="inlineStr"/>
      <c r="K4727" t="inlineStr"/>
      <c r="L4727" t="inlineStr">
        <is>
          <t>KAI3372539.1 hypothetical protein L3Q82_023013 [Scortum barcoo]</t>
        </is>
      </c>
      <c r="M4727" t="n">
        <v>234</v>
      </c>
      <c r="N4727" t="inlineStr">
        <is>
          <t>Scortum barcoo</t>
        </is>
      </c>
      <c r="O4727" t="inlineStr">
        <is>
          <t>hypothetical protein L3Q82_023013</t>
        </is>
      </c>
    </row>
    <row r="4728">
      <c r="A4728" t="inlineStr"/>
      <c r="B4728" t="inlineStr"/>
      <c r="C4728" t="inlineStr"/>
      <c r="D4728" t="inlineStr"/>
      <c r="E4728">
        <f>HYPERLINK("https://www.ncbi.nlm.nih.gov/gene/?term=KAI3360484.1", "KAI3360484.1")</f>
        <v/>
      </c>
      <c r="F4728" t="n">
        <v>74.90000000000001</v>
      </c>
      <c r="G4728" t="n">
        <v>199</v>
      </c>
      <c r="H4728" t="n">
        <v>2.2e-73</v>
      </c>
      <c r="I4728" t="inlineStr">
        <is>
          <t>Nr</t>
        </is>
      </c>
      <c r="J4728" t="inlineStr"/>
      <c r="K4728" t="inlineStr"/>
      <c r="L4728" t="inlineStr">
        <is>
          <t>KAI3360484.1 hypothetical protein L3Q82_002376 [Scortum barcoo]</t>
        </is>
      </c>
      <c r="M4728" t="n">
        <v>257</v>
      </c>
      <c r="N4728" t="inlineStr">
        <is>
          <t>Scortum barcoo</t>
        </is>
      </c>
      <c r="O4728" t="inlineStr">
        <is>
          <t>hypothetical protein L3Q82_002376</t>
        </is>
      </c>
    </row>
    <row r="4729">
      <c r="A4729" t="inlineStr"/>
      <c r="B4729" t="inlineStr"/>
      <c r="C4729" t="inlineStr"/>
      <c r="D4729" t="inlineStr"/>
      <c r="E4729">
        <f>HYPERLINK("https://www.uniprot.org/uniprotkb/A0A8C5PJT7/entry", "A0A8C5PJT7")</f>
        <v/>
      </c>
      <c r="F4729" t="n">
        <v>42.3</v>
      </c>
      <c r="G4729" t="n">
        <v>359</v>
      </c>
      <c r="H4729" t="n">
        <v>2.33e-73</v>
      </c>
      <c r="I4729" t="inlineStr">
        <is>
          <t>TrEMBL</t>
        </is>
      </c>
      <c r="J4729" t="inlineStr"/>
      <c r="K4729" t="inlineStr">
        <is>
          <t>A0A8C5PJT7_9ANUR</t>
        </is>
      </c>
      <c r="L4729" t="inlineStr">
        <is>
          <t>tr|A0A8C5PJT7|A0A8C5PJT7_9ANUR Reverse transcriptase domain-containing protein OS=Leptobrachium leishanense OX=445787 PE=4 SV=1</t>
        </is>
      </c>
      <c r="M4729" t="n">
        <v>435</v>
      </c>
      <c r="N4729" t="inlineStr">
        <is>
          <t>Leptobrachium leishanense</t>
        </is>
      </c>
      <c r="O4729" t="inlineStr">
        <is>
          <t>Reverse transcriptase domain-containing protein</t>
        </is>
      </c>
    </row>
    <row r="4730">
      <c r="A4730" t="inlineStr"/>
      <c r="B4730" t="inlineStr"/>
      <c r="C4730" t="inlineStr"/>
      <c r="D4730" t="inlineStr"/>
      <c r="E4730">
        <f>HYPERLINK("https://www.uniprot.org/uniprotkb/A0A4W5L1D3/entry", "A0A4W5L1D3")</f>
        <v/>
      </c>
      <c r="F4730" t="n">
        <v>94.40000000000001</v>
      </c>
      <c r="G4730" t="n">
        <v>144</v>
      </c>
      <c r="H4730" t="n">
        <v>2.52e-73</v>
      </c>
      <c r="I4730" t="inlineStr">
        <is>
          <t>TrEMBL</t>
        </is>
      </c>
      <c r="J4730" t="inlineStr"/>
      <c r="K4730" t="inlineStr">
        <is>
          <t>A0A4W5L1D3_9TELE</t>
        </is>
      </c>
      <c r="L4730" t="inlineStr">
        <is>
          <t>tr|A0A4W5L1D3|A0A4W5L1D3_9TELE HTH_Tnp_Tc3_2 domain-containing protein OS=Hucho hucho OX=62062 PE=4 SV=1</t>
        </is>
      </c>
      <c r="M4730" t="n">
        <v>258</v>
      </c>
      <c r="N4730" t="inlineStr">
        <is>
          <t>Hucho hucho</t>
        </is>
      </c>
      <c r="O4730" t="inlineStr">
        <is>
          <t>HTH_Tnp_Tc3_2 domain-containing protein</t>
        </is>
      </c>
    </row>
    <row r="4731">
      <c r="A4731" t="inlineStr"/>
      <c r="B4731" t="inlineStr"/>
      <c r="C4731" t="inlineStr"/>
      <c r="D4731" t="inlineStr"/>
      <c r="E4731">
        <f>HYPERLINK("https://www.uniprot.org/uniprotkb/A0A4W5MD76/entry", "A0A4W5MD76")</f>
        <v/>
      </c>
      <c r="F4731" t="n">
        <v>85.40000000000001</v>
      </c>
      <c r="G4731" t="n">
        <v>144</v>
      </c>
      <c r="H4731" t="n">
        <v>2.52e-73</v>
      </c>
      <c r="I4731" t="inlineStr">
        <is>
          <t>TrEMBL</t>
        </is>
      </c>
      <c r="J4731" t="inlineStr"/>
      <c r="K4731" t="inlineStr">
        <is>
          <t>A0A4W5MD76_9TELE</t>
        </is>
      </c>
      <c r="L4731" t="inlineStr">
        <is>
          <t>tr|A0A4W5MD76|A0A4W5MD76_9TELE HTH_Tnp_Tc3_2 domain-containing protein OS=Hucho hucho OX=62062 PE=4 SV=1</t>
        </is>
      </c>
      <c r="M4731" t="n">
        <v>258</v>
      </c>
      <c r="N4731" t="inlineStr">
        <is>
          <t>Hucho hucho</t>
        </is>
      </c>
      <c r="O4731" t="inlineStr">
        <is>
          <t>HTH_Tnp_Tc3_2 domain-containing protein</t>
        </is>
      </c>
    </row>
    <row r="4732">
      <c r="A4732" t="inlineStr"/>
      <c r="B4732" t="inlineStr"/>
      <c r="C4732" t="inlineStr"/>
      <c r="D4732" t="inlineStr"/>
      <c r="E4732">
        <f>HYPERLINK("https://www.uniprot.org/uniprotkb/A0A8C7CSZ9/entry", "A0A8C7CSZ9")</f>
        <v/>
      </c>
      <c r="F4732" t="n">
        <v>94.40000000000001</v>
      </c>
      <c r="G4732" t="n">
        <v>143</v>
      </c>
      <c r="H4732" t="n">
        <v>2.81e-73</v>
      </c>
      <c r="I4732" t="inlineStr">
        <is>
          <t>TrEMBL</t>
        </is>
      </c>
      <c r="J4732" t="inlineStr"/>
      <c r="K4732" t="inlineStr">
        <is>
          <t>A0A8C7CSZ9_ONCKI</t>
        </is>
      </c>
      <c r="L4732" t="inlineStr">
        <is>
          <t>tr|A0A8C7CSZ9|A0A8C7CSZ9_ONCKI Transposable element Tcb1 transposase OS=Oncorhynchus kisutch OX=8019 PE=4 SV=1</t>
        </is>
      </c>
      <c r="M4732" t="n">
        <v>341</v>
      </c>
      <c r="N4732" t="inlineStr">
        <is>
          <t>Oncorhynchus kisutch</t>
        </is>
      </c>
      <c r="O4732" t="inlineStr">
        <is>
          <t>Transposable element Tcb1 transposase</t>
        </is>
      </c>
    </row>
    <row r="4733">
      <c r="A4733" t="inlineStr"/>
      <c r="B4733" t="inlineStr"/>
      <c r="C4733" t="inlineStr"/>
      <c r="D4733" t="inlineStr"/>
      <c r="E4733">
        <f>HYPERLINK("https://www.uniprot.org/uniprotkb/A0A673XCM1/entry", "A0A673XCM1")</f>
        <v/>
      </c>
      <c r="F4733" t="n">
        <v>85.40000000000001</v>
      </c>
      <c r="G4733" t="n">
        <v>144</v>
      </c>
      <c r="H4733" t="n">
        <v>2.84e-73</v>
      </c>
      <c r="I4733" t="inlineStr">
        <is>
          <t>TrEMBL</t>
        </is>
      </c>
      <c r="J4733" t="inlineStr"/>
      <c r="K4733" t="inlineStr">
        <is>
          <t>A0A673XCM1_SALTR</t>
        </is>
      </c>
      <c r="L4733" t="inlineStr">
        <is>
          <t>tr|A0A673XCM1|A0A673XCM1_SALTR HTH_Tnp_Tc3_2 domain-containing protein OS=Salmo trutta OX=8032 PE=4 SV=1</t>
        </is>
      </c>
      <c r="M4733" t="n">
        <v>318</v>
      </c>
      <c r="N4733" t="inlineStr">
        <is>
          <t>Salmo trutta</t>
        </is>
      </c>
      <c r="O4733" t="inlineStr">
        <is>
          <t>HTH_Tnp_Tc3_2 domain-containing protein</t>
        </is>
      </c>
    </row>
    <row r="4734">
      <c r="A4734" t="inlineStr"/>
      <c r="B4734" t="inlineStr"/>
      <c r="C4734" t="inlineStr"/>
      <c r="D4734" t="inlineStr"/>
      <c r="E4734">
        <f>HYPERLINK("https://www.uniprot.org/uniprotkb/A0A4W5KCR3/entry", "A0A4W5KCR3")</f>
        <v/>
      </c>
      <c r="F4734" t="n">
        <v>93.8</v>
      </c>
      <c r="G4734" t="n">
        <v>144</v>
      </c>
      <c r="H4734" t="n">
        <v>3.140000000000001e-73</v>
      </c>
      <c r="I4734" t="inlineStr">
        <is>
          <t>TrEMBL</t>
        </is>
      </c>
      <c r="J4734" t="inlineStr"/>
      <c r="K4734" t="inlineStr">
        <is>
          <t>A0A4W5KCR3_9TELE</t>
        </is>
      </c>
      <c r="L4734" t="inlineStr">
        <is>
          <t>tr|A0A4W5KCR3|A0A4W5KCR3_9TELE HTH_Tnp_Tc3_2 domain-containing protein OS=Hucho hucho OX=62062 PE=4 SV=1</t>
        </is>
      </c>
      <c r="M4734" t="n">
        <v>243</v>
      </c>
      <c r="N4734" t="inlineStr">
        <is>
          <t>Hucho hucho</t>
        </is>
      </c>
      <c r="O4734" t="inlineStr">
        <is>
          <t>HTH_Tnp_Tc3_2 domain-containing protein</t>
        </is>
      </c>
    </row>
    <row r="4735">
      <c r="A4735" t="inlineStr"/>
      <c r="B4735" t="inlineStr"/>
      <c r="C4735" t="inlineStr"/>
      <c r="D4735" t="inlineStr"/>
      <c r="E4735">
        <f>HYPERLINK("https://www.uniprot.org/uniprotkb/A0A4W5LS33/entry", "A0A4W5LS33")</f>
        <v/>
      </c>
      <c r="F4735" t="n">
        <v>94.40000000000001</v>
      </c>
      <c r="G4735" t="n">
        <v>144</v>
      </c>
      <c r="H4735" t="n">
        <v>3.46e-73</v>
      </c>
      <c r="I4735" t="inlineStr">
        <is>
          <t>TrEMBL</t>
        </is>
      </c>
      <c r="J4735" t="inlineStr"/>
      <c r="K4735" t="inlineStr">
        <is>
          <t>A0A4W5LS33_9TELE</t>
        </is>
      </c>
      <c r="L4735" t="inlineStr">
        <is>
          <t>tr|A0A4W5LS33|A0A4W5LS33_9TELE HTH_Tnp_Tc3_2 domain-containing protein OS=Hucho hucho OX=62062 PE=4 SV=1</t>
        </is>
      </c>
      <c r="M4735" t="n">
        <v>268</v>
      </c>
      <c r="N4735" t="inlineStr">
        <is>
          <t>Hucho hucho</t>
        </is>
      </c>
      <c r="O4735" t="inlineStr">
        <is>
          <t>HTH_Tnp_Tc3_2 domain-containing protein</t>
        </is>
      </c>
    </row>
    <row r="4736">
      <c r="A4736" t="inlineStr"/>
      <c r="B4736" t="inlineStr"/>
      <c r="C4736" t="inlineStr"/>
      <c r="D4736" t="inlineStr"/>
      <c r="E4736">
        <f>HYPERLINK("https://www.ncbi.nlm.nih.gov/gene/?term=KAI3361677.1", "KAI3361677.1")</f>
        <v/>
      </c>
      <c r="F4736" t="n">
        <v>95.09999999999999</v>
      </c>
      <c r="G4736" t="n">
        <v>143</v>
      </c>
      <c r="H4736" t="n">
        <v>3.78e-73</v>
      </c>
      <c r="I4736" t="inlineStr">
        <is>
          <t>Nr</t>
        </is>
      </c>
      <c r="J4736" t="inlineStr"/>
      <c r="K4736" t="inlineStr"/>
      <c r="L4736" t="inlineStr">
        <is>
          <t>KAI3361677.1 hypothetical protein L3Q82_001943 [Scortum barcoo]</t>
        </is>
      </c>
      <c r="M4736" t="n">
        <v>252</v>
      </c>
      <c r="N4736" t="inlineStr">
        <is>
          <t>Scortum barcoo</t>
        </is>
      </c>
      <c r="O4736" t="inlineStr">
        <is>
          <t>hypothetical protein L3Q82_001943</t>
        </is>
      </c>
    </row>
    <row r="4737">
      <c r="A4737" t="inlineStr"/>
      <c r="B4737" t="inlineStr"/>
      <c r="C4737" t="inlineStr"/>
      <c r="D4737" t="inlineStr"/>
      <c r="E4737">
        <f>HYPERLINK("https://www.ncbi.nlm.nih.gov/gene/?term=KAI3375446.1", "KAI3375446.1")</f>
        <v/>
      </c>
      <c r="F4737" t="n">
        <v>91.3</v>
      </c>
      <c r="G4737" t="n">
        <v>126</v>
      </c>
      <c r="H4737" t="n">
        <v>3.8e-73</v>
      </c>
      <c r="I4737" t="inlineStr">
        <is>
          <t>Nr</t>
        </is>
      </c>
      <c r="J4737" t="inlineStr"/>
      <c r="K4737" t="inlineStr"/>
      <c r="L4737" t="inlineStr">
        <is>
          <t>KAI3375446.1 hypothetical protein L3Q82_003691 [Scortum barcoo]</t>
        </is>
      </c>
      <c r="M4737" t="n">
        <v>416</v>
      </c>
      <c r="N4737" t="inlineStr">
        <is>
          <t>Scortum barcoo</t>
        </is>
      </c>
      <c r="O4737" t="inlineStr">
        <is>
          <t>hypothetical protein L3Q82_003691</t>
        </is>
      </c>
    </row>
    <row r="4738">
      <c r="A4738" t="inlineStr"/>
      <c r="B4738" t="inlineStr"/>
      <c r="C4738" t="inlineStr"/>
      <c r="D4738" t="inlineStr"/>
      <c r="E4738">
        <f>HYPERLINK("https://www.uniprot.org/uniprotkb/A0A4W5JS82/entry", "A0A4W5JS82")</f>
        <v/>
      </c>
      <c r="F4738" t="n">
        <v>94.40000000000001</v>
      </c>
      <c r="G4738" t="n">
        <v>144</v>
      </c>
      <c r="H4738" t="n">
        <v>6.470000000000001e-73</v>
      </c>
      <c r="I4738" t="inlineStr">
        <is>
          <t>TrEMBL</t>
        </is>
      </c>
      <c r="J4738" t="inlineStr"/>
      <c r="K4738" t="inlineStr">
        <is>
          <t>A0A4W5JS82_9TELE</t>
        </is>
      </c>
      <c r="L4738" t="inlineStr">
        <is>
          <t>tr|A0A4W5JS82|A0A4W5JS82_9TELE HTH_Tnp_Tc3_2 domain-containing protein OS=Hucho hucho OX=62062 PE=4 SV=1</t>
        </is>
      </c>
      <c r="M4738" t="n">
        <v>288</v>
      </c>
      <c r="N4738" t="inlineStr">
        <is>
          <t>Hucho hucho</t>
        </is>
      </c>
      <c r="O4738" t="inlineStr">
        <is>
          <t>HTH_Tnp_Tc3_2 domain-containing protein</t>
        </is>
      </c>
    </row>
    <row r="4739">
      <c r="A4739" t="inlineStr"/>
      <c r="B4739" t="inlineStr"/>
      <c r="C4739" t="inlineStr"/>
      <c r="D4739" t="inlineStr"/>
      <c r="E4739">
        <f>HYPERLINK("https://www.uniprot.org/uniprotkb/A0A4W5LQX7/entry", "A0A4W5LQX7")</f>
        <v/>
      </c>
      <c r="F4739" t="n">
        <v>94.40000000000001</v>
      </c>
      <c r="G4739" t="n">
        <v>144</v>
      </c>
      <c r="H4739" t="n">
        <v>8.280000000000001e-73</v>
      </c>
      <c r="I4739" t="inlineStr">
        <is>
          <t>TrEMBL</t>
        </is>
      </c>
      <c r="J4739" t="inlineStr"/>
      <c r="K4739" t="inlineStr">
        <is>
          <t>A0A4W5LQX7_9TELE</t>
        </is>
      </c>
      <c r="L4739" t="inlineStr">
        <is>
          <t>tr|A0A4W5LQX7|A0A4W5LQX7_9TELE HTH_Tnp_Tc3_2 domain-containing protein OS=Hucho hucho OX=62062 PE=4 SV=1</t>
        </is>
      </c>
      <c r="M4739" t="n">
        <v>296</v>
      </c>
      <c r="N4739" t="inlineStr">
        <is>
          <t>Hucho hucho</t>
        </is>
      </c>
      <c r="O4739" t="inlineStr">
        <is>
          <t>HTH_Tnp_Tc3_2 domain-containing protein</t>
        </is>
      </c>
    </row>
    <row r="4740">
      <c r="A4740" t="inlineStr"/>
      <c r="B4740" t="inlineStr"/>
      <c r="C4740" t="inlineStr"/>
      <c r="D4740" t="inlineStr"/>
      <c r="E4740">
        <f>HYPERLINK("https://www.uniprot.org/uniprotkb/A0A4W5KCA2/entry", "A0A4W5KCA2")</f>
        <v/>
      </c>
      <c r="F4740" t="n">
        <v>94.40000000000001</v>
      </c>
      <c r="G4740" t="n">
        <v>144</v>
      </c>
      <c r="H4740" t="n">
        <v>8.54e-73</v>
      </c>
      <c r="I4740" t="inlineStr">
        <is>
          <t>TrEMBL</t>
        </is>
      </c>
      <c r="J4740" t="inlineStr"/>
      <c r="K4740" t="inlineStr">
        <is>
          <t>A0A4W5KCA2_9TELE</t>
        </is>
      </c>
      <c r="L4740" t="inlineStr">
        <is>
          <t>tr|A0A4W5KCA2|A0A4W5KCA2_9TELE HTH_Tnp_Tc3_2 domain-containing protein OS=Hucho hucho OX=62062 PE=4 SV=1</t>
        </is>
      </c>
      <c r="M4740" t="n">
        <v>297</v>
      </c>
      <c r="N4740" t="inlineStr">
        <is>
          <t>Hucho hucho</t>
        </is>
      </c>
      <c r="O4740" t="inlineStr">
        <is>
          <t>HTH_Tnp_Tc3_2 domain-containing protein</t>
        </is>
      </c>
    </row>
    <row r="4741">
      <c r="A4741" t="inlineStr"/>
      <c r="B4741" t="inlineStr"/>
      <c r="C4741" t="inlineStr"/>
      <c r="D4741" t="inlineStr"/>
      <c r="E4741">
        <f>HYPERLINK("https://www.uniprot.org/uniprotkb/A0A4W5LHK6/entry", "A0A4W5LHK6")</f>
        <v/>
      </c>
      <c r="F4741" t="n">
        <v>94.40000000000001</v>
      </c>
      <c r="G4741" t="n">
        <v>144</v>
      </c>
      <c r="H4741" t="n">
        <v>9.080000000000001e-73</v>
      </c>
      <c r="I4741" t="inlineStr">
        <is>
          <t>TrEMBL</t>
        </is>
      </c>
      <c r="J4741" t="inlineStr"/>
      <c r="K4741" t="inlineStr">
        <is>
          <t>A0A4W5LHK6_9TELE</t>
        </is>
      </c>
      <c r="L4741" t="inlineStr">
        <is>
          <t>tr|A0A4W5LHK6|A0A4W5LHK6_9TELE HTH_Tnp_Tc3_2 domain-containing protein OS=Hucho hucho OX=62062 PE=4 SV=1</t>
        </is>
      </c>
      <c r="M4741" t="n">
        <v>299</v>
      </c>
      <c r="N4741" t="inlineStr">
        <is>
          <t>Hucho hucho</t>
        </is>
      </c>
      <c r="O4741" t="inlineStr">
        <is>
          <t>HTH_Tnp_Tc3_2 domain-containing protein</t>
        </is>
      </c>
    </row>
    <row r="4742">
      <c r="A4742" t="inlineStr"/>
      <c r="B4742" t="inlineStr"/>
      <c r="C4742" t="inlineStr"/>
      <c r="D4742" t="inlineStr"/>
      <c r="E4742">
        <f>HYPERLINK("https://www.uniprot.org/uniprotkb/A0A4W5P6H1/entry", "A0A4W5P6H1")</f>
        <v/>
      </c>
      <c r="F4742" t="n">
        <v>94.40000000000001</v>
      </c>
      <c r="G4742" t="n">
        <v>144</v>
      </c>
      <c r="H4742" t="n">
        <v>9.960000000000001e-73</v>
      </c>
      <c r="I4742" t="inlineStr">
        <is>
          <t>TrEMBL</t>
        </is>
      </c>
      <c r="J4742" t="inlineStr"/>
      <c r="K4742" t="inlineStr">
        <is>
          <t>A0A4W5P6H1_9TELE</t>
        </is>
      </c>
      <c r="L4742" t="inlineStr">
        <is>
          <t>tr|A0A4W5P6H1|A0A4W5P6H1_9TELE HTH_Tnp_Tc3_2 domain-containing protein OS=Hucho hucho OX=62062 PE=4 SV=1</t>
        </is>
      </c>
      <c r="M4742" t="n">
        <v>302</v>
      </c>
      <c r="N4742" t="inlineStr">
        <is>
          <t>Hucho hucho</t>
        </is>
      </c>
      <c r="O4742" t="inlineStr">
        <is>
          <t>HTH_Tnp_Tc3_2 domain-containing protein</t>
        </is>
      </c>
    </row>
    <row r="4743">
      <c r="A4743" t="inlineStr"/>
      <c r="B4743" t="inlineStr"/>
      <c r="C4743" t="inlineStr"/>
      <c r="D4743" t="inlineStr"/>
      <c r="E4743">
        <f>HYPERLINK("https://www.uniprot.org/uniprotkb/A0A8J1KIB2/entry", "A0A8J1KIB2")</f>
        <v/>
      </c>
      <c r="F4743" t="n">
        <v>37.9</v>
      </c>
      <c r="G4743" t="n">
        <v>391</v>
      </c>
      <c r="H4743" t="n">
        <v>1.04e-72</v>
      </c>
      <c r="I4743" t="inlineStr">
        <is>
          <t>TrEMBL</t>
        </is>
      </c>
      <c r="J4743" t="inlineStr">
        <is>
          <t>LOC121393224</t>
        </is>
      </c>
      <c r="K4743" t="inlineStr">
        <is>
          <t>A0A8J1KIB2_XENLA</t>
        </is>
      </c>
      <c r="L4743" t="inlineStr">
        <is>
          <t>tr|A0A8J1KIB2|A0A8J1KIB2_XENLA uncharacterized protein LOC121393224 OS=Xenopus laevis OX=8355 GN=LOC121393224 PE=4 SV=1</t>
        </is>
      </c>
      <c r="M4743" t="n">
        <v>691</v>
      </c>
      <c r="N4743" t="inlineStr">
        <is>
          <t>Xenopus laevis</t>
        </is>
      </c>
      <c r="O4743" t="inlineStr">
        <is>
          <t>uncharacterized protein LOC121393224</t>
        </is>
      </c>
    </row>
    <row r="4744">
      <c r="A4744" t="inlineStr"/>
      <c r="B4744" t="inlineStr"/>
      <c r="C4744" t="inlineStr"/>
      <c r="D4744" t="inlineStr"/>
      <c r="E4744">
        <f>HYPERLINK("https://www.uniprot.org/uniprotkb/A0A060ZAR8/entry", "A0A060ZAR8")</f>
        <v/>
      </c>
      <c r="F4744" t="n">
        <v>79.2</v>
      </c>
      <c r="G4744" t="n">
        <v>154</v>
      </c>
      <c r="H4744" t="n">
        <v>1.23e-72</v>
      </c>
      <c r="I4744" t="inlineStr">
        <is>
          <t>TrEMBL</t>
        </is>
      </c>
      <c r="J4744" t="inlineStr">
        <is>
          <t>GSONMT00010338001</t>
        </is>
      </c>
      <c r="K4744" t="inlineStr">
        <is>
          <t>A0A060ZAR8_ONCMY</t>
        </is>
      </c>
      <c r="L4744" t="inlineStr">
        <is>
          <t>tr|A0A060ZAR8|A0A060ZAR8_ONCMY HTH_Tnp_Tc3_2 domain-containing protein (Fragment) OS=Oncorhynchus mykiss OX=8022 GN=GSONMT00010338001 PE=4 SV=1</t>
        </is>
      </c>
      <c r="M4744" t="n">
        <v>146</v>
      </c>
      <c r="N4744" t="inlineStr">
        <is>
          <t>Oncorhynchus mykiss</t>
        </is>
      </c>
      <c r="O4744" t="inlineStr">
        <is>
          <t>HTH_Tnp_Tc3_2 domain-containing protein (Fragment)</t>
        </is>
      </c>
    </row>
    <row r="4745">
      <c r="A4745" t="inlineStr"/>
      <c r="B4745" t="inlineStr"/>
      <c r="C4745" t="inlineStr"/>
      <c r="D4745" t="inlineStr"/>
      <c r="E4745">
        <f>HYPERLINK("https://www.uniprot.org/uniprotkb/A0A060Z283/entry", "A0A060Z283")</f>
        <v/>
      </c>
      <c r="F4745" t="n">
        <v>90.3</v>
      </c>
      <c r="G4745" t="n">
        <v>144</v>
      </c>
      <c r="H4745" t="n">
        <v>1.29e-72</v>
      </c>
      <c r="I4745" t="inlineStr">
        <is>
          <t>TrEMBL</t>
        </is>
      </c>
      <c r="J4745" t="inlineStr">
        <is>
          <t>GSONMT00060548001</t>
        </is>
      </c>
      <c r="K4745" t="inlineStr">
        <is>
          <t>A0A060Z283_ONCMY</t>
        </is>
      </c>
      <c r="L4745" t="inlineStr">
        <is>
          <t>tr|A0A060Z283|A0A060Z283_ONCMY HTH_Tnp_Tc3_2 domain-containing protein OS=Oncorhynchus mykiss OX=8022 GN=GSONMT00060548001 PE=4 SV=1</t>
        </is>
      </c>
      <c r="M4745" t="n">
        <v>211</v>
      </c>
      <c r="N4745" t="inlineStr">
        <is>
          <t>Oncorhynchus mykiss</t>
        </is>
      </c>
      <c r="O4745" t="inlineStr">
        <is>
          <t>HTH_Tnp_Tc3_2 domain-containing protein</t>
        </is>
      </c>
    </row>
    <row r="4746">
      <c r="A4746" t="inlineStr"/>
      <c r="B4746" t="inlineStr"/>
      <c r="C4746" t="inlineStr"/>
      <c r="D4746" t="inlineStr"/>
      <c r="E4746">
        <f>HYPERLINK("https://www.uniprot.org/uniprotkb/A0A4W5KIQ9/entry", "A0A4W5KIQ9")</f>
        <v/>
      </c>
      <c r="F4746" t="n">
        <v>94.40000000000001</v>
      </c>
      <c r="G4746" t="n">
        <v>144</v>
      </c>
      <c r="H4746" t="n">
        <v>1.43e-72</v>
      </c>
      <c r="I4746" t="inlineStr">
        <is>
          <t>TrEMBL</t>
        </is>
      </c>
      <c r="J4746" t="inlineStr"/>
      <c r="K4746" t="inlineStr">
        <is>
          <t>A0A4W5KIQ9_9TELE</t>
        </is>
      </c>
      <c r="L4746" t="inlineStr">
        <is>
          <t>tr|A0A4W5KIQ9|A0A4W5KIQ9_9TELE DDE_3 domain-containing protein OS=Hucho hucho OX=62062 PE=4 SV=1</t>
        </is>
      </c>
      <c r="M4746" t="n">
        <v>314</v>
      </c>
      <c r="N4746" t="inlineStr">
        <is>
          <t>Hucho hucho</t>
        </is>
      </c>
      <c r="O4746" t="inlineStr">
        <is>
          <t>DDE_3 domain-containing protein</t>
        </is>
      </c>
    </row>
    <row r="4747">
      <c r="A4747" t="inlineStr"/>
      <c r="B4747" t="inlineStr"/>
      <c r="C4747" t="inlineStr"/>
      <c r="D4747" t="inlineStr"/>
      <c r="E4747">
        <f>HYPERLINK("https://www.uniprot.org/uniprotkb/A0A4W5R300/entry", "A0A4W5R300")</f>
        <v/>
      </c>
      <c r="F4747" t="n">
        <v>94.40000000000001</v>
      </c>
      <c r="G4747" t="n">
        <v>144</v>
      </c>
      <c r="H4747" t="n">
        <v>1.43e-72</v>
      </c>
      <c r="I4747" t="inlineStr">
        <is>
          <t>TrEMBL</t>
        </is>
      </c>
      <c r="J4747" t="inlineStr"/>
      <c r="K4747" t="inlineStr">
        <is>
          <t>A0A4W5R300_9TELE</t>
        </is>
      </c>
      <c r="L4747" t="inlineStr">
        <is>
          <t>tr|A0A4W5R300|A0A4W5R300_9TELE DDE_3 domain-containing protein OS=Hucho hucho OX=62062 PE=4 SV=1</t>
        </is>
      </c>
      <c r="M4747" t="n">
        <v>314</v>
      </c>
      <c r="N4747" t="inlineStr">
        <is>
          <t>Hucho hucho</t>
        </is>
      </c>
      <c r="O4747" t="inlineStr">
        <is>
          <t>DDE_3 domain-containing protein</t>
        </is>
      </c>
    </row>
    <row r="4748">
      <c r="A4748" t="inlineStr"/>
      <c r="B4748" t="inlineStr"/>
      <c r="C4748" t="inlineStr"/>
      <c r="D4748" t="inlineStr"/>
      <c r="E4748">
        <f>HYPERLINK("https://www.uniprot.org/uniprotkb/A0A8J1MUI2/entry", "A0A8J1MUI2")</f>
        <v/>
      </c>
      <c r="F4748" t="n">
        <v>38.7</v>
      </c>
      <c r="G4748" t="n">
        <v>357</v>
      </c>
      <c r="H4748" t="n">
        <v>1.73e-72</v>
      </c>
      <c r="I4748" t="inlineStr">
        <is>
          <t>TrEMBL</t>
        </is>
      </c>
      <c r="J4748" t="inlineStr">
        <is>
          <t>aff4.S</t>
        </is>
      </c>
      <c r="K4748" t="inlineStr">
        <is>
          <t>A0A8J1MUI2_XENLA</t>
        </is>
      </c>
      <c r="L4748" t="inlineStr">
        <is>
          <t>tr|A0A8J1MUI2|A0A8J1MUI2_XENLA uncharacterized protein aff4.S isoform X3 OS=Xenopus laevis OX=8355 GN=aff4.S PE=4 SV=1</t>
        </is>
      </c>
      <c r="M4748" t="n">
        <v>1041</v>
      </c>
      <c r="N4748" t="inlineStr">
        <is>
          <t>Xenopus laevis</t>
        </is>
      </c>
      <c r="O4748" t="inlineStr">
        <is>
          <t>uncharacterized protein aff4.S isoform X3</t>
        </is>
      </c>
    </row>
    <row r="4749">
      <c r="A4749" t="inlineStr"/>
      <c r="B4749" t="inlineStr"/>
      <c r="C4749" t="inlineStr"/>
      <c r="D4749" t="inlineStr"/>
      <c r="E4749">
        <f>HYPERLINK("https://www.uniprot.org/uniprotkb/A0A674AWU4/entry", "A0A674AWU4")</f>
        <v/>
      </c>
      <c r="F4749" t="n">
        <v>89.59999999999999</v>
      </c>
      <c r="G4749" t="n">
        <v>144</v>
      </c>
      <c r="H4749" t="n">
        <v>1.8e-72</v>
      </c>
      <c r="I4749" t="inlineStr">
        <is>
          <t>TrEMBL</t>
        </is>
      </c>
      <c r="J4749" t="inlineStr"/>
      <c r="K4749" t="inlineStr">
        <is>
          <t>A0A674AWU4_SALTR</t>
        </is>
      </c>
      <c r="L4749" t="inlineStr">
        <is>
          <t>tr|A0A674AWU4|A0A674AWU4_SALTR HTH_Tnp_Tc3_2 domain-containing protein OS=Salmo trutta OX=8032 PE=4 SV=1</t>
        </is>
      </c>
      <c r="M4749" t="n">
        <v>265</v>
      </c>
      <c r="N4749" t="inlineStr">
        <is>
          <t>Salmo trutta</t>
        </is>
      </c>
      <c r="O4749" t="inlineStr">
        <is>
          <t>HTH_Tnp_Tc3_2 domain-containing protein</t>
        </is>
      </c>
    </row>
    <row r="4750">
      <c r="A4750" t="inlineStr"/>
      <c r="B4750" t="inlineStr"/>
      <c r="C4750" t="inlineStr"/>
      <c r="D4750" t="inlineStr"/>
      <c r="E4750">
        <f>HYPERLINK("https://www.uniprot.org/uniprotkb/A0A4W5L2Y4/entry", "A0A4W5L2Y4")</f>
        <v/>
      </c>
      <c r="F4750" t="n">
        <v>94.40000000000001</v>
      </c>
      <c r="G4750" t="n">
        <v>144</v>
      </c>
      <c r="H4750" t="n">
        <v>2.12e-72</v>
      </c>
      <c r="I4750" t="inlineStr">
        <is>
          <t>TrEMBL</t>
        </is>
      </c>
      <c r="J4750" t="inlineStr"/>
      <c r="K4750" t="inlineStr">
        <is>
          <t>A0A4W5L2Y4_9TELE</t>
        </is>
      </c>
      <c r="L4750" t="inlineStr">
        <is>
          <t>tr|A0A4W5L2Y4|A0A4W5L2Y4_9TELE Transposable element Tcb2 transposase OS=Hucho hucho OX=62062 PE=4 SV=1</t>
        </is>
      </c>
      <c r="M4750" t="n">
        <v>327</v>
      </c>
      <c r="N4750" t="inlineStr">
        <is>
          <t>Hucho hucho</t>
        </is>
      </c>
      <c r="O4750" t="inlineStr">
        <is>
          <t>Transposable element Tcb2 transposase</t>
        </is>
      </c>
    </row>
    <row r="4751">
      <c r="A4751" t="inlineStr"/>
      <c r="B4751" t="inlineStr"/>
      <c r="C4751" t="inlineStr"/>
      <c r="D4751" t="inlineStr"/>
      <c r="E4751">
        <f>HYPERLINK("https://www.ncbi.nlm.nih.gov/gene/?term=KAI3368148.1", "KAI3368148.1")</f>
        <v/>
      </c>
      <c r="F4751" t="n">
        <v>95.09999999999999</v>
      </c>
      <c r="G4751" t="n">
        <v>143</v>
      </c>
      <c r="H4751" t="n">
        <v>2.3e-72</v>
      </c>
      <c r="I4751" t="inlineStr">
        <is>
          <t>Nr</t>
        </is>
      </c>
      <c r="J4751" t="inlineStr"/>
      <c r="K4751" t="inlineStr"/>
      <c r="L4751" t="inlineStr">
        <is>
          <t>KAI3368148.1 hypothetical protein L3Q82_007810 [Scortum barcoo]</t>
        </is>
      </c>
      <c r="M4751" t="n">
        <v>310</v>
      </c>
      <c r="N4751" t="inlineStr">
        <is>
          <t>Scortum barcoo</t>
        </is>
      </c>
      <c r="O4751" t="inlineStr">
        <is>
          <t>hypothetical protein L3Q82_007810</t>
        </is>
      </c>
    </row>
    <row r="4752">
      <c r="A4752" t="inlineStr"/>
      <c r="B4752" t="inlineStr"/>
      <c r="C4752" t="inlineStr"/>
      <c r="D4752" t="inlineStr"/>
      <c r="E4752">
        <f>HYPERLINK("https://www.uniprot.org/uniprotkb/A0A4W5PJQ6/entry", "A0A4W5PJQ6")</f>
        <v/>
      </c>
      <c r="F4752" t="n">
        <v>94.40000000000001</v>
      </c>
      <c r="G4752" t="n">
        <v>144</v>
      </c>
      <c r="H4752" t="n">
        <v>2.32e-72</v>
      </c>
      <c r="I4752" t="inlineStr">
        <is>
          <t>TrEMBL</t>
        </is>
      </c>
      <c r="J4752" t="inlineStr"/>
      <c r="K4752" t="inlineStr">
        <is>
          <t>A0A4W5PJQ6_9TELE</t>
        </is>
      </c>
      <c r="L4752" t="inlineStr">
        <is>
          <t>tr|A0A4W5PJQ6|A0A4W5PJQ6_9TELE HTH_Tnp_Tc3_2 domain-containing protein OS=Hucho hucho OX=62062 PE=4 SV=1</t>
        </is>
      </c>
      <c r="M4752" t="n">
        <v>330</v>
      </c>
      <c r="N4752" t="inlineStr">
        <is>
          <t>Hucho hucho</t>
        </is>
      </c>
      <c r="O4752" t="inlineStr">
        <is>
          <t>HTH_Tnp_Tc3_2 domain-containing protein</t>
        </is>
      </c>
    </row>
    <row r="4753">
      <c r="A4753" t="inlineStr"/>
      <c r="B4753" t="inlineStr"/>
      <c r="C4753" t="inlineStr"/>
      <c r="D4753" t="inlineStr"/>
      <c r="E4753">
        <f>HYPERLINK("https://www.uniprot.org/uniprotkb/A0A4W5MG08/entry", "A0A4W5MG08")</f>
        <v/>
      </c>
      <c r="F4753" t="n">
        <v>94.40000000000001</v>
      </c>
      <c r="G4753" t="n">
        <v>144</v>
      </c>
      <c r="H4753" t="n">
        <v>2.32e-72</v>
      </c>
      <c r="I4753" t="inlineStr">
        <is>
          <t>TrEMBL</t>
        </is>
      </c>
      <c r="J4753" t="inlineStr"/>
      <c r="K4753" t="inlineStr">
        <is>
          <t>A0A4W5MG08_9TELE</t>
        </is>
      </c>
      <c r="L4753" t="inlineStr">
        <is>
          <t>tr|A0A4W5MG08|A0A4W5MG08_9TELE DDE_3 domain-containing protein OS=Hucho hucho OX=62062 PE=4 SV=1</t>
        </is>
      </c>
      <c r="M4753" t="n">
        <v>330</v>
      </c>
      <c r="N4753" t="inlineStr">
        <is>
          <t>Hucho hucho</t>
        </is>
      </c>
      <c r="O4753" t="inlineStr">
        <is>
          <t>DDE_3 domain-containing protein</t>
        </is>
      </c>
    </row>
    <row r="4754">
      <c r="A4754" t="inlineStr"/>
      <c r="B4754" t="inlineStr"/>
      <c r="C4754" t="inlineStr"/>
      <c r="D4754" t="inlineStr"/>
      <c r="E4754">
        <f>HYPERLINK("https://www.ncbi.nlm.nih.gov/gene/?term=KAI3356788.1", "KAI3356788.1")</f>
        <v/>
      </c>
      <c r="F4754" t="n">
        <v>95.09999999999999</v>
      </c>
      <c r="G4754" t="n">
        <v>144</v>
      </c>
      <c r="H4754" t="n">
        <v>2.67e-72</v>
      </c>
      <c r="I4754" t="inlineStr">
        <is>
          <t>Nr</t>
        </is>
      </c>
      <c r="J4754" t="inlineStr"/>
      <c r="K4754" t="inlineStr"/>
      <c r="L4754" t="inlineStr">
        <is>
          <t>KAI3356788.1 hypothetical protein L3Q82_003329 [Scortum barcoo]</t>
        </is>
      </c>
      <c r="M4754" t="n">
        <v>362</v>
      </c>
      <c r="N4754" t="inlineStr">
        <is>
          <t>Scortum barcoo</t>
        </is>
      </c>
      <c r="O4754" t="inlineStr">
        <is>
          <t>hypothetical protein L3Q82_003329</t>
        </is>
      </c>
    </row>
    <row r="4755">
      <c r="A4755" t="inlineStr"/>
      <c r="B4755" t="inlineStr"/>
      <c r="C4755" t="inlineStr"/>
      <c r="D4755" t="inlineStr"/>
      <c r="E4755">
        <f>HYPERLINK("https://www.ncbi.nlm.nih.gov/gene/?term=XP_041417071.1", "XP_041417071.1")</f>
        <v/>
      </c>
      <c r="F4755" t="n">
        <v>37.9</v>
      </c>
      <c r="G4755" t="n">
        <v>391</v>
      </c>
      <c r="H4755" t="n">
        <v>2.68e-72</v>
      </c>
      <c r="I4755" t="inlineStr">
        <is>
          <t>Nr</t>
        </is>
      </c>
      <c r="J4755" t="inlineStr"/>
      <c r="K4755" t="inlineStr"/>
      <c r="L4755" t="inlineStr">
        <is>
          <t>XP_041417071.1 uncharacterized protein LOC121393224 [Xenopus laevis]</t>
        </is>
      </c>
      <c r="M4755" t="n">
        <v>691</v>
      </c>
      <c r="N4755" t="inlineStr">
        <is>
          <t>Xenopus laevis</t>
        </is>
      </c>
      <c r="O4755" t="inlineStr">
        <is>
          <t>uncharacterized protein LOC121393224</t>
        </is>
      </c>
    </row>
    <row r="4756">
      <c r="A4756" t="inlineStr"/>
      <c r="B4756" t="inlineStr"/>
      <c r="C4756" t="inlineStr"/>
      <c r="D4756" t="inlineStr"/>
      <c r="E4756">
        <f>HYPERLINK("https://www.uniprot.org/uniprotkb/A0A674C5E6/entry", "A0A674C5E6")</f>
        <v/>
      </c>
      <c r="F4756" t="n">
        <v>93.8</v>
      </c>
      <c r="G4756" t="n">
        <v>144</v>
      </c>
      <c r="H4756" t="n">
        <v>2.72e-72</v>
      </c>
      <c r="I4756" t="inlineStr">
        <is>
          <t>TrEMBL</t>
        </is>
      </c>
      <c r="J4756" t="inlineStr"/>
      <c r="K4756" t="inlineStr">
        <is>
          <t>A0A674C5E6_SALTR</t>
        </is>
      </c>
      <c r="L4756" t="inlineStr">
        <is>
          <t>tr|A0A674C5E6|A0A674C5E6_SALTR HTH_Tnp_Tc3_2 domain-containing protein OS=Salmo trutta OX=8032 PE=4 SV=1</t>
        </is>
      </c>
      <c r="M4756" t="n">
        <v>267</v>
      </c>
      <c r="N4756" t="inlineStr">
        <is>
          <t>Salmo trutta</t>
        </is>
      </c>
      <c r="O4756" t="inlineStr">
        <is>
          <t>HTH_Tnp_Tc3_2 domain-containing protein</t>
        </is>
      </c>
    </row>
    <row r="4757">
      <c r="A4757" t="inlineStr"/>
      <c r="B4757" t="inlineStr"/>
      <c r="C4757" t="inlineStr"/>
      <c r="D4757" t="inlineStr"/>
      <c r="E4757">
        <f>HYPERLINK("https://www.uniprot.org/uniprotkb/A0A4W5JM00/entry", "A0A4W5JM00")</f>
        <v/>
      </c>
      <c r="F4757" t="n">
        <v>93.09999999999999</v>
      </c>
      <c r="G4757" t="n">
        <v>144</v>
      </c>
      <c r="H4757" t="n">
        <v>3.14e-72</v>
      </c>
      <c r="I4757" t="inlineStr">
        <is>
          <t>TrEMBL</t>
        </is>
      </c>
      <c r="J4757" t="inlineStr"/>
      <c r="K4757" t="inlineStr">
        <is>
          <t>A0A4W5JM00_9TELE</t>
        </is>
      </c>
      <c r="L4757" t="inlineStr">
        <is>
          <t>tr|A0A4W5JM00|A0A4W5JM00_9TELE HTH_Tnp_Tc3_2 domain-containing protein OS=Hucho hucho OX=62062 PE=4 SV=1</t>
        </is>
      </c>
      <c r="M4757" t="n">
        <v>294</v>
      </c>
      <c r="N4757" t="inlineStr">
        <is>
          <t>Hucho hucho</t>
        </is>
      </c>
      <c r="O4757" t="inlineStr">
        <is>
          <t>HTH_Tnp_Tc3_2 domain-containing protein</t>
        </is>
      </c>
    </row>
    <row r="4758">
      <c r="A4758" t="inlineStr"/>
      <c r="B4758" t="inlineStr"/>
      <c r="C4758" t="inlineStr"/>
      <c r="D4758" t="inlineStr"/>
      <c r="E4758">
        <f>HYPERLINK("https://www.ncbi.nlm.nih.gov/gene/?term=CDQ98370.1", "CDQ98370.1")</f>
        <v/>
      </c>
      <c r="F4758" t="n">
        <v>79.2</v>
      </c>
      <c r="G4758" t="n">
        <v>154</v>
      </c>
      <c r="H4758" t="n">
        <v>3.15e-72</v>
      </c>
      <c r="I4758" t="inlineStr">
        <is>
          <t>Nr</t>
        </is>
      </c>
      <c r="J4758" t="inlineStr"/>
      <c r="K4758" t="inlineStr"/>
      <c r="L4758" t="inlineStr">
        <is>
          <t>CDQ98370.1 unnamed protein product, partial [Oncorhynchus mykiss]</t>
        </is>
      </c>
      <c r="M4758" t="n">
        <v>146</v>
      </c>
      <c r="N4758" t="inlineStr">
        <is>
          <t>Oncorhynchus mykiss</t>
        </is>
      </c>
      <c r="O4758" t="inlineStr">
        <is>
          <t>unnamed protein product, partial</t>
        </is>
      </c>
    </row>
    <row r="4759">
      <c r="A4759" t="inlineStr"/>
      <c r="B4759" t="inlineStr"/>
      <c r="C4759" t="inlineStr"/>
      <c r="D4759" t="inlineStr"/>
      <c r="E4759">
        <f>HYPERLINK("https://www.ncbi.nlm.nih.gov/gene/?term=KAI3357176.1", "KAI3357176.1")</f>
        <v/>
      </c>
      <c r="F4759" t="n">
        <v>85.90000000000001</v>
      </c>
      <c r="G4759" t="n">
        <v>142</v>
      </c>
      <c r="H4759" t="n">
        <v>3.16e-72</v>
      </c>
      <c r="I4759" t="inlineStr">
        <is>
          <t>Nr</t>
        </is>
      </c>
      <c r="J4759" t="inlineStr"/>
      <c r="K4759" t="inlineStr"/>
      <c r="L4759" t="inlineStr">
        <is>
          <t>KAI3357176.1 hypothetical protein L3Q82_015637, partial [Scortum barcoo]</t>
        </is>
      </c>
      <c r="M4759" t="n">
        <v>242</v>
      </c>
      <c r="N4759" t="inlineStr">
        <is>
          <t>Scortum barcoo</t>
        </is>
      </c>
      <c r="O4759" t="inlineStr">
        <is>
          <t>hypothetical protein L3Q82_015637, partial</t>
        </is>
      </c>
    </row>
    <row r="4760">
      <c r="A4760" t="inlineStr"/>
      <c r="B4760" t="inlineStr"/>
      <c r="C4760" t="inlineStr"/>
      <c r="D4760" t="inlineStr"/>
      <c r="E4760">
        <f>HYPERLINK("https://www.ncbi.nlm.nih.gov/gene/?term=CDQ95405.1", "CDQ95405.1")</f>
        <v/>
      </c>
      <c r="F4760" t="n">
        <v>90.3</v>
      </c>
      <c r="G4760" t="n">
        <v>144</v>
      </c>
      <c r="H4760" t="n">
        <v>3.31e-72</v>
      </c>
      <c r="I4760" t="inlineStr">
        <is>
          <t>Nr</t>
        </is>
      </c>
      <c r="J4760" t="inlineStr"/>
      <c r="K4760" t="inlineStr"/>
      <c r="L4760" t="inlineStr">
        <is>
          <t>CDQ95405.1 unnamed protein product [Oncorhynchus mykiss]</t>
        </is>
      </c>
      <c r="M4760" t="n">
        <v>211</v>
      </c>
      <c r="N4760" t="inlineStr">
        <is>
          <t>Oncorhynchus mykiss</t>
        </is>
      </c>
      <c r="O4760" t="inlineStr">
        <is>
          <t>unnamed protein product</t>
        </is>
      </c>
    </row>
    <row r="4761">
      <c r="A4761" t="inlineStr"/>
      <c r="B4761" t="inlineStr"/>
      <c r="C4761" t="inlineStr"/>
      <c r="D4761" t="inlineStr"/>
      <c r="E4761">
        <f>HYPERLINK("https://www.ncbi.nlm.nih.gov/gene/?term=KAI3366236.1", "KAI3366236.1")</f>
        <v/>
      </c>
      <c r="F4761" t="n">
        <v>95.09999999999999</v>
      </c>
      <c r="G4761" t="n">
        <v>143</v>
      </c>
      <c r="H4761" t="n">
        <v>3.84e-72</v>
      </c>
      <c r="I4761" t="inlineStr">
        <is>
          <t>Nr</t>
        </is>
      </c>
      <c r="J4761" t="inlineStr"/>
      <c r="K4761" t="inlineStr"/>
      <c r="L4761" t="inlineStr">
        <is>
          <t>KAI3366236.1 hypothetical protein L3Q82_010045, partial [Scortum barcoo]</t>
        </is>
      </c>
      <c r="M4761" t="n">
        <v>327</v>
      </c>
      <c r="N4761" t="inlineStr">
        <is>
          <t>Scortum barcoo</t>
        </is>
      </c>
      <c r="O4761" t="inlineStr">
        <is>
          <t>hypothetical protein L3Q82_010045, partial</t>
        </is>
      </c>
    </row>
    <row r="4762">
      <c r="A4762" t="inlineStr"/>
      <c r="B4762" t="inlineStr"/>
      <c r="C4762" t="inlineStr"/>
      <c r="D4762" t="inlineStr"/>
      <c r="E4762">
        <f>HYPERLINK("https://www.ncbi.nlm.nih.gov/gene/?term=XP_041444675.1", "XP_041444675.1")</f>
        <v/>
      </c>
      <c r="F4762" t="n">
        <v>38.7</v>
      </c>
      <c r="G4762" t="n">
        <v>357</v>
      </c>
      <c r="H4762" t="n">
        <v>4.44e-72</v>
      </c>
      <c r="I4762" t="inlineStr">
        <is>
          <t>Nr</t>
        </is>
      </c>
      <c r="J4762" t="inlineStr"/>
      <c r="K4762" t="inlineStr"/>
      <c r="L4762" t="inlineStr">
        <is>
          <t>XP_041444675.1 uncharacterized protein aff4.S isoform X3 [Xenopus laevis]</t>
        </is>
      </c>
      <c r="M4762" t="n">
        <v>1041</v>
      </c>
      <c r="N4762" t="inlineStr">
        <is>
          <t>Xenopus laevis</t>
        </is>
      </c>
      <c r="O4762" t="inlineStr">
        <is>
          <t>uncharacterized protein aff4.S isoform X3</t>
        </is>
      </c>
    </row>
    <row r="4763">
      <c r="A4763" t="inlineStr"/>
      <c r="B4763" t="inlineStr"/>
      <c r="C4763" t="inlineStr"/>
      <c r="D4763" t="inlineStr"/>
      <c r="E4763">
        <f>HYPERLINK("https://www.ncbi.nlm.nih.gov/gene/?term=KAI3355367.1", "KAI3355367.1")</f>
        <v/>
      </c>
      <c r="F4763" t="n">
        <v>75.8</v>
      </c>
      <c r="G4763" t="n">
        <v>165</v>
      </c>
      <c r="H4763" t="n">
        <v>4.53e-72</v>
      </c>
      <c r="I4763" t="inlineStr">
        <is>
          <t>Nr</t>
        </is>
      </c>
      <c r="J4763" t="inlineStr"/>
      <c r="K4763" t="inlineStr"/>
      <c r="L4763" t="inlineStr">
        <is>
          <t>KAI3355367.1 hypothetical protein L3Q82_018209, partial [Scortum barcoo]</t>
        </is>
      </c>
      <c r="M4763" t="n">
        <v>689</v>
      </c>
      <c r="N4763" t="inlineStr">
        <is>
          <t>Scortum barcoo</t>
        </is>
      </c>
      <c r="O4763" t="inlineStr">
        <is>
          <t>hypothetical protein L3Q82_018209, partial</t>
        </is>
      </c>
    </row>
    <row r="4764">
      <c r="A4764" t="inlineStr"/>
      <c r="B4764" t="inlineStr"/>
      <c r="C4764" t="inlineStr"/>
      <c r="D4764" t="inlineStr"/>
      <c r="E4764">
        <f>HYPERLINK("https://www.ncbi.nlm.nih.gov/gene/?term=KAI3355610.1", "KAI3355610.1")</f>
        <v/>
      </c>
      <c r="F4764" t="n">
        <v>85.5</v>
      </c>
      <c r="G4764" t="n">
        <v>145</v>
      </c>
      <c r="H4764" t="n">
        <v>5.260000000000001e-72</v>
      </c>
      <c r="I4764" t="inlineStr">
        <is>
          <t>Nr</t>
        </is>
      </c>
      <c r="J4764" t="inlineStr"/>
      <c r="K4764" t="inlineStr"/>
      <c r="L4764" t="inlineStr">
        <is>
          <t>KAI3355610.1 hypothetical protein L3Q82_018427 [Scortum barcoo]</t>
        </is>
      </c>
      <c r="M4764" t="n">
        <v>247</v>
      </c>
      <c r="N4764" t="inlineStr">
        <is>
          <t>Scortum barcoo</t>
        </is>
      </c>
      <c r="O4764" t="inlineStr">
        <is>
          <t>hypothetical protein L3Q82_018427</t>
        </is>
      </c>
    </row>
    <row r="4765">
      <c r="A4765" t="inlineStr"/>
      <c r="B4765" t="inlineStr"/>
      <c r="C4765" t="inlineStr"/>
      <c r="D4765" t="inlineStr"/>
      <c r="E4765">
        <f>HYPERLINK("https://www.ncbi.nlm.nih.gov/gene/?term=XP_030227118.1", "XP_030227118.1")</f>
        <v/>
      </c>
      <c r="F4765" t="n">
        <v>93.8</v>
      </c>
      <c r="G4765" t="n">
        <v>144</v>
      </c>
      <c r="H4765" t="n">
        <v>6.350000000000001e-72</v>
      </c>
      <c r="I4765" t="inlineStr">
        <is>
          <t>Nr</t>
        </is>
      </c>
      <c r="J4765" t="inlineStr"/>
      <c r="K4765" t="inlineStr"/>
      <c r="L4765" t="inlineStr">
        <is>
          <t>XP_030227118.1 uncharacterized protein LOC115554493 [Gadus morhua]</t>
        </is>
      </c>
      <c r="M4765" t="n">
        <v>309</v>
      </c>
      <c r="N4765" t="inlineStr">
        <is>
          <t>Gadus morhua</t>
        </is>
      </c>
      <c r="O4765" t="inlineStr">
        <is>
          <t>uncharacterized protein LOC115554493</t>
        </is>
      </c>
    </row>
    <row r="4766">
      <c r="A4766" t="inlineStr"/>
      <c r="B4766" t="inlineStr"/>
      <c r="C4766" t="inlineStr"/>
      <c r="D4766" t="inlineStr"/>
      <c r="E4766">
        <f>HYPERLINK("https://www.uniprot.org/uniprotkb/A0A803J9V4/entry", "A0A803J9V4")</f>
        <v/>
      </c>
      <c r="F4766" t="n">
        <v>43.3</v>
      </c>
      <c r="G4766" t="n">
        <v>319</v>
      </c>
      <c r="H4766" t="n">
        <v>6.68e-72</v>
      </c>
      <c r="I4766" t="inlineStr">
        <is>
          <t>TrEMBL</t>
        </is>
      </c>
      <c r="J4766" t="inlineStr"/>
      <c r="K4766" t="inlineStr">
        <is>
          <t>A0A803J9V4_XENTR</t>
        </is>
      </c>
      <c r="L4766" t="inlineStr">
        <is>
          <t>tr|A0A803J9V4|A0A803J9V4_XENTR Reverse transcriptase domain-containing protein OS=Xenopus tropicalis OX=8364 PE=4 SV=1</t>
        </is>
      </c>
      <c r="M4766" t="n">
        <v>407</v>
      </c>
      <c r="N4766" t="inlineStr">
        <is>
          <t>Xenopus tropicalis</t>
        </is>
      </c>
      <c r="O4766" t="inlineStr">
        <is>
          <t>Reverse transcriptase domain-containing protein</t>
        </is>
      </c>
    </row>
    <row r="4767">
      <c r="A4767" t="inlineStr"/>
      <c r="B4767" t="inlineStr"/>
      <c r="C4767" t="inlineStr"/>
      <c r="D4767" t="inlineStr"/>
      <c r="E4767">
        <f>HYPERLINK("https://www.ncbi.nlm.nih.gov/gene/?term=KAI3352604.1", "KAI3352604.1")</f>
        <v/>
      </c>
      <c r="F4767" t="n">
        <v>95.09999999999999</v>
      </c>
      <c r="G4767" t="n">
        <v>143</v>
      </c>
      <c r="H4767" t="n">
        <v>1.01e-71</v>
      </c>
      <c r="I4767" t="inlineStr">
        <is>
          <t>Nr</t>
        </is>
      </c>
      <c r="J4767" t="inlineStr"/>
      <c r="K4767" t="inlineStr"/>
      <c r="L4767" t="inlineStr">
        <is>
          <t>KAI3352604.1 hypothetical protein L3Q82_005546 [Scortum barcoo]</t>
        </is>
      </c>
      <c r="M4767" t="n">
        <v>360</v>
      </c>
      <c r="N4767" t="inlineStr">
        <is>
          <t>Scortum barcoo</t>
        </is>
      </c>
      <c r="O4767" t="inlineStr">
        <is>
          <t>hypothetical protein L3Q82_005546</t>
        </is>
      </c>
    </row>
    <row r="4768">
      <c r="A4768" t="inlineStr"/>
      <c r="B4768" t="inlineStr"/>
      <c r="C4768" t="inlineStr"/>
      <c r="D4768" t="inlineStr"/>
      <c r="E4768">
        <f>HYPERLINK("https://www.ncbi.nlm.nih.gov/gene/?term=KAI4903677.1", "KAI4903677.1")</f>
        <v/>
      </c>
      <c r="F4768" t="n">
        <v>85.3</v>
      </c>
      <c r="G4768" t="n">
        <v>136</v>
      </c>
      <c r="H4768" t="n">
        <v>1.45e-71</v>
      </c>
      <c r="I4768" t="inlineStr">
        <is>
          <t>Nr</t>
        </is>
      </c>
      <c r="J4768" t="inlineStr"/>
      <c r="K4768" t="inlineStr"/>
      <c r="L4768" t="inlineStr">
        <is>
          <t>KAI4903677.1 hypothetical protein NFI96_005067 [Prochilodus magdalenae]</t>
        </is>
      </c>
      <c r="M4768" t="n">
        <v>518</v>
      </c>
      <c r="N4768" t="inlineStr">
        <is>
          <t>Prochilodus magdalenae</t>
        </is>
      </c>
      <c r="O4768" t="inlineStr">
        <is>
          <t>hypothetical protein NFI96_005067</t>
        </is>
      </c>
    </row>
    <row r="4769">
      <c r="A4769" t="inlineStr"/>
      <c r="B4769" t="inlineStr"/>
      <c r="C4769" t="inlineStr"/>
      <c r="D4769" t="inlineStr"/>
      <c r="E4769">
        <f>HYPERLINK("https://www.ncbi.nlm.nih.gov/gene/?term=KAI3375388.1", "KAI3375388.1")</f>
        <v/>
      </c>
      <c r="F4769" t="n">
        <v>94.40000000000001</v>
      </c>
      <c r="G4769" t="n">
        <v>144</v>
      </c>
      <c r="H4769" t="n">
        <v>2.55e-71</v>
      </c>
      <c r="I4769" t="inlineStr">
        <is>
          <t>Nr</t>
        </is>
      </c>
      <c r="J4769" t="inlineStr"/>
      <c r="K4769" t="inlineStr"/>
      <c r="L4769" t="inlineStr">
        <is>
          <t>KAI3375388.1 hypothetical protein L3Q82_021874 [Scortum barcoo]</t>
        </is>
      </c>
      <c r="M4769" t="n">
        <v>368</v>
      </c>
      <c r="N4769" t="inlineStr">
        <is>
          <t>Scortum barcoo</t>
        </is>
      </c>
      <c r="O4769" t="inlineStr">
        <is>
          <t>hypothetical protein L3Q82_021874</t>
        </is>
      </c>
    </row>
    <row r="4770">
      <c r="A4770" t="inlineStr"/>
      <c r="B4770" t="inlineStr"/>
      <c r="C4770" t="inlineStr"/>
      <c r="D4770" t="inlineStr"/>
      <c r="E4770">
        <f>HYPERLINK("https://www.uniprot.org/uniprotkb/A0A8C5WJC8/entry", "A0A8C5WJC8")</f>
        <v/>
      </c>
      <c r="F4770" t="n">
        <v>38.8</v>
      </c>
      <c r="G4770" t="n">
        <v>363</v>
      </c>
      <c r="H4770" t="n">
        <v>2.68e-71</v>
      </c>
      <c r="I4770" t="inlineStr">
        <is>
          <t>TrEMBL</t>
        </is>
      </c>
      <c r="J4770" t="inlineStr"/>
      <c r="K4770" t="inlineStr">
        <is>
          <t>A0A8C5WJC8_9ANUR</t>
        </is>
      </c>
      <c r="L4770" t="inlineStr">
        <is>
          <t>tr|A0A8C5WJC8|A0A8C5WJC8_9ANUR ATPgrasp_ST domain-containing protein OS=Leptobrachium leishanense OX=445787 PE=4 SV=1</t>
        </is>
      </c>
      <c r="M4770" t="n">
        <v>420</v>
      </c>
      <c r="N4770" t="inlineStr">
        <is>
          <t>Leptobrachium leishanense</t>
        </is>
      </c>
      <c r="O4770" t="inlineStr">
        <is>
          <t>ATPgrasp_ST domain-containing protein</t>
        </is>
      </c>
    </row>
    <row r="4771">
      <c r="A4771" t="inlineStr"/>
      <c r="B4771" t="inlineStr"/>
      <c r="C4771" t="inlineStr"/>
      <c r="D4771" t="inlineStr"/>
      <c r="E4771">
        <f>HYPERLINK("https://www.ncbi.nlm.nih.gov/gene/?term=ABV31711.1", "ABV31711.1")</f>
        <v/>
      </c>
      <c r="F4771" t="n">
        <v>79.90000000000001</v>
      </c>
      <c r="G4771" t="n">
        <v>154</v>
      </c>
      <c r="H4771" t="n">
        <v>6.94e-71</v>
      </c>
      <c r="I4771" t="inlineStr">
        <is>
          <t>Nr</t>
        </is>
      </c>
      <c r="J4771" t="inlineStr"/>
      <c r="K4771" t="inlineStr"/>
      <c r="L4771" t="inlineStr">
        <is>
          <t>ABV31711.1 transposase [Salmo salar]</t>
        </is>
      </c>
      <c r="M4771" t="n">
        <v>319</v>
      </c>
      <c r="N4771" t="inlineStr">
        <is>
          <t>Salmo salar</t>
        </is>
      </c>
      <c r="O4771" t="inlineStr">
        <is>
          <t>transposase</t>
        </is>
      </c>
    </row>
    <row r="4772">
      <c r="A4772" t="inlineStr"/>
      <c r="B4772" t="inlineStr"/>
      <c r="C4772" t="inlineStr"/>
      <c r="D4772" t="inlineStr"/>
      <c r="E4772">
        <f>HYPERLINK("https://www.ncbi.nlm.nih.gov/gene/?term=KAI3352800.1", "KAI3352800.1")</f>
        <v/>
      </c>
      <c r="F4772" t="n">
        <v>93.8</v>
      </c>
      <c r="G4772" t="n">
        <v>145</v>
      </c>
      <c r="H4772" t="n">
        <v>1.01e-70</v>
      </c>
      <c r="I4772" t="inlineStr">
        <is>
          <t>Nr</t>
        </is>
      </c>
      <c r="J4772" t="inlineStr"/>
      <c r="K4772" t="inlineStr"/>
      <c r="L4772" t="inlineStr">
        <is>
          <t>KAI3352800.1 hypothetical protein L3Q82_019233, partial [Scortum barcoo]</t>
        </is>
      </c>
      <c r="M4772" t="n">
        <v>252</v>
      </c>
      <c r="N4772" t="inlineStr">
        <is>
          <t>Scortum barcoo</t>
        </is>
      </c>
      <c r="O4772" t="inlineStr">
        <is>
          <t>hypothetical protein L3Q82_019233, partial</t>
        </is>
      </c>
    </row>
    <row r="4773">
      <c r="A4773" t="inlineStr"/>
      <c r="B4773" t="inlineStr"/>
      <c r="C4773" t="inlineStr"/>
      <c r="D4773" t="inlineStr"/>
      <c r="E4773">
        <f>HYPERLINK("https://www.ncbi.nlm.nih.gov/gene/?term=KAI3361715.1", "KAI3361715.1")</f>
        <v/>
      </c>
      <c r="F4773" t="n">
        <v>94.40000000000001</v>
      </c>
      <c r="G4773" t="n">
        <v>144</v>
      </c>
      <c r="H4773" t="n">
        <v>2.03e-70</v>
      </c>
      <c r="I4773" t="inlineStr">
        <is>
          <t>Nr</t>
        </is>
      </c>
      <c r="J4773" t="inlineStr"/>
      <c r="K4773" t="inlineStr"/>
      <c r="L4773" t="inlineStr">
        <is>
          <t>KAI3361715.1 hypothetical protein L3Q82_001953 [Scortum barcoo]</t>
        </is>
      </c>
      <c r="M4773" t="n">
        <v>320</v>
      </c>
      <c r="N4773" t="inlineStr">
        <is>
          <t>Scortum barcoo</t>
        </is>
      </c>
      <c r="O4773" t="inlineStr">
        <is>
          <t>hypothetical protein L3Q82_001953</t>
        </is>
      </c>
    </row>
    <row r="4774">
      <c r="A4774" t="inlineStr"/>
      <c r="B4774" t="inlineStr"/>
      <c r="C4774" t="inlineStr"/>
      <c r="D4774" t="inlineStr"/>
      <c r="E4774">
        <f>HYPERLINK("https://www.ncbi.nlm.nih.gov/gene/?term=CDQ78669.1", "CDQ78669.1")</f>
        <v/>
      </c>
      <c r="F4774" t="n">
        <v>81.90000000000001</v>
      </c>
      <c r="G4774" t="n">
        <v>160</v>
      </c>
      <c r="H4774" t="n">
        <v>2.11e-70</v>
      </c>
      <c r="I4774" t="inlineStr">
        <is>
          <t>Nr</t>
        </is>
      </c>
      <c r="J4774" t="inlineStr"/>
      <c r="K4774" t="inlineStr"/>
      <c r="L4774" t="inlineStr">
        <is>
          <t>CDQ78669.1 unnamed protein product [Oncorhynchus mykiss]</t>
        </is>
      </c>
      <c r="M4774" t="n">
        <v>146</v>
      </c>
      <c r="N4774" t="inlineStr">
        <is>
          <t>Oncorhynchus mykiss</t>
        </is>
      </c>
      <c r="O4774" t="inlineStr">
        <is>
          <t>unnamed protein product</t>
        </is>
      </c>
    </row>
    <row r="4775">
      <c r="A4775" t="inlineStr"/>
      <c r="B4775" t="inlineStr"/>
      <c r="C4775" t="inlineStr"/>
      <c r="D4775" t="inlineStr"/>
      <c r="E4775">
        <f>HYPERLINK("https://www.ncbi.nlm.nih.gov/gene/?term=KAI3352571.1", "KAI3352571.1")</f>
        <v/>
      </c>
      <c r="F4775" t="n">
        <v>94.40000000000001</v>
      </c>
      <c r="G4775" t="n">
        <v>144</v>
      </c>
      <c r="H4775" t="n">
        <v>4.49e-70</v>
      </c>
      <c r="I4775" t="inlineStr">
        <is>
          <t>Nr</t>
        </is>
      </c>
      <c r="J4775" t="inlineStr"/>
      <c r="K4775" t="inlineStr"/>
      <c r="L4775" t="inlineStr">
        <is>
          <t>KAI3352571.1 hypothetical protein L3Q82_005512 [Scortum barcoo]</t>
        </is>
      </c>
      <c r="M4775" t="n">
        <v>347</v>
      </c>
      <c r="N4775" t="inlineStr">
        <is>
          <t>Scortum barcoo</t>
        </is>
      </c>
      <c r="O4775" t="inlineStr">
        <is>
          <t>hypothetical protein L3Q82_005512</t>
        </is>
      </c>
    </row>
    <row r="4776">
      <c r="A4776" t="inlineStr"/>
      <c r="B4776" t="inlineStr"/>
      <c r="C4776" t="inlineStr"/>
      <c r="D4776" t="inlineStr"/>
      <c r="E4776">
        <f>HYPERLINK("https://www.ncbi.nlm.nih.gov/gene/?term=XP_041434030.1", "XP_041434030.1")</f>
        <v/>
      </c>
      <c r="F4776" t="n">
        <v>41.6</v>
      </c>
      <c r="G4776" t="n">
        <v>368</v>
      </c>
      <c r="H4776" t="n">
        <v>1.06e-69</v>
      </c>
      <c r="I4776" t="inlineStr">
        <is>
          <t>Nr</t>
        </is>
      </c>
      <c r="J4776" t="inlineStr"/>
      <c r="K4776" t="inlineStr"/>
      <c r="L4776" t="inlineStr">
        <is>
          <t>XP_041434030.1 uncharacterized protein LOC108702978 [Xenopus laevis]</t>
        </is>
      </c>
      <c r="M4776" t="n">
        <v>831</v>
      </c>
      <c r="N4776" t="inlineStr">
        <is>
          <t>Xenopus laevis</t>
        </is>
      </c>
      <c r="O4776" t="inlineStr">
        <is>
          <t>uncharacterized protein LOC108702978</t>
        </is>
      </c>
    </row>
    <row r="4777">
      <c r="A4777" t="inlineStr"/>
      <c r="B4777" t="inlineStr"/>
      <c r="C4777" t="inlineStr"/>
      <c r="D4777" t="inlineStr"/>
      <c r="E4777">
        <f>HYPERLINK("https://www.ncbi.nlm.nih.gov/gene/?term=XP_044139139.1", "XP_044139139.1")</f>
        <v/>
      </c>
      <c r="F4777" t="n">
        <v>38.6</v>
      </c>
      <c r="G4777" t="n">
        <v>373</v>
      </c>
      <c r="H4777" t="n">
        <v>7.459999999999999e-67</v>
      </c>
      <c r="I4777" t="inlineStr">
        <is>
          <t>Nr</t>
        </is>
      </c>
      <c r="J4777" t="inlineStr"/>
      <c r="K4777" t="inlineStr"/>
      <c r="L4777" t="inlineStr">
        <is>
          <t>XP_044139139.1 uncharacterized protein LOC122929581 [Bufo gargarizans]</t>
        </is>
      </c>
      <c r="M4777" t="n">
        <v>1065</v>
      </c>
      <c r="N4777" t="inlineStr">
        <is>
          <t>Bufo gargarizans</t>
        </is>
      </c>
      <c r="O4777" t="inlineStr">
        <is>
          <t>uncharacterized protein LOC122929581</t>
        </is>
      </c>
    </row>
    <row r="4778">
      <c r="A4778" t="inlineStr"/>
      <c r="B4778" t="inlineStr"/>
      <c r="C4778" t="inlineStr"/>
      <c r="D4778" t="inlineStr"/>
      <c r="E4778">
        <f>HYPERLINK("https://www.ncbi.nlm.nih.gov/gene/?term=KAJ1172431.1", "KAJ1172431.1")</f>
        <v/>
      </c>
      <c r="F4778" t="n">
        <v>38.8</v>
      </c>
      <c r="G4778" t="n">
        <v>369</v>
      </c>
      <c r="H4778" t="n">
        <v>8.079999999999999e-67</v>
      </c>
      <c r="I4778" t="inlineStr">
        <is>
          <t>Nr</t>
        </is>
      </c>
      <c r="J4778" t="inlineStr"/>
      <c r="K4778" t="inlineStr"/>
      <c r="L4778" t="inlineStr">
        <is>
          <t>KAJ1172431.1 hypothetical protein NDU88_004278 [Pleurodeles waltl]</t>
        </is>
      </c>
      <c r="M4778" t="n">
        <v>581</v>
      </c>
      <c r="N4778" t="inlineStr">
        <is>
          <t>Pleurodeles waltl</t>
        </is>
      </c>
      <c r="O4778" t="inlineStr">
        <is>
          <t>hypothetical protein NDU88_004278</t>
        </is>
      </c>
    </row>
    <row r="4779">
      <c r="A4779" t="inlineStr"/>
      <c r="B4779" t="inlineStr"/>
      <c r="C4779" t="inlineStr"/>
      <c r="D4779" t="inlineStr"/>
      <c r="E4779">
        <f>HYPERLINK("https://www.ncbi.nlm.nih.gov/gene/?term=XP_041418743.1", "XP_041418743.1")</f>
        <v/>
      </c>
      <c r="F4779" t="n">
        <v>38.1</v>
      </c>
      <c r="G4779" t="n">
        <v>367</v>
      </c>
      <c r="H4779" t="n">
        <v>6.86e-66</v>
      </c>
      <c r="I4779" t="inlineStr">
        <is>
          <t>Nr</t>
        </is>
      </c>
      <c r="J4779" t="inlineStr"/>
      <c r="K4779" t="inlineStr"/>
      <c r="L4779" t="inlineStr">
        <is>
          <t>XP_041418743.1 uncharacterized protein LOC121393680 isoform X1 [Xenopus laevis]</t>
        </is>
      </c>
      <c r="M4779" t="n">
        <v>753</v>
      </c>
      <c r="N4779" t="inlineStr">
        <is>
          <t>Xenopus laevis</t>
        </is>
      </c>
      <c r="O4779" t="inlineStr">
        <is>
          <t>uncharacterized protein LOC121393680 isoform X1</t>
        </is>
      </c>
    </row>
    <row r="4780">
      <c r="A4780" t="inlineStr"/>
      <c r="B4780" t="inlineStr"/>
      <c r="C4780" t="inlineStr"/>
      <c r="D4780" t="inlineStr"/>
      <c r="E4780">
        <f>HYPERLINK("https://www.ncbi.nlm.nih.gov/gene/?term=XP_033783167.1", "XP_033783167.1")</f>
        <v/>
      </c>
      <c r="F4780" t="n">
        <v>37.3</v>
      </c>
      <c r="G4780" t="n">
        <v>367</v>
      </c>
      <c r="H4780" t="n">
        <v>2.16e-63</v>
      </c>
      <c r="I4780" t="inlineStr">
        <is>
          <t>Nr</t>
        </is>
      </c>
      <c r="J4780" t="inlineStr"/>
      <c r="K4780" t="inlineStr"/>
      <c r="L4780" t="inlineStr">
        <is>
          <t>XP_033783167.1 uncharacterized protein LOC117351659 [Geotrypetes seraphini]</t>
        </is>
      </c>
      <c r="M4780" t="n">
        <v>509</v>
      </c>
      <c r="N4780" t="inlineStr">
        <is>
          <t>Geotrypetes seraphini</t>
        </is>
      </c>
      <c r="O4780" t="inlineStr">
        <is>
          <t>uncharacterized protein LOC117351659</t>
        </is>
      </c>
    </row>
    <row r="4781">
      <c r="A4781" t="inlineStr"/>
      <c r="B4781" t="inlineStr"/>
      <c r="C4781" t="inlineStr"/>
      <c r="D4781" t="inlineStr"/>
      <c r="E4781">
        <f>HYPERLINK("https://www.ncbi.nlm.nih.gov/gene/?term=XP_041419667.1", "XP_041419667.1")</f>
        <v/>
      </c>
      <c r="F4781" t="n">
        <v>44.6</v>
      </c>
      <c r="G4781" t="n">
        <v>260</v>
      </c>
      <c r="H4781" t="n">
        <v>9.63e-63</v>
      </c>
      <c r="I4781" t="inlineStr">
        <is>
          <t>Nr</t>
        </is>
      </c>
      <c r="J4781" t="inlineStr"/>
      <c r="K4781" t="inlineStr"/>
      <c r="L4781" t="inlineStr">
        <is>
          <t>XP_041419667.1 uncharacterized protein LOC121393892 [Xenopus laevis]</t>
        </is>
      </c>
      <c r="M4781" t="n">
        <v>430</v>
      </c>
      <c r="N4781" t="inlineStr">
        <is>
          <t>Xenopus laevis</t>
        </is>
      </c>
      <c r="O4781" t="inlineStr">
        <is>
          <t>uncharacterized protein LOC121393892</t>
        </is>
      </c>
    </row>
    <row r="4782">
      <c r="A4782" t="inlineStr"/>
      <c r="B4782" t="inlineStr"/>
      <c r="C4782" t="inlineStr"/>
      <c r="D4782" t="inlineStr"/>
      <c r="E4782">
        <f>HYPERLINK("https://www.ncbi.nlm.nih.gov/gene/?term=KAJ1219193.1", "KAJ1219193.1")</f>
        <v/>
      </c>
      <c r="F4782" t="n">
        <v>37</v>
      </c>
      <c r="G4782" t="n">
        <v>359</v>
      </c>
      <c r="H4782" t="n">
        <v>4.24e-62</v>
      </c>
      <c r="I4782" t="inlineStr">
        <is>
          <t>Nr</t>
        </is>
      </c>
      <c r="J4782" t="inlineStr"/>
      <c r="K4782" t="inlineStr"/>
      <c r="L4782" t="inlineStr">
        <is>
          <t>KAJ1219193.1 hypothetical protein NDU88_006764 [Pleurodeles waltl]</t>
        </is>
      </c>
      <c r="M4782" t="n">
        <v>408</v>
      </c>
      <c r="N4782" t="inlineStr">
        <is>
          <t>Pleurodeles waltl</t>
        </is>
      </c>
      <c r="O4782" t="inlineStr">
        <is>
          <t>hypothetical protein NDU88_006764</t>
        </is>
      </c>
    </row>
    <row r="4783">
      <c r="A4783" t="inlineStr"/>
      <c r="B4783" t="inlineStr"/>
      <c r="C4783" t="inlineStr"/>
      <c r="D4783" t="inlineStr"/>
      <c r="E4783">
        <f>HYPERLINK("https://www.ncbi.nlm.nih.gov/gene/?term=XP_041420848.1", "XP_041420848.1")</f>
        <v/>
      </c>
      <c r="F4783" t="n">
        <v>41.8</v>
      </c>
      <c r="G4783" t="n">
        <v>294</v>
      </c>
      <c r="H4783" t="n">
        <v>1.1e-61</v>
      </c>
      <c r="I4783" t="inlineStr">
        <is>
          <t>Nr</t>
        </is>
      </c>
      <c r="J4783" t="inlineStr"/>
      <c r="K4783" t="inlineStr"/>
      <c r="L4783" t="inlineStr">
        <is>
          <t>XP_041420848.1 uncharacterized protein LOC121394309 isoform X2 [Xenopus laevis]</t>
        </is>
      </c>
      <c r="M4783" t="n">
        <v>488</v>
      </c>
      <c r="N4783" t="inlineStr">
        <is>
          <t>Xenopus laevis</t>
        </is>
      </c>
      <c r="O4783" t="inlineStr">
        <is>
          <t>uncharacterized protein LOC121394309 isoform X2</t>
        </is>
      </c>
    </row>
    <row r="4784">
      <c r="A4784" t="inlineStr"/>
      <c r="B4784" t="inlineStr"/>
      <c r="C4784" t="inlineStr"/>
      <c r="D4784" t="inlineStr"/>
      <c r="E4784">
        <f>HYPERLINK("https://www.ncbi.nlm.nih.gov/gene/?term=XP_041420847.1", "XP_041420847.1")</f>
        <v/>
      </c>
      <c r="F4784" t="n">
        <v>41.8</v>
      </c>
      <c r="G4784" t="n">
        <v>294</v>
      </c>
      <c r="H4784" t="n">
        <v>5.2e-61</v>
      </c>
      <c r="I4784" t="inlineStr">
        <is>
          <t>Nr</t>
        </is>
      </c>
      <c r="J4784" t="inlineStr"/>
      <c r="K4784" t="inlineStr"/>
      <c r="L4784" t="inlineStr">
        <is>
          <t>XP_041420847.1 uncharacterized protein LOC121394309 isoform X1 [Xenopus laevis]</t>
        </is>
      </c>
      <c r="M4784" t="n">
        <v>559</v>
      </c>
      <c r="N4784" t="inlineStr">
        <is>
          <t>Xenopus laevis</t>
        </is>
      </c>
      <c r="O4784" t="inlineStr">
        <is>
          <t>uncharacterized protein LOC121394309 isoform X1</t>
        </is>
      </c>
    </row>
    <row r="4785">
      <c r="A4785" t="inlineStr"/>
      <c r="B4785" t="inlineStr"/>
      <c r="C4785" t="inlineStr"/>
      <c r="D4785" t="inlineStr"/>
      <c r="E4785">
        <f>HYPERLINK("https://www.ncbi.nlm.nih.gov/gene/?term=XP_013889702.1", "XP_013889702.1")</f>
        <v/>
      </c>
      <c r="F4785" t="n">
        <v>36.4</v>
      </c>
      <c r="G4785" t="n">
        <v>363</v>
      </c>
      <c r="H4785" t="n">
        <v>1.78e-60</v>
      </c>
      <c r="I4785" t="inlineStr">
        <is>
          <t>Nr</t>
        </is>
      </c>
      <c r="J4785" t="inlineStr"/>
      <c r="K4785" t="inlineStr"/>
      <c r="L4785" t="inlineStr">
        <is>
          <t>XP_013889702.1 PREDICTED: uncharacterized protein LOC106536907, partial [Austrofundulus limnaeus]</t>
        </is>
      </c>
      <c r="M4785" t="n">
        <v>448</v>
      </c>
      <c r="N4785" t="inlineStr">
        <is>
          <t>Austrofundulus limnaeus</t>
        </is>
      </c>
      <c r="O4785" t="inlineStr">
        <is>
          <t>PREDICTED: uncharacterized protein LOC106536907, partial</t>
        </is>
      </c>
    </row>
    <row r="4786">
      <c r="A4786" t="inlineStr"/>
      <c r="B4786" t="inlineStr"/>
      <c r="C4786" t="inlineStr"/>
      <c r="D4786" t="inlineStr"/>
      <c r="E4786">
        <f>HYPERLINK("https://www.ncbi.nlm.nih.gov/gene/?term=XP_029452646.1", "XP_029452646.1")</f>
        <v/>
      </c>
      <c r="F4786" t="n">
        <v>35.9</v>
      </c>
      <c r="G4786" t="n">
        <v>379</v>
      </c>
      <c r="H4786" t="n">
        <v>6.25e-60</v>
      </c>
      <c r="I4786" t="inlineStr">
        <is>
          <t>Nr</t>
        </is>
      </c>
      <c r="J4786" t="inlineStr"/>
      <c r="K4786" t="inlineStr"/>
      <c r="L4786" t="inlineStr">
        <is>
          <t>XP_029452646.1 LOW QUALITY PROTEIN: centrosomal protein kizuna [Rhinatrema bivittatum]</t>
        </is>
      </c>
      <c r="M4786" t="n">
        <v>1255</v>
      </c>
      <c r="N4786" t="inlineStr">
        <is>
          <t>Rhinatrema bivittatum</t>
        </is>
      </c>
      <c r="O4786" t="inlineStr">
        <is>
          <t>LOW QUALITY PROTEIN: centrosomal protein kizuna</t>
        </is>
      </c>
    </row>
    <row r="4787">
      <c r="A4787" t="inlineStr"/>
      <c r="B4787" t="inlineStr"/>
      <c r="C4787" t="inlineStr"/>
      <c r="D4787" t="inlineStr"/>
      <c r="E4787">
        <f>HYPERLINK("https://www.ncbi.nlm.nih.gov/gene/?term=XP_018096594.2", "XP_018096594.2")</f>
        <v/>
      </c>
      <c r="F4787" t="n">
        <v>43</v>
      </c>
      <c r="G4787" t="n">
        <v>265</v>
      </c>
      <c r="H4787" t="n">
        <v>1.65e-59</v>
      </c>
      <c r="I4787" t="inlineStr">
        <is>
          <t>Nr</t>
        </is>
      </c>
      <c r="J4787" t="inlineStr"/>
      <c r="K4787" t="inlineStr"/>
      <c r="L4787" t="inlineStr">
        <is>
          <t>XP_018096594.2 uncharacterized protein LOC108704524 [Xenopus laevis]</t>
        </is>
      </c>
      <c r="M4787" t="n">
        <v>515</v>
      </c>
      <c r="N4787" t="inlineStr">
        <is>
          <t>Xenopus laevis</t>
        </is>
      </c>
      <c r="O4787" t="inlineStr">
        <is>
          <t>uncharacterized protein LOC108704524</t>
        </is>
      </c>
    </row>
    <row r="4788">
      <c r="A4788" t="inlineStr"/>
      <c r="B4788" t="inlineStr"/>
      <c r="C4788" t="inlineStr"/>
      <c r="D4788" t="inlineStr"/>
      <c r="E4788">
        <f>HYPERLINK("https://www.ncbi.nlm.nih.gov/gene/?term=KAJ1203497.1", "KAJ1203497.1")</f>
        <v/>
      </c>
      <c r="F4788" t="n">
        <v>38.4</v>
      </c>
      <c r="G4788" t="n">
        <v>352</v>
      </c>
      <c r="H4788" t="n">
        <v>2.46e-59</v>
      </c>
      <c r="I4788" t="inlineStr">
        <is>
          <t>Nr</t>
        </is>
      </c>
      <c r="J4788" t="inlineStr"/>
      <c r="K4788" t="inlineStr"/>
      <c r="L4788" t="inlineStr">
        <is>
          <t>KAJ1203497.1 hypothetical protein NDU88_007282 [Pleurodeles waltl]</t>
        </is>
      </c>
      <c r="M4788" t="n">
        <v>550</v>
      </c>
      <c r="N4788" t="inlineStr">
        <is>
          <t>Pleurodeles waltl</t>
        </is>
      </c>
      <c r="O4788" t="inlineStr">
        <is>
          <t>hypothetical protein NDU88_007282</t>
        </is>
      </c>
    </row>
    <row r="4789">
      <c r="A4789" t="inlineStr"/>
      <c r="B4789" t="inlineStr"/>
      <c r="C4789" t="inlineStr"/>
      <c r="D4789" t="inlineStr"/>
      <c r="E4789">
        <f>HYPERLINK("https://www.ncbi.nlm.nih.gov/gene/?term=XP_016854840.1", "XP_016854840.1")</f>
        <v/>
      </c>
      <c r="F4789" t="n">
        <v>41.9</v>
      </c>
      <c r="G4789" t="n">
        <v>296</v>
      </c>
      <c r="H4789" t="n">
        <v>4.05e-59</v>
      </c>
      <c r="I4789" t="inlineStr">
        <is>
          <t>Nr</t>
        </is>
      </c>
      <c r="J4789" t="inlineStr"/>
      <c r="K4789" t="inlineStr"/>
      <c r="L4789" t="inlineStr">
        <is>
          <t>XP_016854840.1 PREDICTED: uncharacterized protein LOC107983904, partial [Anolis carolinensis]</t>
        </is>
      </c>
      <c r="M4789" t="n">
        <v>396</v>
      </c>
      <c r="N4789" t="inlineStr">
        <is>
          <t>Anolis carolinensis</t>
        </is>
      </c>
      <c r="O4789" t="inlineStr">
        <is>
          <t>PREDICTED: uncharacterized protein LOC107983904, partial</t>
        </is>
      </c>
    </row>
    <row r="4790">
      <c r="A4790" t="inlineStr"/>
      <c r="B4790" t="inlineStr"/>
      <c r="C4790" t="inlineStr"/>
      <c r="D4790" t="inlineStr"/>
      <c r="E4790">
        <f>HYPERLINK("https://www.ncbi.nlm.nih.gov/gene/?term=XP_033745667.1", "XP_033745667.1")</f>
        <v/>
      </c>
      <c r="F4790" t="n">
        <v>39.4</v>
      </c>
      <c r="G4790" t="n">
        <v>373</v>
      </c>
      <c r="H4790" t="n">
        <v>4.94e-59</v>
      </c>
      <c r="I4790" t="inlineStr">
        <is>
          <t>Nr</t>
        </is>
      </c>
      <c r="J4790" t="inlineStr"/>
      <c r="K4790" t="inlineStr"/>
      <c r="L4790" t="inlineStr">
        <is>
          <t>XP_033745667.1 uncharacterized protein LOC117331179 [Pecten maximus]</t>
        </is>
      </c>
      <c r="M4790" t="n">
        <v>776</v>
      </c>
      <c r="N4790" t="inlineStr">
        <is>
          <t>Pecten maximus</t>
        </is>
      </c>
      <c r="O4790" t="inlineStr">
        <is>
          <t>uncharacterized protein LOC117331179</t>
        </is>
      </c>
    </row>
    <row r="4791">
      <c r="A4791" t="inlineStr"/>
      <c r="B4791" t="inlineStr"/>
      <c r="C4791" t="inlineStr"/>
      <c r="D4791" t="inlineStr"/>
      <c r="E4791">
        <f>HYPERLINK("https://www.ncbi.nlm.nih.gov/gene/?term=XP_016847511.1", "XP_016847511.1")</f>
        <v/>
      </c>
      <c r="F4791" t="n">
        <v>44</v>
      </c>
      <c r="G4791" t="n">
        <v>259</v>
      </c>
      <c r="H4791" t="n">
        <v>6.26e-59</v>
      </c>
      <c r="I4791" t="inlineStr">
        <is>
          <t>Nr</t>
        </is>
      </c>
      <c r="J4791" t="inlineStr"/>
      <c r="K4791" t="inlineStr"/>
      <c r="L4791" t="inlineStr">
        <is>
          <t>XP_016847511.1 PREDICTED: uncharacterized protein LOC103278169 [Anolis carolinensis]</t>
        </is>
      </c>
      <c r="M4791" t="n">
        <v>336</v>
      </c>
      <c r="N4791" t="inlineStr">
        <is>
          <t>Anolis carolinensis</t>
        </is>
      </c>
      <c r="O4791" t="inlineStr">
        <is>
          <t>PREDICTED: uncharacterized protein LOC103278169</t>
        </is>
      </c>
    </row>
    <row r="4792">
      <c r="A4792" t="inlineStr"/>
      <c r="B4792" t="inlineStr"/>
      <c r="C4792" t="inlineStr"/>
      <c r="D4792" t="inlineStr"/>
      <c r="E4792">
        <f>HYPERLINK("https://www.ncbi.nlm.nih.gov/gene/?term=XP_013868522.1", "XP_013868522.1")</f>
        <v/>
      </c>
      <c r="F4792" t="n">
        <v>36.7</v>
      </c>
      <c r="G4792" t="n">
        <v>349</v>
      </c>
      <c r="H4792" t="n">
        <v>3.98e-58</v>
      </c>
      <c r="I4792" t="inlineStr">
        <is>
          <t>Nr</t>
        </is>
      </c>
      <c r="J4792" t="inlineStr"/>
      <c r="K4792" t="inlineStr"/>
      <c r="L4792" t="inlineStr">
        <is>
          <t>XP_013868522.1 PREDICTED: uncharacterized protein LOC106520812, partial [Austrofundulus limnaeus]</t>
        </is>
      </c>
      <c r="M4792" t="n">
        <v>392</v>
      </c>
      <c r="N4792" t="inlineStr">
        <is>
          <t>Austrofundulus limnaeus</t>
        </is>
      </c>
      <c r="O4792" t="inlineStr">
        <is>
          <t>PREDICTED: uncharacterized protein LOC106520812, partial</t>
        </is>
      </c>
    </row>
    <row r="4793">
      <c r="A4793" t="inlineStr"/>
      <c r="B4793" t="inlineStr"/>
      <c r="C4793" t="inlineStr"/>
      <c r="D4793" t="inlineStr"/>
      <c r="E4793">
        <f>HYPERLINK("https://www.ncbi.nlm.nih.gov/gene/?term=XP_029427730.1", "XP_029427730.1")</f>
        <v/>
      </c>
      <c r="F4793" t="n">
        <v>37.8</v>
      </c>
      <c r="G4793" t="n">
        <v>344</v>
      </c>
      <c r="H4793" t="n">
        <v>4.25e-58</v>
      </c>
      <c r="I4793" t="inlineStr">
        <is>
          <t>Nr</t>
        </is>
      </c>
      <c r="J4793" t="inlineStr"/>
      <c r="K4793" t="inlineStr"/>
      <c r="L4793" t="inlineStr">
        <is>
          <t>XP_029427730.1 uncharacterized protein LOC115073442 [Rhinatrema bivittatum]</t>
        </is>
      </c>
      <c r="M4793" t="n">
        <v>671</v>
      </c>
      <c r="N4793" t="inlineStr">
        <is>
          <t>Rhinatrema bivittatum</t>
        </is>
      </c>
      <c r="O4793" t="inlineStr">
        <is>
          <t>uncharacterized protein LOC115073442</t>
        </is>
      </c>
    </row>
    <row r="4794">
      <c r="A4794" t="inlineStr"/>
      <c r="B4794" t="inlineStr"/>
      <c r="C4794" t="inlineStr"/>
      <c r="D4794" t="inlineStr"/>
      <c r="E4794">
        <f>HYPERLINK("https://www.ncbi.nlm.nih.gov/gene/?term=XP_029427737.1", "XP_029427737.1")</f>
        <v/>
      </c>
      <c r="F4794" t="n">
        <v>37.8</v>
      </c>
      <c r="G4794" t="n">
        <v>344</v>
      </c>
      <c r="H4794" t="n">
        <v>8.17e-58</v>
      </c>
      <c r="I4794" t="inlineStr">
        <is>
          <t>Nr</t>
        </is>
      </c>
      <c r="J4794" t="inlineStr"/>
      <c r="K4794" t="inlineStr"/>
      <c r="L4794" t="inlineStr">
        <is>
          <t>XP_029427737.1 uncharacterized protein LOC115073449 [Rhinatrema bivittatum]</t>
        </is>
      </c>
      <c r="M4794" t="n">
        <v>715</v>
      </c>
      <c r="N4794" t="inlineStr">
        <is>
          <t>Rhinatrema bivittatum</t>
        </is>
      </c>
      <c r="O4794" t="inlineStr">
        <is>
          <t>uncharacterized protein LOC115073449</t>
        </is>
      </c>
    </row>
    <row r="4795">
      <c r="A4795" t="inlineStr"/>
      <c r="B4795" t="inlineStr"/>
      <c r="C4795" t="inlineStr"/>
      <c r="D4795" t="inlineStr"/>
      <c r="E4795">
        <f>HYPERLINK("https://www.ncbi.nlm.nih.gov/gene/?term=OCT91741.1", "OCT91741.1")</f>
        <v/>
      </c>
      <c r="F4795" t="n">
        <v>48.8</v>
      </c>
      <c r="G4795" t="n">
        <v>123</v>
      </c>
      <c r="H4795" t="n">
        <v>6.809999999999999e-30</v>
      </c>
      <c r="I4795" t="inlineStr">
        <is>
          <t>Nr</t>
        </is>
      </c>
      <c r="J4795" t="inlineStr"/>
      <c r="K4795" t="inlineStr"/>
      <c r="L4795" t="inlineStr">
        <is>
          <t>OCT91741.1 hypothetical protein XELAEV_18014806mg [Xenopus laevis]</t>
        </is>
      </c>
      <c r="M4795" t="n">
        <v>268</v>
      </c>
      <c r="N4795" t="inlineStr">
        <is>
          <t>Xenopus laevis</t>
        </is>
      </c>
      <c r="O4795" t="inlineStr">
        <is>
          <t>hypothetical protein XELAEV_18014806mg</t>
        </is>
      </c>
    </row>
    <row r="4796">
      <c r="A4796" t="inlineStr"/>
      <c r="B4796" t="inlineStr"/>
      <c r="C4796" t="inlineStr"/>
      <c r="D4796" t="inlineStr"/>
      <c r="E4796">
        <f>HYPERLINK("https://www.ncbi.nlm.nih.gov/gene/?term=OCU00332.1", "OCU00332.1")</f>
        <v/>
      </c>
      <c r="F4796" t="n">
        <v>49.6</v>
      </c>
      <c r="G4796" t="n">
        <v>121</v>
      </c>
      <c r="H4796" t="n">
        <v>1.1e-29</v>
      </c>
      <c r="I4796" t="inlineStr">
        <is>
          <t>Nr</t>
        </is>
      </c>
      <c r="J4796" t="inlineStr"/>
      <c r="K4796" t="inlineStr"/>
      <c r="L4796" t="inlineStr">
        <is>
          <t>OCU00332.1 hypothetical protein XELAEV_18006103mg [Xenopus laevis]</t>
        </is>
      </c>
      <c r="M4796" t="n">
        <v>274</v>
      </c>
      <c r="N4796" t="inlineStr">
        <is>
          <t>Xenopus laevis</t>
        </is>
      </c>
      <c r="O4796" t="inlineStr">
        <is>
          <t>hypothetical protein XELAEV_18006103mg</t>
        </is>
      </c>
    </row>
    <row r="4797">
      <c r="A4797" t="inlineStr"/>
      <c r="B4797" t="inlineStr"/>
      <c r="C4797" t="inlineStr"/>
      <c r="D4797" t="inlineStr"/>
      <c r="E4797">
        <f>HYPERLINK("https://www.uniprot.org/uniprotkb/A0A1B8Y1F1/entry", "A0A1B8Y1F1")</f>
        <v/>
      </c>
      <c r="F4797" t="n">
        <v>49.5</v>
      </c>
      <c r="G4797" t="n">
        <v>111</v>
      </c>
      <c r="H4797" t="n">
        <v>1.47e-29</v>
      </c>
      <c r="I4797" t="inlineStr">
        <is>
          <t>TrEMBL</t>
        </is>
      </c>
      <c r="J4797" t="inlineStr">
        <is>
          <t>XENTR_v90027962mg</t>
        </is>
      </c>
      <c r="K4797" t="inlineStr">
        <is>
          <t>A0A1B8Y1F1_XENTR</t>
        </is>
      </c>
      <c r="L4797" t="inlineStr">
        <is>
          <t>tr|A0A1B8Y1F1|A0A1B8Y1F1_XENTR Uncharacterized protein OS=Xenopus tropicalis OX=8364 GN=XENTR_v90027962mg PE=4 SV=1</t>
        </is>
      </c>
      <c r="M4797" t="n">
        <v>268</v>
      </c>
      <c r="N4797" t="inlineStr">
        <is>
          <t>Xenopus tropicalis</t>
        </is>
      </c>
      <c r="O4797" t="inlineStr">
        <is>
          <t>Uncharacterized protein</t>
        </is>
      </c>
    </row>
    <row r="4798">
      <c r="A4798" t="inlineStr"/>
      <c r="B4798" t="inlineStr"/>
      <c r="C4798" t="inlineStr"/>
      <c r="D4798" t="inlineStr"/>
      <c r="E4798">
        <f>HYPERLINK("https://www.ncbi.nlm.nih.gov/gene/?term=OCT92403.1", "OCT92403.1")</f>
        <v/>
      </c>
      <c r="F4798" t="n">
        <v>45.7</v>
      </c>
      <c r="G4798" t="n">
        <v>127</v>
      </c>
      <c r="H4798" t="n">
        <v>2.8e-29</v>
      </c>
      <c r="I4798" t="inlineStr">
        <is>
          <t>Nr</t>
        </is>
      </c>
      <c r="J4798" t="inlineStr"/>
      <c r="K4798" t="inlineStr"/>
      <c r="L4798" t="inlineStr">
        <is>
          <t>OCT92403.1 hypothetical protein XELAEV_18015462mg [Xenopus laevis]</t>
        </is>
      </c>
      <c r="M4798" t="n">
        <v>270</v>
      </c>
      <c r="N4798" t="inlineStr">
        <is>
          <t>Xenopus laevis</t>
        </is>
      </c>
      <c r="O4798" t="inlineStr">
        <is>
          <t>hypothetical protein XELAEV_18015462mg</t>
        </is>
      </c>
    </row>
    <row r="4799">
      <c r="A4799" t="inlineStr"/>
      <c r="B4799" t="inlineStr"/>
      <c r="C4799" t="inlineStr"/>
      <c r="D4799" t="inlineStr"/>
      <c r="E4799">
        <f>HYPERLINK("https://www.uniprot.org/uniprotkb/A0A8J1KUX9/entry", "A0A8J1KUX9")</f>
        <v/>
      </c>
      <c r="F4799" t="n">
        <v>52.3</v>
      </c>
      <c r="G4799" t="n">
        <v>111</v>
      </c>
      <c r="H4799" t="n">
        <v>7.560000000000001e-29</v>
      </c>
      <c r="I4799" t="inlineStr">
        <is>
          <t>TrEMBL</t>
        </is>
      </c>
      <c r="J4799" t="inlineStr">
        <is>
          <t>LOC121394096</t>
        </is>
      </c>
      <c r="K4799" t="inlineStr">
        <is>
          <t>A0A8J1KUX9_XENLA</t>
        </is>
      </c>
      <c r="L4799" t="inlineStr">
        <is>
          <t>tr|A0A8J1KUX9|A0A8J1KUX9_XENLA uncharacterized protein LOC121394096 OS=Xenopus laevis OX=8355 GN=LOC121394096 PE=4 SV=1</t>
        </is>
      </c>
      <c r="M4799" t="n">
        <v>669</v>
      </c>
      <c r="N4799" t="inlineStr">
        <is>
          <t>Xenopus laevis</t>
        </is>
      </c>
      <c r="O4799" t="inlineStr">
        <is>
          <t>uncharacterized protein LOC121394096</t>
        </is>
      </c>
    </row>
    <row r="4800">
      <c r="A4800" t="inlineStr"/>
      <c r="B4800" t="inlineStr"/>
      <c r="C4800" t="inlineStr"/>
      <c r="D4800" t="inlineStr"/>
      <c r="E4800">
        <f>HYPERLINK("https://www.uniprot.org/uniprotkb/A0A8J1KW88/entry", "A0A8J1KW88")</f>
        <v/>
      </c>
      <c r="F4800" t="n">
        <v>50.5</v>
      </c>
      <c r="G4800" t="n">
        <v>111</v>
      </c>
      <c r="H4800" t="n">
        <v>8.33e-29</v>
      </c>
      <c r="I4800" t="inlineStr">
        <is>
          <t>TrEMBL</t>
        </is>
      </c>
      <c r="J4800" t="inlineStr">
        <is>
          <t>LOC121394223</t>
        </is>
      </c>
      <c r="K4800" t="inlineStr">
        <is>
          <t>A0A8J1KW88_XENLA</t>
        </is>
      </c>
      <c r="L4800" t="inlineStr">
        <is>
          <t>tr|A0A8J1KW88|A0A8J1KW88_XENLA uncharacterized protein LOC121394223 isoform X3 OS=Xenopus laevis OX=8355 GN=LOC121394223 PE=4 SV=1</t>
        </is>
      </c>
      <c r="M4800" t="n">
        <v>269</v>
      </c>
      <c r="N4800" t="inlineStr">
        <is>
          <t>Xenopus laevis</t>
        </is>
      </c>
      <c r="O4800" t="inlineStr">
        <is>
          <t>uncharacterized protein LOC121394223 isoform X3</t>
        </is>
      </c>
    </row>
    <row r="4801">
      <c r="A4801" t="inlineStr"/>
      <c r="B4801" t="inlineStr"/>
      <c r="C4801" t="inlineStr"/>
      <c r="D4801" t="inlineStr"/>
      <c r="E4801">
        <f>HYPERLINK("https://www.uniprot.org/uniprotkb/A0A8J1KT72/entry", "A0A8J1KT72")</f>
        <v/>
      </c>
      <c r="F4801" t="n">
        <v>50.5</v>
      </c>
      <c r="G4801" t="n">
        <v>111</v>
      </c>
      <c r="H4801" t="n">
        <v>8.33e-29</v>
      </c>
      <c r="I4801" t="inlineStr">
        <is>
          <t>TrEMBL</t>
        </is>
      </c>
      <c r="J4801" t="inlineStr">
        <is>
          <t>LOC121394224</t>
        </is>
      </c>
      <c r="K4801" t="inlineStr">
        <is>
          <t>A0A8J1KT72_XENLA</t>
        </is>
      </c>
      <c r="L4801" t="inlineStr">
        <is>
          <t>tr|A0A8J1KT72|A0A8J1KT72_XENLA uncharacterized protein LOC121394224 OS=Xenopus laevis OX=8355 GN=LOC121394224 PE=4 SV=1</t>
        </is>
      </c>
      <c r="M4801" t="n">
        <v>269</v>
      </c>
      <c r="N4801" t="inlineStr">
        <is>
          <t>Xenopus laevis</t>
        </is>
      </c>
      <c r="O4801" t="inlineStr">
        <is>
          <t>uncharacterized protein LOC121394224</t>
        </is>
      </c>
    </row>
    <row r="4802">
      <c r="A4802" t="inlineStr"/>
      <c r="B4802" t="inlineStr"/>
      <c r="C4802" t="inlineStr"/>
      <c r="D4802" t="inlineStr"/>
      <c r="E4802">
        <f>HYPERLINK("https://www.uniprot.org/uniprotkb/A0A8J1L690/entry", "A0A8J1L690")</f>
        <v/>
      </c>
      <c r="F4802" t="n">
        <v>50.5</v>
      </c>
      <c r="G4802" t="n">
        <v>111</v>
      </c>
      <c r="H4802" t="n">
        <v>1.2e-28</v>
      </c>
      <c r="I4802" t="inlineStr">
        <is>
          <t>TrEMBL</t>
        </is>
      </c>
      <c r="J4802" t="inlineStr">
        <is>
          <t>LOC121395524</t>
        </is>
      </c>
      <c r="K4802" t="inlineStr">
        <is>
          <t>A0A8J1L690_XENLA</t>
        </is>
      </c>
      <c r="L4802" t="inlineStr">
        <is>
          <t>tr|A0A8J1L690|A0A8J1L690_XENLA uncharacterized protein LOC121395524 OS=Xenopus laevis OX=8355 GN=LOC121395524 PE=4 SV=1</t>
        </is>
      </c>
      <c r="M4802" t="n">
        <v>270</v>
      </c>
      <c r="N4802" t="inlineStr">
        <is>
          <t>Xenopus laevis</t>
        </is>
      </c>
      <c r="O4802" t="inlineStr">
        <is>
          <t>uncharacterized protein LOC121395524</t>
        </is>
      </c>
    </row>
    <row r="4803">
      <c r="A4803" t="inlineStr"/>
      <c r="B4803" t="inlineStr"/>
      <c r="C4803" t="inlineStr"/>
      <c r="D4803" t="inlineStr"/>
      <c r="E4803">
        <f>HYPERLINK("https://www.ncbi.nlm.nih.gov/gene/?term=XP_041420034.1", "XP_041420034.1")</f>
        <v/>
      </c>
      <c r="F4803" t="n">
        <v>52.3</v>
      </c>
      <c r="G4803" t="n">
        <v>111</v>
      </c>
      <c r="H4803" t="n">
        <v>1.94e-28</v>
      </c>
      <c r="I4803" t="inlineStr">
        <is>
          <t>Nr</t>
        </is>
      </c>
      <c r="J4803" t="inlineStr"/>
      <c r="K4803" t="inlineStr"/>
      <c r="L4803" t="inlineStr">
        <is>
          <t>XP_041420034.1 uncharacterized protein LOC121394096 [Xenopus laevis]</t>
        </is>
      </c>
      <c r="M4803" t="n">
        <v>669</v>
      </c>
      <c r="N4803" t="inlineStr">
        <is>
          <t>Xenopus laevis</t>
        </is>
      </c>
      <c r="O4803" t="inlineStr">
        <is>
          <t>uncharacterized protein LOC121394096</t>
        </is>
      </c>
    </row>
    <row r="4804">
      <c r="A4804" t="inlineStr"/>
      <c r="B4804" t="inlineStr"/>
      <c r="C4804" t="inlineStr"/>
      <c r="D4804" t="inlineStr"/>
      <c r="E4804">
        <f>HYPERLINK("https://www.ncbi.nlm.nih.gov/gene/?term=XP_041420515.1", "XP_041420515.1")</f>
        <v/>
      </c>
      <c r="F4804" t="n">
        <v>50.5</v>
      </c>
      <c r="G4804" t="n">
        <v>111</v>
      </c>
      <c r="H4804" t="n">
        <v>2.14e-28</v>
      </c>
      <c r="I4804" t="inlineStr">
        <is>
          <t>Nr</t>
        </is>
      </c>
      <c r="J4804" t="inlineStr"/>
      <c r="K4804" t="inlineStr"/>
      <c r="L4804" t="inlineStr">
        <is>
          <t>XP_041420515.1 uncharacterized protein LOC121394224 [Xenopus laevis]</t>
        </is>
      </c>
      <c r="M4804" t="n">
        <v>269</v>
      </c>
      <c r="N4804" t="inlineStr">
        <is>
          <t>Xenopus laevis</t>
        </is>
      </c>
      <c r="O4804" t="inlineStr">
        <is>
          <t>uncharacterized protein LOC121394224</t>
        </is>
      </c>
    </row>
    <row r="4805">
      <c r="A4805" t="inlineStr"/>
      <c r="B4805" t="inlineStr"/>
      <c r="C4805" t="inlineStr"/>
      <c r="D4805" t="inlineStr"/>
      <c r="E4805">
        <f>HYPERLINK("https://www.ncbi.nlm.nih.gov/gene/?term=XP_041420514.1", "XP_041420514.1")</f>
        <v/>
      </c>
      <c r="F4805" t="n">
        <v>50.5</v>
      </c>
      <c r="G4805" t="n">
        <v>111</v>
      </c>
      <c r="H4805" t="n">
        <v>2.14e-28</v>
      </c>
      <c r="I4805" t="inlineStr">
        <is>
          <t>Nr</t>
        </is>
      </c>
      <c r="J4805" t="inlineStr"/>
      <c r="K4805" t="inlineStr"/>
      <c r="L4805" t="inlineStr">
        <is>
          <t>XP_041420514.1 uncharacterized protein LOC121394223 isoform X3 [Xenopus laevis]</t>
        </is>
      </c>
      <c r="M4805" t="n">
        <v>269</v>
      </c>
      <c r="N4805" t="inlineStr">
        <is>
          <t>Xenopus laevis</t>
        </is>
      </c>
      <c r="O4805" t="inlineStr">
        <is>
          <t>uncharacterized protein LOC121394223 isoform X3</t>
        </is>
      </c>
    </row>
    <row r="4806">
      <c r="A4806" t="inlineStr"/>
      <c r="B4806" t="inlineStr"/>
      <c r="C4806" t="inlineStr"/>
      <c r="D4806" t="inlineStr"/>
      <c r="E4806">
        <f>HYPERLINK("https://www.ncbi.nlm.nih.gov/gene/?term=XP_041425076.1", "XP_041425076.1")</f>
        <v/>
      </c>
      <c r="F4806" t="n">
        <v>50.5</v>
      </c>
      <c r="G4806" t="n">
        <v>111</v>
      </c>
      <c r="H4806" t="n">
        <v>3.08e-28</v>
      </c>
      <c r="I4806" t="inlineStr">
        <is>
          <t>Nr</t>
        </is>
      </c>
      <c r="J4806" t="inlineStr"/>
      <c r="K4806" t="inlineStr"/>
      <c r="L4806" t="inlineStr">
        <is>
          <t>XP_041425076.1 uncharacterized protein LOC121395524 [Xenopus laevis]</t>
        </is>
      </c>
      <c r="M4806" t="n">
        <v>270</v>
      </c>
      <c r="N4806" t="inlineStr">
        <is>
          <t>Xenopus laevis</t>
        </is>
      </c>
      <c r="O4806" t="inlineStr">
        <is>
          <t>uncharacterized protein LOC121395524</t>
        </is>
      </c>
    </row>
    <row r="4807">
      <c r="A4807" t="inlineStr"/>
      <c r="B4807" t="inlineStr"/>
      <c r="C4807" t="inlineStr"/>
      <c r="D4807" t="inlineStr"/>
      <c r="E4807">
        <f>HYPERLINK("https://www.ncbi.nlm.nih.gov/gene/?term=OCT87195.1", "OCT87195.1")</f>
        <v/>
      </c>
      <c r="F4807" t="n">
        <v>47.5</v>
      </c>
      <c r="G4807" t="n">
        <v>122</v>
      </c>
      <c r="H4807" t="n">
        <v>4.34e-28</v>
      </c>
      <c r="I4807" t="inlineStr">
        <is>
          <t>Nr</t>
        </is>
      </c>
      <c r="J4807" t="inlineStr"/>
      <c r="K4807" t="inlineStr"/>
      <c r="L4807" t="inlineStr">
        <is>
          <t>OCT87195.1 hypothetical protein XELAEV_18020892mg [Xenopus laevis]</t>
        </is>
      </c>
      <c r="M4807" t="n">
        <v>270</v>
      </c>
      <c r="N4807" t="inlineStr">
        <is>
          <t>Xenopus laevis</t>
        </is>
      </c>
      <c r="O4807" t="inlineStr">
        <is>
          <t>hypothetical protein XELAEV_18020892mg</t>
        </is>
      </c>
    </row>
    <row r="4808">
      <c r="A4808" t="inlineStr"/>
      <c r="B4808" t="inlineStr"/>
      <c r="C4808" t="inlineStr"/>
      <c r="D4808" t="inlineStr"/>
      <c r="E4808">
        <f>HYPERLINK("https://www.ncbi.nlm.nih.gov/gene/?term=KAE8589003.1", "KAE8589003.1")</f>
        <v/>
      </c>
      <c r="F4808" t="n">
        <v>49.5</v>
      </c>
      <c r="G4808" t="n">
        <v>111</v>
      </c>
      <c r="H4808" t="n">
        <v>2.32e-27</v>
      </c>
      <c r="I4808" t="inlineStr">
        <is>
          <t>Nr</t>
        </is>
      </c>
      <c r="J4808" t="inlineStr"/>
      <c r="K4808" t="inlineStr"/>
      <c r="L4808" t="inlineStr">
        <is>
          <t>KAE8589003.1 hypothetical protein XENTR_v10022853 [Xenopus tropicalis]</t>
        </is>
      </c>
      <c r="M4808" t="n">
        <v>653</v>
      </c>
      <c r="N4808" t="inlineStr">
        <is>
          <t>Xenopus tropicalis</t>
        </is>
      </c>
      <c r="O4808" t="inlineStr">
        <is>
          <t>hypothetical protein XENTR_v10022853</t>
        </is>
      </c>
    </row>
    <row r="4809">
      <c r="A4809" t="inlineStr"/>
      <c r="B4809" t="inlineStr"/>
      <c r="C4809" t="inlineStr"/>
      <c r="D4809" t="inlineStr"/>
      <c r="E4809">
        <f>HYPERLINK("https://www.uniprot.org/uniprotkb/A0A8J1M832/entry", "A0A8J1M832")</f>
        <v/>
      </c>
      <c r="F4809" t="n">
        <v>41.5</v>
      </c>
      <c r="G4809" t="n">
        <v>135</v>
      </c>
      <c r="H4809" t="n">
        <v>1.89e-26</v>
      </c>
      <c r="I4809" t="inlineStr">
        <is>
          <t>TrEMBL</t>
        </is>
      </c>
      <c r="J4809" t="inlineStr">
        <is>
          <t>LOC121399718</t>
        </is>
      </c>
      <c r="K4809" t="inlineStr">
        <is>
          <t>A0A8J1M832_XENLA</t>
        </is>
      </c>
      <c r="L4809" t="inlineStr">
        <is>
          <t>tr|A0A8J1M832|A0A8J1M832_XENLA uncharacterized protein LOC121399718 OS=Xenopus laevis OX=8355 GN=LOC121399718 PE=4 SV=1</t>
        </is>
      </c>
      <c r="M4809" t="n">
        <v>267</v>
      </c>
      <c r="N4809" t="inlineStr">
        <is>
          <t>Xenopus laevis</t>
        </is>
      </c>
      <c r="O4809" t="inlineStr">
        <is>
          <t>uncharacterized protein LOC121399718</t>
        </is>
      </c>
    </row>
    <row r="4810">
      <c r="A4810" t="inlineStr"/>
      <c r="B4810" t="inlineStr"/>
      <c r="C4810" t="inlineStr"/>
      <c r="D4810" t="inlineStr"/>
      <c r="E4810">
        <f>HYPERLINK("https://www.ncbi.nlm.nih.gov/gene/?term=OCT78328.1", "OCT78328.1")</f>
        <v/>
      </c>
      <c r="F4810" t="n">
        <v>46.4</v>
      </c>
      <c r="G4810" t="n">
        <v>112</v>
      </c>
      <c r="H4810" t="n">
        <v>3.63e-26</v>
      </c>
      <c r="I4810" t="inlineStr">
        <is>
          <t>Nr</t>
        </is>
      </c>
      <c r="J4810" t="inlineStr"/>
      <c r="K4810" t="inlineStr"/>
      <c r="L4810" t="inlineStr">
        <is>
          <t>OCT78328.1 hypothetical protein XELAEV_18029437mg [Xenopus laevis]</t>
        </is>
      </c>
      <c r="M4810" t="n">
        <v>195</v>
      </c>
      <c r="N4810" t="inlineStr">
        <is>
          <t>Xenopus laevis</t>
        </is>
      </c>
      <c r="O4810" t="inlineStr">
        <is>
          <t>hypothetical protein XELAEV_18029437mg</t>
        </is>
      </c>
    </row>
    <row r="4811">
      <c r="A4811" t="inlineStr"/>
      <c r="B4811" t="inlineStr"/>
      <c r="C4811" t="inlineStr"/>
      <c r="D4811" t="inlineStr"/>
      <c r="E4811">
        <f>HYPERLINK("https://www.uniprot.org/uniprotkb/A0A8J1LIM9/entry", "A0A8J1LIM9")</f>
        <v/>
      </c>
      <c r="F4811" t="n">
        <v>45.9</v>
      </c>
      <c r="G4811" t="n">
        <v>111</v>
      </c>
      <c r="H4811" t="n">
        <v>4.25e-26</v>
      </c>
      <c r="I4811" t="inlineStr">
        <is>
          <t>TrEMBL</t>
        </is>
      </c>
      <c r="J4811" t="inlineStr">
        <is>
          <t>LOC121396949</t>
        </is>
      </c>
      <c r="K4811" t="inlineStr">
        <is>
          <t>A0A8J1LIM9_XENLA</t>
        </is>
      </c>
      <c r="L4811" t="inlineStr">
        <is>
          <t>tr|A0A8J1LIM9|A0A8J1LIM9_XENLA uncharacterized protein LOC121396949 OS=Xenopus laevis OX=8355 GN=LOC121396949 PE=4 SV=1</t>
        </is>
      </c>
      <c r="M4811" t="n">
        <v>882</v>
      </c>
      <c r="N4811" t="inlineStr">
        <is>
          <t>Xenopus laevis</t>
        </is>
      </c>
      <c r="O4811" t="inlineStr">
        <is>
          <t>uncharacterized protein LOC121396949</t>
        </is>
      </c>
    </row>
    <row r="4812">
      <c r="A4812" t="inlineStr"/>
      <c r="B4812" t="inlineStr"/>
      <c r="C4812" t="inlineStr"/>
      <c r="D4812" t="inlineStr"/>
      <c r="E4812">
        <f>HYPERLINK("https://www.ncbi.nlm.nih.gov/gene/?term=XP_041437200.1", "XP_041437200.1")</f>
        <v/>
      </c>
      <c r="F4812" t="n">
        <v>41.5</v>
      </c>
      <c r="G4812" t="n">
        <v>135</v>
      </c>
      <c r="H4812" t="n">
        <v>4.86e-26</v>
      </c>
      <c r="I4812" t="inlineStr">
        <is>
          <t>Nr</t>
        </is>
      </c>
      <c r="J4812" t="inlineStr"/>
      <c r="K4812" t="inlineStr"/>
      <c r="L4812" t="inlineStr">
        <is>
          <t>XP_041437200.1 uncharacterized protein LOC121399718 [Xenopus laevis]</t>
        </is>
      </c>
      <c r="M4812" t="n">
        <v>267</v>
      </c>
      <c r="N4812" t="inlineStr">
        <is>
          <t>Xenopus laevis</t>
        </is>
      </c>
      <c r="O4812" t="inlineStr">
        <is>
          <t>uncharacterized protein LOC121399718</t>
        </is>
      </c>
    </row>
    <row r="4813">
      <c r="A4813" t="inlineStr"/>
      <c r="B4813" t="inlineStr"/>
      <c r="C4813" t="inlineStr"/>
      <c r="D4813" t="inlineStr"/>
      <c r="E4813">
        <f>HYPERLINK("https://www.ncbi.nlm.nih.gov/gene/?term=XP_041428540.1", "XP_041428540.1")</f>
        <v/>
      </c>
      <c r="F4813" t="n">
        <v>45.9</v>
      </c>
      <c r="G4813" t="n">
        <v>111</v>
      </c>
      <c r="H4813" t="n">
        <v>1.09e-25</v>
      </c>
      <c r="I4813" t="inlineStr">
        <is>
          <t>Nr</t>
        </is>
      </c>
      <c r="J4813" t="inlineStr"/>
      <c r="K4813" t="inlineStr"/>
      <c r="L4813" t="inlineStr">
        <is>
          <t>XP_041428540.1 uncharacterized protein LOC121396949 [Xenopus laevis]</t>
        </is>
      </c>
      <c r="M4813" t="n">
        <v>882</v>
      </c>
      <c r="N4813" t="inlineStr">
        <is>
          <t>Xenopus laevis</t>
        </is>
      </c>
      <c r="O4813" t="inlineStr">
        <is>
          <t>uncharacterized protein LOC121396949</t>
        </is>
      </c>
    </row>
    <row r="4814">
      <c r="A4814" t="inlineStr"/>
      <c r="B4814" t="inlineStr"/>
      <c r="C4814" t="inlineStr"/>
      <c r="D4814" t="inlineStr"/>
      <c r="E4814">
        <f>HYPERLINK("https://www.uniprot.org/uniprotkb/A0A8J0UTK2/entry", "A0A8J0UTK2")</f>
        <v/>
      </c>
      <c r="F4814" t="n">
        <v>44</v>
      </c>
      <c r="G4814" t="n">
        <v>109</v>
      </c>
      <c r="H4814" t="n">
        <v>2.1e-25</v>
      </c>
      <c r="I4814" t="inlineStr">
        <is>
          <t>TrEMBL</t>
        </is>
      </c>
      <c r="J4814" t="inlineStr">
        <is>
          <t>LOC108711745</t>
        </is>
      </c>
      <c r="K4814" t="inlineStr">
        <is>
          <t>A0A8J0UTK2_XENLA</t>
        </is>
      </c>
      <c r="L4814" t="inlineStr">
        <is>
          <t>tr|A0A8J0UTK2|A0A8J0UTK2_XENLA uncharacterized protein LOC108711745 OS=Xenopus laevis OX=8355 GN=LOC108711745 PE=4 SV=1</t>
        </is>
      </c>
      <c r="M4814" t="n">
        <v>236</v>
      </c>
      <c r="N4814" t="inlineStr">
        <is>
          <t>Xenopus laevis</t>
        </is>
      </c>
      <c r="O4814" t="inlineStr">
        <is>
          <t>uncharacterized protein LOC108711745</t>
        </is>
      </c>
    </row>
    <row r="4815">
      <c r="A4815" t="inlineStr"/>
      <c r="B4815" t="inlineStr"/>
      <c r="C4815" t="inlineStr"/>
      <c r="D4815" t="inlineStr"/>
      <c r="E4815">
        <f>HYPERLINK("https://www.ncbi.nlm.nih.gov/gene/?term=XP_018109245.1", "XP_018109245.1")</f>
        <v/>
      </c>
      <c r="F4815" t="n">
        <v>44</v>
      </c>
      <c r="G4815" t="n">
        <v>109</v>
      </c>
      <c r="H4815" t="n">
        <v>5.4e-25</v>
      </c>
      <c r="I4815" t="inlineStr">
        <is>
          <t>Nr</t>
        </is>
      </c>
      <c r="J4815" t="inlineStr"/>
      <c r="K4815" t="inlineStr"/>
      <c r="L4815" t="inlineStr">
        <is>
          <t>XP_018109245.1 uncharacterized protein LOC108711745 [Xenopus laevis]</t>
        </is>
      </c>
      <c r="M4815" t="n">
        <v>236</v>
      </c>
      <c r="N4815" t="inlineStr">
        <is>
          <t>Xenopus laevis</t>
        </is>
      </c>
      <c r="O4815" t="inlineStr">
        <is>
          <t>uncharacterized protein LOC108711745</t>
        </is>
      </c>
    </row>
    <row r="4816">
      <c r="A4816" t="inlineStr"/>
      <c r="B4816" t="inlineStr"/>
      <c r="C4816" t="inlineStr"/>
      <c r="D4816" t="inlineStr"/>
      <c r="E4816">
        <f>HYPERLINK("https://www.ncbi.nlm.nih.gov/gene/?term=OCT57868.1", "OCT57868.1")</f>
        <v/>
      </c>
      <c r="F4816" t="n">
        <v>46.2</v>
      </c>
      <c r="G4816" t="n">
        <v>117</v>
      </c>
      <c r="H4816" t="n">
        <v>2.05e-24</v>
      </c>
      <c r="I4816" t="inlineStr">
        <is>
          <t>Nr</t>
        </is>
      </c>
      <c r="J4816" t="inlineStr"/>
      <c r="K4816" t="inlineStr"/>
      <c r="L4816" t="inlineStr">
        <is>
          <t>OCT57868.1 hypothetical protein XELAEV_18002958mg [Xenopus laevis]</t>
        </is>
      </c>
      <c r="M4816" t="n">
        <v>284</v>
      </c>
      <c r="N4816" t="inlineStr">
        <is>
          <t>Xenopus laevis</t>
        </is>
      </c>
      <c r="O4816" t="inlineStr">
        <is>
          <t>hypothetical protein XELAEV_18002958mg</t>
        </is>
      </c>
    </row>
    <row r="4817">
      <c r="A4817" t="inlineStr"/>
      <c r="B4817" t="inlineStr"/>
      <c r="C4817" t="inlineStr"/>
      <c r="D4817" t="inlineStr"/>
      <c r="E4817">
        <f>HYPERLINK("https://www.ncbi.nlm.nih.gov/gene/?term=OCT76090.1", "OCT76090.1")</f>
        <v/>
      </c>
      <c r="F4817" t="n">
        <v>42</v>
      </c>
      <c r="G4817" t="n">
        <v>138</v>
      </c>
      <c r="H4817" t="n">
        <v>1.6e-23</v>
      </c>
      <c r="I4817" t="inlineStr">
        <is>
          <t>Nr</t>
        </is>
      </c>
      <c r="J4817" t="inlineStr"/>
      <c r="K4817" t="inlineStr"/>
      <c r="L4817" t="inlineStr">
        <is>
          <t>OCT76090.1 hypothetical protein XELAEV_18031278mg [Xenopus laevis]</t>
        </is>
      </c>
      <c r="M4817" t="n">
        <v>285</v>
      </c>
      <c r="N4817" t="inlineStr">
        <is>
          <t>Xenopus laevis</t>
        </is>
      </c>
      <c r="O4817" t="inlineStr">
        <is>
          <t>hypothetical protein XELAEV_18031278mg</t>
        </is>
      </c>
    </row>
    <row r="4818">
      <c r="A4818" t="inlineStr"/>
      <c r="B4818" t="inlineStr"/>
      <c r="C4818" t="inlineStr"/>
      <c r="D4818" t="inlineStr"/>
      <c r="E4818">
        <f>HYPERLINK("https://www.ncbi.nlm.nih.gov/gene/?term=OCT76300.1", "OCT76300.1")</f>
        <v/>
      </c>
      <c r="F4818" t="n">
        <v>46.4</v>
      </c>
      <c r="G4818" t="n">
        <v>112</v>
      </c>
      <c r="H4818" t="n">
        <v>4.95e-22</v>
      </c>
      <c r="I4818" t="inlineStr">
        <is>
          <t>Nr</t>
        </is>
      </c>
      <c r="J4818" t="inlineStr"/>
      <c r="K4818" t="inlineStr"/>
      <c r="L4818" t="inlineStr">
        <is>
          <t>OCT76300.1 hypothetical protein XELAEV_18031501mg [Xenopus laevis]</t>
        </is>
      </c>
      <c r="M4818" t="n">
        <v>204</v>
      </c>
      <c r="N4818" t="inlineStr">
        <is>
          <t>Xenopus laevis</t>
        </is>
      </c>
      <c r="O4818" t="inlineStr">
        <is>
          <t>hypothetical protein XELAEV_18031501mg</t>
        </is>
      </c>
    </row>
    <row r="4819">
      <c r="A4819" t="inlineStr"/>
      <c r="B4819" t="inlineStr"/>
      <c r="C4819" t="inlineStr"/>
      <c r="D4819" t="inlineStr"/>
      <c r="E4819">
        <f>HYPERLINK("https://www.uniprot.org/uniprotkb/A0A8J1MUI2/entry", "A0A8J1MUI2")</f>
        <v/>
      </c>
      <c r="F4819" t="n">
        <v>45.5</v>
      </c>
      <c r="G4819" t="n">
        <v>112</v>
      </c>
      <c r="H4819" t="n">
        <v>1.19e-21</v>
      </c>
      <c r="I4819" t="inlineStr">
        <is>
          <t>TrEMBL</t>
        </is>
      </c>
      <c r="J4819" t="inlineStr">
        <is>
          <t>aff4.S</t>
        </is>
      </c>
      <c r="K4819" t="inlineStr">
        <is>
          <t>A0A8J1MUI2_XENLA</t>
        </is>
      </c>
      <c r="L4819" t="inlineStr">
        <is>
          <t>tr|A0A8J1MUI2|A0A8J1MUI2_XENLA uncharacterized protein aff4.S isoform X3 OS=Xenopus laevis OX=8355 GN=aff4.S PE=4 SV=1</t>
        </is>
      </c>
      <c r="M4819" t="n">
        <v>1041</v>
      </c>
      <c r="N4819" t="inlineStr">
        <is>
          <t>Xenopus laevis</t>
        </is>
      </c>
      <c r="O4819" t="inlineStr">
        <is>
          <t>uncharacterized protein aff4.S isoform X3</t>
        </is>
      </c>
    </row>
    <row r="4820">
      <c r="A4820" t="inlineStr"/>
      <c r="B4820" t="inlineStr"/>
      <c r="C4820" t="inlineStr"/>
      <c r="D4820" t="inlineStr"/>
      <c r="E4820">
        <f>HYPERLINK("https://www.ncbi.nlm.nih.gov/gene/?term=OCT91286.1", "OCT91286.1")</f>
        <v/>
      </c>
      <c r="F4820" t="n">
        <v>44.4</v>
      </c>
      <c r="G4820" t="n">
        <v>117</v>
      </c>
      <c r="H4820" t="n">
        <v>2.49e-21</v>
      </c>
      <c r="I4820" t="inlineStr">
        <is>
          <t>Nr</t>
        </is>
      </c>
      <c r="J4820" t="inlineStr"/>
      <c r="K4820" t="inlineStr"/>
      <c r="L4820" t="inlineStr">
        <is>
          <t>OCT91286.1 hypothetical protein XELAEV_18014337mg [Xenopus laevis]</t>
        </is>
      </c>
      <c r="M4820" t="n">
        <v>284</v>
      </c>
      <c r="N4820" t="inlineStr">
        <is>
          <t>Xenopus laevis</t>
        </is>
      </c>
      <c r="O4820" t="inlineStr">
        <is>
          <t>hypothetical protein XELAEV_18014337mg</t>
        </is>
      </c>
    </row>
    <row r="4821">
      <c r="A4821" t="inlineStr"/>
      <c r="B4821" t="inlineStr"/>
      <c r="C4821" t="inlineStr"/>
      <c r="D4821" t="inlineStr"/>
      <c r="E4821">
        <f>HYPERLINK("https://www.uniprot.org/uniprotkb/A0A8J1KJX0/entry", "A0A8J1KJX0")</f>
        <v/>
      </c>
      <c r="F4821" t="n">
        <v>42.9</v>
      </c>
      <c r="G4821" t="n">
        <v>112</v>
      </c>
      <c r="H4821" t="n">
        <v>2.51e-21</v>
      </c>
      <c r="I4821" t="inlineStr">
        <is>
          <t>TrEMBL</t>
        </is>
      </c>
      <c r="J4821" t="inlineStr">
        <is>
          <t>LOC121393205</t>
        </is>
      </c>
      <c r="K4821" t="inlineStr">
        <is>
          <t>A0A8J1KJX0_XENLA</t>
        </is>
      </c>
      <c r="L4821" t="inlineStr">
        <is>
          <t>tr|A0A8J1KJX0|A0A8J1KJX0_XENLA uncharacterized protein LOC121393204 OS=Xenopus laevis OX=8355 GN=LOC121393205 PE=4 SV=1</t>
        </is>
      </c>
      <c r="M4821" t="n">
        <v>301</v>
      </c>
      <c r="N4821" t="inlineStr">
        <is>
          <t>Xenopus laevis</t>
        </is>
      </c>
      <c r="O4821" t="inlineStr">
        <is>
          <t>uncharacterized protein LOC121393204</t>
        </is>
      </c>
    </row>
    <row r="4822">
      <c r="A4822" t="inlineStr"/>
      <c r="B4822" t="inlineStr"/>
      <c r="C4822" t="inlineStr"/>
      <c r="D4822" t="inlineStr"/>
      <c r="E4822">
        <f>HYPERLINK("https://www.ncbi.nlm.nih.gov/gene/?term=XP_041444675.1", "XP_041444675.1")</f>
        <v/>
      </c>
      <c r="F4822" t="n">
        <v>45.5</v>
      </c>
      <c r="G4822" t="n">
        <v>112</v>
      </c>
      <c r="H4822" t="n">
        <v>3.07e-21</v>
      </c>
      <c r="I4822" t="inlineStr">
        <is>
          <t>Nr</t>
        </is>
      </c>
      <c r="J4822" t="inlineStr"/>
      <c r="K4822" t="inlineStr"/>
      <c r="L4822" t="inlineStr">
        <is>
          <t>XP_041444675.1 uncharacterized protein aff4.S isoform X3 [Xenopus laevis]</t>
        </is>
      </c>
      <c r="M4822" t="n">
        <v>1041</v>
      </c>
      <c r="N4822" t="inlineStr">
        <is>
          <t>Xenopus laevis</t>
        </is>
      </c>
      <c r="O4822" t="inlineStr">
        <is>
          <t>uncharacterized protein aff4.S isoform X3</t>
        </is>
      </c>
    </row>
    <row r="4823">
      <c r="A4823" t="inlineStr"/>
      <c r="B4823" t="inlineStr"/>
      <c r="C4823" t="inlineStr"/>
      <c r="D4823" t="inlineStr"/>
      <c r="E4823">
        <f>HYPERLINK("https://www.ncbi.nlm.nih.gov/gene/?term=OCT97831.1", "OCT97831.1")</f>
        <v/>
      </c>
      <c r="F4823" t="n">
        <v>44.6</v>
      </c>
      <c r="G4823" t="n">
        <v>112</v>
      </c>
      <c r="H4823" t="n">
        <v>3.860000000000001e-21</v>
      </c>
      <c r="I4823" t="inlineStr">
        <is>
          <t>Nr</t>
        </is>
      </c>
      <c r="J4823" t="inlineStr"/>
      <c r="K4823" t="inlineStr"/>
      <c r="L4823" t="inlineStr">
        <is>
          <t>OCT97831.1 hypothetical protein XELAEV_18010063mg [Xenopus laevis]</t>
        </is>
      </c>
      <c r="M4823" t="n">
        <v>290</v>
      </c>
      <c r="N4823" t="inlineStr">
        <is>
          <t>Xenopus laevis</t>
        </is>
      </c>
      <c r="O4823" t="inlineStr">
        <is>
          <t>hypothetical protein XELAEV_18010063mg</t>
        </is>
      </c>
    </row>
    <row r="4824">
      <c r="A4824" t="inlineStr"/>
      <c r="B4824" t="inlineStr"/>
      <c r="C4824" t="inlineStr"/>
      <c r="D4824" t="inlineStr"/>
      <c r="E4824">
        <f>HYPERLINK("https://www.ncbi.nlm.nih.gov/gene/?term=XP_041417017.1", "XP_041417017.1")</f>
        <v/>
      </c>
      <c r="F4824" t="n">
        <v>42.9</v>
      </c>
      <c r="G4824" t="n">
        <v>112</v>
      </c>
      <c r="H4824" t="n">
        <v>6.45e-21</v>
      </c>
      <c r="I4824" t="inlineStr">
        <is>
          <t>Nr</t>
        </is>
      </c>
      <c r="J4824" t="inlineStr"/>
      <c r="K4824" t="inlineStr"/>
      <c r="L4824" t="inlineStr">
        <is>
          <t>XP_041417017.1 uncharacterized protein LOC121393204 [Xenopus laevis]</t>
        </is>
      </c>
      <c r="M4824" t="n">
        <v>301</v>
      </c>
      <c r="N4824" t="inlineStr">
        <is>
          <t>Xenopus laevis</t>
        </is>
      </c>
      <c r="O4824" t="inlineStr">
        <is>
          <t>uncharacterized protein LOC121393204</t>
        </is>
      </c>
    </row>
    <row r="4825">
      <c r="A4825" t="inlineStr"/>
      <c r="B4825" t="inlineStr"/>
      <c r="C4825" t="inlineStr"/>
      <c r="D4825" t="inlineStr"/>
      <c r="E4825">
        <f>HYPERLINK("https://www.ncbi.nlm.nih.gov/gene/?term=OCT72048.1", "OCT72048.1")</f>
        <v/>
      </c>
      <c r="F4825" t="n">
        <v>44.6</v>
      </c>
      <c r="G4825" t="n">
        <v>112</v>
      </c>
      <c r="H4825" t="n">
        <v>1.82e-20</v>
      </c>
      <c r="I4825" t="inlineStr">
        <is>
          <t>Nr</t>
        </is>
      </c>
      <c r="J4825" t="inlineStr"/>
      <c r="K4825" t="inlineStr"/>
      <c r="L4825" t="inlineStr">
        <is>
          <t>OCT72048.1 hypothetical protein XELAEV_18035025mg [Xenopus laevis]</t>
        </is>
      </c>
      <c r="M4825" t="n">
        <v>303</v>
      </c>
      <c r="N4825" t="inlineStr">
        <is>
          <t>Xenopus laevis</t>
        </is>
      </c>
      <c r="O4825" t="inlineStr">
        <is>
          <t>hypothetical protein XELAEV_18035025mg</t>
        </is>
      </c>
    </row>
    <row r="4826">
      <c r="A4826" t="inlineStr"/>
      <c r="B4826" t="inlineStr"/>
      <c r="C4826" t="inlineStr"/>
      <c r="D4826" t="inlineStr"/>
      <c r="E4826">
        <f>HYPERLINK("https://www.ncbi.nlm.nih.gov/gene/?term=OCT74569.1", "OCT74569.1")</f>
        <v/>
      </c>
      <c r="F4826" t="n">
        <v>42</v>
      </c>
      <c r="G4826" t="n">
        <v>112</v>
      </c>
      <c r="H4826" t="n">
        <v>2.62e-20</v>
      </c>
      <c r="I4826" t="inlineStr">
        <is>
          <t>Nr</t>
        </is>
      </c>
      <c r="J4826" t="inlineStr"/>
      <c r="K4826" t="inlineStr"/>
      <c r="L4826" t="inlineStr">
        <is>
          <t>OCT74569.1 hypothetical protein XELAEV_18033554mg [Xenopus laevis]</t>
        </is>
      </c>
      <c r="M4826" t="n">
        <v>305</v>
      </c>
      <c r="N4826" t="inlineStr">
        <is>
          <t>Xenopus laevis</t>
        </is>
      </c>
      <c r="O4826" t="inlineStr">
        <is>
          <t>hypothetical protein XELAEV_18033554mg</t>
        </is>
      </c>
    </row>
    <row r="4827">
      <c r="A4827" t="inlineStr"/>
      <c r="B4827" t="inlineStr"/>
      <c r="C4827" t="inlineStr"/>
      <c r="D4827" t="inlineStr"/>
      <c r="E4827">
        <f>HYPERLINK("https://www.uniprot.org/uniprotkb/A0A803J2S1/entry", "A0A803J2S1")</f>
        <v/>
      </c>
      <c r="F4827" t="n">
        <v>43.2</v>
      </c>
      <c r="G4827" t="n">
        <v>118</v>
      </c>
      <c r="H4827" t="n">
        <v>9.63e-20</v>
      </c>
      <c r="I4827" t="inlineStr">
        <is>
          <t>TrEMBL</t>
        </is>
      </c>
      <c r="J4827" t="inlineStr"/>
      <c r="K4827" t="inlineStr">
        <is>
          <t>A0A803J2S1_XENTR</t>
        </is>
      </c>
      <c r="L4827" t="inlineStr">
        <is>
          <t>tr|A0A803J2S1|A0A803J2S1_XENTR Reverse transcriptase domain-containing protein OS=Xenopus tropicalis OX=8364 PE=4 SV=1</t>
        </is>
      </c>
      <c r="M4827" t="n">
        <v>734</v>
      </c>
      <c r="N4827" t="inlineStr">
        <is>
          <t>Xenopus tropicalis</t>
        </is>
      </c>
      <c r="O4827" t="inlineStr">
        <is>
          <t>Reverse transcriptase domain-containing protein</t>
        </is>
      </c>
    </row>
    <row r="4828">
      <c r="A4828" t="inlineStr"/>
      <c r="B4828" t="inlineStr"/>
      <c r="C4828" t="inlineStr"/>
      <c r="D4828" t="inlineStr"/>
      <c r="E4828">
        <f>HYPERLINK("https://www.uniprot.org/uniprotkb/A0A803KCU3/entry", "A0A803KCU3")</f>
        <v/>
      </c>
      <c r="F4828" t="n">
        <v>42.3</v>
      </c>
      <c r="G4828" t="n">
        <v>123</v>
      </c>
      <c r="H4828" t="n">
        <v>2.14e-18</v>
      </c>
      <c r="I4828" t="inlineStr">
        <is>
          <t>TrEMBL</t>
        </is>
      </c>
      <c r="J4828" t="inlineStr"/>
      <c r="K4828" t="inlineStr">
        <is>
          <t>A0A803KCU3_XENTR</t>
        </is>
      </c>
      <c r="L4828" t="inlineStr">
        <is>
          <t>tr|A0A803KCU3|A0A803KCU3_XENTR Reverse transcriptase domain-containing protein OS=Xenopus tropicalis OX=8364 PE=4 SV=1</t>
        </is>
      </c>
      <c r="M4828" t="n">
        <v>711</v>
      </c>
      <c r="N4828" t="inlineStr">
        <is>
          <t>Xenopus tropicalis</t>
        </is>
      </c>
      <c r="O4828" t="inlineStr">
        <is>
          <t>Reverse transcriptase domain-containing protein</t>
        </is>
      </c>
    </row>
    <row r="4829">
      <c r="A4829" t="inlineStr"/>
      <c r="B4829" t="inlineStr"/>
      <c r="C4829" t="inlineStr"/>
      <c r="D4829" t="inlineStr"/>
      <c r="E4829">
        <f>HYPERLINK("https://www.uniprot.org/uniprotkb/A0A803JDM3/entry", "A0A803JDM3")</f>
        <v/>
      </c>
      <c r="F4829" t="n">
        <v>42.9</v>
      </c>
      <c r="G4829" t="n">
        <v>119</v>
      </c>
      <c r="H4829" t="n">
        <v>2.92e-18</v>
      </c>
      <c r="I4829" t="inlineStr">
        <is>
          <t>TrEMBL</t>
        </is>
      </c>
      <c r="J4829" t="inlineStr"/>
      <c r="K4829" t="inlineStr">
        <is>
          <t>A0A803JDM3_XENTR</t>
        </is>
      </c>
      <c r="L4829" t="inlineStr">
        <is>
          <t>tr|A0A803JDM3|A0A803JDM3_XENTR Reverse transcriptase domain-containing protein OS=Xenopus tropicalis OX=8364 PE=4 SV=1</t>
        </is>
      </c>
      <c r="M4829" t="n">
        <v>734</v>
      </c>
      <c r="N4829" t="inlineStr">
        <is>
          <t>Xenopus tropicalis</t>
        </is>
      </c>
      <c r="O4829" t="inlineStr">
        <is>
          <t>Reverse transcriptase domain-containing protein</t>
        </is>
      </c>
    </row>
    <row r="4830">
      <c r="A4830" t="inlineStr"/>
      <c r="B4830" t="inlineStr"/>
      <c r="C4830" t="inlineStr"/>
      <c r="D4830" t="inlineStr"/>
      <c r="E4830">
        <f>HYPERLINK("https://www.uniprot.org/uniprotkb/A0A8J0R2D9/entry", "A0A8J0R2D9")</f>
        <v/>
      </c>
      <c r="F4830" t="n">
        <v>41.2</v>
      </c>
      <c r="G4830" t="n">
        <v>119</v>
      </c>
      <c r="H4830" t="n">
        <v>3.84e-18</v>
      </c>
      <c r="I4830" t="inlineStr">
        <is>
          <t>TrEMBL</t>
        </is>
      </c>
      <c r="J4830" t="inlineStr">
        <is>
          <t>LOC101732558</t>
        </is>
      </c>
      <c r="K4830" t="inlineStr">
        <is>
          <t>A0A8J0R2D9_XENTR</t>
        </is>
      </c>
      <c r="L4830" t="inlineStr">
        <is>
          <t>tr|A0A8J0R2D9|A0A8J0R2D9_XENTR uncharacterized protein LOC101732558 OS=Xenopus tropicalis OX=8364 GN=LOC101732558 PE=4 SV=1</t>
        </is>
      </c>
      <c r="M4830" t="n">
        <v>343</v>
      </c>
      <c r="N4830" t="inlineStr">
        <is>
          <t>Xenopus tropicalis</t>
        </is>
      </c>
      <c r="O4830" t="inlineStr">
        <is>
          <t>uncharacterized protein LOC101732558</t>
        </is>
      </c>
    </row>
    <row r="4831">
      <c r="A4831" t="inlineStr"/>
      <c r="B4831" t="inlineStr"/>
      <c r="C4831" t="inlineStr"/>
      <c r="D4831" t="inlineStr"/>
      <c r="E4831">
        <f>HYPERLINK("https://www.uniprot.org/uniprotkb/A0A6I8T244/entry", "A0A6I8T244")</f>
        <v/>
      </c>
      <c r="F4831" t="n">
        <v>41.2</v>
      </c>
      <c r="G4831" t="n">
        <v>119</v>
      </c>
      <c r="H4831" t="n">
        <v>5.44e-18</v>
      </c>
      <c r="I4831" t="inlineStr">
        <is>
          <t>TrEMBL</t>
        </is>
      </c>
      <c r="J4831" t="inlineStr"/>
      <c r="K4831" t="inlineStr">
        <is>
          <t>A0A6I8T244_XENTR</t>
        </is>
      </c>
      <c r="L4831" t="inlineStr">
        <is>
          <t>tr|A0A6I8T244|A0A6I8T244_XENTR Reverse transcriptase domain-containing protein OS=Xenopus tropicalis OX=8364 PE=4 SV=2</t>
        </is>
      </c>
      <c r="M4831" t="n">
        <v>734</v>
      </c>
      <c r="N4831" t="inlineStr">
        <is>
          <t>Xenopus tropicalis</t>
        </is>
      </c>
      <c r="O4831" t="inlineStr">
        <is>
          <t>Reverse transcriptase domain-containing protein</t>
        </is>
      </c>
    </row>
    <row r="4832">
      <c r="A4832" t="inlineStr"/>
      <c r="B4832" t="inlineStr"/>
      <c r="C4832" t="inlineStr"/>
      <c r="D4832" t="inlineStr"/>
      <c r="E4832">
        <f>HYPERLINK("https://www.ncbi.nlm.nih.gov/gene/?term=XP_004915373.2", "XP_004915373.2")</f>
        <v/>
      </c>
      <c r="F4832" t="n">
        <v>41.2</v>
      </c>
      <c r="G4832" t="n">
        <v>119</v>
      </c>
      <c r="H4832" t="n">
        <v>9.870000000000001e-18</v>
      </c>
      <c r="I4832" t="inlineStr">
        <is>
          <t>Nr</t>
        </is>
      </c>
      <c r="J4832" t="inlineStr"/>
      <c r="K4832" t="inlineStr"/>
      <c r="L4832" t="inlineStr">
        <is>
          <t>XP_004915373.2 uncharacterized protein LOC101732558 [Xenopus tropicalis]</t>
        </is>
      </c>
      <c r="M4832" t="n">
        <v>343</v>
      </c>
      <c r="N4832" t="inlineStr">
        <is>
          <t>Xenopus tropicalis</t>
        </is>
      </c>
      <c r="O4832" t="inlineStr">
        <is>
          <t>uncharacterized protein LOC101732558</t>
        </is>
      </c>
    </row>
    <row r="4833">
      <c r="A4833" t="inlineStr"/>
      <c r="B4833" t="inlineStr"/>
      <c r="C4833" t="inlineStr"/>
      <c r="D4833" t="inlineStr"/>
      <c r="E4833">
        <f>HYPERLINK("https://www.uniprot.org/uniprotkb/A0A803K1M9/entry", "A0A803K1M9")</f>
        <v/>
      </c>
      <c r="F4833" t="n">
        <v>41.2</v>
      </c>
      <c r="G4833" t="n">
        <v>119</v>
      </c>
      <c r="H4833" t="n">
        <v>1.01e-17</v>
      </c>
      <c r="I4833" t="inlineStr">
        <is>
          <t>TrEMBL</t>
        </is>
      </c>
      <c r="J4833" t="inlineStr"/>
      <c r="K4833" t="inlineStr">
        <is>
          <t>A0A803K1M9_XENTR</t>
        </is>
      </c>
      <c r="L4833" t="inlineStr">
        <is>
          <t>tr|A0A803K1M9|A0A803K1M9_XENTR Reverse transcriptase domain-containing protein OS=Xenopus tropicalis OX=8364 PE=4 SV=1</t>
        </is>
      </c>
      <c r="M4833" t="n">
        <v>734</v>
      </c>
      <c r="N4833" t="inlineStr">
        <is>
          <t>Xenopus tropicalis</t>
        </is>
      </c>
      <c r="O4833" t="inlineStr">
        <is>
          <t>Reverse transcriptase domain-containing protein</t>
        </is>
      </c>
    </row>
    <row r="4834">
      <c r="A4834" t="inlineStr"/>
      <c r="B4834" t="inlineStr"/>
      <c r="C4834" t="inlineStr"/>
      <c r="D4834" t="inlineStr"/>
      <c r="E4834">
        <f>HYPERLINK("https://www.uniprot.org/uniprotkb/A0A803J3W6/entry", "A0A803J3W6")</f>
        <v/>
      </c>
      <c r="F4834" t="n">
        <v>41.2</v>
      </c>
      <c r="G4834" t="n">
        <v>119</v>
      </c>
      <c r="H4834" t="n">
        <v>1.01e-17</v>
      </c>
      <c r="I4834" t="inlineStr">
        <is>
          <t>TrEMBL</t>
        </is>
      </c>
      <c r="J4834" t="inlineStr"/>
      <c r="K4834" t="inlineStr">
        <is>
          <t>A0A803J3W6_XENTR</t>
        </is>
      </c>
      <c r="L4834" t="inlineStr">
        <is>
          <t>tr|A0A803J3W6|A0A803J3W6_XENTR Reverse transcriptase domain-containing protein OS=Xenopus tropicalis OX=8364 PE=4 SV=1</t>
        </is>
      </c>
      <c r="M4834" t="n">
        <v>734</v>
      </c>
      <c r="N4834" t="inlineStr">
        <is>
          <t>Xenopus tropicalis</t>
        </is>
      </c>
      <c r="O4834" t="inlineStr">
        <is>
          <t>Reverse transcriptase domain-containing protein</t>
        </is>
      </c>
    </row>
    <row r="4835">
      <c r="A4835" t="inlineStr"/>
      <c r="B4835" t="inlineStr"/>
      <c r="C4835" t="inlineStr"/>
      <c r="D4835" t="inlineStr"/>
      <c r="E4835">
        <f>HYPERLINK("https://www.uniprot.org/uniprotkb/A0A803JTL3/entry", "A0A803JTL3")</f>
        <v/>
      </c>
      <c r="F4835" t="n">
        <v>41.2</v>
      </c>
      <c r="G4835" t="n">
        <v>119</v>
      </c>
      <c r="H4835" t="n">
        <v>1.01e-17</v>
      </c>
      <c r="I4835" t="inlineStr">
        <is>
          <t>TrEMBL</t>
        </is>
      </c>
      <c r="J4835" t="inlineStr"/>
      <c r="K4835" t="inlineStr">
        <is>
          <t>A0A803JTL3_XENTR</t>
        </is>
      </c>
      <c r="L4835" t="inlineStr">
        <is>
          <t>tr|A0A803JTL3|A0A803JTL3_XENTR Reverse transcriptase domain-containing protein OS=Xenopus tropicalis OX=8364 PE=4 SV=1</t>
        </is>
      </c>
      <c r="M4835" t="n">
        <v>734</v>
      </c>
      <c r="N4835" t="inlineStr">
        <is>
          <t>Xenopus tropicalis</t>
        </is>
      </c>
      <c r="O4835" t="inlineStr">
        <is>
          <t>Reverse transcriptase domain-containing protein</t>
        </is>
      </c>
    </row>
    <row r="4836">
      <c r="A4836" t="inlineStr"/>
      <c r="B4836" t="inlineStr"/>
      <c r="C4836" t="inlineStr"/>
      <c r="D4836" t="inlineStr"/>
      <c r="E4836">
        <f>HYPERLINK("https://www.uniprot.org/uniprotkb/A0A803KCA4/entry", "A0A803KCA4")</f>
        <v/>
      </c>
      <c r="F4836" t="n">
        <v>41.2</v>
      </c>
      <c r="G4836" t="n">
        <v>119</v>
      </c>
      <c r="H4836" t="n">
        <v>1.02e-17</v>
      </c>
      <c r="I4836" t="inlineStr">
        <is>
          <t>TrEMBL</t>
        </is>
      </c>
      <c r="J4836" t="inlineStr">
        <is>
          <t>LOC116410997</t>
        </is>
      </c>
      <c r="K4836" t="inlineStr">
        <is>
          <t>A0A803KCA4_XENTR</t>
        </is>
      </c>
      <c r="L4836" t="inlineStr">
        <is>
          <t>tr|A0A803KCA4|A0A803KCA4_XENTR Uncharacterized LOC116410997 OS=Xenopus tropicalis OX=8364 GN=LOC116410997 PE=4 SV=1</t>
        </is>
      </c>
      <c r="M4836" t="n">
        <v>786</v>
      </c>
      <c r="N4836" t="inlineStr">
        <is>
          <t>Xenopus tropicalis</t>
        </is>
      </c>
      <c r="O4836" t="inlineStr">
        <is>
          <t>Uncharacterized LOC116410997</t>
        </is>
      </c>
    </row>
    <row r="4837">
      <c r="A4837" t="inlineStr"/>
      <c r="B4837" t="inlineStr"/>
      <c r="C4837" t="inlineStr"/>
      <c r="D4837" t="inlineStr"/>
      <c r="E4837">
        <f>HYPERLINK("https://www.uniprot.org/uniprotkb/A0A803JQ01/entry", "A0A803JQ01")</f>
        <v/>
      </c>
      <c r="F4837" t="n">
        <v>41.2</v>
      </c>
      <c r="G4837" t="n">
        <v>119</v>
      </c>
      <c r="H4837" t="n">
        <v>1.02e-17</v>
      </c>
      <c r="I4837" t="inlineStr">
        <is>
          <t>TrEMBL</t>
        </is>
      </c>
      <c r="J4837" t="inlineStr"/>
      <c r="K4837" t="inlineStr">
        <is>
          <t>A0A803JQ01_XENTR</t>
        </is>
      </c>
      <c r="L4837" t="inlineStr">
        <is>
          <t>tr|A0A803JQ01|A0A803JQ01_XENTR Reverse transcriptase domain-containing protein OS=Xenopus tropicalis OX=8364 PE=4 SV=1</t>
        </is>
      </c>
      <c r="M4837" t="n">
        <v>786</v>
      </c>
      <c r="N4837" t="inlineStr">
        <is>
          <t>Xenopus tropicalis</t>
        </is>
      </c>
      <c r="O4837" t="inlineStr">
        <is>
          <t>Reverse transcriptase domain-containing protein</t>
        </is>
      </c>
    </row>
    <row r="4838">
      <c r="A4838" t="inlineStr"/>
      <c r="B4838" t="inlineStr"/>
      <c r="C4838" t="inlineStr"/>
      <c r="D4838" t="inlineStr"/>
      <c r="E4838">
        <f>HYPERLINK("https://www.ncbi.nlm.nih.gov/gene/?term=OCU00354.1", "OCU00354.1")</f>
        <v/>
      </c>
      <c r="F4838" t="n">
        <v>42</v>
      </c>
      <c r="G4838" t="n">
        <v>112</v>
      </c>
      <c r="H4838" t="n">
        <v>1.55e-17</v>
      </c>
      <c r="I4838" t="inlineStr">
        <is>
          <t>Nr</t>
        </is>
      </c>
      <c r="J4838" t="inlineStr"/>
      <c r="K4838" t="inlineStr"/>
      <c r="L4838" t="inlineStr">
        <is>
          <t>OCU00354.1 hypothetical protein XELAEV_18006128mg [Xenopus laevis]</t>
        </is>
      </c>
      <c r="M4838" t="n">
        <v>192</v>
      </c>
      <c r="N4838" t="inlineStr">
        <is>
          <t>Xenopus laevis</t>
        </is>
      </c>
      <c r="O4838" t="inlineStr">
        <is>
          <t>hypothetical protein XELAEV_18006128mg</t>
        </is>
      </c>
    </row>
    <row r="4839">
      <c r="A4839" t="inlineStr"/>
      <c r="B4839" t="inlineStr"/>
      <c r="C4839" t="inlineStr"/>
      <c r="D4839" t="inlineStr"/>
      <c r="E4839">
        <f>HYPERLINK("https://www.ncbi.nlm.nih.gov/gene/?term=XP_031758619.1", "XP_031758619.1")</f>
        <v/>
      </c>
      <c r="F4839" t="n">
        <v>41.2</v>
      </c>
      <c r="G4839" t="n">
        <v>119</v>
      </c>
      <c r="H4839" t="n">
        <v>2.62e-17</v>
      </c>
      <c r="I4839" t="inlineStr">
        <is>
          <t>Nr</t>
        </is>
      </c>
      <c r="J4839" t="inlineStr"/>
      <c r="K4839" t="inlineStr"/>
      <c r="L4839" t="inlineStr">
        <is>
          <t>XP_031758619.1 uncharacterized protein LOC116410997 [Xenopus tropicalis]</t>
        </is>
      </c>
      <c r="M4839" t="n">
        <v>786</v>
      </c>
      <c r="N4839" t="inlineStr">
        <is>
          <t>Xenopus tropicalis</t>
        </is>
      </c>
      <c r="O4839" t="inlineStr">
        <is>
          <t>uncharacterized protein LOC116410997</t>
        </is>
      </c>
    </row>
    <row r="4840">
      <c r="A4840" t="inlineStr"/>
      <c r="B4840" t="inlineStr"/>
      <c r="C4840" t="inlineStr"/>
      <c r="D4840" t="inlineStr"/>
      <c r="E4840">
        <f>HYPERLINK("https://www.ncbi.nlm.nih.gov/gene/?term=OCT58565.1", "OCT58565.1")</f>
        <v/>
      </c>
      <c r="F4840" t="n">
        <v>40.9</v>
      </c>
      <c r="G4840" t="n">
        <v>137</v>
      </c>
      <c r="H4840" t="n">
        <v>3.33e-17</v>
      </c>
      <c r="I4840" t="inlineStr">
        <is>
          <t>Nr</t>
        </is>
      </c>
      <c r="J4840" t="inlineStr"/>
      <c r="K4840" t="inlineStr"/>
      <c r="L4840" t="inlineStr">
        <is>
          <t>OCT58565.1 hypothetical protein XELAEV_18001999mg [Xenopus laevis]</t>
        </is>
      </c>
      <c r="M4840" t="n">
        <v>318</v>
      </c>
      <c r="N4840" t="inlineStr">
        <is>
          <t>Xenopus laevis</t>
        </is>
      </c>
      <c r="O4840" t="inlineStr">
        <is>
          <t>hypothetical protein XELAEV_18001999mg</t>
        </is>
      </c>
    </row>
    <row r="4841">
      <c r="A4841" t="inlineStr"/>
      <c r="B4841" t="inlineStr"/>
      <c r="C4841" t="inlineStr"/>
      <c r="D4841" t="inlineStr"/>
      <c r="E4841">
        <f>HYPERLINK("https://www.uniprot.org/uniprotkb/A0A803J933/entry", "A0A803J933")</f>
        <v/>
      </c>
      <c r="F4841" t="n">
        <v>38.7</v>
      </c>
      <c r="G4841" t="n">
        <v>119</v>
      </c>
      <c r="H4841" t="n">
        <v>3.46e-17</v>
      </c>
      <c r="I4841" t="inlineStr">
        <is>
          <t>TrEMBL</t>
        </is>
      </c>
      <c r="J4841" t="inlineStr"/>
      <c r="K4841" t="inlineStr">
        <is>
          <t>A0A803J933_XENTR</t>
        </is>
      </c>
      <c r="L4841" t="inlineStr">
        <is>
          <t>tr|A0A803J933|A0A803J933_XENTR Reverse transcriptase domain-containing protein OS=Xenopus tropicalis OX=8364 PE=4 SV=1</t>
        </is>
      </c>
      <c r="M4841" t="n">
        <v>661</v>
      </c>
      <c r="N4841" t="inlineStr">
        <is>
          <t>Xenopus tropicalis</t>
        </is>
      </c>
      <c r="O4841" t="inlineStr">
        <is>
          <t>Reverse transcriptase domain-containing protein</t>
        </is>
      </c>
    </row>
    <row r="4842">
      <c r="A4842" t="inlineStr"/>
      <c r="B4842" t="inlineStr"/>
      <c r="C4842" t="inlineStr"/>
      <c r="D4842" t="inlineStr"/>
      <c r="E4842">
        <f>HYPERLINK("https://www.uniprot.org/uniprotkb/A0A803K2A9/entry", "A0A803K2A9")</f>
        <v/>
      </c>
      <c r="F4842" t="n">
        <v>40.3</v>
      </c>
      <c r="G4842" t="n">
        <v>119</v>
      </c>
      <c r="H4842" t="n">
        <v>4.71e-17</v>
      </c>
      <c r="I4842" t="inlineStr">
        <is>
          <t>TrEMBL</t>
        </is>
      </c>
      <c r="J4842" t="inlineStr"/>
      <c r="K4842" t="inlineStr">
        <is>
          <t>A0A803K2A9_XENTR</t>
        </is>
      </c>
      <c r="L4842" t="inlineStr">
        <is>
          <t>tr|A0A803K2A9|A0A803K2A9_XENTR Reverse transcriptase domain-containing protein OS=Xenopus tropicalis OX=8364 PE=4 SV=1</t>
        </is>
      </c>
      <c r="M4842" t="n">
        <v>656</v>
      </c>
      <c r="N4842" t="inlineStr">
        <is>
          <t>Xenopus tropicalis</t>
        </is>
      </c>
      <c r="O4842" t="inlineStr">
        <is>
          <t>Reverse transcriptase domain-containing protein</t>
        </is>
      </c>
    </row>
    <row r="4843">
      <c r="A4843" t="inlineStr"/>
      <c r="B4843" t="inlineStr"/>
      <c r="C4843" t="inlineStr"/>
      <c r="D4843" t="inlineStr"/>
      <c r="E4843">
        <f>HYPERLINK("https://www.ncbi.nlm.nih.gov/gene/?term=OCT79069.1", "OCT79069.1")</f>
        <v/>
      </c>
      <c r="F4843" t="n">
        <v>41.4</v>
      </c>
      <c r="G4843" t="n">
        <v>116</v>
      </c>
      <c r="H4843" t="n">
        <v>1.45e-16</v>
      </c>
      <c r="I4843" t="inlineStr">
        <is>
          <t>Nr</t>
        </is>
      </c>
      <c r="J4843" t="inlineStr"/>
      <c r="K4843" t="inlineStr"/>
      <c r="L4843" t="inlineStr">
        <is>
          <t>OCT79069.1 hypothetical protein XELAEV_18030165mg [Xenopus laevis]</t>
        </is>
      </c>
      <c r="M4843" t="n">
        <v>278</v>
      </c>
      <c r="N4843" t="inlineStr">
        <is>
          <t>Xenopus laevis</t>
        </is>
      </c>
      <c r="O4843" t="inlineStr">
        <is>
          <t>hypothetical protein XELAEV_18030165mg</t>
        </is>
      </c>
    </row>
    <row r="4844">
      <c r="A4844" t="inlineStr"/>
      <c r="B4844" t="inlineStr"/>
      <c r="C4844" t="inlineStr"/>
      <c r="D4844" t="inlineStr"/>
      <c r="E4844">
        <f>HYPERLINK("https://www.uniprot.org/uniprotkb/A0A803J6V2/entry", "A0A803J6V2")</f>
        <v/>
      </c>
      <c r="F4844" t="n">
        <v>38.5</v>
      </c>
      <c r="G4844" t="n">
        <v>122</v>
      </c>
      <c r="H4844" t="n">
        <v>1.65e-16</v>
      </c>
      <c r="I4844" t="inlineStr">
        <is>
          <t>TrEMBL</t>
        </is>
      </c>
      <c r="J4844" t="inlineStr"/>
      <c r="K4844" t="inlineStr">
        <is>
          <t>A0A803J6V2_XENTR</t>
        </is>
      </c>
      <c r="L4844" t="inlineStr">
        <is>
          <t>tr|A0A803J6V2|A0A803J6V2_XENTR Reverse transcriptase domain-containing protein OS=Xenopus tropicalis OX=8364 PE=4 SV=1</t>
        </is>
      </c>
      <c r="M4844" t="n">
        <v>733</v>
      </c>
      <c r="N4844" t="inlineStr">
        <is>
          <t>Xenopus tropicalis</t>
        </is>
      </c>
      <c r="O4844" t="inlineStr">
        <is>
          <t>Reverse transcriptase domain-containing protein</t>
        </is>
      </c>
    </row>
    <row r="4845">
      <c r="A4845" t="inlineStr"/>
      <c r="B4845" t="inlineStr"/>
      <c r="C4845" t="inlineStr"/>
      <c r="D4845" t="inlineStr"/>
      <c r="E4845">
        <f>HYPERLINK("https://www.ncbi.nlm.nih.gov/gene/?term=KAE8631062.1", "KAE8631062.1")</f>
        <v/>
      </c>
      <c r="F4845" t="n">
        <v>37.8</v>
      </c>
      <c r="G4845" t="n">
        <v>119</v>
      </c>
      <c r="H4845" t="n">
        <v>7.31e-16</v>
      </c>
      <c r="I4845" t="inlineStr">
        <is>
          <t>Nr</t>
        </is>
      </c>
      <c r="J4845" t="inlineStr"/>
      <c r="K4845" t="inlineStr"/>
      <c r="L4845" t="inlineStr">
        <is>
          <t>KAE8631062.1 hypothetical protein XENTR_v10001061 [Xenopus tropicalis]</t>
        </is>
      </c>
      <c r="M4845" t="n">
        <v>398</v>
      </c>
      <c r="N4845" t="inlineStr">
        <is>
          <t>Xenopus tropicalis</t>
        </is>
      </c>
      <c r="O4845" t="inlineStr">
        <is>
          <t>hypothetical protein XENTR_v10001061</t>
        </is>
      </c>
    </row>
    <row r="4846">
      <c r="A4846" t="inlineStr"/>
      <c r="B4846" t="inlineStr"/>
      <c r="C4846" t="inlineStr"/>
      <c r="D4846" t="inlineStr"/>
      <c r="E4846">
        <f>HYPERLINK("https://www.uniprot.org/uniprotkb/A0A803JBV1/entry", "A0A803JBV1")</f>
        <v/>
      </c>
      <c r="F4846" t="n">
        <v>41.5</v>
      </c>
      <c r="G4846" t="n">
        <v>118</v>
      </c>
      <c r="H4846" t="n">
        <v>1.04e-15</v>
      </c>
      <c r="I4846" t="inlineStr">
        <is>
          <t>TrEMBL</t>
        </is>
      </c>
      <c r="J4846" t="inlineStr"/>
      <c r="K4846" t="inlineStr">
        <is>
          <t>A0A803JBV1_XENTR</t>
        </is>
      </c>
      <c r="L4846" t="inlineStr">
        <is>
          <t>tr|A0A803JBV1|A0A803JBV1_XENTR Reverse transcriptase domain-containing protein OS=Xenopus tropicalis OX=8364 PE=4 SV=1</t>
        </is>
      </c>
      <c r="M4846" t="n">
        <v>628</v>
      </c>
      <c r="N4846" t="inlineStr">
        <is>
          <t>Xenopus tropicalis</t>
        </is>
      </c>
      <c r="O4846" t="inlineStr">
        <is>
          <t>Reverse transcriptase domain-containing protein</t>
        </is>
      </c>
    </row>
    <row r="4847">
      <c r="A4847" t="inlineStr"/>
      <c r="B4847" t="inlineStr"/>
      <c r="C4847" t="inlineStr"/>
      <c r="D4847" t="inlineStr"/>
      <c r="E4847">
        <f>HYPERLINK("https://www.uniprot.org/uniprotkb/A0A803K9Q2/entry", "A0A803K9Q2")</f>
        <v/>
      </c>
      <c r="F4847" t="n">
        <v>39.5</v>
      </c>
      <c r="G4847" t="n">
        <v>114</v>
      </c>
      <c r="H4847" t="n">
        <v>1.44e-15</v>
      </c>
      <c r="I4847" t="inlineStr">
        <is>
          <t>TrEMBL</t>
        </is>
      </c>
      <c r="J4847" t="inlineStr"/>
      <c r="K4847" t="inlineStr">
        <is>
          <t>A0A803K9Q2_XENTR</t>
        </is>
      </c>
      <c r="L4847" t="inlineStr">
        <is>
          <t>tr|A0A803K9Q2|A0A803K9Q2_XENTR GIY-YIG domain-containing protein OS=Xenopus tropicalis OX=8364 PE=4 SV=1</t>
        </is>
      </c>
      <c r="M4847" t="n">
        <v>675</v>
      </c>
      <c r="N4847" t="inlineStr">
        <is>
          <t>Xenopus tropicalis</t>
        </is>
      </c>
      <c r="O4847" t="inlineStr">
        <is>
          <t>GIY-YIG domain-containing protein</t>
        </is>
      </c>
    </row>
    <row r="4848">
      <c r="A4848" t="inlineStr"/>
      <c r="B4848" t="inlineStr"/>
      <c r="C4848" t="inlineStr"/>
      <c r="D4848" t="inlineStr"/>
      <c r="E4848">
        <f>HYPERLINK("https://www.uniprot.org/uniprotkb/A0A803K0M0/entry", "A0A803K0M0")</f>
        <v/>
      </c>
      <c r="F4848" t="n">
        <v>38.6</v>
      </c>
      <c r="G4848" t="n">
        <v>114</v>
      </c>
      <c r="H4848" t="n">
        <v>2.58e-15</v>
      </c>
      <c r="I4848" t="inlineStr">
        <is>
          <t>TrEMBL</t>
        </is>
      </c>
      <c r="J4848" t="inlineStr"/>
      <c r="K4848" t="inlineStr">
        <is>
          <t>A0A803K0M0_XENTR</t>
        </is>
      </c>
      <c r="L4848" t="inlineStr">
        <is>
          <t>tr|A0A803K0M0|A0A803K0M0_XENTR Reverse transcriptase domain-containing protein OS=Xenopus tropicalis OX=8364 PE=4 SV=1</t>
        </is>
      </c>
      <c r="M4848" t="n">
        <v>551</v>
      </c>
      <c r="N4848" t="inlineStr">
        <is>
          <t>Xenopus tropicalis</t>
        </is>
      </c>
      <c r="O4848" t="inlineStr">
        <is>
          <t>Reverse transcriptase domain-containing protein</t>
        </is>
      </c>
    </row>
    <row r="4849">
      <c r="A4849" t="inlineStr"/>
      <c r="B4849" t="inlineStr"/>
      <c r="C4849" t="inlineStr"/>
      <c r="D4849" t="inlineStr"/>
      <c r="E4849">
        <f>HYPERLINK("https://www.uniprot.org/uniprotkb/A0A8J1KI46/entry", "A0A8J1KI46")</f>
        <v/>
      </c>
      <c r="F4849" t="n">
        <v>37.8</v>
      </c>
      <c r="G4849" t="n">
        <v>119</v>
      </c>
      <c r="H4849" t="n">
        <v>2.73e-15</v>
      </c>
      <c r="I4849" t="inlineStr">
        <is>
          <t>TrEMBL</t>
        </is>
      </c>
      <c r="J4849" t="inlineStr">
        <is>
          <t>LOC121393207</t>
        </is>
      </c>
      <c r="K4849" t="inlineStr">
        <is>
          <t>A0A8J1KI46_XENLA</t>
        </is>
      </c>
      <c r="L4849" t="inlineStr">
        <is>
          <t>tr|A0A8J1KI46|A0A8J1KI46_XENLA uncharacterized protein LOC121393207 OS=Xenopus laevis OX=8355 GN=LOC121393207 PE=4 SV=1</t>
        </is>
      </c>
      <c r="M4849" t="n">
        <v>282</v>
      </c>
      <c r="N4849" t="inlineStr">
        <is>
          <t>Xenopus laevis</t>
        </is>
      </c>
      <c r="O4849" t="inlineStr">
        <is>
          <t>uncharacterized protein LOC121393207</t>
        </is>
      </c>
    </row>
    <row r="4850">
      <c r="A4850" t="inlineStr"/>
      <c r="B4850" t="inlineStr"/>
      <c r="C4850" t="inlineStr"/>
      <c r="D4850" t="inlineStr"/>
      <c r="E4850">
        <f>HYPERLINK("https://www.uniprot.org/uniprotkb/A0A8J1LIC7/entry", "A0A8J1LIC7")</f>
        <v/>
      </c>
      <c r="F4850" t="n">
        <v>40.3</v>
      </c>
      <c r="G4850" t="n">
        <v>119</v>
      </c>
      <c r="H4850" t="n">
        <v>3.3e-15</v>
      </c>
      <c r="I4850" t="inlineStr">
        <is>
          <t>TrEMBL</t>
        </is>
      </c>
      <c r="J4850" t="inlineStr">
        <is>
          <t>nr6a1.L</t>
        </is>
      </c>
      <c r="K4850" t="inlineStr">
        <is>
          <t>A0A8J1LIC7_XENLA</t>
        </is>
      </c>
      <c r="L4850" t="inlineStr">
        <is>
          <t>tr|A0A8J1LIC7|A0A8J1LIC7_XENLA uncharacterized protein nr6a1.L isoform X6 OS=Xenopus laevis OX=8355 GN=nr6a1.L PE=4 SV=1</t>
        </is>
      </c>
      <c r="M4850" t="n">
        <v>474</v>
      </c>
      <c r="N4850" t="inlineStr">
        <is>
          <t>Xenopus laevis</t>
        </is>
      </c>
      <c r="O4850" t="inlineStr">
        <is>
          <t>uncharacterized protein nr6a1.L isoform X6</t>
        </is>
      </c>
    </row>
    <row r="4851">
      <c r="A4851" t="inlineStr"/>
      <c r="B4851" t="inlineStr"/>
      <c r="C4851" t="inlineStr"/>
      <c r="D4851" t="inlineStr"/>
      <c r="E4851">
        <f>HYPERLINK("https://www.uniprot.org/uniprotkb/A0A8J1KKB6/entry", "A0A8J1KKB6")</f>
        <v/>
      </c>
      <c r="F4851" t="n">
        <v>38.8</v>
      </c>
      <c r="G4851" t="n">
        <v>116</v>
      </c>
      <c r="H4851" t="n">
        <v>3.99e-15</v>
      </c>
      <c r="I4851" t="inlineStr">
        <is>
          <t>TrEMBL</t>
        </is>
      </c>
      <c r="J4851" t="inlineStr">
        <is>
          <t>LOC121393381</t>
        </is>
      </c>
      <c r="K4851" t="inlineStr">
        <is>
          <t>A0A8J1KKB6_XENLA</t>
        </is>
      </c>
      <c r="L4851" t="inlineStr">
        <is>
          <t>tr|A0A8J1KKB6|A0A8J1KKB6_XENLA uncharacterized protein LOC121393381 OS=Xenopus laevis OX=8355 GN=LOC121393381 PE=4 SV=1</t>
        </is>
      </c>
      <c r="M4851" t="n">
        <v>356</v>
      </c>
      <c r="N4851" t="inlineStr">
        <is>
          <t>Xenopus laevis</t>
        </is>
      </c>
      <c r="O4851" t="inlineStr">
        <is>
          <t>uncharacterized protein LOC121393381</t>
        </is>
      </c>
    </row>
    <row r="4852">
      <c r="A4852" t="inlineStr"/>
      <c r="B4852" t="inlineStr"/>
      <c r="C4852" t="inlineStr"/>
      <c r="D4852" t="inlineStr"/>
      <c r="E4852">
        <f>HYPERLINK("https://www.uniprot.org/uniprotkb/A0A8J1L614/entry", "A0A8J1L614")</f>
        <v/>
      </c>
      <c r="F4852" t="n">
        <v>37</v>
      </c>
      <c r="G4852" t="n">
        <v>119</v>
      </c>
      <c r="H4852" t="n">
        <v>4.9e-15</v>
      </c>
      <c r="I4852" t="inlineStr">
        <is>
          <t>TrEMBL</t>
        </is>
      </c>
      <c r="J4852" t="inlineStr">
        <is>
          <t>LOC121395471</t>
        </is>
      </c>
      <c r="K4852" t="inlineStr">
        <is>
          <t>A0A8J1L614_XENLA</t>
        </is>
      </c>
      <c r="L4852" t="inlineStr">
        <is>
          <t>tr|A0A8J1L614|A0A8J1L614_XENLA uncharacterized protein LOC121395471 OS=Xenopus laevis OX=8355 GN=LOC121395471 PE=4 SV=1</t>
        </is>
      </c>
      <c r="M4852" t="n">
        <v>608</v>
      </c>
      <c r="N4852" t="inlineStr">
        <is>
          <t>Xenopus laevis</t>
        </is>
      </c>
      <c r="O4852" t="inlineStr">
        <is>
          <t>uncharacterized protein LOC121395471</t>
        </is>
      </c>
    </row>
    <row r="4853">
      <c r="A4853" t="inlineStr"/>
      <c r="B4853" t="inlineStr"/>
      <c r="C4853" t="inlineStr"/>
      <c r="D4853" t="inlineStr"/>
      <c r="E4853">
        <f>HYPERLINK("https://www.uniprot.org/uniprotkb/A0A803JJ24/entry", "A0A803JJ24")</f>
        <v/>
      </c>
      <c r="F4853" t="n">
        <v>39.5</v>
      </c>
      <c r="G4853" t="n">
        <v>119</v>
      </c>
      <c r="H4853" t="n">
        <v>5.05e-15</v>
      </c>
      <c r="I4853" t="inlineStr">
        <is>
          <t>TrEMBL</t>
        </is>
      </c>
      <c r="J4853" t="inlineStr"/>
      <c r="K4853" t="inlineStr">
        <is>
          <t>A0A803JJ24_XENTR</t>
        </is>
      </c>
      <c r="L4853" t="inlineStr">
        <is>
          <t>tr|A0A803JJ24|A0A803JJ24_XENTR Reverse transcriptase domain-containing protein OS=Xenopus tropicalis OX=8364 PE=4 SV=1</t>
        </is>
      </c>
      <c r="M4853" t="n">
        <v>787</v>
      </c>
      <c r="N4853" t="inlineStr">
        <is>
          <t>Xenopus tropicalis</t>
        </is>
      </c>
      <c r="O4853" t="inlineStr">
        <is>
          <t>Reverse transcriptase domain-containing protein</t>
        </is>
      </c>
    </row>
    <row r="4854">
      <c r="A4854" t="inlineStr"/>
      <c r="B4854" t="inlineStr"/>
      <c r="C4854" t="inlineStr"/>
      <c r="D4854" t="inlineStr"/>
      <c r="E4854">
        <f>HYPERLINK("https://www.ncbi.nlm.nih.gov/gene/?term=XP_041417030.1", "XP_041417030.1")</f>
        <v/>
      </c>
      <c r="F4854" t="n">
        <v>37.8</v>
      </c>
      <c r="G4854" t="n">
        <v>119</v>
      </c>
      <c r="H4854" t="n">
        <v>7.02e-15</v>
      </c>
      <c r="I4854" t="inlineStr">
        <is>
          <t>Nr</t>
        </is>
      </c>
      <c r="J4854" t="inlineStr"/>
      <c r="K4854" t="inlineStr"/>
      <c r="L4854" t="inlineStr">
        <is>
          <t>XP_041417030.1 uncharacterized protein LOC121393207 [Xenopus laevis]</t>
        </is>
      </c>
      <c r="M4854" t="n">
        <v>282</v>
      </c>
      <c r="N4854" t="inlineStr">
        <is>
          <t>Xenopus laevis</t>
        </is>
      </c>
      <c r="O4854" t="inlineStr">
        <is>
          <t>uncharacterized protein LOC121393207</t>
        </is>
      </c>
    </row>
    <row r="4855">
      <c r="A4855" t="inlineStr"/>
      <c r="B4855" t="inlineStr"/>
      <c r="C4855" t="inlineStr"/>
      <c r="D4855" t="inlineStr"/>
      <c r="E4855">
        <f>HYPERLINK("https://www.ncbi.nlm.nih.gov/gene/?term=XP_041428430.1", "XP_041428430.1")</f>
        <v/>
      </c>
      <c r="F4855" t="n">
        <v>40.3</v>
      </c>
      <c r="G4855" t="n">
        <v>119</v>
      </c>
      <c r="H4855" t="n">
        <v>8.470000000000001e-15</v>
      </c>
      <c r="I4855" t="inlineStr">
        <is>
          <t>Nr</t>
        </is>
      </c>
      <c r="J4855" t="inlineStr"/>
      <c r="K4855" t="inlineStr"/>
      <c r="L4855" t="inlineStr">
        <is>
          <t>XP_041428430.1 uncharacterized protein nr6a1.L isoform X6 [Xenopus laevis]</t>
        </is>
      </c>
      <c r="M4855" t="n">
        <v>474</v>
      </c>
      <c r="N4855" t="inlineStr">
        <is>
          <t>Xenopus laevis</t>
        </is>
      </c>
      <c r="O4855" t="inlineStr">
        <is>
          <t>uncharacterized protein nr6a1.L isoform X6</t>
        </is>
      </c>
    </row>
    <row r="4856">
      <c r="A4856" t="inlineStr"/>
      <c r="B4856" t="inlineStr"/>
      <c r="C4856" t="inlineStr"/>
      <c r="D4856" t="inlineStr"/>
      <c r="E4856">
        <f>HYPERLINK("https://www.ncbi.nlm.nih.gov/gene/?term=XP_041417760.1", "XP_041417760.1")</f>
        <v/>
      </c>
      <c r="F4856" t="n">
        <v>38.8</v>
      </c>
      <c r="G4856" t="n">
        <v>116</v>
      </c>
      <c r="H4856" t="n">
        <v>1.03e-14</v>
      </c>
      <c r="I4856" t="inlineStr">
        <is>
          <t>Nr</t>
        </is>
      </c>
      <c r="J4856" t="inlineStr"/>
      <c r="K4856" t="inlineStr"/>
      <c r="L4856" t="inlineStr">
        <is>
          <t>XP_041417760.1 uncharacterized protein LOC121393381 [Xenopus laevis]</t>
        </is>
      </c>
      <c r="M4856" t="n">
        <v>356</v>
      </c>
      <c r="N4856" t="inlineStr">
        <is>
          <t>Xenopus laevis</t>
        </is>
      </c>
      <c r="O4856" t="inlineStr">
        <is>
          <t>uncharacterized protein LOC121393381</t>
        </is>
      </c>
    </row>
    <row r="4857">
      <c r="A4857" t="inlineStr"/>
      <c r="B4857" t="inlineStr"/>
      <c r="C4857" t="inlineStr"/>
      <c r="D4857" t="inlineStr"/>
      <c r="E4857">
        <f>HYPERLINK("https://www.ncbi.nlm.nih.gov/gene/?term=XP_041424973.1", "XP_041424973.1")</f>
        <v/>
      </c>
      <c r="F4857" t="n">
        <v>37</v>
      </c>
      <c r="G4857" t="n">
        <v>119</v>
      </c>
      <c r="H4857" t="n">
        <v>1.26e-14</v>
      </c>
      <c r="I4857" t="inlineStr">
        <is>
          <t>Nr</t>
        </is>
      </c>
      <c r="J4857" t="inlineStr"/>
      <c r="K4857" t="inlineStr"/>
      <c r="L4857" t="inlineStr">
        <is>
          <t>XP_041424973.1 uncharacterized protein LOC121395471 [Xenopus laevis]</t>
        </is>
      </c>
      <c r="M4857" t="n">
        <v>608</v>
      </c>
      <c r="N4857" t="inlineStr">
        <is>
          <t>Xenopus laevis</t>
        </is>
      </c>
      <c r="O4857" t="inlineStr">
        <is>
          <t>uncharacterized protein LOC121395471</t>
        </is>
      </c>
    </row>
    <row r="4858">
      <c r="A4858" t="inlineStr"/>
      <c r="B4858" t="inlineStr"/>
      <c r="C4858" t="inlineStr"/>
      <c r="D4858" t="inlineStr"/>
      <c r="E4858">
        <f>HYPERLINK("https://www.uniprot.org/uniprotkb/A0A803KBT2/entry", "A0A803KBT2")</f>
        <v/>
      </c>
      <c r="F4858" t="n">
        <v>35.3</v>
      </c>
      <c r="G4858" t="n">
        <v>119</v>
      </c>
      <c r="H4858" t="n">
        <v>1.27e-14</v>
      </c>
      <c r="I4858" t="inlineStr">
        <is>
          <t>TrEMBL</t>
        </is>
      </c>
      <c r="J4858" t="inlineStr"/>
      <c r="K4858" t="inlineStr">
        <is>
          <t>A0A803KBT2_XENTR</t>
        </is>
      </c>
      <c r="L4858" t="inlineStr">
        <is>
          <t>tr|A0A803KBT2|A0A803KBT2_XENTR Reverse transcriptase domain-containing protein OS=Xenopus tropicalis OX=8364 PE=4 SV=1</t>
        </is>
      </c>
      <c r="M4858" t="n">
        <v>735</v>
      </c>
      <c r="N4858" t="inlineStr">
        <is>
          <t>Xenopus tropicalis</t>
        </is>
      </c>
      <c r="O4858" t="inlineStr">
        <is>
          <t>Reverse transcriptase domain-containing protein</t>
        </is>
      </c>
    </row>
    <row r="4859">
      <c r="A4859" t="inlineStr"/>
      <c r="B4859" t="inlineStr"/>
      <c r="C4859" t="inlineStr"/>
      <c r="D4859" t="inlineStr"/>
      <c r="E4859">
        <f>HYPERLINK("https://www.uniprot.org/uniprotkb/A0A8J1LCH3/entry", "A0A8J1LCH3")</f>
        <v/>
      </c>
      <c r="F4859" t="n">
        <v>38.3</v>
      </c>
      <c r="G4859" t="n">
        <v>115</v>
      </c>
      <c r="H4859" t="n">
        <v>1.99e-14</v>
      </c>
      <c r="I4859" t="inlineStr">
        <is>
          <t>TrEMBL</t>
        </is>
      </c>
      <c r="J4859" t="inlineStr">
        <is>
          <t>LOC121396408</t>
        </is>
      </c>
      <c r="K4859" t="inlineStr">
        <is>
          <t>A0A8J1LCH3_XENLA</t>
        </is>
      </c>
      <c r="L4859" t="inlineStr">
        <is>
          <t>tr|A0A8J1LCH3|A0A8J1LCH3_XENLA uncharacterized protein LOC121396408 OS=Xenopus laevis OX=8355 GN=LOC121396408 PE=4 SV=1</t>
        </is>
      </c>
      <c r="M4859" t="n">
        <v>355</v>
      </c>
      <c r="N4859" t="inlineStr">
        <is>
          <t>Xenopus laevis</t>
        </is>
      </c>
      <c r="O4859" t="inlineStr">
        <is>
          <t>uncharacterized protein LOC121396408</t>
        </is>
      </c>
    </row>
    <row r="4860">
      <c r="A4860" t="inlineStr"/>
      <c r="B4860" t="inlineStr"/>
      <c r="C4860" t="inlineStr"/>
      <c r="D4860" t="inlineStr"/>
      <c r="E4860">
        <f>HYPERLINK("https://www.uniprot.org/uniprotkb/A0A803J7B8/entry", "A0A803J7B8")</f>
        <v/>
      </c>
      <c r="F4860" t="n">
        <v>38.2</v>
      </c>
      <c r="G4860" t="n">
        <v>123</v>
      </c>
      <c r="H4860" t="n">
        <v>2.3e-14</v>
      </c>
      <c r="I4860" t="inlineStr">
        <is>
          <t>TrEMBL</t>
        </is>
      </c>
      <c r="J4860" t="inlineStr"/>
      <c r="K4860" t="inlineStr">
        <is>
          <t>A0A803J7B8_XENTR</t>
        </is>
      </c>
      <c r="L4860" t="inlineStr">
        <is>
          <t>tr|A0A803J7B8|A0A803J7B8_XENTR Reverse transcriptase domain-containing protein OS=Xenopus tropicalis OX=8364 PE=4 SV=1</t>
        </is>
      </c>
      <c r="M4860" t="n">
        <v>592</v>
      </c>
      <c r="N4860" t="inlineStr">
        <is>
          <t>Xenopus tropicalis</t>
        </is>
      </c>
      <c r="O4860" t="inlineStr">
        <is>
          <t>Reverse transcriptase domain-containing protein</t>
        </is>
      </c>
    </row>
    <row r="4861">
      <c r="A4861" t="inlineStr"/>
      <c r="B4861" t="inlineStr"/>
      <c r="C4861" t="inlineStr"/>
      <c r="D4861" t="inlineStr"/>
      <c r="E4861">
        <f>HYPERLINK("https://www.uniprot.org/uniprotkb/A0A3P8U3H0/entry", "A0A3P8U3H0")</f>
        <v/>
      </c>
      <c r="F4861" t="n">
        <v>39.7</v>
      </c>
      <c r="G4861" t="n">
        <v>121</v>
      </c>
      <c r="H4861" t="n">
        <v>3.81e-14</v>
      </c>
      <c r="I4861" t="inlineStr">
        <is>
          <t>TrEMBL</t>
        </is>
      </c>
      <c r="J4861" t="inlineStr"/>
      <c r="K4861" t="inlineStr">
        <is>
          <t>A0A3P8U3H0_AMPPE</t>
        </is>
      </c>
      <c r="L4861" t="inlineStr">
        <is>
          <t>tr|A0A3P8U3H0|A0A3P8U3H0_AMPPE Reverse transcriptase domain-containing protein OS=Amphiprion percula OX=161767 PE=4 SV=1</t>
        </is>
      </c>
      <c r="M4861" t="n">
        <v>440</v>
      </c>
      <c r="N4861" t="inlineStr">
        <is>
          <t>Amphiprion percula</t>
        </is>
      </c>
      <c r="O4861" t="inlineStr">
        <is>
          <t>Reverse transcriptase domain-containing protein</t>
        </is>
      </c>
    </row>
    <row r="4862">
      <c r="A4862" t="inlineStr"/>
      <c r="B4862" t="inlineStr"/>
      <c r="C4862" t="inlineStr"/>
      <c r="D4862" t="inlineStr"/>
      <c r="E4862">
        <f>HYPERLINK("https://www.ncbi.nlm.nih.gov/gene/?term=XP_041427227.1", "XP_041427227.1")</f>
        <v/>
      </c>
      <c r="F4862" t="n">
        <v>38.3</v>
      </c>
      <c r="G4862" t="n">
        <v>115</v>
      </c>
      <c r="H4862" t="n">
        <v>5.1e-14</v>
      </c>
      <c r="I4862" t="inlineStr">
        <is>
          <t>Nr</t>
        </is>
      </c>
      <c r="J4862" t="inlineStr"/>
      <c r="K4862" t="inlineStr"/>
      <c r="L4862" t="inlineStr">
        <is>
          <t>XP_041427227.1 uncharacterized protein LOC121396408 [Xenopus laevis]</t>
        </is>
      </c>
      <c r="M4862" t="n">
        <v>355</v>
      </c>
      <c r="N4862" t="inlineStr">
        <is>
          <t>Xenopus laevis</t>
        </is>
      </c>
      <c r="O4862" t="inlineStr">
        <is>
          <t>uncharacterized protein LOC121396408</t>
        </is>
      </c>
    </row>
    <row r="4863">
      <c r="A4863" t="inlineStr"/>
      <c r="B4863" t="inlineStr"/>
      <c r="C4863" t="inlineStr"/>
      <c r="D4863" t="inlineStr"/>
      <c r="E4863">
        <f>HYPERLINK("https://www.ncbi.nlm.nih.gov/gene/?term=XP_035812147.1", "XP_035812147.1")</f>
        <v/>
      </c>
      <c r="F4863" t="n">
        <v>39.7</v>
      </c>
      <c r="G4863" t="n">
        <v>121</v>
      </c>
      <c r="H4863" t="n">
        <v>8.42e-14</v>
      </c>
      <c r="I4863" t="inlineStr">
        <is>
          <t>Nr</t>
        </is>
      </c>
      <c r="J4863" t="inlineStr"/>
      <c r="K4863" t="inlineStr"/>
      <c r="L4863" t="inlineStr">
        <is>
          <t>XP_035812147.1 uncharacterized protein LOC111580143 isoform X4 [Amphiprion ocellaris]</t>
        </is>
      </c>
      <c r="M4863" t="n">
        <v>390</v>
      </c>
      <c r="N4863" t="inlineStr">
        <is>
          <t>Amphiprion ocellaris</t>
        </is>
      </c>
      <c r="O4863" t="inlineStr">
        <is>
          <t>uncharacterized protein LOC111580143 isoform X4</t>
        </is>
      </c>
    </row>
    <row r="4864">
      <c r="A4864" t="inlineStr"/>
      <c r="B4864" t="inlineStr"/>
      <c r="C4864" t="inlineStr"/>
      <c r="D4864" t="inlineStr"/>
      <c r="E4864">
        <f>HYPERLINK("https://www.ncbi.nlm.nih.gov/gene/?term=XP_023119756.1", "XP_023119756.1")</f>
        <v/>
      </c>
      <c r="F4864" t="n">
        <v>39.7</v>
      </c>
      <c r="G4864" t="n">
        <v>121</v>
      </c>
      <c r="H4864" t="n">
        <v>8.42e-14</v>
      </c>
      <c r="I4864" t="inlineStr">
        <is>
          <t>Nr</t>
        </is>
      </c>
      <c r="J4864" t="inlineStr"/>
      <c r="K4864" t="inlineStr"/>
      <c r="L4864" t="inlineStr">
        <is>
          <t>XP_023119756.1 uncharacterized protein LOC111564431 isoform X4 [Amphiprion ocellaris]</t>
        </is>
      </c>
      <c r="M4864" t="n">
        <v>390</v>
      </c>
      <c r="N4864" t="inlineStr">
        <is>
          <t>Amphiprion ocellaris</t>
        </is>
      </c>
      <c r="O4864" t="inlineStr">
        <is>
          <t>uncharacterized protein LOC111564431 isoform X4</t>
        </is>
      </c>
    </row>
    <row r="4865">
      <c r="A4865" t="inlineStr"/>
      <c r="B4865" t="inlineStr"/>
      <c r="C4865" t="inlineStr"/>
      <c r="D4865" t="inlineStr"/>
      <c r="E4865">
        <f>HYPERLINK("https://www.ncbi.nlm.nih.gov/gene/?term=XP_035812145.1", "XP_035812145.1")</f>
        <v/>
      </c>
      <c r="F4865" t="n">
        <v>39.7</v>
      </c>
      <c r="G4865" t="n">
        <v>121</v>
      </c>
      <c r="H4865" t="n">
        <v>9.03e-14</v>
      </c>
      <c r="I4865" t="inlineStr">
        <is>
          <t>Nr</t>
        </is>
      </c>
      <c r="J4865" t="inlineStr"/>
      <c r="K4865" t="inlineStr"/>
      <c r="L4865" t="inlineStr">
        <is>
          <t>XP_035812145.1 uncharacterized protein LOC111580143 isoform X3 [Amphiprion ocellaris]</t>
        </is>
      </c>
      <c r="M4865" t="n">
        <v>409</v>
      </c>
      <c r="N4865" t="inlineStr">
        <is>
          <t>Amphiprion ocellaris</t>
        </is>
      </c>
      <c r="O4865" t="inlineStr">
        <is>
          <t>uncharacterized protein LOC111580143 isoform X3</t>
        </is>
      </c>
    </row>
    <row r="4866">
      <c r="A4866" t="inlineStr"/>
      <c r="B4866" t="inlineStr"/>
      <c r="C4866" t="inlineStr"/>
      <c r="D4866" t="inlineStr"/>
      <c r="E4866">
        <f>HYPERLINK("https://www.ncbi.nlm.nih.gov/gene/?term=XP_023119754.1", "XP_023119754.1")</f>
        <v/>
      </c>
      <c r="F4866" t="n">
        <v>39.7</v>
      </c>
      <c r="G4866" t="n">
        <v>121</v>
      </c>
      <c r="H4866" t="n">
        <v>9.03e-14</v>
      </c>
      <c r="I4866" t="inlineStr">
        <is>
          <t>Nr</t>
        </is>
      </c>
      <c r="J4866" t="inlineStr"/>
      <c r="K4866" t="inlineStr"/>
      <c r="L4866" t="inlineStr">
        <is>
          <t>XP_023119754.1 uncharacterized protein LOC111564431 isoform X3 [Amphiprion ocellaris]</t>
        </is>
      </c>
      <c r="M4866" t="n">
        <v>409</v>
      </c>
      <c r="N4866" t="inlineStr">
        <is>
          <t>Amphiprion ocellaris</t>
        </is>
      </c>
      <c r="O4866" t="inlineStr">
        <is>
          <t>uncharacterized protein LOC111564431 isoform X3</t>
        </is>
      </c>
    </row>
    <row r="4867">
      <c r="A4867" t="inlineStr"/>
      <c r="B4867" t="inlineStr"/>
      <c r="C4867" t="inlineStr"/>
      <c r="D4867" t="inlineStr"/>
      <c r="E4867">
        <f>HYPERLINK("https://www.ncbi.nlm.nih.gov/gene/?term=XP_035796657.1", "XP_035796657.1")</f>
        <v/>
      </c>
      <c r="F4867" t="n">
        <v>39.7</v>
      </c>
      <c r="G4867" t="n">
        <v>121</v>
      </c>
      <c r="H4867" t="n">
        <v>1.05e-13</v>
      </c>
      <c r="I4867" t="inlineStr">
        <is>
          <t>Nr</t>
        </is>
      </c>
      <c r="J4867" t="inlineStr"/>
      <c r="K4867" t="inlineStr"/>
      <c r="L4867" t="inlineStr">
        <is>
          <t>XP_035796657.1 uncharacterized protein LOC111584630 isoform X2 [Amphiprion ocellaris]</t>
        </is>
      </c>
      <c r="M4867" t="n">
        <v>490</v>
      </c>
      <c r="N4867" t="inlineStr">
        <is>
          <t>Amphiprion ocellaris</t>
        </is>
      </c>
      <c r="O4867" t="inlineStr">
        <is>
          <t>uncharacterized protein LOC111584630 isoform X2</t>
        </is>
      </c>
    </row>
    <row r="4868">
      <c r="A4868" t="inlineStr"/>
      <c r="B4868" t="inlineStr"/>
      <c r="C4868" t="inlineStr"/>
      <c r="D4868" t="inlineStr"/>
      <c r="E4868">
        <f>HYPERLINK("https://www.ncbi.nlm.nih.gov/gene/?term=XP_023119753.1", "XP_023119753.1")</f>
        <v/>
      </c>
      <c r="F4868" t="n">
        <v>39.7</v>
      </c>
      <c r="G4868" t="n">
        <v>121</v>
      </c>
      <c r="H4868" t="n">
        <v>1.11e-13</v>
      </c>
      <c r="I4868" t="inlineStr">
        <is>
          <t>Nr</t>
        </is>
      </c>
      <c r="J4868" t="inlineStr"/>
      <c r="K4868" t="inlineStr"/>
      <c r="L4868" t="inlineStr">
        <is>
          <t>XP_023119753.1 uncharacterized protein LOC111564431 isoform X2 [Amphiprion ocellaris]</t>
        </is>
      </c>
      <c r="M4868" t="n">
        <v>626</v>
      </c>
      <c r="N4868" t="inlineStr">
        <is>
          <t>Amphiprion ocellaris</t>
        </is>
      </c>
      <c r="O4868" t="inlineStr">
        <is>
          <t>uncharacterized protein LOC111564431 isoform X2</t>
        </is>
      </c>
    </row>
    <row r="4869">
      <c r="A4869" t="inlineStr"/>
      <c r="B4869" t="inlineStr"/>
      <c r="C4869" t="inlineStr"/>
      <c r="D4869" t="inlineStr"/>
      <c r="E4869">
        <f>HYPERLINK("https://www.ncbi.nlm.nih.gov/gene/?term=XP_035796656.1", "XP_035796656.1")</f>
        <v/>
      </c>
      <c r="F4869" t="n">
        <v>39.7</v>
      </c>
      <c r="G4869" t="n">
        <v>121</v>
      </c>
      <c r="H4869" t="n">
        <v>1.11e-13</v>
      </c>
      <c r="I4869" t="inlineStr">
        <is>
          <t>Nr</t>
        </is>
      </c>
      <c r="J4869" t="inlineStr"/>
      <c r="K4869" t="inlineStr"/>
      <c r="L4869" t="inlineStr">
        <is>
          <t>XP_035796656.1 uncharacterized protein LOC111584630 isoform X1 [Amphiprion ocellaris]</t>
        </is>
      </c>
      <c r="M4869" t="n">
        <v>633</v>
      </c>
      <c r="N4869" t="inlineStr">
        <is>
          <t>Amphiprion ocellaris</t>
        </is>
      </c>
      <c r="O4869" t="inlineStr">
        <is>
          <t>uncharacterized protein LOC111584630 isoform X1</t>
        </is>
      </c>
    </row>
    <row r="4870">
      <c r="A4870" t="inlineStr"/>
      <c r="B4870" t="inlineStr"/>
      <c r="C4870" t="inlineStr"/>
      <c r="D4870" t="inlineStr"/>
      <c r="E4870">
        <f>HYPERLINK("https://www.ncbi.nlm.nih.gov/gene/?term=XP_023143528.2", "XP_023143528.2")</f>
        <v/>
      </c>
      <c r="F4870" t="n">
        <v>39.7</v>
      </c>
      <c r="G4870" t="n">
        <v>121</v>
      </c>
      <c r="H4870" t="n">
        <v>1.11e-13</v>
      </c>
      <c r="I4870" t="inlineStr">
        <is>
          <t>Nr</t>
        </is>
      </c>
      <c r="J4870" t="inlineStr"/>
      <c r="K4870" t="inlineStr"/>
      <c r="L4870" t="inlineStr">
        <is>
          <t>XP_023143528.2 uncharacterized protein LOC111580143 isoform X2 [Amphiprion ocellaris]</t>
        </is>
      </c>
      <c r="M4870" t="n">
        <v>633</v>
      </c>
      <c r="N4870" t="inlineStr">
        <is>
          <t>Amphiprion ocellaris</t>
        </is>
      </c>
      <c r="O4870" t="inlineStr">
        <is>
          <t>uncharacterized protein LOC111580143 isoform X2</t>
        </is>
      </c>
    </row>
    <row r="4871">
      <c r="A4871" t="inlineStr"/>
      <c r="B4871" t="inlineStr"/>
      <c r="C4871" t="inlineStr"/>
      <c r="D4871" t="inlineStr"/>
      <c r="E4871">
        <f>HYPERLINK("https://www.ncbi.nlm.nih.gov/gene/?term=XP_035812141.1", "XP_035812141.1")</f>
        <v/>
      </c>
      <c r="F4871" t="n">
        <v>39.7</v>
      </c>
      <c r="G4871" t="n">
        <v>121</v>
      </c>
      <c r="H4871" t="n">
        <v>1.11e-13</v>
      </c>
      <c r="I4871" t="inlineStr">
        <is>
          <t>Nr</t>
        </is>
      </c>
      <c r="J4871" t="inlineStr"/>
      <c r="K4871" t="inlineStr"/>
      <c r="L4871" t="inlineStr">
        <is>
          <t>XP_035812141.1 uncharacterized protein LOC111580143 isoform X1 [Amphiprion ocellaris]</t>
        </is>
      </c>
      <c r="M4871" t="n">
        <v>653</v>
      </c>
      <c r="N4871" t="inlineStr">
        <is>
          <t>Amphiprion ocellaris</t>
        </is>
      </c>
      <c r="O4871" t="inlineStr">
        <is>
          <t>uncharacterized protein LOC111580143 isoform X1</t>
        </is>
      </c>
    </row>
    <row r="4872">
      <c r="A4872" t="inlineStr"/>
      <c r="B4872" t="inlineStr"/>
      <c r="C4872" t="inlineStr"/>
      <c r="D4872" t="inlineStr"/>
      <c r="E4872">
        <f>HYPERLINK("https://www.ncbi.nlm.nih.gov/gene/?term=XP_023129453.2", "XP_023129453.2")</f>
        <v/>
      </c>
      <c r="F4872" t="n">
        <v>39.7</v>
      </c>
      <c r="G4872" t="n">
        <v>121</v>
      </c>
      <c r="H4872" t="n">
        <v>1.11e-13</v>
      </c>
      <c r="I4872" t="inlineStr">
        <is>
          <t>Nr</t>
        </is>
      </c>
      <c r="J4872" t="inlineStr"/>
      <c r="K4872" t="inlineStr"/>
      <c r="L4872" t="inlineStr">
        <is>
          <t>XP_023129453.2 uncharacterized protein LOC111570753 isoform X1 [Amphiprion ocellaris]</t>
        </is>
      </c>
      <c r="M4872" t="n">
        <v>653</v>
      </c>
      <c r="N4872" t="inlineStr">
        <is>
          <t>Amphiprion ocellaris</t>
        </is>
      </c>
      <c r="O4872" t="inlineStr">
        <is>
          <t>uncharacterized protein LOC111570753 isoform X1</t>
        </is>
      </c>
    </row>
    <row r="4873">
      <c r="A4873" t="inlineStr"/>
      <c r="B4873" t="inlineStr"/>
      <c r="C4873" t="inlineStr"/>
      <c r="D4873" t="inlineStr"/>
      <c r="E4873">
        <f>HYPERLINK("https://www.ncbi.nlm.nih.gov/gene/?term=XP_035799256.1", "XP_035799256.1")</f>
        <v/>
      </c>
      <c r="F4873" t="n">
        <v>39.7</v>
      </c>
      <c r="G4873" t="n">
        <v>121</v>
      </c>
      <c r="H4873" t="n">
        <v>1.12e-13</v>
      </c>
      <c r="I4873" t="inlineStr">
        <is>
          <t>Nr</t>
        </is>
      </c>
      <c r="J4873" t="inlineStr"/>
      <c r="K4873" t="inlineStr"/>
      <c r="L4873" t="inlineStr">
        <is>
          <t>XP_035799256.1 uncharacterized protein LOC111588690 isoform X1 [Amphiprion ocellaris]</t>
        </is>
      </c>
      <c r="M4873" t="n">
        <v>662</v>
      </c>
      <c r="N4873" t="inlineStr">
        <is>
          <t>Amphiprion ocellaris</t>
        </is>
      </c>
      <c r="O4873" t="inlineStr">
        <is>
          <t>uncharacterized protein LOC111588690 isoform X1</t>
        </is>
      </c>
    </row>
    <row r="4874">
      <c r="A4874" t="inlineStr"/>
      <c r="B4874" t="inlineStr"/>
      <c r="C4874" t="inlineStr"/>
      <c r="D4874" t="inlineStr"/>
      <c r="E4874">
        <f>HYPERLINK("https://www.ncbi.nlm.nih.gov/gene/?term=XP_052468100.1", "XP_052468100.1")</f>
        <v/>
      </c>
      <c r="F4874" t="n">
        <v>41.7</v>
      </c>
      <c r="G4874" t="n">
        <v>120</v>
      </c>
      <c r="H4874" t="n">
        <v>2.38e-13</v>
      </c>
      <c r="I4874" t="inlineStr">
        <is>
          <t>Nr</t>
        </is>
      </c>
      <c r="J4874" t="inlineStr"/>
      <c r="K4874" t="inlineStr"/>
      <c r="L4874" t="inlineStr">
        <is>
          <t>XP_052468100.1 uncharacterized protein LOC128025655 [Carassius gibelio]</t>
        </is>
      </c>
      <c r="M4874" t="n">
        <v>417</v>
      </c>
      <c r="N4874" t="inlineStr">
        <is>
          <t>Carassius gibelio</t>
        </is>
      </c>
      <c r="O4874" t="inlineStr">
        <is>
          <t>uncharacterized protein LOC128025655</t>
        </is>
      </c>
    </row>
    <row r="4875">
      <c r="A4875" t="inlineStr"/>
      <c r="B4875" t="inlineStr"/>
      <c r="C4875" t="inlineStr"/>
      <c r="D4875" t="inlineStr"/>
      <c r="E4875">
        <f>HYPERLINK("https://www.ncbi.nlm.nih.gov/gene/?term=XP_026098621.1", "XP_026098621.1")</f>
        <v/>
      </c>
      <c r="F4875" t="n">
        <v>41.7</v>
      </c>
      <c r="G4875" t="n">
        <v>120</v>
      </c>
      <c r="H4875" t="n">
        <v>2.78e-13</v>
      </c>
      <c r="I4875" t="inlineStr">
        <is>
          <t>Nr</t>
        </is>
      </c>
      <c r="J4875" t="inlineStr"/>
      <c r="K4875" t="inlineStr"/>
      <c r="L4875" t="inlineStr">
        <is>
          <t>XP_026098621.1 uncharacterized protein LOC113069710 [Carassius auratus]</t>
        </is>
      </c>
      <c r="M4875" t="n">
        <v>581</v>
      </c>
      <c r="N4875" t="inlineStr">
        <is>
          <t>Carassius auratus</t>
        </is>
      </c>
      <c r="O4875" t="inlineStr">
        <is>
          <t>uncharacterized protein LOC113069710</t>
        </is>
      </c>
    </row>
    <row r="4876">
      <c r="A4876" t="inlineStr"/>
      <c r="B4876" t="inlineStr"/>
      <c r="C4876" t="inlineStr"/>
      <c r="D4876" t="inlineStr"/>
      <c r="E4876">
        <f>HYPERLINK("https://www.ncbi.nlm.nih.gov/gene/?term=KAG8434666.1", "KAG8434666.1")</f>
        <v/>
      </c>
      <c r="F4876" t="n">
        <v>60.7</v>
      </c>
      <c r="G4876" t="n">
        <v>61</v>
      </c>
      <c r="H4876" t="n">
        <v>1.02e-12</v>
      </c>
      <c r="I4876" t="inlineStr">
        <is>
          <t>Nr</t>
        </is>
      </c>
      <c r="J4876" t="inlineStr"/>
      <c r="K4876" t="inlineStr"/>
      <c r="L4876" t="inlineStr">
        <is>
          <t>KAG8434666.1 hypothetical protein GDO86_012868 [Hymenochirus boettgeri]</t>
        </is>
      </c>
      <c r="M4876" t="n">
        <v>285</v>
      </c>
      <c r="N4876" t="inlineStr">
        <is>
          <t>Hymenochirus boettgeri</t>
        </is>
      </c>
      <c r="O4876" t="inlineStr">
        <is>
          <t>hypothetical protein GDO86_012868</t>
        </is>
      </c>
    </row>
    <row r="4877">
      <c r="A4877" t="inlineStr"/>
      <c r="B4877" t="inlineStr"/>
      <c r="C4877" t="inlineStr"/>
      <c r="D4877" t="inlineStr"/>
      <c r="E4877">
        <f>HYPERLINK("https://www.ncbi.nlm.nih.gov/gene/?term=XP_041440147.1", "XP_041440147.1")</f>
        <v/>
      </c>
      <c r="F4877" t="n">
        <v>33.9</v>
      </c>
      <c r="G4877" t="n">
        <v>124</v>
      </c>
      <c r="H4877" t="n">
        <v>1.18e-12</v>
      </c>
      <c r="I4877" t="inlineStr">
        <is>
          <t>Nr</t>
        </is>
      </c>
      <c r="J4877" t="inlineStr"/>
      <c r="K4877" t="inlineStr"/>
      <c r="L4877" t="inlineStr">
        <is>
          <t>XP_041440147.1 uncharacterized protein LOC121400651 [Xenopus laevis]</t>
        </is>
      </c>
      <c r="M4877" t="n">
        <v>430</v>
      </c>
      <c r="N4877" t="inlineStr">
        <is>
          <t>Xenopus laevis</t>
        </is>
      </c>
      <c r="O4877" t="inlineStr">
        <is>
          <t>uncharacterized protein LOC121400651</t>
        </is>
      </c>
    </row>
    <row r="4878">
      <c r="A4878" t="inlineStr"/>
      <c r="B4878" t="inlineStr"/>
      <c r="C4878" t="inlineStr"/>
      <c r="D4878" t="inlineStr"/>
      <c r="E4878">
        <f>HYPERLINK("https://www.ncbi.nlm.nih.gov/gene/?term=KAJ1189219.1", "KAJ1189219.1")</f>
        <v/>
      </c>
      <c r="F4878" t="n">
        <v>35.8</v>
      </c>
      <c r="G4878" t="n">
        <v>120</v>
      </c>
      <c r="H4878" t="n">
        <v>1.77e-12</v>
      </c>
      <c r="I4878" t="inlineStr">
        <is>
          <t>Nr</t>
        </is>
      </c>
      <c r="J4878" t="inlineStr"/>
      <c r="K4878" t="inlineStr"/>
      <c r="L4878" t="inlineStr">
        <is>
          <t>KAJ1189219.1 hypothetical protein NDU88_005969 [Pleurodeles waltl]</t>
        </is>
      </c>
      <c r="M4878" t="n">
        <v>547</v>
      </c>
      <c r="N4878" t="inlineStr">
        <is>
          <t>Pleurodeles waltl</t>
        </is>
      </c>
      <c r="O4878" t="inlineStr">
        <is>
          <t>hypothetical protein NDU88_005969</t>
        </is>
      </c>
    </row>
    <row r="4879">
      <c r="A4879" t="inlineStr"/>
      <c r="B4879" t="inlineStr"/>
      <c r="C4879" t="inlineStr"/>
      <c r="D4879" t="inlineStr"/>
      <c r="E4879">
        <f>HYPERLINK("https://www.ncbi.nlm.nih.gov/gene/?term=XP_041440509.1", "XP_041440509.1")</f>
        <v/>
      </c>
      <c r="F4879" t="n">
        <v>37.6</v>
      </c>
      <c r="G4879" t="n">
        <v>117</v>
      </c>
      <c r="H4879" t="n">
        <v>4.54e-12</v>
      </c>
      <c r="I4879" t="inlineStr">
        <is>
          <t>Nr</t>
        </is>
      </c>
      <c r="J4879" t="inlineStr"/>
      <c r="K4879" t="inlineStr"/>
      <c r="L4879" t="inlineStr">
        <is>
          <t>XP_041440509.1 uncharacterized protein LOC121400710 [Xenopus laevis]</t>
        </is>
      </c>
      <c r="M4879" t="n">
        <v>582</v>
      </c>
      <c r="N4879" t="inlineStr">
        <is>
          <t>Xenopus laevis</t>
        </is>
      </c>
      <c r="O4879" t="inlineStr">
        <is>
          <t>uncharacterized protein LOC121400710</t>
        </is>
      </c>
    </row>
    <row r="4880">
      <c r="A4880" t="inlineStr"/>
      <c r="B4880" t="inlineStr"/>
      <c r="C4880" t="inlineStr"/>
      <c r="D4880" t="inlineStr"/>
      <c r="E4880">
        <f>HYPERLINK("https://www.uniprot.org/uniprotkb/A0A8J1LVF9/entry", "A0A8J1LVF9")</f>
        <v/>
      </c>
      <c r="F4880" t="n">
        <v>35.2</v>
      </c>
      <c r="G4880" t="n">
        <v>122</v>
      </c>
      <c r="H4880" t="n">
        <v>6.65e-11</v>
      </c>
      <c r="I4880" t="inlineStr">
        <is>
          <t>TrEMBL</t>
        </is>
      </c>
      <c r="J4880" t="inlineStr">
        <is>
          <t>LOC121398378</t>
        </is>
      </c>
      <c r="K4880" t="inlineStr">
        <is>
          <t>A0A8J1LVF9_XENLA</t>
        </is>
      </c>
      <c r="L4880" t="inlineStr">
        <is>
          <t>tr|A0A8J1LVF9|A0A8J1LVF9_XENLA uncharacterized protein LOC121398378 OS=Xenopus laevis OX=8355 GN=LOC121398378 PE=4 SV=1</t>
        </is>
      </c>
      <c r="M4880" t="n">
        <v>260</v>
      </c>
      <c r="N4880" t="inlineStr">
        <is>
          <t>Xenopus laevis</t>
        </is>
      </c>
      <c r="O4880" t="inlineStr">
        <is>
          <t>uncharacterized protein LOC121398378</t>
        </is>
      </c>
    </row>
    <row r="4881">
      <c r="A4881" t="inlineStr"/>
      <c r="B4881" t="inlineStr"/>
      <c r="C4881" t="inlineStr"/>
      <c r="D4881" t="inlineStr"/>
      <c r="E4881">
        <f>HYPERLINK("https://www.uniprot.org/uniprotkb/A0A8J1M430/entry", "A0A8J1M430")</f>
        <v/>
      </c>
      <c r="F4881" t="n">
        <v>39.1</v>
      </c>
      <c r="G4881" t="n">
        <v>87</v>
      </c>
      <c r="H4881" t="n">
        <v>4.43e-10</v>
      </c>
      <c r="I4881" t="inlineStr">
        <is>
          <t>TrEMBL</t>
        </is>
      </c>
      <c r="J4881" t="inlineStr">
        <is>
          <t>LOC121399426</t>
        </is>
      </c>
      <c r="K4881" t="inlineStr">
        <is>
          <t>A0A8J1M430_XENLA</t>
        </is>
      </c>
      <c r="L4881" t="inlineStr">
        <is>
          <t>tr|A0A8J1M430|A0A8J1M430_XENLA uncharacterized protein LOC121399426 OS=Xenopus laevis OX=8355 GN=LOC121399426 PE=4 SV=1</t>
        </is>
      </c>
      <c r="M4881" t="n">
        <v>202</v>
      </c>
      <c r="N4881" t="inlineStr">
        <is>
          <t>Xenopus laevis</t>
        </is>
      </c>
      <c r="O4881" t="inlineStr">
        <is>
          <t>uncharacterized protein LOC121399426</t>
        </is>
      </c>
    </row>
    <row r="4882">
      <c r="A4882" t="inlineStr"/>
      <c r="B4882" t="inlineStr"/>
      <c r="C4882" t="inlineStr"/>
      <c r="D4882" t="inlineStr"/>
      <c r="E4882">
        <f>HYPERLINK("https://www.uniprot.org/uniprotkb/A0A8C5LW19/entry", "A0A8C5LW19")</f>
        <v/>
      </c>
      <c r="F4882" t="n">
        <v>68.2</v>
      </c>
      <c r="G4882" t="n">
        <v>44</v>
      </c>
      <c r="H4882" t="n">
        <v>4.86e-10</v>
      </c>
      <c r="I4882" t="inlineStr">
        <is>
          <t>TrEMBL</t>
        </is>
      </c>
      <c r="J4882" t="inlineStr">
        <is>
          <t>CTSO</t>
        </is>
      </c>
      <c r="K4882" t="inlineStr">
        <is>
          <t>A0A8C5LW19_9ANUR</t>
        </is>
      </c>
      <c r="L4882" t="inlineStr">
        <is>
          <t>tr|A0A8C5LW19|A0A8C5LW19_9ANUR Cathepsin O OS=Leptobrachium leishanense OX=445787 GN=CTSO PE=3 SV=1</t>
        </is>
      </c>
      <c r="M4882" t="n">
        <v>390</v>
      </c>
      <c r="N4882" t="inlineStr">
        <is>
          <t>Leptobrachium leishanense</t>
        </is>
      </c>
      <c r="O4882" t="inlineStr">
        <is>
          <t>Cathepsin O</t>
        </is>
      </c>
    </row>
    <row r="4883">
      <c r="A4883" t="inlineStr"/>
      <c r="B4883" t="inlineStr"/>
      <c r="C4883" t="inlineStr"/>
      <c r="D4883" t="inlineStr"/>
      <c r="E4883">
        <f>HYPERLINK("https://www.uniprot.org/uniprotkb/A0A8C5M2A2/entry", "A0A8C5M2A2")</f>
        <v/>
      </c>
      <c r="F4883" t="n">
        <v>69</v>
      </c>
      <c r="G4883" t="n">
        <v>42</v>
      </c>
      <c r="H4883" t="n">
        <v>4.74e-09</v>
      </c>
      <c r="I4883" t="inlineStr">
        <is>
          <t>TrEMBL</t>
        </is>
      </c>
      <c r="J4883" t="inlineStr">
        <is>
          <t>CTSO</t>
        </is>
      </c>
      <c r="K4883" t="inlineStr">
        <is>
          <t>A0A8C5M2A2_9ANUR</t>
        </is>
      </c>
      <c r="L4883" t="inlineStr">
        <is>
          <t>tr|A0A8C5M2A2|A0A8C5M2A2_9ANUR Cathepsin O OS=Leptobrachium leishanense OX=445787 GN=CTSO PE=3 SV=1</t>
        </is>
      </c>
      <c r="M4883" t="n">
        <v>538</v>
      </c>
      <c r="N4883" t="inlineStr">
        <is>
          <t>Leptobrachium leishanense</t>
        </is>
      </c>
      <c r="O4883" t="inlineStr">
        <is>
          <t>Cathepsin O</t>
        </is>
      </c>
    </row>
    <row r="4884">
      <c r="A4884" t="inlineStr"/>
      <c r="B4884" t="inlineStr"/>
      <c r="C4884" t="inlineStr"/>
      <c r="D4884" t="inlineStr"/>
      <c r="E4884">
        <f>HYPERLINK("https://www.uniprot.org/uniprotkb/A0A821IAP0/entry", "A0A821IAP0")</f>
        <v/>
      </c>
      <c r="F4884" t="n">
        <v>32</v>
      </c>
      <c r="G4884" t="n">
        <v>125</v>
      </c>
      <c r="H4884" t="n">
        <v>5.78e-09</v>
      </c>
      <c r="I4884" t="inlineStr">
        <is>
          <t>TrEMBL</t>
        </is>
      </c>
      <c r="J4884" t="inlineStr">
        <is>
          <t>RIMITATOR_LOCUS1671052</t>
        </is>
      </c>
      <c r="K4884" t="inlineStr">
        <is>
          <t>A0A821IAP0_9NEOB</t>
        </is>
      </c>
      <c r="L4884" t="inlineStr">
        <is>
          <t>tr|A0A821IAP0|A0A821IAP0_9NEOB (mimic poison frog) hypothetical protein OS=Ranitomeya imitator OX=111125 GN=RIMITATOR_LOCUS1671052 PE=4 SV=1</t>
        </is>
      </c>
      <c r="M4884" t="n">
        <v>250</v>
      </c>
      <c r="N4884" t="inlineStr">
        <is>
          <t>Ranitomeya imitator</t>
        </is>
      </c>
      <c r="O4884" t="inlineStr">
        <is>
          <t>(mimic poison frog) hypothetical protein</t>
        </is>
      </c>
    </row>
    <row r="4885">
      <c r="A4885" t="inlineStr"/>
      <c r="B4885" t="inlineStr"/>
      <c r="C4885" t="inlineStr"/>
      <c r="D4885" t="inlineStr"/>
      <c r="E4885">
        <f>HYPERLINK("https://www.uniprot.org/uniprotkb/A0A1S3S1N2/entry", "A0A1S3S1N2")</f>
        <v/>
      </c>
      <c r="F4885" t="n">
        <v>35.1</v>
      </c>
      <c r="G4885" t="n">
        <v>111</v>
      </c>
      <c r="H4885" t="n">
        <v>9.160000000000001e-09</v>
      </c>
      <c r="I4885" t="inlineStr">
        <is>
          <t>TrEMBL</t>
        </is>
      </c>
      <c r="J4885" t="inlineStr">
        <is>
          <t>LOC106606555</t>
        </is>
      </c>
      <c r="K4885" t="inlineStr">
        <is>
          <t>A0A1S3S1N2_SALSA</t>
        </is>
      </c>
      <c r="L4885" t="inlineStr">
        <is>
          <t>tr|A0A1S3S1N2|A0A1S3S1N2_SALSA uncharacterized protein LOC106606555 OS=Salmo salar OX=8030 GN=LOC106606555 PE=4 SV=1</t>
        </is>
      </c>
      <c r="M4885" t="n">
        <v>320</v>
      </c>
      <c r="N4885" t="inlineStr">
        <is>
          <t>Salmo salar</t>
        </is>
      </c>
      <c r="O4885" t="inlineStr">
        <is>
          <t>uncharacterized protein LOC106606555</t>
        </is>
      </c>
    </row>
    <row r="4886">
      <c r="A4886" t="inlineStr"/>
      <c r="B4886" t="inlineStr"/>
      <c r="C4886" t="inlineStr"/>
      <c r="D4886" t="inlineStr"/>
      <c r="E4886">
        <f>HYPERLINK("https://www.uniprot.org/uniprotkb/A0A822DQ56/entry", "A0A822DQ56")</f>
        <v/>
      </c>
      <c r="F4886" t="n">
        <v>32.4</v>
      </c>
      <c r="G4886" t="n">
        <v>111</v>
      </c>
      <c r="H4886" t="n">
        <v>1.54e-08</v>
      </c>
      <c r="I4886" t="inlineStr">
        <is>
          <t>TrEMBL</t>
        </is>
      </c>
      <c r="J4886" t="inlineStr">
        <is>
          <t>RIMITATOR_LOCUS8623765</t>
        </is>
      </c>
      <c r="K4886" t="inlineStr">
        <is>
          <t>A0A822DQ56_9NEOB</t>
        </is>
      </c>
      <c r="L4886" t="inlineStr">
        <is>
          <t>tr|A0A822DQ56|A0A822DQ56_9NEOB (mimic poison frog) hypothetical protein OS=Ranitomeya imitator OX=111125 GN=RIMITATOR_LOCUS8623765 PE=4 SV=1</t>
        </is>
      </c>
      <c r="M4886" t="n">
        <v>251</v>
      </c>
      <c r="N4886" t="inlineStr">
        <is>
          <t>Ranitomeya imitator</t>
        </is>
      </c>
      <c r="O4886" t="inlineStr">
        <is>
          <t>(mimic poison frog) hypothetical protein</t>
        </is>
      </c>
    </row>
    <row r="4887">
      <c r="A4887" t="inlineStr"/>
      <c r="B4887" t="inlineStr"/>
      <c r="C4887" t="inlineStr"/>
      <c r="D4887" t="inlineStr"/>
      <c r="E4887">
        <f>HYPERLINK("https://www.uniprot.org/uniprotkb/A0A8J1KPP6/entry", "A0A8J1KPP6")</f>
        <v/>
      </c>
      <c r="F4887" t="n">
        <v>28.8</v>
      </c>
      <c r="G4887" t="n">
        <v>111</v>
      </c>
      <c r="H4887" t="n">
        <v>1.57e-08</v>
      </c>
      <c r="I4887" t="inlineStr">
        <is>
          <t>TrEMBL</t>
        </is>
      </c>
      <c r="J4887" t="inlineStr">
        <is>
          <t>LOC121393672</t>
        </is>
      </c>
      <c r="K4887" t="inlineStr">
        <is>
          <t>A0A8J1KPP6_XENLA</t>
        </is>
      </c>
      <c r="L4887" t="inlineStr">
        <is>
          <t>tr|A0A8J1KPP6|A0A8J1KPP6_XENLA uncharacterized protein LOC121393672 OS=Xenopus laevis OX=8355 GN=LOC121393672 PE=4 SV=1</t>
        </is>
      </c>
      <c r="M4887" t="n">
        <v>253</v>
      </c>
      <c r="N4887" t="inlineStr">
        <is>
          <t>Xenopus laevis</t>
        </is>
      </c>
      <c r="O4887" t="inlineStr">
        <is>
          <t>uncharacterized protein LOC121393672</t>
        </is>
      </c>
    </row>
    <row r="4888">
      <c r="A4888" t="inlineStr"/>
      <c r="B4888" t="inlineStr"/>
      <c r="C4888" t="inlineStr"/>
      <c r="D4888" t="inlineStr"/>
      <c r="E4888">
        <f>HYPERLINK("https://www.uniprot.org/uniprotkb/A0A8J1MJP3/entry", "A0A8J1MJP3")</f>
        <v/>
      </c>
      <c r="F4888" t="n">
        <v>32</v>
      </c>
      <c r="G4888" t="n">
        <v>128</v>
      </c>
      <c r="H4888" t="n">
        <v>2.28e-08</v>
      </c>
      <c r="I4888" t="inlineStr">
        <is>
          <t>TrEMBL</t>
        </is>
      </c>
      <c r="J4888" t="inlineStr">
        <is>
          <t>LOC108710783</t>
        </is>
      </c>
      <c r="K4888" t="inlineStr">
        <is>
          <t>A0A8J1MJP3_XENLA</t>
        </is>
      </c>
      <c r="L4888" t="inlineStr">
        <is>
          <t>tr|A0A8J1MJP3|A0A8J1MJP3_XENLA uncharacterized protein LOC108710783 OS=Xenopus laevis OX=8355 GN=LOC108710783 PE=4 SV=1</t>
        </is>
      </c>
      <c r="M4888" t="n">
        <v>311</v>
      </c>
      <c r="N4888" t="inlineStr">
        <is>
          <t>Xenopus laevis</t>
        </is>
      </c>
      <c r="O4888" t="inlineStr">
        <is>
          <t>uncharacterized protein LOC108710783</t>
        </is>
      </c>
    </row>
    <row r="4889">
      <c r="A4889" t="inlineStr"/>
      <c r="B4889" t="inlineStr"/>
      <c r="C4889" t="inlineStr"/>
      <c r="D4889" t="inlineStr"/>
      <c r="E4889">
        <f>HYPERLINK("https://www.uniprot.org/uniprotkb/A0A821LTV6/entry", "A0A821LTV6")</f>
        <v/>
      </c>
      <c r="F4889" t="n">
        <v>32</v>
      </c>
      <c r="G4889" t="n">
        <v>125</v>
      </c>
      <c r="H4889" t="n">
        <v>5.67e-08</v>
      </c>
      <c r="I4889" t="inlineStr">
        <is>
          <t>TrEMBL</t>
        </is>
      </c>
      <c r="J4889" t="inlineStr">
        <is>
          <t>RIMITATOR_LOCUS2604118</t>
        </is>
      </c>
      <c r="K4889" t="inlineStr">
        <is>
          <t>A0A821LTV6_9NEOB</t>
        </is>
      </c>
      <c r="L4889" t="inlineStr">
        <is>
          <t>tr|A0A821LTV6|A0A821LTV6_9NEOB (mimic poison frog) hypothetical protein OS=Ranitomeya imitator OX=111125 GN=RIMITATOR_LOCUS2604118 PE=4 SV=1</t>
        </is>
      </c>
      <c r="M4889" t="n">
        <v>252</v>
      </c>
      <c r="N4889" t="inlineStr">
        <is>
          <t>Ranitomeya imitator</t>
        </is>
      </c>
      <c r="O4889" t="inlineStr">
        <is>
          <t>(mimic poison frog) hypothetical protein</t>
        </is>
      </c>
    </row>
    <row r="4890">
      <c r="A4890" t="inlineStr"/>
      <c r="B4890" t="inlineStr"/>
      <c r="C4890" t="inlineStr"/>
      <c r="D4890" t="inlineStr"/>
      <c r="E4890">
        <f>HYPERLINK("https://www.uniprot.org/uniprotkb/A0A8J1MFK4/entry", "A0A8J1MFK4")</f>
        <v/>
      </c>
      <c r="F4890" t="n">
        <v>29</v>
      </c>
      <c r="G4890" t="n">
        <v>124</v>
      </c>
      <c r="H4890" t="n">
        <v>1.13e-07</v>
      </c>
      <c r="I4890" t="inlineStr">
        <is>
          <t>TrEMBL</t>
        </is>
      </c>
      <c r="J4890" t="inlineStr">
        <is>
          <t>LOC121400656</t>
        </is>
      </c>
      <c r="K4890" t="inlineStr">
        <is>
          <t>A0A8J1MFK4_XENLA</t>
        </is>
      </c>
      <c r="L4890" t="inlineStr">
        <is>
          <t>tr|A0A8J1MFK4|A0A8J1MFK4_XENLA uncharacterized protein LOC121400656 OS=Xenopus laevis OX=8355 GN=LOC121400656 PE=4 SV=1</t>
        </is>
      </c>
      <c r="M4890" t="n">
        <v>258</v>
      </c>
      <c r="N4890" t="inlineStr">
        <is>
          <t>Xenopus laevis</t>
        </is>
      </c>
      <c r="O4890" t="inlineStr">
        <is>
          <t>uncharacterized protein LOC121400656</t>
        </is>
      </c>
    </row>
    <row r="4891">
      <c r="A4891" t="inlineStr"/>
      <c r="B4891" t="inlineStr"/>
      <c r="C4891" t="inlineStr"/>
      <c r="D4891" t="inlineStr"/>
      <c r="E4891">
        <f>HYPERLINK("https://www.uniprot.org/uniprotkb/A0A8J1JUH1/entry", "A0A8J1JUH1")</f>
        <v/>
      </c>
      <c r="F4891" t="n">
        <v>31.5</v>
      </c>
      <c r="G4891" t="n">
        <v>111</v>
      </c>
      <c r="H4891" t="n">
        <v>1.6e-07</v>
      </c>
      <c r="I4891" t="inlineStr">
        <is>
          <t>TrEMBL</t>
        </is>
      </c>
      <c r="J4891" t="inlineStr">
        <is>
          <t>LOC116411651</t>
        </is>
      </c>
      <c r="K4891" t="inlineStr">
        <is>
          <t>A0A8J1JUH1_XENTR</t>
        </is>
      </c>
      <c r="L4891" t="inlineStr">
        <is>
          <t>tr|A0A8J1JUH1|A0A8J1JUH1_XENTR uncharacterized protein LOC116411651 OS=Xenopus tropicalis OX=8364 GN=LOC116411651 PE=4 SV=1</t>
        </is>
      </c>
      <c r="M4891" t="n">
        <v>261</v>
      </c>
      <c r="N4891" t="inlineStr">
        <is>
          <t>Xenopus tropicalis</t>
        </is>
      </c>
      <c r="O4891" t="inlineStr">
        <is>
          <t>uncharacterized protein LOC116411651</t>
        </is>
      </c>
    </row>
    <row r="4892">
      <c r="A4892" t="inlineStr"/>
      <c r="B4892" t="inlineStr"/>
      <c r="C4892" t="inlineStr"/>
      <c r="D4892" t="inlineStr"/>
      <c r="E4892">
        <f>HYPERLINK("https://www.uniprot.org/uniprotkb/A0A8J1J457/entry", "A0A8J1J457")</f>
        <v/>
      </c>
      <c r="F4892" t="n">
        <v>31.5</v>
      </c>
      <c r="G4892" t="n">
        <v>111</v>
      </c>
      <c r="H4892" t="n">
        <v>1.6e-07</v>
      </c>
      <c r="I4892" t="inlineStr">
        <is>
          <t>TrEMBL</t>
        </is>
      </c>
      <c r="J4892" t="inlineStr">
        <is>
          <t>LOC116408814</t>
        </is>
      </c>
      <c r="K4892" t="inlineStr">
        <is>
          <t>A0A8J1J457_XENTR</t>
        </is>
      </c>
      <c r="L4892" t="inlineStr">
        <is>
          <t>tr|A0A8J1J457|A0A8J1J457_XENTR uncharacterized protein LOC116408814 isoform X2 OS=Xenopus tropicalis OX=8364 GN=LOC116408814 PE=4 SV=1</t>
        </is>
      </c>
      <c r="M4892" t="n">
        <v>261</v>
      </c>
      <c r="N4892" t="inlineStr">
        <is>
          <t>Xenopus tropicalis</t>
        </is>
      </c>
      <c r="O4892" t="inlineStr">
        <is>
          <t>uncharacterized protein LOC116408814 isoform X2</t>
        </is>
      </c>
    </row>
    <row r="4893">
      <c r="A4893" t="inlineStr"/>
      <c r="B4893" t="inlineStr"/>
      <c r="C4893" t="inlineStr"/>
      <c r="D4893" t="inlineStr"/>
      <c r="E4893">
        <f>HYPERLINK("https://www.uniprot.org/uniprotkb/A0A8J1J7K8/entry", "A0A8J1J7K8")</f>
        <v/>
      </c>
      <c r="F4893" t="n">
        <v>31.5</v>
      </c>
      <c r="G4893" t="n">
        <v>111</v>
      </c>
      <c r="H4893" t="n">
        <v>2.06e-07</v>
      </c>
      <c r="I4893" t="inlineStr">
        <is>
          <t>TrEMBL</t>
        </is>
      </c>
      <c r="J4893" t="inlineStr">
        <is>
          <t>LOC116408814</t>
        </is>
      </c>
      <c r="K4893" t="inlineStr">
        <is>
          <t>A0A8J1J7K8_XENTR</t>
        </is>
      </c>
      <c r="L4893" t="inlineStr">
        <is>
          <t>tr|A0A8J1J7K8|A0A8J1J7K8_XENTR uncharacterized protein LOC116408814 isoform X1 OS=Xenopus tropicalis OX=8364 GN=LOC116408814 PE=4 SV=1</t>
        </is>
      </c>
      <c r="M4893" t="n">
        <v>310</v>
      </c>
      <c r="N4893" t="inlineStr">
        <is>
          <t>Xenopus tropicalis</t>
        </is>
      </c>
      <c r="O4893" t="inlineStr">
        <is>
          <t>uncharacterized protein LOC116408814 isoform X1</t>
        </is>
      </c>
    </row>
    <row r="4894">
      <c r="A4894" t="inlineStr"/>
      <c r="B4894" t="inlineStr"/>
      <c r="C4894" t="inlineStr"/>
      <c r="D4894" t="inlineStr"/>
      <c r="E4894">
        <f>HYPERLINK("https://www.uniprot.org/uniprotkb/A0A8J1MVA4/entry", "A0A8J1MVA4")</f>
        <v/>
      </c>
      <c r="F4894" t="n">
        <v>29.7</v>
      </c>
      <c r="G4894" t="n">
        <v>111</v>
      </c>
      <c r="H4894" t="n">
        <v>2.17e-07</v>
      </c>
      <c r="I4894" t="inlineStr">
        <is>
          <t>TrEMBL</t>
        </is>
      </c>
      <c r="J4894" t="inlineStr">
        <is>
          <t>LOC121402375</t>
        </is>
      </c>
      <c r="K4894" t="inlineStr">
        <is>
          <t>A0A8J1MVA4_XENLA</t>
        </is>
      </c>
      <c r="L4894" t="inlineStr">
        <is>
          <t>tr|A0A8J1MVA4|A0A8J1MVA4_XENLA uncharacterized protein LOC121402375 OS=Xenopus laevis OX=8355 GN=LOC121402375 PE=4 SV=1</t>
        </is>
      </c>
      <c r="M4894" t="n">
        <v>259</v>
      </c>
      <c r="N4894" t="inlineStr">
        <is>
          <t>Xenopus laevis</t>
        </is>
      </c>
      <c r="O4894" t="inlineStr">
        <is>
          <t>uncharacterized protein LOC121402375</t>
        </is>
      </c>
    </row>
    <row r="4895">
      <c r="A4895" t="inlineStr"/>
      <c r="B4895" t="inlineStr"/>
      <c r="C4895" t="inlineStr"/>
      <c r="D4895" t="inlineStr"/>
      <c r="E4895">
        <f>HYPERLINK("https://www.uniprot.org/uniprotkb/Q04202/entry", "Q04202")</f>
        <v/>
      </c>
      <c r="F4895" t="n">
        <v>28</v>
      </c>
      <c r="G4895" t="n">
        <v>143</v>
      </c>
      <c r="H4895" t="n">
        <v>5.09e-07</v>
      </c>
      <c r="I4895" t="inlineStr">
        <is>
          <t>Swiss-Prot</t>
        </is>
      </c>
      <c r="J4895" t="inlineStr"/>
      <c r="K4895" t="inlineStr">
        <is>
          <t>TCB2_CAEBR</t>
        </is>
      </c>
      <c r="L4895" t="inlineStr">
        <is>
          <t>sp|Q04202|TCB2_CAEBR Transposable element Tcb2 transposase OS=Caenorhabditis briggsae OX=6238 PE=3 SV=1</t>
        </is>
      </c>
      <c r="M4895" t="n">
        <v>273</v>
      </c>
      <c r="N4895" t="inlineStr">
        <is>
          <t>Caenorhabditis briggsae</t>
        </is>
      </c>
      <c r="O4895" t="inlineStr">
        <is>
          <t>Transposable element Tcb2 transposase</t>
        </is>
      </c>
    </row>
    <row r="4896">
      <c r="A4896" t="inlineStr"/>
      <c r="B4896" t="inlineStr"/>
      <c r="C4896" t="inlineStr"/>
      <c r="D4896" t="inlineStr"/>
      <c r="E4896">
        <f>HYPERLINK("https://www.uniprot.org/uniprotkb/P03934/entry", "P03934")</f>
        <v/>
      </c>
      <c r="F4896" t="n">
        <v>27.9</v>
      </c>
      <c r="G4896" t="n">
        <v>104</v>
      </c>
      <c r="H4896" t="n">
        <v>4.88e-05</v>
      </c>
      <c r="I4896" t="inlineStr">
        <is>
          <t>Swiss-Prot</t>
        </is>
      </c>
      <c r="J4896" t="inlineStr">
        <is>
          <t>tc1a</t>
        </is>
      </c>
      <c r="K4896" t="inlineStr">
        <is>
          <t>TC1A_CAEEL</t>
        </is>
      </c>
      <c r="L4896" t="inlineStr">
        <is>
          <t>sp|P03934|TC1A_CAEEL Transposable element Tc1 transposase OS=Caenorhabditis elegans OX=6239 GN=tc1a PE=3 SV=1</t>
        </is>
      </c>
      <c r="M4896" t="n">
        <v>273</v>
      </c>
      <c r="N4896" t="inlineStr">
        <is>
          <t>Caenorhabditis elegans</t>
        </is>
      </c>
      <c r="O4896" t="inlineStr">
        <is>
          <t>Transposable element Tc1 transposase</t>
        </is>
      </c>
    </row>
    <row r="4897">
      <c r="A4897" t="inlineStr"/>
      <c r="B4897" t="inlineStr"/>
      <c r="C4897" t="inlineStr"/>
      <c r="D4897" t="inlineStr"/>
      <c r="E4897">
        <f>HYPERLINK("https://www.uniprot.org/uniprotkb/P35072/entry", "P35072")</f>
        <v/>
      </c>
      <c r="F4897" t="n">
        <v>28.1</v>
      </c>
      <c r="G4897" t="n">
        <v>89</v>
      </c>
      <c r="H4897" t="n">
        <v>0.000121</v>
      </c>
      <c r="I4897" t="inlineStr">
        <is>
          <t>Swiss-Prot</t>
        </is>
      </c>
      <c r="J4897" t="inlineStr"/>
      <c r="K4897" t="inlineStr">
        <is>
          <t>TCB1_CAEBR</t>
        </is>
      </c>
      <c r="L4897" t="inlineStr">
        <is>
          <t>sp|P35072|TCB1_CAEBR Transposable element Tcb1 transposase OS=Caenorhabditis briggsae OX=6238 PE=3 SV=1</t>
        </is>
      </c>
      <c r="M4897" t="n">
        <v>273</v>
      </c>
      <c r="N4897" t="inlineStr">
        <is>
          <t>Caenorhabditis briggsae</t>
        </is>
      </c>
      <c r="O4897" t="inlineStr">
        <is>
          <t>Transposable element Tcb1 transposase</t>
        </is>
      </c>
    </row>
    <row r="4898">
      <c r="A4898" t="inlineStr">
        <is>
          <t>NODE_2981_length_8799_cov_18.940220_g1200_i0</t>
        </is>
      </c>
      <c r="B4898" t="inlineStr">
        <is>
          <t>bombina_pachypus_blastx</t>
        </is>
      </c>
      <c r="C4898" t="n">
        <v>-3.69009829105727</v>
      </c>
      <c r="D4898" t="n">
        <v>5.66809161750742e-11</v>
      </c>
      <c r="E4898">
        <f>HYPERLINK("https://www.uniprot.org/uniprotkb/A0A803KEP9/entry", "A0A803KEP9")</f>
        <v/>
      </c>
      <c r="F4898" t="n">
        <v>41.7</v>
      </c>
      <c r="G4898" t="n">
        <v>769</v>
      </c>
      <c r="H4898" t="n">
        <v>2.71e-185</v>
      </c>
      <c r="I4898" t="inlineStr">
        <is>
          <t>TrEMBL</t>
        </is>
      </c>
      <c r="J4898" t="inlineStr"/>
      <c r="K4898" t="inlineStr">
        <is>
          <t>A0A803KEP9_XENTR</t>
        </is>
      </c>
      <c r="L4898" t="inlineStr">
        <is>
          <t>tr|A0A803KEP9|A0A803KEP9_XENTR Reverse transcriptase domain-containing protein OS=Xenopus tropicalis OX=8364 PE=4 SV=1</t>
        </is>
      </c>
      <c r="M4898" t="n">
        <v>968</v>
      </c>
      <c r="N4898" t="inlineStr">
        <is>
          <t>Xenopus tropicalis</t>
        </is>
      </c>
      <c r="O4898" t="inlineStr">
        <is>
          <t>Reverse transcriptase domain-containing protein</t>
        </is>
      </c>
    </row>
    <row r="4899">
      <c r="A4899" t="inlineStr"/>
      <c r="B4899" t="inlineStr"/>
      <c r="C4899" t="inlineStr"/>
      <c r="D4899" t="inlineStr"/>
      <c r="E4899">
        <f>HYPERLINK("https://www.uniprot.org/uniprotkb/A0A803JEZ2/entry", "A0A803JEZ2")</f>
        <v/>
      </c>
      <c r="F4899" t="n">
        <v>42</v>
      </c>
      <c r="G4899" t="n">
        <v>710</v>
      </c>
      <c r="H4899" t="n">
        <v>5.53e-183</v>
      </c>
      <c r="I4899" t="inlineStr">
        <is>
          <t>TrEMBL</t>
        </is>
      </c>
      <c r="J4899" t="inlineStr"/>
      <c r="K4899" t="inlineStr">
        <is>
          <t>A0A803JEZ2_XENTR</t>
        </is>
      </c>
      <c r="L4899" t="inlineStr">
        <is>
          <t>tr|A0A803JEZ2|A0A803JEZ2_XENTR Reverse transcriptase domain-containing protein OS=Xenopus tropicalis OX=8364 PE=4 SV=1</t>
        </is>
      </c>
      <c r="M4899" t="n">
        <v>732</v>
      </c>
      <c r="N4899" t="inlineStr">
        <is>
          <t>Xenopus tropicalis</t>
        </is>
      </c>
      <c r="O4899" t="inlineStr">
        <is>
          <t>Reverse transcriptase domain-containing protein</t>
        </is>
      </c>
    </row>
    <row r="4900">
      <c r="A4900" t="inlineStr"/>
      <c r="B4900" t="inlineStr"/>
      <c r="C4900" t="inlineStr"/>
      <c r="D4900" t="inlineStr"/>
      <c r="E4900">
        <f>HYPERLINK("https://www.uniprot.org/uniprotkb/A0A803JWN0/entry", "A0A803JWN0")</f>
        <v/>
      </c>
      <c r="F4900" t="n">
        <v>39.8</v>
      </c>
      <c r="G4900" t="n">
        <v>756</v>
      </c>
      <c r="H4900" t="n">
        <v>5.28e-181</v>
      </c>
      <c r="I4900" t="inlineStr">
        <is>
          <t>TrEMBL</t>
        </is>
      </c>
      <c r="J4900" t="inlineStr"/>
      <c r="K4900" t="inlineStr">
        <is>
          <t>A0A803JWN0_XENTR</t>
        </is>
      </c>
      <c r="L4900" t="inlineStr">
        <is>
          <t>tr|A0A803JWN0|A0A803JWN0_XENTR Reverse transcriptase domain-containing protein OS=Xenopus tropicalis OX=8364 PE=4 SV=1</t>
        </is>
      </c>
      <c r="M4900" t="n">
        <v>1267</v>
      </c>
      <c r="N4900" t="inlineStr">
        <is>
          <t>Xenopus tropicalis</t>
        </is>
      </c>
      <c r="O4900" t="inlineStr">
        <is>
          <t>Reverse transcriptase domain-containing protein</t>
        </is>
      </c>
    </row>
    <row r="4901">
      <c r="A4901" t="inlineStr"/>
      <c r="B4901" t="inlineStr"/>
      <c r="C4901" t="inlineStr"/>
      <c r="D4901" t="inlineStr"/>
      <c r="E4901">
        <f>HYPERLINK("https://www.uniprot.org/uniprotkb/A0A6I8S7H8/entry", "A0A6I8S7H8")</f>
        <v/>
      </c>
      <c r="F4901" t="n">
        <v>38.8</v>
      </c>
      <c r="G4901" t="n">
        <v>755</v>
      </c>
      <c r="H4901" t="n">
        <v>1.06e-177</v>
      </c>
      <c r="I4901" t="inlineStr">
        <is>
          <t>TrEMBL</t>
        </is>
      </c>
      <c r="J4901" t="inlineStr"/>
      <c r="K4901" t="inlineStr">
        <is>
          <t>A0A6I8S7H8_XENTR</t>
        </is>
      </c>
      <c r="L4901" t="inlineStr">
        <is>
          <t>tr|A0A6I8S7H8|A0A6I8S7H8_XENTR Reverse transcriptase domain-containing protein OS=Xenopus tropicalis OX=8364 PE=4 SV=2</t>
        </is>
      </c>
      <c r="M4901" t="n">
        <v>918</v>
      </c>
      <c r="N4901" t="inlineStr">
        <is>
          <t>Xenopus tropicalis</t>
        </is>
      </c>
      <c r="O4901" t="inlineStr">
        <is>
          <t>Reverse transcriptase domain-containing protein</t>
        </is>
      </c>
    </row>
    <row r="4902">
      <c r="A4902" t="inlineStr"/>
      <c r="B4902" t="inlineStr"/>
      <c r="C4902" t="inlineStr"/>
      <c r="D4902" t="inlineStr"/>
      <c r="E4902">
        <f>HYPERLINK("https://www.uniprot.org/uniprotkb/A0A8C5PRI9/entry", "A0A8C5PRI9")</f>
        <v/>
      </c>
      <c r="F4902" t="n">
        <v>41</v>
      </c>
      <c r="G4902" t="n">
        <v>763</v>
      </c>
      <c r="H4902" t="n">
        <v>1.15e-176</v>
      </c>
      <c r="I4902" t="inlineStr">
        <is>
          <t>TrEMBL</t>
        </is>
      </c>
      <c r="J4902" t="inlineStr"/>
      <c r="K4902" t="inlineStr">
        <is>
          <t>A0A8C5PRI9_9ANUR</t>
        </is>
      </c>
      <c r="L4902" t="inlineStr">
        <is>
          <t>tr|A0A8C5PRI9|A0A8C5PRI9_9ANUR Reverse transcriptase domain-containing protein OS=Leptobrachium leishanense OX=445787 PE=4 SV=1</t>
        </is>
      </c>
      <c r="M4902" t="n">
        <v>1287</v>
      </c>
      <c r="N4902" t="inlineStr">
        <is>
          <t>Leptobrachium leishanense</t>
        </is>
      </c>
      <c r="O4902" t="inlineStr">
        <is>
          <t>Reverse transcriptase domain-containing protein</t>
        </is>
      </c>
    </row>
    <row r="4903">
      <c r="A4903" t="inlineStr"/>
      <c r="B4903" t="inlineStr"/>
      <c r="C4903" t="inlineStr"/>
      <c r="D4903" t="inlineStr"/>
      <c r="E4903">
        <f>HYPERLINK("https://www.uniprot.org/uniprotkb/A0A8C5PI59/entry", "A0A8C5PI59")</f>
        <v/>
      </c>
      <c r="F4903" t="n">
        <v>40</v>
      </c>
      <c r="G4903" t="n">
        <v>765</v>
      </c>
      <c r="H4903" t="n">
        <v>2.64e-176</v>
      </c>
      <c r="I4903" t="inlineStr">
        <is>
          <t>TrEMBL</t>
        </is>
      </c>
      <c r="J4903" t="inlineStr"/>
      <c r="K4903" t="inlineStr">
        <is>
          <t>A0A8C5PI59_9ANUR</t>
        </is>
      </c>
      <c r="L4903" t="inlineStr">
        <is>
          <t>tr|A0A8C5PI59|A0A8C5PI59_9ANUR Reverse transcriptase domain-containing protein OS=Leptobrachium leishanense OX=445787 PE=4 SV=1</t>
        </is>
      </c>
      <c r="M4903" t="n">
        <v>771</v>
      </c>
      <c r="N4903" t="inlineStr">
        <is>
          <t>Leptobrachium leishanense</t>
        </is>
      </c>
      <c r="O4903" t="inlineStr">
        <is>
          <t>Reverse transcriptase domain-containing protein</t>
        </is>
      </c>
    </row>
    <row r="4904">
      <c r="A4904" t="inlineStr"/>
      <c r="B4904" t="inlineStr"/>
      <c r="C4904" t="inlineStr"/>
      <c r="D4904" t="inlineStr"/>
      <c r="E4904">
        <f>HYPERLINK("https://www.uniprot.org/uniprotkb/A0A8C5MRP3/entry", "A0A8C5MRP3")</f>
        <v/>
      </c>
      <c r="F4904" t="n">
        <v>41.4</v>
      </c>
      <c r="G4904" t="n">
        <v>760</v>
      </c>
      <c r="H4904" t="n">
        <v>4.89e-174</v>
      </c>
      <c r="I4904" t="inlineStr">
        <is>
          <t>TrEMBL</t>
        </is>
      </c>
      <c r="J4904" t="inlineStr"/>
      <c r="K4904" t="inlineStr">
        <is>
          <t>A0A8C5MRP3_9ANUR</t>
        </is>
      </c>
      <c r="L4904" t="inlineStr">
        <is>
          <t>tr|A0A8C5MRP3|A0A8C5MRP3_9ANUR Reverse transcriptase domain-containing protein OS=Leptobrachium leishanense OX=445787 PE=4 SV=1</t>
        </is>
      </c>
      <c r="M4904" t="n">
        <v>1270</v>
      </c>
      <c r="N4904" t="inlineStr">
        <is>
          <t>Leptobrachium leishanense</t>
        </is>
      </c>
      <c r="O4904" t="inlineStr">
        <is>
          <t>Reverse transcriptase domain-containing protein</t>
        </is>
      </c>
    </row>
    <row r="4905">
      <c r="A4905" t="inlineStr"/>
      <c r="B4905" t="inlineStr"/>
      <c r="C4905" t="inlineStr"/>
      <c r="D4905" t="inlineStr"/>
      <c r="E4905">
        <f>HYPERLINK("https://www.uniprot.org/uniprotkb/A0A803JJA9/entry", "A0A803JJA9")</f>
        <v/>
      </c>
      <c r="F4905" t="n">
        <v>38</v>
      </c>
      <c r="G4905" t="n">
        <v>755</v>
      </c>
      <c r="H4905" t="n">
        <v>8.999999999999999e-174</v>
      </c>
      <c r="I4905" t="inlineStr">
        <is>
          <t>TrEMBL</t>
        </is>
      </c>
      <c r="J4905" t="inlineStr"/>
      <c r="K4905" t="inlineStr">
        <is>
          <t>A0A803JJA9_XENTR</t>
        </is>
      </c>
      <c r="L4905" t="inlineStr">
        <is>
          <t>tr|A0A803JJA9|A0A803JJA9_XENTR Reverse transcriptase domain-containing protein OS=Xenopus tropicalis OX=8364 PE=4 SV=1</t>
        </is>
      </c>
      <c r="M4905" t="n">
        <v>1267</v>
      </c>
      <c r="N4905" t="inlineStr">
        <is>
          <t>Xenopus tropicalis</t>
        </is>
      </c>
      <c r="O4905" t="inlineStr">
        <is>
          <t>Reverse transcriptase domain-containing protein</t>
        </is>
      </c>
    </row>
    <row r="4906">
      <c r="A4906" t="inlineStr"/>
      <c r="B4906" t="inlineStr"/>
      <c r="C4906" t="inlineStr"/>
      <c r="D4906" t="inlineStr"/>
      <c r="E4906">
        <f>HYPERLINK("https://www.uniprot.org/uniprotkb/A0A803K7N3/entry", "A0A803K7N3")</f>
        <v/>
      </c>
      <c r="F4906" t="n">
        <v>38.2</v>
      </c>
      <c r="G4906" t="n">
        <v>765</v>
      </c>
      <c r="H4906" t="n">
        <v>1.29e-173</v>
      </c>
      <c r="I4906" t="inlineStr">
        <is>
          <t>TrEMBL</t>
        </is>
      </c>
      <c r="J4906" t="inlineStr"/>
      <c r="K4906" t="inlineStr">
        <is>
          <t>A0A803K7N3_XENTR</t>
        </is>
      </c>
      <c r="L4906" t="inlineStr">
        <is>
          <t>tr|A0A803K7N3|A0A803K7N3_XENTR Reverse transcriptase domain-containing protein OS=Xenopus tropicalis OX=8364 PE=4 SV=1</t>
        </is>
      </c>
      <c r="M4906" t="n">
        <v>1268</v>
      </c>
      <c r="N4906" t="inlineStr">
        <is>
          <t>Xenopus tropicalis</t>
        </is>
      </c>
      <c r="O4906" t="inlineStr">
        <is>
          <t>Reverse transcriptase domain-containing protein</t>
        </is>
      </c>
    </row>
    <row r="4907">
      <c r="A4907" t="inlineStr"/>
      <c r="B4907" t="inlineStr"/>
      <c r="C4907" t="inlineStr"/>
      <c r="D4907" t="inlineStr"/>
      <c r="E4907">
        <f>HYPERLINK("https://www.uniprot.org/uniprotkb/A0A803J467/entry", "A0A803J467")</f>
        <v/>
      </c>
      <c r="F4907" t="n">
        <v>38.2</v>
      </c>
      <c r="G4907" t="n">
        <v>765</v>
      </c>
      <c r="H4907" t="n">
        <v>9.910000000000001e-173</v>
      </c>
      <c r="I4907" t="inlineStr">
        <is>
          <t>TrEMBL</t>
        </is>
      </c>
      <c r="J4907" t="inlineStr"/>
      <c r="K4907" t="inlineStr">
        <is>
          <t>A0A803J467_XENTR</t>
        </is>
      </c>
      <c r="L4907" t="inlineStr">
        <is>
          <t>tr|A0A803J467|A0A803J467_XENTR Reverse transcriptase domain-containing protein OS=Xenopus tropicalis OX=8364 PE=4 SV=1</t>
        </is>
      </c>
      <c r="M4907" t="n">
        <v>1268</v>
      </c>
      <c r="N4907" t="inlineStr">
        <is>
          <t>Xenopus tropicalis</t>
        </is>
      </c>
      <c r="O4907" t="inlineStr">
        <is>
          <t>Reverse transcriptase domain-containing protein</t>
        </is>
      </c>
    </row>
    <row r="4908">
      <c r="A4908" t="inlineStr"/>
      <c r="B4908" t="inlineStr"/>
      <c r="C4908" t="inlineStr"/>
      <c r="D4908" t="inlineStr"/>
      <c r="E4908">
        <f>HYPERLINK("https://www.uniprot.org/uniprotkb/A0A8C5MY41/entry", "A0A8C5MY41")</f>
        <v/>
      </c>
      <c r="F4908" t="n">
        <v>41.3</v>
      </c>
      <c r="G4908" t="n">
        <v>743</v>
      </c>
      <c r="H4908" t="n">
        <v>8.119999999999999e-172</v>
      </c>
      <c r="I4908" t="inlineStr">
        <is>
          <t>TrEMBL</t>
        </is>
      </c>
      <c r="J4908" t="inlineStr"/>
      <c r="K4908" t="inlineStr">
        <is>
          <t>A0A8C5MY41_9ANUR</t>
        </is>
      </c>
      <c r="L4908" t="inlineStr">
        <is>
          <t>tr|A0A8C5MY41|A0A8C5MY41_9ANUR Reverse transcriptase domain-containing protein OS=Leptobrachium leishanense OX=445787 PE=4 SV=1</t>
        </is>
      </c>
      <c r="M4908" t="n">
        <v>1271</v>
      </c>
      <c r="N4908" t="inlineStr">
        <is>
          <t>Leptobrachium leishanense</t>
        </is>
      </c>
      <c r="O4908" t="inlineStr">
        <is>
          <t>Reverse transcriptase domain-containing protein</t>
        </is>
      </c>
    </row>
    <row r="4909">
      <c r="A4909" t="inlineStr"/>
      <c r="B4909" t="inlineStr"/>
      <c r="C4909" t="inlineStr"/>
      <c r="D4909" t="inlineStr"/>
      <c r="E4909">
        <f>HYPERLINK("https://www.uniprot.org/uniprotkb/A0A8C5PSZ8/entry", "A0A8C5PSZ8")</f>
        <v/>
      </c>
      <c r="F4909" t="n">
        <v>39</v>
      </c>
      <c r="G4909" t="n">
        <v>757</v>
      </c>
      <c r="H4909" t="n">
        <v>1.41e-171</v>
      </c>
      <c r="I4909" t="inlineStr">
        <is>
          <t>TrEMBL</t>
        </is>
      </c>
      <c r="J4909" t="inlineStr"/>
      <c r="K4909" t="inlineStr">
        <is>
          <t>A0A8C5PSZ8_9ANUR</t>
        </is>
      </c>
      <c r="L4909" t="inlineStr">
        <is>
          <t>tr|A0A8C5PSZ8|A0A8C5PSZ8_9ANUR Reverse transcriptase domain-containing protein OS=Leptobrachium leishanense OX=445787 PE=4 SV=1</t>
        </is>
      </c>
      <c r="M4909" t="n">
        <v>943</v>
      </c>
      <c r="N4909" t="inlineStr">
        <is>
          <t>Leptobrachium leishanense</t>
        </is>
      </c>
      <c r="O4909" t="inlineStr">
        <is>
          <t>Reverse transcriptase domain-containing protein</t>
        </is>
      </c>
    </row>
    <row r="4910">
      <c r="A4910" t="inlineStr"/>
      <c r="B4910" t="inlineStr"/>
      <c r="C4910" t="inlineStr"/>
      <c r="D4910" t="inlineStr"/>
      <c r="E4910">
        <f>HYPERLINK("https://www.uniprot.org/uniprotkb/A0A803JR91/entry", "A0A803JR91")</f>
        <v/>
      </c>
      <c r="F4910" t="n">
        <v>39.1</v>
      </c>
      <c r="G4910" t="n">
        <v>751</v>
      </c>
      <c r="H4910" t="n">
        <v>5.29e-171</v>
      </c>
      <c r="I4910" t="inlineStr">
        <is>
          <t>TrEMBL</t>
        </is>
      </c>
      <c r="J4910" t="inlineStr"/>
      <c r="K4910" t="inlineStr">
        <is>
          <t>A0A803JR91_XENTR</t>
        </is>
      </c>
      <c r="L4910" t="inlineStr">
        <is>
          <t>tr|A0A803JR91|A0A803JR91_XENTR Reverse transcriptase domain-containing protein OS=Xenopus tropicalis OX=8364 PE=4 SV=1</t>
        </is>
      </c>
      <c r="M4910" t="n">
        <v>1264</v>
      </c>
      <c r="N4910" t="inlineStr">
        <is>
          <t>Xenopus tropicalis</t>
        </is>
      </c>
      <c r="O4910" t="inlineStr">
        <is>
          <t>Reverse transcriptase domain-containing protein</t>
        </is>
      </c>
    </row>
    <row r="4911">
      <c r="A4911" t="inlineStr"/>
      <c r="B4911" t="inlineStr"/>
      <c r="C4911" t="inlineStr"/>
      <c r="D4911" t="inlineStr"/>
      <c r="E4911">
        <f>HYPERLINK("https://www.uniprot.org/uniprotkb/A0A8C5MM40/entry", "A0A8C5MM40")</f>
        <v/>
      </c>
      <c r="F4911" t="n">
        <v>40.5</v>
      </c>
      <c r="G4911" t="n">
        <v>760</v>
      </c>
      <c r="H4911" t="n">
        <v>1.74e-170</v>
      </c>
      <c r="I4911" t="inlineStr">
        <is>
          <t>TrEMBL</t>
        </is>
      </c>
      <c r="J4911" t="inlineStr"/>
      <c r="K4911" t="inlineStr">
        <is>
          <t>A0A8C5MM40_9ANUR</t>
        </is>
      </c>
      <c r="L4911" t="inlineStr">
        <is>
          <t>tr|A0A8C5MM40|A0A8C5MM40_9ANUR Reverse transcriptase domain-containing protein OS=Leptobrachium leishanense OX=445787 PE=4 SV=1</t>
        </is>
      </c>
      <c r="M4911" t="n">
        <v>898</v>
      </c>
      <c r="N4911" t="inlineStr">
        <is>
          <t>Leptobrachium leishanense</t>
        </is>
      </c>
      <c r="O4911" t="inlineStr">
        <is>
          <t>Reverse transcriptase domain-containing protein</t>
        </is>
      </c>
    </row>
    <row r="4912">
      <c r="A4912" t="inlineStr"/>
      <c r="B4912" t="inlineStr"/>
      <c r="C4912" t="inlineStr"/>
      <c r="D4912" t="inlineStr"/>
      <c r="E4912">
        <f>HYPERLINK("https://www.uniprot.org/uniprotkb/A0A8C5M2S8/entry", "A0A8C5M2S8")</f>
        <v/>
      </c>
      <c r="F4912" t="n">
        <v>39.6</v>
      </c>
      <c r="G4912" t="n">
        <v>753</v>
      </c>
      <c r="H4912" t="n">
        <v>2.89e-170</v>
      </c>
      <c r="I4912" t="inlineStr">
        <is>
          <t>TrEMBL</t>
        </is>
      </c>
      <c r="J4912" t="inlineStr"/>
      <c r="K4912" t="inlineStr">
        <is>
          <t>A0A8C5M2S8_9ANUR</t>
        </is>
      </c>
      <c r="L4912" t="inlineStr">
        <is>
          <t>tr|A0A8C5M2S8|A0A8C5M2S8_9ANUR Reverse transcriptase domain-containing protein OS=Leptobrachium leishanense OX=445787 PE=4 SV=1</t>
        </is>
      </c>
      <c r="M4912" t="n">
        <v>1279</v>
      </c>
      <c r="N4912" t="inlineStr">
        <is>
          <t>Leptobrachium leishanense</t>
        </is>
      </c>
      <c r="O4912" t="inlineStr">
        <is>
          <t>Reverse transcriptase domain-containing protein</t>
        </is>
      </c>
    </row>
    <row r="4913">
      <c r="A4913" t="inlineStr"/>
      <c r="B4913" t="inlineStr"/>
      <c r="C4913" t="inlineStr"/>
      <c r="D4913" t="inlineStr"/>
      <c r="E4913">
        <f>HYPERLINK("https://www.uniprot.org/uniprotkb/A0A803JVL8/entry", "A0A803JVL8")</f>
        <v/>
      </c>
      <c r="F4913" t="n">
        <v>38.6</v>
      </c>
      <c r="G4913" t="n">
        <v>744</v>
      </c>
      <c r="H4913" t="n">
        <v>3.54e-170</v>
      </c>
      <c r="I4913" t="inlineStr">
        <is>
          <t>TrEMBL</t>
        </is>
      </c>
      <c r="J4913" t="inlineStr"/>
      <c r="K4913" t="inlineStr">
        <is>
          <t>A0A803JVL8_XENTR</t>
        </is>
      </c>
      <c r="L4913" t="inlineStr">
        <is>
          <t>tr|A0A803JVL8|A0A803JVL8_XENTR Reverse transcriptase domain-containing protein OS=Xenopus tropicalis OX=8364 PE=4 SV=1</t>
        </is>
      </c>
      <c r="M4913" t="n">
        <v>1288</v>
      </c>
      <c r="N4913" t="inlineStr">
        <is>
          <t>Xenopus tropicalis</t>
        </is>
      </c>
      <c r="O4913" t="inlineStr">
        <is>
          <t>Reverse transcriptase domain-containing protein</t>
        </is>
      </c>
    </row>
    <row r="4914">
      <c r="A4914" t="inlineStr"/>
      <c r="B4914" t="inlineStr"/>
      <c r="C4914" t="inlineStr"/>
      <c r="D4914" t="inlineStr"/>
      <c r="E4914">
        <f>HYPERLINK("https://www.uniprot.org/uniprotkb/A0A8C5P7D0/entry", "A0A8C5P7D0")</f>
        <v/>
      </c>
      <c r="F4914" t="n">
        <v>38.7</v>
      </c>
      <c r="G4914" t="n">
        <v>758</v>
      </c>
      <c r="H4914" t="n">
        <v>4.8e-170</v>
      </c>
      <c r="I4914" t="inlineStr">
        <is>
          <t>TrEMBL</t>
        </is>
      </c>
      <c r="J4914" t="inlineStr"/>
      <c r="K4914" t="inlineStr">
        <is>
          <t>A0A8C5P7D0_9ANUR</t>
        </is>
      </c>
      <c r="L4914" t="inlineStr">
        <is>
          <t>tr|A0A8C5P7D0|A0A8C5P7D0_9ANUR Reverse transcriptase domain-containing protein OS=Leptobrachium leishanense OX=445787 PE=4 SV=1</t>
        </is>
      </c>
      <c r="M4914" t="n">
        <v>838</v>
      </c>
      <c r="N4914" t="inlineStr">
        <is>
          <t>Leptobrachium leishanense</t>
        </is>
      </c>
      <c r="O4914" t="inlineStr">
        <is>
          <t>Reverse transcriptase domain-containing protein</t>
        </is>
      </c>
    </row>
    <row r="4915">
      <c r="A4915" t="inlineStr"/>
      <c r="B4915" t="inlineStr"/>
      <c r="C4915" t="inlineStr"/>
      <c r="D4915" t="inlineStr"/>
      <c r="E4915">
        <f>HYPERLINK("https://www.uniprot.org/uniprotkb/A0A803K7L3/entry", "A0A803K7L3")</f>
        <v/>
      </c>
      <c r="F4915" t="n">
        <v>39.1</v>
      </c>
      <c r="G4915" t="n">
        <v>759</v>
      </c>
      <c r="H4915" t="n">
        <v>5.129999999999999e-170</v>
      </c>
      <c r="I4915" t="inlineStr">
        <is>
          <t>TrEMBL</t>
        </is>
      </c>
      <c r="J4915" t="inlineStr"/>
      <c r="K4915" t="inlineStr">
        <is>
          <t>A0A803K7L3_XENTR</t>
        </is>
      </c>
      <c r="L4915" t="inlineStr">
        <is>
          <t>tr|A0A803K7L3|A0A803K7L3_XENTR Reverse transcriptase domain-containing protein OS=Xenopus tropicalis OX=8364 PE=4 SV=1</t>
        </is>
      </c>
      <c r="M4915" t="n">
        <v>1159</v>
      </c>
      <c r="N4915" t="inlineStr">
        <is>
          <t>Xenopus tropicalis</t>
        </is>
      </c>
      <c r="O4915" t="inlineStr">
        <is>
          <t>Reverse transcriptase domain-containing protein</t>
        </is>
      </c>
    </row>
    <row r="4916">
      <c r="A4916" t="inlineStr"/>
      <c r="B4916" t="inlineStr"/>
      <c r="C4916" t="inlineStr"/>
      <c r="D4916" t="inlineStr"/>
      <c r="E4916">
        <f>HYPERLINK("https://www.uniprot.org/uniprotkb/A0A8C5MRM1/entry", "A0A8C5MRM1")</f>
        <v/>
      </c>
      <c r="F4916" t="n">
        <v>37.5</v>
      </c>
      <c r="G4916" t="n">
        <v>761</v>
      </c>
      <c r="H4916" t="n">
        <v>2.87e-169</v>
      </c>
      <c r="I4916" t="inlineStr">
        <is>
          <t>TrEMBL</t>
        </is>
      </c>
      <c r="J4916" t="inlineStr"/>
      <c r="K4916" t="inlineStr">
        <is>
          <t>A0A8C5MRM1_9ANUR</t>
        </is>
      </c>
      <c r="L4916" t="inlineStr">
        <is>
          <t>tr|A0A8C5MRM1|A0A8C5MRM1_9ANUR Reverse transcriptase domain-containing protein OS=Leptobrachium leishanense OX=445787 PE=4 SV=1</t>
        </is>
      </c>
      <c r="M4916" t="n">
        <v>817</v>
      </c>
      <c r="N4916" t="inlineStr">
        <is>
          <t>Leptobrachium leishanense</t>
        </is>
      </c>
      <c r="O4916" t="inlineStr">
        <is>
          <t>Reverse transcriptase domain-containing protein</t>
        </is>
      </c>
    </row>
    <row r="4917">
      <c r="A4917" t="inlineStr"/>
      <c r="B4917" t="inlineStr"/>
      <c r="C4917" t="inlineStr"/>
      <c r="D4917" t="inlineStr"/>
      <c r="E4917">
        <f>HYPERLINK("https://www.uniprot.org/uniprotkb/A0A8C5PJL0/entry", "A0A8C5PJL0")</f>
        <v/>
      </c>
      <c r="F4917" t="n">
        <v>39.2</v>
      </c>
      <c r="G4917" t="n">
        <v>745</v>
      </c>
      <c r="H4917" t="n">
        <v>3.3e-169</v>
      </c>
      <c r="I4917" t="inlineStr">
        <is>
          <t>TrEMBL</t>
        </is>
      </c>
      <c r="J4917" t="inlineStr"/>
      <c r="K4917" t="inlineStr">
        <is>
          <t>A0A8C5PJL0_9ANUR</t>
        </is>
      </c>
      <c r="L4917" t="inlineStr">
        <is>
          <t>tr|A0A8C5PJL0|A0A8C5PJL0_9ANUR Reverse transcriptase domain-containing protein OS=Leptobrachium leishanense OX=445787 PE=4 SV=1</t>
        </is>
      </c>
      <c r="M4917" t="n">
        <v>787</v>
      </c>
      <c r="N4917" t="inlineStr">
        <is>
          <t>Leptobrachium leishanense</t>
        </is>
      </c>
      <c r="O4917" t="inlineStr">
        <is>
          <t>Reverse transcriptase domain-containing protein</t>
        </is>
      </c>
    </row>
    <row r="4918">
      <c r="A4918" t="inlineStr"/>
      <c r="B4918" t="inlineStr"/>
      <c r="C4918" t="inlineStr"/>
      <c r="D4918" t="inlineStr"/>
      <c r="E4918">
        <f>HYPERLINK("https://www.uniprot.org/uniprotkb/A0A803JHI8/entry", "A0A803JHI8")</f>
        <v/>
      </c>
      <c r="F4918" t="n">
        <v>38.9</v>
      </c>
      <c r="G4918" t="n">
        <v>759</v>
      </c>
      <c r="H4918" t="n">
        <v>3.4e-169</v>
      </c>
      <c r="I4918" t="inlineStr">
        <is>
          <t>TrEMBL</t>
        </is>
      </c>
      <c r="J4918" t="inlineStr"/>
      <c r="K4918" t="inlineStr">
        <is>
          <t>A0A803JHI8_XENTR</t>
        </is>
      </c>
      <c r="L4918" t="inlineStr">
        <is>
          <t>tr|A0A803JHI8|A0A803JHI8_XENTR Reverse transcriptase domain-containing protein OS=Xenopus tropicalis OX=8364 PE=4 SV=1</t>
        </is>
      </c>
      <c r="M4918" t="n">
        <v>1058</v>
      </c>
      <c r="N4918" t="inlineStr">
        <is>
          <t>Xenopus tropicalis</t>
        </is>
      </c>
      <c r="O4918" t="inlineStr">
        <is>
          <t>Reverse transcriptase domain-containing protein</t>
        </is>
      </c>
    </row>
    <row r="4919">
      <c r="A4919" t="inlineStr"/>
      <c r="B4919" t="inlineStr"/>
      <c r="C4919" t="inlineStr"/>
      <c r="D4919" t="inlineStr"/>
      <c r="E4919">
        <f>HYPERLINK("https://www.uniprot.org/uniprotkb/A0A8C5QEL1/entry", "A0A8C5QEL1")</f>
        <v/>
      </c>
      <c r="F4919" t="n">
        <v>39.2</v>
      </c>
      <c r="G4919" t="n">
        <v>753</v>
      </c>
      <c r="H4919" t="n">
        <v>1.28e-168</v>
      </c>
      <c r="I4919" t="inlineStr">
        <is>
          <t>TrEMBL</t>
        </is>
      </c>
      <c r="J4919" t="inlineStr"/>
      <c r="K4919" t="inlineStr">
        <is>
          <t>A0A8C5QEL1_9ANUR</t>
        </is>
      </c>
      <c r="L4919" t="inlineStr">
        <is>
          <t>tr|A0A8C5QEL1|A0A8C5QEL1_9ANUR Reverse transcriptase domain-containing protein OS=Leptobrachium leishanense OX=445787 PE=4 SV=1</t>
        </is>
      </c>
      <c r="M4919" t="n">
        <v>1267</v>
      </c>
      <c r="N4919" t="inlineStr">
        <is>
          <t>Leptobrachium leishanense</t>
        </is>
      </c>
      <c r="O4919" t="inlineStr">
        <is>
          <t>Reverse transcriptase domain-containing protein</t>
        </is>
      </c>
    </row>
    <row r="4920">
      <c r="A4920" t="inlineStr"/>
      <c r="B4920" t="inlineStr"/>
      <c r="C4920" t="inlineStr"/>
      <c r="D4920" t="inlineStr"/>
      <c r="E4920">
        <f>HYPERLINK("https://www.uniprot.org/uniprotkb/A0A8C5MAJ2/entry", "A0A8C5MAJ2")</f>
        <v/>
      </c>
      <c r="F4920" t="n">
        <v>38.4</v>
      </c>
      <c r="G4920" t="n">
        <v>756</v>
      </c>
      <c r="H4920" t="n">
        <v>3.26e-168</v>
      </c>
      <c r="I4920" t="inlineStr">
        <is>
          <t>TrEMBL</t>
        </is>
      </c>
      <c r="J4920" t="inlineStr"/>
      <c r="K4920" t="inlineStr">
        <is>
          <t>A0A8C5MAJ2_9ANUR</t>
        </is>
      </c>
      <c r="L4920" t="inlineStr">
        <is>
          <t>tr|A0A8C5MAJ2|A0A8C5MAJ2_9ANUR Reverse transcriptase domain-containing protein OS=Leptobrachium leishanense OX=445787 PE=4 SV=1</t>
        </is>
      </c>
      <c r="M4920" t="n">
        <v>1093</v>
      </c>
      <c r="N4920" t="inlineStr">
        <is>
          <t>Leptobrachium leishanense</t>
        </is>
      </c>
      <c r="O4920" t="inlineStr">
        <is>
          <t>Reverse transcriptase domain-containing protein</t>
        </is>
      </c>
    </row>
    <row r="4921">
      <c r="A4921" t="inlineStr"/>
      <c r="B4921" t="inlineStr"/>
      <c r="C4921" t="inlineStr"/>
      <c r="D4921" t="inlineStr"/>
      <c r="E4921">
        <f>HYPERLINK("https://www.uniprot.org/uniprotkb/A0A803J873/entry", "A0A803J873")</f>
        <v/>
      </c>
      <c r="F4921" t="n">
        <v>37</v>
      </c>
      <c r="G4921" t="n">
        <v>768</v>
      </c>
      <c r="H4921" t="n">
        <v>4.89e-168</v>
      </c>
      <c r="I4921" t="inlineStr">
        <is>
          <t>TrEMBL</t>
        </is>
      </c>
      <c r="J4921" t="inlineStr"/>
      <c r="K4921" t="inlineStr">
        <is>
          <t>A0A803J873_XENTR</t>
        </is>
      </c>
      <c r="L4921" t="inlineStr">
        <is>
          <t>tr|A0A803J873|A0A803J873_XENTR Reverse transcriptase domain-containing protein OS=Xenopus tropicalis OX=8364 PE=4 SV=1</t>
        </is>
      </c>
      <c r="M4921" t="n">
        <v>785</v>
      </c>
      <c r="N4921" t="inlineStr">
        <is>
          <t>Xenopus tropicalis</t>
        </is>
      </c>
      <c r="O4921" t="inlineStr">
        <is>
          <t>Reverse transcriptase domain-containing protein</t>
        </is>
      </c>
    </row>
    <row r="4922">
      <c r="A4922" t="inlineStr"/>
      <c r="B4922" t="inlineStr"/>
      <c r="C4922" t="inlineStr"/>
      <c r="D4922" t="inlineStr"/>
      <c r="E4922">
        <f>HYPERLINK("https://www.uniprot.org/uniprotkb/A0A8C5N262/entry", "A0A8C5N262")</f>
        <v/>
      </c>
      <c r="F4922" t="n">
        <v>39</v>
      </c>
      <c r="G4922" t="n">
        <v>757</v>
      </c>
      <c r="H4922" t="n">
        <v>5.32e-168</v>
      </c>
      <c r="I4922" t="inlineStr">
        <is>
          <t>TrEMBL</t>
        </is>
      </c>
      <c r="J4922" t="inlineStr"/>
      <c r="K4922" t="inlineStr">
        <is>
          <t>A0A8C5N262_9ANUR</t>
        </is>
      </c>
      <c r="L4922" t="inlineStr">
        <is>
          <t>tr|A0A8C5N262|A0A8C5N262_9ANUR Reverse transcriptase domain-containing protein OS=Leptobrachium leishanense OX=445787 PE=4 SV=1</t>
        </is>
      </c>
      <c r="M4922" t="n">
        <v>1270</v>
      </c>
      <c r="N4922" t="inlineStr">
        <is>
          <t>Leptobrachium leishanense</t>
        </is>
      </c>
      <c r="O4922" t="inlineStr">
        <is>
          <t>Reverse transcriptase domain-containing protein</t>
        </is>
      </c>
    </row>
    <row r="4923">
      <c r="A4923" t="inlineStr"/>
      <c r="B4923" t="inlineStr"/>
      <c r="C4923" t="inlineStr"/>
      <c r="D4923" t="inlineStr"/>
      <c r="E4923">
        <f>HYPERLINK("https://www.ncbi.nlm.nih.gov/gene/?term=XP_044133655.1", "XP_044133655.1")</f>
        <v/>
      </c>
      <c r="F4923" t="n">
        <v>38.6</v>
      </c>
      <c r="G4923" t="n">
        <v>761</v>
      </c>
      <c r="H4923" t="n">
        <v>2.16e-154</v>
      </c>
      <c r="I4923" t="inlineStr">
        <is>
          <t>Nr</t>
        </is>
      </c>
      <c r="J4923" t="inlineStr"/>
      <c r="K4923" t="inlineStr"/>
      <c r="L4923" t="inlineStr">
        <is>
          <t>XP_044133655.1 IgGFc-binding protein-like [Bufo gargarizans]</t>
        </is>
      </c>
      <c r="M4923" t="n">
        <v>6315</v>
      </c>
      <c r="N4923" t="inlineStr">
        <is>
          <t>Bufo gargarizans</t>
        </is>
      </c>
      <c r="O4923" t="inlineStr">
        <is>
          <t>IgGFc-binding protein-like</t>
        </is>
      </c>
    </row>
    <row r="4924">
      <c r="A4924" t="inlineStr"/>
      <c r="B4924" t="inlineStr"/>
      <c r="C4924" t="inlineStr"/>
      <c r="D4924" t="inlineStr"/>
      <c r="E4924">
        <f>HYPERLINK("https://www.ncbi.nlm.nih.gov/gene/?term=XP_040264811.1", "XP_040264811.1")</f>
        <v/>
      </c>
      <c r="F4924" t="n">
        <v>37.4</v>
      </c>
      <c r="G4924" t="n">
        <v>689</v>
      </c>
      <c r="H4924" t="n">
        <v>9.2e-142</v>
      </c>
      <c r="I4924" t="inlineStr">
        <is>
          <t>Nr</t>
        </is>
      </c>
      <c r="J4924" t="inlineStr"/>
      <c r="K4924" t="inlineStr"/>
      <c r="L4924" t="inlineStr">
        <is>
          <t>XP_040264811.1 mucin-5AC-like [Bufo bufo]</t>
        </is>
      </c>
      <c r="M4924" t="n">
        <v>6265</v>
      </c>
      <c r="N4924" t="inlineStr">
        <is>
          <t>Bufo bufo</t>
        </is>
      </c>
      <c r="O4924" t="inlineStr">
        <is>
          <t>mucin-5AC-like</t>
        </is>
      </c>
    </row>
    <row r="4925">
      <c r="A4925" t="inlineStr"/>
      <c r="B4925" t="inlineStr"/>
      <c r="C4925" t="inlineStr"/>
      <c r="D4925" t="inlineStr"/>
      <c r="E4925">
        <f>HYPERLINK("https://www.ncbi.nlm.nih.gov/gene/?term=OCT93828.1", "OCT93828.1")</f>
        <v/>
      </c>
      <c r="F4925" t="n">
        <v>35.3</v>
      </c>
      <c r="G4925" t="n">
        <v>761</v>
      </c>
      <c r="H4925" t="n">
        <v>2.48e-139</v>
      </c>
      <c r="I4925" t="inlineStr">
        <is>
          <t>Nr</t>
        </is>
      </c>
      <c r="J4925" t="inlineStr"/>
      <c r="K4925" t="inlineStr"/>
      <c r="L4925" t="inlineStr">
        <is>
          <t>OCT93828.1 hypothetical protein XELAEV_18011499mg [Xenopus laevis]</t>
        </is>
      </c>
      <c r="M4925" t="n">
        <v>2634</v>
      </c>
      <c r="N4925" t="inlineStr">
        <is>
          <t>Xenopus laevis</t>
        </is>
      </c>
      <c r="O4925" t="inlineStr">
        <is>
          <t>hypothetical protein XELAEV_18011499mg</t>
        </is>
      </c>
    </row>
    <row r="4926">
      <c r="A4926" t="inlineStr"/>
      <c r="B4926" t="inlineStr"/>
      <c r="C4926" t="inlineStr"/>
      <c r="D4926" t="inlineStr"/>
      <c r="E4926">
        <f>HYPERLINK("https://www.ncbi.nlm.nih.gov/gene/?term=CAI5636845.1", "CAI5636845.1")</f>
        <v/>
      </c>
      <c r="F4926" t="n">
        <v>34.1</v>
      </c>
      <c r="G4926" t="n">
        <v>763</v>
      </c>
      <c r="H4926" t="n">
        <v>8.729999999999999e-138</v>
      </c>
      <c r="I4926" t="inlineStr">
        <is>
          <t>Nr</t>
        </is>
      </c>
      <c r="J4926" t="inlineStr"/>
      <c r="K4926" t="inlineStr"/>
      <c r="L4926" t="inlineStr">
        <is>
          <t>CAI5636845.1 unnamed protein product [Mustela putorius furo]</t>
        </is>
      </c>
      <c r="M4926" t="n">
        <v>1253</v>
      </c>
      <c r="N4926" t="inlineStr">
        <is>
          <t>Mustela putorius furo</t>
        </is>
      </c>
      <c r="O4926" t="inlineStr">
        <is>
          <t>unnamed protein product</t>
        </is>
      </c>
    </row>
    <row r="4927">
      <c r="A4927" t="inlineStr"/>
      <c r="B4927" t="inlineStr"/>
      <c r="C4927" t="inlineStr"/>
      <c r="D4927" t="inlineStr"/>
      <c r="E4927">
        <f>HYPERLINK("https://www.ncbi.nlm.nih.gov/gene/?term=TKS65944.1", "TKS65944.1")</f>
        <v/>
      </c>
      <c r="F4927" t="n">
        <v>34.9</v>
      </c>
      <c r="G4927" t="n">
        <v>719</v>
      </c>
      <c r="H4927" t="n">
        <v>1.3e-136</v>
      </c>
      <c r="I4927" t="inlineStr">
        <is>
          <t>Nr</t>
        </is>
      </c>
      <c r="J4927" t="inlineStr"/>
      <c r="K4927" t="inlineStr"/>
      <c r="L4927" t="inlineStr">
        <is>
          <t>TKS65944.1 LINE-1 retrotransposable element ORF2 protein [Collichthys lucidus]</t>
        </is>
      </c>
      <c r="M4927" t="n">
        <v>727</v>
      </c>
      <c r="N4927" t="inlineStr">
        <is>
          <t>Collichthys lucidus</t>
        </is>
      </c>
      <c r="O4927" t="inlineStr">
        <is>
          <t>LINE-1 retrotransposable element ORF2 protein</t>
        </is>
      </c>
    </row>
    <row r="4928">
      <c r="A4928" t="inlineStr"/>
      <c r="B4928" t="inlineStr"/>
      <c r="C4928" t="inlineStr"/>
      <c r="D4928" t="inlineStr"/>
      <c r="E4928">
        <f>HYPERLINK("https://www.ncbi.nlm.nih.gov/gene/?term=XP_023192802.1", "XP_023192802.1")</f>
        <v/>
      </c>
      <c r="F4928" t="n">
        <v>33.3</v>
      </c>
      <c r="G4928" t="n">
        <v>756</v>
      </c>
      <c r="H4928" t="n">
        <v>5.27e-136</v>
      </c>
      <c r="I4928" t="inlineStr">
        <is>
          <t>Nr</t>
        </is>
      </c>
      <c r="J4928" t="inlineStr"/>
      <c r="K4928" t="inlineStr"/>
      <c r="L4928" t="inlineStr">
        <is>
          <t>XP_023192802.1 WD repeat-containing protein 3 isoform X1 [Xiphophorus maculatus]</t>
        </is>
      </c>
      <c r="M4928" t="n">
        <v>1258</v>
      </c>
      <c r="N4928" t="inlineStr">
        <is>
          <t>Xiphophorus maculatus</t>
        </is>
      </c>
      <c r="O4928" t="inlineStr">
        <is>
          <t>WD repeat-containing protein 3 isoform X1</t>
        </is>
      </c>
    </row>
    <row r="4929">
      <c r="A4929" t="inlineStr"/>
      <c r="B4929" t="inlineStr"/>
      <c r="C4929" t="inlineStr"/>
      <c r="D4929" t="inlineStr"/>
      <c r="E4929">
        <f>HYPERLINK("https://www.ncbi.nlm.nih.gov/gene/?term=WP_220377634.1", "WP_220377634.1")</f>
        <v/>
      </c>
      <c r="F4929" t="n">
        <v>32.9</v>
      </c>
      <c r="G4929" t="n">
        <v>763</v>
      </c>
      <c r="H4929" t="n">
        <v>1.99e-131</v>
      </c>
      <c r="I4929" t="inlineStr">
        <is>
          <t>Nr</t>
        </is>
      </c>
      <c r="J4929" t="inlineStr"/>
      <c r="K4929" t="inlineStr"/>
      <c r="L4929" t="inlineStr">
        <is>
          <t>WP_220377634.1 reverse transcriptase domain-containing protein [Staphylococcus aureus]</t>
        </is>
      </c>
      <c r="M4929" t="n">
        <v>853</v>
      </c>
      <c r="N4929" t="inlineStr">
        <is>
          <t>Staphylococcus aureus</t>
        </is>
      </c>
      <c r="O4929" t="inlineStr">
        <is>
          <t>reverse transcriptase domain-containing protein</t>
        </is>
      </c>
    </row>
    <row r="4930">
      <c r="A4930" t="inlineStr"/>
      <c r="B4930" t="inlineStr"/>
      <c r="C4930" t="inlineStr"/>
      <c r="D4930" t="inlineStr"/>
      <c r="E4930">
        <f>HYPERLINK("https://www.ncbi.nlm.nih.gov/gene/?term=CAI5685855.1", "CAI5685855.1")</f>
        <v/>
      </c>
      <c r="F4930" t="n">
        <v>33.5</v>
      </c>
      <c r="G4930" t="n">
        <v>743</v>
      </c>
      <c r="H4930" t="n">
        <v>2.63e-131</v>
      </c>
      <c r="I4930" t="inlineStr">
        <is>
          <t>Nr</t>
        </is>
      </c>
      <c r="J4930" t="inlineStr"/>
      <c r="K4930" t="inlineStr"/>
      <c r="L4930" t="inlineStr">
        <is>
          <t>CAI5685855.1 unnamed protein product [Mustela putorius furo]</t>
        </is>
      </c>
      <c r="M4930" t="n">
        <v>1267</v>
      </c>
      <c r="N4930" t="inlineStr">
        <is>
          <t>Mustela putorius furo</t>
        </is>
      </c>
      <c r="O4930" t="inlineStr">
        <is>
          <t>unnamed protein product</t>
        </is>
      </c>
    </row>
    <row r="4931">
      <c r="A4931" t="inlineStr"/>
      <c r="B4931" t="inlineStr"/>
      <c r="C4931" t="inlineStr"/>
      <c r="D4931" t="inlineStr"/>
      <c r="E4931">
        <f>HYPERLINK("https://www.ncbi.nlm.nih.gov/gene/?term=AAD02928.1", "AAD02928.1")</f>
        <v/>
      </c>
      <c r="F4931" t="n">
        <v>33.5</v>
      </c>
      <c r="G4931" t="n">
        <v>743</v>
      </c>
      <c r="H4931" t="n">
        <v>4.36e-131</v>
      </c>
      <c r="I4931" t="inlineStr">
        <is>
          <t>Nr</t>
        </is>
      </c>
      <c r="J4931" t="inlineStr"/>
      <c r="K4931" t="inlineStr"/>
      <c r="L4931" t="inlineStr">
        <is>
          <t>AAD02928.1 reverse transcriptase [Oryzias latipes]</t>
        </is>
      </c>
      <c r="M4931" t="n">
        <v>1258</v>
      </c>
      <c r="N4931" t="inlineStr">
        <is>
          <t>Oryzias latipes</t>
        </is>
      </c>
      <c r="O4931" t="inlineStr">
        <is>
          <t>reverse transcriptase</t>
        </is>
      </c>
    </row>
    <row r="4932">
      <c r="A4932" t="inlineStr"/>
      <c r="B4932" t="inlineStr"/>
      <c r="C4932" t="inlineStr"/>
      <c r="D4932" t="inlineStr"/>
      <c r="E4932">
        <f>HYPERLINK("https://www.ncbi.nlm.nih.gov/gene/?term=WP_215727951.1", "WP_215727951.1")</f>
        <v/>
      </c>
      <c r="F4932" t="n">
        <v>33.4</v>
      </c>
      <c r="G4932" t="n">
        <v>737</v>
      </c>
      <c r="H4932" t="n">
        <v>1.04e-130</v>
      </c>
      <c r="I4932" t="inlineStr">
        <is>
          <t>Nr</t>
        </is>
      </c>
      <c r="J4932" t="inlineStr"/>
      <c r="K4932" t="inlineStr"/>
      <c r="L4932" t="inlineStr">
        <is>
          <t>WP_215727951.1 reverse transcriptase domain-containing protein [Mycobacterium tuberculosis]</t>
        </is>
      </c>
      <c r="M4932" t="n">
        <v>774</v>
      </c>
      <c r="N4932" t="inlineStr">
        <is>
          <t>Mycobacterium tuberculosis</t>
        </is>
      </c>
      <c r="O4932" t="inlineStr">
        <is>
          <t>reverse transcriptase domain-containing protein</t>
        </is>
      </c>
    </row>
    <row r="4933">
      <c r="A4933" t="inlineStr"/>
      <c r="B4933" t="inlineStr"/>
      <c r="C4933" t="inlineStr"/>
      <c r="D4933" t="inlineStr"/>
      <c r="E4933">
        <f>HYPERLINK("https://www.ncbi.nlm.nih.gov/gene/?term=AAD02930.1", "AAD02930.1")</f>
        <v/>
      </c>
      <c r="F4933" t="n">
        <v>33.4</v>
      </c>
      <c r="G4933" t="n">
        <v>743</v>
      </c>
      <c r="H4933" t="n">
        <v>2.29e-130</v>
      </c>
      <c r="I4933" t="inlineStr">
        <is>
          <t>Nr</t>
        </is>
      </c>
      <c r="J4933" t="inlineStr"/>
      <c r="K4933" t="inlineStr"/>
      <c r="L4933" t="inlineStr">
        <is>
          <t>AAD02930.1 reverse transcriptase [Oryzias latipes]</t>
        </is>
      </c>
      <c r="M4933" t="n">
        <v>1258</v>
      </c>
      <c r="N4933" t="inlineStr">
        <is>
          <t>Oryzias latipes</t>
        </is>
      </c>
      <c r="O4933" t="inlineStr">
        <is>
          <t>reverse transcriptase</t>
        </is>
      </c>
    </row>
    <row r="4934">
      <c r="A4934" t="inlineStr"/>
      <c r="B4934" t="inlineStr"/>
      <c r="C4934" t="inlineStr"/>
      <c r="D4934" t="inlineStr"/>
      <c r="E4934">
        <f>HYPERLINK("https://www.ncbi.nlm.nih.gov/gene/?term=KAJ1075241.1", "KAJ1075241.1")</f>
        <v/>
      </c>
      <c r="F4934" t="n">
        <v>33.4</v>
      </c>
      <c r="G4934" t="n">
        <v>737</v>
      </c>
      <c r="H4934" t="n">
        <v>1.63e-129</v>
      </c>
      <c r="I4934" t="inlineStr">
        <is>
          <t>Nr</t>
        </is>
      </c>
      <c r="J4934" t="inlineStr"/>
      <c r="K4934" t="inlineStr"/>
      <c r="L4934" t="inlineStr">
        <is>
          <t>KAJ1075241.1 hypothetical protein K5549_006603 [Capra hircus]</t>
        </is>
      </c>
      <c r="M4934" t="n">
        <v>750</v>
      </c>
      <c r="N4934" t="inlineStr">
        <is>
          <t>Capra hircus</t>
        </is>
      </c>
      <c r="O4934" t="inlineStr">
        <is>
          <t>hypothetical protein K5549_006603</t>
        </is>
      </c>
    </row>
    <row r="4935">
      <c r="A4935" t="inlineStr"/>
      <c r="B4935" t="inlineStr"/>
      <c r="C4935" t="inlineStr"/>
      <c r="D4935" t="inlineStr"/>
      <c r="E4935">
        <f>HYPERLINK("https://www.ncbi.nlm.nih.gov/gene/?term=KAI5938623.1", "KAI5938623.1")</f>
        <v/>
      </c>
      <c r="F4935" t="n">
        <v>33.3</v>
      </c>
      <c r="G4935" t="n">
        <v>739</v>
      </c>
      <c r="H4935" t="n">
        <v>2.52e-129</v>
      </c>
      <c r="I4935" t="inlineStr">
        <is>
          <t>Nr</t>
        </is>
      </c>
      <c r="J4935" t="inlineStr"/>
      <c r="K4935" t="inlineStr"/>
      <c r="L4935" t="inlineStr">
        <is>
          <t>KAI5938623.1 LINE-1 retrotransposable element ORF2 protein [Manis javanica]</t>
        </is>
      </c>
      <c r="M4935" t="n">
        <v>804</v>
      </c>
      <c r="N4935" t="inlineStr">
        <is>
          <t>Manis javanica</t>
        </is>
      </c>
      <c r="O4935" t="inlineStr">
        <is>
          <t>LINE-1 retrotransposable element ORF2 protein</t>
        </is>
      </c>
    </row>
    <row r="4936">
      <c r="A4936" t="inlineStr"/>
      <c r="B4936" t="inlineStr"/>
      <c r="C4936" t="inlineStr"/>
      <c r="D4936" t="inlineStr"/>
      <c r="E4936">
        <f>HYPERLINK("https://www.ncbi.nlm.nih.gov/gene/?term=KAB0360547.1", "KAB0360547.1")</f>
        <v/>
      </c>
      <c r="F4936" t="n">
        <v>33.2</v>
      </c>
      <c r="G4936" t="n">
        <v>773</v>
      </c>
      <c r="H4936" t="n">
        <v>3e-129</v>
      </c>
      <c r="I4936" t="inlineStr">
        <is>
          <t>Nr</t>
        </is>
      </c>
      <c r="J4936" t="inlineStr"/>
      <c r="K4936" t="inlineStr"/>
      <c r="L4936" t="inlineStr">
        <is>
          <t>KAB0360547.1 hypothetical protein FD754_004703 [Muntiacus muntjak]</t>
        </is>
      </c>
      <c r="M4936" t="n">
        <v>1272</v>
      </c>
      <c r="N4936" t="inlineStr">
        <is>
          <t>Muntiacus muntjak</t>
        </is>
      </c>
      <c r="O4936" t="inlineStr">
        <is>
          <t>hypothetical protein FD754_004703</t>
        </is>
      </c>
    </row>
    <row r="4937">
      <c r="A4937" t="inlineStr"/>
      <c r="B4937" t="inlineStr"/>
      <c r="C4937" t="inlineStr"/>
      <c r="D4937" t="inlineStr"/>
      <c r="E4937">
        <f>HYPERLINK("https://www.ncbi.nlm.nih.gov/gene/?term=KAI4789494.1", "KAI4789494.1")</f>
        <v/>
      </c>
      <c r="F4937" t="n">
        <v>34.1</v>
      </c>
      <c r="G4937" t="n">
        <v>744</v>
      </c>
      <c r="H4937" t="n">
        <v>7.75e-129</v>
      </c>
      <c r="I4937" t="inlineStr">
        <is>
          <t>Nr</t>
        </is>
      </c>
      <c r="J4937" t="inlineStr"/>
      <c r="K4937" t="inlineStr"/>
      <c r="L4937" t="inlineStr">
        <is>
          <t>KAI4789494.1 hypothetical protein KUCAC02_035207 [Chaenocephalus aceratus]</t>
        </is>
      </c>
      <c r="M4937" t="n">
        <v>1002</v>
      </c>
      <c r="N4937" t="inlineStr">
        <is>
          <t>Chaenocephalus aceratus</t>
        </is>
      </c>
      <c r="O4937" t="inlineStr">
        <is>
          <t>hypothetical protein KUCAC02_035207</t>
        </is>
      </c>
    </row>
    <row r="4938">
      <c r="A4938" t="inlineStr"/>
      <c r="B4938" t="inlineStr"/>
      <c r="C4938" t="inlineStr"/>
      <c r="D4938" t="inlineStr"/>
      <c r="E4938">
        <f>HYPERLINK("https://www.ncbi.nlm.nih.gov/gene/?term=ELR55746.1", "ELR55746.1")</f>
        <v/>
      </c>
      <c r="F4938" t="n">
        <v>33.2</v>
      </c>
      <c r="G4938" t="n">
        <v>757</v>
      </c>
      <c r="H4938" t="n">
        <v>1.13e-128</v>
      </c>
      <c r="I4938" t="inlineStr">
        <is>
          <t>Nr</t>
        </is>
      </c>
      <c r="J4938" t="inlineStr"/>
      <c r="K4938" t="inlineStr"/>
      <c r="L4938" t="inlineStr">
        <is>
          <t>ELR55746.1 hypothetical protein M91_14620 [Bos mutus]</t>
        </is>
      </c>
      <c r="M4938" t="n">
        <v>1272</v>
      </c>
      <c r="N4938" t="inlineStr">
        <is>
          <t>Bos mutus</t>
        </is>
      </c>
      <c r="O4938" t="inlineStr">
        <is>
          <t>hypothetical protein M91_14620</t>
        </is>
      </c>
    </row>
    <row r="4939">
      <c r="A4939" t="inlineStr"/>
      <c r="B4939" t="inlineStr"/>
      <c r="C4939" t="inlineStr"/>
      <c r="D4939" t="inlineStr"/>
      <c r="E4939">
        <f>HYPERLINK("https://www.ncbi.nlm.nih.gov/gene/?term=ELR58410.1", "ELR58410.1")</f>
        <v/>
      </c>
      <c r="F4939" t="n">
        <v>33.2</v>
      </c>
      <c r="G4939" t="n">
        <v>757</v>
      </c>
      <c r="H4939" t="n">
        <v>1.58e-128</v>
      </c>
      <c r="I4939" t="inlineStr">
        <is>
          <t>Nr</t>
        </is>
      </c>
      <c r="J4939" t="inlineStr"/>
      <c r="K4939" t="inlineStr"/>
      <c r="L4939" t="inlineStr">
        <is>
          <t>ELR58410.1 Retrovirus-related Pol polyprotein LINE-1 [Bos mutus]</t>
        </is>
      </c>
      <c r="M4939" t="n">
        <v>1272</v>
      </c>
      <c r="N4939" t="inlineStr">
        <is>
          <t>Bos mutus</t>
        </is>
      </c>
      <c r="O4939" t="inlineStr">
        <is>
          <t>Retrovirus-related Pol polyprotein LINE-1</t>
        </is>
      </c>
    </row>
    <row r="4940">
      <c r="A4940" t="inlineStr"/>
      <c r="B4940" t="inlineStr"/>
      <c r="C4940" t="inlineStr"/>
      <c r="D4940" t="inlineStr"/>
      <c r="E4940">
        <f>HYPERLINK("https://www.ncbi.nlm.nih.gov/gene/?term=WP_117219690.1", "WP_117219690.1")</f>
        <v/>
      </c>
      <c r="F4940" t="n">
        <v>33.6</v>
      </c>
      <c r="G4940" t="n">
        <v>737</v>
      </c>
      <c r="H4940" t="n">
        <v>2.2e-128</v>
      </c>
      <c r="I4940" t="inlineStr">
        <is>
          <t>Nr</t>
        </is>
      </c>
      <c r="J4940" t="inlineStr"/>
      <c r="K4940" t="inlineStr"/>
      <c r="L4940" t="inlineStr">
        <is>
          <t>WP_117219690.1 reverse transcriptase domain-containing protein [Staphylococcus aureus]</t>
        </is>
      </c>
      <c r="M4940" t="n">
        <v>1272</v>
      </c>
      <c r="N4940" t="inlineStr">
        <is>
          <t>Staphylococcus aureus</t>
        </is>
      </c>
      <c r="O4940" t="inlineStr">
        <is>
          <t>reverse transcriptase domain-containing protein</t>
        </is>
      </c>
    </row>
    <row r="4941">
      <c r="A4941" t="inlineStr"/>
      <c r="B4941" t="inlineStr"/>
      <c r="C4941" t="inlineStr"/>
      <c r="D4941" t="inlineStr"/>
      <c r="E4941">
        <f>HYPERLINK("https://www.ncbi.nlm.nih.gov/gene/?term=KAB0363240.1", "KAB0363240.1")</f>
        <v/>
      </c>
      <c r="F4941" t="n">
        <v>33.4</v>
      </c>
      <c r="G4941" t="n">
        <v>773</v>
      </c>
      <c r="H4941" t="n">
        <v>2.2e-128</v>
      </c>
      <c r="I4941" t="inlineStr">
        <is>
          <t>Nr</t>
        </is>
      </c>
      <c r="J4941" t="inlineStr"/>
      <c r="K4941" t="inlineStr"/>
      <c r="L4941" t="inlineStr">
        <is>
          <t>KAB0363240.1 hypothetical protein FD754_007396 [Muntiacus muntjak]</t>
        </is>
      </c>
      <c r="M4941" t="n">
        <v>1272</v>
      </c>
      <c r="N4941" t="inlineStr">
        <is>
          <t>Muntiacus muntjak</t>
        </is>
      </c>
      <c r="O4941" t="inlineStr">
        <is>
          <t>hypothetical protein FD754_007396</t>
        </is>
      </c>
    </row>
    <row r="4942">
      <c r="A4942" t="inlineStr"/>
      <c r="B4942" t="inlineStr"/>
      <c r="C4942" t="inlineStr"/>
      <c r="D4942" t="inlineStr"/>
      <c r="E4942">
        <f>HYPERLINK("https://www.ncbi.nlm.nih.gov/gene/?term=KAB0342975.1", "KAB0342975.1")</f>
        <v/>
      </c>
      <c r="F4942" t="n">
        <v>33.3</v>
      </c>
      <c r="G4942" t="n">
        <v>766</v>
      </c>
      <c r="H4942" t="n">
        <v>2.2e-128</v>
      </c>
      <c r="I4942" t="inlineStr">
        <is>
          <t>Nr</t>
        </is>
      </c>
      <c r="J4942" t="inlineStr"/>
      <c r="K4942" t="inlineStr"/>
      <c r="L4942" t="inlineStr">
        <is>
          <t>KAB0342975.1 hypothetical protein FD754_019901 [Muntiacus muntjak]</t>
        </is>
      </c>
      <c r="M4942" t="n">
        <v>1272</v>
      </c>
      <c r="N4942" t="inlineStr">
        <is>
          <t>Muntiacus muntjak</t>
        </is>
      </c>
      <c r="O4942" t="inlineStr">
        <is>
          <t>hypothetical protein FD754_019901</t>
        </is>
      </c>
    </row>
    <row r="4943">
      <c r="A4943" t="inlineStr"/>
      <c r="B4943" t="inlineStr"/>
      <c r="C4943" t="inlineStr"/>
      <c r="D4943" t="inlineStr"/>
      <c r="E4943">
        <f>HYPERLINK("https://www.ncbi.nlm.nih.gov/gene/?term=ELR58510.1", "ELR58510.1")</f>
        <v/>
      </c>
      <c r="F4943" t="n">
        <v>33</v>
      </c>
      <c r="G4943" t="n">
        <v>757</v>
      </c>
      <c r="H4943" t="n">
        <v>2.49e-128</v>
      </c>
      <c r="I4943" t="inlineStr">
        <is>
          <t>Nr</t>
        </is>
      </c>
      <c r="J4943" t="inlineStr"/>
      <c r="K4943" t="inlineStr"/>
      <c r="L4943" t="inlineStr">
        <is>
          <t>ELR58510.1 hypothetical protein M91_05513, partial [Bos mutus]</t>
        </is>
      </c>
      <c r="M4943" t="n">
        <v>1170</v>
      </c>
      <c r="N4943" t="inlineStr">
        <is>
          <t>Bos mutus</t>
        </is>
      </c>
      <c r="O4943" t="inlineStr">
        <is>
          <t>hypothetical protein M91_05513, partial</t>
        </is>
      </c>
    </row>
    <row r="4944">
      <c r="A4944" t="inlineStr"/>
      <c r="B4944" t="inlineStr"/>
      <c r="C4944" t="inlineStr"/>
      <c r="D4944" t="inlineStr"/>
      <c r="E4944">
        <f>HYPERLINK("https://www.ncbi.nlm.nih.gov/gene/?term=ELR51705.1", "ELR51705.1")</f>
        <v/>
      </c>
      <c r="F4944" t="n">
        <v>33</v>
      </c>
      <c r="G4944" t="n">
        <v>757</v>
      </c>
      <c r="H4944" t="n">
        <v>2.96e-128</v>
      </c>
      <c r="I4944" t="inlineStr">
        <is>
          <t>Nr</t>
        </is>
      </c>
      <c r="J4944" t="inlineStr"/>
      <c r="K4944" t="inlineStr"/>
      <c r="L4944" t="inlineStr">
        <is>
          <t>ELR51705.1 hypothetical protein M91_10420, partial [Bos mutus]</t>
        </is>
      </c>
      <c r="M4944" t="n">
        <v>1179</v>
      </c>
      <c r="N4944" t="inlineStr">
        <is>
          <t>Bos mutus</t>
        </is>
      </c>
      <c r="O4944" t="inlineStr">
        <is>
          <t>hypothetical protein M91_10420, partial</t>
        </is>
      </c>
    </row>
    <row r="4945">
      <c r="A4945" t="inlineStr"/>
      <c r="B4945" t="inlineStr"/>
      <c r="C4945" t="inlineStr"/>
      <c r="D4945" t="inlineStr"/>
      <c r="E4945">
        <f>HYPERLINK("https://www.ncbi.nlm.nih.gov/gene/?term=KAB0381682.1", "KAB0381682.1")</f>
        <v/>
      </c>
      <c r="F4945" t="n">
        <v>33.2</v>
      </c>
      <c r="G4945" t="n">
        <v>773</v>
      </c>
      <c r="H4945" t="n">
        <v>4.26e-128</v>
      </c>
      <c r="I4945" t="inlineStr">
        <is>
          <t>Nr</t>
        </is>
      </c>
      <c r="J4945" t="inlineStr"/>
      <c r="K4945" t="inlineStr"/>
      <c r="L4945" t="inlineStr">
        <is>
          <t>KAB0381682.1 hypothetical protein FD755_003599 [Muntiacus reevesi]</t>
        </is>
      </c>
      <c r="M4945" t="n">
        <v>1272</v>
      </c>
      <c r="N4945" t="inlineStr">
        <is>
          <t>Muntiacus reevesi</t>
        </is>
      </c>
      <c r="O4945" t="inlineStr">
        <is>
          <t>hypothetical protein FD755_003599</t>
        </is>
      </c>
    </row>
    <row r="4946">
      <c r="A4946" t="inlineStr"/>
      <c r="B4946" t="inlineStr"/>
      <c r="C4946" t="inlineStr"/>
      <c r="D4946" t="inlineStr"/>
      <c r="E4946">
        <f>HYPERLINK("https://www.ncbi.nlm.nih.gov/gene/?term=KAB0355441.1", "KAB0355441.1")</f>
        <v/>
      </c>
      <c r="F4946" t="n">
        <v>33.2</v>
      </c>
      <c r="G4946" t="n">
        <v>773</v>
      </c>
      <c r="H4946" t="n">
        <v>4.26e-128</v>
      </c>
      <c r="I4946" t="inlineStr">
        <is>
          <t>Nr</t>
        </is>
      </c>
      <c r="J4946" t="inlineStr"/>
      <c r="K4946" t="inlineStr"/>
      <c r="L4946" t="inlineStr">
        <is>
          <t>KAB0355441.1 hypothetical protein FD755_021949 [Muntiacus reevesi]</t>
        </is>
      </c>
      <c r="M4946" t="n">
        <v>1272</v>
      </c>
      <c r="N4946" t="inlineStr">
        <is>
          <t>Muntiacus reevesi</t>
        </is>
      </c>
      <c r="O4946" t="inlineStr">
        <is>
          <t>hypothetical protein FD755_021949</t>
        </is>
      </c>
    </row>
    <row r="4947">
      <c r="A4947" t="inlineStr"/>
      <c r="B4947" t="inlineStr"/>
      <c r="C4947" t="inlineStr"/>
      <c r="D4947" t="inlineStr"/>
      <c r="E4947">
        <f>HYPERLINK("https://www.ncbi.nlm.nih.gov/gene/?term=KAB0369772.1", "KAB0369772.1")</f>
        <v/>
      </c>
      <c r="F4947" t="n">
        <v>33.2</v>
      </c>
      <c r="G4947" t="n">
        <v>773</v>
      </c>
      <c r="H4947" t="n">
        <v>4.26e-128</v>
      </c>
      <c r="I4947" t="inlineStr">
        <is>
          <t>Nr</t>
        </is>
      </c>
      <c r="J4947" t="inlineStr"/>
      <c r="K4947" t="inlineStr"/>
      <c r="L4947" t="inlineStr">
        <is>
          <t>KAB0369772.1 hypothetical protein FD755_018765 [Muntiacus reevesi]</t>
        </is>
      </c>
      <c r="M4947" t="n">
        <v>1272</v>
      </c>
      <c r="N4947" t="inlineStr">
        <is>
          <t>Muntiacus reevesi</t>
        </is>
      </c>
      <c r="O4947" t="inlineStr">
        <is>
          <t>hypothetical protein FD755_018765</t>
        </is>
      </c>
    </row>
    <row r="4948">
      <c r="A4948" t="inlineStr"/>
      <c r="B4948" t="inlineStr"/>
      <c r="C4948" t="inlineStr"/>
      <c r="D4948" t="inlineStr"/>
      <c r="E4948">
        <f>HYPERLINK("https://www.uniprot.org/uniprotkb/P08548/entry", "P08548")</f>
        <v/>
      </c>
      <c r="F4948" t="n">
        <v>32.6</v>
      </c>
      <c r="G4948" t="n">
        <v>766</v>
      </c>
      <c r="H4948" t="n">
        <v>9.72e-128</v>
      </c>
      <c r="I4948" t="inlineStr">
        <is>
          <t>Swiss-Prot</t>
        </is>
      </c>
      <c r="J4948" t="inlineStr"/>
      <c r="K4948" t="inlineStr">
        <is>
          <t>LIN1_NYCCO</t>
        </is>
      </c>
      <c r="L4948" t="inlineStr">
        <is>
          <t>sp|P08548|LIN1_NYCCO LINE-1 reverse transcriptase homolog OS=Nycticebus coucang OX=9470 PE=4 SV=1</t>
        </is>
      </c>
      <c r="M4948" t="n">
        <v>1260</v>
      </c>
      <c r="N4948" t="inlineStr">
        <is>
          <t>Nycticebus coucang</t>
        </is>
      </c>
      <c r="O4948" t="inlineStr">
        <is>
          <t>LINE-1 reverse transcriptase homolog</t>
        </is>
      </c>
    </row>
    <row r="4949">
      <c r="A4949" t="inlineStr"/>
      <c r="B4949" t="inlineStr"/>
      <c r="C4949" t="inlineStr"/>
      <c r="D4949" t="inlineStr"/>
      <c r="E4949">
        <f>HYPERLINK("https://www.uniprot.org/uniprotkb/O00370/entry", "O00370")</f>
        <v/>
      </c>
      <c r="F4949" t="n">
        <v>31.7</v>
      </c>
      <c r="G4949" t="n">
        <v>766</v>
      </c>
      <c r="H4949" t="n">
        <v>1.79e-122</v>
      </c>
      <c r="I4949" t="inlineStr">
        <is>
          <t>Swiss-Prot</t>
        </is>
      </c>
      <c r="J4949" t="inlineStr"/>
      <c r="K4949" t="inlineStr">
        <is>
          <t>LORF2_HUMAN</t>
        </is>
      </c>
      <c r="L4949" t="inlineStr">
        <is>
          <t>sp|O00370|LORF2_HUMAN LINE-1 retrotransposable element ORF2 protein OS=Homo sapiens OX=9606 PE=1 SV=1</t>
        </is>
      </c>
      <c r="M4949" t="n">
        <v>1275</v>
      </c>
      <c r="N4949" t="inlineStr">
        <is>
          <t>Homo sapiens</t>
        </is>
      </c>
      <c r="O4949" t="inlineStr">
        <is>
          <t>LINE-1 retrotransposable element ORF2 protein</t>
        </is>
      </c>
    </row>
    <row r="4950">
      <c r="A4950" t="inlineStr"/>
      <c r="B4950" t="inlineStr"/>
      <c r="C4950" t="inlineStr"/>
      <c r="D4950" t="inlineStr"/>
      <c r="E4950">
        <f>HYPERLINK("https://www.uniprot.org/uniprotkb/P11369/entry", "P11369")</f>
        <v/>
      </c>
      <c r="F4950" t="n">
        <v>31.3</v>
      </c>
      <c r="G4950" t="n">
        <v>735</v>
      </c>
      <c r="H4950" t="n">
        <v>1.36e-116</v>
      </c>
      <c r="I4950" t="inlineStr">
        <is>
          <t>Swiss-Prot</t>
        </is>
      </c>
      <c r="J4950" t="inlineStr">
        <is>
          <t>Pol</t>
        </is>
      </c>
      <c r="K4950" t="inlineStr">
        <is>
          <t>LORF2_MOUSE</t>
        </is>
      </c>
      <c r="L4950" t="inlineStr">
        <is>
          <t>sp|P11369|LORF2_MOUSE LINE-1 retrotransposable element ORF2 protein OS=Mus musculus OX=10090 GN=Pol PE=1 SV=2</t>
        </is>
      </c>
      <c r="M4950" t="n">
        <v>1281</v>
      </c>
      <c r="N4950" t="inlineStr">
        <is>
          <t>Mus musculus</t>
        </is>
      </c>
      <c r="O4950" t="inlineStr">
        <is>
          <t>LINE-1 retrotransposable element ORF2 protein</t>
        </is>
      </c>
    </row>
    <row r="4951">
      <c r="A4951" t="inlineStr"/>
      <c r="B4951" t="inlineStr"/>
      <c r="C4951" t="inlineStr"/>
      <c r="D4951" t="inlineStr"/>
      <c r="E4951">
        <f>HYPERLINK("https://www.uniprot.org/uniprotkb/P14381/entry", "P14381")</f>
        <v/>
      </c>
      <c r="F4951" t="n">
        <v>25.2</v>
      </c>
      <c r="G4951" t="n">
        <v>751</v>
      </c>
      <c r="H4951" t="n">
        <v>1.93e-51</v>
      </c>
      <c r="I4951" t="inlineStr">
        <is>
          <t>Swiss-Prot</t>
        </is>
      </c>
      <c r="J4951" t="inlineStr"/>
      <c r="K4951" t="inlineStr">
        <is>
          <t>YTX2_XENLA</t>
        </is>
      </c>
      <c r="L4951" t="inlineStr">
        <is>
          <t>sp|P14381|YTX2_XENLA Transposon TX1 uncharacterized 149 kDa protein OS=Xenopus laevis OX=8355 PE=4 SV=1</t>
        </is>
      </c>
      <c r="M4951" t="n">
        <v>1308</v>
      </c>
      <c r="N4951" t="inlineStr">
        <is>
          <t>Xenopus laevis</t>
        </is>
      </c>
      <c r="O4951" t="inlineStr">
        <is>
          <t>Transposon TX1 uncharacterized 149 kDa protein</t>
        </is>
      </c>
    </row>
    <row r="4952">
      <c r="A4952" t="inlineStr"/>
      <c r="B4952" t="inlineStr"/>
      <c r="C4952" t="inlineStr"/>
      <c r="D4952" t="inlineStr"/>
      <c r="E4952">
        <f>HYPERLINK("https://www.uniprot.org/uniprotkb/A0A8C5MW40/entry", "A0A8C5MW40")</f>
        <v/>
      </c>
      <c r="F4952" t="n">
        <v>36.2</v>
      </c>
      <c r="G4952" t="n">
        <v>221</v>
      </c>
      <c r="H4952" t="n">
        <v>1.88e-48</v>
      </c>
      <c r="I4952" t="inlineStr">
        <is>
          <t>TrEMBL</t>
        </is>
      </c>
      <c r="J4952" t="inlineStr"/>
      <c r="K4952" t="inlineStr">
        <is>
          <t>A0A8C5MW40_9ANUR</t>
        </is>
      </c>
      <c r="L4952" t="inlineStr">
        <is>
          <t>tr|A0A8C5MW40|A0A8C5MW40_9ANUR Zf-RVT domain-containing protein OS=Leptobrachium leishanense OX=445787 PE=4 SV=1</t>
        </is>
      </c>
      <c r="M4952" t="n">
        <v>338</v>
      </c>
      <c r="N4952" t="inlineStr">
        <is>
          <t>Leptobrachium leishanense</t>
        </is>
      </c>
      <c r="O4952" t="inlineStr">
        <is>
          <t>Zf-RVT domain-containing protein</t>
        </is>
      </c>
    </row>
    <row r="4953">
      <c r="A4953" t="inlineStr"/>
      <c r="B4953" t="inlineStr"/>
      <c r="C4953" t="inlineStr"/>
      <c r="D4953" t="inlineStr"/>
      <c r="E4953">
        <f>HYPERLINK("https://www.uniprot.org/uniprotkb/A0A803JQL4/entry", "A0A803JQL4")</f>
        <v/>
      </c>
      <c r="F4953" t="n">
        <v>38.5</v>
      </c>
      <c r="G4953" t="n">
        <v>283</v>
      </c>
      <c r="H4953" t="n">
        <v>8.3e-48</v>
      </c>
      <c r="I4953" t="inlineStr">
        <is>
          <t>TrEMBL</t>
        </is>
      </c>
      <c r="J4953" t="inlineStr"/>
      <c r="K4953" t="inlineStr">
        <is>
          <t>A0A803JQL4_XENTR</t>
        </is>
      </c>
      <c r="L4953" t="inlineStr">
        <is>
          <t>tr|A0A803JQL4|A0A803JQL4_XENTR GP46-like surface antigen OS=Xenopus tropicalis OX=8364 PE=4 SV=1</t>
        </is>
      </c>
      <c r="M4953" t="n">
        <v>669</v>
      </c>
      <c r="N4953" t="inlineStr">
        <is>
          <t>Xenopus tropicalis</t>
        </is>
      </c>
      <c r="O4953" t="inlineStr">
        <is>
          <t>GP46-like surface antigen</t>
        </is>
      </c>
    </row>
    <row r="4954">
      <c r="A4954" t="inlineStr"/>
      <c r="B4954" t="inlineStr"/>
      <c r="C4954" t="inlineStr"/>
      <c r="D4954" t="inlineStr"/>
      <c r="E4954">
        <f>HYPERLINK("https://www.ncbi.nlm.nih.gov/gene/?term=OCT87905.1", "OCT87905.1")</f>
        <v/>
      </c>
      <c r="F4954" t="n">
        <v>43.8</v>
      </c>
      <c r="G4954" t="n">
        <v>217</v>
      </c>
      <c r="H4954" t="n">
        <v>3.48e-47</v>
      </c>
      <c r="I4954" t="inlineStr">
        <is>
          <t>Nr</t>
        </is>
      </c>
      <c r="J4954" t="inlineStr"/>
      <c r="K4954" t="inlineStr"/>
      <c r="L4954" t="inlineStr">
        <is>
          <t>OCT87905.1 hypothetical protein XELAEV_18021609mg, partial [Xenopus laevis]</t>
        </is>
      </c>
      <c r="M4954" t="n">
        <v>486</v>
      </c>
      <c r="N4954" t="inlineStr">
        <is>
          <t>Xenopus laevis</t>
        </is>
      </c>
      <c r="O4954" t="inlineStr">
        <is>
          <t>hypothetical protein XELAEV_18021609mg, partial</t>
        </is>
      </c>
    </row>
    <row r="4955">
      <c r="A4955" t="inlineStr"/>
      <c r="B4955" t="inlineStr"/>
      <c r="C4955" t="inlineStr"/>
      <c r="D4955" t="inlineStr"/>
      <c r="E4955">
        <f>HYPERLINK("https://www.uniprot.org/uniprotkb/A0A8C5MN92/entry", "A0A8C5MN92")</f>
        <v/>
      </c>
      <c r="F4955" t="n">
        <v>38.7</v>
      </c>
      <c r="G4955" t="n">
        <v>217</v>
      </c>
      <c r="H4955" t="n">
        <v>1e-45</v>
      </c>
      <c r="I4955" t="inlineStr">
        <is>
          <t>TrEMBL</t>
        </is>
      </c>
      <c r="J4955" t="inlineStr"/>
      <c r="K4955" t="inlineStr">
        <is>
          <t>A0A8C5MN92_9ANUR</t>
        </is>
      </c>
      <c r="L4955" t="inlineStr">
        <is>
          <t>tr|A0A8C5MN92|A0A8C5MN92_9ANUR Reverse transcriptase domain-containing protein OS=Leptobrachium leishanense OX=445787 PE=4 SV=1</t>
        </is>
      </c>
      <c r="M4955" t="n">
        <v>1283</v>
      </c>
      <c r="N4955" t="inlineStr">
        <is>
          <t>Leptobrachium leishanense</t>
        </is>
      </c>
      <c r="O4955" t="inlineStr">
        <is>
          <t>Reverse transcriptase domain-containing protein</t>
        </is>
      </c>
    </row>
    <row r="4956">
      <c r="A4956" t="inlineStr"/>
      <c r="B4956" t="inlineStr"/>
      <c r="C4956" t="inlineStr"/>
      <c r="D4956" t="inlineStr"/>
      <c r="E4956">
        <f>HYPERLINK("https://www.uniprot.org/uniprotkb/A0A8C5LU36/entry", "A0A8C5LU36")</f>
        <v/>
      </c>
      <c r="F4956" t="n">
        <v>36.2</v>
      </c>
      <c r="G4956" t="n">
        <v>221</v>
      </c>
      <c r="H4956" t="n">
        <v>1.92e-45</v>
      </c>
      <c r="I4956" t="inlineStr">
        <is>
          <t>TrEMBL</t>
        </is>
      </c>
      <c r="J4956" t="inlineStr"/>
      <c r="K4956" t="inlineStr">
        <is>
          <t>A0A8C5LU36_9ANUR</t>
        </is>
      </c>
      <c r="L4956" t="inlineStr">
        <is>
          <t>tr|A0A8C5LU36|A0A8C5LU36_9ANUR Reverse transcriptase domain-containing protein OS=Leptobrachium leishanense OX=445787 PE=4 SV=1</t>
        </is>
      </c>
      <c r="M4956" t="n">
        <v>812</v>
      </c>
      <c r="N4956" t="inlineStr">
        <is>
          <t>Leptobrachium leishanense</t>
        </is>
      </c>
      <c r="O4956" t="inlineStr">
        <is>
          <t>Reverse transcriptase domain-containing protein</t>
        </is>
      </c>
    </row>
    <row r="4957">
      <c r="A4957" t="inlineStr"/>
      <c r="B4957" t="inlineStr"/>
      <c r="C4957" t="inlineStr"/>
      <c r="D4957" t="inlineStr"/>
      <c r="E4957">
        <f>HYPERLINK("https://www.uniprot.org/uniprotkb/A0A8C5M8P7/entry", "A0A8C5M8P7")</f>
        <v/>
      </c>
      <c r="F4957" t="n">
        <v>36.2</v>
      </c>
      <c r="G4957" t="n">
        <v>221</v>
      </c>
      <c r="H4957" t="n">
        <v>3.44e-45</v>
      </c>
      <c r="I4957" t="inlineStr">
        <is>
          <t>TrEMBL</t>
        </is>
      </c>
      <c r="J4957" t="inlineStr"/>
      <c r="K4957" t="inlineStr">
        <is>
          <t>A0A8C5M8P7_9ANUR</t>
        </is>
      </c>
      <c r="L4957" t="inlineStr">
        <is>
          <t>tr|A0A8C5M8P7|A0A8C5M8P7_9ANUR Reverse transcriptase domain-containing protein OS=Leptobrachium leishanense OX=445787 PE=4 SV=1</t>
        </is>
      </c>
      <c r="M4957" t="n">
        <v>1288</v>
      </c>
      <c r="N4957" t="inlineStr">
        <is>
          <t>Leptobrachium leishanense</t>
        </is>
      </c>
      <c r="O4957" t="inlineStr">
        <is>
          <t>Reverse transcriptase domain-containing protein</t>
        </is>
      </c>
    </row>
    <row r="4958">
      <c r="A4958" t="inlineStr"/>
      <c r="B4958" t="inlineStr"/>
      <c r="C4958" t="inlineStr"/>
      <c r="D4958" t="inlineStr"/>
      <c r="E4958">
        <f>HYPERLINK("https://www.uniprot.org/uniprotkb/A0A8C5WDD9/entry", "A0A8C5WDD9")</f>
        <v/>
      </c>
      <c r="F4958" t="n">
        <v>38.6</v>
      </c>
      <c r="G4958" t="n">
        <v>215</v>
      </c>
      <c r="H4958" t="n">
        <v>9.62e-45</v>
      </c>
      <c r="I4958" t="inlineStr">
        <is>
          <t>TrEMBL</t>
        </is>
      </c>
      <c r="J4958" t="inlineStr"/>
      <c r="K4958" t="inlineStr">
        <is>
          <t>A0A8C5WDD9_9ANUR</t>
        </is>
      </c>
      <c r="L4958" t="inlineStr">
        <is>
          <t>tr|A0A8C5WDD9|A0A8C5WDD9_9ANUR Zf-RVT domain-containing protein OS=Leptobrachium leishanense OX=445787 PE=4 SV=1</t>
        </is>
      </c>
      <c r="M4958" t="n">
        <v>283</v>
      </c>
      <c r="N4958" t="inlineStr">
        <is>
          <t>Leptobrachium leishanense</t>
        </is>
      </c>
      <c r="O4958" t="inlineStr">
        <is>
          <t>Zf-RVT domain-containing protein</t>
        </is>
      </c>
    </row>
    <row r="4959">
      <c r="A4959" t="inlineStr"/>
      <c r="B4959" t="inlineStr"/>
      <c r="C4959" t="inlineStr"/>
      <c r="D4959" t="inlineStr"/>
      <c r="E4959">
        <f>HYPERLINK("https://www.uniprot.org/uniprotkb/A0A8C5N3K1/entry", "A0A8C5N3K1")</f>
        <v/>
      </c>
      <c r="F4959" t="n">
        <v>36.1</v>
      </c>
      <c r="G4959" t="n">
        <v>238</v>
      </c>
      <c r="H4959" t="n">
        <v>9.82e-45</v>
      </c>
      <c r="I4959" t="inlineStr">
        <is>
          <t>TrEMBL</t>
        </is>
      </c>
      <c r="J4959" t="inlineStr"/>
      <c r="K4959" t="inlineStr">
        <is>
          <t>A0A8C5N3K1_9ANUR</t>
        </is>
      </c>
      <c r="L4959" t="inlineStr">
        <is>
          <t>tr|A0A8C5N3K1|A0A8C5N3K1_9ANUR Zf-RVT domain-containing protein OS=Leptobrachium leishanense OX=445787 PE=4 SV=1</t>
        </is>
      </c>
      <c r="M4959" t="n">
        <v>397</v>
      </c>
      <c r="N4959" t="inlineStr">
        <is>
          <t>Leptobrachium leishanense</t>
        </is>
      </c>
      <c r="O4959" t="inlineStr">
        <is>
          <t>Zf-RVT domain-containing protein</t>
        </is>
      </c>
    </row>
    <row r="4960">
      <c r="A4960" t="inlineStr"/>
      <c r="B4960" t="inlineStr"/>
      <c r="C4960" t="inlineStr"/>
      <c r="D4960" t="inlineStr"/>
      <c r="E4960">
        <f>HYPERLINK("https://www.uniprot.org/uniprotkb/A0A8C5QK57/entry", "A0A8C5QK57")</f>
        <v/>
      </c>
      <c r="F4960" t="n">
        <v>40.1</v>
      </c>
      <c r="G4960" t="n">
        <v>202</v>
      </c>
      <c r="H4960" t="n">
        <v>1.1e-44</v>
      </c>
      <c r="I4960" t="inlineStr">
        <is>
          <t>TrEMBL</t>
        </is>
      </c>
      <c r="J4960" t="inlineStr"/>
      <c r="K4960" t="inlineStr">
        <is>
          <t>A0A8C5QK57_9ANUR</t>
        </is>
      </c>
      <c r="L4960" t="inlineStr">
        <is>
          <t>tr|A0A8C5QK57|A0A8C5QK57_9ANUR Reverse transcriptase domain-containing protein OS=Leptobrachium leishanense OX=445787 PE=4 SV=1</t>
        </is>
      </c>
      <c r="M4960" t="n">
        <v>1022</v>
      </c>
      <c r="N4960" t="inlineStr">
        <is>
          <t>Leptobrachium leishanense</t>
        </is>
      </c>
      <c r="O4960" t="inlineStr">
        <is>
          <t>Reverse transcriptase domain-containing protein</t>
        </is>
      </c>
    </row>
    <row r="4961">
      <c r="A4961" t="inlineStr"/>
      <c r="B4961" t="inlineStr"/>
      <c r="C4961" t="inlineStr"/>
      <c r="D4961" t="inlineStr"/>
      <c r="E4961">
        <f>HYPERLINK("https://www.uniprot.org/uniprotkb/A0A8C5LM26/entry", "A0A8C5LM26")</f>
        <v/>
      </c>
      <c r="F4961" t="n">
        <v>33.8</v>
      </c>
      <c r="G4961" t="n">
        <v>240</v>
      </c>
      <c r="H4961" t="n">
        <v>5.64e-44</v>
      </c>
      <c r="I4961" t="inlineStr">
        <is>
          <t>TrEMBL</t>
        </is>
      </c>
      <c r="J4961" t="inlineStr"/>
      <c r="K4961" t="inlineStr">
        <is>
          <t>A0A8C5LM26_9ANUR</t>
        </is>
      </c>
      <c r="L4961" t="inlineStr">
        <is>
          <t>tr|A0A8C5LM26|A0A8C5LM26_9ANUR Zf-RVT domain-containing protein OS=Leptobrachium leishanense OX=445787 PE=4 SV=1</t>
        </is>
      </c>
      <c r="M4961" t="n">
        <v>298</v>
      </c>
      <c r="N4961" t="inlineStr">
        <is>
          <t>Leptobrachium leishanense</t>
        </is>
      </c>
      <c r="O4961" t="inlineStr">
        <is>
          <t>Zf-RVT domain-containing protein</t>
        </is>
      </c>
    </row>
    <row r="4962">
      <c r="A4962" t="inlineStr"/>
      <c r="B4962" t="inlineStr"/>
      <c r="C4962" t="inlineStr"/>
      <c r="D4962" t="inlineStr"/>
      <c r="E4962">
        <f>HYPERLINK("https://www.uniprot.org/uniprotkb/A0A8C5PTT4/entry", "A0A8C5PTT4")</f>
        <v/>
      </c>
      <c r="F4962" t="n">
        <v>33.8</v>
      </c>
      <c r="G4962" t="n">
        <v>240</v>
      </c>
      <c r="H4962" t="n">
        <v>2.91e-43</v>
      </c>
      <c r="I4962" t="inlineStr">
        <is>
          <t>TrEMBL</t>
        </is>
      </c>
      <c r="J4962" t="inlineStr"/>
      <c r="K4962" t="inlineStr">
        <is>
          <t>A0A8C5PTT4_9ANUR</t>
        </is>
      </c>
      <c r="L4962" t="inlineStr">
        <is>
          <t>tr|A0A8C5PTT4|A0A8C5PTT4_9ANUR Zf-RVT domain-containing protein OS=Leptobrachium leishanense OX=445787 PE=4 SV=1</t>
        </is>
      </c>
      <c r="M4962" t="n">
        <v>381</v>
      </c>
      <c r="N4962" t="inlineStr">
        <is>
          <t>Leptobrachium leishanense</t>
        </is>
      </c>
      <c r="O4962" t="inlineStr">
        <is>
          <t>Zf-RVT domain-containing protein</t>
        </is>
      </c>
    </row>
    <row r="4963">
      <c r="A4963" t="inlineStr"/>
      <c r="B4963" t="inlineStr"/>
      <c r="C4963" t="inlineStr"/>
      <c r="D4963" t="inlineStr"/>
      <c r="E4963">
        <f>HYPERLINK("https://www.uniprot.org/uniprotkb/A0A803J808/entry", "A0A803J808")</f>
        <v/>
      </c>
      <c r="F4963" t="n">
        <v>36</v>
      </c>
      <c r="G4963" t="n">
        <v>236</v>
      </c>
      <c r="H4963" t="n">
        <v>5.980000000000001e-43</v>
      </c>
      <c r="I4963" t="inlineStr">
        <is>
          <t>TrEMBL</t>
        </is>
      </c>
      <c r="J4963" t="inlineStr"/>
      <c r="K4963" t="inlineStr">
        <is>
          <t>A0A803J808_XENTR</t>
        </is>
      </c>
      <c r="L4963" t="inlineStr">
        <is>
          <t>tr|A0A803J808|A0A803J808_XENTR Reverse transcriptase domain-containing protein OS=Xenopus tropicalis OX=8364 PE=4 SV=1</t>
        </is>
      </c>
      <c r="M4963" t="n">
        <v>668</v>
      </c>
      <c r="N4963" t="inlineStr">
        <is>
          <t>Xenopus tropicalis</t>
        </is>
      </c>
      <c r="O4963" t="inlineStr">
        <is>
          <t>Reverse transcriptase domain-containing protein</t>
        </is>
      </c>
    </row>
    <row r="4964">
      <c r="A4964" t="inlineStr"/>
      <c r="B4964" t="inlineStr"/>
      <c r="C4964" t="inlineStr"/>
      <c r="D4964" t="inlineStr"/>
      <c r="E4964">
        <f>HYPERLINK("https://www.uniprot.org/uniprotkb/A0A8C5M7H7/entry", "A0A8C5M7H7")</f>
        <v/>
      </c>
      <c r="F4964" t="n">
        <v>35.1</v>
      </c>
      <c r="G4964" t="n">
        <v>225</v>
      </c>
      <c r="H4964" t="n">
        <v>1.37e-41</v>
      </c>
      <c r="I4964" t="inlineStr">
        <is>
          <t>TrEMBL</t>
        </is>
      </c>
      <c r="J4964" t="inlineStr"/>
      <c r="K4964" t="inlineStr">
        <is>
          <t>A0A8C5M7H7_9ANUR</t>
        </is>
      </c>
      <c r="L4964" t="inlineStr">
        <is>
          <t>tr|A0A8C5M7H7|A0A8C5M7H7_9ANUR Zf-RVT domain-containing protein OS=Leptobrachium leishanense OX=445787 PE=4 SV=1</t>
        </is>
      </c>
      <c r="M4964" t="n">
        <v>456</v>
      </c>
      <c r="N4964" t="inlineStr">
        <is>
          <t>Leptobrachium leishanense</t>
        </is>
      </c>
      <c r="O4964" t="inlineStr">
        <is>
          <t>Zf-RVT domain-containing protein</t>
        </is>
      </c>
    </row>
    <row r="4965">
      <c r="A4965" t="inlineStr"/>
      <c r="B4965" t="inlineStr"/>
      <c r="C4965" t="inlineStr"/>
      <c r="D4965" t="inlineStr"/>
      <c r="E4965">
        <f>HYPERLINK("https://www.ncbi.nlm.nih.gov/gene/?term=OCT72301.1", "OCT72301.1")</f>
        <v/>
      </c>
      <c r="F4965" t="n">
        <v>39.8</v>
      </c>
      <c r="G4965" t="n">
        <v>226</v>
      </c>
      <c r="H4965" t="n">
        <v>4.84e-41</v>
      </c>
      <c r="I4965" t="inlineStr">
        <is>
          <t>Nr</t>
        </is>
      </c>
      <c r="J4965" t="inlineStr"/>
      <c r="K4965" t="inlineStr"/>
      <c r="L4965" t="inlineStr">
        <is>
          <t>OCT72301.1 hypothetical protein XELAEV_18035275mg [Xenopus laevis]</t>
        </is>
      </c>
      <c r="M4965" t="n">
        <v>588</v>
      </c>
      <c r="N4965" t="inlineStr">
        <is>
          <t>Xenopus laevis</t>
        </is>
      </c>
      <c r="O4965" t="inlineStr">
        <is>
          <t>hypothetical protein XELAEV_18035275mg</t>
        </is>
      </c>
    </row>
    <row r="4966">
      <c r="A4966" t="inlineStr"/>
      <c r="B4966" t="inlineStr"/>
      <c r="C4966" t="inlineStr"/>
      <c r="D4966" t="inlineStr"/>
      <c r="E4966">
        <f>HYPERLINK("https://www.uniprot.org/uniprotkb/A0A8C5QQJ3/entry", "A0A8C5QQJ3")</f>
        <v/>
      </c>
      <c r="F4966" t="n">
        <v>34.6</v>
      </c>
      <c r="G4966" t="n">
        <v>243</v>
      </c>
      <c r="H4966" t="n">
        <v>6.24e-41</v>
      </c>
      <c r="I4966" t="inlineStr">
        <is>
          <t>TrEMBL</t>
        </is>
      </c>
      <c r="J4966" t="inlineStr"/>
      <c r="K4966" t="inlineStr">
        <is>
          <t>A0A8C5QQJ3_9ANUR</t>
        </is>
      </c>
      <c r="L4966" t="inlineStr">
        <is>
          <t>tr|A0A8C5QQJ3|A0A8C5QQJ3_9ANUR Reverse transcriptase domain-containing protein OS=Leptobrachium leishanense OX=445787 PE=4 SV=1</t>
        </is>
      </c>
      <c r="M4966" t="n">
        <v>805</v>
      </c>
      <c r="N4966" t="inlineStr">
        <is>
          <t>Leptobrachium leishanense</t>
        </is>
      </c>
      <c r="O4966" t="inlineStr">
        <is>
          <t>Reverse transcriptase domain-containing protein</t>
        </is>
      </c>
    </row>
    <row r="4967">
      <c r="A4967" t="inlineStr"/>
      <c r="B4967" t="inlineStr"/>
      <c r="C4967" t="inlineStr"/>
      <c r="D4967" t="inlineStr"/>
      <c r="E4967">
        <f>HYPERLINK("https://www.uniprot.org/uniprotkb/A0A8C5PTR0/entry", "A0A8C5PTR0")</f>
        <v/>
      </c>
      <c r="F4967" t="n">
        <v>37.9</v>
      </c>
      <c r="G4967" t="n">
        <v>219</v>
      </c>
      <c r="H4967" t="n">
        <v>6.9e-41</v>
      </c>
      <c r="I4967" t="inlineStr">
        <is>
          <t>TrEMBL</t>
        </is>
      </c>
      <c r="J4967" t="inlineStr"/>
      <c r="K4967" t="inlineStr">
        <is>
          <t>A0A8C5PTR0_9ANUR</t>
        </is>
      </c>
      <c r="L4967" t="inlineStr">
        <is>
          <t>tr|A0A8C5PTR0|A0A8C5PTR0_9ANUR Zf-RVT domain-containing protein OS=Leptobrachium leishanense OX=445787 PE=4 SV=1</t>
        </is>
      </c>
      <c r="M4967" t="n">
        <v>472</v>
      </c>
      <c r="N4967" t="inlineStr">
        <is>
          <t>Leptobrachium leishanense</t>
        </is>
      </c>
      <c r="O4967" t="inlineStr">
        <is>
          <t>Zf-RVT domain-containing protein</t>
        </is>
      </c>
    </row>
    <row r="4968">
      <c r="A4968" t="inlineStr"/>
      <c r="B4968" t="inlineStr"/>
      <c r="C4968" t="inlineStr"/>
      <c r="D4968" t="inlineStr"/>
      <c r="E4968">
        <f>HYPERLINK("https://www.uniprot.org/uniprotkb/A0A8C5QU98/entry", "A0A8C5QU98")</f>
        <v/>
      </c>
      <c r="F4968" t="n">
        <v>33.3</v>
      </c>
      <c r="G4968" t="n">
        <v>240</v>
      </c>
      <c r="H4968" t="n">
        <v>8.35e-41</v>
      </c>
      <c r="I4968" t="inlineStr">
        <is>
          <t>TrEMBL</t>
        </is>
      </c>
      <c r="J4968" t="inlineStr"/>
      <c r="K4968" t="inlineStr">
        <is>
          <t>A0A8C5QU98_9ANUR</t>
        </is>
      </c>
      <c r="L4968" t="inlineStr">
        <is>
          <t>tr|A0A8C5QU98|A0A8C5QU98_9ANUR Reverse transcriptase domain-containing protein OS=Leptobrachium leishanense OX=445787 PE=4 SV=1</t>
        </is>
      </c>
      <c r="M4968" t="n">
        <v>729</v>
      </c>
      <c r="N4968" t="inlineStr">
        <is>
          <t>Leptobrachium leishanense</t>
        </is>
      </c>
      <c r="O4968" t="inlineStr">
        <is>
          <t>Reverse transcriptase domain-containing protein</t>
        </is>
      </c>
    </row>
    <row r="4969">
      <c r="A4969" t="inlineStr"/>
      <c r="B4969" t="inlineStr"/>
      <c r="C4969" t="inlineStr"/>
      <c r="D4969" t="inlineStr"/>
      <c r="E4969">
        <f>HYPERLINK("https://www.uniprot.org/uniprotkb/A0A8C5PQW1/entry", "A0A8C5PQW1")</f>
        <v/>
      </c>
      <c r="F4969" t="n">
        <v>37.4</v>
      </c>
      <c r="G4969" t="n">
        <v>219</v>
      </c>
      <c r="H4969" t="n">
        <v>8.9e-41</v>
      </c>
      <c r="I4969" t="inlineStr">
        <is>
          <t>TrEMBL</t>
        </is>
      </c>
      <c r="J4969" t="inlineStr"/>
      <c r="K4969" t="inlineStr">
        <is>
          <t>A0A8C5PQW1_9ANUR</t>
        </is>
      </c>
      <c r="L4969" t="inlineStr">
        <is>
          <t>tr|A0A8C5PQW1|A0A8C5PQW1_9ANUR Zf-RVT domain-containing protein OS=Leptobrachium leishanense OX=445787 PE=4 SV=1</t>
        </is>
      </c>
      <c r="M4969" t="n">
        <v>412</v>
      </c>
      <c r="N4969" t="inlineStr">
        <is>
          <t>Leptobrachium leishanense</t>
        </is>
      </c>
      <c r="O4969" t="inlineStr">
        <is>
          <t>Zf-RVT domain-containing protein</t>
        </is>
      </c>
    </row>
    <row r="4970">
      <c r="A4970" t="inlineStr"/>
      <c r="B4970" t="inlineStr"/>
      <c r="C4970" t="inlineStr"/>
      <c r="D4970" t="inlineStr"/>
      <c r="E4970">
        <f>HYPERLINK("https://www.uniprot.org/uniprotkb/A0A8C5QKS0/entry", "A0A8C5QKS0")</f>
        <v/>
      </c>
      <c r="F4970" t="n">
        <v>34.4</v>
      </c>
      <c r="G4970" t="n">
        <v>241</v>
      </c>
      <c r="H4970" t="n">
        <v>5.63e-40</v>
      </c>
      <c r="I4970" t="inlineStr">
        <is>
          <t>TrEMBL</t>
        </is>
      </c>
      <c r="J4970" t="inlineStr"/>
      <c r="K4970" t="inlineStr">
        <is>
          <t>A0A8C5QKS0_9ANUR</t>
        </is>
      </c>
      <c r="L4970" t="inlineStr">
        <is>
          <t>tr|A0A8C5QKS0|A0A8C5QKS0_9ANUR Reverse transcriptase domain-containing protein OS=Leptobrachium leishanense OX=445787 PE=4 SV=1</t>
        </is>
      </c>
      <c r="M4970" t="n">
        <v>729</v>
      </c>
      <c r="N4970" t="inlineStr">
        <is>
          <t>Leptobrachium leishanense</t>
        </is>
      </c>
      <c r="O4970" t="inlineStr">
        <is>
          <t>Reverse transcriptase domain-containing protein</t>
        </is>
      </c>
    </row>
    <row r="4971">
      <c r="A4971" t="inlineStr"/>
      <c r="B4971" t="inlineStr"/>
      <c r="C4971" t="inlineStr"/>
      <c r="D4971" t="inlineStr"/>
      <c r="E4971">
        <f>HYPERLINK("https://www.uniprot.org/uniprotkb/A0A8C5R7V5/entry", "A0A8C5R7V5")</f>
        <v/>
      </c>
      <c r="F4971" t="n">
        <v>37.9</v>
      </c>
      <c r="G4971" t="n">
        <v>219</v>
      </c>
      <c r="H4971" t="n">
        <v>7.67e-40</v>
      </c>
      <c r="I4971" t="inlineStr">
        <is>
          <t>TrEMBL</t>
        </is>
      </c>
      <c r="J4971" t="inlineStr"/>
      <c r="K4971" t="inlineStr">
        <is>
          <t>A0A8C5R7V5_9ANUR</t>
        </is>
      </c>
      <c r="L4971" t="inlineStr">
        <is>
          <t>tr|A0A8C5R7V5|A0A8C5R7V5_9ANUR Reverse transcriptase domain-containing protein OS=Leptobrachium leishanense OX=445787 PE=4 SV=1</t>
        </is>
      </c>
      <c r="M4971" t="n">
        <v>1199</v>
      </c>
      <c r="N4971" t="inlineStr">
        <is>
          <t>Leptobrachium leishanense</t>
        </is>
      </c>
      <c r="O4971" t="inlineStr">
        <is>
          <t>Reverse transcriptase domain-containing protein</t>
        </is>
      </c>
    </row>
    <row r="4972">
      <c r="A4972" t="inlineStr"/>
      <c r="B4972" t="inlineStr"/>
      <c r="C4972" t="inlineStr"/>
      <c r="D4972" t="inlineStr"/>
      <c r="E4972">
        <f>HYPERLINK("https://www.uniprot.org/uniprotkb/A0A8C5RCN1/entry", "A0A8C5RCN1")</f>
        <v/>
      </c>
      <c r="F4972" t="n">
        <v>35.1</v>
      </c>
      <c r="G4972" t="n">
        <v>225</v>
      </c>
      <c r="H4972" t="n">
        <v>7.74e-40</v>
      </c>
      <c r="I4972" t="inlineStr">
        <is>
          <t>TrEMBL</t>
        </is>
      </c>
      <c r="J4972" t="inlineStr"/>
      <c r="K4972" t="inlineStr">
        <is>
          <t>A0A8C5RCN1_9ANUR</t>
        </is>
      </c>
      <c r="L4972" t="inlineStr">
        <is>
          <t>tr|A0A8C5RCN1|A0A8C5RCN1_9ANUR Reverse transcriptase domain-containing protein OS=Leptobrachium leishanense OX=445787 PE=4 SV=1</t>
        </is>
      </c>
      <c r="M4972" t="n">
        <v>1270</v>
      </c>
      <c r="N4972" t="inlineStr">
        <is>
          <t>Leptobrachium leishanense</t>
        </is>
      </c>
      <c r="O4972" t="inlineStr">
        <is>
          <t>Reverse transcriptase domain-containing protein</t>
        </is>
      </c>
    </row>
    <row r="4973">
      <c r="A4973" t="inlineStr"/>
      <c r="B4973" t="inlineStr"/>
      <c r="C4973" t="inlineStr"/>
      <c r="D4973" t="inlineStr"/>
      <c r="E4973">
        <f>HYPERLINK("https://www.ncbi.nlm.nih.gov/gene/?term=OCT76534.1", "OCT76534.1")</f>
        <v/>
      </c>
      <c r="F4973" t="n">
        <v>39.8</v>
      </c>
      <c r="G4973" t="n">
        <v>206</v>
      </c>
      <c r="H4973" t="n">
        <v>1.99e-39</v>
      </c>
      <c r="I4973" t="inlineStr">
        <is>
          <t>Nr</t>
        </is>
      </c>
      <c r="J4973" t="inlineStr"/>
      <c r="K4973" t="inlineStr"/>
      <c r="L4973" t="inlineStr">
        <is>
          <t>OCT76534.1 hypothetical protein XELAEV_18031737mg [Xenopus laevis]</t>
        </is>
      </c>
      <c r="M4973" t="n">
        <v>317</v>
      </c>
      <c r="N4973" t="inlineStr">
        <is>
          <t>Xenopus laevis</t>
        </is>
      </c>
      <c r="O4973" t="inlineStr">
        <is>
          <t>hypothetical protein XELAEV_18031737mg</t>
        </is>
      </c>
    </row>
    <row r="4974">
      <c r="A4974" t="inlineStr"/>
      <c r="B4974" t="inlineStr"/>
      <c r="C4974" t="inlineStr"/>
      <c r="D4974" t="inlineStr"/>
      <c r="E4974">
        <f>HYPERLINK("https://www.uniprot.org/uniprotkb/A0A8C5Q2T9/entry", "A0A8C5Q2T9")</f>
        <v/>
      </c>
      <c r="F4974" t="n">
        <v>37.4</v>
      </c>
      <c r="G4974" t="n">
        <v>219</v>
      </c>
      <c r="H4974" t="n">
        <v>2.94e-39</v>
      </c>
      <c r="I4974" t="inlineStr">
        <is>
          <t>TrEMBL</t>
        </is>
      </c>
      <c r="J4974" t="inlineStr"/>
      <c r="K4974" t="inlineStr">
        <is>
          <t>A0A8C5Q2T9_9ANUR</t>
        </is>
      </c>
      <c r="L4974" t="inlineStr">
        <is>
          <t>tr|A0A8C5Q2T9|A0A8C5Q2T9_9ANUR Reverse transcriptase domain-containing protein OS=Leptobrachium leishanense OX=445787 PE=4 SV=1</t>
        </is>
      </c>
      <c r="M4974" t="n">
        <v>743</v>
      </c>
      <c r="N4974" t="inlineStr">
        <is>
          <t>Leptobrachium leishanense</t>
        </is>
      </c>
      <c r="O4974" t="inlineStr">
        <is>
          <t>Reverse transcriptase domain-containing protein</t>
        </is>
      </c>
    </row>
    <row r="4975">
      <c r="A4975" t="inlineStr"/>
      <c r="B4975" t="inlineStr"/>
      <c r="C4975" t="inlineStr"/>
      <c r="D4975" t="inlineStr"/>
      <c r="E4975">
        <f>HYPERLINK("https://www.ncbi.nlm.nih.gov/gene/?term=OCT70438.1", "OCT70438.1")</f>
        <v/>
      </c>
      <c r="F4975" t="n">
        <v>38.9</v>
      </c>
      <c r="G4975" t="n">
        <v>226</v>
      </c>
      <c r="H4975" t="n">
        <v>6.25e-39</v>
      </c>
      <c r="I4975" t="inlineStr">
        <is>
          <t>Nr</t>
        </is>
      </c>
      <c r="J4975" t="inlineStr"/>
      <c r="K4975" t="inlineStr"/>
      <c r="L4975" t="inlineStr">
        <is>
          <t>OCT70438.1 hypothetical protein XELAEV_18037358mg [Xenopus laevis]</t>
        </is>
      </c>
      <c r="M4975" t="n">
        <v>588</v>
      </c>
      <c r="N4975" t="inlineStr">
        <is>
          <t>Xenopus laevis</t>
        </is>
      </c>
      <c r="O4975" t="inlineStr">
        <is>
          <t>hypothetical protein XELAEV_18037358mg</t>
        </is>
      </c>
    </row>
    <row r="4976">
      <c r="A4976" t="inlineStr"/>
      <c r="B4976" t="inlineStr"/>
      <c r="C4976" t="inlineStr"/>
      <c r="D4976" t="inlineStr"/>
      <c r="E4976">
        <f>HYPERLINK("https://www.uniprot.org/uniprotkb/A0A8C5WDV5/entry", "A0A8C5WDV5")</f>
        <v/>
      </c>
      <c r="F4976" t="n">
        <v>37.4</v>
      </c>
      <c r="G4976" t="n">
        <v>219</v>
      </c>
      <c r="H4976" t="n">
        <v>6.7e-39</v>
      </c>
      <c r="I4976" t="inlineStr">
        <is>
          <t>TrEMBL</t>
        </is>
      </c>
      <c r="J4976" t="inlineStr"/>
      <c r="K4976" t="inlineStr">
        <is>
          <t>A0A8C5WDV5_9ANUR</t>
        </is>
      </c>
      <c r="L4976" t="inlineStr">
        <is>
          <t>tr|A0A8C5WDV5|A0A8C5WDV5_9ANUR Reverse transcriptase domain-containing protein OS=Leptobrachium leishanense OX=445787 PE=4 SV=1</t>
        </is>
      </c>
      <c r="M4976" t="n">
        <v>1286</v>
      </c>
      <c r="N4976" t="inlineStr">
        <is>
          <t>Leptobrachium leishanense</t>
        </is>
      </c>
      <c r="O4976" t="inlineStr">
        <is>
          <t>Reverse transcriptase domain-containing protein</t>
        </is>
      </c>
    </row>
    <row r="4977">
      <c r="A4977" t="inlineStr"/>
      <c r="B4977" t="inlineStr"/>
      <c r="C4977" t="inlineStr"/>
      <c r="D4977" t="inlineStr"/>
      <c r="E4977">
        <f>HYPERLINK("https://www.uniprot.org/uniprotkb/A0A803JTK1/entry", "A0A803JTK1")</f>
        <v/>
      </c>
      <c r="F4977" t="n">
        <v>33.9</v>
      </c>
      <c r="G4977" t="n">
        <v>233</v>
      </c>
      <c r="H4977" t="n">
        <v>8.93e-39</v>
      </c>
      <c r="I4977" t="inlineStr">
        <is>
          <t>TrEMBL</t>
        </is>
      </c>
      <c r="J4977" t="inlineStr"/>
      <c r="K4977" t="inlineStr">
        <is>
          <t>A0A803JTK1_XENTR</t>
        </is>
      </c>
      <c r="L4977" t="inlineStr">
        <is>
          <t>tr|A0A803JTK1|A0A803JTK1_XENTR Reverse transcriptase domain-containing protein OS=Xenopus tropicalis OX=8364 PE=4 SV=1</t>
        </is>
      </c>
      <c r="M4977" t="n">
        <v>1144</v>
      </c>
      <c r="N4977" t="inlineStr">
        <is>
          <t>Xenopus tropicalis</t>
        </is>
      </c>
      <c r="O4977" t="inlineStr">
        <is>
          <t>Reverse transcriptase domain-containing protein</t>
        </is>
      </c>
    </row>
    <row r="4978">
      <c r="A4978" t="inlineStr"/>
      <c r="B4978" t="inlineStr"/>
      <c r="C4978" t="inlineStr"/>
      <c r="D4978" t="inlineStr"/>
      <c r="E4978">
        <f>HYPERLINK("https://www.uniprot.org/uniprotkb/A0A8C5MJX8/entry", "A0A8C5MJX8")</f>
        <v/>
      </c>
      <c r="F4978" t="n">
        <v>33.3</v>
      </c>
      <c r="G4978" t="n">
        <v>243</v>
      </c>
      <c r="H4978" t="n">
        <v>1.76e-38</v>
      </c>
      <c r="I4978" t="inlineStr">
        <is>
          <t>TrEMBL</t>
        </is>
      </c>
      <c r="J4978" t="inlineStr"/>
      <c r="K4978" t="inlineStr">
        <is>
          <t>A0A8C5MJX8_9ANUR</t>
        </is>
      </c>
      <c r="L4978" t="inlineStr">
        <is>
          <t>tr|A0A8C5MJX8|A0A8C5MJX8_9ANUR Reverse transcriptase domain-containing protein OS=Leptobrachium leishanense OX=445787 PE=4 SV=1</t>
        </is>
      </c>
      <c r="M4978" t="n">
        <v>805</v>
      </c>
      <c r="N4978" t="inlineStr">
        <is>
          <t>Leptobrachium leishanense</t>
        </is>
      </c>
      <c r="O4978" t="inlineStr">
        <is>
          <t>Reverse transcriptase domain-containing protein</t>
        </is>
      </c>
    </row>
    <row r="4979">
      <c r="A4979" t="inlineStr"/>
      <c r="B4979" t="inlineStr"/>
      <c r="C4979" t="inlineStr"/>
      <c r="D4979" t="inlineStr"/>
      <c r="E4979">
        <f>HYPERLINK("https://www.uniprot.org/uniprotkb/A0A8C5Q6K0/entry", "A0A8C5Q6K0")</f>
        <v/>
      </c>
      <c r="F4979" t="n">
        <v>37</v>
      </c>
      <c r="G4979" t="n">
        <v>219</v>
      </c>
      <c r="H4979" t="n">
        <v>5.13e-38</v>
      </c>
      <c r="I4979" t="inlineStr">
        <is>
          <t>TrEMBL</t>
        </is>
      </c>
      <c r="J4979" t="inlineStr"/>
      <c r="K4979" t="inlineStr">
        <is>
          <t>A0A8C5Q6K0_9ANUR</t>
        </is>
      </c>
      <c r="L4979" t="inlineStr">
        <is>
          <t>tr|A0A8C5Q6K0|A0A8C5Q6K0_9ANUR Zf-RVT domain-containing protein OS=Leptobrachium leishanense OX=445787 PE=4 SV=1</t>
        </is>
      </c>
      <c r="M4979" t="n">
        <v>568</v>
      </c>
      <c r="N4979" t="inlineStr">
        <is>
          <t>Leptobrachium leishanense</t>
        </is>
      </c>
      <c r="O4979" t="inlineStr">
        <is>
          <t>Zf-RVT domain-containing protein</t>
        </is>
      </c>
    </row>
    <row r="4980">
      <c r="A4980" t="inlineStr"/>
      <c r="B4980" t="inlineStr"/>
      <c r="C4980" t="inlineStr"/>
      <c r="D4980" t="inlineStr"/>
      <c r="E4980">
        <f>HYPERLINK("https://www.uniprot.org/uniprotkb/A0A803KCV2/entry", "A0A803KCV2")</f>
        <v/>
      </c>
      <c r="F4980" t="n">
        <v>33.7</v>
      </c>
      <c r="G4980" t="n">
        <v>249</v>
      </c>
      <c r="H4980" t="n">
        <v>1.82e-37</v>
      </c>
      <c r="I4980" t="inlineStr">
        <is>
          <t>TrEMBL</t>
        </is>
      </c>
      <c r="J4980" t="inlineStr"/>
      <c r="K4980" t="inlineStr">
        <is>
          <t>A0A803KCV2_XENTR</t>
        </is>
      </c>
      <c r="L4980" t="inlineStr">
        <is>
          <t>tr|A0A803KCV2|A0A803KCV2_XENTR Reverse transcriptase domain-containing protein OS=Xenopus tropicalis OX=8364 PE=4 SV=1</t>
        </is>
      </c>
      <c r="M4980" t="n">
        <v>682</v>
      </c>
      <c r="N4980" t="inlineStr">
        <is>
          <t>Xenopus tropicalis</t>
        </is>
      </c>
      <c r="O4980" t="inlineStr">
        <is>
          <t>Reverse transcriptase domain-containing protein</t>
        </is>
      </c>
    </row>
    <row r="4981">
      <c r="A4981" t="inlineStr"/>
      <c r="B4981" t="inlineStr"/>
      <c r="C4981" t="inlineStr"/>
      <c r="D4981" t="inlineStr"/>
      <c r="E4981">
        <f>HYPERLINK("https://www.uniprot.org/uniprotkb/A0A803KFY5/entry", "A0A803KFY5")</f>
        <v/>
      </c>
      <c r="F4981" t="n">
        <v>33.3</v>
      </c>
      <c r="G4981" t="n">
        <v>249</v>
      </c>
      <c r="H4981" t="n">
        <v>2.5e-37</v>
      </c>
      <c r="I4981" t="inlineStr">
        <is>
          <t>TrEMBL</t>
        </is>
      </c>
      <c r="J4981" t="inlineStr"/>
      <c r="K4981" t="inlineStr">
        <is>
          <t>A0A803KFY5_XENTR</t>
        </is>
      </c>
      <c r="L4981" t="inlineStr">
        <is>
          <t>tr|A0A803KFY5|A0A803KFY5_XENTR Reverse transcriptase domain-containing protein OS=Xenopus tropicalis OX=8364 PE=4 SV=1</t>
        </is>
      </c>
      <c r="M4981" t="n">
        <v>682</v>
      </c>
      <c r="N4981" t="inlineStr">
        <is>
          <t>Xenopus tropicalis</t>
        </is>
      </c>
      <c r="O4981" t="inlineStr">
        <is>
          <t>Reverse transcriptase domain-containing protein</t>
        </is>
      </c>
    </row>
    <row r="4982">
      <c r="A4982" t="inlineStr"/>
      <c r="B4982" t="inlineStr"/>
      <c r="C4982" t="inlineStr"/>
      <c r="D4982" t="inlineStr"/>
      <c r="E4982">
        <f>HYPERLINK("https://www.ncbi.nlm.nih.gov/gene/?term=PIO09474.1", "PIO09474.1")</f>
        <v/>
      </c>
      <c r="F4982" t="n">
        <v>32.3</v>
      </c>
      <c r="G4982" t="n">
        <v>220</v>
      </c>
      <c r="H4982" t="n">
        <v>3.78e-31</v>
      </c>
      <c r="I4982" t="inlineStr">
        <is>
          <t>Nr</t>
        </is>
      </c>
      <c r="J4982" t="inlineStr"/>
      <c r="K4982" t="inlineStr"/>
      <c r="L4982" t="inlineStr">
        <is>
          <t>PIO09474.1 hypothetical protein AB205_0183070 [Lithobates catesbeianus]</t>
        </is>
      </c>
      <c r="M4982" t="n">
        <v>251</v>
      </c>
      <c r="N4982" t="inlineStr">
        <is>
          <t>Lithobates catesbeianus</t>
        </is>
      </c>
      <c r="O4982" t="inlineStr">
        <is>
          <t>hypothetical protein AB205_0183070</t>
        </is>
      </c>
    </row>
    <row r="4983">
      <c r="A4983" t="inlineStr"/>
      <c r="B4983" t="inlineStr"/>
      <c r="C4983" t="inlineStr"/>
      <c r="D4983" t="inlineStr"/>
      <c r="E4983">
        <f>HYPERLINK("https://www.ncbi.nlm.nih.gov/gene/?term=XP_044152029.1", "XP_044152029.1")</f>
        <v/>
      </c>
      <c r="F4983" t="n">
        <v>38.1</v>
      </c>
      <c r="G4983" t="n">
        <v>194</v>
      </c>
      <c r="H4983" t="n">
        <v>4.12e-27</v>
      </c>
      <c r="I4983" t="inlineStr">
        <is>
          <t>Nr</t>
        </is>
      </c>
      <c r="J4983" t="inlineStr"/>
      <c r="K4983" t="inlineStr"/>
      <c r="L4983" t="inlineStr">
        <is>
          <t>XP_044152029.1 uncharacterized protein LOC122939895 isoform X1 [Bufo gargarizans]</t>
        </is>
      </c>
      <c r="M4983" t="n">
        <v>380</v>
      </c>
      <c r="N4983" t="inlineStr">
        <is>
          <t>Bufo gargarizans</t>
        </is>
      </c>
      <c r="O4983" t="inlineStr">
        <is>
          <t>uncharacterized protein LOC122939895 isoform X1</t>
        </is>
      </c>
    </row>
    <row r="4984">
      <c r="A4984" t="inlineStr"/>
      <c r="B4984" t="inlineStr"/>
      <c r="C4984" t="inlineStr"/>
      <c r="D4984" t="inlineStr"/>
      <c r="E4984">
        <f>HYPERLINK("https://www.ncbi.nlm.nih.gov/gene/?term=PIO12631.1", "PIO12631.1")</f>
        <v/>
      </c>
      <c r="F4984" t="n">
        <v>34.7</v>
      </c>
      <c r="G4984" t="n">
        <v>196</v>
      </c>
      <c r="H4984" t="n">
        <v>3.16e-26</v>
      </c>
      <c r="I4984" t="inlineStr">
        <is>
          <t>Nr</t>
        </is>
      </c>
      <c r="J4984" t="inlineStr"/>
      <c r="K4984" t="inlineStr"/>
      <c r="L4984" t="inlineStr">
        <is>
          <t>PIO12631.1 hypothetical protein AB205_0017970 [Lithobates catesbeianus]</t>
        </is>
      </c>
      <c r="M4984" t="n">
        <v>465</v>
      </c>
      <c r="N4984" t="inlineStr">
        <is>
          <t>Lithobates catesbeianus</t>
        </is>
      </c>
      <c r="O4984" t="inlineStr">
        <is>
          <t>hypothetical protein AB205_0017970</t>
        </is>
      </c>
    </row>
    <row r="4985">
      <c r="A4985" t="inlineStr"/>
      <c r="B4985" t="inlineStr"/>
      <c r="C4985" t="inlineStr"/>
      <c r="D4985" t="inlineStr"/>
      <c r="E4985">
        <f>HYPERLINK("https://www.ncbi.nlm.nih.gov/gene/?term=CAH2329509.1", "CAH2329509.1")</f>
        <v/>
      </c>
      <c r="F4985" t="n">
        <v>29.6</v>
      </c>
      <c r="G4985" t="n">
        <v>216</v>
      </c>
      <c r="H4985" t="n">
        <v>4.33e-26</v>
      </c>
      <c r="I4985" t="inlineStr">
        <is>
          <t>Nr</t>
        </is>
      </c>
      <c r="J4985" t="inlineStr"/>
      <c r="K4985" t="inlineStr"/>
      <c r="L4985" t="inlineStr">
        <is>
          <t>CAH2329509.1 Hypothetical predicted protein [Pelobates cultripes]</t>
        </is>
      </c>
      <c r="M4985" t="n">
        <v>271</v>
      </c>
      <c r="N4985" t="inlineStr">
        <is>
          <t>Pelobates cultripes</t>
        </is>
      </c>
      <c r="O4985" t="inlineStr">
        <is>
          <t>Hypothetical predicted protein</t>
        </is>
      </c>
    </row>
    <row r="4986">
      <c r="A4986" t="inlineStr"/>
      <c r="B4986" t="inlineStr"/>
      <c r="C4986" t="inlineStr"/>
      <c r="D4986" t="inlineStr"/>
      <c r="E4986">
        <f>HYPERLINK("https://www.ncbi.nlm.nih.gov/gene/?term=XP_018420400.1", "XP_018420400.1")</f>
        <v/>
      </c>
      <c r="F4986" t="n">
        <v>29.2</v>
      </c>
      <c r="G4986" t="n">
        <v>202</v>
      </c>
      <c r="H4986" t="n">
        <v>2.55e-25</v>
      </c>
      <c r="I4986" t="inlineStr">
        <is>
          <t>Nr</t>
        </is>
      </c>
      <c r="J4986" t="inlineStr"/>
      <c r="K4986" t="inlineStr"/>
      <c r="L4986" t="inlineStr">
        <is>
          <t>XP_018420400.1 PREDICTED: mucin-5AC-like [Nanorana parkeri]</t>
        </is>
      </c>
      <c r="M4986" t="n">
        <v>848</v>
      </c>
      <c r="N4986" t="inlineStr">
        <is>
          <t>Nanorana parkeri</t>
        </is>
      </c>
      <c r="O4986" t="inlineStr">
        <is>
          <t>PREDICTED: mucin-5AC-like</t>
        </is>
      </c>
    </row>
    <row r="4987">
      <c r="A4987" t="inlineStr"/>
      <c r="B4987" t="inlineStr"/>
      <c r="C4987" t="inlineStr"/>
      <c r="D4987" t="inlineStr"/>
      <c r="E4987">
        <f>HYPERLINK("https://www.ncbi.nlm.nih.gov/gene/?term=XP_018429005.1", "XP_018429005.1")</f>
        <v/>
      </c>
      <c r="F4987" t="n">
        <v>30.3</v>
      </c>
      <c r="G4987" t="n">
        <v>195</v>
      </c>
      <c r="H4987" t="n">
        <v>3.12e-24</v>
      </c>
      <c r="I4987" t="inlineStr">
        <is>
          <t>Nr</t>
        </is>
      </c>
      <c r="J4987" t="inlineStr"/>
      <c r="K4987" t="inlineStr"/>
      <c r="L4987" t="inlineStr">
        <is>
          <t>XP_018429005.1 PREDICTED: cyclic nucleotide-gated cation channel beta-3, partial [Nanorana parkeri]</t>
        </is>
      </c>
      <c r="M4987" t="n">
        <v>1081</v>
      </c>
      <c r="N4987" t="inlineStr">
        <is>
          <t>Nanorana parkeri</t>
        </is>
      </c>
      <c r="O4987" t="inlineStr">
        <is>
          <t>PREDICTED: cyclic nucleotide-gated cation channel beta-3, partial</t>
        </is>
      </c>
    </row>
    <row r="4988">
      <c r="A4988" t="inlineStr"/>
      <c r="B4988" t="inlineStr"/>
      <c r="C4988" t="inlineStr"/>
      <c r="D4988" t="inlineStr"/>
      <c r="E4988">
        <f>HYPERLINK("https://www.ncbi.nlm.nih.gov/gene/?term=XP_040177132.1", "XP_040177132.1")</f>
        <v/>
      </c>
      <c r="F4988" t="n">
        <v>28.7</v>
      </c>
      <c r="G4988" t="n">
        <v>181</v>
      </c>
      <c r="H4988" t="n">
        <v>9.22e-24</v>
      </c>
      <c r="I4988" t="inlineStr">
        <is>
          <t>Nr</t>
        </is>
      </c>
      <c r="J4988" t="inlineStr"/>
      <c r="K4988" t="inlineStr"/>
      <c r="L4988" t="inlineStr">
        <is>
          <t>XP_040177132.1 uncharacterized protein LOC120909427 [Rana temporaria]</t>
        </is>
      </c>
      <c r="M4988" t="n">
        <v>367</v>
      </c>
      <c r="N4988" t="inlineStr">
        <is>
          <t>Rana temporaria</t>
        </is>
      </c>
      <c r="O4988" t="inlineStr">
        <is>
          <t>uncharacterized protein LOC120909427</t>
        </is>
      </c>
    </row>
    <row r="4989">
      <c r="A4989" t="inlineStr"/>
      <c r="B4989" t="inlineStr"/>
      <c r="C4989" t="inlineStr"/>
      <c r="D4989" t="inlineStr"/>
      <c r="E4989">
        <f>HYPERLINK("https://www.ncbi.nlm.nih.gov/gene/?term=KAI4580155.1", "KAI4580155.1")</f>
        <v/>
      </c>
      <c r="F4989" t="n">
        <v>28.7</v>
      </c>
      <c r="G4989" t="n">
        <v>237</v>
      </c>
      <c r="H4989" t="n">
        <v>1.83e-23</v>
      </c>
      <c r="I4989" t="inlineStr">
        <is>
          <t>Nr</t>
        </is>
      </c>
      <c r="J4989" t="inlineStr"/>
      <c r="K4989" t="inlineStr"/>
      <c r="L4989" t="inlineStr">
        <is>
          <t>KAI4580155.1 hypothetical protein MJT46_001523 [Ovis ammon polii x Ovis aries]</t>
        </is>
      </c>
      <c r="M4989" t="n">
        <v>271</v>
      </c>
      <c r="N4989" t="inlineStr">
        <is>
          <t>Ovis ammon polii x Ovis aries</t>
        </is>
      </c>
      <c r="O4989" t="inlineStr">
        <is>
          <t>hypothetical protein MJT46_001523</t>
        </is>
      </c>
    </row>
    <row r="4990">
      <c r="A4990" t="inlineStr"/>
      <c r="B4990" t="inlineStr"/>
      <c r="C4990" t="inlineStr"/>
      <c r="D4990" t="inlineStr"/>
      <c r="E4990">
        <f>HYPERLINK("https://www.ncbi.nlm.nih.gov/gene/?term=XP_018097790.1", "XP_018097790.1")</f>
        <v/>
      </c>
      <c r="F4990" t="n">
        <v>27.9</v>
      </c>
      <c r="G4990" t="n">
        <v>219</v>
      </c>
      <c r="H4990" t="n">
        <v>1.93e-23</v>
      </c>
      <c r="I4990" t="inlineStr">
        <is>
          <t>Nr</t>
        </is>
      </c>
      <c r="J4990" t="inlineStr"/>
      <c r="K4990" t="inlineStr"/>
      <c r="L4990" t="inlineStr">
        <is>
          <t>XP_018097790.1 uncharacterized protein LOC108705424 isoform X3 [Xenopus laevis]</t>
        </is>
      </c>
      <c r="M4990" t="n">
        <v>1001</v>
      </c>
      <c r="N4990" t="inlineStr">
        <is>
          <t>Xenopus laevis</t>
        </is>
      </c>
      <c r="O4990" t="inlineStr">
        <is>
          <t>uncharacterized protein LOC108705424 isoform X3</t>
        </is>
      </c>
    </row>
    <row r="4991">
      <c r="A4991" t="inlineStr"/>
      <c r="B4991" t="inlineStr"/>
      <c r="C4991" t="inlineStr"/>
      <c r="D4991" t="inlineStr"/>
      <c r="E4991">
        <f>HYPERLINK("https://www.ncbi.nlm.nih.gov/gene/?term=CAH2330580.1", "CAH2330580.1")</f>
        <v/>
      </c>
      <c r="F4991" t="n">
        <v>39.7</v>
      </c>
      <c r="G4991" t="n">
        <v>116</v>
      </c>
      <c r="H4991" t="n">
        <v>4.08e-23</v>
      </c>
      <c r="I4991" t="inlineStr">
        <is>
          <t>Nr</t>
        </is>
      </c>
      <c r="J4991" t="inlineStr"/>
      <c r="K4991" t="inlineStr"/>
      <c r="L4991" t="inlineStr">
        <is>
          <t>CAH2330580.1 Hypothetical predicted protein, partial [Pelobates cultripes]</t>
        </is>
      </c>
      <c r="M4991" t="n">
        <v>124</v>
      </c>
      <c r="N4991" t="inlineStr">
        <is>
          <t>Pelobates cultripes</t>
        </is>
      </c>
      <c r="O4991" t="inlineStr">
        <is>
          <t>Hypothetical predicted protein, partial</t>
        </is>
      </c>
    </row>
    <row r="4992">
      <c r="A4992" t="inlineStr"/>
      <c r="B4992" t="inlineStr"/>
      <c r="C4992" t="inlineStr"/>
      <c r="D4992" t="inlineStr"/>
      <c r="E4992">
        <f>HYPERLINK("https://www.ncbi.nlm.nih.gov/gene/?term=XP_018421345.1", "XP_018421345.1")</f>
        <v/>
      </c>
      <c r="F4992" t="n">
        <v>34.7</v>
      </c>
      <c r="G4992" t="n">
        <v>167</v>
      </c>
      <c r="H4992" t="n">
        <v>5.92e-23</v>
      </c>
      <c r="I4992" t="inlineStr">
        <is>
          <t>Nr</t>
        </is>
      </c>
      <c r="J4992" t="inlineStr"/>
      <c r="K4992" t="inlineStr"/>
      <c r="L4992" t="inlineStr">
        <is>
          <t>XP_018421345.1 PREDICTED: uncharacterized protein LOC108794750 [Nanorana parkeri]</t>
        </is>
      </c>
      <c r="M4992" t="n">
        <v>709</v>
      </c>
      <c r="N4992" t="inlineStr">
        <is>
          <t>Nanorana parkeri</t>
        </is>
      </c>
      <c r="O4992" t="inlineStr">
        <is>
          <t>PREDICTED: uncharacterized protein LOC108794750</t>
        </is>
      </c>
    </row>
    <row r="4993">
      <c r="A4993" t="inlineStr"/>
      <c r="B4993" t="inlineStr"/>
      <c r="C4993" t="inlineStr"/>
      <c r="D4993" t="inlineStr"/>
      <c r="E4993">
        <f>HYPERLINK("https://www.ncbi.nlm.nih.gov/gene/?term=WP_251425526.1", "WP_251425526.1")</f>
        <v/>
      </c>
      <c r="F4993" t="n">
        <v>28.7</v>
      </c>
      <c r="G4993" t="n">
        <v>237</v>
      </c>
      <c r="H4993" t="n">
        <v>6.689999999999999e-23</v>
      </c>
      <c r="I4993" t="inlineStr">
        <is>
          <t>Nr</t>
        </is>
      </c>
      <c r="J4993" t="inlineStr"/>
      <c r="K4993" t="inlineStr"/>
      <c r="L4993" t="inlineStr">
        <is>
          <t>WP_251425526.1 hypothetical protein [Veillonella sp. DSM 110088]</t>
        </is>
      </c>
      <c r="M4993" t="n">
        <v>286</v>
      </c>
      <c r="N4993" t="inlineStr">
        <is>
          <t>Veillonella sp. DSM 110088</t>
        </is>
      </c>
      <c r="O4993" t="inlineStr">
        <is>
          <t>hypothetical protein</t>
        </is>
      </c>
    </row>
    <row r="4994">
      <c r="A4994" t="inlineStr"/>
      <c r="B4994" t="inlineStr"/>
      <c r="C4994" t="inlineStr"/>
      <c r="D4994" t="inlineStr"/>
      <c r="E4994">
        <f>HYPERLINK("https://www.ncbi.nlm.nih.gov/gene/?term=KAJ1073671.1", "KAJ1073671.1")</f>
        <v/>
      </c>
      <c r="F4994" t="n">
        <v>28.7</v>
      </c>
      <c r="G4994" t="n">
        <v>237</v>
      </c>
      <c r="H4994" t="n">
        <v>7.039999999999999e-23</v>
      </c>
      <c r="I4994" t="inlineStr">
        <is>
          <t>Nr</t>
        </is>
      </c>
      <c r="J4994" t="inlineStr"/>
      <c r="K4994" t="inlineStr"/>
      <c r="L4994" t="inlineStr">
        <is>
          <t>KAJ1073671.1 hypothetical protein K5549_006909 [Capra hircus]</t>
        </is>
      </c>
      <c r="M4994" t="n">
        <v>372</v>
      </c>
      <c r="N4994" t="inlineStr">
        <is>
          <t>Capra hircus</t>
        </is>
      </c>
      <c r="O4994" t="inlineStr">
        <is>
          <t>hypothetical protein K5549_006909</t>
        </is>
      </c>
    </row>
    <row r="4995">
      <c r="A4995" t="inlineStr"/>
      <c r="B4995" t="inlineStr"/>
      <c r="C4995" t="inlineStr"/>
      <c r="D4995" t="inlineStr"/>
      <c r="E4995">
        <f>HYPERLINK("https://www.ncbi.nlm.nih.gov/gene/?term=KAJ1059234.1", "KAJ1059234.1")</f>
        <v/>
      </c>
      <c r="F4995" t="n">
        <v>28.7</v>
      </c>
      <c r="G4995" t="n">
        <v>237</v>
      </c>
      <c r="H4995" t="n">
        <v>1.35e-22</v>
      </c>
      <c r="I4995" t="inlineStr">
        <is>
          <t>Nr</t>
        </is>
      </c>
      <c r="J4995" t="inlineStr"/>
      <c r="K4995" t="inlineStr"/>
      <c r="L4995" t="inlineStr">
        <is>
          <t>KAJ1059234.1 hypothetical protein K5549_008035 [Capra hircus]</t>
        </is>
      </c>
      <c r="M4995" t="n">
        <v>372</v>
      </c>
      <c r="N4995" t="inlineStr">
        <is>
          <t>Capra hircus</t>
        </is>
      </c>
      <c r="O4995" t="inlineStr">
        <is>
          <t>hypothetical protein K5549_008035</t>
        </is>
      </c>
    </row>
    <row r="4996">
      <c r="A4996" t="inlineStr"/>
      <c r="B4996" t="inlineStr"/>
      <c r="C4996" t="inlineStr"/>
      <c r="D4996" t="inlineStr"/>
      <c r="E4996">
        <f>HYPERLINK("https://www.ncbi.nlm.nih.gov/gene/?term=XP_040178291.1", "XP_040178291.1")</f>
        <v/>
      </c>
      <c r="F4996" t="n">
        <v>33.3</v>
      </c>
      <c r="G4996" t="n">
        <v>147</v>
      </c>
      <c r="H4996" t="n">
        <v>1.38e-22</v>
      </c>
      <c r="I4996" t="inlineStr">
        <is>
          <t>Nr</t>
        </is>
      </c>
      <c r="J4996" t="inlineStr"/>
      <c r="K4996" t="inlineStr"/>
      <c r="L4996" t="inlineStr">
        <is>
          <t>XP_040178291.1 uncharacterized protein LOC120910599, partial [Rana temporaria]</t>
        </is>
      </c>
      <c r="M4996" t="n">
        <v>2918</v>
      </c>
      <c r="N4996" t="inlineStr">
        <is>
          <t>Rana temporaria</t>
        </is>
      </c>
      <c r="O4996" t="inlineStr">
        <is>
          <t>uncharacterized protein LOC120910599, partial</t>
        </is>
      </c>
    </row>
    <row r="4997">
      <c r="A4997" t="inlineStr"/>
      <c r="B4997" t="inlineStr"/>
      <c r="C4997" t="inlineStr"/>
      <c r="D4997" t="inlineStr"/>
      <c r="E4997">
        <f>HYPERLINK("https://www.ncbi.nlm.nih.gov/gene/?term=XP_041427773.1", "XP_041427773.1")</f>
        <v/>
      </c>
      <c r="F4997" t="n">
        <v>29.1</v>
      </c>
      <c r="G4997" t="n">
        <v>199</v>
      </c>
      <c r="H4997" t="n">
        <v>1.68e-22</v>
      </c>
      <c r="I4997" t="inlineStr">
        <is>
          <t>Nr</t>
        </is>
      </c>
      <c r="J4997" t="inlineStr"/>
      <c r="K4997" t="inlineStr"/>
      <c r="L4997" t="inlineStr">
        <is>
          <t>XP_041427773.1 Golgi phosphoprotein 3-like B isoform X1 [Xenopus laevis]</t>
        </is>
      </c>
      <c r="M4997" t="n">
        <v>579</v>
      </c>
      <c r="N4997" t="inlineStr">
        <is>
          <t>Xenopus laevis</t>
        </is>
      </c>
      <c r="O4997" t="inlineStr">
        <is>
          <t>Golgi phosphoprotein 3-like B isoform X1</t>
        </is>
      </c>
    </row>
    <row r="4998">
      <c r="A4998" t="inlineStr"/>
      <c r="B4998" t="inlineStr"/>
      <c r="C4998" t="inlineStr"/>
      <c r="D4998" t="inlineStr"/>
      <c r="E4998">
        <f>HYPERLINK("https://www.ncbi.nlm.nih.gov/gene/?term=KAJ1077108.1", "KAJ1077108.1")</f>
        <v/>
      </c>
      <c r="F4998" t="n">
        <v>28.7</v>
      </c>
      <c r="G4998" t="n">
        <v>237</v>
      </c>
      <c r="H4998" t="n">
        <v>2.21e-22</v>
      </c>
      <c r="I4998" t="inlineStr">
        <is>
          <t>Nr</t>
        </is>
      </c>
      <c r="J4998" t="inlineStr"/>
      <c r="K4998" t="inlineStr"/>
      <c r="L4998" t="inlineStr">
        <is>
          <t>KAJ1077108.1 hypothetical protein K5549_005278 [Capra hircus]</t>
        </is>
      </c>
      <c r="M4998" t="n">
        <v>960</v>
      </c>
      <c r="N4998" t="inlineStr">
        <is>
          <t>Capra hircus</t>
        </is>
      </c>
      <c r="O4998" t="inlineStr">
        <is>
          <t>hypothetical protein K5549_005278</t>
        </is>
      </c>
    </row>
    <row r="4999">
      <c r="A4999" t="inlineStr"/>
      <c r="B4999" t="inlineStr"/>
      <c r="C4999" t="inlineStr"/>
      <c r="D4999" t="inlineStr"/>
      <c r="E4999">
        <f>HYPERLINK("https://www.ncbi.nlm.nih.gov/gene/?term=KAJ1061314.1", "KAJ1061314.1")</f>
        <v/>
      </c>
      <c r="F4999" t="n">
        <v>28.7</v>
      </c>
      <c r="G4999" t="n">
        <v>237</v>
      </c>
      <c r="H4999" t="n">
        <v>3.65e-22</v>
      </c>
      <c r="I4999" t="inlineStr">
        <is>
          <t>Nr</t>
        </is>
      </c>
      <c r="J4999" t="inlineStr"/>
      <c r="K4999" t="inlineStr"/>
      <c r="L4999" t="inlineStr">
        <is>
          <t>KAJ1061314.1 hypothetical protein K5549_014054 [Capra hircus]</t>
        </is>
      </c>
      <c r="M4999" t="n">
        <v>474</v>
      </c>
      <c r="N4999" t="inlineStr">
        <is>
          <t>Capra hircus</t>
        </is>
      </c>
      <c r="O4999" t="inlineStr">
        <is>
          <t>hypothetical protein K5549_014054</t>
        </is>
      </c>
    </row>
    <row r="5000">
      <c r="A5000" t="inlineStr"/>
      <c r="B5000" t="inlineStr"/>
      <c r="C5000" t="inlineStr"/>
      <c r="D5000" t="inlineStr"/>
      <c r="E5000">
        <f>HYPERLINK("https://www.ncbi.nlm.nih.gov/gene/?term=KAJ1060112.1", "KAJ1060112.1")</f>
        <v/>
      </c>
      <c r="F5000" t="n">
        <v>28.7</v>
      </c>
      <c r="G5000" t="n">
        <v>237</v>
      </c>
      <c r="H5000" t="n">
        <v>3.71e-22</v>
      </c>
      <c r="I5000" t="inlineStr">
        <is>
          <t>Nr</t>
        </is>
      </c>
      <c r="J5000" t="inlineStr"/>
      <c r="K5000" t="inlineStr"/>
      <c r="L5000" t="inlineStr">
        <is>
          <t>KAJ1060112.1 hypothetical protein K5549_004550 [Capra hircus]</t>
        </is>
      </c>
      <c r="M5000" t="n">
        <v>704</v>
      </c>
      <c r="N5000" t="inlineStr">
        <is>
          <t>Capra hircus</t>
        </is>
      </c>
      <c r="O5000" t="inlineStr">
        <is>
          <t>hypothetical protein K5549_004550</t>
        </is>
      </c>
    </row>
    <row r="5001">
      <c r="A5001" t="inlineStr"/>
      <c r="B5001" t="inlineStr"/>
      <c r="C5001" t="inlineStr"/>
      <c r="D5001" t="inlineStr"/>
      <c r="E5001">
        <f>HYPERLINK("https://www.ncbi.nlm.nih.gov/gene/?term=KAJ1073666.1", "KAJ1073666.1")</f>
        <v/>
      </c>
      <c r="F5001" t="n">
        <v>28.7</v>
      </c>
      <c r="G5001" t="n">
        <v>237</v>
      </c>
      <c r="H5001" t="n">
        <v>3.95e-22</v>
      </c>
      <c r="I5001" t="inlineStr">
        <is>
          <t>Nr</t>
        </is>
      </c>
      <c r="J5001" t="inlineStr"/>
      <c r="K5001" t="inlineStr"/>
      <c r="L5001" t="inlineStr">
        <is>
          <t>KAJ1073666.1 hypothetical protein K5549_006904 [Capra hircus]</t>
        </is>
      </c>
      <c r="M5001" t="n">
        <v>851</v>
      </c>
      <c r="N5001" t="inlineStr">
        <is>
          <t>Capra hircus</t>
        </is>
      </c>
      <c r="O5001" t="inlineStr">
        <is>
          <t>hypothetical protein K5549_006904</t>
        </is>
      </c>
    </row>
    <row r="5002">
      <c r="A5002" t="inlineStr"/>
      <c r="B5002" t="inlineStr"/>
      <c r="C5002" t="inlineStr"/>
      <c r="D5002" t="inlineStr"/>
      <c r="E5002">
        <f>HYPERLINK("https://www.ncbi.nlm.nih.gov/gene/?term=KAB0355645.1", "KAB0355645.1")</f>
        <v/>
      </c>
      <c r="F5002" t="n">
        <v>28.3</v>
      </c>
      <c r="G5002" t="n">
        <v>240</v>
      </c>
      <c r="H5002" t="n">
        <v>4.84e-22</v>
      </c>
      <c r="I5002" t="inlineStr">
        <is>
          <t>Nr</t>
        </is>
      </c>
      <c r="J5002" t="inlineStr"/>
      <c r="K5002" t="inlineStr"/>
      <c r="L5002" t="inlineStr">
        <is>
          <t>KAB0355645.1 hypothetical protein FD755_021586 [Muntiacus reevesi]</t>
        </is>
      </c>
      <c r="M5002" t="n">
        <v>469</v>
      </c>
      <c r="N5002" t="inlineStr">
        <is>
          <t>Muntiacus reevesi</t>
        </is>
      </c>
      <c r="O5002" t="inlineStr">
        <is>
          <t>hypothetical protein FD755_021586</t>
        </is>
      </c>
    </row>
    <row r="5003">
      <c r="A5003" t="inlineStr"/>
      <c r="B5003" t="inlineStr"/>
      <c r="C5003" t="inlineStr"/>
      <c r="D5003" t="inlineStr"/>
      <c r="E5003">
        <f>HYPERLINK("https://www.ncbi.nlm.nih.gov/gene/?term=KAJ1077211.1", "KAJ1077211.1")</f>
        <v/>
      </c>
      <c r="F5003" t="n">
        <v>28.7</v>
      </c>
      <c r="G5003" t="n">
        <v>237</v>
      </c>
      <c r="H5003" t="n">
        <v>4.86e-22</v>
      </c>
      <c r="I5003" t="inlineStr">
        <is>
          <t>Nr</t>
        </is>
      </c>
      <c r="J5003" t="inlineStr"/>
      <c r="K5003" t="inlineStr"/>
      <c r="L5003" t="inlineStr">
        <is>
          <t>KAJ1077211.1 hypothetical protein K5549_005381 [Capra hircus]</t>
        </is>
      </c>
      <c r="M5003" t="n">
        <v>661</v>
      </c>
      <c r="N5003" t="inlineStr">
        <is>
          <t>Capra hircus</t>
        </is>
      </c>
      <c r="O5003" t="inlineStr">
        <is>
          <t>hypothetical protein K5549_005381</t>
        </is>
      </c>
    </row>
    <row r="5004">
      <c r="A5004" t="inlineStr"/>
      <c r="B5004" t="inlineStr"/>
      <c r="C5004" t="inlineStr"/>
      <c r="D5004" t="inlineStr"/>
      <c r="E5004">
        <f>HYPERLINK("https://www.ncbi.nlm.nih.gov/gene/?term=KAJ1076005.1", "KAJ1076005.1")</f>
        <v/>
      </c>
      <c r="F5004" t="n">
        <v>28.7</v>
      </c>
      <c r="G5004" t="n">
        <v>237</v>
      </c>
      <c r="H5004" t="n">
        <v>5.13e-22</v>
      </c>
      <c r="I5004" t="inlineStr">
        <is>
          <t>Nr</t>
        </is>
      </c>
      <c r="J5004" t="inlineStr"/>
      <c r="K5004" t="inlineStr"/>
      <c r="L5004" t="inlineStr">
        <is>
          <t>KAJ1076005.1 hypothetical protein K5549_008859 [Capra hircus]</t>
        </is>
      </c>
      <c r="M5004" t="n">
        <v>738</v>
      </c>
      <c r="N5004" t="inlineStr">
        <is>
          <t>Capra hircus</t>
        </is>
      </c>
      <c r="O5004" t="inlineStr">
        <is>
          <t>hypothetical protein K5549_008859</t>
        </is>
      </c>
    </row>
    <row r="5005">
      <c r="A5005" t="inlineStr"/>
      <c r="B5005" t="inlineStr"/>
      <c r="C5005" t="inlineStr"/>
      <c r="D5005" t="inlineStr"/>
      <c r="E5005">
        <f>HYPERLINK("https://www.ncbi.nlm.nih.gov/gene/?term=WP_251570969.1", "WP_251570969.1")</f>
        <v/>
      </c>
      <c r="F5005" t="n">
        <v>27.8</v>
      </c>
      <c r="G5005" t="n">
        <v>237</v>
      </c>
      <c r="H5005" t="n">
        <v>5.19e-22</v>
      </c>
      <c r="I5005" t="inlineStr">
        <is>
          <t>Nr</t>
        </is>
      </c>
      <c r="J5005" t="inlineStr"/>
      <c r="K5005" t="inlineStr"/>
      <c r="L5005" t="inlineStr">
        <is>
          <t>WP_251570969.1 hypothetical protein, partial [Parasutterella sp. DSM 108034]</t>
        </is>
      </c>
      <c r="M5005" t="n">
        <v>271</v>
      </c>
      <c r="N5005" t="inlineStr">
        <is>
          <t>Parasutterella sp. DSM 108034</t>
        </is>
      </c>
      <c r="O5005" t="inlineStr">
        <is>
          <t>hypothetical protein, partial</t>
        </is>
      </c>
    </row>
    <row r="5006">
      <c r="A5006" t="inlineStr"/>
      <c r="B5006" t="inlineStr"/>
      <c r="C5006" t="inlineStr"/>
      <c r="D5006" t="inlineStr"/>
      <c r="E5006">
        <f>HYPERLINK("https://www.ncbi.nlm.nih.gov/gene/?term=KAI5936667.1", "KAI5936667.1")</f>
        <v/>
      </c>
      <c r="F5006" t="n">
        <v>30.6</v>
      </c>
      <c r="G5006" t="n">
        <v>209</v>
      </c>
      <c r="H5006" t="n">
        <v>5.640000000000001e-22</v>
      </c>
      <c r="I5006" t="inlineStr">
        <is>
          <t>Nr</t>
        </is>
      </c>
      <c r="J5006" t="inlineStr"/>
      <c r="K5006" t="inlineStr"/>
      <c r="L5006" t="inlineStr">
        <is>
          <t>KAI5936667.1 LINE-1 retrotransposable element ORF2 protein [Manis javanica]</t>
        </is>
      </c>
      <c r="M5006" t="n">
        <v>569</v>
      </c>
      <c r="N5006" t="inlineStr">
        <is>
          <t>Manis javanica</t>
        </is>
      </c>
      <c r="O5006" t="inlineStr">
        <is>
          <t>LINE-1 retrotransposable element ORF2 protein</t>
        </is>
      </c>
    </row>
    <row r="5007">
      <c r="A5007" t="inlineStr"/>
      <c r="B5007" t="inlineStr"/>
      <c r="C5007" t="inlineStr"/>
      <c r="D5007" t="inlineStr"/>
      <c r="E5007">
        <f>HYPERLINK("https://www.uniprot.org/uniprotkb/O00370/entry", "O00370")</f>
        <v/>
      </c>
      <c r="F5007" t="n">
        <v>27.9</v>
      </c>
      <c r="G5007" t="n">
        <v>204</v>
      </c>
      <c r="H5007" t="n">
        <v>8.720000000000001e-22</v>
      </c>
      <c r="I5007" t="inlineStr">
        <is>
          <t>Swiss-Prot</t>
        </is>
      </c>
      <c r="J5007" t="inlineStr"/>
      <c r="K5007" t="inlineStr">
        <is>
          <t>LORF2_HUMAN</t>
        </is>
      </c>
      <c r="L5007" t="inlineStr">
        <is>
          <t>sp|O00370|LORF2_HUMAN LINE-1 retrotransposable element ORF2 protein OS=Homo sapiens OX=9606 PE=1 SV=1</t>
        </is>
      </c>
      <c r="M5007" t="n">
        <v>1275</v>
      </c>
      <c r="N5007" t="inlineStr">
        <is>
          <t>Homo sapiens</t>
        </is>
      </c>
      <c r="O5007" t="inlineStr">
        <is>
          <t>LINE-1 retrotransposable element ORF2 protein</t>
        </is>
      </c>
    </row>
    <row r="5008">
      <c r="A5008" t="inlineStr"/>
      <c r="B5008" t="inlineStr"/>
      <c r="C5008" t="inlineStr"/>
      <c r="D5008" t="inlineStr"/>
      <c r="E5008">
        <f>HYPERLINK("https://www.uniprot.org/uniprotkb/P11369/entry", "P11369")</f>
        <v/>
      </c>
      <c r="F5008" t="n">
        <v>30.8</v>
      </c>
      <c r="G5008" t="n">
        <v>208</v>
      </c>
      <c r="H5008" t="n">
        <v>4e-21</v>
      </c>
      <c r="I5008" t="inlineStr">
        <is>
          <t>Swiss-Prot</t>
        </is>
      </c>
      <c r="J5008" t="inlineStr">
        <is>
          <t>Pol</t>
        </is>
      </c>
      <c r="K5008" t="inlineStr">
        <is>
          <t>LORF2_MOUSE</t>
        </is>
      </c>
      <c r="L5008" t="inlineStr">
        <is>
          <t>sp|P11369|LORF2_MOUSE LINE-1 retrotransposable element ORF2 protein OS=Mus musculus OX=10090 GN=Pol PE=1 SV=2</t>
        </is>
      </c>
      <c r="M5008" t="n">
        <v>1281</v>
      </c>
      <c r="N5008" t="inlineStr">
        <is>
          <t>Mus musculus</t>
        </is>
      </c>
      <c r="O5008" t="inlineStr">
        <is>
          <t>LINE-1 retrotransposable element ORF2 protein</t>
        </is>
      </c>
    </row>
    <row r="5009">
      <c r="A5009" t="inlineStr"/>
      <c r="B5009" t="inlineStr"/>
      <c r="C5009" t="inlineStr"/>
      <c r="D5009" t="inlineStr"/>
      <c r="E5009">
        <f>HYPERLINK("https://www.uniprot.org/uniprotkb/P21329/entry", "P21329")</f>
        <v/>
      </c>
      <c r="F5009" t="n">
        <v>22.7</v>
      </c>
      <c r="G5009" t="n">
        <v>770</v>
      </c>
      <c r="H5009" t="n">
        <v>1.04e-19</v>
      </c>
      <c r="I5009" t="inlineStr">
        <is>
          <t>Swiss-Prot</t>
        </is>
      </c>
      <c r="J5009" t="inlineStr">
        <is>
          <t>jockey\pol</t>
        </is>
      </c>
      <c r="K5009" t="inlineStr">
        <is>
          <t>RTJK_DROFU</t>
        </is>
      </c>
      <c r="L5009" t="inlineStr">
        <is>
          <t>sp|P21329|RTJK_DROFU RNA-directed DNA polymerase from mobile element jockey OS=Drosophila funebris OX=7221 GN=jockey\pol PE=1 SV=1</t>
        </is>
      </c>
      <c r="M5009" t="n">
        <v>916</v>
      </c>
      <c r="N5009" t="inlineStr">
        <is>
          <t>Drosophila funebris</t>
        </is>
      </c>
      <c r="O5009" t="inlineStr">
        <is>
          <t>RNA-directed DNA polymerase from mobile element jockey</t>
        </is>
      </c>
    </row>
    <row r="5010">
      <c r="A5010" t="inlineStr"/>
      <c r="B5010" t="inlineStr"/>
      <c r="C5010" t="inlineStr"/>
      <c r="D5010" t="inlineStr"/>
      <c r="E5010">
        <f>HYPERLINK("https://www.uniprot.org/uniprotkb/P08548/entry", "P08548")</f>
        <v/>
      </c>
      <c r="F5010" t="n">
        <v>28.7</v>
      </c>
      <c r="G5010" t="n">
        <v>188</v>
      </c>
      <c r="H5010" t="n">
        <v>1.13e-19</v>
      </c>
      <c r="I5010" t="inlineStr">
        <is>
          <t>Swiss-Prot</t>
        </is>
      </c>
      <c r="J5010" t="inlineStr"/>
      <c r="K5010" t="inlineStr">
        <is>
          <t>LIN1_NYCCO</t>
        </is>
      </c>
      <c r="L5010" t="inlineStr">
        <is>
          <t>sp|P08548|LIN1_NYCCO LINE-1 reverse transcriptase homolog OS=Nycticebus coucang OX=9470 PE=4 SV=1</t>
        </is>
      </c>
      <c r="M5010" t="n">
        <v>1260</v>
      </c>
      <c r="N5010" t="inlineStr">
        <is>
          <t>Nycticebus coucang</t>
        </is>
      </c>
      <c r="O5010" t="inlineStr">
        <is>
          <t>LINE-1 reverse transcriptase homolog</t>
        </is>
      </c>
    </row>
    <row r="5011">
      <c r="A5011" t="inlineStr"/>
      <c r="B5011" t="inlineStr"/>
      <c r="C5011" t="inlineStr"/>
      <c r="D5011" t="inlineStr"/>
      <c r="E5011">
        <f>HYPERLINK("https://www.uniprot.org/uniprotkb/A0A8C5QYA3/entry", "A0A8C5QYA3")</f>
        <v/>
      </c>
      <c r="F5011" t="n">
        <v>42.7</v>
      </c>
      <c r="G5011" t="n">
        <v>96</v>
      </c>
      <c r="H5011" t="n">
        <v>3.99e-19</v>
      </c>
      <c r="I5011" t="inlineStr">
        <is>
          <t>TrEMBL</t>
        </is>
      </c>
      <c r="J5011" t="inlineStr"/>
      <c r="K5011" t="inlineStr">
        <is>
          <t>A0A8C5QYA3_9ANUR</t>
        </is>
      </c>
      <c r="L5011" t="inlineStr">
        <is>
          <t>tr|A0A8C5QYA3|A0A8C5QYA3_9ANUR Reverse transcriptase domain-containing protein OS=Leptobrachium leishanense OX=445787 PE=4 SV=1</t>
        </is>
      </c>
      <c r="M5011" t="n">
        <v>631</v>
      </c>
      <c r="N5011" t="inlineStr">
        <is>
          <t>Leptobrachium leishanense</t>
        </is>
      </c>
      <c r="O5011" t="inlineStr">
        <is>
          <t>Reverse transcriptase domain-containing protein</t>
        </is>
      </c>
    </row>
    <row r="5012">
      <c r="A5012" t="inlineStr"/>
      <c r="B5012" t="inlineStr"/>
      <c r="C5012" t="inlineStr"/>
      <c r="D5012" t="inlineStr"/>
      <c r="E5012">
        <f>HYPERLINK("https://www.uniprot.org/uniprotkb/A0A8C5PSU2/entry", "A0A8C5PSU2")</f>
        <v/>
      </c>
      <c r="F5012" t="n">
        <v>36.7</v>
      </c>
      <c r="G5012" t="n">
        <v>120</v>
      </c>
      <c r="H5012" t="n">
        <v>7.56e-19</v>
      </c>
      <c r="I5012" t="inlineStr">
        <is>
          <t>TrEMBL</t>
        </is>
      </c>
      <c r="J5012" t="inlineStr"/>
      <c r="K5012" t="inlineStr">
        <is>
          <t>A0A8C5PSU2_9ANUR</t>
        </is>
      </c>
      <c r="L5012" t="inlineStr">
        <is>
          <t>tr|A0A8C5PSU2|A0A8C5PSU2_9ANUR Reverse transcriptase domain-containing protein OS=Leptobrachium leishanense OX=445787 PE=4 SV=1</t>
        </is>
      </c>
      <c r="M5012" t="n">
        <v>707</v>
      </c>
      <c r="N5012" t="inlineStr">
        <is>
          <t>Leptobrachium leishanense</t>
        </is>
      </c>
      <c r="O5012" t="inlineStr">
        <is>
          <t>Reverse transcriptase domain-containing protein</t>
        </is>
      </c>
    </row>
    <row r="5013">
      <c r="A5013" t="inlineStr"/>
      <c r="B5013" t="inlineStr"/>
      <c r="C5013" t="inlineStr"/>
      <c r="D5013" t="inlineStr"/>
      <c r="E5013">
        <f>HYPERLINK("https://www.uniprot.org/uniprotkb/A0A8C5LZ02/entry", "A0A8C5LZ02")</f>
        <v/>
      </c>
      <c r="F5013" t="n">
        <v>36.7</v>
      </c>
      <c r="G5013" t="n">
        <v>120</v>
      </c>
      <c r="H5013" t="n">
        <v>7.67e-19</v>
      </c>
      <c r="I5013" t="inlineStr">
        <is>
          <t>TrEMBL</t>
        </is>
      </c>
      <c r="J5013" t="inlineStr"/>
      <c r="K5013" t="inlineStr">
        <is>
          <t>A0A8C5LZ02_9ANUR</t>
        </is>
      </c>
      <c r="L5013" t="inlineStr">
        <is>
          <t>tr|A0A8C5LZ02|A0A8C5LZ02_9ANUR Reverse transcriptase domain-containing protein OS=Leptobrachium leishanense OX=445787 PE=4 SV=1</t>
        </is>
      </c>
      <c r="M5013" t="n">
        <v>819</v>
      </c>
      <c r="N5013" t="inlineStr">
        <is>
          <t>Leptobrachium leishanense</t>
        </is>
      </c>
      <c r="O5013" t="inlineStr">
        <is>
          <t>Reverse transcriptase domain-containing protein</t>
        </is>
      </c>
    </row>
    <row r="5014">
      <c r="A5014" t="inlineStr"/>
      <c r="B5014" t="inlineStr"/>
      <c r="C5014" t="inlineStr"/>
      <c r="D5014" t="inlineStr"/>
      <c r="E5014">
        <f>HYPERLINK("https://www.uniprot.org/uniprotkb/A0A8C5M3Z6/entry", "A0A8C5M3Z6")</f>
        <v/>
      </c>
      <c r="F5014" t="n">
        <v>36.7</v>
      </c>
      <c r="G5014" t="n">
        <v>120</v>
      </c>
      <c r="H5014" t="n">
        <v>7.92e-19</v>
      </c>
      <c r="I5014" t="inlineStr">
        <is>
          <t>TrEMBL</t>
        </is>
      </c>
      <c r="J5014" t="inlineStr"/>
      <c r="K5014" t="inlineStr">
        <is>
          <t>A0A8C5M3Z6_9ANUR</t>
        </is>
      </c>
      <c r="L5014" t="inlineStr">
        <is>
          <t>tr|A0A8C5M3Z6|A0A8C5M3Z6_9ANUR Reverse transcriptase domain-containing protein OS=Leptobrachium leishanense OX=445787 PE=4 SV=1</t>
        </is>
      </c>
      <c r="M5014" t="n">
        <v>1270</v>
      </c>
      <c r="N5014" t="inlineStr">
        <is>
          <t>Leptobrachium leishanense</t>
        </is>
      </c>
      <c r="O5014" t="inlineStr">
        <is>
          <t>Reverse transcriptase domain-containing protein</t>
        </is>
      </c>
    </row>
    <row r="5015">
      <c r="A5015" t="inlineStr"/>
      <c r="B5015" t="inlineStr"/>
      <c r="C5015" t="inlineStr"/>
      <c r="D5015" t="inlineStr"/>
      <c r="E5015">
        <f>HYPERLINK("https://www.uniprot.org/uniprotkb/A0A803KCX1/entry", "A0A803KCX1")</f>
        <v/>
      </c>
      <c r="F5015" t="n">
        <v>35.3</v>
      </c>
      <c r="G5015" t="n">
        <v>119</v>
      </c>
      <c r="H5015" t="n">
        <v>1.03e-18</v>
      </c>
      <c r="I5015" t="inlineStr">
        <is>
          <t>TrEMBL</t>
        </is>
      </c>
      <c r="J5015" t="inlineStr"/>
      <c r="K5015" t="inlineStr">
        <is>
          <t>A0A803KCX1_XENTR</t>
        </is>
      </c>
      <c r="L5015" t="inlineStr">
        <is>
          <t>tr|A0A803KCX1|A0A803KCX1_XENTR Reverse transcriptase domain-containing protein OS=Xenopus tropicalis OX=8364 PE=4 SV=1</t>
        </is>
      </c>
      <c r="M5015" t="n">
        <v>683</v>
      </c>
      <c r="N5015" t="inlineStr">
        <is>
          <t>Xenopus tropicalis</t>
        </is>
      </c>
      <c r="O5015" t="inlineStr">
        <is>
          <t>Reverse transcriptase domain-containing protein</t>
        </is>
      </c>
    </row>
    <row r="5016">
      <c r="A5016" t="inlineStr"/>
      <c r="B5016" t="inlineStr"/>
      <c r="C5016" t="inlineStr"/>
      <c r="D5016" t="inlineStr"/>
      <c r="E5016">
        <f>HYPERLINK("https://www.uniprot.org/uniprotkb/A0A8C5Q7L9/entry", "A0A8C5Q7L9")</f>
        <v/>
      </c>
      <c r="F5016" t="n">
        <v>36.7</v>
      </c>
      <c r="G5016" t="n">
        <v>120</v>
      </c>
      <c r="H5016" t="n">
        <v>1.08e-18</v>
      </c>
      <c r="I5016" t="inlineStr">
        <is>
          <t>TrEMBL</t>
        </is>
      </c>
      <c r="J5016" t="inlineStr"/>
      <c r="K5016" t="inlineStr">
        <is>
          <t>A0A8C5Q7L9_9ANUR</t>
        </is>
      </c>
      <c r="L5016" t="inlineStr">
        <is>
          <t>tr|A0A8C5Q7L9|A0A8C5Q7L9_9ANUR Reverse transcriptase domain-containing protein OS=Leptobrachium leishanense OX=445787 PE=4 SV=1</t>
        </is>
      </c>
      <c r="M5016" t="n">
        <v>1270</v>
      </c>
      <c r="N5016" t="inlineStr">
        <is>
          <t>Leptobrachium leishanense</t>
        </is>
      </c>
      <c r="O5016" t="inlineStr">
        <is>
          <t>Reverse transcriptase domain-containing protein</t>
        </is>
      </c>
    </row>
    <row r="5017">
      <c r="A5017" t="inlineStr"/>
      <c r="B5017" t="inlineStr"/>
      <c r="C5017" t="inlineStr"/>
      <c r="D5017" t="inlineStr"/>
      <c r="E5017">
        <f>HYPERLINK("https://www.uniprot.org/uniprotkb/A0A8C5Q864/entry", "A0A8C5Q864")</f>
        <v/>
      </c>
      <c r="F5017" t="n">
        <v>41.7</v>
      </c>
      <c r="G5017" t="n">
        <v>96</v>
      </c>
      <c r="H5017" t="n">
        <v>1.16e-18</v>
      </c>
      <c r="I5017" t="inlineStr">
        <is>
          <t>TrEMBL</t>
        </is>
      </c>
      <c r="J5017" t="inlineStr"/>
      <c r="K5017" t="inlineStr">
        <is>
          <t>A0A8C5Q864_9ANUR</t>
        </is>
      </c>
      <c r="L5017" t="inlineStr">
        <is>
          <t>tr|A0A8C5Q864|A0A8C5Q864_9ANUR Reverse transcriptase OS=Leptobrachium leishanense OX=445787 PE=4 SV=1</t>
        </is>
      </c>
      <c r="M5017" t="n">
        <v>306</v>
      </c>
      <c r="N5017" t="inlineStr">
        <is>
          <t>Leptobrachium leishanense</t>
        </is>
      </c>
      <c r="O5017" t="inlineStr">
        <is>
          <t>Reverse transcriptase</t>
        </is>
      </c>
    </row>
    <row r="5018">
      <c r="A5018" t="inlineStr"/>
      <c r="B5018" t="inlineStr"/>
      <c r="C5018" t="inlineStr"/>
      <c r="D5018" t="inlineStr"/>
      <c r="E5018">
        <f>HYPERLINK("https://www.uniprot.org/uniprotkb/A0A8C5MQY1/entry", "A0A8C5MQY1")</f>
        <v/>
      </c>
      <c r="F5018" t="n">
        <v>38.5</v>
      </c>
      <c r="G5018" t="n">
        <v>109</v>
      </c>
      <c r="H5018" t="n">
        <v>1.33e-18</v>
      </c>
      <c r="I5018" t="inlineStr">
        <is>
          <t>TrEMBL</t>
        </is>
      </c>
      <c r="J5018" t="inlineStr"/>
      <c r="K5018" t="inlineStr">
        <is>
          <t>A0A8C5MQY1_9ANUR</t>
        </is>
      </c>
      <c r="L5018" t="inlineStr">
        <is>
          <t>tr|A0A8C5MQY1|A0A8C5MQY1_9ANUR RNA-directed DNA polymerase OS=Leptobrachium leishanense OX=445787 PE=4 SV=1</t>
        </is>
      </c>
      <c r="M5018" t="n">
        <v>231</v>
      </c>
      <c r="N5018" t="inlineStr">
        <is>
          <t>Leptobrachium leishanense</t>
        </is>
      </c>
      <c r="O5018" t="inlineStr">
        <is>
          <t>RNA-directed DNA polymerase</t>
        </is>
      </c>
    </row>
    <row r="5019">
      <c r="A5019" t="inlineStr"/>
      <c r="B5019" t="inlineStr"/>
      <c r="C5019" t="inlineStr"/>
      <c r="D5019" t="inlineStr"/>
      <c r="E5019">
        <f>HYPERLINK("https://www.uniprot.org/uniprotkb/A0A8C5R0F1/entry", "A0A8C5R0F1")</f>
        <v/>
      </c>
      <c r="F5019" t="n">
        <v>34.4</v>
      </c>
      <c r="G5019" t="n">
        <v>125</v>
      </c>
      <c r="H5019" t="n">
        <v>1.44e-18</v>
      </c>
      <c r="I5019" t="inlineStr">
        <is>
          <t>TrEMBL</t>
        </is>
      </c>
      <c r="J5019" t="inlineStr"/>
      <c r="K5019" t="inlineStr">
        <is>
          <t>A0A8C5R0F1_9ANUR</t>
        </is>
      </c>
      <c r="L5019" t="inlineStr">
        <is>
          <t>tr|A0A8C5R0F1|A0A8C5R0F1_9ANUR Reverse transcriptase domain-containing protein OS=Leptobrachium leishanense OX=445787 PE=4 SV=1</t>
        </is>
      </c>
      <c r="M5019" t="n">
        <v>906</v>
      </c>
      <c r="N5019" t="inlineStr">
        <is>
          <t>Leptobrachium leishanense</t>
        </is>
      </c>
      <c r="O5019" t="inlineStr">
        <is>
          <t>Reverse transcriptase domain-containing protein</t>
        </is>
      </c>
    </row>
    <row r="5020">
      <c r="A5020" t="inlineStr"/>
      <c r="B5020" t="inlineStr"/>
      <c r="C5020" t="inlineStr"/>
      <c r="D5020" t="inlineStr"/>
      <c r="E5020">
        <f>HYPERLINK("https://www.ncbi.nlm.nih.gov/gene/?term=XP_041054996.1", "XP_041054996.1")</f>
        <v/>
      </c>
      <c r="F5020" t="n">
        <v>25.5</v>
      </c>
      <c r="G5020" t="n">
        <v>231</v>
      </c>
      <c r="H5020" t="n">
        <v>1.84e-18</v>
      </c>
      <c r="I5020" t="inlineStr">
        <is>
          <t>Nr</t>
        </is>
      </c>
      <c r="J5020" t="inlineStr"/>
      <c r="K5020" t="inlineStr"/>
      <c r="L5020" t="inlineStr">
        <is>
          <t>XP_041054996.1 uncharacterized protein LOC121284059 [Carcharodon carcharias]</t>
        </is>
      </c>
      <c r="M5020" t="n">
        <v>509</v>
      </c>
      <c r="N5020" t="inlineStr">
        <is>
          <t>Carcharodon carcharias</t>
        </is>
      </c>
      <c r="O5020" t="inlineStr">
        <is>
          <t>uncharacterized protein LOC121284059</t>
        </is>
      </c>
    </row>
    <row r="5021">
      <c r="A5021" t="inlineStr"/>
      <c r="B5021" t="inlineStr"/>
      <c r="C5021" t="inlineStr"/>
      <c r="D5021" t="inlineStr"/>
      <c r="E5021">
        <f>HYPERLINK("https://www.uniprot.org/uniprotkb/A0A8C5Q911/entry", "A0A8C5Q911")</f>
        <v/>
      </c>
      <c r="F5021" t="n">
        <v>36.7</v>
      </c>
      <c r="G5021" t="n">
        <v>120</v>
      </c>
      <c r="H5021" t="n">
        <v>1.92e-18</v>
      </c>
      <c r="I5021" t="inlineStr">
        <is>
          <t>TrEMBL</t>
        </is>
      </c>
      <c r="J5021" t="inlineStr"/>
      <c r="K5021" t="inlineStr">
        <is>
          <t>A0A8C5Q911_9ANUR</t>
        </is>
      </c>
      <c r="L5021" t="inlineStr">
        <is>
          <t>tr|A0A8C5Q911|A0A8C5Q911_9ANUR Reverse transcriptase domain-containing protein OS=Leptobrachium leishanense OX=445787 PE=4 SV=1</t>
        </is>
      </c>
      <c r="M5021" t="n">
        <v>713</v>
      </c>
      <c r="N5021" t="inlineStr">
        <is>
          <t>Leptobrachium leishanense</t>
        </is>
      </c>
      <c r="O5021" t="inlineStr">
        <is>
          <t>Reverse transcriptase domain-containing protein</t>
        </is>
      </c>
    </row>
    <row r="5022">
      <c r="A5022" t="inlineStr"/>
      <c r="B5022" t="inlineStr"/>
      <c r="C5022" t="inlineStr"/>
      <c r="D5022" t="inlineStr"/>
      <c r="E5022">
        <f>HYPERLINK("https://www.uniprot.org/uniprotkb/A0A8C5PW08/entry", "A0A8C5PW08")</f>
        <v/>
      </c>
      <c r="F5022" t="n">
        <v>35.3</v>
      </c>
      <c r="G5022" t="n">
        <v>119</v>
      </c>
      <c r="H5022" t="n">
        <v>2.01e-18</v>
      </c>
      <c r="I5022" t="inlineStr">
        <is>
          <t>TrEMBL</t>
        </is>
      </c>
      <c r="J5022" t="inlineStr"/>
      <c r="K5022" t="inlineStr">
        <is>
          <t>A0A8C5PW08_9ANUR</t>
        </is>
      </c>
      <c r="L5022" t="inlineStr">
        <is>
          <t>tr|A0A8C5PW08|A0A8C5PW08_9ANUR Reverse transcriptase domain-containing protein OS=Leptobrachium leishanense OX=445787 PE=4 SV=1</t>
        </is>
      </c>
      <c r="M5022" t="n">
        <v>1277</v>
      </c>
      <c r="N5022" t="inlineStr">
        <is>
          <t>Leptobrachium leishanense</t>
        </is>
      </c>
      <c r="O5022" t="inlineStr">
        <is>
          <t>Reverse transcriptase domain-containing protein</t>
        </is>
      </c>
    </row>
    <row r="5023">
      <c r="A5023" t="inlineStr"/>
      <c r="B5023" t="inlineStr"/>
      <c r="C5023" t="inlineStr"/>
      <c r="D5023" t="inlineStr"/>
      <c r="E5023">
        <f>HYPERLINK("https://www.uniprot.org/uniprotkb/A0A8C5P716/entry", "A0A8C5P716")</f>
        <v/>
      </c>
      <c r="F5023" t="n">
        <v>41.7</v>
      </c>
      <c r="G5023" t="n">
        <v>96</v>
      </c>
      <c r="H5023" t="n">
        <v>2.26e-18</v>
      </c>
      <c r="I5023" t="inlineStr">
        <is>
          <t>TrEMBL</t>
        </is>
      </c>
      <c r="J5023" t="inlineStr"/>
      <c r="K5023" t="inlineStr">
        <is>
          <t>A0A8C5P716_9ANUR</t>
        </is>
      </c>
      <c r="L5023" t="inlineStr">
        <is>
          <t>tr|A0A8C5P716|A0A8C5P716_9ANUR Maturase K OS=Leptobrachium leishanense OX=445787 PE=4 SV=1</t>
        </is>
      </c>
      <c r="M5023" t="n">
        <v>412</v>
      </c>
      <c r="N5023" t="inlineStr">
        <is>
          <t>Leptobrachium leishanense</t>
        </is>
      </c>
      <c r="O5023" t="inlineStr">
        <is>
          <t>Maturase K</t>
        </is>
      </c>
    </row>
    <row r="5024">
      <c r="A5024" t="inlineStr"/>
      <c r="B5024" t="inlineStr"/>
      <c r="C5024" t="inlineStr"/>
      <c r="D5024" t="inlineStr"/>
      <c r="E5024">
        <f>HYPERLINK("https://www.uniprot.org/uniprotkb/A0A8C5M806/entry", "A0A8C5M806")</f>
        <v/>
      </c>
      <c r="F5024" t="n">
        <v>39.4</v>
      </c>
      <c r="G5024" t="n">
        <v>109</v>
      </c>
      <c r="H5024" t="n">
        <v>2.64e-18</v>
      </c>
      <c r="I5024" t="inlineStr">
        <is>
          <t>TrEMBL</t>
        </is>
      </c>
      <c r="J5024" t="inlineStr"/>
      <c r="K5024" t="inlineStr">
        <is>
          <t>A0A8C5M806_9ANUR</t>
        </is>
      </c>
      <c r="L5024" t="inlineStr">
        <is>
          <t>tr|A0A8C5M806|A0A8C5M806_9ANUR Reverse transcriptase domain-containing protein OS=Leptobrachium leishanense OX=445787 PE=4 SV=1</t>
        </is>
      </c>
      <c r="M5024" t="n">
        <v>762</v>
      </c>
      <c r="N5024" t="inlineStr">
        <is>
          <t>Leptobrachium leishanense</t>
        </is>
      </c>
      <c r="O5024" t="inlineStr">
        <is>
          <t>Reverse transcriptase domain-containing protein</t>
        </is>
      </c>
    </row>
    <row r="5025">
      <c r="A5025" t="inlineStr"/>
      <c r="B5025" t="inlineStr"/>
      <c r="C5025" t="inlineStr"/>
      <c r="D5025" t="inlineStr"/>
      <c r="E5025">
        <f>HYPERLINK("https://www.uniprot.org/uniprotkb/A0A8C5MCH3/entry", "A0A8C5MCH3")</f>
        <v/>
      </c>
      <c r="F5025" t="n">
        <v>41.7</v>
      </c>
      <c r="G5025" t="n">
        <v>96</v>
      </c>
      <c r="H5025" t="n">
        <v>3.64e-18</v>
      </c>
      <c r="I5025" t="inlineStr">
        <is>
          <t>TrEMBL</t>
        </is>
      </c>
      <c r="J5025" t="inlineStr"/>
      <c r="K5025" t="inlineStr">
        <is>
          <t>A0A8C5MCH3_9ANUR</t>
        </is>
      </c>
      <c r="L5025" t="inlineStr">
        <is>
          <t>tr|A0A8C5MCH3|A0A8C5MCH3_9ANUR Reverse transcriptase domain-containing protein OS=Leptobrachium leishanense OX=445787 PE=4 SV=1</t>
        </is>
      </c>
      <c r="M5025" t="n">
        <v>865</v>
      </c>
      <c r="N5025" t="inlineStr">
        <is>
          <t>Leptobrachium leishanense</t>
        </is>
      </c>
      <c r="O5025" t="inlineStr">
        <is>
          <t>Reverse transcriptase domain-containing protein</t>
        </is>
      </c>
    </row>
    <row r="5026">
      <c r="A5026" t="inlineStr"/>
      <c r="B5026" t="inlineStr"/>
      <c r="C5026" t="inlineStr"/>
      <c r="D5026" t="inlineStr"/>
      <c r="E5026">
        <f>HYPERLINK("https://www.uniprot.org/uniprotkb/A0A8C5PSB4/entry", "A0A8C5PSB4")</f>
        <v/>
      </c>
      <c r="F5026" t="n">
        <v>40.6</v>
      </c>
      <c r="G5026" t="n">
        <v>96</v>
      </c>
      <c r="H5026" t="n">
        <v>4.22e-18</v>
      </c>
      <c r="I5026" t="inlineStr">
        <is>
          <t>TrEMBL</t>
        </is>
      </c>
      <c r="J5026" t="inlineStr"/>
      <c r="K5026" t="inlineStr">
        <is>
          <t>A0A8C5PSB4_9ANUR</t>
        </is>
      </c>
      <c r="L5026" t="inlineStr">
        <is>
          <t>tr|A0A8C5PSB4|A0A8C5PSB4_9ANUR Reverse transcriptase domain-containing protein OS=Leptobrachium leishanense OX=445787 PE=4 SV=1</t>
        </is>
      </c>
      <c r="M5026" t="n">
        <v>364</v>
      </c>
      <c r="N5026" t="inlineStr">
        <is>
          <t>Leptobrachium leishanense</t>
        </is>
      </c>
      <c r="O5026" t="inlineStr">
        <is>
          <t>Reverse transcriptase domain-containing protein</t>
        </is>
      </c>
    </row>
    <row r="5027">
      <c r="A5027" t="inlineStr"/>
      <c r="B5027" t="inlineStr"/>
      <c r="C5027" t="inlineStr"/>
      <c r="D5027" t="inlineStr"/>
      <c r="E5027">
        <f>HYPERLINK("https://www.ncbi.nlm.nih.gov/gene/?term=XP_041033341.1", "XP_041033341.1")</f>
        <v/>
      </c>
      <c r="F5027" t="n">
        <v>25.5</v>
      </c>
      <c r="G5027" t="n">
        <v>231</v>
      </c>
      <c r="H5027" t="n">
        <v>4.46e-18</v>
      </c>
      <c r="I5027" t="inlineStr">
        <is>
          <t>Nr</t>
        </is>
      </c>
      <c r="J5027" t="inlineStr"/>
      <c r="K5027" t="inlineStr"/>
      <c r="L5027" t="inlineStr">
        <is>
          <t>XP_041033341.1 uncharacterized protein LOC121271412 [Carcharodon carcharias]</t>
        </is>
      </c>
      <c r="M5027" t="n">
        <v>632</v>
      </c>
      <c r="N5027" t="inlineStr">
        <is>
          <t>Carcharodon carcharias</t>
        </is>
      </c>
      <c r="O5027" t="inlineStr">
        <is>
          <t>uncharacterized protein LOC121271412</t>
        </is>
      </c>
    </row>
    <row r="5028">
      <c r="A5028" t="inlineStr"/>
      <c r="B5028" t="inlineStr"/>
      <c r="C5028" t="inlineStr"/>
      <c r="D5028" t="inlineStr"/>
      <c r="E5028">
        <f>HYPERLINK("https://www.ncbi.nlm.nih.gov/gene/?term=XP_041064066.1", "XP_041064066.1")</f>
        <v/>
      </c>
      <c r="F5028" t="n">
        <v>25.5</v>
      </c>
      <c r="G5028" t="n">
        <v>231</v>
      </c>
      <c r="H5028" t="n">
        <v>4.46e-18</v>
      </c>
      <c r="I5028" t="inlineStr">
        <is>
          <t>Nr</t>
        </is>
      </c>
      <c r="J5028" t="inlineStr"/>
      <c r="K5028" t="inlineStr"/>
      <c r="L5028" t="inlineStr">
        <is>
          <t>XP_041064066.1 uncharacterized protein LOC121289097 [Carcharodon carcharias]</t>
        </is>
      </c>
      <c r="M5028" t="n">
        <v>633</v>
      </c>
      <c r="N5028" t="inlineStr">
        <is>
          <t>Carcharodon carcharias</t>
        </is>
      </c>
      <c r="O5028" t="inlineStr">
        <is>
          <t>uncharacterized protein LOC121289097</t>
        </is>
      </c>
    </row>
    <row r="5029">
      <c r="A5029" t="inlineStr"/>
      <c r="B5029" t="inlineStr"/>
      <c r="C5029" t="inlineStr"/>
      <c r="D5029" t="inlineStr"/>
      <c r="E5029">
        <f>HYPERLINK("https://www.ncbi.nlm.nih.gov/gene/?term=XP_041053337.1", "XP_041053337.1")</f>
        <v/>
      </c>
      <c r="F5029" t="n">
        <v>25.5</v>
      </c>
      <c r="G5029" t="n">
        <v>231</v>
      </c>
      <c r="H5029" t="n">
        <v>4.46e-18</v>
      </c>
      <c r="I5029" t="inlineStr">
        <is>
          <t>Nr</t>
        </is>
      </c>
      <c r="J5029" t="inlineStr"/>
      <c r="K5029" t="inlineStr"/>
      <c r="L5029" t="inlineStr">
        <is>
          <t>XP_041053337.1 uncharacterized protein LOC121283180 [Carcharodon carcharias]</t>
        </is>
      </c>
      <c r="M5029" t="n">
        <v>633</v>
      </c>
      <c r="N5029" t="inlineStr">
        <is>
          <t>Carcharodon carcharias</t>
        </is>
      </c>
      <c r="O5029" t="inlineStr">
        <is>
          <t>uncharacterized protein LOC121283180</t>
        </is>
      </c>
    </row>
    <row r="5030">
      <c r="A5030" t="inlineStr"/>
      <c r="B5030" t="inlineStr"/>
      <c r="C5030" t="inlineStr"/>
      <c r="D5030" t="inlineStr"/>
      <c r="E5030">
        <f>HYPERLINK("https://www.ncbi.nlm.nih.gov/gene/?term=XP_041051382.1", "XP_041051382.1")</f>
        <v/>
      </c>
      <c r="F5030" t="n">
        <v>25.5</v>
      </c>
      <c r="G5030" t="n">
        <v>231</v>
      </c>
      <c r="H5030" t="n">
        <v>4.46e-18</v>
      </c>
      <c r="I5030" t="inlineStr">
        <is>
          <t>Nr</t>
        </is>
      </c>
      <c r="J5030" t="inlineStr"/>
      <c r="K5030" t="inlineStr"/>
      <c r="L5030" t="inlineStr">
        <is>
          <t>XP_041051382.1 uncharacterized protein LOC121282054 [Carcharodon carcharias]</t>
        </is>
      </c>
      <c r="M5030" t="n">
        <v>633</v>
      </c>
      <c r="N5030" t="inlineStr">
        <is>
          <t>Carcharodon carcharias</t>
        </is>
      </c>
      <c r="O5030" t="inlineStr">
        <is>
          <t>uncharacterized protein LOC121282054</t>
        </is>
      </c>
    </row>
    <row r="5031">
      <c r="A5031" t="inlineStr"/>
      <c r="B5031" t="inlineStr"/>
      <c r="C5031" t="inlineStr"/>
      <c r="D5031" t="inlineStr"/>
      <c r="E5031">
        <f>HYPERLINK("https://www.uniprot.org/uniprotkb/A0A8C5WIM5/entry", "A0A8C5WIM5")</f>
        <v/>
      </c>
      <c r="F5031" t="n">
        <v>41.7</v>
      </c>
      <c r="G5031" t="n">
        <v>96</v>
      </c>
      <c r="H5031" t="n">
        <v>4.83e-18</v>
      </c>
      <c r="I5031" t="inlineStr">
        <is>
          <t>TrEMBL</t>
        </is>
      </c>
      <c r="J5031" t="inlineStr"/>
      <c r="K5031" t="inlineStr">
        <is>
          <t>A0A8C5WIM5_9ANUR</t>
        </is>
      </c>
      <c r="L5031" t="inlineStr">
        <is>
          <t>tr|A0A8C5WIM5|A0A8C5WIM5_9ANUR Reverse transcriptase domain-containing protein OS=Leptobrachium leishanense OX=445787 PE=4 SV=1</t>
        </is>
      </c>
      <c r="M5031" t="n">
        <v>666</v>
      </c>
      <c r="N5031" t="inlineStr">
        <is>
          <t>Leptobrachium leishanense</t>
        </is>
      </c>
      <c r="O5031" t="inlineStr">
        <is>
          <t>Reverse transcriptase domain-containing protein</t>
        </is>
      </c>
    </row>
    <row r="5032">
      <c r="A5032" t="inlineStr"/>
      <c r="B5032" t="inlineStr"/>
      <c r="C5032" t="inlineStr"/>
      <c r="D5032" t="inlineStr"/>
      <c r="E5032">
        <f>HYPERLINK("https://www.uniprot.org/uniprotkb/A0A8C5PVS2/entry", "A0A8C5PVS2")</f>
        <v/>
      </c>
      <c r="F5032" t="n">
        <v>41.7</v>
      </c>
      <c r="G5032" t="n">
        <v>96</v>
      </c>
      <c r="H5032" t="n">
        <v>4.83e-18</v>
      </c>
      <c r="I5032" t="inlineStr">
        <is>
          <t>TrEMBL</t>
        </is>
      </c>
      <c r="J5032" t="inlineStr"/>
      <c r="K5032" t="inlineStr">
        <is>
          <t>A0A8C5PVS2_9ANUR</t>
        </is>
      </c>
      <c r="L5032" t="inlineStr">
        <is>
          <t>tr|A0A8C5PVS2|A0A8C5PVS2_9ANUR Reverse transcriptase domain-containing protein OS=Leptobrachium leishanense OX=445787 PE=4 SV=1</t>
        </is>
      </c>
      <c r="M5032" t="n">
        <v>667</v>
      </c>
      <c r="N5032" t="inlineStr">
        <is>
          <t>Leptobrachium leishanense</t>
        </is>
      </c>
      <c r="O5032" t="inlineStr">
        <is>
          <t>Reverse transcriptase domain-containing protein</t>
        </is>
      </c>
    </row>
    <row r="5033">
      <c r="A5033" t="inlineStr"/>
      <c r="B5033" t="inlineStr"/>
      <c r="C5033" t="inlineStr"/>
      <c r="D5033" t="inlineStr"/>
      <c r="E5033">
        <f>HYPERLINK("https://www.uniprot.org/uniprotkb/A0A8C5LXS4/entry", "A0A8C5LXS4")</f>
        <v/>
      </c>
      <c r="F5033" t="n">
        <v>41.7</v>
      </c>
      <c r="G5033" t="n">
        <v>96</v>
      </c>
      <c r="H5033" t="n">
        <v>4.97e-18</v>
      </c>
      <c r="I5033" t="inlineStr">
        <is>
          <t>TrEMBL</t>
        </is>
      </c>
      <c r="J5033" t="inlineStr"/>
      <c r="K5033" t="inlineStr">
        <is>
          <t>A0A8C5LXS4_9ANUR</t>
        </is>
      </c>
      <c r="L5033" t="inlineStr">
        <is>
          <t>tr|A0A8C5LXS4|A0A8C5LXS4_9ANUR Reverse transcriptase domain-containing protein OS=Leptobrachium leishanense OX=445787 PE=4 SV=1</t>
        </is>
      </c>
      <c r="M5033" t="n">
        <v>888</v>
      </c>
      <c r="N5033" t="inlineStr">
        <is>
          <t>Leptobrachium leishanense</t>
        </is>
      </c>
      <c r="O5033" t="inlineStr">
        <is>
          <t>Reverse transcriptase domain-containing protein</t>
        </is>
      </c>
    </row>
    <row r="5034">
      <c r="A5034" t="inlineStr"/>
      <c r="B5034" t="inlineStr"/>
      <c r="C5034" t="inlineStr"/>
      <c r="D5034" t="inlineStr"/>
      <c r="E5034">
        <f>HYPERLINK("https://www.uniprot.org/uniprotkb/A0A8C5MLZ2/entry", "A0A8C5MLZ2")</f>
        <v/>
      </c>
      <c r="F5034" t="n">
        <v>36.7</v>
      </c>
      <c r="G5034" t="n">
        <v>120</v>
      </c>
      <c r="H5034" t="n">
        <v>5.1e-18</v>
      </c>
      <c r="I5034" t="inlineStr">
        <is>
          <t>TrEMBL</t>
        </is>
      </c>
      <c r="J5034" t="inlineStr"/>
      <c r="K5034" t="inlineStr">
        <is>
          <t>A0A8C5MLZ2_9ANUR</t>
        </is>
      </c>
      <c r="L5034" t="inlineStr">
        <is>
          <t>tr|A0A8C5MLZ2|A0A8C5MLZ2_9ANUR Reverse transcriptase domain-containing protein OS=Leptobrachium leishanense OX=445787 PE=4 SV=1</t>
        </is>
      </c>
      <c r="M5034" t="n">
        <v>1277</v>
      </c>
      <c r="N5034" t="inlineStr">
        <is>
          <t>Leptobrachium leishanense</t>
        </is>
      </c>
      <c r="O5034" t="inlineStr">
        <is>
          <t>Reverse transcriptase domain-containing protein</t>
        </is>
      </c>
    </row>
    <row r="5035">
      <c r="A5035" t="inlineStr"/>
      <c r="B5035" t="inlineStr"/>
      <c r="C5035" t="inlineStr"/>
      <c r="D5035" t="inlineStr"/>
      <c r="E5035">
        <f>HYPERLINK("https://www.uniprot.org/uniprotkb/A0A8C5WHX1/entry", "A0A8C5WHX1")</f>
        <v/>
      </c>
      <c r="F5035" t="n">
        <v>39.3</v>
      </c>
      <c r="G5035" t="n">
        <v>107</v>
      </c>
      <c r="H5035" t="n">
        <v>6.94e-18</v>
      </c>
      <c r="I5035" t="inlineStr">
        <is>
          <t>TrEMBL</t>
        </is>
      </c>
      <c r="J5035" t="inlineStr"/>
      <c r="K5035" t="inlineStr">
        <is>
          <t>A0A8C5WHX1_9ANUR</t>
        </is>
      </c>
      <c r="L5035" t="inlineStr">
        <is>
          <t>tr|A0A8C5WHX1|A0A8C5WHX1_9ANUR Reverse transcriptase domain-containing protein OS=Leptobrachium leishanense OX=445787 PE=4 SV=1</t>
        </is>
      </c>
      <c r="M5035" t="n">
        <v>1225</v>
      </c>
      <c r="N5035" t="inlineStr">
        <is>
          <t>Leptobrachium leishanense</t>
        </is>
      </c>
      <c r="O5035" t="inlineStr">
        <is>
          <t>Reverse transcriptase domain-containing protein</t>
        </is>
      </c>
    </row>
    <row r="5036">
      <c r="A5036" t="inlineStr"/>
      <c r="B5036" t="inlineStr"/>
      <c r="C5036" t="inlineStr"/>
      <c r="D5036" t="inlineStr"/>
      <c r="E5036">
        <f>HYPERLINK("https://www.uniprot.org/uniprotkb/A0A8C5M0C7/entry", "A0A8C5M0C7")</f>
        <v/>
      </c>
      <c r="F5036" t="n">
        <v>37.1</v>
      </c>
      <c r="G5036" t="n">
        <v>124</v>
      </c>
      <c r="H5036" t="n">
        <v>9.270000000000001e-18</v>
      </c>
      <c r="I5036" t="inlineStr">
        <is>
          <t>TrEMBL</t>
        </is>
      </c>
      <c r="J5036" t="inlineStr"/>
      <c r="K5036" t="inlineStr">
        <is>
          <t>A0A8C5M0C7_9ANUR</t>
        </is>
      </c>
      <c r="L5036" t="inlineStr">
        <is>
          <t>tr|A0A8C5M0C7|A0A8C5M0C7_9ANUR Reverse transcriptase domain-containing protein OS=Leptobrachium leishanense OX=445787 PE=4 SV=1</t>
        </is>
      </c>
      <c r="M5036" t="n">
        <v>908</v>
      </c>
      <c r="N5036" t="inlineStr">
        <is>
          <t>Leptobrachium leishanense</t>
        </is>
      </c>
      <c r="O5036" t="inlineStr">
        <is>
          <t>Reverse transcriptase domain-containing protein</t>
        </is>
      </c>
    </row>
    <row r="5037">
      <c r="A5037" t="inlineStr"/>
      <c r="B5037" t="inlineStr"/>
      <c r="C5037" t="inlineStr"/>
      <c r="D5037" t="inlineStr"/>
      <c r="E5037">
        <f>HYPERLINK("https://www.uniprot.org/uniprotkb/A0A8C5PSZ8/entry", "A0A8C5PSZ8")</f>
        <v/>
      </c>
      <c r="F5037" t="n">
        <v>40.6</v>
      </c>
      <c r="G5037" t="n">
        <v>96</v>
      </c>
      <c r="H5037" t="n">
        <v>9.3e-18</v>
      </c>
      <c r="I5037" t="inlineStr">
        <is>
          <t>TrEMBL</t>
        </is>
      </c>
      <c r="J5037" t="inlineStr"/>
      <c r="K5037" t="inlineStr">
        <is>
          <t>A0A8C5PSZ8_9ANUR</t>
        </is>
      </c>
      <c r="L5037" t="inlineStr">
        <is>
          <t>tr|A0A8C5PSZ8|A0A8C5PSZ8_9ANUR Reverse transcriptase domain-containing protein OS=Leptobrachium leishanense OX=445787 PE=4 SV=1</t>
        </is>
      </c>
      <c r="M5037" t="n">
        <v>943</v>
      </c>
      <c r="N5037" t="inlineStr">
        <is>
          <t>Leptobrachium leishanense</t>
        </is>
      </c>
      <c r="O5037" t="inlineStr">
        <is>
          <t>Reverse transcriptase domain-containing protein</t>
        </is>
      </c>
    </row>
    <row r="5038">
      <c r="A5038" t="inlineStr"/>
      <c r="B5038" t="inlineStr"/>
      <c r="C5038" t="inlineStr"/>
      <c r="D5038" t="inlineStr"/>
      <c r="E5038">
        <f>HYPERLINK("https://www.uniprot.org/uniprotkb/A0A8C5Q4M0/entry", "A0A8C5Q4M0")</f>
        <v/>
      </c>
      <c r="F5038" t="n">
        <v>34.5</v>
      </c>
      <c r="G5038" t="n">
        <v>119</v>
      </c>
      <c r="H5038" t="n">
        <v>9.37e-18</v>
      </c>
      <c r="I5038" t="inlineStr">
        <is>
          <t>TrEMBL</t>
        </is>
      </c>
      <c r="J5038" t="inlineStr"/>
      <c r="K5038" t="inlineStr">
        <is>
          <t>A0A8C5Q4M0_9ANUR</t>
        </is>
      </c>
      <c r="L5038" t="inlineStr">
        <is>
          <t>tr|A0A8C5Q4M0|A0A8C5Q4M0_9ANUR Reverse transcriptase domain-containing protein OS=Leptobrachium leishanense OX=445787 PE=4 SV=1</t>
        </is>
      </c>
      <c r="M5038" t="n">
        <v>1044</v>
      </c>
      <c r="N5038" t="inlineStr">
        <is>
          <t>Leptobrachium leishanense</t>
        </is>
      </c>
      <c r="O5038" t="inlineStr">
        <is>
          <t>Reverse transcriptase domain-containing protein</t>
        </is>
      </c>
    </row>
    <row r="5039">
      <c r="A5039" t="inlineStr"/>
      <c r="B5039" t="inlineStr"/>
      <c r="C5039" t="inlineStr"/>
      <c r="D5039" t="inlineStr"/>
      <c r="E5039">
        <f>HYPERLINK("https://www.uniprot.org/uniprotkb/A0A8C5LXU3/entry", "A0A8C5LXU3")</f>
        <v/>
      </c>
      <c r="F5039" t="n">
        <v>40.6</v>
      </c>
      <c r="G5039" t="n">
        <v>96</v>
      </c>
      <c r="H5039" t="n">
        <v>9.43e-18</v>
      </c>
      <c r="I5039" t="inlineStr">
        <is>
          <t>TrEMBL</t>
        </is>
      </c>
      <c r="J5039" t="inlineStr"/>
      <c r="K5039" t="inlineStr">
        <is>
          <t>A0A8C5LXU3_9ANUR</t>
        </is>
      </c>
      <c r="L5039" t="inlineStr">
        <is>
          <t>tr|A0A8C5LXU3|A0A8C5LXU3_9ANUR Reverse transcriptase domain-containing protein OS=Leptobrachium leishanense OX=445787 PE=4 SV=1</t>
        </is>
      </c>
      <c r="M5039" t="n">
        <v>1155</v>
      </c>
      <c r="N5039" t="inlineStr">
        <is>
          <t>Leptobrachium leishanense</t>
        </is>
      </c>
      <c r="O5039" t="inlineStr">
        <is>
          <t>Reverse transcriptase domain-containing protein</t>
        </is>
      </c>
    </row>
    <row r="5040">
      <c r="A5040" t="inlineStr"/>
      <c r="B5040" t="inlineStr"/>
      <c r="C5040" t="inlineStr"/>
      <c r="D5040" t="inlineStr"/>
      <c r="E5040">
        <f>HYPERLINK("https://www.uniprot.org/uniprotkb/A0A8C5PKM6/entry", "A0A8C5PKM6")</f>
        <v/>
      </c>
      <c r="F5040" t="n">
        <v>40.6</v>
      </c>
      <c r="G5040" t="n">
        <v>96</v>
      </c>
      <c r="H5040" t="n">
        <v>9.48e-18</v>
      </c>
      <c r="I5040" t="inlineStr">
        <is>
          <t>TrEMBL</t>
        </is>
      </c>
      <c r="J5040" t="inlineStr"/>
      <c r="K5040" t="inlineStr">
        <is>
          <t>A0A8C5PKM6_9ANUR</t>
        </is>
      </c>
      <c r="L5040" t="inlineStr">
        <is>
          <t>tr|A0A8C5PKM6|A0A8C5PKM6_9ANUR Reverse transcriptase domain-containing protein OS=Leptobrachium leishanense OX=445787 PE=4 SV=1</t>
        </is>
      </c>
      <c r="M5040" t="n">
        <v>1263</v>
      </c>
      <c r="N5040" t="inlineStr">
        <is>
          <t>Leptobrachium leishanense</t>
        </is>
      </c>
      <c r="O5040" t="inlineStr">
        <is>
          <t>Reverse transcriptase domain-containing protein</t>
        </is>
      </c>
    </row>
    <row r="5041">
      <c r="A5041" t="inlineStr"/>
      <c r="B5041" t="inlineStr"/>
      <c r="C5041" t="inlineStr"/>
      <c r="D5041" t="inlineStr"/>
      <c r="E5041">
        <f>HYPERLINK("https://www.uniprot.org/uniprotkb/P21328/entry", "P21328")</f>
        <v/>
      </c>
      <c r="F5041" t="n">
        <v>24.3</v>
      </c>
      <c r="G5041" t="n">
        <v>787</v>
      </c>
      <c r="H5041" t="n">
        <v>4.46e-17</v>
      </c>
      <c r="I5041" t="inlineStr">
        <is>
          <t>Swiss-Prot</t>
        </is>
      </c>
      <c r="J5041" t="inlineStr">
        <is>
          <t>pol</t>
        </is>
      </c>
      <c r="K5041" t="inlineStr">
        <is>
          <t>RTJK_DROME</t>
        </is>
      </c>
      <c r="L5041" t="inlineStr">
        <is>
          <t>sp|P21328|RTJK_DROME RNA-directed DNA polymerase from mobile element jockey OS=Drosophila melanogaster OX=7227 GN=pol PE=1 SV=1</t>
        </is>
      </c>
      <c r="M5041" t="n">
        <v>916</v>
      </c>
      <c r="N5041" t="inlineStr">
        <is>
          <t>Drosophila melanogaster</t>
        </is>
      </c>
      <c r="O5041" t="inlineStr">
        <is>
          <t>RNA-directed DNA polymerase from mobile element jockey</t>
        </is>
      </c>
    </row>
    <row r="5042">
      <c r="A5042" t="inlineStr"/>
      <c r="B5042" t="inlineStr"/>
      <c r="C5042" t="inlineStr"/>
      <c r="D5042" t="inlineStr"/>
      <c r="E5042">
        <f>HYPERLINK("https://www.ncbi.nlm.nih.gov/gene/?term=XP_040178291.1", "XP_040178291.1")</f>
        <v/>
      </c>
      <c r="F5042" t="n">
        <v>34.5</v>
      </c>
      <c r="G5042" t="n">
        <v>119</v>
      </c>
      <c r="H5042" t="n">
        <v>6.38e-17</v>
      </c>
      <c r="I5042" t="inlineStr">
        <is>
          <t>Nr</t>
        </is>
      </c>
      <c r="J5042" t="inlineStr"/>
      <c r="K5042" t="inlineStr"/>
      <c r="L5042" t="inlineStr">
        <is>
          <t>XP_040178291.1 uncharacterized protein LOC120910599, partial [Rana temporaria]</t>
        </is>
      </c>
      <c r="M5042" t="n">
        <v>2918</v>
      </c>
      <c r="N5042" t="inlineStr">
        <is>
          <t>Rana temporaria</t>
        </is>
      </c>
      <c r="O5042" t="inlineStr">
        <is>
          <t>uncharacterized protein LOC120910599, partial</t>
        </is>
      </c>
    </row>
    <row r="5043">
      <c r="A5043" t="inlineStr"/>
      <c r="B5043" t="inlineStr"/>
      <c r="C5043" t="inlineStr"/>
      <c r="D5043" t="inlineStr"/>
      <c r="E5043">
        <f>HYPERLINK("https://www.ncbi.nlm.nih.gov/gene/?term=KAJ1210588.1", "KAJ1210588.1")</f>
        <v/>
      </c>
      <c r="F5043" t="n">
        <v>36.7</v>
      </c>
      <c r="G5043" t="n">
        <v>109</v>
      </c>
      <c r="H5043" t="n">
        <v>6.45e-17</v>
      </c>
      <c r="I5043" t="inlineStr">
        <is>
          <t>Nr</t>
        </is>
      </c>
      <c r="J5043" t="inlineStr"/>
      <c r="K5043" t="inlineStr"/>
      <c r="L5043" t="inlineStr">
        <is>
          <t>KAJ1210588.1 hypothetical protein NDU88_005950 [Pleurodeles waltl]</t>
        </is>
      </c>
      <c r="M5043" t="n">
        <v>264</v>
      </c>
      <c r="N5043" t="inlineStr">
        <is>
          <t>Pleurodeles waltl</t>
        </is>
      </c>
      <c r="O5043" t="inlineStr">
        <is>
          <t>hypothetical protein NDU88_005950</t>
        </is>
      </c>
    </row>
    <row r="5044">
      <c r="A5044" t="inlineStr"/>
      <c r="B5044" t="inlineStr"/>
      <c r="C5044" t="inlineStr"/>
      <c r="D5044" t="inlineStr"/>
      <c r="E5044">
        <f>HYPERLINK("https://www.ncbi.nlm.nih.gov/gene/?term=KAJ1106762.1", "KAJ1106762.1")</f>
        <v/>
      </c>
      <c r="F5044" t="n">
        <v>33.9</v>
      </c>
      <c r="G5044" t="n">
        <v>118</v>
      </c>
      <c r="H5044" t="n">
        <v>9.25e-17</v>
      </c>
      <c r="I5044" t="inlineStr">
        <is>
          <t>Nr</t>
        </is>
      </c>
      <c r="J5044" t="inlineStr"/>
      <c r="K5044" t="inlineStr"/>
      <c r="L5044" t="inlineStr">
        <is>
          <t>KAJ1106762.1 hypothetical protein NDU88_004162 [Pleurodeles waltl]</t>
        </is>
      </c>
      <c r="M5044" t="n">
        <v>208</v>
      </c>
      <c r="N5044" t="inlineStr">
        <is>
          <t>Pleurodeles waltl</t>
        </is>
      </c>
      <c r="O5044" t="inlineStr">
        <is>
          <t>hypothetical protein NDU88_004162</t>
        </is>
      </c>
    </row>
    <row r="5045">
      <c r="A5045" t="inlineStr"/>
      <c r="B5045" t="inlineStr"/>
      <c r="C5045" t="inlineStr"/>
      <c r="D5045" t="inlineStr"/>
      <c r="E5045">
        <f>HYPERLINK("https://www.uniprot.org/uniprotkb/Q95SX7/entry", "Q95SX7")</f>
        <v/>
      </c>
      <c r="F5045" t="n">
        <v>26.6</v>
      </c>
      <c r="G5045" t="n">
        <v>383</v>
      </c>
      <c r="H5045" t="n">
        <v>3.04e-16</v>
      </c>
      <c r="I5045" t="inlineStr">
        <is>
          <t>Swiss-Prot</t>
        </is>
      </c>
      <c r="J5045" t="inlineStr">
        <is>
          <t>RTase</t>
        </is>
      </c>
      <c r="K5045" t="inlineStr">
        <is>
          <t>RTBS_DROME</t>
        </is>
      </c>
      <c r="L5045" t="inlineStr">
        <is>
          <t>sp|Q95SX7|RTBS_DROME Probable RNA-directed DNA polymerase from transposon BS OS=Drosophila melanogaster OX=7227 GN=RTase PE=2 SV=1</t>
        </is>
      </c>
      <c r="M5045" t="n">
        <v>906</v>
      </c>
      <c r="N5045" t="inlineStr">
        <is>
          <t>Drosophila melanogaster</t>
        </is>
      </c>
      <c r="O5045" t="inlineStr">
        <is>
          <t>Probable RNA-directed DNA polymerase from transposon BS</t>
        </is>
      </c>
    </row>
    <row r="5046">
      <c r="A5046" t="inlineStr"/>
      <c r="B5046" t="inlineStr"/>
      <c r="C5046" t="inlineStr"/>
      <c r="D5046" t="inlineStr"/>
      <c r="E5046">
        <f>HYPERLINK("https://www.ncbi.nlm.nih.gov/gene/?term=XP_041038134.1", "XP_041038134.1")</f>
        <v/>
      </c>
      <c r="F5046" t="n">
        <v>27.2</v>
      </c>
      <c r="G5046" t="n">
        <v>191</v>
      </c>
      <c r="H5046" t="n">
        <v>6.4e-16</v>
      </c>
      <c r="I5046" t="inlineStr">
        <is>
          <t>Nr</t>
        </is>
      </c>
      <c r="J5046" t="inlineStr"/>
      <c r="K5046" t="inlineStr"/>
      <c r="L5046" t="inlineStr">
        <is>
          <t>XP_041038134.1 uncharacterized protein LOC121274834 [Carcharodon carcharias]</t>
        </is>
      </c>
      <c r="M5046" t="n">
        <v>464</v>
      </c>
      <c r="N5046" t="inlineStr">
        <is>
          <t>Carcharodon carcharias</t>
        </is>
      </c>
      <c r="O5046" t="inlineStr">
        <is>
          <t>uncharacterized protein LOC121274834</t>
        </is>
      </c>
    </row>
    <row r="5047">
      <c r="A5047" t="inlineStr"/>
      <c r="B5047" t="inlineStr"/>
      <c r="C5047" t="inlineStr"/>
      <c r="D5047" t="inlineStr"/>
      <c r="E5047">
        <f>HYPERLINK("https://www.ncbi.nlm.nih.gov/gene/?term=XP_019062660.1", "XP_019062660.1")</f>
        <v/>
      </c>
      <c r="F5047" t="n">
        <v>27.4</v>
      </c>
      <c r="G5047" t="n">
        <v>215</v>
      </c>
      <c r="H5047" t="n">
        <v>2.28e-15</v>
      </c>
      <c r="I5047" t="inlineStr">
        <is>
          <t>Nr</t>
        </is>
      </c>
      <c r="J5047" t="inlineStr"/>
      <c r="K5047" t="inlineStr"/>
      <c r="L5047" t="inlineStr">
        <is>
          <t>XP_019062660.1 uncharacterized protein LOC104860399 isoform X1 [Fukomys damarensis]</t>
        </is>
      </c>
      <c r="M5047" t="n">
        <v>637</v>
      </c>
      <c r="N5047" t="inlineStr">
        <is>
          <t>Fukomys damarensis</t>
        </is>
      </c>
      <c r="O5047" t="inlineStr">
        <is>
          <t>uncharacterized protein LOC104860399 isoform X1</t>
        </is>
      </c>
    </row>
    <row r="5048">
      <c r="A5048" t="inlineStr"/>
      <c r="B5048" t="inlineStr"/>
      <c r="C5048" t="inlineStr"/>
      <c r="D5048" t="inlineStr"/>
      <c r="E5048">
        <f>HYPERLINK("https://www.ncbi.nlm.nih.gov/gene/?term=XP_041068998.1", "XP_041068998.1")</f>
        <v/>
      </c>
      <c r="F5048" t="n">
        <v>26.7</v>
      </c>
      <c r="G5048" t="n">
        <v>191</v>
      </c>
      <c r="H5048" t="n">
        <v>6.67e-15</v>
      </c>
      <c r="I5048" t="inlineStr">
        <is>
          <t>Nr</t>
        </is>
      </c>
      <c r="J5048" t="inlineStr"/>
      <c r="K5048" t="inlineStr"/>
      <c r="L5048" t="inlineStr">
        <is>
          <t>XP_041068998.1 uncharacterized protein LOC121291617 [Carcharodon carcharias]</t>
        </is>
      </c>
      <c r="M5048" t="n">
        <v>450</v>
      </c>
      <c r="N5048" t="inlineStr">
        <is>
          <t>Carcharodon carcharias</t>
        </is>
      </c>
      <c r="O5048" t="inlineStr">
        <is>
          <t>uncharacterized protein LOC121291617</t>
        </is>
      </c>
    </row>
    <row r="5049">
      <c r="A5049" t="inlineStr"/>
      <c r="B5049" t="inlineStr"/>
      <c r="C5049" t="inlineStr"/>
      <c r="D5049" t="inlineStr"/>
      <c r="E5049">
        <f>HYPERLINK("https://www.ncbi.nlm.nih.gov/gene/?term=KAF7646938.1", "KAF7646938.1")</f>
        <v/>
      </c>
      <c r="F5049" t="n">
        <v>42.2</v>
      </c>
      <c r="G5049" t="n">
        <v>90</v>
      </c>
      <c r="H5049" t="n">
        <v>1.27e-14</v>
      </c>
      <c r="I5049" t="inlineStr">
        <is>
          <t>Nr</t>
        </is>
      </c>
      <c r="J5049" t="inlineStr"/>
      <c r="K5049" t="inlineStr"/>
      <c r="L5049" t="inlineStr">
        <is>
          <t>KAF7646938.1 hypothetical protein LDENG_00180290 [Lucifuga dentata]</t>
        </is>
      </c>
      <c r="M5049" t="n">
        <v>217</v>
      </c>
      <c r="N5049" t="inlineStr">
        <is>
          <t>Lucifuga dentata</t>
        </is>
      </c>
      <c r="O5049" t="inlineStr">
        <is>
          <t>hypothetical protein LDENG_00180290</t>
        </is>
      </c>
    </row>
    <row r="5050">
      <c r="A5050" t="inlineStr"/>
      <c r="B5050" t="inlineStr"/>
      <c r="C5050" t="inlineStr"/>
      <c r="D5050" t="inlineStr"/>
      <c r="E5050">
        <f>HYPERLINK("https://www.ncbi.nlm.nih.gov/gene/?term=XP_040274347.1", "XP_040274347.1")</f>
        <v/>
      </c>
      <c r="F5050" t="n">
        <v>40.2</v>
      </c>
      <c r="G5050" t="n">
        <v>97</v>
      </c>
      <c r="H5050" t="n">
        <v>1.48e-14</v>
      </c>
      <c r="I5050" t="inlineStr">
        <is>
          <t>Nr</t>
        </is>
      </c>
      <c r="J5050" t="inlineStr"/>
      <c r="K5050" t="inlineStr"/>
      <c r="L5050" t="inlineStr">
        <is>
          <t>XP_040274347.1 olfactory receptor 1468-like [Bufo bufo]</t>
        </is>
      </c>
      <c r="M5050" t="n">
        <v>503</v>
      </c>
      <c r="N5050" t="inlineStr">
        <is>
          <t>Bufo bufo</t>
        </is>
      </c>
      <c r="O5050" t="inlineStr">
        <is>
          <t>olfactory receptor 1468-like</t>
        </is>
      </c>
    </row>
    <row r="5051">
      <c r="A5051" t="inlineStr"/>
      <c r="B5051" t="inlineStr"/>
      <c r="C5051" t="inlineStr"/>
      <c r="D5051" t="inlineStr"/>
      <c r="E5051">
        <f>HYPERLINK("https://www.ncbi.nlm.nih.gov/gene/?term=XP_018408140.1", "XP_018408140.1")</f>
        <v/>
      </c>
      <c r="F5051" t="n">
        <v>35.6</v>
      </c>
      <c r="G5051" t="n">
        <v>118</v>
      </c>
      <c r="H5051" t="n">
        <v>2.93e-14</v>
      </c>
      <c r="I5051" t="inlineStr">
        <is>
          <t>Nr</t>
        </is>
      </c>
      <c r="J5051" t="inlineStr"/>
      <c r="K5051" t="inlineStr"/>
      <c r="L5051" t="inlineStr">
        <is>
          <t>XP_018408140.1 PREDICTED: uncharacterized protein LOC108783928 [Nanorana parkeri]</t>
        </is>
      </c>
      <c r="M5051" t="n">
        <v>694</v>
      </c>
      <c r="N5051" t="inlineStr">
        <is>
          <t>Nanorana parkeri</t>
        </is>
      </c>
      <c r="O5051" t="inlineStr">
        <is>
          <t>PREDICTED: uncharacterized protein LOC108783928</t>
        </is>
      </c>
    </row>
    <row r="5052">
      <c r="A5052" t="inlineStr"/>
      <c r="B5052" t="inlineStr"/>
      <c r="C5052" t="inlineStr"/>
      <c r="D5052" t="inlineStr"/>
      <c r="E5052">
        <f>HYPERLINK("https://www.uniprot.org/uniprotkb/A0A8J1MAR4/entry", "A0A8J1MAR4")</f>
        <v/>
      </c>
      <c r="F5052" t="n">
        <v>29.2</v>
      </c>
      <c r="G5052" t="n">
        <v>178</v>
      </c>
      <c r="H5052" t="n">
        <v>3.41e-14</v>
      </c>
      <c r="I5052" t="inlineStr">
        <is>
          <t>TrEMBL</t>
        </is>
      </c>
      <c r="J5052" t="inlineStr">
        <is>
          <t>LOC121400092</t>
        </is>
      </c>
      <c r="K5052" t="inlineStr">
        <is>
          <t>A0A8J1MAR4_XENLA</t>
        </is>
      </c>
      <c r="L5052" t="inlineStr">
        <is>
          <t>tr|A0A8J1MAR4|A0A8J1MAR4_XENLA uncharacterized protein LOC121400092 OS=Xenopus laevis OX=8355 GN=LOC121400092 PE=4 SV=1</t>
        </is>
      </c>
      <c r="M5052" t="n">
        <v>510</v>
      </c>
      <c r="N5052" t="inlineStr">
        <is>
          <t>Xenopus laevis</t>
        </is>
      </c>
      <c r="O5052" t="inlineStr">
        <is>
          <t>uncharacterized protein LOC121400092</t>
        </is>
      </c>
    </row>
    <row r="5053">
      <c r="A5053" t="inlineStr"/>
      <c r="B5053" t="inlineStr"/>
      <c r="C5053" t="inlineStr"/>
      <c r="D5053" t="inlineStr"/>
      <c r="E5053">
        <f>HYPERLINK("https://www.uniprot.org/uniprotkb/A0A8I4A1E3/entry", "A0A8I4A1E3")</f>
        <v/>
      </c>
      <c r="F5053" t="n">
        <v>25.2</v>
      </c>
      <c r="G5053" t="n">
        <v>226</v>
      </c>
      <c r="H5053" t="n">
        <v>3.95e-14</v>
      </c>
      <c r="I5053" t="inlineStr">
        <is>
          <t>TrEMBL</t>
        </is>
      </c>
      <c r="J5053" t="inlineStr"/>
      <c r="K5053" t="inlineStr">
        <is>
          <t>A0A8I4A1E3_CALJA</t>
        </is>
      </c>
      <c r="L5053" t="inlineStr">
        <is>
          <t>tr|A0A8I4A1E3|A0A8I4A1E3_CALJA GPS domain-containing protein OS=Callithrix jacchus OX=9483 PE=4 SV=1</t>
        </is>
      </c>
      <c r="M5053" t="n">
        <v>601</v>
      </c>
      <c r="N5053" t="inlineStr">
        <is>
          <t>Callithrix jacchus</t>
        </is>
      </c>
      <c r="O5053" t="inlineStr">
        <is>
          <t>GPS domain-containing protein</t>
        </is>
      </c>
    </row>
    <row r="5054">
      <c r="A5054" t="inlineStr"/>
      <c r="B5054" t="inlineStr"/>
      <c r="C5054" t="inlineStr"/>
      <c r="D5054" t="inlineStr"/>
      <c r="E5054">
        <f>HYPERLINK("https://www.ncbi.nlm.nih.gov/gene/?term=KAJ1174123.1", "KAJ1174123.1")</f>
        <v/>
      </c>
      <c r="F5054" t="n">
        <v>34.7</v>
      </c>
      <c r="G5054" t="n">
        <v>118</v>
      </c>
      <c r="H5054" t="n">
        <v>4.07e-14</v>
      </c>
      <c r="I5054" t="inlineStr">
        <is>
          <t>Nr</t>
        </is>
      </c>
      <c r="J5054" t="inlineStr"/>
      <c r="K5054" t="inlineStr"/>
      <c r="L5054" t="inlineStr">
        <is>
          <t>KAJ1174123.1 hypothetical protein NDU88_005946 [Pleurodeles waltl]</t>
        </is>
      </c>
      <c r="M5054" t="n">
        <v>127</v>
      </c>
      <c r="N5054" t="inlineStr">
        <is>
          <t>Pleurodeles waltl</t>
        </is>
      </c>
      <c r="O5054" t="inlineStr">
        <is>
          <t>hypothetical protein NDU88_005946</t>
        </is>
      </c>
    </row>
    <row r="5055">
      <c r="A5055" t="inlineStr"/>
      <c r="B5055" t="inlineStr"/>
      <c r="C5055" t="inlineStr"/>
      <c r="D5055" t="inlineStr"/>
      <c r="E5055">
        <f>HYPERLINK("https://www.ncbi.nlm.nih.gov/gene/?term=XP_041438795.1", "XP_041438795.1")</f>
        <v/>
      </c>
      <c r="F5055" t="n">
        <v>29.2</v>
      </c>
      <c r="G5055" t="n">
        <v>178</v>
      </c>
      <c r="H5055" t="n">
        <v>8.76e-14</v>
      </c>
      <c r="I5055" t="inlineStr">
        <is>
          <t>Nr</t>
        </is>
      </c>
      <c r="J5055" t="inlineStr"/>
      <c r="K5055" t="inlineStr"/>
      <c r="L5055" t="inlineStr">
        <is>
          <t>XP_041438795.1 uncharacterized protein LOC121400092 [Xenopus laevis]</t>
        </is>
      </c>
      <c r="M5055" t="n">
        <v>510</v>
      </c>
      <c r="N5055" t="inlineStr">
        <is>
          <t>Xenopus laevis</t>
        </is>
      </c>
      <c r="O5055" t="inlineStr">
        <is>
          <t>uncharacterized protein LOC121400092</t>
        </is>
      </c>
    </row>
    <row r="5056">
      <c r="A5056" t="inlineStr"/>
      <c r="B5056" t="inlineStr"/>
      <c r="C5056" t="inlineStr"/>
      <c r="D5056" t="inlineStr"/>
      <c r="E5056">
        <f>HYPERLINK("https://www.ncbi.nlm.nih.gov/gene/?term=XP_018429813.1", "XP_018429813.1")</f>
        <v/>
      </c>
      <c r="F5056" t="n">
        <v>31.7</v>
      </c>
      <c r="G5056" t="n">
        <v>120</v>
      </c>
      <c r="H5056" t="n">
        <v>1.34e-13</v>
      </c>
      <c r="I5056" t="inlineStr">
        <is>
          <t>Nr</t>
        </is>
      </c>
      <c r="J5056" t="inlineStr"/>
      <c r="K5056" t="inlineStr"/>
      <c r="L5056" t="inlineStr">
        <is>
          <t>XP_018429813.1 PREDICTED: integrin beta-2-like [Nanorana parkeri]</t>
        </is>
      </c>
      <c r="M5056" t="n">
        <v>559</v>
      </c>
      <c r="N5056" t="inlineStr">
        <is>
          <t>Nanorana parkeri</t>
        </is>
      </c>
      <c r="O5056" t="inlineStr">
        <is>
          <t>PREDICTED: integrin beta-2-like</t>
        </is>
      </c>
    </row>
    <row r="5057">
      <c r="A5057" t="inlineStr"/>
      <c r="B5057" t="inlineStr"/>
      <c r="C5057" t="inlineStr"/>
      <c r="D5057" t="inlineStr"/>
      <c r="E5057">
        <f>HYPERLINK("https://www.uniprot.org/uniprotkb/A0A8J1KST1/entry", "A0A8J1KST1")</f>
        <v/>
      </c>
      <c r="F5057" t="n">
        <v>28.1</v>
      </c>
      <c r="G5057" t="n">
        <v>185</v>
      </c>
      <c r="H5057" t="n">
        <v>1.51e-13</v>
      </c>
      <c r="I5057" t="inlineStr">
        <is>
          <t>TrEMBL</t>
        </is>
      </c>
      <c r="J5057" t="inlineStr">
        <is>
          <t>LOC121394197</t>
        </is>
      </c>
      <c r="K5057" t="inlineStr">
        <is>
          <t>A0A8J1KST1_XENLA</t>
        </is>
      </c>
      <c r="L5057" t="inlineStr">
        <is>
          <t>tr|A0A8J1KST1|A0A8J1KST1_XENLA uncharacterized protein LOC121394197 OS=Xenopus laevis OX=8355 GN=LOC121394197 PE=4 SV=1</t>
        </is>
      </c>
      <c r="M5057" t="n">
        <v>516</v>
      </c>
      <c r="N5057" t="inlineStr">
        <is>
          <t>Xenopus laevis</t>
        </is>
      </c>
      <c r="O5057" t="inlineStr">
        <is>
          <t>uncharacterized protein LOC121394197</t>
        </is>
      </c>
    </row>
    <row r="5058">
      <c r="A5058" t="inlineStr"/>
      <c r="B5058" t="inlineStr"/>
      <c r="C5058" t="inlineStr"/>
      <c r="D5058" t="inlineStr"/>
      <c r="E5058">
        <f>HYPERLINK("https://www.uniprot.org/uniprotkb/A0A8J1KMD9/entry", "A0A8J1KMD9")</f>
        <v/>
      </c>
      <c r="F5058" t="n">
        <v>28.1</v>
      </c>
      <c r="G5058" t="n">
        <v>185</v>
      </c>
      <c r="H5058" t="n">
        <v>1.51e-13</v>
      </c>
      <c r="I5058" t="inlineStr">
        <is>
          <t>TrEMBL</t>
        </is>
      </c>
      <c r="J5058" t="inlineStr">
        <is>
          <t>LOC121393311</t>
        </is>
      </c>
      <c r="K5058" t="inlineStr">
        <is>
          <t>A0A8J1KMD9_XENLA</t>
        </is>
      </c>
      <c r="L5058" t="inlineStr">
        <is>
          <t>tr|A0A8J1KMD9|A0A8J1KMD9_XENLA uncharacterized protein LOC121393311 OS=Xenopus laevis OX=8355 GN=LOC121393311 PE=4 SV=1</t>
        </is>
      </c>
      <c r="M5058" t="n">
        <v>516</v>
      </c>
      <c r="N5058" t="inlineStr">
        <is>
          <t>Xenopus laevis</t>
        </is>
      </c>
      <c r="O5058" t="inlineStr">
        <is>
          <t>uncharacterized protein LOC121393311</t>
        </is>
      </c>
    </row>
    <row r="5059">
      <c r="A5059" t="inlineStr"/>
      <c r="B5059" t="inlineStr"/>
      <c r="C5059" t="inlineStr"/>
      <c r="D5059" t="inlineStr"/>
      <c r="E5059">
        <f>HYPERLINK("https://www.ncbi.nlm.nih.gov/gene/?term=XP_036602721.1", "XP_036602721.1")</f>
        <v/>
      </c>
      <c r="F5059" t="n">
        <v>25.8</v>
      </c>
      <c r="G5059" t="n">
        <v>217</v>
      </c>
      <c r="H5059" t="n">
        <v>1.93e-13</v>
      </c>
      <c r="I5059" t="inlineStr">
        <is>
          <t>Nr</t>
        </is>
      </c>
      <c r="J5059" t="inlineStr"/>
      <c r="K5059" t="inlineStr"/>
      <c r="L5059" t="inlineStr">
        <is>
          <t>XP_036602721.1 uncharacterized protein LOC118839367 [Trichosurus vulpecula]</t>
        </is>
      </c>
      <c r="M5059" t="n">
        <v>659</v>
      </c>
      <c r="N5059" t="inlineStr">
        <is>
          <t>Trichosurus vulpecula</t>
        </is>
      </c>
      <c r="O5059" t="inlineStr">
        <is>
          <t>uncharacterized protein LOC118839367</t>
        </is>
      </c>
    </row>
    <row r="5060">
      <c r="A5060" t="inlineStr"/>
      <c r="B5060" t="inlineStr"/>
      <c r="C5060" t="inlineStr"/>
      <c r="D5060" t="inlineStr"/>
      <c r="E5060">
        <f>HYPERLINK("https://www.ncbi.nlm.nih.gov/gene/?term=KAJ1144832.1", "KAJ1144832.1")</f>
        <v/>
      </c>
      <c r="F5060" t="n">
        <v>32.2</v>
      </c>
      <c r="G5060" t="n">
        <v>118</v>
      </c>
      <c r="H5060" t="n">
        <v>2.03e-13</v>
      </c>
      <c r="I5060" t="inlineStr">
        <is>
          <t>Nr</t>
        </is>
      </c>
      <c r="J5060" t="inlineStr"/>
      <c r="K5060" t="inlineStr"/>
      <c r="L5060" t="inlineStr">
        <is>
          <t>KAJ1144832.1 hypothetical protein NDU88_011126 [Pleurodeles waltl]</t>
        </is>
      </c>
      <c r="M5060" t="n">
        <v>398</v>
      </c>
      <c r="N5060" t="inlineStr">
        <is>
          <t>Pleurodeles waltl</t>
        </is>
      </c>
      <c r="O5060" t="inlineStr">
        <is>
          <t>hypothetical protein NDU88_011126</t>
        </is>
      </c>
    </row>
    <row r="5061">
      <c r="A5061" t="inlineStr"/>
      <c r="B5061" t="inlineStr"/>
      <c r="C5061" t="inlineStr"/>
      <c r="D5061" t="inlineStr"/>
      <c r="E5061">
        <f>HYPERLINK("https://www.uniprot.org/uniprotkb/A0A3P9HQT4/entry", "A0A3P9HQT4")</f>
        <v/>
      </c>
      <c r="F5061" t="n">
        <v>24</v>
      </c>
      <c r="G5061" t="n">
        <v>221</v>
      </c>
      <c r="H5061" t="n">
        <v>2.1e-13</v>
      </c>
      <c r="I5061" t="inlineStr">
        <is>
          <t>TrEMBL</t>
        </is>
      </c>
      <c r="J5061" t="inlineStr"/>
      <c r="K5061" t="inlineStr">
        <is>
          <t>A0A3P9HQT4_ORYLA</t>
        </is>
      </c>
      <c r="L5061" t="inlineStr">
        <is>
          <t>tr|A0A3P9HQT4|A0A3P9HQT4_ORYLA GP41 domain-containing protein OS=Oryzias latipes OX=8090 PE=4 SV=1</t>
        </is>
      </c>
      <c r="M5061" t="n">
        <v>428</v>
      </c>
      <c r="N5061" t="inlineStr">
        <is>
          <t>Oryzias latipes</t>
        </is>
      </c>
      <c r="O5061" t="inlineStr">
        <is>
          <t>GP41 domain-containing protein</t>
        </is>
      </c>
    </row>
    <row r="5062">
      <c r="A5062" t="inlineStr"/>
      <c r="B5062" t="inlineStr"/>
      <c r="C5062" t="inlineStr"/>
      <c r="D5062" t="inlineStr"/>
      <c r="E5062">
        <f>HYPERLINK("https://www.uniprot.org/uniprotkb/A0A8C7YFU1/entry", "A0A8C7YFU1")</f>
        <v/>
      </c>
      <c r="F5062" t="n">
        <v>24.4</v>
      </c>
      <c r="G5062" t="n">
        <v>221</v>
      </c>
      <c r="H5062" t="n">
        <v>2.18e-13</v>
      </c>
      <c r="I5062" t="inlineStr">
        <is>
          <t>TrEMBL</t>
        </is>
      </c>
      <c r="J5062" t="inlineStr"/>
      <c r="K5062" t="inlineStr">
        <is>
          <t>A0A8C7YFU1_9TELE</t>
        </is>
      </c>
      <c r="L5062" t="inlineStr">
        <is>
          <t>tr|A0A8C7YFU1|A0A8C7YFU1_9TELE Envelope glycoprotein OS=Oryzias sinensis OX=183150 PE=4 SV=1</t>
        </is>
      </c>
      <c r="M5062" t="n">
        <v>558</v>
      </c>
      <c r="N5062" t="inlineStr">
        <is>
          <t>Oryzias sinensis</t>
        </is>
      </c>
      <c r="O5062" t="inlineStr">
        <is>
          <t>Envelope glycoprotein</t>
        </is>
      </c>
    </row>
    <row r="5063">
      <c r="A5063" t="inlineStr"/>
      <c r="B5063" t="inlineStr"/>
      <c r="C5063" t="inlineStr"/>
      <c r="D5063" t="inlineStr"/>
      <c r="E5063">
        <f>HYPERLINK("https://www.uniprot.org/uniprotkb/P16423/entry", "P16423")</f>
        <v/>
      </c>
      <c r="F5063" t="n">
        <v>24.6</v>
      </c>
      <c r="G5063" t="n">
        <v>280</v>
      </c>
      <c r="H5063" t="n">
        <v>3.13e-13</v>
      </c>
      <c r="I5063" t="inlineStr">
        <is>
          <t>Swiss-Prot</t>
        </is>
      </c>
      <c r="J5063" t="inlineStr">
        <is>
          <t>pol</t>
        </is>
      </c>
      <c r="K5063" t="inlineStr">
        <is>
          <t>POLR_DROME</t>
        </is>
      </c>
      <c r="L5063" t="inlineStr">
        <is>
          <t>sp|P16423|POLR_DROME Retrovirus-related Pol polyprotein from type-2 retrotransposable element R2DM OS=Drosophila melanogaster OX=7227 GN=pol PE=4 SV=1</t>
        </is>
      </c>
      <c r="M5063" t="n">
        <v>1057</v>
      </c>
      <c r="N5063" t="inlineStr">
        <is>
          <t>Drosophila melanogaster</t>
        </is>
      </c>
      <c r="O5063" t="inlineStr">
        <is>
          <t>Retrovirus-related Pol polyprotein from type-2 retrotransposable element R2DM</t>
        </is>
      </c>
    </row>
    <row r="5064">
      <c r="A5064" t="inlineStr"/>
      <c r="B5064" t="inlineStr"/>
      <c r="C5064" t="inlineStr"/>
      <c r="D5064" t="inlineStr"/>
      <c r="E5064">
        <f>HYPERLINK("https://www.ncbi.nlm.nih.gov/gene/?term=KAF7651547.1", "KAF7651547.1")</f>
        <v/>
      </c>
      <c r="F5064" t="n">
        <v>38</v>
      </c>
      <c r="G5064" t="n">
        <v>92</v>
      </c>
      <c r="H5064" t="n">
        <v>3.36e-13</v>
      </c>
      <c r="I5064" t="inlineStr">
        <is>
          <t>Nr</t>
        </is>
      </c>
      <c r="J5064" t="inlineStr"/>
      <c r="K5064" t="inlineStr"/>
      <c r="L5064" t="inlineStr">
        <is>
          <t>KAF7651547.1 hypothetical protein LDENG_00109220 [Lucifuga dentata]</t>
        </is>
      </c>
      <c r="M5064" t="n">
        <v>192</v>
      </c>
      <c r="N5064" t="inlineStr">
        <is>
          <t>Lucifuga dentata</t>
        </is>
      </c>
      <c r="O5064" t="inlineStr">
        <is>
          <t>hypothetical protein LDENG_00109220</t>
        </is>
      </c>
    </row>
    <row r="5065">
      <c r="A5065" t="inlineStr"/>
      <c r="B5065" t="inlineStr"/>
      <c r="C5065" t="inlineStr"/>
      <c r="D5065" t="inlineStr"/>
      <c r="E5065">
        <f>HYPERLINK("https://www.ncbi.nlm.nih.gov/gene/?term=KAF7655960.1", "KAF7655960.1")</f>
        <v/>
      </c>
      <c r="F5065" t="n">
        <v>41.1</v>
      </c>
      <c r="G5065" t="n">
        <v>90</v>
      </c>
      <c r="H5065" t="n">
        <v>3.38e-13</v>
      </c>
      <c r="I5065" t="inlineStr">
        <is>
          <t>Nr</t>
        </is>
      </c>
      <c r="J5065" t="inlineStr"/>
      <c r="K5065" t="inlineStr"/>
      <c r="L5065" t="inlineStr">
        <is>
          <t>KAF7655960.1 hypothetical protein LDENG_00047850 [Lucifuga dentata]</t>
        </is>
      </c>
      <c r="M5065" t="n">
        <v>367</v>
      </c>
      <c r="N5065" t="inlineStr">
        <is>
          <t>Lucifuga dentata</t>
        </is>
      </c>
      <c r="O5065" t="inlineStr">
        <is>
          <t>hypothetical protein LDENG_00047850</t>
        </is>
      </c>
    </row>
    <row r="5066">
      <c r="A5066" t="inlineStr"/>
      <c r="B5066" t="inlineStr"/>
      <c r="C5066" t="inlineStr"/>
      <c r="D5066" t="inlineStr"/>
      <c r="E5066">
        <f>HYPERLINK("https://www.uniprot.org/uniprotkb/A0A8J1L1T6/entry", "A0A8J1L1T6")</f>
        <v/>
      </c>
      <c r="F5066" t="n">
        <v>28.1</v>
      </c>
      <c r="G5066" t="n">
        <v>185</v>
      </c>
      <c r="H5066" t="n">
        <v>3.53e-13</v>
      </c>
      <c r="I5066" t="inlineStr">
        <is>
          <t>TrEMBL</t>
        </is>
      </c>
      <c r="J5066" t="inlineStr">
        <is>
          <t>LOC121395051</t>
        </is>
      </c>
      <c r="K5066" t="inlineStr">
        <is>
          <t>A0A8J1L1T6_XENLA</t>
        </is>
      </c>
      <c r="L5066" t="inlineStr">
        <is>
          <t>tr|A0A8J1L1T6|A0A8J1L1T6_XENLA uncharacterized protein LOC121395051 OS=Xenopus laevis OX=8355 GN=LOC121395051 PE=4 SV=1</t>
        </is>
      </c>
      <c r="M5066" t="n">
        <v>499</v>
      </c>
      <c r="N5066" t="inlineStr">
        <is>
          <t>Xenopus laevis</t>
        </is>
      </c>
      <c r="O5066" t="inlineStr">
        <is>
          <t>uncharacterized protein LOC121395051</t>
        </is>
      </c>
    </row>
    <row r="5067">
      <c r="A5067" t="inlineStr"/>
      <c r="B5067" t="inlineStr"/>
      <c r="C5067" t="inlineStr"/>
      <c r="D5067" t="inlineStr"/>
      <c r="E5067">
        <f>HYPERLINK("https://www.ncbi.nlm.nih.gov/gene/?term=CAI5636556.1", "CAI5636556.1")</f>
        <v/>
      </c>
      <c r="F5067" t="n">
        <v>36.2</v>
      </c>
      <c r="G5067" t="n">
        <v>94</v>
      </c>
      <c r="H5067" t="n">
        <v>3.62e-13</v>
      </c>
      <c r="I5067" t="inlineStr">
        <is>
          <t>Nr</t>
        </is>
      </c>
      <c r="J5067" t="inlineStr"/>
      <c r="K5067" t="inlineStr"/>
      <c r="L5067" t="inlineStr">
        <is>
          <t>CAI5636556.1 unnamed protein product [Mustela putorius furo]</t>
        </is>
      </c>
      <c r="M5067" t="n">
        <v>984</v>
      </c>
      <c r="N5067" t="inlineStr">
        <is>
          <t>Mustela putorius furo</t>
        </is>
      </c>
      <c r="O5067" t="inlineStr">
        <is>
          <t>unnamed protein product</t>
        </is>
      </c>
    </row>
    <row r="5068">
      <c r="A5068" t="inlineStr"/>
      <c r="B5068" t="inlineStr"/>
      <c r="C5068" t="inlineStr"/>
      <c r="D5068" t="inlineStr"/>
      <c r="E5068">
        <f>HYPERLINK("https://www.ncbi.nlm.nih.gov/gene/?term=XP_041420382.1", "XP_041420382.1")</f>
        <v/>
      </c>
      <c r="F5068" t="n">
        <v>28.1</v>
      </c>
      <c r="G5068" t="n">
        <v>185</v>
      </c>
      <c r="H5068" t="n">
        <v>3.88e-13</v>
      </c>
      <c r="I5068" t="inlineStr">
        <is>
          <t>Nr</t>
        </is>
      </c>
      <c r="J5068" t="inlineStr"/>
      <c r="K5068" t="inlineStr"/>
      <c r="L5068" t="inlineStr">
        <is>
          <t>XP_041420382.1 uncharacterized protein LOC121394197 [Xenopus laevis]</t>
        </is>
      </c>
      <c r="M5068" t="n">
        <v>516</v>
      </c>
      <c r="N5068" t="inlineStr">
        <is>
          <t>Xenopus laevis</t>
        </is>
      </c>
      <c r="O5068" t="inlineStr">
        <is>
          <t>uncharacterized protein LOC121394197</t>
        </is>
      </c>
    </row>
    <row r="5069">
      <c r="A5069" t="inlineStr"/>
      <c r="B5069" t="inlineStr"/>
      <c r="C5069" t="inlineStr"/>
      <c r="D5069" t="inlineStr"/>
      <c r="E5069">
        <f>HYPERLINK("https://www.ncbi.nlm.nih.gov/gene/?term=XP_041417392.1", "XP_041417392.1")</f>
        <v/>
      </c>
      <c r="F5069" t="n">
        <v>28.1</v>
      </c>
      <c r="G5069" t="n">
        <v>185</v>
      </c>
      <c r="H5069" t="n">
        <v>3.88e-13</v>
      </c>
      <c r="I5069" t="inlineStr">
        <is>
          <t>Nr</t>
        </is>
      </c>
      <c r="J5069" t="inlineStr"/>
      <c r="K5069" t="inlineStr"/>
      <c r="L5069" t="inlineStr">
        <is>
          <t>XP_041417392.1 uncharacterized protein LOC121393311 [Xenopus laevis]</t>
        </is>
      </c>
      <c r="M5069" t="n">
        <v>516</v>
      </c>
      <c r="N5069" t="inlineStr">
        <is>
          <t>Xenopus laevis</t>
        </is>
      </c>
      <c r="O5069" t="inlineStr">
        <is>
          <t>uncharacterized protein LOC121393311</t>
        </is>
      </c>
    </row>
    <row r="5070">
      <c r="A5070" t="inlineStr"/>
      <c r="B5070" t="inlineStr"/>
      <c r="C5070" t="inlineStr"/>
      <c r="D5070" t="inlineStr"/>
      <c r="E5070">
        <f>HYPERLINK("https://www.ncbi.nlm.nih.gov/gene/?term=CAH7155680.1", "CAH7155680.1")</f>
        <v/>
      </c>
      <c r="F5070" t="n">
        <v>42.7</v>
      </c>
      <c r="G5070" t="n">
        <v>89</v>
      </c>
      <c r="H5070" t="n">
        <v>4.15e-13</v>
      </c>
      <c r="I5070" t="inlineStr">
        <is>
          <t>Nr</t>
        </is>
      </c>
      <c r="J5070" t="inlineStr"/>
      <c r="K5070" t="inlineStr"/>
      <c r="L5070" t="inlineStr">
        <is>
          <t>CAH7155680.1 AABR07015559.1 [Phodopus roborovskii]</t>
        </is>
      </c>
      <c r="M5070" t="n">
        <v>429</v>
      </c>
      <c r="N5070" t="inlineStr">
        <is>
          <t>Phodopus roborovskii</t>
        </is>
      </c>
      <c r="O5070" t="inlineStr">
        <is>
          <t>AABR07015559.1</t>
        </is>
      </c>
    </row>
    <row r="5071">
      <c r="A5071" t="inlineStr"/>
      <c r="B5071" t="inlineStr"/>
      <c r="C5071" t="inlineStr"/>
      <c r="D5071" t="inlineStr"/>
      <c r="E5071">
        <f>HYPERLINK("https://www.ncbi.nlm.nih.gov/gene/?term=CAH6778293.1", "CAH6778293.1")</f>
        <v/>
      </c>
      <c r="F5071" t="n">
        <v>42.7</v>
      </c>
      <c r="G5071" t="n">
        <v>89</v>
      </c>
      <c r="H5071" t="n">
        <v>4.96e-13</v>
      </c>
      <c r="I5071" t="inlineStr">
        <is>
          <t>Nr</t>
        </is>
      </c>
      <c r="J5071" t="inlineStr"/>
      <c r="K5071" t="inlineStr"/>
      <c r="L5071" t="inlineStr">
        <is>
          <t>CAH6778293.1 Hsd11b1 [Phodopus roborovskii]</t>
        </is>
      </c>
      <c r="M5071" t="n">
        <v>1062</v>
      </c>
      <c r="N5071" t="inlineStr">
        <is>
          <t>Phodopus roborovskii</t>
        </is>
      </c>
      <c r="O5071" t="inlineStr">
        <is>
          <t>Hsd11b1</t>
        </is>
      </c>
    </row>
    <row r="5072">
      <c r="A5072" t="inlineStr"/>
      <c r="B5072" t="inlineStr"/>
      <c r="C5072" t="inlineStr"/>
      <c r="D5072" t="inlineStr"/>
      <c r="E5072">
        <f>HYPERLINK("https://www.ncbi.nlm.nih.gov/gene/?term=XP_043533259.1", "XP_043533259.1")</f>
        <v/>
      </c>
      <c r="F5072" t="n">
        <v>25.8</v>
      </c>
      <c r="G5072" t="n">
        <v>221</v>
      </c>
      <c r="H5072" t="n">
        <v>5.73e-13</v>
      </c>
      <c r="I5072" t="inlineStr">
        <is>
          <t>Nr</t>
        </is>
      </c>
      <c r="J5072" t="inlineStr"/>
      <c r="K5072" t="inlineStr"/>
      <c r="L5072" t="inlineStr">
        <is>
          <t>XP_043533259.1 uncharacterized protein LOC122540961 [Chiloscyllium plagiosum]</t>
        </is>
      </c>
      <c r="M5072" t="n">
        <v>575</v>
      </c>
      <c r="N5072" t="inlineStr">
        <is>
          <t>Chiloscyllium plagiosum</t>
        </is>
      </c>
      <c r="O5072" t="inlineStr">
        <is>
          <t>uncharacterized protein LOC122540961</t>
        </is>
      </c>
    </row>
    <row r="5073">
      <c r="A5073" t="inlineStr"/>
      <c r="B5073" t="inlineStr"/>
      <c r="C5073" t="inlineStr"/>
      <c r="D5073" t="inlineStr"/>
      <c r="E5073">
        <f>HYPERLINK("https://www.ncbi.nlm.nih.gov/gene/?term=XP_034038757.1", "XP_034038757.1")</f>
        <v/>
      </c>
      <c r="F5073" t="n">
        <v>26.2</v>
      </c>
      <c r="G5073" t="n">
        <v>221</v>
      </c>
      <c r="H5073" t="n">
        <v>6.57e-13</v>
      </c>
      <c r="I5073" t="inlineStr">
        <is>
          <t>Nr</t>
        </is>
      </c>
      <c r="J5073" t="inlineStr"/>
      <c r="K5073" t="inlineStr"/>
      <c r="L5073" t="inlineStr">
        <is>
          <t>XP_034038757.1 uncharacterized protein LOC117521545 [Thalassophryne amazonica]</t>
        </is>
      </c>
      <c r="M5073" t="n">
        <v>487</v>
      </c>
      <c r="N5073" t="inlineStr">
        <is>
          <t>Thalassophryne amazonica</t>
        </is>
      </c>
      <c r="O5073" t="inlineStr">
        <is>
          <t>uncharacterized protein LOC117521545</t>
        </is>
      </c>
    </row>
    <row r="5074">
      <c r="A5074" t="inlineStr"/>
      <c r="B5074" t="inlineStr"/>
      <c r="C5074" t="inlineStr"/>
      <c r="D5074" t="inlineStr"/>
      <c r="E5074">
        <f>HYPERLINK("https://www.ncbi.nlm.nih.gov/gene/?term=XP_041423501.1", "XP_041423501.1")</f>
        <v/>
      </c>
      <c r="F5074" t="n">
        <v>28.1</v>
      </c>
      <c r="G5074" t="n">
        <v>185</v>
      </c>
      <c r="H5074" t="n">
        <v>9.08e-13</v>
      </c>
      <c r="I5074" t="inlineStr">
        <is>
          <t>Nr</t>
        </is>
      </c>
      <c r="J5074" t="inlineStr"/>
      <c r="K5074" t="inlineStr"/>
      <c r="L5074" t="inlineStr">
        <is>
          <t>XP_041423501.1 uncharacterized protein LOC121395051 [Xenopus laevis]</t>
        </is>
      </c>
      <c r="M5074" t="n">
        <v>499</v>
      </c>
      <c r="N5074" t="inlineStr">
        <is>
          <t>Xenopus laevis</t>
        </is>
      </c>
      <c r="O5074" t="inlineStr">
        <is>
          <t>uncharacterized protein LOC121395051</t>
        </is>
      </c>
    </row>
    <row r="5075">
      <c r="A5075" t="inlineStr"/>
      <c r="B5075" t="inlineStr"/>
      <c r="C5075" t="inlineStr"/>
      <c r="D5075" t="inlineStr"/>
      <c r="E5075">
        <f>HYPERLINK("https://www.ncbi.nlm.nih.gov/gene/?term=CAI5685855.1", "CAI5685855.1")</f>
        <v/>
      </c>
      <c r="F5075" t="n">
        <v>35.8</v>
      </c>
      <c r="G5075" t="n">
        <v>95</v>
      </c>
      <c r="H5075" t="n">
        <v>9.33e-13</v>
      </c>
      <c r="I5075" t="inlineStr">
        <is>
          <t>Nr</t>
        </is>
      </c>
      <c r="J5075" t="inlineStr"/>
      <c r="K5075" t="inlineStr"/>
      <c r="L5075" t="inlineStr">
        <is>
          <t>CAI5685855.1 unnamed protein product [Mustela putorius furo]</t>
        </is>
      </c>
      <c r="M5075" t="n">
        <v>1267</v>
      </c>
      <c r="N5075" t="inlineStr">
        <is>
          <t>Mustela putorius furo</t>
        </is>
      </c>
      <c r="O5075" t="inlineStr">
        <is>
          <t>unnamed protein product</t>
        </is>
      </c>
    </row>
    <row r="5076">
      <c r="A5076" t="inlineStr"/>
      <c r="B5076" t="inlineStr"/>
      <c r="C5076" t="inlineStr"/>
      <c r="D5076" t="inlineStr"/>
      <c r="E5076">
        <f>HYPERLINK("https://www.uniprot.org/uniprotkb/A0A8T2KBV4/entry", "A0A8T2KBV4")</f>
        <v/>
      </c>
      <c r="F5076" t="n">
        <v>49.3</v>
      </c>
      <c r="G5076" t="n">
        <v>71</v>
      </c>
      <c r="H5076" t="n">
        <v>1.57e-12</v>
      </c>
      <c r="I5076" t="inlineStr">
        <is>
          <t>TrEMBL</t>
        </is>
      </c>
      <c r="J5076" t="inlineStr">
        <is>
          <t>GDO86_003963</t>
        </is>
      </c>
      <c r="K5076" t="inlineStr">
        <is>
          <t>A0A8T2KBV4_9PIPI</t>
        </is>
      </c>
      <c r="L5076" t="inlineStr">
        <is>
          <t>tr|A0A8T2KBV4|A0A8T2KBV4_9PIPI Transposase element L1Md-A101/L1Md-A102/L1Md-A2 OS=Hymenochirus boettgeri OX=247094 GN=GDO86_003963 PE=4 SV=1</t>
        </is>
      </c>
      <c r="M5076" t="n">
        <v>431</v>
      </c>
      <c r="N5076" t="inlineStr">
        <is>
          <t>Hymenochirus boettgeri</t>
        </is>
      </c>
      <c r="O5076" t="inlineStr">
        <is>
          <t>Transposase element L1Md-A101/L1Md-A102/L1Md-A2</t>
        </is>
      </c>
    </row>
    <row r="5077">
      <c r="A5077" t="inlineStr"/>
      <c r="B5077" t="inlineStr"/>
      <c r="C5077" t="inlineStr"/>
      <c r="D5077" t="inlineStr"/>
      <c r="E5077">
        <f>HYPERLINK("https://www.uniprot.org/uniprotkb/A0A3P9K8J3/entry", "A0A3P9K8J3")</f>
        <v/>
      </c>
      <c r="F5077" t="n">
        <v>23.1</v>
      </c>
      <c r="G5077" t="n">
        <v>216</v>
      </c>
      <c r="H5077" t="n">
        <v>1.61e-12</v>
      </c>
      <c r="I5077" t="inlineStr">
        <is>
          <t>TrEMBL</t>
        </is>
      </c>
      <c r="J5077" t="inlineStr"/>
      <c r="K5077" t="inlineStr">
        <is>
          <t>A0A3P9K8J3_ORYLA</t>
        </is>
      </c>
      <c r="L5077" t="inlineStr">
        <is>
          <t>tr|A0A3P9K8J3|A0A3P9K8J3_ORYLA GP41 domain-containing protein OS=Oryzias latipes OX=8090 PE=4 SV=1</t>
        </is>
      </c>
      <c r="M5077" t="n">
        <v>416</v>
      </c>
      <c r="N5077" t="inlineStr">
        <is>
          <t>Oryzias latipes</t>
        </is>
      </c>
      <c r="O5077" t="inlineStr">
        <is>
          <t>GP41 domain-containing protein</t>
        </is>
      </c>
    </row>
    <row r="5078">
      <c r="A5078" t="inlineStr"/>
      <c r="B5078" t="inlineStr"/>
      <c r="C5078" t="inlineStr"/>
      <c r="D5078" t="inlineStr"/>
      <c r="E5078">
        <f>HYPERLINK("https://www.ncbi.nlm.nih.gov/gene/?term=CAI5636845.1", "CAI5636845.1")</f>
        <v/>
      </c>
      <c r="F5078" t="n">
        <v>34.7</v>
      </c>
      <c r="G5078" t="n">
        <v>95</v>
      </c>
      <c r="H5078" t="n">
        <v>1.73e-12</v>
      </c>
      <c r="I5078" t="inlineStr">
        <is>
          <t>Nr</t>
        </is>
      </c>
      <c r="J5078" t="inlineStr"/>
      <c r="K5078" t="inlineStr"/>
      <c r="L5078" t="inlineStr">
        <is>
          <t>CAI5636845.1 unnamed protein product [Mustela putorius furo]</t>
        </is>
      </c>
      <c r="M5078" t="n">
        <v>1253</v>
      </c>
      <c r="N5078" t="inlineStr">
        <is>
          <t>Mustela putorius furo</t>
        </is>
      </c>
      <c r="O5078" t="inlineStr">
        <is>
          <t>unnamed protein product</t>
        </is>
      </c>
    </row>
    <row r="5079">
      <c r="A5079" t="inlineStr"/>
      <c r="B5079" t="inlineStr"/>
      <c r="C5079" t="inlineStr"/>
      <c r="D5079" t="inlineStr"/>
      <c r="E5079">
        <f>HYPERLINK("https://www.uniprot.org/uniprotkb/A0A3P9ICB9/entry", "A0A3P9ICB9")</f>
        <v/>
      </c>
      <c r="F5079" t="n">
        <v>23.6</v>
      </c>
      <c r="G5079" t="n">
        <v>220</v>
      </c>
      <c r="H5079" t="n">
        <v>2.27e-12</v>
      </c>
      <c r="I5079" t="inlineStr">
        <is>
          <t>TrEMBL</t>
        </is>
      </c>
      <c r="J5079" t="inlineStr"/>
      <c r="K5079" t="inlineStr">
        <is>
          <t>A0A3P9ICB9_ORYLA</t>
        </is>
      </c>
      <c r="L5079" t="inlineStr">
        <is>
          <t>tr|A0A3P9ICB9|A0A3P9ICB9_ORYLA GP41 domain-containing protein OS=Oryzias latipes OX=8090 PE=4 SV=1</t>
        </is>
      </c>
      <c r="M5079" t="n">
        <v>428</v>
      </c>
      <c r="N5079" t="inlineStr">
        <is>
          <t>Oryzias latipes</t>
        </is>
      </c>
      <c r="O5079" t="inlineStr">
        <is>
          <t>GP41 domain-containing protein</t>
        </is>
      </c>
    </row>
    <row r="5080">
      <c r="A5080" t="inlineStr"/>
      <c r="B5080" t="inlineStr"/>
      <c r="C5080" t="inlineStr"/>
      <c r="D5080" t="inlineStr"/>
      <c r="E5080">
        <f>HYPERLINK("https://www.ncbi.nlm.nih.gov/gene/?term=XP_032367453.1", "XP_032367453.1")</f>
        <v/>
      </c>
      <c r="F5080" t="n">
        <v>39.3</v>
      </c>
      <c r="G5080" t="n">
        <v>89</v>
      </c>
      <c r="H5080" t="n">
        <v>3.12e-12</v>
      </c>
      <c r="I5080" t="inlineStr">
        <is>
          <t>Nr</t>
        </is>
      </c>
      <c r="J5080" t="inlineStr"/>
      <c r="K5080" t="inlineStr"/>
      <c r="L5080" t="inlineStr">
        <is>
          <t>XP_032367453.1 uncharacterized protein LOC116686550 [Etheostoma spectabile]</t>
        </is>
      </c>
      <c r="M5080" t="n">
        <v>311</v>
      </c>
      <c r="N5080" t="inlineStr">
        <is>
          <t>Etheostoma spectabile</t>
        </is>
      </c>
      <c r="O5080" t="inlineStr">
        <is>
          <t>uncharacterized protein LOC116686550</t>
        </is>
      </c>
    </row>
    <row r="5081">
      <c r="A5081" t="inlineStr"/>
      <c r="B5081" t="inlineStr"/>
      <c r="C5081" t="inlineStr"/>
      <c r="D5081" t="inlineStr"/>
      <c r="E5081">
        <f>HYPERLINK("https://www.ncbi.nlm.nih.gov/gene/?term=KAG9283901.1", "KAG9283901.1")</f>
        <v/>
      </c>
      <c r="F5081" t="n">
        <v>39.3</v>
      </c>
      <c r="G5081" t="n">
        <v>89</v>
      </c>
      <c r="H5081" t="n">
        <v>3.13e-12</v>
      </c>
      <c r="I5081" t="inlineStr">
        <is>
          <t>Nr</t>
        </is>
      </c>
      <c r="J5081" t="inlineStr"/>
      <c r="K5081" t="inlineStr"/>
      <c r="L5081" t="inlineStr">
        <is>
          <t>KAG9283901.1 WD repeat-containing protein 3 isoform X1 [Astyanax mexicanus]</t>
        </is>
      </c>
      <c r="M5081" t="n">
        <v>818</v>
      </c>
      <c r="N5081" t="inlineStr">
        <is>
          <t>Astyanax mexicanus</t>
        </is>
      </c>
      <c r="O5081" t="inlineStr">
        <is>
          <t>WD repeat-containing protein 3 isoform X1</t>
        </is>
      </c>
    </row>
    <row r="5082">
      <c r="A5082" t="inlineStr"/>
      <c r="B5082" t="inlineStr"/>
      <c r="C5082" t="inlineStr"/>
      <c r="D5082" t="inlineStr"/>
      <c r="E5082">
        <f>HYPERLINK("https://www.ncbi.nlm.nih.gov/gene/?term=XP_040274385.1", "XP_040274385.1")</f>
        <v/>
      </c>
      <c r="F5082" t="n">
        <v>37.6</v>
      </c>
      <c r="G5082" t="n">
        <v>93</v>
      </c>
      <c r="H5082" t="n">
        <v>3.46e-12</v>
      </c>
      <c r="I5082" t="inlineStr">
        <is>
          <t>Nr</t>
        </is>
      </c>
      <c r="J5082" t="inlineStr"/>
      <c r="K5082" t="inlineStr"/>
      <c r="L5082" t="inlineStr">
        <is>
          <t>XP_040274385.1 uncharacterized protein LOC120989971 [Bufo bufo]</t>
        </is>
      </c>
      <c r="M5082" t="n">
        <v>395</v>
      </c>
      <c r="N5082" t="inlineStr">
        <is>
          <t>Bufo bufo</t>
        </is>
      </c>
      <c r="O5082" t="inlineStr">
        <is>
          <t>uncharacterized protein LOC120989971</t>
        </is>
      </c>
    </row>
    <row r="5083">
      <c r="A5083" t="inlineStr"/>
      <c r="B5083" t="inlineStr"/>
      <c r="C5083" t="inlineStr"/>
      <c r="D5083" t="inlineStr"/>
      <c r="E5083">
        <f>HYPERLINK("https://www.uniprot.org/uniprotkb/A0A3B3IHI3/entry", "A0A3B3IHI3")</f>
        <v/>
      </c>
      <c r="F5083" t="n">
        <v>24.1</v>
      </c>
      <c r="G5083" t="n">
        <v>191</v>
      </c>
      <c r="H5083" t="n">
        <v>3.5e-12</v>
      </c>
      <c r="I5083" t="inlineStr">
        <is>
          <t>TrEMBL</t>
        </is>
      </c>
      <c r="J5083" t="inlineStr"/>
      <c r="K5083" t="inlineStr">
        <is>
          <t>A0A3B3IHI3_ORYLA</t>
        </is>
      </c>
      <c r="L5083" t="inlineStr">
        <is>
          <t>tr|A0A3B3IHI3|A0A3B3IHI3_ORYLA GP41 domain-containing protein OS=Oryzias latipes OX=8090 PE=4 SV=1</t>
        </is>
      </c>
      <c r="M5083" t="n">
        <v>392</v>
      </c>
      <c r="N5083" t="inlineStr">
        <is>
          <t>Oryzias latipes</t>
        </is>
      </c>
      <c r="O5083" t="inlineStr">
        <is>
          <t>GP41 domain-containing protein</t>
        </is>
      </c>
    </row>
    <row r="5084">
      <c r="A5084" t="inlineStr"/>
      <c r="B5084" t="inlineStr"/>
      <c r="C5084" t="inlineStr"/>
      <c r="D5084" t="inlineStr"/>
      <c r="E5084">
        <f>HYPERLINK("https://www.uniprot.org/uniprotkb/A0A3B3IHX0/entry", "A0A3B3IHX0")</f>
        <v/>
      </c>
      <c r="F5084" t="n">
        <v>24.1</v>
      </c>
      <c r="G5084" t="n">
        <v>191</v>
      </c>
      <c r="H5084" t="n">
        <v>3.51e-12</v>
      </c>
      <c r="I5084" t="inlineStr">
        <is>
          <t>TrEMBL</t>
        </is>
      </c>
      <c r="J5084" t="inlineStr"/>
      <c r="K5084" t="inlineStr">
        <is>
          <t>A0A3B3IHX0_ORYLA</t>
        </is>
      </c>
      <c r="L5084" t="inlineStr">
        <is>
          <t>tr|A0A3B3IHX0|A0A3B3IHX0_ORYLA GP41 domain-containing protein OS=Oryzias latipes OX=8090 PE=4 SV=1</t>
        </is>
      </c>
      <c r="M5084" t="n">
        <v>393</v>
      </c>
      <c r="N5084" t="inlineStr">
        <is>
          <t>Oryzias latipes</t>
        </is>
      </c>
      <c r="O5084" t="inlineStr">
        <is>
          <t>GP41 domain-containing protein</t>
        </is>
      </c>
    </row>
    <row r="5085">
      <c r="A5085" t="inlineStr"/>
      <c r="B5085" t="inlineStr"/>
      <c r="C5085" t="inlineStr"/>
      <c r="D5085" t="inlineStr"/>
      <c r="E5085">
        <f>HYPERLINK("https://www.uniprot.org/uniprotkb/A0A3B3IBE3/entry", "A0A3B3IBE3")</f>
        <v/>
      </c>
      <c r="F5085" t="n">
        <v>26.1</v>
      </c>
      <c r="G5085" t="n">
        <v>188</v>
      </c>
      <c r="H5085" t="n">
        <v>3.55e-12</v>
      </c>
      <c r="I5085" t="inlineStr">
        <is>
          <t>TrEMBL</t>
        </is>
      </c>
      <c r="J5085" t="inlineStr"/>
      <c r="K5085" t="inlineStr">
        <is>
          <t>A0A3B3IBE3_ORYLA</t>
        </is>
      </c>
      <c r="L5085" t="inlineStr">
        <is>
          <t>tr|A0A3B3IBE3|A0A3B3IBE3_ORYLA GP41 domain-containing protein OS=Oryzias latipes OX=8090 PE=4 SV=1</t>
        </is>
      </c>
      <c r="M5085" t="n">
        <v>395</v>
      </c>
      <c r="N5085" t="inlineStr">
        <is>
          <t>Oryzias latipes</t>
        </is>
      </c>
      <c r="O5085" t="inlineStr">
        <is>
          <t>GP41 domain-containing protein</t>
        </is>
      </c>
    </row>
    <row r="5086">
      <c r="A5086" t="inlineStr"/>
      <c r="B5086" t="inlineStr"/>
      <c r="C5086" t="inlineStr"/>
      <c r="D5086" t="inlineStr"/>
      <c r="E5086">
        <f>HYPERLINK("https://www.ncbi.nlm.nih.gov/gene/?term=XP_044130131.1", "XP_044130131.1")</f>
        <v/>
      </c>
      <c r="F5086" t="n">
        <v>37.6</v>
      </c>
      <c r="G5086" t="n">
        <v>93</v>
      </c>
      <c r="H5086" t="n">
        <v>3.64e-12</v>
      </c>
      <c r="I5086" t="inlineStr">
        <is>
          <t>Nr</t>
        </is>
      </c>
      <c r="J5086" t="inlineStr"/>
      <c r="K5086" t="inlineStr"/>
      <c r="L5086" t="inlineStr">
        <is>
          <t>XP_044130131.1 uncharacterized protein LOC122923399 [Bufo gargarizans]</t>
        </is>
      </c>
      <c r="M5086" t="n">
        <v>333</v>
      </c>
      <c r="N5086" t="inlineStr">
        <is>
          <t>Bufo gargarizans</t>
        </is>
      </c>
      <c r="O5086" t="inlineStr">
        <is>
          <t>uncharacterized protein LOC122923399</t>
        </is>
      </c>
    </row>
    <row r="5087">
      <c r="A5087" t="inlineStr"/>
      <c r="B5087" t="inlineStr"/>
      <c r="C5087" t="inlineStr"/>
      <c r="D5087" t="inlineStr"/>
      <c r="E5087">
        <f>HYPERLINK("https://www.ncbi.nlm.nih.gov/gene/?term=KAG8451976.1", "KAG8451976.1")</f>
        <v/>
      </c>
      <c r="F5087" t="n">
        <v>49.3</v>
      </c>
      <c r="G5087" t="n">
        <v>71</v>
      </c>
      <c r="H5087" t="n">
        <v>4.04e-12</v>
      </c>
      <c r="I5087" t="inlineStr">
        <is>
          <t>Nr</t>
        </is>
      </c>
      <c r="J5087" t="inlineStr"/>
      <c r="K5087" t="inlineStr"/>
      <c r="L5087" t="inlineStr">
        <is>
          <t>KAG8451976.1 hypothetical protein GDO86_003963 [Hymenochirus boettgeri]</t>
        </is>
      </c>
      <c r="M5087" t="n">
        <v>431</v>
      </c>
      <c r="N5087" t="inlineStr">
        <is>
          <t>Hymenochirus boettgeri</t>
        </is>
      </c>
      <c r="O5087" t="inlineStr">
        <is>
          <t>hypothetical protein GDO86_003963</t>
        </is>
      </c>
    </row>
    <row r="5088">
      <c r="A5088" t="inlineStr"/>
      <c r="B5088" t="inlineStr"/>
      <c r="C5088" t="inlineStr"/>
      <c r="D5088" t="inlineStr"/>
      <c r="E5088">
        <f>HYPERLINK("https://www.uniprot.org/uniprotkb/Q03274/entry", "Q03274")</f>
        <v/>
      </c>
      <c r="F5088" t="n">
        <v>24.2</v>
      </c>
      <c r="G5088" t="n">
        <v>293</v>
      </c>
      <c r="H5088" t="n">
        <v>5.14e-12</v>
      </c>
      <c r="I5088" t="inlineStr">
        <is>
          <t>Swiss-Prot</t>
        </is>
      </c>
      <c r="J5088" t="inlineStr"/>
      <c r="K5088" t="inlineStr">
        <is>
          <t>PO22_POPJA</t>
        </is>
      </c>
      <c r="L5088" t="inlineStr">
        <is>
          <t>sp|Q03274|PO22_POPJA Retrovirus-related Pol polyprotein from type-1 retrotransposable element R2 (Fragment) OS=Popillia japonica OX=7064 PE=4 SV=1</t>
        </is>
      </c>
      <c r="M5088" t="n">
        <v>711</v>
      </c>
      <c r="N5088" t="inlineStr">
        <is>
          <t>Popillia japonica</t>
        </is>
      </c>
      <c r="O5088" t="inlineStr">
        <is>
          <t>Retrovirus-related Pol polyprotein from type-1 retrotransposable element R2 (Fragment)</t>
        </is>
      </c>
    </row>
    <row r="5089">
      <c r="A5089" t="inlineStr"/>
      <c r="B5089" t="inlineStr"/>
      <c r="C5089" t="inlineStr"/>
      <c r="D5089" t="inlineStr"/>
      <c r="E5089">
        <f>HYPERLINK("https://www.ncbi.nlm.nih.gov/gene/?term=CAI5664775.1", "CAI5664775.1")</f>
        <v/>
      </c>
      <c r="F5089" t="n">
        <v>32.6</v>
      </c>
      <c r="G5089" t="n">
        <v>95</v>
      </c>
      <c r="H5089" t="n">
        <v>5.55e-12</v>
      </c>
      <c r="I5089" t="inlineStr">
        <is>
          <t>Nr</t>
        </is>
      </c>
      <c r="J5089" t="inlineStr"/>
      <c r="K5089" t="inlineStr"/>
      <c r="L5089" t="inlineStr">
        <is>
          <t>CAI5664775.1 unnamed protein product [Mustela putorius furo]</t>
        </is>
      </c>
      <c r="M5089" t="n">
        <v>547</v>
      </c>
      <c r="N5089" t="inlineStr">
        <is>
          <t>Mustela putorius furo</t>
        </is>
      </c>
      <c r="O5089" t="inlineStr">
        <is>
          <t>unnamed protein product</t>
        </is>
      </c>
    </row>
    <row r="5090">
      <c r="A5090" t="inlineStr"/>
      <c r="B5090" t="inlineStr"/>
      <c r="C5090" t="inlineStr"/>
      <c r="D5090" t="inlineStr"/>
      <c r="E5090">
        <f>HYPERLINK("https://www.ncbi.nlm.nih.gov/gene/?term=XP_023806424.1", "XP_023806424.1")</f>
        <v/>
      </c>
      <c r="F5090" t="n">
        <v>26.3</v>
      </c>
      <c r="G5090" t="n">
        <v>190</v>
      </c>
      <c r="H5090" t="n">
        <v>5.96e-12</v>
      </c>
      <c r="I5090" t="inlineStr">
        <is>
          <t>Nr</t>
        </is>
      </c>
      <c r="J5090" t="inlineStr"/>
      <c r="K5090" t="inlineStr"/>
      <c r="L5090" t="inlineStr">
        <is>
          <t>XP_023806424.1 uncharacterized protein LOC110013622 [Oryzias latipes]</t>
        </is>
      </c>
      <c r="M5090" t="n">
        <v>434</v>
      </c>
      <c r="N5090" t="inlineStr">
        <is>
          <t>Oryzias latipes</t>
        </is>
      </c>
      <c r="O5090" t="inlineStr">
        <is>
          <t>uncharacterized protein LOC110013622</t>
        </is>
      </c>
    </row>
    <row r="5091">
      <c r="A5091" t="inlineStr"/>
      <c r="B5091" t="inlineStr"/>
      <c r="C5091" t="inlineStr"/>
      <c r="D5091" t="inlineStr"/>
      <c r="E5091">
        <f>HYPERLINK("https://www.ncbi.nlm.nih.gov/gene/?term=XP_018410174.1", "XP_018410174.1")</f>
        <v/>
      </c>
      <c r="F5091" t="n">
        <v>38.3</v>
      </c>
      <c r="G5091" t="n">
        <v>94</v>
      </c>
      <c r="H5091" t="n">
        <v>6.09e-12</v>
      </c>
      <c r="I5091" t="inlineStr">
        <is>
          <t>Nr</t>
        </is>
      </c>
      <c r="J5091" t="inlineStr"/>
      <c r="K5091" t="inlineStr"/>
      <c r="L5091" t="inlineStr">
        <is>
          <t>XP_018410174.1 PREDICTED: poly [ADP-ribose] polymerase 4-like [Nanorana parkeri]</t>
        </is>
      </c>
      <c r="M5091" t="n">
        <v>1730</v>
      </c>
      <c r="N5091" t="inlineStr">
        <is>
          <t>Nanorana parkeri</t>
        </is>
      </c>
      <c r="O5091" t="inlineStr">
        <is>
          <t>PREDICTED: poly</t>
        </is>
      </c>
    </row>
    <row r="5092">
      <c r="A5092" t="inlineStr"/>
      <c r="B5092" t="inlineStr"/>
      <c r="C5092" t="inlineStr"/>
      <c r="D5092" t="inlineStr"/>
      <c r="E5092">
        <f>HYPERLINK("https://www.ncbi.nlm.nih.gov/gene/?term=KAJ1181231.1", "KAJ1181231.1")</f>
        <v/>
      </c>
      <c r="F5092" t="n">
        <v>30.5</v>
      </c>
      <c r="G5092" t="n">
        <v>118</v>
      </c>
      <c r="H5092" t="n">
        <v>6.79e-12</v>
      </c>
      <c r="I5092" t="inlineStr">
        <is>
          <t>Nr</t>
        </is>
      </c>
      <c r="J5092" t="inlineStr"/>
      <c r="K5092" t="inlineStr"/>
      <c r="L5092" t="inlineStr">
        <is>
          <t>KAJ1181231.1 hypothetical protein NDU88_006439 [Pleurodeles waltl]</t>
        </is>
      </c>
      <c r="M5092" t="n">
        <v>155</v>
      </c>
      <c r="N5092" t="inlineStr">
        <is>
          <t>Pleurodeles waltl</t>
        </is>
      </c>
      <c r="O5092" t="inlineStr">
        <is>
          <t>hypothetical protein NDU88_006439</t>
        </is>
      </c>
    </row>
    <row r="5093">
      <c r="A5093" t="inlineStr"/>
      <c r="B5093" t="inlineStr"/>
      <c r="C5093" t="inlineStr"/>
      <c r="D5093" t="inlineStr"/>
      <c r="E5093">
        <f>HYPERLINK("https://www.ncbi.nlm.nih.gov/gene/?term=CAI5645030.1", "CAI5645030.1")</f>
        <v/>
      </c>
      <c r="F5093" t="n">
        <v>37.8</v>
      </c>
      <c r="G5093" t="n">
        <v>90</v>
      </c>
      <c r="H5093" t="n">
        <v>1.11e-11</v>
      </c>
      <c r="I5093" t="inlineStr">
        <is>
          <t>Nr</t>
        </is>
      </c>
      <c r="J5093" t="inlineStr"/>
      <c r="K5093" t="inlineStr"/>
      <c r="L5093" t="inlineStr">
        <is>
          <t>CAI5645030.1 unnamed protein product [Mustela putorius furo]</t>
        </is>
      </c>
      <c r="M5093" t="n">
        <v>1089</v>
      </c>
      <c r="N5093" t="inlineStr">
        <is>
          <t>Mustela putorius furo</t>
        </is>
      </c>
      <c r="O5093" t="inlineStr">
        <is>
          <t>unnamed protein product</t>
        </is>
      </c>
    </row>
    <row r="5094">
      <c r="A5094" t="inlineStr"/>
      <c r="B5094" t="inlineStr"/>
      <c r="C5094" t="inlineStr"/>
      <c r="D5094" t="inlineStr"/>
      <c r="E5094">
        <f>HYPERLINK("https://www.uniprot.org/uniprotkb/A0A3B3HC38/entry", "A0A3B3HC38")</f>
        <v/>
      </c>
      <c r="F5094" t="n">
        <v>25.5</v>
      </c>
      <c r="G5094" t="n">
        <v>188</v>
      </c>
      <c r="H5094" t="n">
        <v>1.14e-11</v>
      </c>
      <c r="I5094" t="inlineStr">
        <is>
          <t>TrEMBL</t>
        </is>
      </c>
      <c r="J5094" t="inlineStr"/>
      <c r="K5094" t="inlineStr">
        <is>
          <t>A0A3B3HC38_ORYLA</t>
        </is>
      </c>
      <c r="L5094" t="inlineStr">
        <is>
          <t>tr|A0A3B3HC38|A0A3B3HC38_ORYLA GP41 domain-containing protein OS=Oryzias latipes OX=8090 PE=4 SV=1</t>
        </is>
      </c>
      <c r="M5094" t="n">
        <v>390</v>
      </c>
      <c r="N5094" t="inlineStr">
        <is>
          <t>Oryzias latipes</t>
        </is>
      </c>
      <c r="O5094" t="inlineStr">
        <is>
          <t>GP41 domain-containing protein</t>
        </is>
      </c>
    </row>
    <row r="5095">
      <c r="A5095" t="inlineStr"/>
      <c r="B5095" t="inlineStr"/>
      <c r="C5095" t="inlineStr"/>
      <c r="D5095" t="inlineStr"/>
      <c r="E5095">
        <f>HYPERLINK("https://www.ncbi.nlm.nih.gov/gene/?term=KAA8579417.1", "KAA8579417.1")</f>
        <v/>
      </c>
      <c r="F5095" t="n">
        <v>30.6</v>
      </c>
      <c r="G5095" t="n">
        <v>124</v>
      </c>
      <c r="H5095" t="n">
        <v>1.28e-11</v>
      </c>
      <c r="I5095" t="inlineStr">
        <is>
          <t>Nr</t>
        </is>
      </c>
      <c r="J5095" t="inlineStr"/>
      <c r="K5095" t="inlineStr"/>
      <c r="L5095" t="inlineStr">
        <is>
          <t>KAA8579417.1 hypothetical protein FQN60_006510, partial [Etheostoma spectabile]</t>
        </is>
      </c>
      <c r="M5095" t="n">
        <v>254</v>
      </c>
      <c r="N5095" t="inlineStr">
        <is>
          <t>Etheostoma spectabile</t>
        </is>
      </c>
      <c r="O5095" t="inlineStr">
        <is>
          <t>hypothetical protein FQN60_006510, partial</t>
        </is>
      </c>
    </row>
    <row r="5096">
      <c r="A5096" t="inlineStr"/>
      <c r="B5096" t="inlineStr"/>
      <c r="C5096" t="inlineStr"/>
      <c r="D5096" t="inlineStr"/>
      <c r="E5096">
        <f>HYPERLINK("https://www.ncbi.nlm.nih.gov/gene/?term=XP_036590210.1", "XP_036590210.1")</f>
        <v/>
      </c>
      <c r="F5096" t="n">
        <v>25.3</v>
      </c>
      <c r="G5096" t="n">
        <v>217</v>
      </c>
      <c r="H5096" t="n">
        <v>1.56e-11</v>
      </c>
      <c r="I5096" t="inlineStr">
        <is>
          <t>Nr</t>
        </is>
      </c>
      <c r="J5096" t="inlineStr"/>
      <c r="K5096" t="inlineStr"/>
      <c r="L5096" t="inlineStr">
        <is>
          <t>XP_036590210.1 uncharacterized protein LOC118827963 [Trichosurus vulpecula]</t>
        </is>
      </c>
      <c r="M5096" t="n">
        <v>657</v>
      </c>
      <c r="N5096" t="inlineStr">
        <is>
          <t>Trichosurus vulpecula</t>
        </is>
      </c>
      <c r="O5096" t="inlineStr">
        <is>
          <t>uncharacterized protein LOC118827963</t>
        </is>
      </c>
    </row>
    <row r="5097">
      <c r="A5097" t="inlineStr"/>
      <c r="B5097" t="inlineStr"/>
      <c r="C5097" t="inlineStr"/>
      <c r="D5097" t="inlineStr"/>
      <c r="E5097">
        <f>HYPERLINK("https://www.uniprot.org/uniprotkb/A0A803J6A6/entry", "A0A803J6A6")</f>
        <v/>
      </c>
      <c r="F5097" t="n">
        <v>45.3</v>
      </c>
      <c r="G5097" t="n">
        <v>75</v>
      </c>
      <c r="H5097" t="n">
        <v>1.67e-11</v>
      </c>
      <c r="I5097" t="inlineStr">
        <is>
          <t>TrEMBL</t>
        </is>
      </c>
      <c r="J5097" t="inlineStr"/>
      <c r="K5097" t="inlineStr">
        <is>
          <t>A0A803J6A6_XENTR</t>
        </is>
      </c>
      <c r="L5097" t="inlineStr">
        <is>
          <t>tr|A0A803J6A6|A0A803J6A6_XENTR Transposase_22 domain-containing protein OS=Xenopus tropicalis OX=8364 PE=4 SV=1</t>
        </is>
      </c>
      <c r="M5097" t="n">
        <v>363</v>
      </c>
      <c r="N5097" t="inlineStr">
        <is>
          <t>Xenopus tropicalis</t>
        </is>
      </c>
      <c r="O5097" t="inlineStr">
        <is>
          <t>Transposase_22 domain-containing protein</t>
        </is>
      </c>
    </row>
    <row r="5098">
      <c r="A5098" t="inlineStr"/>
      <c r="B5098" t="inlineStr"/>
      <c r="C5098" t="inlineStr"/>
      <c r="D5098" t="inlineStr"/>
      <c r="E5098">
        <f>HYPERLINK("https://www.ncbi.nlm.nih.gov/gene/?term=XP_023816255.1", "XP_023816255.1")</f>
        <v/>
      </c>
      <c r="F5098" t="n">
        <v>25.8</v>
      </c>
      <c r="G5098" t="n">
        <v>190</v>
      </c>
      <c r="H5098" t="n">
        <v>1.95e-11</v>
      </c>
      <c r="I5098" t="inlineStr">
        <is>
          <t>Nr</t>
        </is>
      </c>
      <c r="J5098" t="inlineStr"/>
      <c r="K5098" t="inlineStr"/>
      <c r="L5098" t="inlineStr">
        <is>
          <t>XP_023816255.1 uncharacterized protein LOC111948292 [Oryzias latipes]</t>
        </is>
      </c>
      <c r="M5098" t="n">
        <v>434</v>
      </c>
      <c r="N5098" t="inlineStr">
        <is>
          <t>Oryzias latipes</t>
        </is>
      </c>
      <c r="O5098" t="inlineStr">
        <is>
          <t>uncharacterized protein LOC111948292</t>
        </is>
      </c>
    </row>
    <row r="5099">
      <c r="A5099" t="inlineStr"/>
      <c r="B5099" t="inlineStr"/>
      <c r="C5099" t="inlineStr"/>
      <c r="D5099" t="inlineStr"/>
      <c r="E5099">
        <f>HYPERLINK("https://www.uniprot.org/uniprotkb/A0A8C6NST4/entry", "A0A8C6NST4")</f>
        <v/>
      </c>
      <c r="F5099" t="n">
        <v>23.7</v>
      </c>
      <c r="G5099" t="n">
        <v>270</v>
      </c>
      <c r="H5099" t="n">
        <v>2.53e-11</v>
      </c>
      <c r="I5099" t="inlineStr">
        <is>
          <t>TrEMBL</t>
        </is>
      </c>
      <c r="J5099" t="inlineStr"/>
      <c r="K5099" t="inlineStr">
        <is>
          <t>A0A8C6NST4_NOTFU</t>
        </is>
      </c>
      <c r="L5099" t="inlineStr">
        <is>
          <t>tr|A0A8C6NST4|A0A8C6NST4_NOTFU Envelope glycoprotein OS=Nothobranchius furzeri OX=105023 PE=4 SV=1</t>
        </is>
      </c>
      <c r="M5099" t="n">
        <v>617</v>
      </c>
      <c r="N5099" t="inlineStr">
        <is>
          <t>Nothobranchius furzeri</t>
        </is>
      </c>
      <c r="O5099" t="inlineStr">
        <is>
          <t>Envelope glycoprotein</t>
        </is>
      </c>
    </row>
    <row r="5100">
      <c r="A5100" t="inlineStr"/>
      <c r="B5100" t="inlineStr"/>
      <c r="C5100" t="inlineStr"/>
      <c r="D5100" t="inlineStr"/>
      <c r="E5100">
        <f>HYPERLINK("https://www.ncbi.nlm.nih.gov/gene/?term=MCC8115060.1", "MCC8115060.1")</f>
        <v/>
      </c>
      <c r="F5100" t="n">
        <v>25.7</v>
      </c>
      <c r="G5100" t="n">
        <v>202</v>
      </c>
      <c r="H5100" t="n">
        <v>2.73e-11</v>
      </c>
      <c r="I5100" t="inlineStr">
        <is>
          <t>Nr</t>
        </is>
      </c>
      <c r="J5100" t="inlineStr"/>
      <c r="K5100" t="inlineStr"/>
      <c r="L5100" t="inlineStr">
        <is>
          <t>MCC8115060.1 hypothetical protein [Bacteroidales bacterium]</t>
        </is>
      </c>
      <c r="M5100" t="n">
        <v>448</v>
      </c>
      <c r="N5100" t="inlineStr">
        <is>
          <t>Bacteroidales bacterium</t>
        </is>
      </c>
      <c r="O5100" t="inlineStr">
        <is>
          <t>hypothetical protein</t>
        </is>
      </c>
    </row>
    <row r="5101">
      <c r="A5101" t="inlineStr"/>
      <c r="B5101" t="inlineStr"/>
      <c r="C5101" t="inlineStr"/>
      <c r="D5101" t="inlineStr"/>
      <c r="E5101">
        <f>HYPERLINK("https://www.uniprot.org/uniprotkb/A0A8J1LEL2/entry", "A0A8J1LEL2")</f>
        <v/>
      </c>
      <c r="F5101" t="n">
        <v>29.1</v>
      </c>
      <c r="G5101" t="n">
        <v>158</v>
      </c>
      <c r="H5101" t="n">
        <v>2.79e-11</v>
      </c>
      <c r="I5101" t="inlineStr">
        <is>
          <t>TrEMBL</t>
        </is>
      </c>
      <c r="J5101" t="inlineStr">
        <is>
          <t>LOC121396335</t>
        </is>
      </c>
      <c r="K5101" t="inlineStr">
        <is>
          <t>A0A8J1LEL2_XENLA</t>
        </is>
      </c>
      <c r="L5101" t="inlineStr">
        <is>
          <t>tr|A0A8J1LEL2|A0A8J1LEL2_XENLA uncharacterized protein LOC121396335 OS=Xenopus laevis OX=8355 GN=LOC121396335 PE=4 SV=1</t>
        </is>
      </c>
      <c r="M5101" t="n">
        <v>482</v>
      </c>
      <c r="N5101" t="inlineStr">
        <is>
          <t>Xenopus laevis</t>
        </is>
      </c>
      <c r="O5101" t="inlineStr">
        <is>
          <t>uncharacterized protein LOC121396335</t>
        </is>
      </c>
    </row>
    <row r="5102">
      <c r="A5102" t="inlineStr"/>
      <c r="B5102" t="inlineStr"/>
      <c r="C5102" t="inlineStr"/>
      <c r="D5102" t="inlineStr"/>
      <c r="E5102">
        <f>HYPERLINK("https://www.uniprot.org/uniprotkb/A0A6P7ZQG8/entry", "A0A6P7ZQG8")</f>
        <v/>
      </c>
      <c r="F5102" t="n">
        <v>27.2</v>
      </c>
      <c r="G5102" t="n">
        <v>191</v>
      </c>
      <c r="H5102" t="n">
        <v>4.02e-11</v>
      </c>
      <c r="I5102" t="inlineStr">
        <is>
          <t>TrEMBL</t>
        </is>
      </c>
      <c r="J5102" t="inlineStr">
        <is>
          <t>LOC115481745</t>
        </is>
      </c>
      <c r="K5102" t="inlineStr">
        <is>
          <t>A0A6P7ZQG8_9AMPH</t>
        </is>
      </c>
      <c r="L5102" t="inlineStr">
        <is>
          <t>tr|A0A6P7ZQG8|A0A6P7ZQG8_9AMPH uncharacterized protein LOC115481745 OS=Microcaecilia unicolor OX=1415580 GN=LOC115481745 PE=4 SV=1</t>
        </is>
      </c>
      <c r="M5102" t="n">
        <v>521</v>
      </c>
      <c r="N5102" t="inlineStr">
        <is>
          <t>Microcaecilia unicolor</t>
        </is>
      </c>
      <c r="O5102" t="inlineStr">
        <is>
          <t>uncharacterized protein LOC115481745</t>
        </is>
      </c>
    </row>
    <row r="5103">
      <c r="A5103" t="inlineStr"/>
      <c r="B5103" t="inlineStr"/>
      <c r="C5103" t="inlineStr"/>
      <c r="D5103" t="inlineStr"/>
      <c r="E5103">
        <f>HYPERLINK("https://www.ncbi.nlm.nih.gov/gene/?term=XP_041427109.1", "XP_041427109.1")</f>
        <v/>
      </c>
      <c r="F5103" t="n">
        <v>29.1</v>
      </c>
      <c r="G5103" t="n">
        <v>158</v>
      </c>
      <c r="H5103" t="n">
        <v>7.18e-11</v>
      </c>
      <c r="I5103" t="inlineStr">
        <is>
          <t>Nr</t>
        </is>
      </c>
      <c r="J5103" t="inlineStr"/>
      <c r="K5103" t="inlineStr"/>
      <c r="L5103" t="inlineStr">
        <is>
          <t>XP_041427109.1 uncharacterized protein LOC121396335 [Xenopus laevis]</t>
        </is>
      </c>
      <c r="M5103" t="n">
        <v>482</v>
      </c>
      <c r="N5103" t="inlineStr">
        <is>
          <t>Xenopus laevis</t>
        </is>
      </c>
      <c r="O5103" t="inlineStr">
        <is>
          <t>uncharacterized protein LOC121396335</t>
        </is>
      </c>
    </row>
    <row r="5104">
      <c r="A5104" t="inlineStr"/>
      <c r="B5104" t="inlineStr"/>
      <c r="C5104" t="inlineStr"/>
      <c r="D5104" t="inlineStr"/>
      <c r="E5104">
        <f>HYPERLINK("https://www.uniprot.org/uniprotkb/A0A8C6PVQ8/entry", "A0A8C6PVQ8")</f>
        <v/>
      </c>
      <c r="F5104" t="n">
        <v>24</v>
      </c>
      <c r="G5104" t="n">
        <v>242</v>
      </c>
      <c r="H5104" t="n">
        <v>7.58e-11</v>
      </c>
      <c r="I5104" t="inlineStr">
        <is>
          <t>TrEMBL</t>
        </is>
      </c>
      <c r="J5104" t="inlineStr"/>
      <c r="K5104" t="inlineStr">
        <is>
          <t>A0A8C6PVQ8_NOTFU</t>
        </is>
      </c>
      <c r="L5104" t="inlineStr">
        <is>
          <t>tr|A0A8C6PVQ8|A0A8C6PVQ8_NOTFU Uromodulin-like 1 OS=Nothobranchius furzeri OX=105023 PE=4 SV=1</t>
        </is>
      </c>
      <c r="M5104" t="n">
        <v>557</v>
      </c>
      <c r="N5104" t="inlineStr">
        <is>
          <t>Nothobranchius furzeri</t>
        </is>
      </c>
      <c r="O5104" t="inlineStr">
        <is>
          <t>Uromodulin-like 1</t>
        </is>
      </c>
    </row>
    <row r="5105">
      <c r="A5105" t="inlineStr"/>
      <c r="B5105" t="inlineStr"/>
      <c r="C5105" t="inlineStr"/>
      <c r="D5105" t="inlineStr"/>
      <c r="E5105">
        <f>HYPERLINK("https://www.uniprot.org/uniprotkb/A0A8C6LSS6/entry", "A0A8C6LSS6")</f>
        <v/>
      </c>
      <c r="F5105" t="n">
        <v>24</v>
      </c>
      <c r="G5105" t="n">
        <v>242</v>
      </c>
      <c r="H5105" t="n">
        <v>7.95e-11</v>
      </c>
      <c r="I5105" t="inlineStr">
        <is>
          <t>TrEMBL</t>
        </is>
      </c>
      <c r="J5105" t="inlineStr"/>
      <c r="K5105" t="inlineStr">
        <is>
          <t>A0A8C6LSS6_NOTFU</t>
        </is>
      </c>
      <c r="L5105" t="inlineStr">
        <is>
          <t>tr|A0A8C6LSS6|A0A8C6LSS6_NOTFU Envelope glycoprotein OS=Nothobranchius furzeri OX=105023 PE=4 SV=1</t>
        </is>
      </c>
      <c r="M5105" t="n">
        <v>599</v>
      </c>
      <c r="N5105" t="inlineStr">
        <is>
          <t>Nothobranchius furzeri</t>
        </is>
      </c>
      <c r="O5105" t="inlineStr">
        <is>
          <t>Envelope glycoprotein</t>
        </is>
      </c>
    </row>
    <row r="5106">
      <c r="A5106" t="inlineStr"/>
      <c r="B5106" t="inlineStr"/>
      <c r="C5106" t="inlineStr"/>
      <c r="D5106" t="inlineStr"/>
      <c r="E5106">
        <f>HYPERLINK("https://www.uniprot.org/uniprotkb/A0A8C6KCI1/entry", "A0A8C6KCI1")</f>
        <v/>
      </c>
      <c r="F5106" t="n">
        <v>24</v>
      </c>
      <c r="G5106" t="n">
        <v>242</v>
      </c>
      <c r="H5106" t="n">
        <v>8.02e-11</v>
      </c>
      <c r="I5106" t="inlineStr">
        <is>
          <t>TrEMBL</t>
        </is>
      </c>
      <c r="J5106" t="inlineStr"/>
      <c r="K5106" t="inlineStr">
        <is>
          <t>A0A8C6KCI1_NOTFU</t>
        </is>
      </c>
      <c r="L5106" t="inlineStr">
        <is>
          <t>tr|A0A8C6KCI1|A0A8C6KCI1_NOTFU Uromodulin-like 1 OS=Nothobranchius furzeri OX=105023 PE=4 SV=1</t>
        </is>
      </c>
      <c r="M5106" t="n">
        <v>607</v>
      </c>
      <c r="N5106" t="inlineStr">
        <is>
          <t>Nothobranchius furzeri</t>
        </is>
      </c>
      <c r="O5106" t="inlineStr">
        <is>
          <t>Uromodulin-like 1</t>
        </is>
      </c>
    </row>
    <row r="5107">
      <c r="A5107" t="inlineStr"/>
      <c r="B5107" t="inlineStr"/>
      <c r="C5107" t="inlineStr"/>
      <c r="D5107" t="inlineStr"/>
      <c r="E5107">
        <f>HYPERLINK("https://www.uniprot.org/uniprotkb/A0A8C6LPZ6/entry", "A0A8C6LPZ6")</f>
        <v/>
      </c>
      <c r="F5107" t="n">
        <v>24</v>
      </c>
      <c r="G5107" t="n">
        <v>242</v>
      </c>
      <c r="H5107" t="n">
        <v>8.1e-11</v>
      </c>
      <c r="I5107" t="inlineStr">
        <is>
          <t>TrEMBL</t>
        </is>
      </c>
      <c r="J5107" t="inlineStr"/>
      <c r="K5107" t="inlineStr">
        <is>
          <t>A0A8C6LPZ6_NOTFU</t>
        </is>
      </c>
      <c r="L5107" t="inlineStr">
        <is>
          <t>tr|A0A8C6LPZ6|A0A8C6LPZ6_NOTFU Envelope glycoprotein OS=Nothobranchius furzeri OX=105023 PE=4 SV=1</t>
        </is>
      </c>
      <c r="M5107" t="n">
        <v>617</v>
      </c>
      <c r="N5107" t="inlineStr">
        <is>
          <t>Nothobranchius furzeri</t>
        </is>
      </c>
      <c r="O5107" t="inlineStr">
        <is>
          <t>Envelope glycoprotein</t>
        </is>
      </c>
    </row>
    <row r="5108">
      <c r="A5108" t="inlineStr"/>
      <c r="B5108" t="inlineStr"/>
      <c r="C5108" t="inlineStr"/>
      <c r="D5108" t="inlineStr"/>
      <c r="E5108">
        <f>HYPERLINK("https://www.uniprot.org/uniprotkb/A0A8C6PDE2/entry", "A0A8C6PDE2")</f>
        <v/>
      </c>
      <c r="F5108" t="n">
        <v>24</v>
      </c>
      <c r="G5108" t="n">
        <v>242</v>
      </c>
      <c r="H5108" t="n">
        <v>8.1e-11</v>
      </c>
      <c r="I5108" t="inlineStr">
        <is>
          <t>TrEMBL</t>
        </is>
      </c>
      <c r="J5108" t="inlineStr"/>
      <c r="K5108" t="inlineStr">
        <is>
          <t>A0A8C6PDE2_NOTFU</t>
        </is>
      </c>
      <c r="L5108" t="inlineStr">
        <is>
          <t>tr|A0A8C6PDE2|A0A8C6PDE2_NOTFU Envelope glycoprotein OS=Nothobranchius furzeri OX=105023 PE=4 SV=1</t>
        </is>
      </c>
      <c r="M5108" t="n">
        <v>617</v>
      </c>
      <c r="N5108" t="inlineStr">
        <is>
          <t>Nothobranchius furzeri</t>
        </is>
      </c>
      <c r="O5108" t="inlineStr">
        <is>
          <t>Envelope glycoprotein</t>
        </is>
      </c>
    </row>
    <row r="5109">
      <c r="A5109" t="inlineStr"/>
      <c r="B5109" t="inlineStr"/>
      <c r="C5109" t="inlineStr"/>
      <c r="D5109" t="inlineStr"/>
      <c r="E5109">
        <f>HYPERLINK("https://www.uniprot.org/uniprotkb/A0A8C6KHW0/entry", "A0A8C6KHW0")</f>
        <v/>
      </c>
      <c r="F5109" t="n">
        <v>24</v>
      </c>
      <c r="G5109" t="n">
        <v>242</v>
      </c>
      <c r="H5109" t="n">
        <v>8.1e-11</v>
      </c>
      <c r="I5109" t="inlineStr">
        <is>
          <t>TrEMBL</t>
        </is>
      </c>
      <c r="J5109" t="inlineStr"/>
      <c r="K5109" t="inlineStr">
        <is>
          <t>A0A8C6KHW0_NOTFU</t>
        </is>
      </c>
      <c r="L5109" t="inlineStr">
        <is>
          <t>tr|A0A8C6KHW0|A0A8C6KHW0_NOTFU Envelope glycoprotein OS=Nothobranchius furzeri OX=105023 PE=4 SV=1</t>
        </is>
      </c>
      <c r="M5109" t="n">
        <v>617</v>
      </c>
      <c r="N5109" t="inlineStr">
        <is>
          <t>Nothobranchius furzeri</t>
        </is>
      </c>
      <c r="O5109" t="inlineStr">
        <is>
          <t>Envelope glycoprotein</t>
        </is>
      </c>
    </row>
    <row r="5110">
      <c r="A5110" t="inlineStr"/>
      <c r="B5110" t="inlineStr"/>
      <c r="C5110" t="inlineStr"/>
      <c r="D5110" t="inlineStr"/>
      <c r="E5110">
        <f>HYPERLINK("https://www.uniprot.org/uniprotkb/A0A803J8S4/entry", "A0A803J8S4")</f>
        <v/>
      </c>
      <c r="F5110" t="n">
        <v>38</v>
      </c>
      <c r="G5110" t="n">
        <v>71</v>
      </c>
      <c r="H5110" t="n">
        <v>8.25e-11</v>
      </c>
      <c r="I5110" t="inlineStr">
        <is>
          <t>TrEMBL</t>
        </is>
      </c>
      <c r="J5110" t="inlineStr"/>
      <c r="K5110" t="inlineStr">
        <is>
          <t>A0A803J8S4_XENTR</t>
        </is>
      </c>
      <c r="L5110" t="inlineStr">
        <is>
          <t>tr|A0A803J8S4|A0A803J8S4_XENTR LINE-1 retrotransposable element ORF1 protein OS=Xenopus tropicalis OX=8364 PE=4 SV=1</t>
        </is>
      </c>
      <c r="M5110" t="n">
        <v>369</v>
      </c>
      <c r="N5110" t="inlineStr">
        <is>
          <t>Xenopus tropicalis</t>
        </is>
      </c>
      <c r="O5110" t="inlineStr">
        <is>
          <t>LINE-1 retrotransposable element ORF1 protein</t>
        </is>
      </c>
    </row>
    <row r="5111">
      <c r="A5111" t="inlineStr"/>
      <c r="B5111" t="inlineStr"/>
      <c r="C5111" t="inlineStr"/>
      <c r="D5111" t="inlineStr"/>
      <c r="E5111">
        <f>HYPERLINK("https://www.ncbi.nlm.nih.gov/gene/?term=XP_030076976.1", "XP_030076976.1")</f>
        <v/>
      </c>
      <c r="F5111" t="n">
        <v>27.2</v>
      </c>
      <c r="G5111" t="n">
        <v>191</v>
      </c>
      <c r="H5111" t="n">
        <v>1.03e-10</v>
      </c>
      <c r="I5111" t="inlineStr">
        <is>
          <t>Nr</t>
        </is>
      </c>
      <c r="J5111" t="inlineStr"/>
      <c r="K5111" t="inlineStr"/>
      <c r="L5111" t="inlineStr">
        <is>
          <t>XP_030076976.1 uncharacterized protein LOC115481745 [Microcaecilia unicolor]</t>
        </is>
      </c>
      <c r="M5111" t="n">
        <v>521</v>
      </c>
      <c r="N5111" t="inlineStr">
        <is>
          <t>Microcaecilia unicolor</t>
        </is>
      </c>
      <c r="O5111" t="inlineStr">
        <is>
          <t>uncharacterized protein LOC115481745</t>
        </is>
      </c>
    </row>
    <row r="5112">
      <c r="A5112" t="inlineStr"/>
      <c r="B5112" t="inlineStr"/>
      <c r="C5112" t="inlineStr"/>
      <c r="D5112" t="inlineStr"/>
      <c r="E5112">
        <f>HYPERLINK("https://www.uniprot.org/uniprotkb/A0A803JEW2/entry", "A0A803JEW2")</f>
        <v/>
      </c>
      <c r="F5112" t="n">
        <v>45.6</v>
      </c>
      <c r="G5112" t="n">
        <v>68</v>
      </c>
      <c r="H5112" t="n">
        <v>1.56e-10</v>
      </c>
      <c r="I5112" t="inlineStr">
        <is>
          <t>TrEMBL</t>
        </is>
      </c>
      <c r="J5112" t="inlineStr"/>
      <c r="K5112" t="inlineStr">
        <is>
          <t>A0A803JEW2_XENTR</t>
        </is>
      </c>
      <c r="L5112" t="inlineStr">
        <is>
          <t>tr|A0A803JEW2|A0A803JEW2_XENTR Transposase_22 domain-containing protein OS=Xenopus tropicalis OX=8364 PE=4 SV=1</t>
        </is>
      </c>
      <c r="M5112" t="n">
        <v>372</v>
      </c>
      <c r="N5112" t="inlineStr">
        <is>
          <t>Xenopus tropicalis</t>
        </is>
      </c>
      <c r="O5112" t="inlineStr">
        <is>
          <t>Transposase_22 domain-containing protein</t>
        </is>
      </c>
    </row>
    <row r="5113">
      <c r="A5113" t="inlineStr"/>
      <c r="B5113" t="inlineStr"/>
      <c r="C5113" t="inlineStr"/>
      <c r="D5113" t="inlineStr"/>
      <c r="E5113">
        <f>HYPERLINK("https://www.uniprot.org/uniprotkb/A0A3Q3XJL7/entry", "A0A3Q3XJL7")</f>
        <v/>
      </c>
      <c r="F5113" t="n">
        <v>27.5</v>
      </c>
      <c r="G5113" t="n">
        <v>200</v>
      </c>
      <c r="H5113" t="n">
        <v>1.93e-10</v>
      </c>
      <c r="I5113" t="inlineStr">
        <is>
          <t>TrEMBL</t>
        </is>
      </c>
      <c r="J5113" t="inlineStr"/>
      <c r="K5113" t="inlineStr">
        <is>
          <t>A0A3Q3XJL7_MOLML</t>
        </is>
      </c>
      <c r="L5113" t="inlineStr">
        <is>
          <t>tr|A0A3Q3XJL7|A0A3Q3XJL7_MOLML Envelope protein OS=Mola mola OX=94237 PE=4 SV=1</t>
        </is>
      </c>
      <c r="M5113" t="n">
        <v>434</v>
      </c>
      <c r="N5113" t="inlineStr">
        <is>
          <t>Mola mola</t>
        </is>
      </c>
      <c r="O5113" t="inlineStr">
        <is>
          <t>Envelope protein</t>
        </is>
      </c>
    </row>
    <row r="5114">
      <c r="A5114" t="inlineStr"/>
      <c r="B5114" t="inlineStr"/>
      <c r="C5114" t="inlineStr"/>
      <c r="D5114" t="inlineStr"/>
      <c r="E5114">
        <f>HYPERLINK("https://www.uniprot.org/uniprotkb/A0A6P8S6B8/entry", "A0A6P8S6B8")</f>
        <v/>
      </c>
      <c r="F5114" t="n">
        <v>23.3</v>
      </c>
      <c r="G5114" t="n">
        <v>202</v>
      </c>
      <c r="H5114" t="n">
        <v>2e-10</v>
      </c>
      <c r="I5114" t="inlineStr">
        <is>
          <t>TrEMBL</t>
        </is>
      </c>
      <c r="J5114" t="inlineStr">
        <is>
          <t>LOC117366403</t>
        </is>
      </c>
      <c r="K5114" t="inlineStr">
        <is>
          <t>A0A6P8S6B8_GEOSA</t>
        </is>
      </c>
      <c r="L5114" t="inlineStr">
        <is>
          <t>tr|A0A6P8S6B8|A0A6P8S6B8_GEOSA uncharacterized protein LOC117366403 OS=Geotrypetes seraphini OX=260995 GN=LOC117366403 PE=4 SV=1</t>
        </is>
      </c>
      <c r="M5114" t="n">
        <v>448</v>
      </c>
      <c r="N5114" t="inlineStr">
        <is>
          <t>Geotrypetes seraphini</t>
        </is>
      </c>
      <c r="O5114" t="inlineStr">
        <is>
          <t>uncharacterized protein LOC117366403</t>
        </is>
      </c>
    </row>
    <row r="5115">
      <c r="A5115" t="inlineStr"/>
      <c r="B5115" t="inlineStr"/>
      <c r="C5115" t="inlineStr"/>
      <c r="D5115" t="inlineStr"/>
      <c r="E5115">
        <f>HYPERLINK("https://www.uniprot.org/uniprotkb/Q03278/entry", "Q03278")</f>
        <v/>
      </c>
      <c r="F5115" t="n">
        <v>24.8</v>
      </c>
      <c r="G5115" t="n">
        <v>254</v>
      </c>
      <c r="H5115" t="n">
        <v>2.19e-10</v>
      </c>
      <c r="I5115" t="inlineStr">
        <is>
          <t>Swiss-Prot</t>
        </is>
      </c>
      <c r="J5115" t="inlineStr"/>
      <c r="K5115" t="inlineStr">
        <is>
          <t>PO21_NASVI</t>
        </is>
      </c>
      <c r="L5115" t="inlineStr">
        <is>
          <t>sp|Q03278|PO21_NASVI Retrovirus-related Pol polyprotein from type-1 retrotransposable element R2 (Fragment) OS=Nasonia vitripennis OX=7425 PE=4 SV=2</t>
        </is>
      </c>
      <c r="M5115" t="n">
        <v>1025</v>
      </c>
      <c r="N5115" t="inlineStr">
        <is>
          <t>Nasonia vitripennis</t>
        </is>
      </c>
      <c r="O5115" t="inlineStr">
        <is>
          <t>Retrovirus-related Pol polyprotein from type-1 retrotransposable element R2 (Fragment)</t>
        </is>
      </c>
    </row>
    <row r="5116">
      <c r="A5116" t="inlineStr"/>
      <c r="B5116" t="inlineStr"/>
      <c r="C5116" t="inlineStr"/>
      <c r="D5116" t="inlineStr"/>
      <c r="E5116">
        <f>HYPERLINK("https://www.uniprot.org/uniprotkb/A0A803J9X1/entry", "A0A803J9X1")</f>
        <v/>
      </c>
      <c r="F5116" t="n">
        <v>48.5</v>
      </c>
      <c r="G5116" t="n">
        <v>66</v>
      </c>
      <c r="H5116" t="n">
        <v>2.54e-10</v>
      </c>
      <c r="I5116" t="inlineStr">
        <is>
          <t>TrEMBL</t>
        </is>
      </c>
      <c r="J5116" t="inlineStr"/>
      <c r="K5116" t="inlineStr">
        <is>
          <t>A0A803J9X1_XENTR</t>
        </is>
      </c>
      <c r="L5116" t="inlineStr">
        <is>
          <t>tr|A0A803J9X1|A0A803J9X1_XENTR Reverse transcriptase domain-containing protein OS=Xenopus tropicalis OX=8364 PE=4 SV=1</t>
        </is>
      </c>
      <c r="M5116" t="n">
        <v>328</v>
      </c>
      <c r="N5116" t="inlineStr">
        <is>
          <t>Xenopus tropicalis</t>
        </is>
      </c>
      <c r="O5116" t="inlineStr">
        <is>
          <t>Reverse transcriptase domain-containing protein</t>
        </is>
      </c>
    </row>
    <row r="5117">
      <c r="A5117" t="inlineStr"/>
      <c r="B5117" t="inlineStr"/>
      <c r="C5117" t="inlineStr"/>
      <c r="D5117" t="inlineStr"/>
      <c r="E5117">
        <f>HYPERLINK("https://www.uniprot.org/uniprotkb/A0A8J6EFA8/entry", "A0A8J6EFA8")</f>
        <v/>
      </c>
      <c r="F5117" t="n">
        <v>43.7</v>
      </c>
      <c r="G5117" t="n">
        <v>71</v>
      </c>
      <c r="H5117" t="n">
        <v>3.01e-10</v>
      </c>
      <c r="I5117" t="inlineStr">
        <is>
          <t>TrEMBL</t>
        </is>
      </c>
      <c r="J5117" t="inlineStr">
        <is>
          <t>GDO78_013818</t>
        </is>
      </c>
      <c r="K5117" t="inlineStr">
        <is>
          <t>A0A8J6EFA8_ELECQ</t>
        </is>
      </c>
      <c r="L5117" t="inlineStr">
        <is>
          <t>tr|A0A8J6EFA8|A0A8J6EFA8_ELECQ LINE-1 type transposase domain-containing protein 1 OS=Eleutherodactylus coqui OX=57060 GN=GDO78_013818 PE=4 SV=1</t>
        </is>
      </c>
      <c r="M5117" t="n">
        <v>385</v>
      </c>
      <c r="N5117" t="inlineStr">
        <is>
          <t>Eleutherodactylus coqui</t>
        </is>
      </c>
      <c r="O5117" t="inlineStr">
        <is>
          <t>LINE-1 type transposase domain-containing protein 1</t>
        </is>
      </c>
    </row>
    <row r="5118">
      <c r="A5118" t="inlineStr"/>
      <c r="B5118" t="inlineStr"/>
      <c r="C5118" t="inlineStr"/>
      <c r="D5118" t="inlineStr"/>
      <c r="E5118">
        <f>HYPERLINK("https://www.uniprot.org/uniprotkb/A0A8C5LK86/entry", "A0A8C5LK86")</f>
        <v/>
      </c>
      <c r="F5118" t="n">
        <v>43.7</v>
      </c>
      <c r="G5118" t="n">
        <v>71</v>
      </c>
      <c r="H5118" t="n">
        <v>3.77e-10</v>
      </c>
      <c r="I5118" t="inlineStr">
        <is>
          <t>TrEMBL</t>
        </is>
      </c>
      <c r="J5118" t="inlineStr"/>
      <c r="K5118" t="inlineStr">
        <is>
          <t>A0A8C5LK86_9ANUR</t>
        </is>
      </c>
      <c r="L5118" t="inlineStr">
        <is>
          <t>tr|A0A8C5LK86|A0A8C5LK86_9ANUR LINE-1 retrotransposable element ORF2 protein OS=Leptobrachium leishanense OX=445787 PE=4 SV=1</t>
        </is>
      </c>
      <c r="M5118" t="n">
        <v>349</v>
      </c>
      <c r="N5118" t="inlineStr">
        <is>
          <t>Leptobrachium leishanense</t>
        </is>
      </c>
      <c r="O5118" t="inlineStr">
        <is>
          <t>LINE-1 retrotransposable element ORF2 protein</t>
        </is>
      </c>
    </row>
    <row r="5119">
      <c r="A5119" t="inlineStr"/>
      <c r="B5119" t="inlineStr"/>
      <c r="C5119" t="inlineStr"/>
      <c r="D5119" t="inlineStr"/>
      <c r="E5119">
        <f>HYPERLINK("https://www.uniprot.org/uniprotkb/A0A803JMB6/entry", "A0A803JMB6")</f>
        <v/>
      </c>
      <c r="F5119" t="n">
        <v>45.1</v>
      </c>
      <c r="G5119" t="n">
        <v>71</v>
      </c>
      <c r="H5119" t="n">
        <v>3.93e-10</v>
      </c>
      <c r="I5119" t="inlineStr">
        <is>
          <t>TrEMBL</t>
        </is>
      </c>
      <c r="J5119" t="inlineStr"/>
      <c r="K5119" t="inlineStr">
        <is>
          <t>A0A803JMB6_XENTR</t>
        </is>
      </c>
      <c r="L5119" t="inlineStr">
        <is>
          <t>tr|A0A803JMB6|A0A803JMB6_XENTR LINE-1 type transposase domain-containing protein 1 OS=Xenopus tropicalis OX=8364 PE=4 SV=1</t>
        </is>
      </c>
      <c r="M5119" t="n">
        <v>363</v>
      </c>
      <c r="N5119" t="inlineStr">
        <is>
          <t>Xenopus tropicalis</t>
        </is>
      </c>
      <c r="O5119" t="inlineStr">
        <is>
          <t>LINE-1 type transposase domain-containing protein 1</t>
        </is>
      </c>
    </row>
    <row r="5120">
      <c r="A5120" t="inlineStr"/>
      <c r="B5120" t="inlineStr"/>
      <c r="C5120" t="inlineStr"/>
      <c r="D5120" t="inlineStr"/>
      <c r="E5120">
        <f>HYPERLINK("https://www.uniprot.org/uniprotkb/P11369/entry", "P11369")</f>
        <v/>
      </c>
      <c r="F5120" t="n">
        <v>31.3</v>
      </c>
      <c r="G5120" t="n">
        <v>99</v>
      </c>
      <c r="H5120" t="n">
        <v>4.2e-10</v>
      </c>
      <c r="I5120" t="inlineStr">
        <is>
          <t>Swiss-Prot</t>
        </is>
      </c>
      <c r="J5120" t="inlineStr">
        <is>
          <t>Pol</t>
        </is>
      </c>
      <c r="K5120" t="inlineStr">
        <is>
          <t>LORF2_MOUSE</t>
        </is>
      </c>
      <c r="L5120" t="inlineStr">
        <is>
          <t>sp|P11369|LORF2_MOUSE LINE-1 retrotransposable element ORF2 protein OS=Mus musculus OX=10090 GN=Pol PE=1 SV=2</t>
        </is>
      </c>
      <c r="M5120" t="n">
        <v>1281</v>
      </c>
      <c r="N5120" t="inlineStr">
        <is>
          <t>Mus musculus</t>
        </is>
      </c>
      <c r="O5120" t="inlineStr">
        <is>
          <t>LINE-1 retrotransposable element ORF2 protein</t>
        </is>
      </c>
    </row>
    <row r="5121">
      <c r="A5121" t="inlineStr"/>
      <c r="B5121" t="inlineStr"/>
      <c r="C5121" t="inlineStr"/>
      <c r="D5121" t="inlineStr"/>
      <c r="E5121">
        <f>HYPERLINK("https://www.ncbi.nlm.nih.gov/gene/?term=KAG9468069.1", "KAG9468069.1")</f>
        <v/>
      </c>
      <c r="F5121" t="n">
        <v>43.7</v>
      </c>
      <c r="G5121" t="n">
        <v>71</v>
      </c>
      <c r="H5121" t="n">
        <v>7.73e-10</v>
      </c>
      <c r="I5121" t="inlineStr">
        <is>
          <t>Nr</t>
        </is>
      </c>
      <c r="J5121" t="inlineStr"/>
      <c r="K5121" t="inlineStr"/>
      <c r="L5121" t="inlineStr">
        <is>
          <t>KAG9468069.1 hypothetical protein GDO78_013818 [Eleutherodactylus coqui]</t>
        </is>
      </c>
      <c r="M5121" t="n">
        <v>385</v>
      </c>
      <c r="N5121" t="inlineStr">
        <is>
          <t>Eleutherodactylus coqui</t>
        </is>
      </c>
      <c r="O5121" t="inlineStr">
        <is>
          <t>hypothetical protein GDO78_013818</t>
        </is>
      </c>
    </row>
    <row r="5122">
      <c r="A5122" t="inlineStr"/>
      <c r="B5122" t="inlineStr"/>
      <c r="C5122" t="inlineStr"/>
      <c r="D5122" t="inlineStr"/>
      <c r="E5122">
        <f>HYPERLINK("https://www.ncbi.nlm.nih.gov/gene/?term=XP_018417206.1", "XP_018417206.1")</f>
        <v/>
      </c>
      <c r="F5122" t="n">
        <v>44.9</v>
      </c>
      <c r="G5122" t="n">
        <v>69</v>
      </c>
      <c r="H5122" t="n">
        <v>1.23e-09</v>
      </c>
      <c r="I5122" t="inlineStr">
        <is>
          <t>Nr</t>
        </is>
      </c>
      <c r="J5122" t="inlineStr"/>
      <c r="K5122" t="inlineStr"/>
      <c r="L5122" t="inlineStr">
        <is>
          <t>XP_018417206.1 PREDICTED: protein phosphatase 1E [Nanorana parkeri]</t>
        </is>
      </c>
      <c r="M5122" t="n">
        <v>927</v>
      </c>
      <c r="N5122" t="inlineStr">
        <is>
          <t>Nanorana parkeri</t>
        </is>
      </c>
      <c r="O5122" t="inlineStr">
        <is>
          <t>PREDICTED: protein phosphatase 1E</t>
        </is>
      </c>
    </row>
    <row r="5123">
      <c r="A5123" t="inlineStr"/>
      <c r="B5123" t="inlineStr"/>
      <c r="C5123" t="inlineStr"/>
      <c r="D5123" t="inlineStr"/>
      <c r="E5123">
        <f>HYPERLINK("https://www.ncbi.nlm.nih.gov/gene/?term=KAE8589170.1", "KAE8589170.1")</f>
        <v/>
      </c>
      <c r="F5123" t="n">
        <v>43.2</v>
      </c>
      <c r="G5123" t="n">
        <v>81</v>
      </c>
      <c r="H5123" t="n">
        <v>1.68e-09</v>
      </c>
      <c r="I5123" t="inlineStr">
        <is>
          <t>Nr</t>
        </is>
      </c>
      <c r="J5123" t="inlineStr"/>
      <c r="K5123" t="inlineStr"/>
      <c r="L5123" t="inlineStr">
        <is>
          <t>KAE8589170.1 hypothetical protein XENTR_v10022906 [Xenopus tropicalis]</t>
        </is>
      </c>
      <c r="M5123" t="n">
        <v>273</v>
      </c>
      <c r="N5123" t="inlineStr">
        <is>
          <t>Xenopus tropicalis</t>
        </is>
      </c>
      <c r="O5123" t="inlineStr">
        <is>
          <t>hypothetical protein XENTR_v10022906</t>
        </is>
      </c>
    </row>
    <row r="5124">
      <c r="A5124" t="inlineStr"/>
      <c r="B5124" t="inlineStr"/>
      <c r="C5124" t="inlineStr"/>
      <c r="D5124" t="inlineStr"/>
      <c r="E5124">
        <f>HYPERLINK("https://www.uniprot.org/uniprotkb/A0A8J6EEZ2/entry", "A0A8J6EEZ2")</f>
        <v/>
      </c>
      <c r="F5124" t="n">
        <v>40.6</v>
      </c>
      <c r="G5124" t="n">
        <v>69</v>
      </c>
      <c r="H5124" t="n">
        <v>2.08e-09</v>
      </c>
      <c r="I5124" t="inlineStr">
        <is>
          <t>TrEMBL</t>
        </is>
      </c>
      <c r="J5124" t="inlineStr">
        <is>
          <t>GDO78_014290</t>
        </is>
      </c>
      <c r="K5124" t="inlineStr">
        <is>
          <t>A0A8J6EEZ2_ELECQ</t>
        </is>
      </c>
      <c r="L5124" t="inlineStr">
        <is>
          <t>tr|A0A8J6EEZ2|A0A8J6EEZ2_ELECQ RLAN domain-containing protein OS=Eleutherodactylus coqui OX=57060 GN=GDO78_014290 PE=4 SV=1</t>
        </is>
      </c>
      <c r="M5124" t="n">
        <v>125</v>
      </c>
      <c r="N5124" t="inlineStr">
        <is>
          <t>Eleutherodactylus coqui</t>
        </is>
      </c>
      <c r="O5124" t="inlineStr">
        <is>
          <t>RLAN domain-containing protein</t>
        </is>
      </c>
    </row>
    <row r="5125">
      <c r="A5125" t="inlineStr"/>
      <c r="B5125" t="inlineStr"/>
      <c r="C5125" t="inlineStr"/>
      <c r="D5125" t="inlineStr"/>
      <c r="E5125">
        <f>HYPERLINK("https://www.ncbi.nlm.nih.gov/gene/?term=OCT82952.1", "OCT82952.1")</f>
        <v/>
      </c>
      <c r="F5125" t="n">
        <v>50.9</v>
      </c>
      <c r="G5125" t="n">
        <v>53</v>
      </c>
      <c r="H5125" t="n">
        <v>3.16e-09</v>
      </c>
      <c r="I5125" t="inlineStr">
        <is>
          <t>Nr</t>
        </is>
      </c>
      <c r="J5125" t="inlineStr"/>
      <c r="K5125" t="inlineStr"/>
      <c r="L5125" t="inlineStr">
        <is>
          <t>OCT82952.1 hypothetical protein XELAEV_18025488mg [Xenopus laevis]</t>
        </is>
      </c>
      <c r="M5125" t="n">
        <v>149</v>
      </c>
      <c r="N5125" t="inlineStr">
        <is>
          <t>Xenopus laevis</t>
        </is>
      </c>
      <c r="O5125" t="inlineStr">
        <is>
          <t>hypothetical protein XELAEV_18025488mg</t>
        </is>
      </c>
    </row>
    <row r="5126">
      <c r="A5126" t="inlineStr"/>
      <c r="B5126" t="inlineStr"/>
      <c r="C5126" t="inlineStr"/>
      <c r="D5126" t="inlineStr"/>
      <c r="E5126">
        <f>HYPERLINK("https://www.uniprot.org/uniprotkb/A0A8C5PEG4/entry", "A0A8C5PEG4")</f>
        <v/>
      </c>
      <c r="F5126" t="n">
        <v>36.2</v>
      </c>
      <c r="G5126" t="n">
        <v>69</v>
      </c>
      <c r="H5126" t="n">
        <v>3.47e-09</v>
      </c>
      <c r="I5126" t="inlineStr">
        <is>
          <t>TrEMBL</t>
        </is>
      </c>
      <c r="J5126" t="inlineStr"/>
      <c r="K5126" t="inlineStr">
        <is>
          <t>A0A8C5PEG4_9ANUR</t>
        </is>
      </c>
      <c r="L5126" t="inlineStr">
        <is>
          <t>tr|A0A8C5PEG4|A0A8C5PEG4_9ANUR LUD_dom domain-containing protein OS=Leptobrachium leishanense OX=445787 PE=4 SV=1</t>
        </is>
      </c>
      <c r="M5126" t="n">
        <v>352</v>
      </c>
      <c r="N5126" t="inlineStr">
        <is>
          <t>Leptobrachium leishanense</t>
        </is>
      </c>
      <c r="O5126" t="inlineStr">
        <is>
          <t>LUD_dom domain-containing protein</t>
        </is>
      </c>
    </row>
    <row r="5127">
      <c r="A5127" t="inlineStr"/>
      <c r="B5127" t="inlineStr"/>
      <c r="C5127" t="inlineStr"/>
      <c r="D5127" t="inlineStr"/>
      <c r="E5127">
        <f>HYPERLINK("https://www.uniprot.org/uniprotkb/A0A8C5PYF3/entry", "A0A8C5PYF3")</f>
        <v/>
      </c>
      <c r="F5127" t="n">
        <v>43.5</v>
      </c>
      <c r="G5127" t="n">
        <v>69</v>
      </c>
      <c r="H5127" t="n">
        <v>3.48e-09</v>
      </c>
      <c r="I5127" t="inlineStr">
        <is>
          <t>TrEMBL</t>
        </is>
      </c>
      <c r="J5127" t="inlineStr"/>
      <c r="K5127" t="inlineStr">
        <is>
          <t>A0A8C5PYF3_9ANUR</t>
        </is>
      </c>
      <c r="L5127" t="inlineStr">
        <is>
          <t>tr|A0A8C5PYF3|A0A8C5PYF3_9ANUR LINE-1 retrotransposable element ORF1 protein OS=Leptobrachium leishanense OX=445787 PE=4 SV=1</t>
        </is>
      </c>
      <c r="M5127" t="n">
        <v>354</v>
      </c>
      <c r="N5127" t="inlineStr">
        <is>
          <t>Leptobrachium leishanense</t>
        </is>
      </c>
      <c r="O5127" t="inlineStr">
        <is>
          <t>LINE-1 retrotransposable element ORF1 protein</t>
        </is>
      </c>
    </row>
    <row r="5128">
      <c r="A5128" t="inlineStr"/>
      <c r="B5128" t="inlineStr"/>
      <c r="C5128" t="inlineStr"/>
      <c r="D5128" t="inlineStr"/>
      <c r="E5128">
        <f>HYPERLINK("https://www.ncbi.nlm.nih.gov/gene/?term=KAG9467791.1", "KAG9467791.1")</f>
        <v/>
      </c>
      <c r="F5128" t="n">
        <v>40.6</v>
      </c>
      <c r="G5128" t="n">
        <v>69</v>
      </c>
      <c r="H5128" t="n">
        <v>5.34e-09</v>
      </c>
      <c r="I5128" t="inlineStr">
        <is>
          <t>Nr</t>
        </is>
      </c>
      <c r="J5128" t="inlineStr"/>
      <c r="K5128" t="inlineStr"/>
      <c r="L5128" t="inlineStr">
        <is>
          <t>KAG9467791.1 hypothetical protein GDO78_014290 [Eleutherodactylus coqui]</t>
        </is>
      </c>
      <c r="M5128" t="n">
        <v>125</v>
      </c>
      <c r="N5128" t="inlineStr">
        <is>
          <t>Eleutherodactylus coqui</t>
        </is>
      </c>
      <c r="O5128" t="inlineStr">
        <is>
          <t>hypothetical protein GDO78_014290</t>
        </is>
      </c>
    </row>
    <row r="5129">
      <c r="A5129" t="inlineStr"/>
      <c r="B5129" t="inlineStr"/>
      <c r="C5129" t="inlineStr"/>
      <c r="D5129" t="inlineStr"/>
      <c r="E5129">
        <f>HYPERLINK("https://www.uniprot.org/uniprotkb/Q9NBX4/entry", "Q9NBX4")</f>
        <v/>
      </c>
      <c r="F5129" t="n">
        <v>22.6</v>
      </c>
      <c r="G5129" t="n">
        <v>766</v>
      </c>
      <c r="H5129" t="n">
        <v>5.57e-09</v>
      </c>
      <c r="I5129" t="inlineStr">
        <is>
          <t>Swiss-Prot</t>
        </is>
      </c>
      <c r="J5129" t="inlineStr">
        <is>
          <t>X-element\ORF2</t>
        </is>
      </c>
      <c r="K5129" t="inlineStr">
        <is>
          <t>RTXE_DROME</t>
        </is>
      </c>
      <c r="L5129" t="inlineStr">
        <is>
          <t>sp|Q9NBX4|RTXE_DROME Probable RNA-directed DNA polymerase from transposon X-element OS=Drosophila melanogaster OX=7227 GN=X-element\ORF2 PE=3 SV=1</t>
        </is>
      </c>
      <c r="M5129" t="n">
        <v>908</v>
      </c>
      <c r="N5129" t="inlineStr">
        <is>
          <t>Drosophila melanogaster</t>
        </is>
      </c>
      <c r="O5129" t="inlineStr">
        <is>
          <t>Probable RNA-directed DNA polymerase from transposon X-element</t>
        </is>
      </c>
    </row>
    <row r="5130">
      <c r="A5130" t="inlineStr"/>
      <c r="B5130" t="inlineStr"/>
      <c r="C5130" t="inlineStr"/>
      <c r="D5130" t="inlineStr"/>
      <c r="E5130">
        <f>HYPERLINK("https://www.uniprot.org/uniprotkb/A0A8C5PTB3/entry", "A0A8C5PTB3")</f>
        <v/>
      </c>
      <c r="F5130" t="n">
        <v>42</v>
      </c>
      <c r="G5130" t="n">
        <v>69</v>
      </c>
      <c r="H5130" t="n">
        <v>6.49e-09</v>
      </c>
      <c r="I5130" t="inlineStr">
        <is>
          <t>TrEMBL</t>
        </is>
      </c>
      <c r="J5130" t="inlineStr"/>
      <c r="K5130" t="inlineStr">
        <is>
          <t>A0A8C5PTB3_9ANUR</t>
        </is>
      </c>
      <c r="L5130" t="inlineStr">
        <is>
          <t>tr|A0A8C5PTB3|A0A8C5PTB3_9ANUR LINE-1 type transposase domain-containing protein 1 OS=Leptobrachium leishanense OX=445787 PE=4 SV=1</t>
        </is>
      </c>
      <c r="M5130" t="n">
        <v>351</v>
      </c>
      <c r="N5130" t="inlineStr">
        <is>
          <t>Leptobrachium leishanense</t>
        </is>
      </c>
      <c r="O5130" t="inlineStr">
        <is>
          <t>LINE-1 type transposase domain-containing protein 1</t>
        </is>
      </c>
    </row>
    <row r="5131">
      <c r="A5131" t="inlineStr"/>
      <c r="B5131" t="inlineStr"/>
      <c r="C5131" t="inlineStr"/>
      <c r="D5131" t="inlineStr"/>
      <c r="E5131">
        <f>HYPERLINK("https://www.uniprot.org/uniprotkb/A0A1B8Y4F1/entry", "A0A1B8Y4F1")</f>
        <v/>
      </c>
      <c r="F5131" t="n">
        <v>47.5</v>
      </c>
      <c r="G5131" t="n">
        <v>59</v>
      </c>
      <c r="H5131" t="n">
        <v>6.86e-09</v>
      </c>
      <c r="I5131" t="inlineStr">
        <is>
          <t>TrEMBL</t>
        </is>
      </c>
      <c r="J5131" t="inlineStr">
        <is>
          <t>XENTR_v90026581mg</t>
        </is>
      </c>
      <c r="K5131" t="inlineStr">
        <is>
          <t>A0A1B8Y4F1_XENTR</t>
        </is>
      </c>
      <c r="L5131" t="inlineStr">
        <is>
          <t>tr|A0A1B8Y4F1|A0A1B8Y4F1_XENTR Transposase_22 domain-containing protein OS=Xenopus tropicalis OX=8364 GN=XENTR_v90026581mg PE=4 SV=1</t>
        </is>
      </c>
      <c r="M5131" t="n">
        <v>383</v>
      </c>
      <c r="N5131" t="inlineStr">
        <is>
          <t>Xenopus tropicalis</t>
        </is>
      </c>
      <c r="O5131" t="inlineStr">
        <is>
          <t>Transposase_22 domain-containing protein</t>
        </is>
      </c>
    </row>
    <row r="5132">
      <c r="A5132" t="inlineStr"/>
      <c r="B5132" t="inlineStr"/>
      <c r="C5132" t="inlineStr"/>
      <c r="D5132" t="inlineStr"/>
      <c r="E5132">
        <f>HYPERLINK("https://www.uniprot.org/uniprotkb/A0A8C5QKB9/entry", "A0A8C5QKB9")</f>
        <v/>
      </c>
      <c r="F5132" t="n">
        <v>46.7</v>
      </c>
      <c r="G5132" t="n">
        <v>60</v>
      </c>
      <c r="H5132" t="n">
        <v>1.05e-08</v>
      </c>
      <c r="I5132" t="inlineStr">
        <is>
          <t>TrEMBL</t>
        </is>
      </c>
      <c r="J5132" t="inlineStr"/>
      <c r="K5132" t="inlineStr">
        <is>
          <t>A0A8C5QKB9_9ANUR</t>
        </is>
      </c>
      <c r="L5132" t="inlineStr">
        <is>
          <t>tr|A0A8C5QKB9|A0A8C5QKB9_9ANUR LINE-1 type transposase domain-containing protein 1 OS=Leptobrachium leishanense OX=445787 PE=4 SV=1</t>
        </is>
      </c>
      <c r="M5132" t="n">
        <v>254</v>
      </c>
      <c r="N5132" t="inlineStr">
        <is>
          <t>Leptobrachium leishanense</t>
        </is>
      </c>
      <c r="O5132" t="inlineStr">
        <is>
          <t>LINE-1 type transposase domain-containing protein 1</t>
        </is>
      </c>
    </row>
    <row r="5133">
      <c r="A5133" t="inlineStr"/>
      <c r="B5133" t="inlineStr"/>
      <c r="C5133" t="inlineStr"/>
      <c r="D5133" t="inlineStr"/>
      <c r="E5133">
        <f>HYPERLINK("https://www.uniprot.org/uniprotkb/A0A8C5WJ71/entry", "A0A8C5WJ71")</f>
        <v/>
      </c>
      <c r="F5133" t="n">
        <v>44.8</v>
      </c>
      <c r="G5133" t="n">
        <v>58</v>
      </c>
      <c r="H5133" t="n">
        <v>1.1e-08</v>
      </c>
      <c r="I5133" t="inlineStr">
        <is>
          <t>TrEMBL</t>
        </is>
      </c>
      <c r="J5133" t="inlineStr"/>
      <c r="K5133" t="inlineStr">
        <is>
          <t>A0A8C5WJ71_9ANUR</t>
        </is>
      </c>
      <c r="L5133" t="inlineStr">
        <is>
          <t>tr|A0A8C5WJ71|A0A8C5WJ71_9ANUR LINE-1 type transposase domain-containing 1 OS=Leptobrachium leishanense OX=445787 PE=4 SV=1</t>
        </is>
      </c>
      <c r="M5133" t="n">
        <v>317</v>
      </c>
      <c r="N5133" t="inlineStr">
        <is>
          <t>Leptobrachium leishanense</t>
        </is>
      </c>
      <c r="O5133" t="inlineStr">
        <is>
          <t>LINE-1 type transposase domain-containing 1</t>
        </is>
      </c>
    </row>
    <row r="5134">
      <c r="A5134" t="inlineStr"/>
      <c r="B5134" t="inlineStr"/>
      <c r="C5134" t="inlineStr"/>
      <c r="D5134" t="inlineStr"/>
      <c r="E5134">
        <f>HYPERLINK("https://www.uniprot.org/uniprotkb/A0A8C5M6Z7/entry", "A0A8C5M6Z7")</f>
        <v/>
      </c>
      <c r="F5134" t="n">
        <v>42</v>
      </c>
      <c r="G5134" t="n">
        <v>69</v>
      </c>
      <c r="H5134" t="n">
        <v>1.22e-08</v>
      </c>
      <c r="I5134" t="inlineStr">
        <is>
          <t>TrEMBL</t>
        </is>
      </c>
      <c r="J5134" t="inlineStr"/>
      <c r="K5134" t="inlineStr">
        <is>
          <t>A0A8C5M6Z7_9ANUR</t>
        </is>
      </c>
      <c r="L5134" t="inlineStr">
        <is>
          <t>tr|A0A8C5M6Z7|A0A8C5M6Z7_9ANUR LINE-1 type transposase domain-containing protein 1 OS=Leptobrachium leishanense OX=445787 PE=4 SV=1</t>
        </is>
      </c>
      <c r="M5134" t="n">
        <v>353</v>
      </c>
      <c r="N5134" t="inlineStr">
        <is>
          <t>Leptobrachium leishanense</t>
        </is>
      </c>
      <c r="O5134" t="inlineStr">
        <is>
          <t>LINE-1 type transposase domain-containing protein 1</t>
        </is>
      </c>
    </row>
    <row r="5135">
      <c r="A5135" t="inlineStr"/>
      <c r="B5135" t="inlineStr"/>
      <c r="C5135" t="inlineStr"/>
      <c r="D5135" t="inlineStr"/>
      <c r="E5135">
        <f>HYPERLINK("https://www.uniprot.org/uniprotkb/A0A8C5LLA3/entry", "A0A8C5LLA3")</f>
        <v/>
      </c>
      <c r="F5135" t="n">
        <v>37.7</v>
      </c>
      <c r="G5135" t="n">
        <v>69</v>
      </c>
      <c r="H5135" t="n">
        <v>1.24e-08</v>
      </c>
      <c r="I5135" t="inlineStr">
        <is>
          <t>TrEMBL</t>
        </is>
      </c>
      <c r="J5135" t="inlineStr"/>
      <c r="K5135" t="inlineStr">
        <is>
          <t>A0A8C5LLA3_9ANUR</t>
        </is>
      </c>
      <c r="L5135" t="inlineStr">
        <is>
          <t>tr|A0A8C5LLA3|A0A8C5LLA3_9ANUR Transposase OS=Leptobrachium leishanense OX=445787 PE=4 SV=1</t>
        </is>
      </c>
      <c r="M5135" t="n">
        <v>361</v>
      </c>
      <c r="N5135" t="inlineStr">
        <is>
          <t>Leptobrachium leishanense</t>
        </is>
      </c>
      <c r="O5135" t="inlineStr">
        <is>
          <t>Transposase</t>
        </is>
      </c>
    </row>
    <row r="5136">
      <c r="A5136" t="inlineStr"/>
      <c r="B5136" t="inlineStr"/>
      <c r="C5136" t="inlineStr"/>
      <c r="D5136" t="inlineStr"/>
      <c r="E5136">
        <f>HYPERLINK("https://www.uniprot.org/uniprotkb/A0A8C5PN54/entry", "A0A8C5PN54")</f>
        <v/>
      </c>
      <c r="F5136" t="n">
        <v>42</v>
      </c>
      <c r="G5136" t="n">
        <v>69</v>
      </c>
      <c r="H5136" t="n">
        <v>1.64e-08</v>
      </c>
      <c r="I5136" t="inlineStr">
        <is>
          <t>TrEMBL</t>
        </is>
      </c>
      <c r="J5136" t="inlineStr"/>
      <c r="K5136" t="inlineStr">
        <is>
          <t>A0A8C5PN54_9ANUR</t>
        </is>
      </c>
      <c r="L5136" t="inlineStr">
        <is>
          <t>tr|A0A8C5PN54|A0A8C5PN54_9ANUR R3H-assoc domain-containing protein OS=Leptobrachium leishanense OX=445787 PE=4 SV=1</t>
        </is>
      </c>
      <c r="M5136" t="n">
        <v>343</v>
      </c>
      <c r="N5136" t="inlineStr">
        <is>
          <t>Leptobrachium leishanense</t>
        </is>
      </c>
      <c r="O5136" t="inlineStr">
        <is>
          <t>R3H-assoc domain-containing protein</t>
        </is>
      </c>
    </row>
    <row r="5137">
      <c r="A5137" t="inlineStr"/>
      <c r="B5137" t="inlineStr"/>
      <c r="C5137" t="inlineStr"/>
      <c r="D5137" t="inlineStr"/>
      <c r="E5137">
        <f>HYPERLINK("https://www.uniprot.org/uniprotkb/A0A1B8Y3T6/entry", "A0A1B8Y3T6")</f>
        <v/>
      </c>
      <c r="F5137" t="n">
        <v>39.4</v>
      </c>
      <c r="G5137" t="n">
        <v>71</v>
      </c>
      <c r="H5137" t="n">
        <v>1.64e-08</v>
      </c>
      <c r="I5137" t="inlineStr">
        <is>
          <t>TrEMBL</t>
        </is>
      </c>
      <c r="J5137" t="inlineStr">
        <is>
          <t>XENTR_v90027002mg</t>
        </is>
      </c>
      <c r="K5137" t="inlineStr">
        <is>
          <t>A0A1B8Y3T6_XENTR</t>
        </is>
      </c>
      <c r="L5137" t="inlineStr">
        <is>
          <t>tr|A0A1B8Y3T6|A0A1B8Y3T6_XENTR t-SNARE coiled-coil homology domain-containing protein OS=Xenopus tropicalis OX=8364 GN=XENTR_v90027002mg PE=4 SV=1</t>
        </is>
      </c>
      <c r="M5137" t="n">
        <v>344</v>
      </c>
      <c r="N5137" t="inlineStr">
        <is>
          <t>Xenopus tropicalis</t>
        </is>
      </c>
      <c r="O5137" t="inlineStr">
        <is>
          <t>t-SNARE coiled-coil homology domain-containing protein</t>
        </is>
      </c>
    </row>
    <row r="5138">
      <c r="A5138" t="inlineStr"/>
      <c r="B5138" t="inlineStr"/>
      <c r="C5138" t="inlineStr"/>
      <c r="D5138" t="inlineStr"/>
      <c r="E5138">
        <f>HYPERLINK("https://www.uniprot.org/uniprotkb/A0A8C5R2A2/entry", "A0A8C5R2A2")</f>
        <v/>
      </c>
      <c r="F5138" t="n">
        <v>35.6</v>
      </c>
      <c r="G5138" t="n">
        <v>73</v>
      </c>
      <c r="H5138" t="n">
        <v>1.7e-08</v>
      </c>
      <c r="I5138" t="inlineStr">
        <is>
          <t>TrEMBL</t>
        </is>
      </c>
      <c r="J5138" t="inlineStr"/>
      <c r="K5138" t="inlineStr">
        <is>
          <t>A0A8C5R2A2_9ANUR</t>
        </is>
      </c>
      <c r="L5138" t="inlineStr">
        <is>
          <t>tr|A0A8C5R2A2|A0A8C5R2A2_9ANUR LINE-1 retrotransposable element ORF1 protein OS=Leptobrachium leishanense OX=445787 PE=4 SV=1</t>
        </is>
      </c>
      <c r="M5138" t="n">
        <v>361</v>
      </c>
      <c r="N5138" t="inlineStr">
        <is>
          <t>Leptobrachium leishanense</t>
        </is>
      </c>
      <c r="O5138" t="inlineStr">
        <is>
          <t>LINE-1 retrotransposable element ORF1 protein</t>
        </is>
      </c>
    </row>
    <row r="5139">
      <c r="A5139" t="inlineStr"/>
      <c r="B5139" t="inlineStr"/>
      <c r="C5139" t="inlineStr"/>
      <c r="D5139" t="inlineStr"/>
      <c r="E5139">
        <f>HYPERLINK("https://www.uniprot.org/uniprotkb/P08548/entry", "P08548")</f>
        <v/>
      </c>
      <c r="F5139" t="n">
        <v>31.2</v>
      </c>
      <c r="G5139" t="n">
        <v>93</v>
      </c>
      <c r="H5139" t="n">
        <v>1.73e-08</v>
      </c>
      <c r="I5139" t="inlineStr">
        <is>
          <t>Swiss-Prot</t>
        </is>
      </c>
      <c r="J5139" t="inlineStr"/>
      <c r="K5139" t="inlineStr">
        <is>
          <t>LIN1_NYCCO</t>
        </is>
      </c>
      <c r="L5139" t="inlineStr">
        <is>
          <t>sp|P08548|LIN1_NYCCO LINE-1 reverse transcriptase homolog OS=Nycticebus coucang OX=9470 PE=4 SV=1</t>
        </is>
      </c>
      <c r="M5139" t="n">
        <v>1260</v>
      </c>
      <c r="N5139" t="inlineStr">
        <is>
          <t>Nycticebus coucang</t>
        </is>
      </c>
      <c r="O5139" t="inlineStr">
        <is>
          <t>LINE-1 reverse transcriptase homolog</t>
        </is>
      </c>
    </row>
    <row r="5140">
      <c r="A5140" t="inlineStr"/>
      <c r="B5140" t="inlineStr"/>
      <c r="C5140" t="inlineStr"/>
      <c r="D5140" t="inlineStr"/>
      <c r="E5140">
        <f>HYPERLINK("https://www.ncbi.nlm.nih.gov/gene/?term=XP_040270366.1", "XP_040270366.1")</f>
        <v/>
      </c>
      <c r="F5140" t="n">
        <v>41.2</v>
      </c>
      <c r="G5140" t="n">
        <v>68</v>
      </c>
      <c r="H5140" t="n">
        <v>1.82e-08</v>
      </c>
      <c r="I5140" t="inlineStr">
        <is>
          <t>Nr</t>
        </is>
      </c>
      <c r="J5140" t="inlineStr"/>
      <c r="K5140" t="inlineStr"/>
      <c r="L5140" t="inlineStr">
        <is>
          <t>XP_040270366.1 uncharacterized protein LOC120986071 [Bufo bufo]</t>
        </is>
      </c>
      <c r="M5140" t="n">
        <v>413</v>
      </c>
      <c r="N5140" t="inlineStr">
        <is>
          <t>Bufo bufo</t>
        </is>
      </c>
      <c r="O5140" t="inlineStr">
        <is>
          <t>uncharacterized protein LOC120986071</t>
        </is>
      </c>
    </row>
    <row r="5141">
      <c r="A5141" t="inlineStr"/>
      <c r="B5141" t="inlineStr"/>
      <c r="C5141" t="inlineStr"/>
      <c r="D5141" t="inlineStr"/>
      <c r="E5141">
        <f>HYPERLINK("https://www.ncbi.nlm.nih.gov/gene/?term=CAH2330091.1", "CAH2330091.1")</f>
        <v/>
      </c>
      <c r="F5141" t="n">
        <v>48.2</v>
      </c>
      <c r="G5141" t="n">
        <v>56</v>
      </c>
      <c r="H5141" t="n">
        <v>1.98e-08</v>
      </c>
      <c r="I5141" t="inlineStr">
        <is>
          <t>Nr</t>
        </is>
      </c>
      <c r="J5141" t="inlineStr"/>
      <c r="K5141" t="inlineStr"/>
      <c r="L5141" t="inlineStr">
        <is>
          <t>CAH2330091.1 Hypothetical predicted protein, partial [Pelobates cultripes]</t>
        </is>
      </c>
      <c r="M5141" t="n">
        <v>78</v>
      </c>
      <c r="N5141" t="inlineStr">
        <is>
          <t>Pelobates cultripes</t>
        </is>
      </c>
      <c r="O5141" t="inlineStr">
        <is>
          <t>Hypothetical predicted protein, partial</t>
        </is>
      </c>
    </row>
    <row r="5142">
      <c r="A5142" t="inlineStr"/>
      <c r="B5142" t="inlineStr"/>
      <c r="C5142" t="inlineStr"/>
      <c r="D5142" t="inlineStr"/>
      <c r="E5142">
        <f>HYPERLINK("https://www.uniprot.org/uniprotkb/A0A8C5Q0C9/entry", "A0A8C5Q0C9")</f>
        <v/>
      </c>
      <c r="F5142" t="n">
        <v>44.8</v>
      </c>
      <c r="G5142" t="n">
        <v>58</v>
      </c>
      <c r="H5142" t="n">
        <v>2.08e-08</v>
      </c>
      <c r="I5142" t="inlineStr">
        <is>
          <t>TrEMBL</t>
        </is>
      </c>
      <c r="J5142" t="inlineStr"/>
      <c r="K5142" t="inlineStr">
        <is>
          <t>A0A8C5Q0C9_9ANUR</t>
        </is>
      </c>
      <c r="L5142" t="inlineStr">
        <is>
          <t>tr|A0A8C5Q0C9|A0A8C5Q0C9_9ANUR LINE-1 type transposase domain-containing 1 OS=Leptobrachium leishanense OX=445787 PE=4 SV=1</t>
        </is>
      </c>
      <c r="M5142" t="n">
        <v>317</v>
      </c>
      <c r="N5142" t="inlineStr">
        <is>
          <t>Leptobrachium leishanense</t>
        </is>
      </c>
      <c r="O5142" t="inlineStr">
        <is>
          <t>LINE-1 type transposase domain-containing 1</t>
        </is>
      </c>
    </row>
    <row r="5143">
      <c r="A5143" t="inlineStr"/>
      <c r="B5143" t="inlineStr"/>
      <c r="C5143" t="inlineStr"/>
      <c r="D5143" t="inlineStr"/>
      <c r="E5143">
        <f>HYPERLINK("https://www.uniprot.org/uniprotkb/A0A8C5PG19/entry", "A0A8C5PG19")</f>
        <v/>
      </c>
      <c r="F5143" t="n">
        <v>47.8</v>
      </c>
      <c r="G5143" t="n">
        <v>69</v>
      </c>
      <c r="H5143" t="n">
        <v>2.15e-08</v>
      </c>
      <c r="I5143" t="inlineStr">
        <is>
          <t>TrEMBL</t>
        </is>
      </c>
      <c r="J5143" t="inlineStr"/>
      <c r="K5143" t="inlineStr">
        <is>
          <t>A0A8C5PG19_9ANUR</t>
        </is>
      </c>
      <c r="L5143" t="inlineStr">
        <is>
          <t>tr|A0A8C5PG19|A0A8C5PG19_9ANUR LINE-1 retrotransposable element ORF1 protein OS=Leptobrachium leishanense OX=445787 PE=4 SV=1</t>
        </is>
      </c>
      <c r="M5143" t="n">
        <v>327</v>
      </c>
      <c r="N5143" t="inlineStr">
        <is>
          <t>Leptobrachium leishanense</t>
        </is>
      </c>
      <c r="O5143" t="inlineStr">
        <is>
          <t>LINE-1 retrotransposable element ORF1 protein</t>
        </is>
      </c>
    </row>
    <row r="5144">
      <c r="A5144" t="inlineStr"/>
      <c r="B5144" t="inlineStr"/>
      <c r="C5144" t="inlineStr"/>
      <c r="D5144" t="inlineStr"/>
      <c r="E5144">
        <f>HYPERLINK("https://www.uniprot.org/uniprotkb/A0A8C5R5S6/entry", "A0A8C5R5S6")</f>
        <v/>
      </c>
      <c r="F5144" t="n">
        <v>47.4</v>
      </c>
      <c r="G5144" t="n">
        <v>57</v>
      </c>
      <c r="H5144" t="n">
        <v>2.21e-08</v>
      </c>
      <c r="I5144" t="inlineStr">
        <is>
          <t>TrEMBL</t>
        </is>
      </c>
      <c r="J5144" t="inlineStr"/>
      <c r="K5144" t="inlineStr">
        <is>
          <t>A0A8C5R5S6_9ANUR</t>
        </is>
      </c>
      <c r="L5144" t="inlineStr">
        <is>
          <t>tr|A0A8C5R5S6|A0A8C5R5S6_9ANUR LINE-1 type transposase domain-containing protein 1 OS=Leptobrachium leishanense OX=445787 PE=4 SV=1</t>
        </is>
      </c>
      <c r="M5144" t="n">
        <v>267</v>
      </c>
      <c r="N5144" t="inlineStr">
        <is>
          <t>Leptobrachium leishanense</t>
        </is>
      </c>
      <c r="O5144" t="inlineStr">
        <is>
          <t>LINE-1 type transposase domain-containing protein 1</t>
        </is>
      </c>
    </row>
    <row r="5145">
      <c r="A5145" t="inlineStr"/>
      <c r="B5145" t="inlineStr"/>
      <c r="C5145" t="inlineStr"/>
      <c r="D5145" t="inlineStr"/>
      <c r="E5145">
        <f>HYPERLINK("https://www.uniprot.org/uniprotkb/A0A8C5QAS8/entry", "A0A8C5QAS8")</f>
        <v/>
      </c>
      <c r="F5145" t="n">
        <v>36.2</v>
      </c>
      <c r="G5145" t="n">
        <v>69</v>
      </c>
      <c r="H5145" t="n">
        <v>2.32e-08</v>
      </c>
      <c r="I5145" t="inlineStr">
        <is>
          <t>TrEMBL</t>
        </is>
      </c>
      <c r="J5145" t="inlineStr"/>
      <c r="K5145" t="inlineStr">
        <is>
          <t>A0A8C5QAS8_9ANUR</t>
        </is>
      </c>
      <c r="L5145" t="inlineStr">
        <is>
          <t>tr|A0A8C5QAS8|A0A8C5QAS8_9ANUR LUD_dom domain-containing protein OS=Leptobrachium leishanense OX=445787 PE=4 SV=1</t>
        </is>
      </c>
      <c r="M5145" t="n">
        <v>361</v>
      </c>
      <c r="N5145" t="inlineStr">
        <is>
          <t>Leptobrachium leishanense</t>
        </is>
      </c>
      <c r="O5145" t="inlineStr">
        <is>
          <t>LUD_dom domain-containing protein</t>
        </is>
      </c>
    </row>
    <row r="5146">
      <c r="A5146" t="inlineStr"/>
      <c r="B5146" t="inlineStr"/>
      <c r="C5146" t="inlineStr"/>
      <c r="D5146" t="inlineStr"/>
      <c r="E5146">
        <f>HYPERLINK("https://www.uniprot.org/uniprotkb/A0A2G9RU93/entry", "A0A2G9RU93")</f>
        <v/>
      </c>
      <c r="F5146" t="n">
        <v>44.3</v>
      </c>
      <c r="G5146" t="n">
        <v>70</v>
      </c>
      <c r="H5146" t="n">
        <v>3e-08</v>
      </c>
      <c r="I5146" t="inlineStr">
        <is>
          <t>TrEMBL</t>
        </is>
      </c>
      <c r="J5146" t="inlineStr">
        <is>
          <t>AB205_0124000</t>
        </is>
      </c>
      <c r="K5146" t="inlineStr">
        <is>
          <t>A0A2G9RU93_LITCT</t>
        </is>
      </c>
      <c r="L5146" t="inlineStr">
        <is>
          <t>tr|A0A2G9RU93|A0A2G9RU93_LITCT Rho-GAP domain-containing protein OS=Lithobates catesbeianus OX=8400 GN=AB205_0124000 PE=4 SV=1</t>
        </is>
      </c>
      <c r="M5146" t="n">
        <v>227</v>
      </c>
      <c r="N5146" t="inlineStr">
        <is>
          <t>Lithobates catesbeianus</t>
        </is>
      </c>
      <c r="O5146" t="inlineStr">
        <is>
          <t>Rho-GAP domain-containing protein</t>
        </is>
      </c>
    </row>
    <row r="5147">
      <c r="A5147" t="inlineStr"/>
      <c r="B5147" t="inlineStr"/>
      <c r="C5147" t="inlineStr"/>
      <c r="D5147" t="inlineStr"/>
      <c r="E5147">
        <f>HYPERLINK("https://www.ncbi.nlm.nih.gov/gene/?term=XP_040272583.1", "XP_040272583.1")</f>
        <v/>
      </c>
      <c r="F5147" t="n">
        <v>42</v>
      </c>
      <c r="G5147" t="n">
        <v>69</v>
      </c>
      <c r="H5147" t="n">
        <v>4.08e-08</v>
      </c>
      <c r="I5147" t="inlineStr">
        <is>
          <t>Nr</t>
        </is>
      </c>
      <c r="J5147" t="inlineStr"/>
      <c r="K5147" t="inlineStr"/>
      <c r="L5147" t="inlineStr">
        <is>
          <t>XP_040272583.1 uncharacterized protein LOC120988885 [Bufo bufo]</t>
        </is>
      </c>
      <c r="M5147" t="n">
        <v>229</v>
      </c>
      <c r="N5147" t="inlineStr">
        <is>
          <t>Bufo bufo</t>
        </is>
      </c>
      <c r="O5147" t="inlineStr">
        <is>
          <t>uncharacterized protein LOC120988885</t>
        </is>
      </c>
    </row>
    <row r="5148">
      <c r="A5148" t="inlineStr"/>
      <c r="B5148" t="inlineStr"/>
      <c r="C5148" t="inlineStr"/>
      <c r="D5148" t="inlineStr"/>
      <c r="E5148">
        <f>HYPERLINK("https://www.uniprot.org/uniprotkb/P0CV25/entry", "P0CV25")</f>
        <v/>
      </c>
      <c r="F5148" t="n">
        <v>37.2</v>
      </c>
      <c r="G5148" t="n">
        <v>86</v>
      </c>
      <c r="H5148" t="n">
        <v>5.47e-08</v>
      </c>
      <c r="I5148" t="inlineStr">
        <is>
          <t>Swiss-Prot</t>
        </is>
      </c>
      <c r="J5148" t="inlineStr">
        <is>
          <t>RXLR78</t>
        </is>
      </c>
      <c r="K5148" t="inlineStr">
        <is>
          <t>RLR78_PLAVT</t>
        </is>
      </c>
      <c r="L5148" t="inlineStr">
        <is>
          <t>sp|P0CV25|RLR78_PLAVT Secreted RxLR effector protein 78 OS=Plasmopara viticola OX=143451 GN=RXLR78 PE=3 SV=1</t>
        </is>
      </c>
      <c r="M5148" t="n">
        <v>113</v>
      </c>
      <c r="N5148" t="inlineStr">
        <is>
          <t>Plasmopara viticola</t>
        </is>
      </c>
      <c r="O5148" t="inlineStr">
        <is>
          <t>Secreted RxLR effector protein 78</t>
        </is>
      </c>
    </row>
    <row r="5149">
      <c r="A5149" t="inlineStr"/>
      <c r="B5149" t="inlineStr"/>
      <c r="C5149" t="inlineStr"/>
      <c r="D5149" t="inlineStr"/>
      <c r="E5149">
        <f>HYPERLINK("https://www.ncbi.nlm.nih.gov/gene/?term=XP_040194428.1", "XP_040194428.1")</f>
        <v/>
      </c>
      <c r="F5149" t="n">
        <v>42.9</v>
      </c>
      <c r="G5149" t="n">
        <v>70</v>
      </c>
      <c r="H5149" t="n">
        <v>5.8e-08</v>
      </c>
      <c r="I5149" t="inlineStr">
        <is>
          <t>Nr</t>
        </is>
      </c>
      <c r="J5149" t="inlineStr"/>
      <c r="K5149" t="inlineStr"/>
      <c r="L5149" t="inlineStr">
        <is>
          <t>XP_040194428.1 uncharacterized protein LOC120927670 [Rana temporaria]</t>
        </is>
      </c>
      <c r="M5149" t="n">
        <v>346</v>
      </c>
      <c r="N5149" t="inlineStr">
        <is>
          <t>Rana temporaria</t>
        </is>
      </c>
      <c r="O5149" t="inlineStr">
        <is>
          <t>uncharacterized protein LOC120927670</t>
        </is>
      </c>
    </row>
    <row r="5150">
      <c r="A5150" t="inlineStr"/>
      <c r="B5150" t="inlineStr"/>
      <c r="C5150" t="inlineStr"/>
      <c r="D5150" t="inlineStr"/>
      <c r="E5150">
        <f>HYPERLINK("https://www.ncbi.nlm.nih.gov/gene/?term=PIO30791.1", "PIO30791.1")</f>
        <v/>
      </c>
      <c r="F5150" t="n">
        <v>44.3</v>
      </c>
      <c r="G5150" t="n">
        <v>70</v>
      </c>
      <c r="H5150" t="n">
        <v>7.71e-08</v>
      </c>
      <c r="I5150" t="inlineStr">
        <is>
          <t>Nr</t>
        </is>
      </c>
      <c r="J5150" t="inlineStr"/>
      <c r="K5150" t="inlineStr"/>
      <c r="L5150" t="inlineStr">
        <is>
          <t>PIO30791.1 hypothetical protein AB205_0124000 [Lithobates catesbeianus]</t>
        </is>
      </c>
      <c r="M5150" t="n">
        <v>227</v>
      </c>
      <c r="N5150" t="inlineStr">
        <is>
          <t>Lithobates catesbeianus</t>
        </is>
      </c>
      <c r="O5150" t="inlineStr">
        <is>
          <t>hypothetical protein AB205_0124000</t>
        </is>
      </c>
    </row>
    <row r="5151">
      <c r="A5151" t="inlineStr"/>
      <c r="B5151" t="inlineStr"/>
      <c r="C5151" t="inlineStr"/>
      <c r="D5151" t="inlineStr"/>
      <c r="E5151">
        <f>HYPERLINK("https://www.uniprot.org/uniprotkb/O00370/entry", "O00370")</f>
        <v/>
      </c>
      <c r="F5151" t="n">
        <v>32.9</v>
      </c>
      <c r="G5151" t="n">
        <v>85</v>
      </c>
      <c r="H5151" t="n">
        <v>8.129999999999999e-08</v>
      </c>
      <c r="I5151" t="inlineStr">
        <is>
          <t>Swiss-Prot</t>
        </is>
      </c>
      <c r="J5151" t="inlineStr"/>
      <c r="K5151" t="inlineStr">
        <is>
          <t>LORF2_HUMAN</t>
        </is>
      </c>
      <c r="L5151" t="inlineStr">
        <is>
          <t>sp|O00370|LORF2_HUMAN LINE-1 retrotransposable element ORF2 protein OS=Homo sapiens OX=9606 PE=1 SV=1</t>
        </is>
      </c>
      <c r="M5151" t="n">
        <v>1275</v>
      </c>
      <c r="N5151" t="inlineStr">
        <is>
          <t>Homo sapiens</t>
        </is>
      </c>
      <c r="O5151" t="inlineStr">
        <is>
          <t>LINE-1 retrotransposable element ORF2 protein</t>
        </is>
      </c>
    </row>
    <row r="5152">
      <c r="A5152" t="inlineStr"/>
      <c r="B5152" t="inlineStr"/>
      <c r="C5152" t="inlineStr"/>
      <c r="D5152" t="inlineStr"/>
      <c r="E5152">
        <f>HYPERLINK("https://www.ncbi.nlm.nih.gov/gene/?term=OCT94485.1", "OCT94485.1")</f>
        <v/>
      </c>
      <c r="F5152" t="n">
        <v>36.4</v>
      </c>
      <c r="G5152" t="n">
        <v>77</v>
      </c>
      <c r="H5152" t="n">
        <v>1.74e-07</v>
      </c>
      <c r="I5152" t="inlineStr">
        <is>
          <t>Nr</t>
        </is>
      </c>
      <c r="J5152" t="inlineStr"/>
      <c r="K5152" t="inlineStr"/>
      <c r="L5152" t="inlineStr">
        <is>
          <t>OCT94485.1 hypothetical protein XELAEV_18012157mg [Xenopus laevis]</t>
        </is>
      </c>
      <c r="M5152" t="n">
        <v>244</v>
      </c>
      <c r="N5152" t="inlineStr">
        <is>
          <t>Xenopus laevis</t>
        </is>
      </c>
      <c r="O5152" t="inlineStr">
        <is>
          <t>hypothetical protein XELAEV_18012157mg</t>
        </is>
      </c>
    </row>
    <row r="5153">
      <c r="A5153" t="inlineStr"/>
      <c r="B5153" t="inlineStr"/>
      <c r="C5153" t="inlineStr"/>
      <c r="D5153" t="inlineStr"/>
      <c r="E5153">
        <f>HYPERLINK("https://www.uniprot.org/uniprotkb/Q05118/entry", "Q05118")</f>
        <v/>
      </c>
      <c r="F5153" t="n">
        <v>25.6</v>
      </c>
      <c r="G5153" t="n">
        <v>160</v>
      </c>
      <c r="H5153" t="n">
        <v>2.13e-07</v>
      </c>
      <c r="I5153" t="inlineStr">
        <is>
          <t>Swiss-Prot</t>
        </is>
      </c>
      <c r="J5153" t="inlineStr"/>
      <c r="K5153" t="inlineStr">
        <is>
          <t>PO23_POPJA</t>
        </is>
      </c>
      <c r="L5153" t="inlineStr">
        <is>
          <t>sp|Q05118|PO23_POPJA Retrovirus-related Pol polyprotein from type-1 retrotransposable element R2 (Fragment) OS=Popillia japonica OX=7064 PE=4 SV=1</t>
        </is>
      </c>
      <c r="M5153" t="n">
        <v>606</v>
      </c>
      <c r="N5153" t="inlineStr">
        <is>
          <t>Popillia japonica</t>
        </is>
      </c>
      <c r="O5153" t="inlineStr">
        <is>
          <t>Retrovirus-related Pol polyprotein from type-1 retrotransposable element R2 (Fragment)</t>
        </is>
      </c>
    </row>
    <row r="5154">
      <c r="A5154" t="inlineStr"/>
      <c r="B5154" t="inlineStr"/>
      <c r="C5154" t="inlineStr"/>
      <c r="D5154" t="inlineStr"/>
      <c r="E5154">
        <f>HYPERLINK("https://www.ncbi.nlm.nih.gov/gene/?term=OCT59761.1", "OCT59761.1")</f>
        <v/>
      </c>
      <c r="F5154" t="n">
        <v>42.4</v>
      </c>
      <c r="G5154" t="n">
        <v>66</v>
      </c>
      <c r="H5154" t="n">
        <v>2.53e-07</v>
      </c>
      <c r="I5154" t="inlineStr">
        <is>
          <t>Nr</t>
        </is>
      </c>
      <c r="J5154" t="inlineStr"/>
      <c r="K5154" t="inlineStr"/>
      <c r="L5154" t="inlineStr">
        <is>
          <t>OCT59761.1 hypothetical protein XELAEV_18000635mg [Xenopus laevis]</t>
        </is>
      </c>
      <c r="M5154" t="n">
        <v>250</v>
      </c>
      <c r="N5154" t="inlineStr">
        <is>
          <t>Xenopus laevis</t>
        </is>
      </c>
      <c r="O5154" t="inlineStr">
        <is>
          <t>hypothetical protein XELAEV_18000635mg</t>
        </is>
      </c>
    </row>
    <row r="5155">
      <c r="A5155" t="inlineStr"/>
      <c r="B5155" t="inlineStr"/>
      <c r="C5155" t="inlineStr"/>
      <c r="D5155" t="inlineStr"/>
      <c r="E5155">
        <f>HYPERLINK("https://www.ncbi.nlm.nih.gov/gene/?term=XP_018409373.1", "XP_018409373.1")</f>
        <v/>
      </c>
      <c r="F5155" t="n">
        <v>42.7</v>
      </c>
      <c r="G5155" t="n">
        <v>75</v>
      </c>
      <c r="H5155" t="n">
        <v>2.56e-07</v>
      </c>
      <c r="I5155" t="inlineStr">
        <is>
          <t>Nr</t>
        </is>
      </c>
      <c r="J5155" t="inlineStr"/>
      <c r="K5155" t="inlineStr"/>
      <c r="L5155" t="inlineStr">
        <is>
          <t>XP_018409373.1 PREDICTED: dynein heavy chain 3, axonemal-like [Nanorana parkeri]</t>
        </is>
      </c>
      <c r="M5155" t="n">
        <v>4416</v>
      </c>
      <c r="N5155" t="inlineStr">
        <is>
          <t>Nanorana parkeri</t>
        </is>
      </c>
      <c r="O5155" t="inlineStr">
        <is>
          <t>PREDICTED: dynein heavy chain 3, axonemal-like</t>
        </is>
      </c>
    </row>
    <row r="5156">
      <c r="A5156" t="inlineStr"/>
      <c r="B5156" t="inlineStr"/>
      <c r="C5156" t="inlineStr"/>
      <c r="D5156" t="inlineStr"/>
      <c r="E5156">
        <f>HYPERLINK("https://www.ncbi.nlm.nih.gov/gene/?term=CAH2330475.1", "CAH2330475.1")</f>
        <v/>
      </c>
      <c r="F5156" t="n">
        <v>46.4</v>
      </c>
      <c r="G5156" t="n">
        <v>56</v>
      </c>
      <c r="H5156" t="n">
        <v>2.83e-07</v>
      </c>
      <c r="I5156" t="inlineStr">
        <is>
          <t>Nr</t>
        </is>
      </c>
      <c r="J5156" t="inlineStr"/>
      <c r="K5156" t="inlineStr"/>
      <c r="L5156" t="inlineStr">
        <is>
          <t>CAH2330475.1 Hypothetical predicted protein, partial [Pelobates cultripes]</t>
        </is>
      </c>
      <c r="M5156" t="n">
        <v>135</v>
      </c>
      <c r="N5156" t="inlineStr">
        <is>
          <t>Pelobates cultripes</t>
        </is>
      </c>
      <c r="O5156" t="inlineStr">
        <is>
          <t>Hypothetical predicted protein, partial</t>
        </is>
      </c>
    </row>
    <row r="5157">
      <c r="A5157" t="inlineStr"/>
      <c r="B5157" t="inlineStr"/>
      <c r="C5157" t="inlineStr"/>
      <c r="D5157" t="inlineStr"/>
      <c r="E5157">
        <f>HYPERLINK("https://www.ncbi.nlm.nih.gov/gene/?term=OCT86463.1", "OCT86463.1")</f>
        <v/>
      </c>
      <c r="F5157" t="n">
        <v>42.2</v>
      </c>
      <c r="G5157" t="n">
        <v>64</v>
      </c>
      <c r="H5157" t="n">
        <v>3.27e-07</v>
      </c>
      <c r="I5157" t="inlineStr">
        <is>
          <t>Nr</t>
        </is>
      </c>
      <c r="J5157" t="inlineStr"/>
      <c r="K5157" t="inlineStr"/>
      <c r="L5157" t="inlineStr">
        <is>
          <t>OCT86463.1 hypothetical protein XELAEV_18020146mg [Xenopus laevis]</t>
        </is>
      </c>
      <c r="M5157" t="n">
        <v>822</v>
      </c>
      <c r="N5157" t="inlineStr">
        <is>
          <t>Xenopus laevis</t>
        </is>
      </c>
      <c r="O5157" t="inlineStr">
        <is>
          <t>hypothetical protein XELAEV_18020146mg</t>
        </is>
      </c>
    </row>
    <row r="5158">
      <c r="A5158" t="inlineStr"/>
      <c r="B5158" t="inlineStr"/>
      <c r="C5158" t="inlineStr"/>
      <c r="D5158" t="inlineStr"/>
      <c r="E5158">
        <f>HYPERLINK("https://www.ncbi.nlm.nih.gov/gene/?term=CAH2330500.1", "CAH2330500.1")</f>
        <v/>
      </c>
      <c r="F5158" t="n">
        <v>41.1</v>
      </c>
      <c r="G5158" t="n">
        <v>56</v>
      </c>
      <c r="H5158" t="n">
        <v>6.26e-07</v>
      </c>
      <c r="I5158" t="inlineStr">
        <is>
          <t>Nr</t>
        </is>
      </c>
      <c r="J5158" t="inlineStr"/>
      <c r="K5158" t="inlineStr"/>
      <c r="L5158" t="inlineStr">
        <is>
          <t>CAH2330500.1 Hypothetical predicted protein [Pelobates cultripes]</t>
        </is>
      </c>
      <c r="M5158" t="n">
        <v>141</v>
      </c>
      <c r="N5158" t="inlineStr">
        <is>
          <t>Pelobates cultripes</t>
        </is>
      </c>
      <c r="O5158" t="inlineStr">
        <is>
          <t>Hypothetical predicted protein</t>
        </is>
      </c>
    </row>
    <row r="5159">
      <c r="A5159" t="inlineStr"/>
      <c r="B5159" t="inlineStr"/>
      <c r="C5159" t="inlineStr"/>
      <c r="D5159" t="inlineStr"/>
      <c r="E5159">
        <f>HYPERLINK("https://www.ncbi.nlm.nih.gov/gene/?term=XP_041441901.1", "XP_041441901.1")</f>
        <v/>
      </c>
      <c r="F5159" t="n">
        <v>41.7</v>
      </c>
      <c r="G5159" t="n">
        <v>72</v>
      </c>
      <c r="H5159" t="n">
        <v>7.34e-07</v>
      </c>
      <c r="I5159" t="inlineStr">
        <is>
          <t>Nr</t>
        </is>
      </c>
      <c r="J5159" t="inlineStr"/>
      <c r="K5159" t="inlineStr"/>
      <c r="L5159" t="inlineStr">
        <is>
          <t>XP_041441901.1 golgin subfamily A member 6-like protein 22 isoform X1 [Xenopus laevis]</t>
        </is>
      </c>
      <c r="M5159" t="n">
        <v>368</v>
      </c>
      <c r="N5159" t="inlineStr">
        <is>
          <t>Xenopus laevis</t>
        </is>
      </c>
      <c r="O5159" t="inlineStr">
        <is>
          <t>golgin subfamily A member 6-like protein 22 isoform X1</t>
        </is>
      </c>
    </row>
    <row r="5160">
      <c r="A5160" t="inlineStr"/>
      <c r="B5160" t="inlineStr"/>
      <c r="C5160" t="inlineStr"/>
      <c r="D5160" t="inlineStr"/>
      <c r="E5160">
        <f>HYPERLINK("https://www.ncbi.nlm.nih.gov/gene/?term=OCT92582.1", "OCT92582.1")</f>
        <v/>
      </c>
      <c r="F5160" t="n">
        <v>45.1</v>
      </c>
      <c r="G5160" t="n">
        <v>51</v>
      </c>
      <c r="H5160" t="n">
        <v>8.52e-07</v>
      </c>
      <c r="I5160" t="inlineStr">
        <is>
          <t>Nr</t>
        </is>
      </c>
      <c r="J5160" t="inlineStr"/>
      <c r="K5160" t="inlineStr"/>
      <c r="L5160" t="inlineStr">
        <is>
          <t>OCT92582.1 hypothetical protein XELAEV_18015639mg [Xenopus laevis]</t>
        </is>
      </c>
      <c r="M5160" t="n">
        <v>91</v>
      </c>
      <c r="N5160" t="inlineStr">
        <is>
          <t>Xenopus laevis</t>
        </is>
      </c>
      <c r="O5160" t="inlineStr">
        <is>
          <t>hypothetical protein XELAEV_18015639mg</t>
        </is>
      </c>
    </row>
    <row r="5161">
      <c r="A5161" t="inlineStr"/>
      <c r="B5161" t="inlineStr"/>
      <c r="C5161" t="inlineStr"/>
      <c r="D5161" t="inlineStr"/>
      <c r="E5161">
        <f>HYPERLINK("https://www.ncbi.nlm.nih.gov/gene/?term=XP_040285728.1", "XP_040285728.1")</f>
        <v/>
      </c>
      <c r="F5161" t="n">
        <v>61</v>
      </c>
      <c r="G5161" t="n">
        <v>41</v>
      </c>
      <c r="H5161" t="n">
        <v>1.14e-06</v>
      </c>
      <c r="I5161" t="inlineStr">
        <is>
          <t>Nr</t>
        </is>
      </c>
      <c r="J5161" t="inlineStr"/>
      <c r="K5161" t="inlineStr"/>
      <c r="L5161" t="inlineStr">
        <is>
          <t>XP_040285728.1 uncharacterized protein LOC120998915 [Bufo bufo]</t>
        </is>
      </c>
      <c r="M5161" t="n">
        <v>946</v>
      </c>
      <c r="N5161" t="inlineStr">
        <is>
          <t>Bufo bufo</t>
        </is>
      </c>
      <c r="O5161" t="inlineStr">
        <is>
          <t>uncharacterized protein LOC120998915</t>
        </is>
      </c>
    </row>
    <row r="5162">
      <c r="A5162" t="inlineStr"/>
      <c r="B5162" t="inlineStr"/>
      <c r="C5162" t="inlineStr"/>
      <c r="D5162" t="inlineStr"/>
      <c r="E5162">
        <f>HYPERLINK("https://www.ncbi.nlm.nih.gov/gene/?term=XP_040262267.1", "XP_040262267.1")</f>
        <v/>
      </c>
      <c r="F5162" t="n">
        <v>39.7</v>
      </c>
      <c r="G5162" t="n">
        <v>73</v>
      </c>
      <c r="H5162" t="n">
        <v>1.56e-06</v>
      </c>
      <c r="I5162" t="inlineStr">
        <is>
          <t>Nr</t>
        </is>
      </c>
      <c r="J5162" t="inlineStr"/>
      <c r="K5162" t="inlineStr"/>
      <c r="L5162" t="inlineStr">
        <is>
          <t>XP_040262267.1 FERM domain-containing protein 7 [Bufo bufo]</t>
        </is>
      </c>
      <c r="M5162" t="n">
        <v>963</v>
      </c>
      <c r="N5162" t="inlineStr">
        <is>
          <t>Bufo bufo</t>
        </is>
      </c>
      <c r="O5162" t="inlineStr">
        <is>
          <t>FERM domain-containing protein 7</t>
        </is>
      </c>
    </row>
    <row r="5163">
      <c r="A5163" t="inlineStr"/>
      <c r="B5163" t="inlineStr"/>
      <c r="C5163" t="inlineStr"/>
      <c r="D5163" t="inlineStr"/>
      <c r="E5163">
        <f>HYPERLINK("https://www.ncbi.nlm.nih.gov/gene/?term=PIO33322.1", "PIO33322.1")</f>
        <v/>
      </c>
      <c r="F5163" t="n">
        <v>39.4</v>
      </c>
      <c r="G5163" t="n">
        <v>71</v>
      </c>
      <c r="H5163" t="n">
        <v>1.88e-06</v>
      </c>
      <c r="I5163" t="inlineStr">
        <is>
          <t>Nr</t>
        </is>
      </c>
      <c r="J5163" t="inlineStr"/>
      <c r="K5163" t="inlineStr"/>
      <c r="L5163" t="inlineStr">
        <is>
          <t>PIO33322.1 hypothetical protein AB205_0214660 [Lithobates catesbeianus]</t>
        </is>
      </c>
      <c r="M5163" t="n">
        <v>377</v>
      </c>
      <c r="N5163" t="inlineStr">
        <is>
          <t>Lithobates catesbeianus</t>
        </is>
      </c>
      <c r="O5163" t="inlineStr">
        <is>
          <t>hypothetical protein AB205_0214660</t>
        </is>
      </c>
    </row>
    <row r="5164">
      <c r="A5164" t="inlineStr"/>
      <c r="B5164" t="inlineStr"/>
      <c r="C5164" t="inlineStr"/>
      <c r="D5164" t="inlineStr"/>
      <c r="E5164">
        <f>HYPERLINK("https://www.ncbi.nlm.nih.gov/gene/?term=CAH2330501.1", "CAH2330501.1")</f>
        <v/>
      </c>
      <c r="F5164" t="n">
        <v>44.2</v>
      </c>
      <c r="G5164" t="n">
        <v>52</v>
      </c>
      <c r="H5164" t="n">
        <v>2.08e-06</v>
      </c>
      <c r="I5164" t="inlineStr">
        <is>
          <t>Nr</t>
        </is>
      </c>
      <c r="J5164" t="inlineStr"/>
      <c r="K5164" t="inlineStr"/>
      <c r="L5164" t="inlineStr">
        <is>
          <t>CAH2330501.1 Hypothetical predicted protein [Pelobates cultripes]</t>
        </is>
      </c>
      <c r="M5164" t="n">
        <v>85</v>
      </c>
      <c r="N5164" t="inlineStr">
        <is>
          <t>Pelobates cultripes</t>
        </is>
      </c>
      <c r="O5164" t="inlineStr">
        <is>
          <t>Hypothetical predicted protein</t>
        </is>
      </c>
    </row>
    <row r="5165">
      <c r="A5165" t="inlineStr"/>
      <c r="B5165" t="inlineStr"/>
      <c r="C5165" t="inlineStr"/>
      <c r="D5165" t="inlineStr"/>
      <c r="E5165">
        <f>HYPERLINK("https://www.ncbi.nlm.nih.gov/gene/?term=OCT56186.1", "OCT56186.1")</f>
        <v/>
      </c>
      <c r="F5165" t="n">
        <v>47.1</v>
      </c>
      <c r="G5165" t="n">
        <v>51</v>
      </c>
      <c r="H5165" t="n">
        <v>2.18e-06</v>
      </c>
      <c r="I5165" t="inlineStr">
        <is>
          <t>Nr</t>
        </is>
      </c>
      <c r="J5165" t="inlineStr"/>
      <c r="K5165" t="inlineStr"/>
      <c r="L5165" t="inlineStr">
        <is>
          <t>OCT56186.1 hypothetical protein XELAEV_18000688mg [Xenopus laevis]</t>
        </is>
      </c>
      <c r="M5165" t="n">
        <v>87</v>
      </c>
      <c r="N5165" t="inlineStr">
        <is>
          <t>Xenopus laevis</t>
        </is>
      </c>
      <c r="O5165" t="inlineStr">
        <is>
          <t>hypothetical protein XELAEV_18000688mg</t>
        </is>
      </c>
    </row>
    <row r="5166">
      <c r="A5166" t="inlineStr"/>
      <c r="B5166" t="inlineStr"/>
      <c r="C5166" t="inlineStr"/>
      <c r="D5166" t="inlineStr"/>
      <c r="E5166">
        <f>HYPERLINK("https://www.ncbi.nlm.nih.gov/gene/?term=KAG8584414.1", "KAG8584414.1")</f>
        <v/>
      </c>
      <c r="F5166" t="n">
        <v>41.3</v>
      </c>
      <c r="G5166" t="n">
        <v>63</v>
      </c>
      <c r="H5166" t="n">
        <v>2.7e-06</v>
      </c>
      <c r="I5166" t="inlineStr">
        <is>
          <t>Nr</t>
        </is>
      </c>
      <c r="J5166" t="inlineStr"/>
      <c r="K5166" t="inlineStr"/>
      <c r="L5166" t="inlineStr">
        <is>
          <t>KAG8584414.1 hypothetical protein GDO81_008823 [Engystomops pustulosus]</t>
        </is>
      </c>
      <c r="M5166" t="n">
        <v>478</v>
      </c>
      <c r="N5166" t="inlineStr">
        <is>
          <t>Engystomops pustulosus</t>
        </is>
      </c>
      <c r="O5166" t="inlineStr">
        <is>
          <t>hypothetical protein GDO81_008823</t>
        </is>
      </c>
    </row>
    <row r="5167">
      <c r="A5167" t="inlineStr">
        <is>
          <t>NODE_298524_length_512_cov_223.561798_g203849_i0</t>
        </is>
      </c>
      <c r="B5167" t="inlineStr">
        <is>
          <t>bombina_pachypus_blastx</t>
        </is>
      </c>
      <c r="C5167" t="n">
        <v>2.73377091873289</v>
      </c>
      <c r="D5167" t="n">
        <v>0.0033762791447405</v>
      </c>
      <c r="E5167">
        <f>HYPERLINK("https://www.uniprot.org/uniprotkb/P83057/entry", "P83057")</f>
        <v/>
      </c>
      <c r="F5167" t="n">
        <v>85.59999999999999</v>
      </c>
      <c r="G5167" t="n">
        <v>97</v>
      </c>
      <c r="H5167" t="n">
        <v>6.520000000000001e-56</v>
      </c>
      <c r="I5167" t="inlineStr">
        <is>
          <t>Swiss-Prot</t>
        </is>
      </c>
      <c r="J5167" t="inlineStr"/>
      <c r="K5167" t="inlineStr">
        <is>
          <t>BRK2_BOMVA</t>
        </is>
      </c>
      <c r="L5167" t="inlineStr">
        <is>
          <t>sp|P83057|BRK2_BOMVA Kininogen-2 OS=Bombina variegata OX=8348 PE=1 SV=2</t>
        </is>
      </c>
      <c r="M5167" t="n">
        <v>96</v>
      </c>
      <c r="N5167" t="inlineStr">
        <is>
          <t>Bombina variegata</t>
        </is>
      </c>
      <c r="O5167" t="inlineStr">
        <is>
          <t>Kininogen-2</t>
        </is>
      </c>
    </row>
    <row r="5168">
      <c r="A5168" t="inlineStr"/>
      <c r="B5168" t="inlineStr"/>
      <c r="C5168" t="inlineStr"/>
      <c r="D5168" t="inlineStr"/>
      <c r="E5168">
        <f>HYPERLINK("https://www.ncbi.nlm.nih.gov/gene/?term=P83057.2", "P83057.2")</f>
        <v/>
      </c>
      <c r="F5168" t="n">
        <v>85.59999999999999</v>
      </c>
      <c r="G5168" t="n">
        <v>97</v>
      </c>
      <c r="H5168" t="n">
        <v>6.58e-53</v>
      </c>
      <c r="I5168" t="inlineStr">
        <is>
          <t>Nr</t>
        </is>
      </c>
      <c r="J5168" t="inlineStr"/>
      <c r="K5168" t="inlineStr"/>
      <c r="L5168" t="inlineStr">
        <is>
          <t>P83057.2 RecName: Full=Kininogen-2; AltName: Full=BVK-2; Contains: RecName: Full=[Val1,Thr3,Thr6]-bradykinin; Contains: RecName: Full=Kininogen-2-associated peptide; Flags: Precursor [Bombina variegata]</t>
        </is>
      </c>
      <c r="M5168" t="n">
        <v>96</v>
      </c>
      <c r="N5168" t="inlineStr">
        <is>
          <t>Bombina variegata</t>
        </is>
      </c>
      <c r="O5168" t="inlineStr">
        <is>
          <t>RecName: Full=Kininogen-2; AltName: Full=BVK-2; Contains: RecName: Full=[Val1,Thr3,Thr6]-bradykinin; Contains: RecName: Full=Kininogen-2-associated peptide; Flags: Precursor</t>
        </is>
      </c>
    </row>
    <row r="5169">
      <c r="A5169" t="inlineStr"/>
      <c r="B5169" t="inlineStr"/>
      <c r="C5169" t="inlineStr"/>
      <c r="D5169" t="inlineStr"/>
      <c r="E5169">
        <f>HYPERLINK("https://www.uniprot.org/uniprotkb/P83056/entry", "P83056")</f>
        <v/>
      </c>
      <c r="F5169" t="n">
        <v>79.8</v>
      </c>
      <c r="G5169" t="n">
        <v>99</v>
      </c>
      <c r="H5169" t="n">
        <v>2.41e-49</v>
      </c>
      <c r="I5169" t="inlineStr">
        <is>
          <t>Swiss-Prot</t>
        </is>
      </c>
      <c r="J5169" t="inlineStr"/>
      <c r="K5169" t="inlineStr">
        <is>
          <t>BRK1_BOMVA</t>
        </is>
      </c>
      <c r="L5169" t="inlineStr">
        <is>
          <t>sp|P83056|BRK1_BOMVA Kininogen-1 OS=Bombina variegata OX=8348 PE=1 SV=2</t>
        </is>
      </c>
      <c r="M5169" t="n">
        <v>97</v>
      </c>
      <c r="N5169" t="inlineStr">
        <is>
          <t>Bombina variegata</t>
        </is>
      </c>
      <c r="O5169" t="inlineStr">
        <is>
          <t>Kininogen-1</t>
        </is>
      </c>
    </row>
    <row r="5170">
      <c r="A5170" t="inlineStr"/>
      <c r="B5170" t="inlineStr"/>
      <c r="C5170" t="inlineStr"/>
      <c r="D5170" t="inlineStr"/>
      <c r="E5170">
        <f>HYPERLINK("https://www.ncbi.nlm.nih.gov/gene/?term=P83056.2", "P83056.2")</f>
        <v/>
      </c>
      <c r="F5170" t="n">
        <v>79.8</v>
      </c>
      <c r="G5170" t="n">
        <v>99</v>
      </c>
      <c r="H5170" t="n">
        <v>2.43e-46</v>
      </c>
      <c r="I5170" t="inlineStr">
        <is>
          <t>Nr</t>
        </is>
      </c>
      <c r="J5170" t="inlineStr"/>
      <c r="K5170" t="inlineStr"/>
      <c r="L5170" t="inlineStr">
        <is>
          <t>P83056.2 RecName: Full=Kininogen-1; AltName: Full=BVK-1; Contains: RecName: Full=[Ala3,Thr6]-bradykinin; Contains: RecName: Full=Kininogen-1-associated peptide; Flags: Precursor [Bombina variegata]</t>
        </is>
      </c>
      <c r="M5170" t="n">
        <v>97</v>
      </c>
      <c r="N5170" t="inlineStr">
        <is>
          <t>Bombina variegata</t>
        </is>
      </c>
      <c r="O5170" t="inlineStr">
        <is>
          <t>RecName: Full=Kininogen-1; AltName: Full=BVK-1; Contains: RecName: Full=[Ala3,Thr6]-bradykinin; Contains: RecName: Full=Kininogen-1-associated peptide; Flags: Precursor</t>
        </is>
      </c>
    </row>
    <row r="5171">
      <c r="A5171" t="inlineStr"/>
      <c r="B5171" t="inlineStr"/>
      <c r="C5171" t="inlineStr"/>
      <c r="D5171" t="inlineStr"/>
      <c r="E5171">
        <f>HYPERLINK("https://www.uniprot.org/uniprotkb/P83060/entry", "P83060")</f>
        <v/>
      </c>
      <c r="F5171" t="n">
        <v>89.40000000000001</v>
      </c>
      <c r="G5171" t="n">
        <v>66</v>
      </c>
      <c r="H5171" t="n">
        <v>3.32e-35</v>
      </c>
      <c r="I5171" t="inlineStr">
        <is>
          <t>Swiss-Prot</t>
        </is>
      </c>
      <c r="J5171" t="inlineStr"/>
      <c r="K5171" t="inlineStr">
        <is>
          <t>BRK1_BOMOR</t>
        </is>
      </c>
      <c r="L5171" t="inlineStr">
        <is>
          <t>sp|P83060|BRK1_BOMOR Kininogen-1 OS=Bombina orientalis OX=8346 PE=1 SV=2</t>
        </is>
      </c>
      <c r="M5171" t="n">
        <v>167</v>
      </c>
      <c r="N5171" t="inlineStr">
        <is>
          <t>Bombina orientalis</t>
        </is>
      </c>
      <c r="O5171" t="inlineStr">
        <is>
          <t>Kininogen-1</t>
        </is>
      </c>
    </row>
    <row r="5172">
      <c r="A5172" t="inlineStr"/>
      <c r="B5172" t="inlineStr"/>
      <c r="C5172" t="inlineStr"/>
      <c r="D5172" t="inlineStr"/>
      <c r="E5172">
        <f>HYPERLINK("https://www.ncbi.nlm.nih.gov/gene/?term=P83060.2", "P83060.2")</f>
        <v/>
      </c>
      <c r="F5172" t="n">
        <v>89.40000000000001</v>
      </c>
      <c r="G5172" t="n">
        <v>66</v>
      </c>
      <c r="H5172" t="n">
        <v>3.35e-32</v>
      </c>
      <c r="I5172" t="inlineStr">
        <is>
          <t>Nr</t>
        </is>
      </c>
      <c r="J5172" t="inlineStr"/>
      <c r="K5172" t="inlineStr"/>
      <c r="L5172" t="inlineStr">
        <is>
          <t>P83060.2 RecName: Full=Kininogen-1; AltName: Full=BOK-1; Contains: RecName: Full=Bradykinin; Flags: Precursor [Bombina orientalis]</t>
        </is>
      </c>
      <c r="M5172" t="n">
        <v>167</v>
      </c>
      <c r="N5172" t="inlineStr">
        <is>
          <t>Bombina orientalis</t>
        </is>
      </c>
      <c r="O5172" t="inlineStr">
        <is>
          <t>RecName: Full=Kininogen-1; AltName: Full=BOK-1; Contains: RecName: Full=Bradykinin; Flags: Precursor</t>
        </is>
      </c>
    </row>
    <row r="5173">
      <c r="A5173" t="inlineStr"/>
      <c r="B5173" t="inlineStr"/>
      <c r="C5173" t="inlineStr"/>
      <c r="D5173" t="inlineStr"/>
      <c r="E5173">
        <f>HYPERLINK("https://www.uniprot.org/uniprotkb/Q90W88/entry", "Q90W88")</f>
        <v/>
      </c>
      <c r="F5173" t="n">
        <v>78.8</v>
      </c>
      <c r="G5173" t="n">
        <v>66</v>
      </c>
      <c r="H5173" t="n">
        <v>2.46e-29</v>
      </c>
      <c r="I5173" t="inlineStr">
        <is>
          <t>Swiss-Prot</t>
        </is>
      </c>
      <c r="J5173" t="inlineStr"/>
      <c r="K5173" t="inlineStr">
        <is>
          <t>BRK1C_BOMMX</t>
        </is>
      </c>
      <c r="L5173" t="inlineStr">
        <is>
          <t>sp|Q90W88|BRK1C_BOMMX Kininogen-1c OS=Bombina maxima OX=161274 PE=1 SV=2</t>
        </is>
      </c>
      <c r="M5173" t="n">
        <v>152</v>
      </c>
      <c r="N5173" t="inlineStr">
        <is>
          <t>Bombina maxima</t>
        </is>
      </c>
      <c r="O5173" t="inlineStr">
        <is>
          <t>Kininogen-1c</t>
        </is>
      </c>
    </row>
    <row r="5174">
      <c r="A5174" t="inlineStr"/>
      <c r="B5174" t="inlineStr"/>
      <c r="C5174" t="inlineStr"/>
      <c r="D5174" t="inlineStr"/>
      <c r="E5174">
        <f>HYPERLINK("https://www.uniprot.org/uniprotkb/Q90WZ1/entry", "Q90WZ1")</f>
        <v/>
      </c>
      <c r="F5174" t="n">
        <v>80.3</v>
      </c>
      <c r="G5174" t="n">
        <v>66</v>
      </c>
      <c r="H5174" t="n">
        <v>7.45e-29</v>
      </c>
      <c r="I5174" t="inlineStr">
        <is>
          <t>Swiss-Prot</t>
        </is>
      </c>
      <c r="J5174" t="inlineStr"/>
      <c r="K5174" t="inlineStr">
        <is>
          <t>BRK1B_BOMMX</t>
        </is>
      </c>
      <c r="L5174" t="inlineStr">
        <is>
          <t>sp|Q90WZ1|BRK1B_BOMMX Kininogen-1b OS=Bombina maxima OX=161274 PE=1 SV=1</t>
        </is>
      </c>
      <c r="M5174" t="n">
        <v>208</v>
      </c>
      <c r="N5174" t="inlineStr">
        <is>
          <t>Bombina maxima</t>
        </is>
      </c>
      <c r="O5174" t="inlineStr">
        <is>
          <t>Kininogen-1b</t>
        </is>
      </c>
    </row>
    <row r="5175">
      <c r="A5175" t="inlineStr"/>
      <c r="B5175" t="inlineStr"/>
      <c r="C5175" t="inlineStr"/>
      <c r="D5175" t="inlineStr"/>
      <c r="E5175">
        <f>HYPERLINK("https://www.uniprot.org/uniprotkb/P83059/entry", "P83059")</f>
        <v/>
      </c>
      <c r="F5175" t="n">
        <v>58.8</v>
      </c>
      <c r="G5175" t="n">
        <v>102</v>
      </c>
      <c r="H5175" t="n">
        <v>8.93e-29</v>
      </c>
      <c r="I5175" t="inlineStr">
        <is>
          <t>Swiss-Prot</t>
        </is>
      </c>
      <c r="J5175" t="inlineStr"/>
      <c r="K5175" t="inlineStr">
        <is>
          <t>BRK2_BOMOR</t>
        </is>
      </c>
      <c r="L5175" t="inlineStr">
        <is>
          <t>sp|P83059|BRK2_BOMOR Kininogen-2 OS=Bombina orientalis OX=8346 PE=1 SV=2</t>
        </is>
      </c>
      <c r="M5175" t="n">
        <v>161</v>
      </c>
      <c r="N5175" t="inlineStr">
        <is>
          <t>Bombina orientalis</t>
        </is>
      </c>
      <c r="O5175" t="inlineStr">
        <is>
          <t>Kininogen-2</t>
        </is>
      </c>
    </row>
    <row r="5176">
      <c r="A5176" t="inlineStr"/>
      <c r="B5176" t="inlineStr"/>
      <c r="C5176" t="inlineStr"/>
      <c r="D5176" t="inlineStr"/>
      <c r="E5176">
        <f>HYPERLINK("https://www.uniprot.org/uniprotkb/Q7T3L1/entry", "Q7T3L1")</f>
        <v/>
      </c>
      <c r="F5176" t="n">
        <v>80.3</v>
      </c>
      <c r="G5176" t="n">
        <v>66</v>
      </c>
      <c r="H5176" t="n">
        <v>4.7e-28</v>
      </c>
      <c r="I5176" t="inlineStr">
        <is>
          <t>Swiss-Prot</t>
        </is>
      </c>
      <c r="J5176" t="inlineStr"/>
      <c r="K5176" t="inlineStr">
        <is>
          <t>BRK1A_BOMMX</t>
        </is>
      </c>
      <c r="L5176" t="inlineStr">
        <is>
          <t>sp|Q7T3L1|BRK1A_BOMMX Kininogen-1a OS=Bombina maxima OX=161274 PE=1 SV=1</t>
        </is>
      </c>
      <c r="M5176" t="n">
        <v>294</v>
      </c>
      <c r="N5176" t="inlineStr">
        <is>
          <t>Bombina maxima</t>
        </is>
      </c>
      <c r="O5176" t="inlineStr">
        <is>
          <t>Kininogen-1a</t>
        </is>
      </c>
    </row>
    <row r="5177">
      <c r="A5177" t="inlineStr"/>
      <c r="B5177" t="inlineStr"/>
      <c r="C5177" t="inlineStr"/>
      <c r="D5177" t="inlineStr"/>
      <c r="E5177">
        <f>HYPERLINK("https://www.ncbi.nlm.nih.gov/gene/?term=Q90W88.2", "Q90W88.2")</f>
        <v/>
      </c>
      <c r="F5177" t="n">
        <v>78.8</v>
      </c>
      <c r="G5177" t="n">
        <v>66</v>
      </c>
      <c r="H5177" t="n">
        <v>2.49e-26</v>
      </c>
      <c r="I5177" t="inlineStr">
        <is>
          <t>Nr</t>
        </is>
      </c>
      <c r="J5177" t="inlineStr"/>
      <c r="K5177" t="inlineStr"/>
      <c r="L5177" t="inlineStr">
        <is>
          <t>Q90W88.2 RecName: Full=Kininogen-1c; AltName: Full=BMK-1; Contains: RecName: Full=Maximakinin; AltName: Full=Bombinakinin M; Contains: RecName: Full=Bradykinin; Flags: Precursor [Bombina maxima]</t>
        </is>
      </c>
      <c r="M5177" t="n">
        <v>152</v>
      </c>
      <c r="N5177" t="inlineStr">
        <is>
          <t>Bombina maxima</t>
        </is>
      </c>
      <c r="O5177" t="inlineStr">
        <is>
          <t>RecName: Full=Kininogen-1c; AltName: Full=BMK-1; Contains: RecName: Full=Maximakinin; AltName: Full=Bombinakinin M; Contains: RecName: Full=Bradykinin; Flags: Precursor</t>
        </is>
      </c>
    </row>
    <row r="5178">
      <c r="A5178" t="inlineStr"/>
      <c r="B5178" t="inlineStr"/>
      <c r="C5178" t="inlineStr"/>
      <c r="D5178" t="inlineStr"/>
      <c r="E5178">
        <f>HYPERLINK("https://www.ncbi.nlm.nih.gov/gene/?term=Q90WZ1.1", "Q90WZ1.1")</f>
        <v/>
      </c>
      <c r="F5178" t="n">
        <v>80.3</v>
      </c>
      <c r="G5178" t="n">
        <v>66</v>
      </c>
      <c r="H5178" t="n">
        <v>7.520000000000001e-26</v>
      </c>
      <c r="I5178" t="inlineStr">
        <is>
          <t>Nr</t>
        </is>
      </c>
      <c r="J5178" t="inlineStr"/>
      <c r="K5178" t="inlineStr"/>
      <c r="L5178" t="inlineStr">
        <is>
          <t>Q90WZ1.1 RecName: Full=Kininogen-1b; Contains: RecName: Full=Maximakinin; AltName: Full=Bombinakinin M; Contains: RecName: Full=Bradykinin; Flags: Precursor [Bombina maxima]</t>
        </is>
      </c>
      <c r="M5178" t="n">
        <v>208</v>
      </c>
      <c r="N5178" t="inlineStr">
        <is>
          <t>Bombina maxima</t>
        </is>
      </c>
      <c r="O5178" t="inlineStr">
        <is>
          <t>RecName: Full=Kininogen-1b; Contains: RecName: Full=Maximakinin; AltName: Full=Bombinakinin M; Contains: RecName: Full=Bradykinin; Flags: Precursor</t>
        </is>
      </c>
    </row>
    <row r="5179">
      <c r="A5179" t="inlineStr"/>
      <c r="B5179" t="inlineStr"/>
      <c r="C5179" t="inlineStr"/>
      <c r="D5179" t="inlineStr"/>
      <c r="E5179">
        <f>HYPERLINK("https://www.ncbi.nlm.nih.gov/gene/?term=P83059.2", "P83059.2")</f>
        <v/>
      </c>
      <c r="F5179" t="n">
        <v>58.8</v>
      </c>
      <c r="G5179" t="n">
        <v>102</v>
      </c>
      <c r="H5179" t="n">
        <v>9.020000000000001e-26</v>
      </c>
      <c r="I5179" t="inlineStr">
        <is>
          <t>Nr</t>
        </is>
      </c>
      <c r="J5179" t="inlineStr"/>
      <c r="K5179" t="inlineStr"/>
      <c r="L5179" t="inlineStr">
        <is>
          <t>P83059.2 RecName: Full=Kininogen-2; AltName: Full=BOK-2; Contains: RecName: Full=[Thr6]-bradykinin; Contains: RecName: Full=Bradykinin inhibitor peptide DV-28; Short=DV-28 amide; Flags: Precursor [Bombina orientalis]</t>
        </is>
      </c>
      <c r="M5179" t="n">
        <v>161</v>
      </c>
      <c r="N5179" t="inlineStr">
        <is>
          <t>Bombina orientalis</t>
        </is>
      </c>
      <c r="O5179" t="inlineStr">
        <is>
          <t>RecName: Full=Kininogen-2; AltName: Full=BOK-2; Contains: RecName: Full=[Thr6]-bradykinin; Contains: RecName: Full=Bradykinin inhibitor peptide DV-28; Short=DV-28 amide; Flags: Precursor</t>
        </is>
      </c>
    </row>
    <row r="5180">
      <c r="A5180" t="inlineStr"/>
      <c r="B5180" t="inlineStr"/>
      <c r="C5180" t="inlineStr"/>
      <c r="D5180" t="inlineStr"/>
      <c r="E5180">
        <f>HYPERLINK("https://www.uniprot.org/uniprotkb/P83055/entry", "P83055")</f>
        <v/>
      </c>
      <c r="F5180" t="n">
        <v>52.8</v>
      </c>
      <c r="G5180" t="n">
        <v>106</v>
      </c>
      <c r="H5180" t="n">
        <v>2.11e-25</v>
      </c>
      <c r="I5180" t="inlineStr">
        <is>
          <t>Swiss-Prot</t>
        </is>
      </c>
      <c r="J5180" t="inlineStr"/>
      <c r="K5180" t="inlineStr">
        <is>
          <t>BRK2_BOMMX</t>
        </is>
      </c>
      <c r="L5180" t="inlineStr">
        <is>
          <t>sp|P83055|BRK2_BOMMX Kininogen-2 OS=Bombina maxima OX=161274 PE=1 SV=2</t>
        </is>
      </c>
      <c r="M5180" t="n">
        <v>114</v>
      </c>
      <c r="N5180" t="inlineStr">
        <is>
          <t>Bombina maxima</t>
        </is>
      </c>
      <c r="O5180" t="inlineStr">
        <is>
          <t>Kininogen-2</t>
        </is>
      </c>
    </row>
    <row r="5181">
      <c r="A5181" t="inlineStr"/>
      <c r="B5181" t="inlineStr"/>
      <c r="C5181" t="inlineStr"/>
      <c r="D5181" t="inlineStr"/>
      <c r="E5181">
        <f>HYPERLINK("https://www.ncbi.nlm.nih.gov/gene/?term=Q7T3L1.1", "Q7T3L1.1")</f>
        <v/>
      </c>
      <c r="F5181" t="n">
        <v>80.3</v>
      </c>
      <c r="G5181" t="n">
        <v>66</v>
      </c>
      <c r="H5181" t="n">
        <v>4.74e-25</v>
      </c>
      <c r="I5181" t="inlineStr">
        <is>
          <t>Nr</t>
        </is>
      </c>
      <c r="J5181" t="inlineStr"/>
      <c r="K5181" t="inlineStr"/>
      <c r="L5181" t="inlineStr">
        <is>
          <t>Q7T3L1.1 RecName: Full=Kininogen-1a; Contains: RecName: Full=Maximakinin; AltName: Full=Bombinakinin M; Contains: RecName: Full=Bradykinin; Contains: RecName: Full=Bombinakinin-GAP; AltName: Full=Bombinakinin M gene-associated protein; Flags: Precursor [Bombina maxima]</t>
        </is>
      </c>
      <c r="M5181" t="n">
        <v>294</v>
      </c>
      <c r="N5181" t="inlineStr">
        <is>
          <t>Bombina maxima</t>
        </is>
      </c>
      <c r="O5181" t="inlineStr">
        <is>
          <t>RecName: Full=Kininogen-1a; Contains: RecName: Full=Maximakinin; AltName: Full=Bombinakinin M; Contains: RecName: Full=Bradykinin; Contains: RecName: Full=Bombinakinin-GAP; AltName: Full=Bombinakinin M gene-associated protein; Flags: Precursor</t>
        </is>
      </c>
    </row>
    <row r="5182">
      <c r="A5182" t="inlineStr"/>
      <c r="B5182" t="inlineStr"/>
      <c r="C5182" t="inlineStr"/>
      <c r="D5182" t="inlineStr"/>
      <c r="E5182">
        <f>HYPERLINK("https://www.ncbi.nlm.nih.gov/gene/?term=P83055.2", "P83055.2")</f>
        <v/>
      </c>
      <c r="F5182" t="n">
        <v>52.8</v>
      </c>
      <c r="G5182" t="n">
        <v>106</v>
      </c>
      <c r="H5182" t="n">
        <v>2.13e-22</v>
      </c>
      <c r="I5182" t="inlineStr">
        <is>
          <t>Nr</t>
        </is>
      </c>
      <c r="J5182" t="inlineStr"/>
      <c r="K5182" t="inlineStr"/>
      <c r="L5182" t="inlineStr">
        <is>
          <t>P83055.2 RecName: Full=Kininogen-2; AltName: Full=BMK-2; Contains: RecName: Full=Maximakinin; Contains: RecName: Full=Bradykinin; Contains: RecName: Full=Maximakinin-associated peptide; Flags: Precursor [Bombina maxima]</t>
        </is>
      </c>
      <c r="M5182" t="n">
        <v>114</v>
      </c>
      <c r="N5182" t="inlineStr">
        <is>
          <t>Bombina maxima</t>
        </is>
      </c>
      <c r="O5182" t="inlineStr">
        <is>
          <t>RecName: Full=Kininogen-2; AltName: Full=BMK-2; Contains: RecName: Full=Maximakinin; Contains: RecName: Full=Bradykinin; Contains: RecName: Full=Maximakinin-associated peptide; Flags: Precursor</t>
        </is>
      </c>
    </row>
    <row r="5183">
      <c r="A5183" t="inlineStr"/>
      <c r="B5183" t="inlineStr"/>
      <c r="C5183" t="inlineStr"/>
      <c r="D5183" t="inlineStr"/>
      <c r="E5183">
        <f>HYPERLINK("https://www.uniprot.org/uniprotkb/Q5GC96/entry", "Q5GC96")</f>
        <v/>
      </c>
      <c r="F5183" t="n">
        <v>42.7</v>
      </c>
      <c r="G5183" t="n">
        <v>124</v>
      </c>
      <c r="H5183" t="n">
        <v>6.51e-18</v>
      </c>
      <c r="I5183" t="inlineStr">
        <is>
          <t>TrEMBL</t>
        </is>
      </c>
      <c r="J5183" t="inlineStr"/>
      <c r="K5183" t="inlineStr">
        <is>
          <t>Q5GC96_BOMMX</t>
        </is>
      </c>
      <c r="L5183" t="inlineStr">
        <is>
          <t>tr|Q5GC96|Q5GC96_BOMMX Bombinakinin M variant OS=Bombina maxima OX=161274 PE=2 SV=1</t>
        </is>
      </c>
      <c r="M5183" t="n">
        <v>132</v>
      </c>
      <c r="N5183" t="inlineStr">
        <is>
          <t>Bombina maxima</t>
        </is>
      </c>
      <c r="O5183" t="inlineStr">
        <is>
          <t>Bombinakinin M variant</t>
        </is>
      </c>
    </row>
    <row r="5184">
      <c r="A5184" t="inlineStr"/>
      <c r="B5184" t="inlineStr"/>
      <c r="C5184" t="inlineStr"/>
      <c r="D5184" t="inlineStr"/>
      <c r="E5184">
        <f>HYPERLINK("https://www.uniprot.org/uniprotkb/Q5GC95/entry", "Q5GC95")</f>
        <v/>
      </c>
      <c r="F5184" t="n">
        <v>44.5</v>
      </c>
      <c r="G5184" t="n">
        <v>119</v>
      </c>
      <c r="H5184" t="n">
        <v>1.3e-17</v>
      </c>
      <c r="I5184" t="inlineStr">
        <is>
          <t>TrEMBL</t>
        </is>
      </c>
      <c r="J5184" t="inlineStr"/>
      <c r="K5184" t="inlineStr">
        <is>
          <t>Q5GC95_BOMMX</t>
        </is>
      </c>
      <c r="L5184" t="inlineStr">
        <is>
          <t>tr|Q5GC95|Q5GC95_BOMMX Bombinakinin M variant OS=Bombina maxima OX=161274 PE=2 SV=1</t>
        </is>
      </c>
      <c r="M5184" t="n">
        <v>160</v>
      </c>
      <c r="N5184" t="inlineStr">
        <is>
          <t>Bombina maxima</t>
        </is>
      </c>
      <c r="O5184" t="inlineStr">
        <is>
          <t>Bombinakinin M variant</t>
        </is>
      </c>
    </row>
    <row r="5185">
      <c r="A5185" t="inlineStr"/>
      <c r="B5185" t="inlineStr"/>
      <c r="C5185" t="inlineStr"/>
      <c r="D5185" t="inlineStr"/>
      <c r="E5185">
        <f>HYPERLINK("https://www.ncbi.nlm.nih.gov/gene/?term=AAV74391.1", "AAV74391.1")</f>
        <v/>
      </c>
      <c r="F5185" t="n">
        <v>42.7</v>
      </c>
      <c r="G5185" t="n">
        <v>124</v>
      </c>
      <c r="H5185" t="n">
        <v>1.67e-17</v>
      </c>
      <c r="I5185" t="inlineStr">
        <is>
          <t>Nr</t>
        </is>
      </c>
      <c r="J5185" t="inlineStr"/>
      <c r="K5185" t="inlineStr"/>
      <c r="L5185" t="inlineStr">
        <is>
          <t>AAV74391.1 bombinakinin M variant precursor [Bombina maxima]</t>
        </is>
      </c>
      <c r="M5185" t="n">
        <v>132</v>
      </c>
      <c r="N5185" t="inlineStr">
        <is>
          <t>Bombina maxima</t>
        </is>
      </c>
      <c r="O5185" t="inlineStr">
        <is>
          <t>bombinakinin M variant precursor</t>
        </is>
      </c>
    </row>
    <row r="5186">
      <c r="A5186" t="inlineStr"/>
      <c r="B5186" t="inlineStr"/>
      <c r="C5186" t="inlineStr"/>
      <c r="D5186" t="inlineStr"/>
      <c r="E5186">
        <f>HYPERLINK("https://www.ncbi.nlm.nih.gov/gene/?term=AAV74392.1", "AAV74392.1")</f>
        <v/>
      </c>
      <c r="F5186" t="n">
        <v>44.5</v>
      </c>
      <c r="G5186" t="n">
        <v>119</v>
      </c>
      <c r="H5186" t="n">
        <v>3.34e-17</v>
      </c>
      <c r="I5186" t="inlineStr">
        <is>
          <t>Nr</t>
        </is>
      </c>
      <c r="J5186" t="inlineStr"/>
      <c r="K5186" t="inlineStr"/>
      <c r="L5186" t="inlineStr">
        <is>
          <t>AAV74392.1 bombinakinin M variant precursor [Bombina maxima]</t>
        </is>
      </c>
      <c r="M5186" t="n">
        <v>160</v>
      </c>
      <c r="N5186" t="inlineStr">
        <is>
          <t>Bombina maxima</t>
        </is>
      </c>
      <c r="O5186" t="inlineStr">
        <is>
          <t>bombinakinin M variant precursor</t>
        </is>
      </c>
    </row>
    <row r="5187">
      <c r="A5187" t="inlineStr">
        <is>
          <t>NODE_30788_length_3972_cov_5.557490_g10567_i0</t>
        </is>
      </c>
      <c r="B5187" t="inlineStr">
        <is>
          <t>bombina_pachypus_blastx</t>
        </is>
      </c>
      <c r="C5187" t="n">
        <v>-4.25330781043608</v>
      </c>
      <c r="D5187" t="n">
        <v>0.0339548499122934</v>
      </c>
      <c r="E5187">
        <f>HYPERLINK("https://www.uniprot.org/uniprotkb/A0A803JUS9/entry", "A0A803JUS9")</f>
        <v/>
      </c>
      <c r="F5187" t="n">
        <v>31.8</v>
      </c>
      <c r="G5187" t="n">
        <v>1292</v>
      </c>
      <c r="H5187" t="n">
        <v>4.09e-197</v>
      </c>
      <c r="I5187" t="inlineStr">
        <is>
          <t>TrEMBL</t>
        </is>
      </c>
      <c r="J5187" t="inlineStr"/>
      <c r="K5187" t="inlineStr">
        <is>
          <t>A0A803JUS9_XENTR</t>
        </is>
      </c>
      <c r="L5187" t="inlineStr">
        <is>
          <t>tr|A0A803JUS9|A0A803JUS9_XENTR Reverse transcriptase domain-containing protein OS=Xenopus tropicalis OX=8364 PE=4 SV=1</t>
        </is>
      </c>
      <c r="M5187" t="n">
        <v>1298</v>
      </c>
      <c r="N5187" t="inlineStr">
        <is>
          <t>Xenopus tropicalis</t>
        </is>
      </c>
      <c r="O5187" t="inlineStr">
        <is>
          <t>Reverse transcriptase domain-containing protein</t>
        </is>
      </c>
    </row>
    <row r="5188">
      <c r="A5188" t="inlineStr"/>
      <c r="B5188" t="inlineStr"/>
      <c r="C5188" t="inlineStr"/>
      <c r="D5188" t="inlineStr"/>
      <c r="E5188">
        <f>HYPERLINK("https://www.uniprot.org/uniprotkb/A0A803JAB7/entry", "A0A803JAB7")</f>
        <v/>
      </c>
      <c r="F5188" t="n">
        <v>32.3</v>
      </c>
      <c r="G5188" t="n">
        <v>1185</v>
      </c>
      <c r="H5188" t="n">
        <v>1.39e-191</v>
      </c>
      <c r="I5188" t="inlineStr">
        <is>
          <t>TrEMBL</t>
        </is>
      </c>
      <c r="J5188" t="inlineStr"/>
      <c r="K5188" t="inlineStr">
        <is>
          <t>A0A803JAB7_XENTR</t>
        </is>
      </c>
      <c r="L5188" t="inlineStr">
        <is>
          <t>tr|A0A803JAB7|A0A803JAB7_XENTR Reverse transcriptase domain-containing protein OS=Xenopus tropicalis OX=8364 PE=4 SV=1</t>
        </is>
      </c>
      <c r="M5188" t="n">
        <v>1216</v>
      </c>
      <c r="N5188" t="inlineStr">
        <is>
          <t>Xenopus tropicalis</t>
        </is>
      </c>
      <c r="O5188" t="inlineStr">
        <is>
          <t>Reverse transcriptase domain-containing protein</t>
        </is>
      </c>
    </row>
    <row r="5189">
      <c r="A5189" t="inlineStr"/>
      <c r="B5189" t="inlineStr"/>
      <c r="C5189" t="inlineStr"/>
      <c r="D5189" t="inlineStr"/>
      <c r="E5189">
        <f>HYPERLINK("https://www.uniprot.org/uniprotkb/A0A3B3HQU1/entry", "A0A3B3HQU1")</f>
        <v/>
      </c>
      <c r="F5189" t="n">
        <v>32.1</v>
      </c>
      <c r="G5189" t="n">
        <v>1237</v>
      </c>
      <c r="H5189" t="n">
        <v>7.16e-190</v>
      </c>
      <c r="I5189" t="inlineStr">
        <is>
          <t>TrEMBL</t>
        </is>
      </c>
      <c r="J5189" t="inlineStr"/>
      <c r="K5189" t="inlineStr">
        <is>
          <t>A0A3B3HQU1_ORYLA</t>
        </is>
      </c>
      <c r="L5189" t="inlineStr">
        <is>
          <t>tr|A0A3B3HQU1|A0A3B3HQU1_ORYLA Reverse transcriptase domain-containing protein OS=Oryzias latipes OX=8090 PE=4 SV=1</t>
        </is>
      </c>
      <c r="M5189" t="n">
        <v>1278</v>
      </c>
      <c r="N5189" t="inlineStr">
        <is>
          <t>Oryzias latipes</t>
        </is>
      </c>
      <c r="O5189" t="inlineStr">
        <is>
          <t>Reverse transcriptase domain-containing protein</t>
        </is>
      </c>
    </row>
    <row r="5190">
      <c r="A5190" t="inlineStr"/>
      <c r="B5190" t="inlineStr"/>
      <c r="C5190" t="inlineStr"/>
      <c r="D5190" t="inlineStr"/>
      <c r="E5190">
        <f>HYPERLINK("https://www.uniprot.org/uniprotkb/A0A8C5QW74/entry", "A0A8C5QW74")</f>
        <v/>
      </c>
      <c r="F5190" t="n">
        <v>32</v>
      </c>
      <c r="G5190" t="n">
        <v>1285</v>
      </c>
      <c r="H5190" t="n">
        <v>8.369999999999999e-190</v>
      </c>
      <c r="I5190" t="inlineStr">
        <is>
          <t>TrEMBL</t>
        </is>
      </c>
      <c r="J5190" t="inlineStr"/>
      <c r="K5190" t="inlineStr">
        <is>
          <t>A0A8C5QW74_9ANUR</t>
        </is>
      </c>
      <c r="L5190" t="inlineStr">
        <is>
          <t>tr|A0A8C5QW74|A0A8C5QW74_9ANUR Reverse transcriptase domain-containing protein OS=Leptobrachium leishanense OX=445787 PE=4 SV=1</t>
        </is>
      </c>
      <c r="M5190" t="n">
        <v>1339</v>
      </c>
      <c r="N5190" t="inlineStr">
        <is>
          <t>Leptobrachium leishanense</t>
        </is>
      </c>
      <c r="O5190" t="inlineStr">
        <is>
          <t>Reverse transcriptase domain-containing protein</t>
        </is>
      </c>
    </row>
    <row r="5191">
      <c r="A5191" t="inlineStr"/>
      <c r="B5191" t="inlineStr"/>
      <c r="C5191" t="inlineStr"/>
      <c r="D5191" t="inlineStr"/>
      <c r="E5191">
        <f>HYPERLINK("https://www.uniprot.org/uniprotkb/A0A3P8NLG5/entry", "A0A3P8NLG5")</f>
        <v/>
      </c>
      <c r="F5191" t="n">
        <v>32.6</v>
      </c>
      <c r="G5191" t="n">
        <v>1239</v>
      </c>
      <c r="H5191" t="n">
        <v>5.47e-187</v>
      </c>
      <c r="I5191" t="inlineStr">
        <is>
          <t>TrEMBL</t>
        </is>
      </c>
      <c r="J5191" t="inlineStr"/>
      <c r="K5191" t="inlineStr">
        <is>
          <t>A0A3P8NLG5_ASTCA</t>
        </is>
      </c>
      <c r="L5191" t="inlineStr">
        <is>
          <t>tr|A0A3P8NLG5|A0A3P8NLG5_ASTCA Reverse transcriptase domain-containing protein OS=Astatotilapia calliptera OX=8154 PE=4 SV=1</t>
        </is>
      </c>
      <c r="M5191" t="n">
        <v>1261</v>
      </c>
      <c r="N5191" t="inlineStr">
        <is>
          <t>Astatotilapia calliptera</t>
        </is>
      </c>
      <c r="O5191" t="inlineStr">
        <is>
          <t>Reverse transcriptase domain-containing protein</t>
        </is>
      </c>
    </row>
    <row r="5192">
      <c r="A5192" t="inlineStr"/>
      <c r="B5192" t="inlineStr"/>
      <c r="C5192" t="inlineStr"/>
      <c r="D5192" t="inlineStr"/>
      <c r="E5192">
        <f>HYPERLINK("https://www.uniprot.org/uniprotkb/A0A8C5QVA5/entry", "A0A8C5QVA5")</f>
        <v/>
      </c>
      <c r="F5192" t="n">
        <v>31.2</v>
      </c>
      <c r="G5192" t="n">
        <v>1302</v>
      </c>
      <c r="H5192" t="n">
        <v>1.55e-186</v>
      </c>
      <c r="I5192" t="inlineStr">
        <is>
          <t>TrEMBL</t>
        </is>
      </c>
      <c r="J5192" t="inlineStr"/>
      <c r="K5192" t="inlineStr">
        <is>
          <t>A0A8C5QVA5_9ANUR</t>
        </is>
      </c>
      <c r="L5192" t="inlineStr">
        <is>
          <t>tr|A0A8C5QVA5|A0A8C5QVA5_9ANUR Reverse transcriptase domain-containing protein OS=Leptobrachium leishanense OX=445787 PE=4 SV=1</t>
        </is>
      </c>
      <c r="M5192" t="n">
        <v>1317</v>
      </c>
      <c r="N5192" t="inlineStr">
        <is>
          <t>Leptobrachium leishanense</t>
        </is>
      </c>
      <c r="O5192" t="inlineStr">
        <is>
          <t>Reverse transcriptase domain-containing protein</t>
        </is>
      </c>
    </row>
    <row r="5193">
      <c r="A5193" t="inlineStr"/>
      <c r="B5193" t="inlineStr"/>
      <c r="C5193" t="inlineStr"/>
      <c r="D5193" t="inlineStr"/>
      <c r="E5193">
        <f>HYPERLINK("https://www.uniprot.org/uniprotkb/A0A8C4CYL9/entry", "A0A8C4CYL9")</f>
        <v/>
      </c>
      <c r="F5193" t="n">
        <v>32.4</v>
      </c>
      <c r="G5193" t="n">
        <v>1280</v>
      </c>
      <c r="H5193" t="n">
        <v>1.92e-183</v>
      </c>
      <c r="I5193" t="inlineStr">
        <is>
          <t>TrEMBL</t>
        </is>
      </c>
      <c r="J5193" t="inlineStr"/>
      <c r="K5193" t="inlineStr">
        <is>
          <t>A0A8C4CYL9_9TELE</t>
        </is>
      </c>
      <c r="L5193" t="inlineStr">
        <is>
          <t>tr|A0A8C4CYL9|A0A8C4CYL9_9TELE Reverse transcriptase domain-containing protein OS=Denticeps clupeoides OX=299321 PE=4 SV=1</t>
        </is>
      </c>
      <c r="M5193" t="n">
        <v>1265</v>
      </c>
      <c r="N5193" t="inlineStr">
        <is>
          <t>Denticeps clupeoides</t>
        </is>
      </c>
      <c r="O5193" t="inlineStr">
        <is>
          <t>Reverse transcriptase domain-containing protein</t>
        </is>
      </c>
    </row>
    <row r="5194">
      <c r="A5194" t="inlineStr"/>
      <c r="B5194" t="inlineStr"/>
      <c r="C5194" t="inlineStr"/>
      <c r="D5194" t="inlineStr"/>
      <c r="E5194">
        <f>HYPERLINK("https://www.uniprot.org/uniprotkb/A0A8C3ZVW6/entry", "A0A8C3ZVW6")</f>
        <v/>
      </c>
      <c r="F5194" t="n">
        <v>32.4</v>
      </c>
      <c r="G5194" t="n">
        <v>1280</v>
      </c>
      <c r="H5194" t="n">
        <v>3.77e-183</v>
      </c>
      <c r="I5194" t="inlineStr">
        <is>
          <t>TrEMBL</t>
        </is>
      </c>
      <c r="J5194" t="inlineStr"/>
      <c r="K5194" t="inlineStr">
        <is>
          <t>A0A8C3ZVW6_9TELE</t>
        </is>
      </c>
      <c r="L5194" t="inlineStr">
        <is>
          <t>tr|A0A8C3ZVW6|A0A8C3ZVW6_9TELE Reverse transcriptase domain-containing protein OS=Denticeps clupeoides OX=299321 PE=4 SV=1</t>
        </is>
      </c>
      <c r="M5194" t="n">
        <v>1265</v>
      </c>
      <c r="N5194" t="inlineStr">
        <is>
          <t>Denticeps clupeoides</t>
        </is>
      </c>
      <c r="O5194" t="inlineStr">
        <is>
          <t>Reverse transcriptase domain-containing protein</t>
        </is>
      </c>
    </row>
    <row r="5195">
      <c r="A5195" t="inlineStr"/>
      <c r="B5195" t="inlineStr"/>
      <c r="C5195" t="inlineStr"/>
      <c r="D5195" t="inlineStr"/>
      <c r="E5195">
        <f>HYPERLINK("https://www.uniprot.org/uniprotkb/A0A3Q3A000/entry", "A0A3Q3A000")</f>
        <v/>
      </c>
      <c r="F5195" t="n">
        <v>32.6</v>
      </c>
      <c r="G5195" t="n">
        <v>1236</v>
      </c>
      <c r="H5195" t="n">
        <v>6.24e-182</v>
      </c>
      <c r="I5195" t="inlineStr">
        <is>
          <t>TrEMBL</t>
        </is>
      </c>
      <c r="J5195" t="inlineStr"/>
      <c r="K5195" t="inlineStr">
        <is>
          <t>A0A3Q3A000_KRYMA</t>
        </is>
      </c>
      <c r="L5195" t="inlineStr">
        <is>
          <t>tr|A0A3Q3A000|A0A3Q3A000_KRYMA Reverse transcriptase domain-containing protein OS=Kryptolebias marmoratus OX=37003 PE=4 SV=1</t>
        </is>
      </c>
      <c r="M5195" t="n">
        <v>1270</v>
      </c>
      <c r="N5195" t="inlineStr">
        <is>
          <t>Kryptolebias marmoratus</t>
        </is>
      </c>
      <c r="O5195" t="inlineStr">
        <is>
          <t>Reverse transcriptase domain-containing protein</t>
        </is>
      </c>
    </row>
    <row r="5196">
      <c r="A5196" t="inlineStr"/>
      <c r="B5196" t="inlineStr"/>
      <c r="C5196" t="inlineStr"/>
      <c r="D5196" t="inlineStr"/>
      <c r="E5196">
        <f>HYPERLINK("https://www.uniprot.org/uniprotkb/A0A8C5CUP8/entry", "A0A8C5CUP8")</f>
        <v/>
      </c>
      <c r="F5196" t="n">
        <v>31.2</v>
      </c>
      <c r="G5196" t="n">
        <v>1283</v>
      </c>
      <c r="H5196" t="n">
        <v>1.03e-181</v>
      </c>
      <c r="I5196" t="inlineStr">
        <is>
          <t>TrEMBL</t>
        </is>
      </c>
      <c r="J5196" t="inlineStr"/>
      <c r="K5196" t="inlineStr">
        <is>
          <t>A0A8C5CUP8_GADMO</t>
        </is>
      </c>
      <c r="L5196" t="inlineStr">
        <is>
          <t>tr|A0A8C5CUP8|A0A8C5CUP8_GADMO Reverse transcriptase domain-containing protein OS=Gadus morhua OX=8049 PE=4 SV=1</t>
        </is>
      </c>
      <c r="M5196" t="n">
        <v>1263</v>
      </c>
      <c r="N5196" t="inlineStr">
        <is>
          <t>Gadus morhua</t>
        </is>
      </c>
      <c r="O5196" t="inlineStr">
        <is>
          <t>Reverse transcriptase domain-containing protein</t>
        </is>
      </c>
    </row>
    <row r="5197">
      <c r="A5197" t="inlineStr"/>
      <c r="B5197" t="inlineStr"/>
      <c r="C5197" t="inlineStr"/>
      <c r="D5197" t="inlineStr"/>
      <c r="E5197">
        <f>HYPERLINK("https://www.uniprot.org/uniprotkb/A0A4W5P8L2/entry", "A0A4W5P8L2")</f>
        <v/>
      </c>
      <c r="F5197" t="n">
        <v>31.1</v>
      </c>
      <c r="G5197" t="n">
        <v>1300</v>
      </c>
      <c r="H5197" t="n">
        <v>2.7e-181</v>
      </c>
      <c r="I5197" t="inlineStr">
        <is>
          <t>TrEMBL</t>
        </is>
      </c>
      <c r="J5197" t="inlineStr"/>
      <c r="K5197" t="inlineStr">
        <is>
          <t>A0A4W5P8L2_9TELE</t>
        </is>
      </c>
      <c r="L5197" t="inlineStr">
        <is>
          <t>tr|A0A4W5P8L2|A0A4W5P8L2_9TELE Reverse transcriptase domain-containing protein OS=Hucho hucho OX=62062 PE=4 SV=1</t>
        </is>
      </c>
      <c r="M5197" t="n">
        <v>1275</v>
      </c>
      <c r="N5197" t="inlineStr">
        <is>
          <t>Hucho hucho</t>
        </is>
      </c>
      <c r="O5197" t="inlineStr">
        <is>
          <t>Reverse transcriptase domain-containing protein</t>
        </is>
      </c>
    </row>
    <row r="5198">
      <c r="A5198" t="inlineStr"/>
      <c r="B5198" t="inlineStr"/>
      <c r="C5198" t="inlineStr"/>
      <c r="D5198" t="inlineStr"/>
      <c r="E5198">
        <f>HYPERLINK("https://www.uniprot.org/uniprotkb/A0A0R4ISL7/entry", "A0A0R4ISL7")</f>
        <v/>
      </c>
      <c r="F5198" t="n">
        <v>32.5</v>
      </c>
      <c r="G5198" t="n">
        <v>1244</v>
      </c>
      <c r="H5198" t="n">
        <v>1.43e-179</v>
      </c>
      <c r="I5198" t="inlineStr">
        <is>
          <t>TrEMBL</t>
        </is>
      </c>
      <c r="J5198" t="inlineStr">
        <is>
          <t>si:ch211-149k12.3</t>
        </is>
      </c>
      <c r="K5198" t="inlineStr">
        <is>
          <t>A0A0R4ISL7_DANRE</t>
        </is>
      </c>
      <c r="L5198" t="inlineStr">
        <is>
          <t>tr|A0A0R4ISL7|A0A0R4ISL7_DANRE Si:ch211-149k12.3 OS=Danio rerio OX=7955 GN=si:ch211-149k12.3 PE=4 SV=1</t>
        </is>
      </c>
      <c r="M5198" t="n">
        <v>1259</v>
      </c>
      <c r="N5198" t="inlineStr">
        <is>
          <t>Danio rerio</t>
        </is>
      </c>
      <c r="O5198" t="inlineStr">
        <is>
          <t>Si:ch211-149k12.3</t>
        </is>
      </c>
    </row>
    <row r="5199">
      <c r="A5199" t="inlineStr"/>
      <c r="B5199" t="inlineStr"/>
      <c r="C5199" t="inlineStr"/>
      <c r="D5199" t="inlineStr"/>
      <c r="E5199">
        <f>HYPERLINK("https://www.ncbi.nlm.nih.gov/gene/?term=CAI5669672.1", "CAI5669672.1")</f>
        <v/>
      </c>
      <c r="F5199" t="n">
        <v>29.9</v>
      </c>
      <c r="G5199" t="n">
        <v>1279</v>
      </c>
      <c r="H5199" t="n">
        <v>4.910000000000001e-179</v>
      </c>
      <c r="I5199" t="inlineStr">
        <is>
          <t>Nr</t>
        </is>
      </c>
      <c r="J5199" t="inlineStr"/>
      <c r="K5199" t="inlineStr"/>
      <c r="L5199" t="inlineStr">
        <is>
          <t>CAI5669672.1 unnamed protein product [Mustela putorius furo]</t>
        </is>
      </c>
      <c r="M5199" t="n">
        <v>1271</v>
      </c>
      <c r="N5199" t="inlineStr">
        <is>
          <t>Mustela putorius furo</t>
        </is>
      </c>
      <c r="O5199" t="inlineStr">
        <is>
          <t>unnamed protein product</t>
        </is>
      </c>
    </row>
    <row r="5200">
      <c r="A5200" t="inlineStr"/>
      <c r="B5200" t="inlineStr"/>
      <c r="C5200" t="inlineStr"/>
      <c r="D5200" t="inlineStr"/>
      <c r="E5200">
        <f>HYPERLINK("https://www.ncbi.nlm.nih.gov/gene/?term=CAI5680952.1", "CAI5680952.1")</f>
        <v/>
      </c>
      <c r="F5200" t="n">
        <v>29.9</v>
      </c>
      <c r="G5200" t="n">
        <v>1279</v>
      </c>
      <c r="H5200" t="n">
        <v>9.6e-179</v>
      </c>
      <c r="I5200" t="inlineStr">
        <is>
          <t>Nr</t>
        </is>
      </c>
      <c r="J5200" t="inlineStr"/>
      <c r="K5200" t="inlineStr"/>
      <c r="L5200" t="inlineStr">
        <is>
          <t>CAI5680952.1 unnamed protein product [Mustela putorius furo]</t>
        </is>
      </c>
      <c r="M5200" t="n">
        <v>1271</v>
      </c>
      <c r="N5200" t="inlineStr">
        <is>
          <t>Mustela putorius furo</t>
        </is>
      </c>
      <c r="O5200" t="inlineStr">
        <is>
          <t>unnamed protein product</t>
        </is>
      </c>
    </row>
    <row r="5201">
      <c r="A5201" t="inlineStr"/>
      <c r="B5201" t="inlineStr"/>
      <c r="C5201" t="inlineStr"/>
      <c r="D5201" t="inlineStr"/>
      <c r="E5201">
        <f>HYPERLINK("https://www.uniprot.org/uniprotkb/A0A3Q3G8L9/entry", "A0A3Q3G8L9")</f>
        <v/>
      </c>
      <c r="F5201" t="n">
        <v>32.4</v>
      </c>
      <c r="G5201" t="n">
        <v>1296</v>
      </c>
      <c r="H5201" t="n">
        <v>1.04e-178</v>
      </c>
      <c r="I5201" t="inlineStr">
        <is>
          <t>TrEMBL</t>
        </is>
      </c>
      <c r="J5201" t="inlineStr"/>
      <c r="K5201" t="inlineStr">
        <is>
          <t>A0A3Q3G8L9_KRYMA</t>
        </is>
      </c>
      <c r="L5201" t="inlineStr">
        <is>
          <t>tr|A0A3Q3G8L9|A0A3Q3G8L9_KRYMA Reverse transcriptase domain-containing protein OS=Kryptolebias marmoratus OX=37003 PE=4 SV=1</t>
        </is>
      </c>
      <c r="M5201" t="n">
        <v>1258</v>
      </c>
      <c r="N5201" t="inlineStr">
        <is>
          <t>Kryptolebias marmoratus</t>
        </is>
      </c>
      <c r="O5201" t="inlineStr">
        <is>
          <t>Reverse transcriptase domain-containing protein</t>
        </is>
      </c>
    </row>
    <row r="5202">
      <c r="A5202" t="inlineStr"/>
      <c r="B5202" t="inlineStr"/>
      <c r="C5202" t="inlineStr"/>
      <c r="D5202" t="inlineStr"/>
      <c r="E5202">
        <f>HYPERLINK("https://www.uniprot.org/uniprotkb/A0A3P8PN08/entry", "A0A3P8PN08")</f>
        <v/>
      </c>
      <c r="F5202" t="n">
        <v>30.1</v>
      </c>
      <c r="G5202" t="n">
        <v>1281</v>
      </c>
      <c r="H5202" t="n">
        <v>4e-178</v>
      </c>
      <c r="I5202" t="inlineStr">
        <is>
          <t>TrEMBL</t>
        </is>
      </c>
      <c r="J5202" t="inlineStr"/>
      <c r="K5202" t="inlineStr">
        <is>
          <t>A0A3P8PN08_ASTCA</t>
        </is>
      </c>
      <c r="L5202" t="inlineStr">
        <is>
          <t>tr|A0A3P8PN08|A0A3P8PN08_ASTCA Reverse transcriptase domain-containing protein OS=Astatotilapia calliptera OX=8154 PE=4 SV=1</t>
        </is>
      </c>
      <c r="M5202" t="n">
        <v>1272</v>
      </c>
      <c r="N5202" t="inlineStr">
        <is>
          <t>Astatotilapia calliptera</t>
        </is>
      </c>
      <c r="O5202" t="inlineStr">
        <is>
          <t>Reverse transcriptase domain-containing protein</t>
        </is>
      </c>
    </row>
    <row r="5203">
      <c r="A5203" t="inlineStr"/>
      <c r="B5203" t="inlineStr"/>
      <c r="C5203" t="inlineStr"/>
      <c r="D5203" t="inlineStr"/>
      <c r="E5203">
        <f>HYPERLINK("https://www.uniprot.org/uniprotkb/A0A3B3HXP2/entry", "A0A3B3HXP2")</f>
        <v/>
      </c>
      <c r="F5203" t="n">
        <v>31</v>
      </c>
      <c r="G5203" t="n">
        <v>1288</v>
      </c>
      <c r="H5203" t="n">
        <v>8.74e-178</v>
      </c>
      <c r="I5203" t="inlineStr">
        <is>
          <t>TrEMBL</t>
        </is>
      </c>
      <c r="J5203" t="inlineStr"/>
      <c r="K5203" t="inlineStr">
        <is>
          <t>A0A3B3HXP2_ORYLA</t>
        </is>
      </c>
      <c r="L5203" t="inlineStr">
        <is>
          <t>tr|A0A3B3HXP2|A0A3B3HXP2_ORYLA Reverse transcriptase domain-containing protein OS=Oryzias latipes OX=8090 PE=4 SV=1</t>
        </is>
      </c>
      <c r="M5203" t="n">
        <v>1249</v>
      </c>
      <c r="N5203" t="inlineStr">
        <is>
          <t>Oryzias latipes</t>
        </is>
      </c>
      <c r="O5203" t="inlineStr">
        <is>
          <t>Reverse transcriptase domain-containing protein</t>
        </is>
      </c>
    </row>
    <row r="5204">
      <c r="A5204" t="inlineStr"/>
      <c r="B5204" t="inlineStr"/>
      <c r="C5204" t="inlineStr"/>
      <c r="D5204" t="inlineStr"/>
      <c r="E5204">
        <f>HYPERLINK("https://www.uniprot.org/uniprotkb/A0A3P8QX47/entry", "A0A3P8QX47")</f>
        <v/>
      </c>
      <c r="F5204" t="n">
        <v>30.1</v>
      </c>
      <c r="G5204" t="n">
        <v>1281</v>
      </c>
      <c r="H5204" t="n">
        <v>1.09e-177</v>
      </c>
      <c r="I5204" t="inlineStr">
        <is>
          <t>TrEMBL</t>
        </is>
      </c>
      <c r="J5204" t="inlineStr"/>
      <c r="K5204" t="inlineStr">
        <is>
          <t>A0A3P8QX47_ASTCA</t>
        </is>
      </c>
      <c r="L5204" t="inlineStr">
        <is>
          <t>tr|A0A3P8QX47|A0A3P8QX47_ASTCA Reverse transcriptase domain-containing protein OS=Astatotilapia calliptera OX=8154 PE=4 SV=1</t>
        </is>
      </c>
      <c r="M5204" t="n">
        <v>1272</v>
      </c>
      <c r="N5204" t="inlineStr">
        <is>
          <t>Astatotilapia calliptera</t>
        </is>
      </c>
      <c r="O5204" t="inlineStr">
        <is>
          <t>Reverse transcriptase domain-containing protein</t>
        </is>
      </c>
    </row>
    <row r="5205">
      <c r="A5205" t="inlineStr"/>
      <c r="B5205" t="inlineStr"/>
      <c r="C5205" t="inlineStr"/>
      <c r="D5205" t="inlineStr"/>
      <c r="E5205">
        <f>HYPERLINK("https://www.uniprot.org/uniprotkb/A0A0G2KJS8/entry", "A0A0G2KJS8")</f>
        <v/>
      </c>
      <c r="F5205" t="n">
        <v>31.3</v>
      </c>
      <c r="G5205" t="n">
        <v>1239</v>
      </c>
      <c r="H5205" t="n">
        <v>1.49e-177</v>
      </c>
      <c r="I5205" t="inlineStr">
        <is>
          <t>TrEMBL</t>
        </is>
      </c>
      <c r="J5205" t="inlineStr"/>
      <c r="K5205" t="inlineStr">
        <is>
          <t>A0A0G2KJS8_DANRE</t>
        </is>
      </c>
      <c r="L5205" t="inlineStr">
        <is>
          <t>tr|A0A0G2KJS8|A0A0G2KJS8_DANRE Reverse transcriptase domain-containing protein OS=Danio rerio OX=7955 PE=4 SV=2</t>
        </is>
      </c>
      <c r="M5205" t="n">
        <v>1271</v>
      </c>
      <c r="N5205" t="inlineStr">
        <is>
          <t>Danio rerio</t>
        </is>
      </c>
      <c r="O5205" t="inlineStr">
        <is>
          <t>Reverse transcriptase domain-containing protein</t>
        </is>
      </c>
    </row>
    <row r="5206">
      <c r="A5206" t="inlineStr"/>
      <c r="B5206" t="inlineStr"/>
      <c r="C5206" t="inlineStr"/>
      <c r="D5206" t="inlineStr"/>
      <c r="E5206">
        <f>HYPERLINK("https://www.ncbi.nlm.nih.gov/gene/?term=CAI5681002.1", "CAI5681002.1")</f>
        <v/>
      </c>
      <c r="F5206" t="n">
        <v>29.9</v>
      </c>
      <c r="G5206" t="n">
        <v>1279</v>
      </c>
      <c r="H5206" t="n">
        <v>1.96e-177</v>
      </c>
      <c r="I5206" t="inlineStr">
        <is>
          <t>Nr</t>
        </is>
      </c>
      <c r="J5206" t="inlineStr"/>
      <c r="K5206" t="inlineStr"/>
      <c r="L5206" t="inlineStr">
        <is>
          <t>CAI5681002.1 unnamed protein product [Mustela putorius furo]</t>
        </is>
      </c>
      <c r="M5206" t="n">
        <v>1271</v>
      </c>
      <c r="N5206" t="inlineStr">
        <is>
          <t>Mustela putorius furo</t>
        </is>
      </c>
      <c r="O5206" t="inlineStr">
        <is>
          <t>unnamed protein product</t>
        </is>
      </c>
    </row>
    <row r="5207">
      <c r="A5207" t="inlineStr"/>
      <c r="B5207" t="inlineStr"/>
      <c r="C5207" t="inlineStr"/>
      <c r="D5207" t="inlineStr"/>
      <c r="E5207">
        <f>HYPERLINK("https://www.uniprot.org/uniprotkb/A0A671UBK4/entry", "A0A671UBK4")</f>
        <v/>
      </c>
      <c r="F5207" t="n">
        <v>31.3</v>
      </c>
      <c r="G5207" t="n">
        <v>1235</v>
      </c>
      <c r="H5207" t="n">
        <v>2.52e-177</v>
      </c>
      <c r="I5207" t="inlineStr">
        <is>
          <t>TrEMBL</t>
        </is>
      </c>
      <c r="J5207" t="inlineStr"/>
      <c r="K5207" t="inlineStr">
        <is>
          <t>A0A671UBK4_SPAAU</t>
        </is>
      </c>
      <c r="L5207" t="inlineStr">
        <is>
          <t>tr|A0A671UBK4|A0A671UBK4_SPAAU Reverse transcriptase domain-containing protein OS=Sparus aurata OX=8175 PE=4 SV=1</t>
        </is>
      </c>
      <c r="M5207" t="n">
        <v>1265</v>
      </c>
      <c r="N5207" t="inlineStr">
        <is>
          <t>Sparus aurata</t>
        </is>
      </c>
      <c r="O5207" t="inlineStr">
        <is>
          <t>Reverse transcriptase domain-containing protein</t>
        </is>
      </c>
    </row>
    <row r="5208">
      <c r="A5208" t="inlineStr"/>
      <c r="B5208" t="inlineStr"/>
      <c r="C5208" t="inlineStr"/>
      <c r="D5208" t="inlineStr"/>
      <c r="E5208">
        <f>HYPERLINK("https://www.uniprot.org/uniprotkb/A0A3P9KG44/entry", "A0A3P9KG44")</f>
        <v/>
      </c>
      <c r="F5208" t="n">
        <v>31</v>
      </c>
      <c r="G5208" t="n">
        <v>1289</v>
      </c>
      <c r="H5208" t="n">
        <v>5.29e-177</v>
      </c>
      <c r="I5208" t="inlineStr">
        <is>
          <t>TrEMBL</t>
        </is>
      </c>
      <c r="J5208" t="inlineStr"/>
      <c r="K5208" t="inlineStr">
        <is>
          <t>A0A3P9KG44_ORYLA</t>
        </is>
      </c>
      <c r="L5208" t="inlineStr">
        <is>
          <t>tr|A0A3P9KG44|A0A3P9KG44_ORYLA Reverse transcriptase domain-containing protein OS=Oryzias latipes OX=8090 PE=4 SV=1</t>
        </is>
      </c>
      <c r="M5208" t="n">
        <v>1268</v>
      </c>
      <c r="N5208" t="inlineStr">
        <is>
          <t>Oryzias latipes</t>
        </is>
      </c>
      <c r="O5208" t="inlineStr">
        <is>
          <t>Reverse transcriptase domain-containing protein</t>
        </is>
      </c>
    </row>
    <row r="5209">
      <c r="A5209" t="inlineStr"/>
      <c r="B5209" t="inlineStr"/>
      <c r="C5209" t="inlineStr"/>
      <c r="D5209" t="inlineStr"/>
      <c r="E5209">
        <f>HYPERLINK("https://www.uniprot.org/uniprotkb/A0A3Q3H395/entry", "A0A3Q3H395")</f>
        <v/>
      </c>
      <c r="F5209" t="n">
        <v>31.3</v>
      </c>
      <c r="G5209" t="n">
        <v>1247</v>
      </c>
      <c r="H5209" t="n">
        <v>9.81e-177</v>
      </c>
      <c r="I5209" t="inlineStr">
        <is>
          <t>TrEMBL</t>
        </is>
      </c>
      <c r="J5209" t="inlineStr"/>
      <c r="K5209" t="inlineStr">
        <is>
          <t>A0A3Q3H395_KRYMA</t>
        </is>
      </c>
      <c r="L5209" t="inlineStr">
        <is>
          <t>tr|A0A3Q3H395|A0A3Q3H395_KRYMA Reverse transcriptase domain-containing protein OS=Kryptolebias marmoratus OX=37003 PE=4 SV=1</t>
        </is>
      </c>
      <c r="M5209" t="n">
        <v>1252</v>
      </c>
      <c r="N5209" t="inlineStr">
        <is>
          <t>Kryptolebias marmoratus</t>
        </is>
      </c>
      <c r="O5209" t="inlineStr">
        <is>
          <t>Reverse transcriptase domain-containing protein</t>
        </is>
      </c>
    </row>
    <row r="5210">
      <c r="A5210" t="inlineStr"/>
      <c r="B5210" t="inlineStr"/>
      <c r="C5210" t="inlineStr"/>
      <c r="D5210" t="inlineStr"/>
      <c r="E5210">
        <f>HYPERLINK("https://www.uniprot.org/uniprotkb/A0A3P9JW71/entry", "A0A3P9JW71")</f>
        <v/>
      </c>
      <c r="F5210" t="n">
        <v>32.3</v>
      </c>
      <c r="G5210" t="n">
        <v>1276</v>
      </c>
      <c r="H5210" t="n">
        <v>1.46e-176</v>
      </c>
      <c r="I5210" t="inlineStr">
        <is>
          <t>TrEMBL</t>
        </is>
      </c>
      <c r="J5210" t="inlineStr"/>
      <c r="K5210" t="inlineStr">
        <is>
          <t>A0A3P9JW71_ORYLA</t>
        </is>
      </c>
      <c r="L5210" t="inlineStr">
        <is>
          <t>tr|A0A3P9JW71|A0A3P9JW71_ORYLA Reverse transcriptase domain-containing protein OS=Oryzias latipes OX=8090 PE=4 SV=1</t>
        </is>
      </c>
      <c r="M5210" t="n">
        <v>1429</v>
      </c>
      <c r="N5210" t="inlineStr">
        <is>
          <t>Oryzias latipes</t>
        </is>
      </c>
      <c r="O5210" t="inlineStr">
        <is>
          <t>Reverse transcriptase domain-containing protein</t>
        </is>
      </c>
    </row>
    <row r="5211">
      <c r="A5211" t="inlineStr"/>
      <c r="B5211" t="inlineStr"/>
      <c r="C5211" t="inlineStr"/>
      <c r="D5211" t="inlineStr"/>
      <c r="E5211">
        <f>HYPERLINK("https://www.uniprot.org/uniprotkb/A0A671TE01/entry", "A0A671TE01")</f>
        <v/>
      </c>
      <c r="F5211" t="n">
        <v>32</v>
      </c>
      <c r="G5211" t="n">
        <v>1184</v>
      </c>
      <c r="H5211" t="n">
        <v>1.59e-176</v>
      </c>
      <c r="I5211" t="inlineStr">
        <is>
          <t>TrEMBL</t>
        </is>
      </c>
      <c r="J5211" t="inlineStr"/>
      <c r="K5211" t="inlineStr">
        <is>
          <t>A0A671TE01_SPAAU</t>
        </is>
      </c>
      <c r="L5211" t="inlineStr">
        <is>
          <t>tr|A0A671TE01|A0A671TE01_SPAAU Reverse transcriptase domain-containing protein OS=Sparus aurata OX=8175 PE=4 SV=1</t>
        </is>
      </c>
      <c r="M5211" t="n">
        <v>1258</v>
      </c>
      <c r="N5211" t="inlineStr">
        <is>
          <t>Sparus aurata</t>
        </is>
      </c>
      <c r="O5211" t="inlineStr">
        <is>
          <t>Reverse transcriptase domain-containing protein</t>
        </is>
      </c>
    </row>
    <row r="5212">
      <c r="A5212" t="inlineStr"/>
      <c r="B5212" t="inlineStr"/>
      <c r="C5212" t="inlineStr"/>
      <c r="D5212" t="inlineStr"/>
      <c r="E5212">
        <f>HYPERLINK("https://www.uniprot.org/uniprotkb/A0A8C5DXS4/entry", "A0A8C5DXS4")</f>
        <v/>
      </c>
      <c r="F5212" t="n">
        <v>30.3</v>
      </c>
      <c r="G5212" t="n">
        <v>1286</v>
      </c>
      <c r="H5212" t="n">
        <v>3.1e-176</v>
      </c>
      <c r="I5212" t="inlineStr">
        <is>
          <t>TrEMBL</t>
        </is>
      </c>
      <c r="J5212" t="inlineStr"/>
      <c r="K5212" t="inlineStr">
        <is>
          <t>A0A8C5DXS4_9TELE</t>
        </is>
      </c>
      <c r="L5212" t="inlineStr">
        <is>
          <t>tr|A0A8C5DXS4|A0A8C5DXS4_9TELE Reverse transcriptase domain-containing protein OS=Gouania willdenowi OX=441366 PE=4 SV=1</t>
        </is>
      </c>
      <c r="M5212" t="n">
        <v>1258</v>
      </c>
      <c r="N5212" t="inlineStr">
        <is>
          <t>Gouania willdenowi</t>
        </is>
      </c>
      <c r="O5212" t="inlineStr">
        <is>
          <t>Reverse transcriptase domain-containing protein</t>
        </is>
      </c>
    </row>
    <row r="5213">
      <c r="A5213" t="inlineStr"/>
      <c r="B5213" t="inlineStr"/>
      <c r="C5213" t="inlineStr"/>
      <c r="D5213" t="inlineStr"/>
      <c r="E5213">
        <f>HYPERLINK("https://www.uniprot.org/uniprotkb/A0A8C5DLE0/entry", "A0A8C5DLE0")</f>
        <v/>
      </c>
      <c r="F5213" t="n">
        <v>30.3</v>
      </c>
      <c r="G5213" t="n">
        <v>1286</v>
      </c>
      <c r="H5213" t="n">
        <v>3.1e-176</v>
      </c>
      <c r="I5213" t="inlineStr">
        <is>
          <t>TrEMBL</t>
        </is>
      </c>
      <c r="J5213" t="inlineStr"/>
      <c r="K5213" t="inlineStr">
        <is>
          <t>A0A8C5DLE0_9TELE</t>
        </is>
      </c>
      <c r="L5213" t="inlineStr">
        <is>
          <t>tr|A0A8C5DLE0|A0A8C5DLE0_9TELE Reverse transcriptase domain-containing protein OS=Gouania willdenowi OX=441366 PE=4 SV=1</t>
        </is>
      </c>
      <c r="M5213" t="n">
        <v>1258</v>
      </c>
      <c r="N5213" t="inlineStr">
        <is>
          <t>Gouania willdenowi</t>
        </is>
      </c>
      <c r="O5213" t="inlineStr">
        <is>
          <t>Reverse transcriptase domain-containing protein</t>
        </is>
      </c>
    </row>
    <row r="5214">
      <c r="A5214" t="inlineStr"/>
      <c r="B5214" t="inlineStr"/>
      <c r="C5214" t="inlineStr"/>
      <c r="D5214" t="inlineStr"/>
      <c r="E5214">
        <f>HYPERLINK("https://www.uniprot.org/uniprotkb/A0A8C7ZH32/entry", "A0A8C7ZH32")</f>
        <v/>
      </c>
      <c r="F5214" t="n">
        <v>31.8</v>
      </c>
      <c r="G5214" t="n">
        <v>1297</v>
      </c>
      <c r="H5214" t="n">
        <v>5.63e-176</v>
      </c>
      <c r="I5214" t="inlineStr">
        <is>
          <t>TrEMBL</t>
        </is>
      </c>
      <c r="J5214" t="inlineStr"/>
      <c r="K5214" t="inlineStr">
        <is>
          <t>A0A8C7ZH32_9TELE</t>
        </is>
      </c>
      <c r="L5214" t="inlineStr">
        <is>
          <t>tr|A0A8C7ZH32|A0A8C7ZH32_9TELE Reverse transcriptase domain-containing protein OS=Oryzias sinensis OX=183150 PE=4 SV=1</t>
        </is>
      </c>
      <c r="M5214" t="n">
        <v>1255</v>
      </c>
      <c r="N5214" t="inlineStr">
        <is>
          <t>Oryzias sinensis</t>
        </is>
      </c>
      <c r="O5214" t="inlineStr">
        <is>
          <t>Reverse transcriptase domain-containing protein</t>
        </is>
      </c>
    </row>
    <row r="5215">
      <c r="A5215" t="inlineStr"/>
      <c r="B5215" t="inlineStr"/>
      <c r="C5215" t="inlineStr"/>
      <c r="D5215" t="inlineStr"/>
      <c r="E5215">
        <f>HYPERLINK("https://www.ncbi.nlm.nih.gov/gene/?term=KAJ0061406.1", "KAJ0061406.1")</f>
        <v/>
      </c>
      <c r="F5215" t="n">
        <v>30.8</v>
      </c>
      <c r="G5215" t="n">
        <v>1278</v>
      </c>
      <c r="H5215" t="n">
        <v>1.25e-172</v>
      </c>
      <c r="I5215" t="inlineStr">
        <is>
          <t>Nr</t>
        </is>
      </c>
      <c r="J5215" t="inlineStr"/>
      <c r="K5215" t="inlineStr"/>
      <c r="L5215" t="inlineStr">
        <is>
          <t>KAJ0061406.1 hypothetical protein NL108_018634 [Boleophthalmus pectinirostris]</t>
        </is>
      </c>
      <c r="M5215" t="n">
        <v>1258</v>
      </c>
      <c r="N5215" t="inlineStr">
        <is>
          <t>Boleophthalmus pectinirostris</t>
        </is>
      </c>
      <c r="O5215" t="inlineStr">
        <is>
          <t>hypothetical protein NL108_018634</t>
        </is>
      </c>
    </row>
    <row r="5216">
      <c r="A5216" t="inlineStr"/>
      <c r="B5216" t="inlineStr"/>
      <c r="C5216" t="inlineStr"/>
      <c r="D5216" t="inlineStr"/>
      <c r="E5216">
        <f>HYPERLINK("https://www.ncbi.nlm.nih.gov/gene/?term=XP_040189976.1", "XP_040189976.1")</f>
        <v/>
      </c>
      <c r="F5216" t="n">
        <v>32.1</v>
      </c>
      <c r="G5216" t="n">
        <v>1132</v>
      </c>
      <c r="H5216" t="n">
        <v>1.74e-170</v>
      </c>
      <c r="I5216" t="inlineStr">
        <is>
          <t>Nr</t>
        </is>
      </c>
      <c r="J5216" t="inlineStr"/>
      <c r="K5216" t="inlineStr"/>
      <c r="L5216" t="inlineStr">
        <is>
          <t>XP_040189976.1 LOW QUALITY PROTEIN: uncharacterized protein LOC120921543 [Rana temporaria]</t>
        </is>
      </c>
      <c r="M5216" t="n">
        <v>2537</v>
      </c>
      <c r="N5216" t="inlineStr">
        <is>
          <t>Rana temporaria</t>
        </is>
      </c>
      <c r="O5216" t="inlineStr">
        <is>
          <t>LOW QUALITY PROTEIN: uncharacterized protein LOC120921543</t>
        </is>
      </c>
    </row>
    <row r="5217">
      <c r="A5217" t="inlineStr"/>
      <c r="B5217" t="inlineStr"/>
      <c r="C5217" t="inlineStr"/>
      <c r="D5217" t="inlineStr"/>
      <c r="E5217">
        <f>HYPERLINK("https://www.ncbi.nlm.nih.gov/gene/?term=KAJ0001769.1", "KAJ0001769.1")</f>
        <v/>
      </c>
      <c r="F5217" t="n">
        <v>31.5</v>
      </c>
      <c r="G5217" t="n">
        <v>1171</v>
      </c>
      <c r="H5217" t="n">
        <v>1.23e-166</v>
      </c>
      <c r="I5217" t="inlineStr">
        <is>
          <t>Nr</t>
        </is>
      </c>
      <c r="J5217" t="inlineStr"/>
      <c r="K5217" t="inlineStr"/>
      <c r="L5217" t="inlineStr">
        <is>
          <t>KAJ0001769.1 hypothetical protein NQD34_001565 [Periophthalmus magnuspinnatus]</t>
        </is>
      </c>
      <c r="M5217" t="n">
        <v>1263</v>
      </c>
      <c r="N5217" t="inlineStr">
        <is>
          <t>Periophthalmus magnuspinnatus</t>
        </is>
      </c>
      <c r="O5217" t="inlineStr">
        <is>
          <t>hypothetical protein NQD34_001565</t>
        </is>
      </c>
    </row>
    <row r="5218">
      <c r="A5218" t="inlineStr"/>
      <c r="B5218" t="inlineStr"/>
      <c r="C5218" t="inlineStr"/>
      <c r="D5218" t="inlineStr"/>
      <c r="E5218">
        <f>HYPERLINK("https://www.ncbi.nlm.nih.gov/gene/?term=CAI5669518.1", "CAI5669518.1")</f>
        <v/>
      </c>
      <c r="F5218" t="n">
        <v>29.4</v>
      </c>
      <c r="G5218" t="n">
        <v>1298</v>
      </c>
      <c r="H5218" t="n">
        <v>2.57e-166</v>
      </c>
      <c r="I5218" t="inlineStr">
        <is>
          <t>Nr</t>
        </is>
      </c>
      <c r="J5218" t="inlineStr"/>
      <c r="K5218" t="inlineStr"/>
      <c r="L5218" t="inlineStr">
        <is>
          <t>CAI5669518.1 unnamed protein product [Mustela putorius furo]</t>
        </is>
      </c>
      <c r="M5218" t="n">
        <v>1266</v>
      </c>
      <c r="N5218" t="inlineStr">
        <is>
          <t>Mustela putorius furo</t>
        </is>
      </c>
      <c r="O5218" t="inlineStr">
        <is>
          <t>unnamed protein product</t>
        </is>
      </c>
    </row>
    <row r="5219">
      <c r="A5219" t="inlineStr"/>
      <c r="B5219" t="inlineStr"/>
      <c r="C5219" t="inlineStr"/>
      <c r="D5219" t="inlineStr"/>
      <c r="E5219">
        <f>HYPERLINK("https://www.ncbi.nlm.nih.gov/gene/?term=KAA0709662.1", "KAA0709662.1")</f>
        <v/>
      </c>
      <c r="F5219" t="n">
        <v>30.6</v>
      </c>
      <c r="G5219" t="n">
        <v>1290</v>
      </c>
      <c r="H5219" t="n">
        <v>4.33e-165</v>
      </c>
      <c r="I5219" t="inlineStr">
        <is>
          <t>Nr</t>
        </is>
      </c>
      <c r="J5219" t="inlineStr"/>
      <c r="K5219" t="inlineStr"/>
      <c r="L5219" t="inlineStr">
        <is>
          <t>KAA0709662.1 LINE-1 reverse transcriptase -like protein [Triplophysa tibetana]</t>
        </is>
      </c>
      <c r="M5219" t="n">
        <v>1273</v>
      </c>
      <c r="N5219" t="inlineStr">
        <is>
          <t>Triplophysa tibetana</t>
        </is>
      </c>
      <c r="O5219" t="inlineStr">
        <is>
          <t>LINE-1 reverse transcriptase -like protein</t>
        </is>
      </c>
    </row>
    <row r="5220">
      <c r="A5220" t="inlineStr"/>
      <c r="B5220" t="inlineStr"/>
      <c r="C5220" t="inlineStr"/>
      <c r="D5220" t="inlineStr"/>
      <c r="E5220">
        <f>HYPERLINK("https://www.ncbi.nlm.nih.gov/gene/?term=KAA0723022.1", "KAA0723022.1")</f>
        <v/>
      </c>
      <c r="F5220" t="n">
        <v>30.6</v>
      </c>
      <c r="G5220" t="n">
        <v>1290</v>
      </c>
      <c r="H5220" t="n">
        <v>8.42e-165</v>
      </c>
      <c r="I5220" t="inlineStr">
        <is>
          <t>Nr</t>
        </is>
      </c>
      <c r="J5220" t="inlineStr"/>
      <c r="K5220" t="inlineStr"/>
      <c r="L5220" t="inlineStr">
        <is>
          <t>KAA0723022.1 LINE-1 reverse transcriptase -like protein [Triplophysa tibetana]</t>
        </is>
      </c>
      <c r="M5220" t="n">
        <v>1273</v>
      </c>
      <c r="N5220" t="inlineStr">
        <is>
          <t>Triplophysa tibetana</t>
        </is>
      </c>
      <c r="O5220" t="inlineStr">
        <is>
          <t>LINE-1 reverse transcriptase -like protein</t>
        </is>
      </c>
    </row>
    <row r="5221">
      <c r="A5221" t="inlineStr"/>
      <c r="B5221" t="inlineStr"/>
      <c r="C5221" t="inlineStr"/>
      <c r="D5221" t="inlineStr"/>
      <c r="E5221">
        <f>HYPERLINK("https://www.ncbi.nlm.nih.gov/gene/?term=KAA0701525.1", "KAA0701525.1")</f>
        <v/>
      </c>
      <c r="F5221" t="n">
        <v>30.5</v>
      </c>
      <c r="G5221" t="n">
        <v>1290</v>
      </c>
      <c r="H5221" t="n">
        <v>4.44e-164</v>
      </c>
      <c r="I5221" t="inlineStr">
        <is>
          <t>Nr</t>
        </is>
      </c>
      <c r="J5221" t="inlineStr"/>
      <c r="K5221" t="inlineStr"/>
      <c r="L5221" t="inlineStr">
        <is>
          <t>KAA0701525.1 LINE-1 reverse transcriptase -like protein [Triplophysa tibetana]</t>
        </is>
      </c>
      <c r="M5221" t="n">
        <v>1273</v>
      </c>
      <c r="N5221" t="inlineStr">
        <is>
          <t>Triplophysa tibetana</t>
        </is>
      </c>
      <c r="O5221" t="inlineStr">
        <is>
          <t>LINE-1 reverse transcriptase -like protein</t>
        </is>
      </c>
    </row>
    <row r="5222">
      <c r="A5222" t="inlineStr"/>
      <c r="B5222" t="inlineStr"/>
      <c r="C5222" t="inlineStr"/>
      <c r="D5222" t="inlineStr"/>
      <c r="E5222">
        <f>HYPERLINK("https://www.ncbi.nlm.nih.gov/gene/?term=KAI5630257.1", "KAI5630257.1")</f>
        <v/>
      </c>
      <c r="F5222" t="n">
        <v>31.8</v>
      </c>
      <c r="G5222" t="n">
        <v>1031</v>
      </c>
      <c r="H5222" t="n">
        <v>4.650000000000001e-163</v>
      </c>
      <c r="I5222" t="inlineStr">
        <is>
          <t>Nr</t>
        </is>
      </c>
      <c r="J5222" t="inlineStr"/>
      <c r="K5222" t="inlineStr"/>
      <c r="L5222" t="inlineStr">
        <is>
          <t>KAI5630257.1 hypothetical protein C0J50_10332, partial [Silurus asotus]</t>
        </is>
      </c>
      <c r="M5222" t="n">
        <v>1016</v>
      </c>
      <c r="N5222" t="inlineStr">
        <is>
          <t>Silurus asotus</t>
        </is>
      </c>
      <c r="O5222" t="inlineStr">
        <is>
          <t>hypothetical protein C0J50_10332, partial</t>
        </is>
      </c>
    </row>
    <row r="5223">
      <c r="A5223" t="inlineStr"/>
      <c r="B5223" t="inlineStr"/>
      <c r="C5223" t="inlineStr"/>
      <c r="D5223" t="inlineStr"/>
      <c r="E5223">
        <f>HYPERLINK("https://www.ncbi.nlm.nih.gov/gene/?term=CAI5667737.1", "CAI5667737.1")</f>
        <v/>
      </c>
      <c r="F5223" t="n">
        <v>30.1</v>
      </c>
      <c r="G5223" t="n">
        <v>1298</v>
      </c>
      <c r="H5223" t="n">
        <v>6.21e-162</v>
      </c>
      <c r="I5223" t="inlineStr">
        <is>
          <t>Nr</t>
        </is>
      </c>
      <c r="J5223" t="inlineStr"/>
      <c r="K5223" t="inlineStr"/>
      <c r="L5223" t="inlineStr">
        <is>
          <t>CAI5667737.1 unnamed protein product [Mustela putorius furo]</t>
        </is>
      </c>
      <c r="M5223" t="n">
        <v>1271</v>
      </c>
      <c r="N5223" t="inlineStr">
        <is>
          <t>Mustela putorius furo</t>
        </is>
      </c>
      <c r="O5223" t="inlineStr">
        <is>
          <t>unnamed protein product</t>
        </is>
      </c>
    </row>
    <row r="5224">
      <c r="A5224" t="inlineStr"/>
      <c r="B5224" t="inlineStr"/>
      <c r="C5224" t="inlineStr"/>
      <c r="D5224" t="inlineStr"/>
      <c r="E5224">
        <f>HYPERLINK("https://www.ncbi.nlm.nih.gov/gene/?term=KAI5628117.1", "KAI5628117.1")</f>
        <v/>
      </c>
      <c r="F5224" t="n">
        <v>31.8</v>
      </c>
      <c r="G5224" t="n">
        <v>1022</v>
      </c>
      <c r="H5224" t="n">
        <v>1.07e-158</v>
      </c>
      <c r="I5224" t="inlineStr">
        <is>
          <t>Nr</t>
        </is>
      </c>
      <c r="J5224" t="inlineStr"/>
      <c r="K5224" t="inlineStr"/>
      <c r="L5224" t="inlineStr">
        <is>
          <t>KAI5628117.1 hypothetical protein C0J50_8261, partial [Silurus asotus]</t>
        </is>
      </c>
      <c r="M5224" t="n">
        <v>1003</v>
      </c>
      <c r="N5224" t="inlineStr">
        <is>
          <t>Silurus asotus</t>
        </is>
      </c>
      <c r="O5224" t="inlineStr">
        <is>
          <t>hypothetical protein C0J50_8261, partial</t>
        </is>
      </c>
    </row>
    <row r="5225">
      <c r="A5225" t="inlineStr"/>
      <c r="B5225" t="inlineStr"/>
      <c r="C5225" t="inlineStr"/>
      <c r="D5225" t="inlineStr"/>
      <c r="E5225">
        <f>HYPERLINK("https://www.ncbi.nlm.nih.gov/gene/?term=MBN3292380.1", "MBN3292380.1")</f>
        <v/>
      </c>
      <c r="F5225" t="n">
        <v>29.1</v>
      </c>
      <c r="G5225" t="n">
        <v>1286</v>
      </c>
      <c r="H5225" t="n">
        <v>1.46e-157</v>
      </c>
      <c r="I5225" t="inlineStr">
        <is>
          <t>Nr</t>
        </is>
      </c>
      <c r="J5225" t="inlineStr"/>
      <c r="K5225" t="inlineStr"/>
      <c r="L5225" t="inlineStr">
        <is>
          <t>MBN3292380.1 LIN1 transcriptase [Polypterus senegalus]</t>
        </is>
      </c>
      <c r="M5225" t="n">
        <v>1261</v>
      </c>
      <c r="N5225" t="inlineStr">
        <is>
          <t>Polypterus senegalus</t>
        </is>
      </c>
      <c r="O5225" t="inlineStr">
        <is>
          <t>LIN1 transcriptase</t>
        </is>
      </c>
    </row>
    <row r="5226">
      <c r="A5226" t="inlineStr"/>
      <c r="B5226" t="inlineStr"/>
      <c r="C5226" t="inlineStr"/>
      <c r="D5226" t="inlineStr"/>
      <c r="E5226">
        <f>HYPERLINK("https://www.ncbi.nlm.nih.gov/gene/?term=MBN3289182.1", "MBN3289182.1")</f>
        <v/>
      </c>
      <c r="F5226" t="n">
        <v>29.1</v>
      </c>
      <c r="G5226" t="n">
        <v>1286</v>
      </c>
      <c r="H5226" t="n">
        <v>2.03e-157</v>
      </c>
      <c r="I5226" t="inlineStr">
        <is>
          <t>Nr</t>
        </is>
      </c>
      <c r="J5226" t="inlineStr"/>
      <c r="K5226" t="inlineStr"/>
      <c r="L5226" t="inlineStr">
        <is>
          <t>MBN3289182.1 LIN1 transcriptase [Polypterus senegalus]</t>
        </is>
      </c>
      <c r="M5226" t="n">
        <v>1261</v>
      </c>
      <c r="N5226" t="inlineStr">
        <is>
          <t>Polypterus senegalus</t>
        </is>
      </c>
      <c r="O5226" t="inlineStr">
        <is>
          <t>LIN1 transcriptase</t>
        </is>
      </c>
    </row>
    <row r="5227">
      <c r="A5227" t="inlineStr"/>
      <c r="B5227" t="inlineStr"/>
      <c r="C5227" t="inlineStr"/>
      <c r="D5227" t="inlineStr"/>
      <c r="E5227">
        <f>HYPERLINK("https://www.ncbi.nlm.nih.gov/gene/?term=MBN3292949.1", "MBN3292949.1")</f>
        <v/>
      </c>
      <c r="F5227" t="n">
        <v>29.1</v>
      </c>
      <c r="G5227" t="n">
        <v>1286</v>
      </c>
      <c r="H5227" t="n">
        <v>2.48e-157</v>
      </c>
      <c r="I5227" t="inlineStr">
        <is>
          <t>Nr</t>
        </is>
      </c>
      <c r="J5227" t="inlineStr"/>
      <c r="K5227" t="inlineStr"/>
      <c r="L5227" t="inlineStr">
        <is>
          <t>MBN3292949.1 LIN1 transcriptase [Polypterus senegalus]</t>
        </is>
      </c>
      <c r="M5227" t="n">
        <v>1270</v>
      </c>
      <c r="N5227" t="inlineStr">
        <is>
          <t>Polypterus senegalus</t>
        </is>
      </c>
      <c r="O5227" t="inlineStr">
        <is>
          <t>LIN1 transcriptase</t>
        </is>
      </c>
    </row>
    <row r="5228">
      <c r="A5228" t="inlineStr"/>
      <c r="B5228" t="inlineStr"/>
      <c r="C5228" t="inlineStr"/>
      <c r="D5228" t="inlineStr"/>
      <c r="E5228">
        <f>HYPERLINK("https://www.ncbi.nlm.nih.gov/gene/?term=MBN3290047.1", "MBN3290047.1")</f>
        <v/>
      </c>
      <c r="F5228" t="n">
        <v>29</v>
      </c>
      <c r="G5228" t="n">
        <v>1286</v>
      </c>
      <c r="H5228" t="n">
        <v>2.82e-157</v>
      </c>
      <c r="I5228" t="inlineStr">
        <is>
          <t>Nr</t>
        </is>
      </c>
      <c r="J5228" t="inlineStr"/>
      <c r="K5228" t="inlineStr"/>
      <c r="L5228" t="inlineStr">
        <is>
          <t>MBN3290047.1 LIN1 transcriptase [Polypterus senegalus]</t>
        </is>
      </c>
      <c r="M5228" t="n">
        <v>1261</v>
      </c>
      <c r="N5228" t="inlineStr">
        <is>
          <t>Polypterus senegalus</t>
        </is>
      </c>
      <c r="O5228" t="inlineStr">
        <is>
          <t>LIN1 transcriptase</t>
        </is>
      </c>
    </row>
    <row r="5229">
      <c r="A5229" t="inlineStr"/>
      <c r="B5229" t="inlineStr"/>
      <c r="C5229" t="inlineStr"/>
      <c r="D5229" t="inlineStr"/>
      <c r="E5229">
        <f>HYPERLINK("https://www.ncbi.nlm.nih.gov/gene/?term=MBN3290493.1", "MBN3290493.1")</f>
        <v/>
      </c>
      <c r="F5229" t="n">
        <v>29.1</v>
      </c>
      <c r="G5229" t="n">
        <v>1286</v>
      </c>
      <c r="H5229" t="n">
        <v>2.82e-157</v>
      </c>
      <c r="I5229" t="inlineStr">
        <is>
          <t>Nr</t>
        </is>
      </c>
      <c r="J5229" t="inlineStr"/>
      <c r="K5229" t="inlineStr"/>
      <c r="L5229" t="inlineStr">
        <is>
          <t>MBN3290493.1 LIN1 transcriptase [Polypterus senegalus]</t>
        </is>
      </c>
      <c r="M5229" t="n">
        <v>1261</v>
      </c>
      <c r="N5229" t="inlineStr">
        <is>
          <t>Polypterus senegalus</t>
        </is>
      </c>
      <c r="O5229" t="inlineStr">
        <is>
          <t>LIN1 transcriptase</t>
        </is>
      </c>
    </row>
    <row r="5230">
      <c r="A5230" t="inlineStr"/>
      <c r="B5230" t="inlineStr"/>
      <c r="C5230" t="inlineStr"/>
      <c r="D5230" t="inlineStr"/>
      <c r="E5230">
        <f>HYPERLINK("https://www.ncbi.nlm.nih.gov/gene/?term=MBN3290486.1", "MBN3290486.1")</f>
        <v/>
      </c>
      <c r="F5230" t="n">
        <v>29</v>
      </c>
      <c r="G5230" t="n">
        <v>1286</v>
      </c>
      <c r="H5230" t="n">
        <v>2.82e-157</v>
      </c>
      <c r="I5230" t="inlineStr">
        <is>
          <t>Nr</t>
        </is>
      </c>
      <c r="J5230" t="inlineStr"/>
      <c r="K5230" t="inlineStr"/>
      <c r="L5230" t="inlineStr">
        <is>
          <t>MBN3290486.1 LIN1 transcriptase [Polypterus senegalus]</t>
        </is>
      </c>
      <c r="M5230" t="n">
        <v>1261</v>
      </c>
      <c r="N5230" t="inlineStr">
        <is>
          <t>Polypterus senegalus</t>
        </is>
      </c>
      <c r="O5230" t="inlineStr">
        <is>
          <t>LIN1 transcriptase</t>
        </is>
      </c>
    </row>
    <row r="5231">
      <c r="A5231" t="inlineStr"/>
      <c r="B5231" t="inlineStr"/>
      <c r="C5231" t="inlineStr"/>
      <c r="D5231" t="inlineStr"/>
      <c r="E5231">
        <f>HYPERLINK("https://www.ncbi.nlm.nih.gov/gene/?term=MBN3290511.1", "MBN3290511.1")</f>
        <v/>
      </c>
      <c r="F5231" t="n">
        <v>29.1</v>
      </c>
      <c r="G5231" t="n">
        <v>1286</v>
      </c>
      <c r="H5231" t="n">
        <v>2.82e-157</v>
      </c>
      <c r="I5231" t="inlineStr">
        <is>
          <t>Nr</t>
        </is>
      </c>
      <c r="J5231" t="inlineStr"/>
      <c r="K5231" t="inlineStr"/>
      <c r="L5231" t="inlineStr">
        <is>
          <t>MBN3290511.1 LIN1 transcriptase [Polypterus senegalus]</t>
        </is>
      </c>
      <c r="M5231" t="n">
        <v>1261</v>
      </c>
      <c r="N5231" t="inlineStr">
        <is>
          <t>Polypterus senegalus</t>
        </is>
      </c>
      <c r="O5231" t="inlineStr">
        <is>
          <t>LIN1 transcriptase</t>
        </is>
      </c>
    </row>
    <row r="5232">
      <c r="A5232" t="inlineStr"/>
      <c r="B5232" t="inlineStr"/>
      <c r="C5232" t="inlineStr"/>
      <c r="D5232" t="inlineStr"/>
      <c r="E5232">
        <f>HYPERLINK("https://www.ncbi.nlm.nih.gov/gene/?term=MBN3292226.1", "MBN3292226.1")</f>
        <v/>
      </c>
      <c r="F5232" t="n">
        <v>29</v>
      </c>
      <c r="G5232" t="n">
        <v>1286</v>
      </c>
      <c r="H5232" t="n">
        <v>2.82e-157</v>
      </c>
      <c r="I5232" t="inlineStr">
        <is>
          <t>Nr</t>
        </is>
      </c>
      <c r="J5232" t="inlineStr"/>
      <c r="K5232" t="inlineStr"/>
      <c r="L5232" t="inlineStr">
        <is>
          <t>MBN3292226.1 LIN1 transcriptase [Polypterus senegalus]</t>
        </is>
      </c>
      <c r="M5232" t="n">
        <v>1261</v>
      </c>
      <c r="N5232" t="inlineStr">
        <is>
          <t>Polypterus senegalus</t>
        </is>
      </c>
      <c r="O5232" t="inlineStr">
        <is>
          <t>LIN1 transcriptase</t>
        </is>
      </c>
    </row>
    <row r="5233">
      <c r="A5233" t="inlineStr"/>
      <c r="B5233" t="inlineStr"/>
      <c r="C5233" t="inlineStr"/>
      <c r="D5233" t="inlineStr"/>
      <c r="E5233">
        <f>HYPERLINK("https://www.ncbi.nlm.nih.gov/gene/?term=MBN3293936.1", "MBN3293936.1")</f>
        <v/>
      </c>
      <c r="F5233" t="n">
        <v>29</v>
      </c>
      <c r="G5233" t="n">
        <v>1286</v>
      </c>
      <c r="H5233" t="n">
        <v>3.83e-157</v>
      </c>
      <c r="I5233" t="inlineStr">
        <is>
          <t>Nr</t>
        </is>
      </c>
      <c r="J5233" t="inlineStr"/>
      <c r="K5233" t="inlineStr"/>
      <c r="L5233" t="inlineStr">
        <is>
          <t>MBN3293936.1 LIN1 transcriptase [Polypterus senegalus]</t>
        </is>
      </c>
      <c r="M5233" t="n">
        <v>1245</v>
      </c>
      <c r="N5233" t="inlineStr">
        <is>
          <t>Polypterus senegalus</t>
        </is>
      </c>
      <c r="O5233" t="inlineStr">
        <is>
          <t>LIN1 transcriptase</t>
        </is>
      </c>
    </row>
    <row r="5234">
      <c r="A5234" t="inlineStr"/>
      <c r="B5234" t="inlineStr"/>
      <c r="C5234" t="inlineStr"/>
      <c r="D5234" t="inlineStr"/>
      <c r="E5234">
        <f>HYPERLINK("https://www.ncbi.nlm.nih.gov/gene/?term=MBN3291233.1", "MBN3291233.1")</f>
        <v/>
      </c>
      <c r="F5234" t="n">
        <v>29</v>
      </c>
      <c r="G5234" t="n">
        <v>1286</v>
      </c>
      <c r="H5234" t="n">
        <v>3.930000000000001e-157</v>
      </c>
      <c r="I5234" t="inlineStr">
        <is>
          <t>Nr</t>
        </is>
      </c>
      <c r="J5234" t="inlineStr"/>
      <c r="K5234" t="inlineStr"/>
      <c r="L5234" t="inlineStr">
        <is>
          <t>MBN3291233.1 LIN1 transcriptase [Polypterus senegalus]</t>
        </is>
      </c>
      <c r="M5234" t="n">
        <v>1261</v>
      </c>
      <c r="N5234" t="inlineStr">
        <is>
          <t>Polypterus senegalus</t>
        </is>
      </c>
      <c r="O5234" t="inlineStr">
        <is>
          <t>LIN1 transcriptase</t>
        </is>
      </c>
    </row>
    <row r="5235">
      <c r="A5235" t="inlineStr"/>
      <c r="B5235" t="inlineStr"/>
      <c r="C5235" t="inlineStr"/>
      <c r="D5235" t="inlineStr"/>
      <c r="E5235">
        <f>HYPERLINK("https://www.ncbi.nlm.nih.gov/gene/?term=MBN3291542.1", "MBN3291542.1")</f>
        <v/>
      </c>
      <c r="F5235" t="n">
        <v>29</v>
      </c>
      <c r="G5235" t="n">
        <v>1286</v>
      </c>
      <c r="H5235" t="n">
        <v>3.930000000000001e-157</v>
      </c>
      <c r="I5235" t="inlineStr">
        <is>
          <t>Nr</t>
        </is>
      </c>
      <c r="J5235" t="inlineStr"/>
      <c r="K5235" t="inlineStr"/>
      <c r="L5235" t="inlineStr">
        <is>
          <t>MBN3291542.1 LIN1 transcriptase [Polypterus senegalus]</t>
        </is>
      </c>
      <c r="M5235" t="n">
        <v>1261</v>
      </c>
      <c r="N5235" t="inlineStr">
        <is>
          <t>Polypterus senegalus</t>
        </is>
      </c>
      <c r="O5235" t="inlineStr">
        <is>
          <t>LIN1 transcriptase</t>
        </is>
      </c>
    </row>
    <row r="5236">
      <c r="A5236" t="inlineStr"/>
      <c r="B5236" t="inlineStr"/>
      <c r="C5236" t="inlineStr"/>
      <c r="D5236" t="inlineStr"/>
      <c r="E5236">
        <f>HYPERLINK("https://www.ncbi.nlm.nih.gov/gene/?term=MBN3292044.1", "MBN3292044.1")</f>
        <v/>
      </c>
      <c r="F5236" t="n">
        <v>29</v>
      </c>
      <c r="G5236" t="n">
        <v>1286</v>
      </c>
      <c r="H5236" t="n">
        <v>5.48e-157</v>
      </c>
      <c r="I5236" t="inlineStr">
        <is>
          <t>Nr</t>
        </is>
      </c>
      <c r="J5236" t="inlineStr"/>
      <c r="K5236" t="inlineStr"/>
      <c r="L5236" t="inlineStr">
        <is>
          <t>MBN3292044.1 LIN1 transcriptase [Polypterus senegalus]</t>
        </is>
      </c>
      <c r="M5236" t="n">
        <v>1261</v>
      </c>
      <c r="N5236" t="inlineStr">
        <is>
          <t>Polypterus senegalus</t>
        </is>
      </c>
      <c r="O5236" t="inlineStr">
        <is>
          <t>LIN1 transcriptase</t>
        </is>
      </c>
    </row>
    <row r="5237">
      <c r="A5237" t="inlineStr"/>
      <c r="B5237" t="inlineStr"/>
      <c r="C5237" t="inlineStr"/>
      <c r="D5237" t="inlineStr"/>
      <c r="E5237">
        <f>HYPERLINK("https://www.uniprot.org/uniprotkb/P08548/entry", "P08548")</f>
        <v/>
      </c>
      <c r="F5237" t="n">
        <v>29</v>
      </c>
      <c r="G5237" t="n">
        <v>1271</v>
      </c>
      <c r="H5237" t="n">
        <v>1.18e-132</v>
      </c>
      <c r="I5237" t="inlineStr">
        <is>
          <t>Swiss-Prot</t>
        </is>
      </c>
      <c r="J5237" t="inlineStr"/>
      <c r="K5237" t="inlineStr">
        <is>
          <t>LIN1_NYCCO</t>
        </is>
      </c>
      <c r="L5237" t="inlineStr">
        <is>
          <t>sp|P08548|LIN1_NYCCO LINE-1 reverse transcriptase homolog OS=Nycticebus coucang OX=9470 PE=4 SV=1</t>
        </is>
      </c>
      <c r="M5237" t="n">
        <v>1260</v>
      </c>
      <c r="N5237" t="inlineStr">
        <is>
          <t>Nycticebus coucang</t>
        </is>
      </c>
      <c r="O5237" t="inlineStr">
        <is>
          <t>LINE-1 reverse transcriptase homolog</t>
        </is>
      </c>
    </row>
    <row r="5238">
      <c r="A5238" t="inlineStr"/>
      <c r="B5238" t="inlineStr"/>
      <c r="C5238" t="inlineStr"/>
      <c r="D5238" t="inlineStr"/>
      <c r="E5238">
        <f>HYPERLINK("https://www.uniprot.org/uniprotkb/P11369/entry", "P11369")</f>
        <v/>
      </c>
      <c r="F5238" t="n">
        <v>26.9</v>
      </c>
      <c r="G5238" t="n">
        <v>1281</v>
      </c>
      <c r="H5238" t="n">
        <v>2.53e-126</v>
      </c>
      <c r="I5238" t="inlineStr">
        <is>
          <t>Swiss-Prot</t>
        </is>
      </c>
      <c r="J5238" t="inlineStr">
        <is>
          <t>Pol</t>
        </is>
      </c>
      <c r="K5238" t="inlineStr">
        <is>
          <t>LORF2_MOUSE</t>
        </is>
      </c>
      <c r="L5238" t="inlineStr">
        <is>
          <t>sp|P11369|LORF2_MOUSE LINE-1 retrotransposable element ORF2 protein OS=Mus musculus OX=10090 GN=Pol PE=1 SV=2</t>
        </is>
      </c>
      <c r="M5238" t="n">
        <v>1281</v>
      </c>
      <c r="N5238" t="inlineStr">
        <is>
          <t>Mus musculus</t>
        </is>
      </c>
      <c r="O5238" t="inlineStr">
        <is>
          <t>LINE-1 retrotransposable element ORF2 protein</t>
        </is>
      </c>
    </row>
    <row r="5239">
      <c r="A5239" t="inlineStr"/>
      <c r="B5239" t="inlineStr"/>
      <c r="C5239" t="inlineStr"/>
      <c r="D5239" t="inlineStr"/>
      <c r="E5239">
        <f>HYPERLINK("https://www.uniprot.org/uniprotkb/O00370/entry", "O00370")</f>
        <v/>
      </c>
      <c r="F5239" t="n">
        <v>27.8</v>
      </c>
      <c r="G5239" t="n">
        <v>1185</v>
      </c>
      <c r="H5239" t="n">
        <v>6.960000000000001e-123</v>
      </c>
      <c r="I5239" t="inlineStr">
        <is>
          <t>Swiss-Prot</t>
        </is>
      </c>
      <c r="J5239" t="inlineStr"/>
      <c r="K5239" t="inlineStr">
        <is>
          <t>LORF2_HUMAN</t>
        </is>
      </c>
      <c r="L5239" t="inlineStr">
        <is>
          <t>sp|O00370|LORF2_HUMAN LINE-1 retrotransposable element ORF2 protein OS=Homo sapiens OX=9606 PE=1 SV=1</t>
        </is>
      </c>
      <c r="M5239" t="n">
        <v>1275</v>
      </c>
      <c r="N5239" t="inlineStr">
        <is>
          <t>Homo sapiens</t>
        </is>
      </c>
      <c r="O5239" t="inlineStr">
        <is>
          <t>LINE-1 retrotransposable element ORF2 protein</t>
        </is>
      </c>
    </row>
    <row r="5240">
      <c r="A5240" t="inlineStr"/>
      <c r="B5240" t="inlineStr"/>
      <c r="C5240" t="inlineStr"/>
      <c r="D5240" t="inlineStr"/>
      <c r="E5240">
        <f>HYPERLINK("https://www.uniprot.org/uniprotkb/P14381/entry", "P14381")</f>
        <v/>
      </c>
      <c r="F5240" t="n">
        <v>24.1</v>
      </c>
      <c r="G5240" t="n">
        <v>896</v>
      </c>
      <c r="H5240" t="n">
        <v>3.06e-51</v>
      </c>
      <c r="I5240" t="inlineStr">
        <is>
          <t>Swiss-Prot</t>
        </is>
      </c>
      <c r="J5240" t="inlineStr"/>
      <c r="K5240" t="inlineStr">
        <is>
          <t>YTX2_XENLA</t>
        </is>
      </c>
      <c r="L5240" t="inlineStr">
        <is>
          <t>sp|P14381|YTX2_XENLA Transposon TX1 uncharacterized 149 kDa protein OS=Xenopus laevis OX=8355 PE=4 SV=1</t>
        </is>
      </c>
      <c r="M5240" t="n">
        <v>1308</v>
      </c>
      <c r="N5240" t="inlineStr">
        <is>
          <t>Xenopus laevis</t>
        </is>
      </c>
      <c r="O5240" t="inlineStr">
        <is>
          <t>Transposon TX1 uncharacterized 149 kDa protein</t>
        </is>
      </c>
    </row>
    <row r="5241">
      <c r="A5241" t="inlineStr"/>
      <c r="B5241" t="inlineStr"/>
      <c r="C5241" t="inlineStr"/>
      <c r="D5241" t="inlineStr"/>
      <c r="E5241">
        <f>HYPERLINK("https://www.uniprot.org/uniprotkb/Q03274/entry", "Q03274")</f>
        <v/>
      </c>
      <c r="F5241" t="n">
        <v>26.1</v>
      </c>
      <c r="G5241" t="n">
        <v>398</v>
      </c>
      <c r="H5241" t="n">
        <v>4.28e-16</v>
      </c>
      <c r="I5241" t="inlineStr">
        <is>
          <t>Swiss-Prot</t>
        </is>
      </c>
      <c r="J5241" t="inlineStr"/>
      <c r="K5241" t="inlineStr">
        <is>
          <t>PO22_POPJA</t>
        </is>
      </c>
      <c r="L5241" t="inlineStr">
        <is>
          <t>sp|Q03274|PO22_POPJA Retrovirus-related Pol polyprotein from type-1 retrotransposable element R2 (Fragment) OS=Popillia japonica OX=7064 PE=4 SV=1</t>
        </is>
      </c>
      <c r="M5241" t="n">
        <v>711</v>
      </c>
      <c r="N5241" t="inlineStr">
        <is>
          <t>Popillia japonica</t>
        </is>
      </c>
      <c r="O5241" t="inlineStr">
        <is>
          <t>Retrovirus-related Pol polyprotein from type-1 retrotransposable element R2 (Fragment)</t>
        </is>
      </c>
    </row>
    <row r="5242">
      <c r="A5242" t="inlineStr"/>
      <c r="B5242" t="inlineStr"/>
      <c r="C5242" t="inlineStr"/>
      <c r="D5242" t="inlineStr"/>
      <c r="E5242">
        <f>HYPERLINK("https://www.uniprot.org/uniprotkb/P16423/entry", "P16423")</f>
        <v/>
      </c>
      <c r="F5242" t="n">
        <v>22.9</v>
      </c>
      <c r="G5242" t="n">
        <v>519</v>
      </c>
      <c r="H5242" t="n">
        <v>1e-15</v>
      </c>
      <c r="I5242" t="inlineStr">
        <is>
          <t>Swiss-Prot</t>
        </is>
      </c>
      <c r="J5242" t="inlineStr">
        <is>
          <t>pol</t>
        </is>
      </c>
      <c r="K5242" t="inlineStr">
        <is>
          <t>POLR_DROME</t>
        </is>
      </c>
      <c r="L5242" t="inlineStr">
        <is>
          <t>sp|P16423|POLR_DROME Retrovirus-related Pol polyprotein from type-2 retrotransposable element R2DM OS=Drosophila melanogaster OX=7227 GN=pol PE=4 SV=1</t>
        </is>
      </c>
      <c r="M5242" t="n">
        <v>1057</v>
      </c>
      <c r="N5242" t="inlineStr">
        <is>
          <t>Drosophila melanogaster</t>
        </is>
      </c>
      <c r="O5242" t="inlineStr">
        <is>
          <t>Retrovirus-related Pol polyprotein from type-2 retrotransposable element R2DM</t>
        </is>
      </c>
    </row>
    <row r="5243">
      <c r="A5243" t="inlineStr"/>
      <c r="B5243" t="inlineStr"/>
      <c r="C5243" t="inlineStr"/>
      <c r="D5243" t="inlineStr"/>
      <c r="E5243">
        <f>HYPERLINK("https://www.uniprot.org/uniprotkb/P21329/entry", "P21329")</f>
        <v/>
      </c>
      <c r="F5243" t="n">
        <v>24.4</v>
      </c>
      <c r="G5243" t="n">
        <v>398</v>
      </c>
      <c r="H5243" t="n">
        <v>8.130000000000001e-15</v>
      </c>
      <c r="I5243" t="inlineStr">
        <is>
          <t>Swiss-Prot</t>
        </is>
      </c>
      <c r="J5243" t="inlineStr">
        <is>
          <t>jockey\pol</t>
        </is>
      </c>
      <c r="K5243" t="inlineStr">
        <is>
          <t>RTJK_DROFU</t>
        </is>
      </c>
      <c r="L5243" t="inlineStr">
        <is>
          <t>sp|P21329|RTJK_DROFU RNA-directed DNA polymerase from mobile element jockey OS=Drosophila funebris OX=7221 GN=jockey\pol PE=1 SV=1</t>
        </is>
      </c>
      <c r="M5243" t="n">
        <v>916</v>
      </c>
      <c r="N5243" t="inlineStr">
        <is>
          <t>Drosophila funebris</t>
        </is>
      </c>
      <c r="O5243" t="inlineStr">
        <is>
          <t>RNA-directed DNA polymerase from mobile element jockey</t>
        </is>
      </c>
    </row>
    <row r="5244">
      <c r="A5244" t="inlineStr"/>
      <c r="B5244" t="inlineStr"/>
      <c r="C5244" t="inlineStr"/>
      <c r="D5244" t="inlineStr"/>
      <c r="E5244">
        <f>HYPERLINK("https://www.uniprot.org/uniprotkb/P21328/entry", "P21328")</f>
        <v/>
      </c>
      <c r="F5244" t="n">
        <v>22</v>
      </c>
      <c r="G5244" t="n">
        <v>885</v>
      </c>
      <c r="H5244" t="n">
        <v>2.8e-13</v>
      </c>
      <c r="I5244" t="inlineStr">
        <is>
          <t>Swiss-Prot</t>
        </is>
      </c>
      <c r="J5244" t="inlineStr">
        <is>
          <t>pol</t>
        </is>
      </c>
      <c r="K5244" t="inlineStr">
        <is>
          <t>RTJK_DROME</t>
        </is>
      </c>
      <c r="L5244" t="inlineStr">
        <is>
          <t>sp|P21328|RTJK_DROME RNA-directed DNA polymerase from mobile element jockey OS=Drosophila melanogaster OX=7227 GN=pol PE=1 SV=1</t>
        </is>
      </c>
      <c r="M5244" t="n">
        <v>916</v>
      </c>
      <c r="N5244" t="inlineStr">
        <is>
          <t>Drosophila melanogaster</t>
        </is>
      </c>
      <c r="O5244" t="inlineStr">
        <is>
          <t>RNA-directed DNA polymerase from mobile element jockey</t>
        </is>
      </c>
    </row>
    <row r="5245">
      <c r="A5245" t="inlineStr"/>
      <c r="B5245" t="inlineStr"/>
      <c r="C5245" t="inlineStr"/>
      <c r="D5245" t="inlineStr"/>
      <c r="E5245">
        <f>HYPERLINK("https://www.uniprot.org/uniprotkb/Q95SX7/entry", "Q95SX7")</f>
        <v/>
      </c>
      <c r="F5245" t="n">
        <v>24.1</v>
      </c>
      <c r="G5245" t="n">
        <v>345</v>
      </c>
      <c r="H5245" t="n">
        <v>1.42e-12</v>
      </c>
      <c r="I5245" t="inlineStr">
        <is>
          <t>Swiss-Prot</t>
        </is>
      </c>
      <c r="J5245" t="inlineStr">
        <is>
          <t>RTase</t>
        </is>
      </c>
      <c r="K5245" t="inlineStr">
        <is>
          <t>RTBS_DROME</t>
        </is>
      </c>
      <c r="L5245" t="inlineStr">
        <is>
          <t>sp|Q95SX7|RTBS_DROME Probable RNA-directed DNA polymerase from transposon BS OS=Drosophila melanogaster OX=7227 GN=RTase PE=2 SV=1</t>
        </is>
      </c>
      <c r="M5245" t="n">
        <v>906</v>
      </c>
      <c r="N5245" t="inlineStr">
        <is>
          <t>Drosophila melanogaster</t>
        </is>
      </c>
      <c r="O5245" t="inlineStr">
        <is>
          <t>Probable RNA-directed DNA polymerase from transposon BS</t>
        </is>
      </c>
    </row>
    <row r="5246">
      <c r="A5246" t="inlineStr"/>
      <c r="B5246" t="inlineStr"/>
      <c r="C5246" t="inlineStr"/>
      <c r="D5246" t="inlineStr"/>
      <c r="E5246">
        <f>HYPERLINK("https://www.uniprot.org/uniprotkb/Q03278/entry", "Q03278")</f>
        <v/>
      </c>
      <c r="F5246" t="n">
        <v>24.3</v>
      </c>
      <c r="G5246" t="n">
        <v>399</v>
      </c>
      <c r="H5246" t="n">
        <v>1.01e-11</v>
      </c>
      <c r="I5246" t="inlineStr">
        <is>
          <t>Swiss-Prot</t>
        </is>
      </c>
      <c r="J5246" t="inlineStr"/>
      <c r="K5246" t="inlineStr">
        <is>
          <t>PO21_NASVI</t>
        </is>
      </c>
      <c r="L5246" t="inlineStr">
        <is>
          <t>sp|Q03278|PO21_NASVI Retrovirus-related Pol polyprotein from type-1 retrotransposable element R2 (Fragment) OS=Nasonia vitripennis OX=7425 PE=4 SV=2</t>
        </is>
      </c>
      <c r="M5246" t="n">
        <v>1025</v>
      </c>
      <c r="N5246" t="inlineStr">
        <is>
          <t>Nasonia vitripennis</t>
        </is>
      </c>
      <c r="O5246" t="inlineStr">
        <is>
          <t>Retrovirus-related Pol polyprotein from type-1 retrotransposable element R2 (Fragment)</t>
        </is>
      </c>
    </row>
    <row r="5247">
      <c r="A5247" t="inlineStr"/>
      <c r="B5247" t="inlineStr"/>
      <c r="C5247" t="inlineStr"/>
      <c r="D5247" t="inlineStr"/>
      <c r="E5247">
        <f>HYPERLINK("https://www.uniprot.org/uniprotkb/P0CV25/entry", "P0CV25")</f>
        <v/>
      </c>
      <c r="F5247" t="n">
        <v>37.6</v>
      </c>
      <c r="G5247" t="n">
        <v>85</v>
      </c>
      <c r="H5247" t="n">
        <v>3.11e-09</v>
      </c>
      <c r="I5247" t="inlineStr">
        <is>
          <t>Swiss-Prot</t>
        </is>
      </c>
      <c r="J5247" t="inlineStr">
        <is>
          <t>RXLR78</t>
        </is>
      </c>
      <c r="K5247" t="inlineStr">
        <is>
          <t>RLR78_PLAVT</t>
        </is>
      </c>
      <c r="L5247" t="inlineStr">
        <is>
          <t>sp|P0CV25|RLR78_PLAVT Secreted RxLR effector protein 78 OS=Plasmopara viticola OX=143451 GN=RXLR78 PE=3 SV=1</t>
        </is>
      </c>
      <c r="M5247" t="n">
        <v>113</v>
      </c>
      <c r="N5247" t="inlineStr">
        <is>
          <t>Plasmopara viticola</t>
        </is>
      </c>
      <c r="O5247" t="inlineStr">
        <is>
          <t>Secreted RxLR effector protein 78</t>
        </is>
      </c>
    </row>
    <row r="5248">
      <c r="A5248" t="inlineStr"/>
      <c r="B5248" t="inlineStr"/>
      <c r="C5248" t="inlineStr"/>
      <c r="D5248" t="inlineStr"/>
      <c r="E5248">
        <f>HYPERLINK("https://www.uniprot.org/uniprotkb/Q05118/entry", "Q05118")</f>
        <v/>
      </c>
      <c r="F5248" t="n">
        <v>24.2</v>
      </c>
      <c r="G5248" t="n">
        <v>240</v>
      </c>
      <c r="H5248" t="n">
        <v>2.7e-08</v>
      </c>
      <c r="I5248" t="inlineStr">
        <is>
          <t>Swiss-Prot</t>
        </is>
      </c>
      <c r="J5248" t="inlineStr"/>
      <c r="K5248" t="inlineStr">
        <is>
          <t>PO23_POPJA</t>
        </is>
      </c>
      <c r="L5248" t="inlineStr">
        <is>
          <t>sp|Q05118|PO23_POPJA Retrovirus-related Pol polyprotein from type-1 retrotransposable element R2 (Fragment) OS=Popillia japonica OX=7064 PE=4 SV=1</t>
        </is>
      </c>
      <c r="M5248" t="n">
        <v>606</v>
      </c>
      <c r="N5248" t="inlineStr">
        <is>
          <t>Popillia japonica</t>
        </is>
      </c>
      <c r="O5248" t="inlineStr">
        <is>
          <t>Retrovirus-related Pol polyprotein from type-1 retrotransposable element R2 (Fragment)</t>
        </is>
      </c>
    </row>
    <row r="5249">
      <c r="A5249" t="inlineStr"/>
      <c r="B5249" t="inlineStr"/>
      <c r="C5249" t="inlineStr"/>
      <c r="D5249" t="inlineStr"/>
      <c r="E5249">
        <f>HYPERLINK("https://www.uniprot.org/uniprotkb/Q9NBX4/entry", "Q9NBX4")</f>
        <v/>
      </c>
      <c r="F5249" t="n">
        <v>22.1</v>
      </c>
      <c r="G5249" t="n">
        <v>390</v>
      </c>
      <c r="H5249" t="n">
        <v>5.04e-07</v>
      </c>
      <c r="I5249" t="inlineStr">
        <is>
          <t>Swiss-Prot</t>
        </is>
      </c>
      <c r="J5249" t="inlineStr">
        <is>
          <t>X-element\ORF2</t>
        </is>
      </c>
      <c r="K5249" t="inlineStr">
        <is>
          <t>RTXE_DROME</t>
        </is>
      </c>
      <c r="L5249" t="inlineStr">
        <is>
          <t>sp|Q9NBX4|RTXE_DROME Probable RNA-directed DNA polymerase from transposon X-element OS=Drosophila melanogaster OX=7227 GN=X-element\ORF2 PE=3 SV=1</t>
        </is>
      </c>
      <c r="M5249" t="n">
        <v>908</v>
      </c>
      <c r="N5249" t="inlineStr">
        <is>
          <t>Drosophila melanogaster</t>
        </is>
      </c>
      <c r="O5249" t="inlineStr">
        <is>
          <t>Probable RNA-directed DNA polymerase from transposon X-element</t>
        </is>
      </c>
    </row>
    <row r="5250">
      <c r="A5250" t="inlineStr"/>
      <c r="B5250" t="inlineStr"/>
      <c r="C5250" t="inlineStr"/>
      <c r="D5250" t="inlineStr"/>
      <c r="E5250">
        <f>HYPERLINK("https://www.uniprot.org/uniprotkb/Q03279/entry", "Q03279")</f>
        <v/>
      </c>
      <c r="F5250" t="n">
        <v>23</v>
      </c>
      <c r="G5250" t="n">
        <v>391</v>
      </c>
      <c r="H5250" t="n">
        <v>9.840000000000001e-06</v>
      </c>
      <c r="I5250" t="inlineStr">
        <is>
          <t>Swiss-Prot</t>
        </is>
      </c>
      <c r="J5250" t="inlineStr"/>
      <c r="K5250" t="inlineStr">
        <is>
          <t>PO21_BRACO</t>
        </is>
      </c>
      <c r="L5250" t="inlineStr">
        <is>
          <t>sp|Q03279|PO21_BRACO Retrovirus-related Pol polyprotein from type-1 retrotransposable element R2 (Fragment) OS=Bradysia coprophila OX=38358 PE=4 SV=1</t>
        </is>
      </c>
      <c r="M5250" t="n">
        <v>869</v>
      </c>
      <c r="N5250" t="inlineStr">
        <is>
          <t>Bradysia coprophila</t>
        </is>
      </c>
      <c r="O5250" t="inlineStr">
        <is>
          <t>Retrovirus-related Pol polyprotein from type-1 retrotransposable element R2 (Fragment)</t>
        </is>
      </c>
    </row>
    <row r="5251">
      <c r="A5251" t="inlineStr"/>
      <c r="B5251" t="inlineStr"/>
      <c r="C5251" t="inlineStr"/>
      <c r="D5251" t="inlineStr"/>
      <c r="E5251">
        <f>HYPERLINK("https://www.uniprot.org/uniprotkb/Q03277/entry", "Q03277")</f>
        <v/>
      </c>
      <c r="F5251" t="n">
        <v>25.8</v>
      </c>
      <c r="G5251" t="n">
        <v>182</v>
      </c>
      <c r="H5251" t="n">
        <v>0.000203</v>
      </c>
      <c r="I5251" t="inlineStr">
        <is>
          <t>Swiss-Prot</t>
        </is>
      </c>
      <c r="J5251" t="inlineStr"/>
      <c r="K5251" t="inlineStr">
        <is>
          <t>PO11_BRACO</t>
        </is>
      </c>
      <c r="L5251" t="inlineStr">
        <is>
          <t>sp|Q03277|PO11_BRACO Retrovirus-related Pol polyprotein from type-1 retrotransposable element R1 (Fragment) OS=Bradysia coprophila OX=38358 PE=4 SV=1</t>
        </is>
      </c>
      <c r="M5251" t="n">
        <v>1004</v>
      </c>
      <c r="N5251" t="inlineStr">
        <is>
          <t>Bradysia coprophila</t>
        </is>
      </c>
      <c r="O5251" t="inlineStr">
        <is>
          <t>Retrovirus-related Pol polyprotein from type-1 retrotransposable element R1 (Fragment)</t>
        </is>
      </c>
    </row>
    <row r="5252">
      <c r="A5252" t="inlineStr"/>
      <c r="B5252" t="inlineStr"/>
      <c r="C5252" t="inlineStr"/>
      <c r="D5252" t="inlineStr"/>
      <c r="E5252">
        <f>HYPERLINK("https://www.uniprot.org/uniprotkb/P37454/entry", "P37454")</f>
        <v/>
      </c>
      <c r="F5252" t="n">
        <v>24.3</v>
      </c>
      <c r="G5252" t="n">
        <v>263</v>
      </c>
      <c r="H5252" t="n">
        <v>0.000374</v>
      </c>
      <c r="I5252" t="inlineStr">
        <is>
          <t>Swiss-Prot</t>
        </is>
      </c>
      <c r="J5252" t="inlineStr">
        <is>
          <t>exoA</t>
        </is>
      </c>
      <c r="K5252" t="inlineStr">
        <is>
          <t>EXOA_BACSU</t>
        </is>
      </c>
      <c r="L5252" t="inlineStr">
        <is>
          <t>sp|P37454|EXOA_BACSU Exodeoxyribonuclease OS=Bacillus subtilis (strain 168) OX=224308 GN=exoA PE=1 SV=1</t>
        </is>
      </c>
      <c r="M5252" t="n">
        <v>252</v>
      </c>
      <c r="N5252" t="inlineStr">
        <is>
          <t>Bacillus subtilis (strain 168)</t>
        </is>
      </c>
      <c r="O5252" t="inlineStr">
        <is>
          <t>Exodeoxyribonuclease</t>
        </is>
      </c>
    </row>
    <row r="5253">
      <c r="A5253" t="inlineStr">
        <is>
          <t>NODE_31473_length_3924_cov_14.609541_g10788_i0</t>
        </is>
      </c>
      <c r="B5253" t="inlineStr">
        <is>
          <t>bombina_pachypus_blastx</t>
        </is>
      </c>
      <c r="C5253" t="n">
        <v>-3.92432479503898</v>
      </c>
      <c r="D5253" t="n">
        <v>5.617469891358051e-07</v>
      </c>
      <c r="E5253">
        <f>HYPERLINK("https://www.ncbi.nlm.nih.gov/gene/?term=OCT86468.1", "OCT86468.1")</f>
        <v/>
      </c>
      <c r="F5253" t="n">
        <v>39.5</v>
      </c>
      <c r="G5253" t="n">
        <v>365</v>
      </c>
      <c r="H5253" t="n">
        <v>1.42e-80</v>
      </c>
      <c r="I5253" t="inlineStr">
        <is>
          <t>Nr</t>
        </is>
      </c>
      <c r="J5253" t="inlineStr"/>
      <c r="K5253" t="inlineStr"/>
      <c r="L5253" t="inlineStr">
        <is>
          <t>OCT86468.1 hypothetical protein XELAEV_18020151mg [Xenopus laevis]</t>
        </is>
      </c>
      <c r="M5253" t="n">
        <v>367</v>
      </c>
      <c r="N5253" t="inlineStr">
        <is>
          <t>Xenopus laevis</t>
        </is>
      </c>
      <c r="O5253" t="inlineStr">
        <is>
          <t>hypothetical protein XELAEV_18020151mg</t>
        </is>
      </c>
    </row>
    <row r="5254">
      <c r="A5254" t="inlineStr"/>
      <c r="B5254" t="inlineStr"/>
      <c r="C5254" t="inlineStr"/>
      <c r="D5254" t="inlineStr"/>
      <c r="E5254">
        <f>HYPERLINK("https://www.ncbi.nlm.nih.gov/gene/?term=OCT76280.1", "OCT76280.1")</f>
        <v/>
      </c>
      <c r="F5254" t="n">
        <v>38.4</v>
      </c>
      <c r="G5254" t="n">
        <v>354</v>
      </c>
      <c r="H5254" t="n">
        <v>1.56e-76</v>
      </c>
      <c r="I5254" t="inlineStr">
        <is>
          <t>Nr</t>
        </is>
      </c>
      <c r="J5254" t="inlineStr"/>
      <c r="K5254" t="inlineStr"/>
      <c r="L5254" t="inlineStr">
        <is>
          <t>OCT76280.1 hypothetical protein XELAEV_18031476mg [Xenopus laevis]</t>
        </is>
      </c>
      <c r="M5254" t="n">
        <v>451</v>
      </c>
      <c r="N5254" t="inlineStr">
        <is>
          <t>Xenopus laevis</t>
        </is>
      </c>
      <c r="O5254" t="inlineStr">
        <is>
          <t>hypothetical protein XELAEV_18031476mg</t>
        </is>
      </c>
    </row>
    <row r="5255">
      <c r="A5255" t="inlineStr"/>
      <c r="B5255" t="inlineStr"/>
      <c r="C5255" t="inlineStr"/>
      <c r="D5255" t="inlineStr"/>
      <c r="E5255">
        <f>HYPERLINK("https://www.uniprot.org/uniprotkb/A0A6I8QAC4/entry", "A0A6I8QAC4")</f>
        <v/>
      </c>
      <c r="F5255" t="n">
        <v>37.9</v>
      </c>
      <c r="G5255" t="n">
        <v>391</v>
      </c>
      <c r="H5255" t="n">
        <v>1.07e-75</v>
      </c>
      <c r="I5255" t="inlineStr">
        <is>
          <t>TrEMBL</t>
        </is>
      </c>
      <c r="J5255" t="inlineStr"/>
      <c r="K5255" t="inlineStr">
        <is>
          <t>A0A6I8QAC4_XENTR</t>
        </is>
      </c>
      <c r="L5255" t="inlineStr">
        <is>
          <t>tr|A0A6I8QAC4|A0A6I8QAC4_XENTR Reverse transcriptase domain-containing protein OS=Xenopus tropicalis OX=8364 PE=4 SV=1</t>
        </is>
      </c>
      <c r="M5255" t="n">
        <v>655</v>
      </c>
      <c r="N5255" t="inlineStr">
        <is>
          <t>Xenopus tropicalis</t>
        </is>
      </c>
      <c r="O5255" t="inlineStr">
        <is>
          <t>Reverse transcriptase domain-containing protein</t>
        </is>
      </c>
    </row>
    <row r="5256">
      <c r="A5256" t="inlineStr"/>
      <c r="B5256" t="inlineStr"/>
      <c r="C5256" t="inlineStr"/>
      <c r="D5256" t="inlineStr"/>
      <c r="E5256">
        <f>HYPERLINK("https://www.ncbi.nlm.nih.gov/gene/?term=OCT72372.1", "OCT72372.1")</f>
        <v/>
      </c>
      <c r="F5256" t="n">
        <v>38.8</v>
      </c>
      <c r="G5256" t="n">
        <v>353</v>
      </c>
      <c r="H5256" t="n">
        <v>1.32e-75</v>
      </c>
      <c r="I5256" t="inlineStr">
        <is>
          <t>Nr</t>
        </is>
      </c>
      <c r="J5256" t="inlineStr"/>
      <c r="K5256" t="inlineStr"/>
      <c r="L5256" t="inlineStr">
        <is>
          <t>OCT72372.1 hypothetical protein XELAEV_18035350mg [Xenopus laevis]</t>
        </is>
      </c>
      <c r="M5256" t="n">
        <v>404</v>
      </c>
      <c r="N5256" t="inlineStr">
        <is>
          <t>Xenopus laevis</t>
        </is>
      </c>
      <c r="O5256" t="inlineStr">
        <is>
          <t>hypothetical protein XELAEV_18035350mg</t>
        </is>
      </c>
    </row>
    <row r="5257">
      <c r="A5257" t="inlineStr"/>
      <c r="B5257" t="inlineStr"/>
      <c r="C5257" t="inlineStr"/>
      <c r="D5257" t="inlineStr"/>
      <c r="E5257">
        <f>HYPERLINK("https://www.uniprot.org/uniprotkb/A0A8J1KVV7/entry", "A0A8J1KVV7")</f>
        <v/>
      </c>
      <c r="F5257" t="n">
        <v>38.9</v>
      </c>
      <c r="G5257" t="n">
        <v>365</v>
      </c>
      <c r="H5257" t="n">
        <v>3.11e-75</v>
      </c>
      <c r="I5257" t="inlineStr">
        <is>
          <t>TrEMBL</t>
        </is>
      </c>
      <c r="J5257" t="inlineStr">
        <is>
          <t>LOC121394196</t>
        </is>
      </c>
      <c r="K5257" t="inlineStr">
        <is>
          <t>A0A8J1KVV7_XENLA</t>
        </is>
      </c>
      <c r="L5257" t="inlineStr">
        <is>
          <t>tr|A0A8J1KVV7|A0A8J1KVV7_XENLA uncharacterized protein LOC121394196 OS=Xenopus laevis OX=8355 GN=LOC121394196 PE=4 SV=1</t>
        </is>
      </c>
      <c r="M5257" t="n">
        <v>419</v>
      </c>
      <c r="N5257" t="inlineStr">
        <is>
          <t>Xenopus laevis</t>
        </is>
      </c>
      <c r="O5257" t="inlineStr">
        <is>
          <t>uncharacterized protein LOC121394196</t>
        </is>
      </c>
    </row>
    <row r="5258">
      <c r="A5258" t="inlineStr"/>
      <c r="B5258" t="inlineStr"/>
      <c r="C5258" t="inlineStr"/>
      <c r="D5258" t="inlineStr"/>
      <c r="E5258">
        <f>HYPERLINK("https://www.ncbi.nlm.nih.gov/gene/?term=XP_041420379.1", "XP_041420379.1")</f>
        <v/>
      </c>
      <c r="F5258" t="n">
        <v>38.9</v>
      </c>
      <c r="G5258" t="n">
        <v>365</v>
      </c>
      <c r="H5258" t="n">
        <v>7.99e-75</v>
      </c>
      <c r="I5258" t="inlineStr">
        <is>
          <t>Nr</t>
        </is>
      </c>
      <c r="J5258" t="inlineStr"/>
      <c r="K5258" t="inlineStr"/>
      <c r="L5258" t="inlineStr">
        <is>
          <t>XP_041420379.1 uncharacterized protein LOC121394196 [Xenopus laevis]</t>
        </is>
      </c>
      <c r="M5258" t="n">
        <v>419</v>
      </c>
      <c r="N5258" t="inlineStr">
        <is>
          <t>Xenopus laevis</t>
        </is>
      </c>
      <c r="O5258" t="inlineStr">
        <is>
          <t>uncharacterized protein LOC121394196</t>
        </is>
      </c>
    </row>
    <row r="5259">
      <c r="A5259" t="inlineStr"/>
      <c r="B5259" t="inlineStr"/>
      <c r="C5259" t="inlineStr"/>
      <c r="D5259" t="inlineStr"/>
      <c r="E5259">
        <f>HYPERLINK("https://www.uniprot.org/uniprotkb/A0A803K635/entry", "A0A803K635")</f>
        <v/>
      </c>
      <c r="F5259" t="n">
        <v>38.7</v>
      </c>
      <c r="G5259" t="n">
        <v>354</v>
      </c>
      <c r="H5259" t="n">
        <v>5.47e-73</v>
      </c>
      <c r="I5259" t="inlineStr">
        <is>
          <t>TrEMBL</t>
        </is>
      </c>
      <c r="J5259" t="inlineStr"/>
      <c r="K5259" t="inlineStr">
        <is>
          <t>A0A803K635_XENTR</t>
        </is>
      </c>
      <c r="L5259" t="inlineStr">
        <is>
          <t>tr|A0A803K635|A0A803K635_XENTR Reverse transcriptase domain-containing protein OS=Xenopus tropicalis OX=8364 PE=4 SV=1</t>
        </is>
      </c>
      <c r="M5259" t="n">
        <v>734</v>
      </c>
      <c r="N5259" t="inlineStr">
        <is>
          <t>Xenopus tropicalis</t>
        </is>
      </c>
      <c r="O5259" t="inlineStr">
        <is>
          <t>Reverse transcriptase domain-containing protein</t>
        </is>
      </c>
    </row>
    <row r="5260">
      <c r="A5260" t="inlineStr"/>
      <c r="B5260" t="inlineStr"/>
      <c r="C5260" t="inlineStr"/>
      <c r="D5260" t="inlineStr"/>
      <c r="E5260">
        <f>HYPERLINK("https://www.uniprot.org/uniprotkb/A0A803K2I9/entry", "A0A803K2I9")</f>
        <v/>
      </c>
      <c r="F5260" t="n">
        <v>38.1</v>
      </c>
      <c r="G5260" t="n">
        <v>354</v>
      </c>
      <c r="H5260" t="n">
        <v>1.84e-71</v>
      </c>
      <c r="I5260" t="inlineStr">
        <is>
          <t>TrEMBL</t>
        </is>
      </c>
      <c r="J5260" t="inlineStr"/>
      <c r="K5260" t="inlineStr">
        <is>
          <t>A0A803K2I9_XENTR</t>
        </is>
      </c>
      <c r="L5260" t="inlineStr">
        <is>
          <t>tr|A0A803K2I9|A0A803K2I9_XENTR Reverse transcriptase domain-containing protein OS=Xenopus tropicalis OX=8364 PE=4 SV=1</t>
        </is>
      </c>
      <c r="M5260" t="n">
        <v>688</v>
      </c>
      <c r="N5260" t="inlineStr">
        <is>
          <t>Xenopus tropicalis</t>
        </is>
      </c>
      <c r="O5260" t="inlineStr">
        <is>
          <t>Reverse transcriptase domain-containing protein</t>
        </is>
      </c>
    </row>
    <row r="5261">
      <c r="A5261" t="inlineStr"/>
      <c r="B5261" t="inlineStr"/>
      <c r="C5261" t="inlineStr"/>
      <c r="D5261" t="inlineStr"/>
      <c r="E5261">
        <f>HYPERLINK("https://www.ncbi.nlm.nih.gov/gene/?term=OCT72143.1", "OCT72143.1")</f>
        <v/>
      </c>
      <c r="F5261" t="n">
        <v>39.3</v>
      </c>
      <c r="G5261" t="n">
        <v>323</v>
      </c>
      <c r="H5261" t="n">
        <v>3.64e-71</v>
      </c>
      <c r="I5261" t="inlineStr">
        <is>
          <t>Nr</t>
        </is>
      </c>
      <c r="J5261" t="inlineStr"/>
      <c r="K5261" t="inlineStr"/>
      <c r="L5261" t="inlineStr">
        <is>
          <t>OCT72143.1 hypothetical protein XELAEV_18035109mg [Xenopus laevis]</t>
        </is>
      </c>
      <c r="M5261" t="n">
        <v>329</v>
      </c>
      <c r="N5261" t="inlineStr">
        <is>
          <t>Xenopus laevis</t>
        </is>
      </c>
      <c r="O5261" t="inlineStr">
        <is>
          <t>hypothetical protein XELAEV_18035109mg</t>
        </is>
      </c>
    </row>
    <row r="5262">
      <c r="A5262" t="inlineStr"/>
      <c r="B5262" t="inlineStr"/>
      <c r="C5262" t="inlineStr"/>
      <c r="D5262" t="inlineStr"/>
      <c r="E5262">
        <f>HYPERLINK("https://www.uniprot.org/uniprotkb/A0A803KAJ0/entry", "A0A803KAJ0")</f>
        <v/>
      </c>
      <c r="F5262" t="n">
        <v>38.4</v>
      </c>
      <c r="G5262" t="n">
        <v>354</v>
      </c>
      <c r="H5262" t="n">
        <v>1.01e-70</v>
      </c>
      <c r="I5262" t="inlineStr">
        <is>
          <t>TrEMBL</t>
        </is>
      </c>
      <c r="J5262" t="inlineStr"/>
      <c r="K5262" t="inlineStr">
        <is>
          <t>A0A803KAJ0_XENTR</t>
        </is>
      </c>
      <c r="L5262" t="inlineStr">
        <is>
          <t>tr|A0A803KAJ0|A0A803KAJ0_XENTR Reverse transcriptase domain-containing protein OS=Xenopus tropicalis OX=8364 PE=4 SV=1</t>
        </is>
      </c>
      <c r="M5262" t="n">
        <v>856</v>
      </c>
      <c r="N5262" t="inlineStr">
        <is>
          <t>Xenopus tropicalis</t>
        </is>
      </c>
      <c r="O5262" t="inlineStr">
        <is>
          <t>Reverse transcriptase domain-containing protein</t>
        </is>
      </c>
    </row>
    <row r="5263">
      <c r="A5263" t="inlineStr"/>
      <c r="B5263" t="inlineStr"/>
      <c r="C5263" t="inlineStr"/>
      <c r="D5263" t="inlineStr"/>
      <c r="E5263">
        <f>HYPERLINK("https://www.ncbi.nlm.nih.gov/gene/?term=OCT57287.1", "OCT57287.1")</f>
        <v/>
      </c>
      <c r="F5263" t="n">
        <v>38.5</v>
      </c>
      <c r="G5263" t="n">
        <v>325</v>
      </c>
      <c r="H5263" t="n">
        <v>2.89e-70</v>
      </c>
      <c r="I5263" t="inlineStr">
        <is>
          <t>Nr</t>
        </is>
      </c>
      <c r="J5263" t="inlineStr"/>
      <c r="K5263" t="inlineStr"/>
      <c r="L5263" t="inlineStr">
        <is>
          <t>OCT57287.1 hypothetical protein XELAEV_18003724mg [Xenopus laevis]</t>
        </is>
      </c>
      <c r="M5263" t="n">
        <v>329</v>
      </c>
      <c r="N5263" t="inlineStr">
        <is>
          <t>Xenopus laevis</t>
        </is>
      </c>
      <c r="O5263" t="inlineStr">
        <is>
          <t>hypothetical protein XELAEV_18003724mg</t>
        </is>
      </c>
    </row>
    <row r="5264">
      <c r="A5264" t="inlineStr"/>
      <c r="B5264" t="inlineStr"/>
      <c r="C5264" t="inlineStr"/>
      <c r="D5264" t="inlineStr"/>
      <c r="E5264">
        <f>HYPERLINK("https://www.ncbi.nlm.nih.gov/gene/?term=OCT96155.1", "OCT96155.1")</f>
        <v/>
      </c>
      <c r="F5264" t="n">
        <v>38.7</v>
      </c>
      <c r="G5264" t="n">
        <v>328</v>
      </c>
      <c r="H5264" t="n">
        <v>7.66e-70</v>
      </c>
      <c r="I5264" t="inlineStr">
        <is>
          <t>Nr</t>
        </is>
      </c>
      <c r="J5264" t="inlineStr"/>
      <c r="K5264" t="inlineStr"/>
      <c r="L5264" t="inlineStr">
        <is>
          <t>OCT96155.1 hypothetical protein XELAEV_18013838mg [Xenopus laevis]</t>
        </is>
      </c>
      <c r="M5264" t="n">
        <v>327</v>
      </c>
      <c r="N5264" t="inlineStr">
        <is>
          <t>Xenopus laevis</t>
        </is>
      </c>
      <c r="O5264" t="inlineStr">
        <is>
          <t>hypothetical protein XELAEV_18013838mg</t>
        </is>
      </c>
    </row>
    <row r="5265">
      <c r="A5265" t="inlineStr"/>
      <c r="B5265" t="inlineStr"/>
      <c r="C5265" t="inlineStr"/>
      <c r="D5265" t="inlineStr"/>
      <c r="E5265">
        <f>HYPERLINK("https://www.uniprot.org/uniprotkb/A0A803JX24/entry", "A0A803JX24")</f>
        <v/>
      </c>
      <c r="F5265" t="n">
        <v>37.3</v>
      </c>
      <c r="G5265" t="n">
        <v>354</v>
      </c>
      <c r="H5265" t="n">
        <v>4.6e-69</v>
      </c>
      <c r="I5265" t="inlineStr">
        <is>
          <t>TrEMBL</t>
        </is>
      </c>
      <c r="J5265" t="inlineStr"/>
      <c r="K5265" t="inlineStr">
        <is>
          <t>A0A803JX24_XENTR</t>
        </is>
      </c>
      <c r="L5265" t="inlineStr">
        <is>
          <t>tr|A0A803JX24|A0A803JX24_XENTR Reverse transcriptase domain-containing protein OS=Xenopus tropicalis OX=8364 PE=4 SV=1</t>
        </is>
      </c>
      <c r="M5265" t="n">
        <v>626</v>
      </c>
      <c r="N5265" t="inlineStr">
        <is>
          <t>Xenopus tropicalis</t>
        </is>
      </c>
      <c r="O5265" t="inlineStr">
        <is>
          <t>Reverse transcriptase domain-containing protein</t>
        </is>
      </c>
    </row>
    <row r="5266">
      <c r="A5266" t="inlineStr"/>
      <c r="B5266" t="inlineStr"/>
      <c r="C5266" t="inlineStr"/>
      <c r="D5266" t="inlineStr"/>
      <c r="E5266">
        <f>HYPERLINK("https://www.uniprot.org/uniprotkb/A0A803JPB3/entry", "A0A803JPB3")</f>
        <v/>
      </c>
      <c r="F5266" t="n">
        <v>36.6</v>
      </c>
      <c r="G5266" t="n">
        <v>380</v>
      </c>
      <c r="H5266" t="n">
        <v>5.589999999999999e-68</v>
      </c>
      <c r="I5266" t="inlineStr">
        <is>
          <t>TrEMBL</t>
        </is>
      </c>
      <c r="J5266" t="inlineStr"/>
      <c r="K5266" t="inlineStr">
        <is>
          <t>A0A803JPB3_XENTR</t>
        </is>
      </c>
      <c r="L5266" t="inlineStr">
        <is>
          <t>tr|A0A803JPB3|A0A803JPB3_XENTR Reverse transcriptase domain-containing protein OS=Xenopus tropicalis OX=8364 PE=4 SV=1</t>
        </is>
      </c>
      <c r="M5266" t="n">
        <v>725</v>
      </c>
      <c r="N5266" t="inlineStr">
        <is>
          <t>Xenopus tropicalis</t>
        </is>
      </c>
      <c r="O5266" t="inlineStr">
        <is>
          <t>Reverse transcriptase domain-containing protein</t>
        </is>
      </c>
    </row>
    <row r="5267">
      <c r="A5267" t="inlineStr"/>
      <c r="B5267" t="inlineStr"/>
      <c r="C5267" t="inlineStr"/>
      <c r="D5267" t="inlineStr"/>
      <c r="E5267">
        <f>HYPERLINK("https://www.uniprot.org/uniprotkb/A0A803JQE7/entry", "A0A803JQE7")</f>
        <v/>
      </c>
      <c r="F5267" t="n">
        <v>38.1</v>
      </c>
      <c r="G5267" t="n">
        <v>367</v>
      </c>
      <c r="H5267" t="n">
        <v>5.92e-68</v>
      </c>
      <c r="I5267" t="inlineStr">
        <is>
          <t>TrEMBL</t>
        </is>
      </c>
      <c r="J5267" t="inlineStr"/>
      <c r="K5267" t="inlineStr">
        <is>
          <t>A0A803JQE7_XENTR</t>
        </is>
      </c>
      <c r="L5267" t="inlineStr">
        <is>
          <t>tr|A0A803JQE7|A0A803JQE7_XENTR Reverse transcriptase domain-containing protein OS=Xenopus tropicalis OX=8364 PE=4 SV=1</t>
        </is>
      </c>
      <c r="M5267" t="n">
        <v>619</v>
      </c>
      <c r="N5267" t="inlineStr">
        <is>
          <t>Xenopus tropicalis</t>
        </is>
      </c>
      <c r="O5267" t="inlineStr">
        <is>
          <t>Reverse transcriptase domain-containing protein</t>
        </is>
      </c>
    </row>
    <row r="5268">
      <c r="A5268" t="inlineStr"/>
      <c r="B5268" t="inlineStr"/>
      <c r="C5268" t="inlineStr"/>
      <c r="D5268" t="inlineStr"/>
      <c r="E5268">
        <f>HYPERLINK("https://www.uniprot.org/uniprotkb/A0A803KEE8/entry", "A0A803KEE8")</f>
        <v/>
      </c>
      <c r="F5268" t="n">
        <v>38.5</v>
      </c>
      <c r="G5268" t="n">
        <v>371</v>
      </c>
      <c r="H5268" t="n">
        <v>6.77e-68</v>
      </c>
      <c r="I5268" t="inlineStr">
        <is>
          <t>TrEMBL</t>
        </is>
      </c>
      <c r="J5268" t="inlineStr"/>
      <c r="K5268" t="inlineStr">
        <is>
          <t>A0A803KEE8_XENTR</t>
        </is>
      </c>
      <c r="L5268" t="inlineStr">
        <is>
          <t>tr|A0A803KEE8|A0A803KEE8_XENTR Reverse transcriptase domain-containing protein OS=Xenopus tropicalis OX=8364 PE=4 SV=1</t>
        </is>
      </c>
      <c r="M5268" t="n">
        <v>779</v>
      </c>
      <c r="N5268" t="inlineStr">
        <is>
          <t>Xenopus tropicalis</t>
        </is>
      </c>
      <c r="O5268" t="inlineStr">
        <is>
          <t>Reverse transcriptase domain-containing protein</t>
        </is>
      </c>
    </row>
    <row r="5269">
      <c r="A5269" t="inlineStr"/>
      <c r="B5269" t="inlineStr"/>
      <c r="C5269" t="inlineStr"/>
      <c r="D5269" t="inlineStr"/>
      <c r="E5269">
        <f>HYPERLINK("https://www.ncbi.nlm.nih.gov/gene/?term=OCT83245.1", "OCT83245.1")</f>
        <v/>
      </c>
      <c r="F5269" t="n">
        <v>36.4</v>
      </c>
      <c r="G5269" t="n">
        <v>357</v>
      </c>
      <c r="H5269" t="n">
        <v>2.97e-67</v>
      </c>
      <c r="I5269" t="inlineStr">
        <is>
          <t>Nr</t>
        </is>
      </c>
      <c r="J5269" t="inlineStr"/>
      <c r="K5269" t="inlineStr"/>
      <c r="L5269" t="inlineStr">
        <is>
          <t>OCT83245.1 hypothetical protein XELAEV_18025782mg [Xenopus laevis]</t>
        </is>
      </c>
      <c r="M5269" t="n">
        <v>455</v>
      </c>
      <c r="N5269" t="inlineStr">
        <is>
          <t>Xenopus laevis</t>
        </is>
      </c>
      <c r="O5269" t="inlineStr">
        <is>
          <t>hypothetical protein XELAEV_18025782mg</t>
        </is>
      </c>
    </row>
    <row r="5270">
      <c r="A5270" t="inlineStr"/>
      <c r="B5270" t="inlineStr"/>
      <c r="C5270" t="inlineStr"/>
      <c r="D5270" t="inlineStr"/>
      <c r="E5270">
        <f>HYPERLINK("https://www.uniprot.org/uniprotkb/A0A803JVB3/entry", "A0A803JVB3")</f>
        <v/>
      </c>
      <c r="F5270" t="n">
        <v>36</v>
      </c>
      <c r="G5270" t="n">
        <v>364</v>
      </c>
      <c r="H5270" t="n">
        <v>7.24e-67</v>
      </c>
      <c r="I5270" t="inlineStr">
        <is>
          <t>TrEMBL</t>
        </is>
      </c>
      <c r="J5270" t="inlineStr"/>
      <c r="K5270" t="inlineStr">
        <is>
          <t>A0A803JVB3_XENTR</t>
        </is>
      </c>
      <c r="L5270" t="inlineStr">
        <is>
          <t>tr|A0A803JVB3|A0A803JVB3_XENTR Reverse transcriptase domain-containing protein OS=Xenopus tropicalis OX=8364 PE=4 SV=1</t>
        </is>
      </c>
      <c r="M5270" t="n">
        <v>680</v>
      </c>
      <c r="N5270" t="inlineStr">
        <is>
          <t>Xenopus tropicalis</t>
        </is>
      </c>
      <c r="O5270" t="inlineStr">
        <is>
          <t>Reverse transcriptase domain-containing protein</t>
        </is>
      </c>
    </row>
    <row r="5271">
      <c r="A5271" t="inlineStr"/>
      <c r="B5271" t="inlineStr"/>
      <c r="C5271" t="inlineStr"/>
      <c r="D5271" t="inlineStr"/>
      <c r="E5271">
        <f>HYPERLINK("https://www.ncbi.nlm.nih.gov/gene/?term=OCT87659.1", "OCT87659.1")</f>
        <v/>
      </c>
      <c r="F5271" t="n">
        <v>35</v>
      </c>
      <c r="G5271" t="n">
        <v>357</v>
      </c>
      <c r="H5271" t="n">
        <v>1.08e-65</v>
      </c>
      <c r="I5271" t="inlineStr">
        <is>
          <t>Nr</t>
        </is>
      </c>
      <c r="J5271" t="inlineStr"/>
      <c r="K5271" t="inlineStr"/>
      <c r="L5271" t="inlineStr">
        <is>
          <t>OCT87659.1 hypothetical protein XELAEV_18021356mg [Xenopus laevis]</t>
        </is>
      </c>
      <c r="M5271" t="n">
        <v>462</v>
      </c>
      <c r="N5271" t="inlineStr">
        <is>
          <t>Xenopus laevis</t>
        </is>
      </c>
      <c r="O5271" t="inlineStr">
        <is>
          <t>hypothetical protein XELAEV_18021356mg</t>
        </is>
      </c>
    </row>
    <row r="5272">
      <c r="A5272" t="inlineStr"/>
      <c r="B5272" t="inlineStr"/>
      <c r="C5272" t="inlineStr"/>
      <c r="D5272" t="inlineStr"/>
      <c r="E5272">
        <f>HYPERLINK("https://www.uniprot.org/uniprotkb/A0A803J5Z4/entry", "A0A803J5Z4")</f>
        <v/>
      </c>
      <c r="F5272" t="n">
        <v>35.5</v>
      </c>
      <c r="G5272" t="n">
        <v>366</v>
      </c>
      <c r="H5272" t="n">
        <v>1.47e-65</v>
      </c>
      <c r="I5272" t="inlineStr">
        <is>
          <t>TrEMBL</t>
        </is>
      </c>
      <c r="J5272" t="inlineStr"/>
      <c r="K5272" t="inlineStr">
        <is>
          <t>A0A803J5Z4_XENTR</t>
        </is>
      </c>
      <c r="L5272" t="inlineStr">
        <is>
          <t>tr|A0A803J5Z4|A0A803J5Z4_XENTR Reverse transcriptase domain-containing protein OS=Xenopus tropicalis OX=8364 PE=4 SV=1</t>
        </is>
      </c>
      <c r="M5272" t="n">
        <v>680</v>
      </c>
      <c r="N5272" t="inlineStr">
        <is>
          <t>Xenopus tropicalis</t>
        </is>
      </c>
      <c r="O5272" t="inlineStr">
        <is>
          <t>Reverse transcriptase domain-containing protein</t>
        </is>
      </c>
    </row>
    <row r="5273">
      <c r="A5273" t="inlineStr"/>
      <c r="B5273" t="inlineStr"/>
      <c r="C5273" t="inlineStr"/>
      <c r="D5273" t="inlineStr"/>
      <c r="E5273">
        <f>HYPERLINK("https://www.uniprot.org/uniprotkb/A0A803K2L1/entry", "A0A803K2L1")</f>
        <v/>
      </c>
      <c r="F5273" t="n">
        <v>41</v>
      </c>
      <c r="G5273" t="n">
        <v>288</v>
      </c>
      <c r="H5273" t="n">
        <v>1.99e-64</v>
      </c>
      <c r="I5273" t="inlineStr">
        <is>
          <t>TrEMBL</t>
        </is>
      </c>
      <c r="J5273" t="inlineStr"/>
      <c r="K5273" t="inlineStr">
        <is>
          <t>A0A803K2L1_XENTR</t>
        </is>
      </c>
      <c r="L5273" t="inlineStr">
        <is>
          <t>tr|A0A803K2L1|A0A803K2L1_XENTR Reverse transcriptase domain-containing protein OS=Xenopus tropicalis OX=8364 PE=4 SV=1</t>
        </is>
      </c>
      <c r="M5273" t="n">
        <v>696</v>
      </c>
      <c r="N5273" t="inlineStr">
        <is>
          <t>Xenopus tropicalis</t>
        </is>
      </c>
      <c r="O5273" t="inlineStr">
        <is>
          <t>Reverse transcriptase domain-containing protein</t>
        </is>
      </c>
    </row>
    <row r="5274">
      <c r="A5274" t="inlineStr"/>
      <c r="B5274" t="inlineStr"/>
      <c r="C5274" t="inlineStr"/>
      <c r="D5274" t="inlineStr"/>
      <c r="E5274">
        <f>HYPERLINK("https://www.ncbi.nlm.nih.gov/gene/?term=KAE8601590.1", "KAE8601590.1")</f>
        <v/>
      </c>
      <c r="F5274" t="n">
        <v>35.1</v>
      </c>
      <c r="G5274" t="n">
        <v>362</v>
      </c>
      <c r="H5274" t="n">
        <v>8.61e-64</v>
      </c>
      <c r="I5274" t="inlineStr">
        <is>
          <t>Nr</t>
        </is>
      </c>
      <c r="J5274" t="inlineStr"/>
      <c r="K5274" t="inlineStr"/>
      <c r="L5274" t="inlineStr">
        <is>
          <t>KAE8601590.1 hypothetical protein XENTR_v10013728 [Xenopus tropicalis]</t>
        </is>
      </c>
      <c r="M5274" t="n">
        <v>1505</v>
      </c>
      <c r="N5274" t="inlineStr">
        <is>
          <t>Xenopus tropicalis</t>
        </is>
      </c>
      <c r="O5274" t="inlineStr">
        <is>
          <t>hypothetical protein XENTR_v10013728</t>
        </is>
      </c>
    </row>
    <row r="5275">
      <c r="A5275" t="inlineStr"/>
      <c r="B5275" t="inlineStr"/>
      <c r="C5275" t="inlineStr"/>
      <c r="D5275" t="inlineStr"/>
      <c r="E5275">
        <f>HYPERLINK("https://www.ncbi.nlm.nih.gov/gene/?term=OCT94642.1", "OCT94642.1")</f>
        <v/>
      </c>
      <c r="F5275" t="n">
        <v>35.8</v>
      </c>
      <c r="G5275" t="n">
        <v>363</v>
      </c>
      <c r="H5275" t="n">
        <v>1.04e-63</v>
      </c>
      <c r="I5275" t="inlineStr">
        <is>
          <t>Nr</t>
        </is>
      </c>
      <c r="J5275" t="inlineStr"/>
      <c r="K5275" t="inlineStr"/>
      <c r="L5275" t="inlineStr">
        <is>
          <t>OCT94642.1 hypothetical protein XELAEV_18012324mg [Xenopus laevis]</t>
        </is>
      </c>
      <c r="M5275" t="n">
        <v>363</v>
      </c>
      <c r="N5275" t="inlineStr">
        <is>
          <t>Xenopus laevis</t>
        </is>
      </c>
      <c r="O5275" t="inlineStr">
        <is>
          <t>hypothetical protein XELAEV_18012324mg</t>
        </is>
      </c>
    </row>
    <row r="5276">
      <c r="A5276" t="inlineStr"/>
      <c r="B5276" t="inlineStr"/>
      <c r="C5276" t="inlineStr"/>
      <c r="D5276" t="inlineStr"/>
      <c r="E5276">
        <f>HYPERLINK("https://www.uniprot.org/uniprotkb/A0A803J3S0/entry", "A0A803J3S0")</f>
        <v/>
      </c>
      <c r="F5276" t="n">
        <v>35.4</v>
      </c>
      <c r="G5276" t="n">
        <v>364</v>
      </c>
      <c r="H5276" t="n">
        <v>1.54e-63</v>
      </c>
      <c r="I5276" t="inlineStr">
        <is>
          <t>TrEMBL</t>
        </is>
      </c>
      <c r="J5276" t="inlineStr"/>
      <c r="K5276" t="inlineStr">
        <is>
          <t>A0A803J3S0_XENTR</t>
        </is>
      </c>
      <c r="L5276" t="inlineStr">
        <is>
          <t>tr|A0A803J3S0|A0A803J3S0_XENTR Reverse transcriptase domain-containing protein OS=Xenopus tropicalis OX=8364 PE=4 SV=1</t>
        </is>
      </c>
      <c r="M5276" t="n">
        <v>679</v>
      </c>
      <c r="N5276" t="inlineStr">
        <is>
          <t>Xenopus tropicalis</t>
        </is>
      </c>
      <c r="O5276" t="inlineStr">
        <is>
          <t>Reverse transcriptase domain-containing protein</t>
        </is>
      </c>
    </row>
    <row r="5277">
      <c r="A5277" t="inlineStr"/>
      <c r="B5277" t="inlineStr"/>
      <c r="C5277" t="inlineStr"/>
      <c r="D5277" t="inlineStr"/>
      <c r="E5277">
        <f>HYPERLINK("https://www.ncbi.nlm.nih.gov/gene/?term=OCT72560.1", "OCT72560.1")</f>
        <v/>
      </c>
      <c r="F5277" t="n">
        <v>37.7</v>
      </c>
      <c r="G5277" t="n">
        <v>337</v>
      </c>
      <c r="H5277" t="n">
        <v>4.87e-63</v>
      </c>
      <c r="I5277" t="inlineStr">
        <is>
          <t>Nr</t>
        </is>
      </c>
      <c r="J5277" t="inlineStr"/>
      <c r="K5277" t="inlineStr"/>
      <c r="L5277" t="inlineStr">
        <is>
          <t>OCT72560.1 hypothetical protein XELAEV_18035541mg [Xenopus laevis]</t>
        </is>
      </c>
      <c r="M5277" t="n">
        <v>461</v>
      </c>
      <c r="N5277" t="inlineStr">
        <is>
          <t>Xenopus laevis</t>
        </is>
      </c>
      <c r="O5277" t="inlineStr">
        <is>
          <t>hypothetical protein XELAEV_18035541mg</t>
        </is>
      </c>
    </row>
    <row r="5278">
      <c r="A5278" t="inlineStr"/>
      <c r="B5278" t="inlineStr"/>
      <c r="C5278" t="inlineStr"/>
      <c r="D5278" t="inlineStr"/>
      <c r="E5278">
        <f>HYPERLINK("https://www.ncbi.nlm.nih.gov/gene/?term=OCT76204.1", "OCT76204.1")</f>
        <v/>
      </c>
      <c r="F5278" t="n">
        <v>36.2</v>
      </c>
      <c r="G5278" t="n">
        <v>326</v>
      </c>
      <c r="H5278" t="n">
        <v>5.48e-62</v>
      </c>
      <c r="I5278" t="inlineStr">
        <is>
          <t>Nr</t>
        </is>
      </c>
      <c r="J5278" t="inlineStr"/>
      <c r="K5278" t="inlineStr"/>
      <c r="L5278" t="inlineStr">
        <is>
          <t>OCT76204.1 hypothetical protein XELAEV_18031398mg [Xenopus laevis]</t>
        </is>
      </c>
      <c r="M5278" t="n">
        <v>506</v>
      </c>
      <c r="N5278" t="inlineStr">
        <is>
          <t>Xenopus laevis</t>
        </is>
      </c>
      <c r="O5278" t="inlineStr">
        <is>
          <t>hypothetical protein XELAEV_18031398mg</t>
        </is>
      </c>
    </row>
    <row r="5279">
      <c r="A5279" t="inlineStr"/>
      <c r="B5279" t="inlineStr"/>
      <c r="C5279" t="inlineStr"/>
      <c r="D5279" t="inlineStr"/>
      <c r="E5279">
        <f>HYPERLINK("https://www.ncbi.nlm.nih.gov/gene/?term=XP_040277323.1", "XP_040277323.1")</f>
        <v/>
      </c>
      <c r="F5279" t="n">
        <v>32.7</v>
      </c>
      <c r="G5279" t="n">
        <v>382</v>
      </c>
      <c r="H5279" t="n">
        <v>1.56e-59</v>
      </c>
      <c r="I5279" t="inlineStr">
        <is>
          <t>Nr</t>
        </is>
      </c>
      <c r="J5279" t="inlineStr"/>
      <c r="K5279" t="inlineStr"/>
      <c r="L5279" t="inlineStr">
        <is>
          <t>XP_040277323.1 uncharacterized protein LOC120992413 [Bufo bufo]</t>
        </is>
      </c>
      <c r="M5279" t="n">
        <v>443</v>
      </c>
      <c r="N5279" t="inlineStr">
        <is>
          <t>Bufo bufo</t>
        </is>
      </c>
      <c r="O5279" t="inlineStr">
        <is>
          <t>uncharacterized protein LOC120992413</t>
        </is>
      </c>
    </row>
    <row r="5280">
      <c r="A5280" t="inlineStr"/>
      <c r="B5280" t="inlineStr"/>
      <c r="C5280" t="inlineStr"/>
      <c r="D5280" t="inlineStr"/>
      <c r="E5280">
        <f>HYPERLINK("https://www.uniprot.org/uniprotkb/A0A8J0UV99/entry", "A0A8J0UV99")</f>
        <v/>
      </c>
      <c r="F5280" t="n">
        <v>35.5</v>
      </c>
      <c r="G5280" t="n">
        <v>361</v>
      </c>
      <c r="H5280" t="n">
        <v>2.14e-59</v>
      </c>
      <c r="I5280" t="inlineStr">
        <is>
          <t>TrEMBL</t>
        </is>
      </c>
      <c r="J5280" t="inlineStr">
        <is>
          <t>LOC108711328</t>
        </is>
      </c>
      <c r="K5280" t="inlineStr">
        <is>
          <t>A0A8J0UV99_XENLA</t>
        </is>
      </c>
      <c r="L5280" t="inlineStr">
        <is>
          <t>tr|A0A8J0UV99|A0A8J0UV99_XENLA uncharacterized protein LOC108711328 OS=Xenopus laevis OX=8355 GN=LOC108711328 PE=4 SV=1</t>
        </is>
      </c>
      <c r="M5280" t="n">
        <v>425</v>
      </c>
      <c r="N5280" t="inlineStr">
        <is>
          <t>Xenopus laevis</t>
        </is>
      </c>
      <c r="O5280" t="inlineStr">
        <is>
          <t>uncharacterized protein LOC108711328</t>
        </is>
      </c>
    </row>
    <row r="5281">
      <c r="A5281" t="inlineStr"/>
      <c r="B5281" t="inlineStr"/>
      <c r="C5281" t="inlineStr"/>
      <c r="D5281" t="inlineStr"/>
      <c r="E5281">
        <f>HYPERLINK("https://www.ncbi.nlm.nih.gov/gene/?term=OCT58568.1", "OCT58568.1")</f>
        <v/>
      </c>
      <c r="F5281" t="n">
        <v>33.1</v>
      </c>
      <c r="G5281" t="n">
        <v>354</v>
      </c>
      <c r="H5281" t="n">
        <v>3.6e-59</v>
      </c>
      <c r="I5281" t="inlineStr">
        <is>
          <t>Nr</t>
        </is>
      </c>
      <c r="J5281" t="inlineStr"/>
      <c r="K5281" t="inlineStr"/>
      <c r="L5281" t="inlineStr">
        <is>
          <t>OCT58568.1 hypothetical protein XELAEV_18002002mg [Xenopus laevis]</t>
        </is>
      </c>
      <c r="M5281" t="n">
        <v>369</v>
      </c>
      <c r="N5281" t="inlineStr">
        <is>
          <t>Xenopus laevis</t>
        </is>
      </c>
      <c r="O5281" t="inlineStr">
        <is>
          <t>hypothetical protein XELAEV_18002002mg</t>
        </is>
      </c>
    </row>
    <row r="5282">
      <c r="A5282" t="inlineStr"/>
      <c r="B5282" t="inlineStr"/>
      <c r="C5282" t="inlineStr"/>
      <c r="D5282" t="inlineStr"/>
      <c r="E5282">
        <f>HYPERLINK("https://www.ncbi.nlm.nih.gov/gene/?term=XP_018108445.1", "XP_018108445.1")</f>
        <v/>
      </c>
      <c r="F5282" t="n">
        <v>35.5</v>
      </c>
      <c r="G5282" t="n">
        <v>361</v>
      </c>
      <c r="H5282" t="n">
        <v>5.5e-59</v>
      </c>
      <c r="I5282" t="inlineStr">
        <is>
          <t>Nr</t>
        </is>
      </c>
      <c r="J5282" t="inlineStr"/>
      <c r="K5282" t="inlineStr"/>
      <c r="L5282" t="inlineStr">
        <is>
          <t>XP_018108445.1 uncharacterized protein LOC108711328 [Xenopus laevis]</t>
        </is>
      </c>
      <c r="M5282" t="n">
        <v>425</v>
      </c>
      <c r="N5282" t="inlineStr">
        <is>
          <t>Xenopus laevis</t>
        </is>
      </c>
      <c r="O5282" t="inlineStr">
        <is>
          <t>uncharacterized protein LOC108711328</t>
        </is>
      </c>
    </row>
    <row r="5283">
      <c r="A5283" t="inlineStr"/>
      <c r="B5283" t="inlineStr"/>
      <c r="C5283" t="inlineStr"/>
      <c r="D5283" t="inlineStr"/>
      <c r="E5283">
        <f>HYPERLINK("https://www.ncbi.nlm.nih.gov/gene/?term=OCT61343.1", "OCT61343.1")</f>
        <v/>
      </c>
      <c r="F5283" t="n">
        <v>35.1</v>
      </c>
      <c r="G5283" t="n">
        <v>362</v>
      </c>
      <c r="H5283" t="n">
        <v>1.06e-58</v>
      </c>
      <c r="I5283" t="inlineStr">
        <is>
          <t>Nr</t>
        </is>
      </c>
      <c r="J5283" t="inlineStr"/>
      <c r="K5283" t="inlineStr"/>
      <c r="L5283" t="inlineStr">
        <is>
          <t>OCT61343.1 hypothetical protein XELAEV_18047366mg [Xenopus laevis]</t>
        </is>
      </c>
      <c r="M5283" t="n">
        <v>1952</v>
      </c>
      <c r="N5283" t="inlineStr">
        <is>
          <t>Xenopus laevis</t>
        </is>
      </c>
      <c r="O5283" t="inlineStr">
        <is>
          <t>hypothetical protein XELAEV_18047366mg</t>
        </is>
      </c>
    </row>
    <row r="5284">
      <c r="A5284" t="inlineStr"/>
      <c r="B5284" t="inlineStr"/>
      <c r="C5284" t="inlineStr"/>
      <c r="D5284" t="inlineStr"/>
      <c r="E5284">
        <f>HYPERLINK("https://www.ncbi.nlm.nih.gov/gene/?term=OCU00888.1", "OCU00888.1")</f>
        <v/>
      </c>
      <c r="F5284" t="n">
        <v>35.8</v>
      </c>
      <c r="G5284" t="n">
        <v>310</v>
      </c>
      <c r="H5284" t="n">
        <v>2.59e-57</v>
      </c>
      <c r="I5284" t="inlineStr">
        <is>
          <t>Nr</t>
        </is>
      </c>
      <c r="J5284" t="inlineStr"/>
      <c r="K5284" t="inlineStr"/>
      <c r="L5284" t="inlineStr">
        <is>
          <t>OCU00888.1 hypothetical protein XELAEV_18006665mg [Xenopus laevis]</t>
        </is>
      </c>
      <c r="M5284" t="n">
        <v>402</v>
      </c>
      <c r="N5284" t="inlineStr">
        <is>
          <t>Xenopus laevis</t>
        </is>
      </c>
      <c r="O5284" t="inlineStr">
        <is>
          <t>hypothetical protein XELAEV_18006665mg</t>
        </is>
      </c>
    </row>
    <row r="5285">
      <c r="A5285" t="inlineStr"/>
      <c r="B5285" t="inlineStr"/>
      <c r="C5285" t="inlineStr"/>
      <c r="D5285" t="inlineStr"/>
      <c r="E5285">
        <f>HYPERLINK("https://www.ncbi.nlm.nih.gov/gene/?term=OCT86743.1", "OCT86743.1")</f>
        <v/>
      </c>
      <c r="F5285" t="n">
        <v>34.1</v>
      </c>
      <c r="G5285" t="n">
        <v>361</v>
      </c>
      <c r="H5285" t="n">
        <v>2.7e-57</v>
      </c>
      <c r="I5285" t="inlineStr">
        <is>
          <t>Nr</t>
        </is>
      </c>
      <c r="J5285" t="inlineStr"/>
      <c r="K5285" t="inlineStr"/>
      <c r="L5285" t="inlineStr">
        <is>
          <t>OCT86743.1 hypothetical protein XELAEV_18020432mg [Xenopus laevis]</t>
        </is>
      </c>
      <c r="M5285" t="n">
        <v>339</v>
      </c>
      <c r="N5285" t="inlineStr">
        <is>
          <t>Xenopus laevis</t>
        </is>
      </c>
      <c r="O5285" t="inlineStr">
        <is>
          <t>hypothetical protein XELAEV_18020432mg</t>
        </is>
      </c>
    </row>
    <row r="5286">
      <c r="A5286" t="inlineStr"/>
      <c r="B5286" t="inlineStr"/>
      <c r="C5286" t="inlineStr"/>
      <c r="D5286" t="inlineStr"/>
      <c r="E5286">
        <f>HYPERLINK("https://www.ncbi.nlm.nih.gov/gene/?term=OCT91369.1", "OCT91369.1")</f>
        <v/>
      </c>
      <c r="F5286" t="n">
        <v>41.2</v>
      </c>
      <c r="G5286" t="n">
        <v>243</v>
      </c>
      <c r="H5286" t="n">
        <v>2.03e-56</v>
      </c>
      <c r="I5286" t="inlineStr">
        <is>
          <t>Nr</t>
        </is>
      </c>
      <c r="J5286" t="inlineStr"/>
      <c r="K5286" t="inlineStr"/>
      <c r="L5286" t="inlineStr">
        <is>
          <t>OCT91369.1 hypothetical protein XELAEV_18014421mg [Xenopus laevis]</t>
        </is>
      </c>
      <c r="M5286" t="n">
        <v>243</v>
      </c>
      <c r="N5286" t="inlineStr">
        <is>
          <t>Xenopus laevis</t>
        </is>
      </c>
      <c r="O5286" t="inlineStr">
        <is>
          <t>hypothetical protein XELAEV_18014421mg</t>
        </is>
      </c>
    </row>
    <row r="5287">
      <c r="A5287" t="inlineStr"/>
      <c r="B5287" t="inlineStr"/>
      <c r="C5287" t="inlineStr"/>
      <c r="D5287" t="inlineStr"/>
      <c r="E5287">
        <f>HYPERLINK("https://www.ncbi.nlm.nih.gov/gene/?term=OCT71820.1", "OCT71820.1")</f>
        <v/>
      </c>
      <c r="F5287" t="n">
        <v>34.6</v>
      </c>
      <c r="G5287" t="n">
        <v>350</v>
      </c>
      <c r="H5287" t="n">
        <v>2.72e-55</v>
      </c>
      <c r="I5287" t="inlineStr">
        <is>
          <t>Nr</t>
        </is>
      </c>
      <c r="J5287" t="inlineStr"/>
      <c r="K5287" t="inlineStr"/>
      <c r="L5287" t="inlineStr">
        <is>
          <t>OCT71820.1 hypothetical protein XELAEV_18034798mg [Xenopus laevis]</t>
        </is>
      </c>
      <c r="M5287" t="n">
        <v>384</v>
      </c>
      <c r="N5287" t="inlineStr">
        <is>
          <t>Xenopus laevis</t>
        </is>
      </c>
      <c r="O5287" t="inlineStr">
        <is>
          <t>hypothetical protein XELAEV_18034798mg</t>
        </is>
      </c>
    </row>
    <row r="5288">
      <c r="A5288" t="inlineStr"/>
      <c r="B5288" t="inlineStr"/>
      <c r="C5288" t="inlineStr"/>
      <c r="D5288" t="inlineStr"/>
      <c r="E5288">
        <f>HYPERLINK("https://www.ncbi.nlm.nih.gov/gene/?term=OCT88249.1", "OCT88249.1")</f>
        <v/>
      </c>
      <c r="F5288" t="n">
        <v>33.2</v>
      </c>
      <c r="G5288" t="n">
        <v>325</v>
      </c>
      <c r="H5288" t="n">
        <v>6.46e-55</v>
      </c>
      <c r="I5288" t="inlineStr">
        <is>
          <t>Nr</t>
        </is>
      </c>
      <c r="J5288" t="inlineStr"/>
      <c r="K5288" t="inlineStr"/>
      <c r="L5288" t="inlineStr">
        <is>
          <t>OCT88249.1 hypothetical protein XELAEV_18016880mg [Xenopus laevis]</t>
        </is>
      </c>
      <c r="M5288" t="n">
        <v>433</v>
      </c>
      <c r="N5288" t="inlineStr">
        <is>
          <t>Xenopus laevis</t>
        </is>
      </c>
      <c r="O5288" t="inlineStr">
        <is>
          <t>hypothetical protein XELAEV_18016880mg</t>
        </is>
      </c>
    </row>
    <row r="5289">
      <c r="A5289" t="inlineStr"/>
      <c r="B5289" t="inlineStr"/>
      <c r="C5289" t="inlineStr"/>
      <c r="D5289" t="inlineStr"/>
      <c r="E5289">
        <f>HYPERLINK("https://www.ncbi.nlm.nih.gov/gene/?term=OCT99555.1", "OCT99555.1")</f>
        <v/>
      </c>
      <c r="F5289" t="n">
        <v>35.3</v>
      </c>
      <c r="G5289" t="n">
        <v>351</v>
      </c>
      <c r="H5289" t="n">
        <v>1.66e-54</v>
      </c>
      <c r="I5289" t="inlineStr">
        <is>
          <t>Nr</t>
        </is>
      </c>
      <c r="J5289" t="inlineStr"/>
      <c r="K5289" t="inlineStr"/>
      <c r="L5289" t="inlineStr">
        <is>
          <t>OCT99555.1 hypothetical protein XELAEV_18005337mg [Xenopus laevis]</t>
        </is>
      </c>
      <c r="M5289" t="n">
        <v>430</v>
      </c>
      <c r="N5289" t="inlineStr">
        <is>
          <t>Xenopus laevis</t>
        </is>
      </c>
      <c r="O5289" t="inlineStr">
        <is>
          <t>hypothetical protein XELAEV_18005337mg</t>
        </is>
      </c>
    </row>
    <row r="5290">
      <c r="A5290" t="inlineStr"/>
      <c r="B5290" t="inlineStr"/>
      <c r="C5290" t="inlineStr"/>
      <c r="D5290" t="inlineStr"/>
      <c r="E5290">
        <f>HYPERLINK("https://www.ncbi.nlm.nih.gov/gene/?term=OCT92649.1", "OCT92649.1")</f>
        <v/>
      </c>
      <c r="F5290" t="n">
        <v>34.2</v>
      </c>
      <c r="G5290" t="n">
        <v>363</v>
      </c>
      <c r="H5290" t="n">
        <v>1.51e-52</v>
      </c>
      <c r="I5290" t="inlineStr">
        <is>
          <t>Nr</t>
        </is>
      </c>
      <c r="J5290" t="inlineStr"/>
      <c r="K5290" t="inlineStr"/>
      <c r="L5290" t="inlineStr">
        <is>
          <t>OCT92649.1 hypothetical protein XELAEV_18015707mg [Xenopus laevis]</t>
        </is>
      </c>
      <c r="M5290" t="n">
        <v>326</v>
      </c>
      <c r="N5290" t="inlineStr">
        <is>
          <t>Xenopus laevis</t>
        </is>
      </c>
      <c r="O5290" t="inlineStr">
        <is>
          <t>hypothetical protein XELAEV_18015707mg</t>
        </is>
      </c>
    </row>
    <row r="5291">
      <c r="A5291" t="inlineStr"/>
      <c r="B5291" t="inlineStr"/>
      <c r="C5291" t="inlineStr"/>
      <c r="D5291" t="inlineStr"/>
      <c r="E5291">
        <f>HYPERLINK("https://www.uniprot.org/uniprotkb/A0A803JPC3/entry", "A0A803JPC3")</f>
        <v/>
      </c>
      <c r="F5291" t="n">
        <v>31.6</v>
      </c>
      <c r="G5291" t="n">
        <v>370</v>
      </c>
      <c r="H5291" t="n">
        <v>1.69e-52</v>
      </c>
      <c r="I5291" t="inlineStr">
        <is>
          <t>TrEMBL</t>
        </is>
      </c>
      <c r="J5291" t="inlineStr"/>
      <c r="K5291" t="inlineStr">
        <is>
          <t>A0A803JPC3_XENTR</t>
        </is>
      </c>
      <c r="L5291" t="inlineStr">
        <is>
          <t>tr|A0A803JPC3|A0A803JPC3_XENTR Reverse transcriptase domain-containing protein OS=Xenopus tropicalis OX=8364 PE=4 SV=1</t>
        </is>
      </c>
      <c r="M5291" t="n">
        <v>631</v>
      </c>
      <c r="N5291" t="inlineStr">
        <is>
          <t>Xenopus tropicalis</t>
        </is>
      </c>
      <c r="O5291" t="inlineStr">
        <is>
          <t>Reverse transcriptase domain-containing protein</t>
        </is>
      </c>
    </row>
    <row r="5292">
      <c r="A5292" t="inlineStr"/>
      <c r="B5292" t="inlineStr"/>
      <c r="C5292" t="inlineStr"/>
      <c r="D5292" t="inlineStr"/>
      <c r="E5292">
        <f>HYPERLINK("https://www.uniprot.org/uniprotkb/A0A8J1L7P8/entry", "A0A8J1L7P8")</f>
        <v/>
      </c>
      <c r="F5292" t="n">
        <v>32.3</v>
      </c>
      <c r="G5292" t="n">
        <v>381</v>
      </c>
      <c r="H5292" t="n">
        <v>1.8e-52</v>
      </c>
      <c r="I5292" t="inlineStr">
        <is>
          <t>TrEMBL</t>
        </is>
      </c>
      <c r="J5292" t="inlineStr">
        <is>
          <t>LOC121395346</t>
        </is>
      </c>
      <c r="K5292" t="inlineStr">
        <is>
          <t>A0A8J1L7P8_XENLA</t>
        </is>
      </c>
      <c r="L5292" t="inlineStr">
        <is>
          <t>tr|A0A8J1L7P8|A0A8J1L7P8_XENLA uncharacterized protein LOC121395346 isoform X1 OS=Xenopus laevis OX=8355 GN=LOC121395346 PE=4 SV=1</t>
        </is>
      </c>
      <c r="M5292" t="n">
        <v>840</v>
      </c>
      <c r="N5292" t="inlineStr">
        <is>
          <t>Xenopus laevis</t>
        </is>
      </c>
      <c r="O5292" t="inlineStr">
        <is>
          <t>uncharacterized protein LOC121395346 isoform X1</t>
        </is>
      </c>
    </row>
    <row r="5293">
      <c r="A5293" t="inlineStr"/>
      <c r="B5293" t="inlineStr"/>
      <c r="C5293" t="inlineStr"/>
      <c r="D5293" t="inlineStr"/>
      <c r="E5293">
        <f>HYPERLINK("https://www.ncbi.nlm.nih.gov/gene/?term=OCT79926.1", "OCT79926.1")</f>
        <v/>
      </c>
      <c r="F5293" t="n">
        <v>34.7</v>
      </c>
      <c r="G5293" t="n">
        <v>363</v>
      </c>
      <c r="H5293" t="n">
        <v>4.589999999999999e-52</v>
      </c>
      <c r="I5293" t="inlineStr">
        <is>
          <t>Nr</t>
        </is>
      </c>
      <c r="J5293" t="inlineStr"/>
      <c r="K5293" t="inlineStr"/>
      <c r="L5293" t="inlineStr">
        <is>
          <t>OCT79926.1 hypothetical protein XELAEV_18026740mg [Xenopus laevis]</t>
        </is>
      </c>
      <c r="M5293" t="n">
        <v>355</v>
      </c>
      <c r="N5293" t="inlineStr">
        <is>
          <t>Xenopus laevis</t>
        </is>
      </c>
      <c r="O5293" t="inlineStr">
        <is>
          <t>hypothetical protein XELAEV_18026740mg</t>
        </is>
      </c>
    </row>
    <row r="5294">
      <c r="A5294" t="inlineStr"/>
      <c r="B5294" t="inlineStr"/>
      <c r="C5294" t="inlineStr"/>
      <c r="D5294" t="inlineStr"/>
      <c r="E5294">
        <f>HYPERLINK("https://www.uniprot.org/uniprotkb/A0A8J1LQU2/entry", "A0A8J1LQU2")</f>
        <v/>
      </c>
      <c r="F5294" t="n">
        <v>33.5</v>
      </c>
      <c r="G5294" t="n">
        <v>364</v>
      </c>
      <c r="H5294" t="n">
        <v>1.68e-51</v>
      </c>
      <c r="I5294" t="inlineStr">
        <is>
          <t>TrEMBL</t>
        </is>
      </c>
      <c r="J5294" t="inlineStr">
        <is>
          <t>LOC121397896</t>
        </is>
      </c>
      <c r="K5294" t="inlineStr">
        <is>
          <t>A0A8J1LQU2_XENLA</t>
        </is>
      </c>
      <c r="L5294" t="inlineStr">
        <is>
          <t>tr|A0A8J1LQU2|A0A8J1LQU2_XENLA uncharacterized protein LOC121397896 OS=Xenopus laevis OX=8355 GN=LOC121397896 PE=4 SV=1</t>
        </is>
      </c>
      <c r="M5294" t="n">
        <v>464</v>
      </c>
      <c r="N5294" t="inlineStr">
        <is>
          <t>Xenopus laevis</t>
        </is>
      </c>
      <c r="O5294" t="inlineStr">
        <is>
          <t>uncharacterized protein LOC121397896</t>
        </is>
      </c>
    </row>
    <row r="5295">
      <c r="A5295" t="inlineStr"/>
      <c r="B5295" t="inlineStr"/>
      <c r="C5295" t="inlineStr"/>
      <c r="D5295" t="inlineStr"/>
      <c r="E5295">
        <f>HYPERLINK("https://www.uniprot.org/uniprotkb/A0A8C5MP19/entry", "A0A8C5MP19")</f>
        <v/>
      </c>
      <c r="F5295" t="n">
        <v>35.3</v>
      </c>
      <c r="G5295" t="n">
        <v>363</v>
      </c>
      <c r="H5295" t="n">
        <v>1.08e-49</v>
      </c>
      <c r="I5295" t="inlineStr">
        <is>
          <t>TrEMBL</t>
        </is>
      </c>
      <c r="J5295" t="inlineStr"/>
      <c r="K5295" t="inlineStr">
        <is>
          <t>A0A8C5MP19_9ANUR</t>
        </is>
      </c>
      <c r="L5295" t="inlineStr">
        <is>
          <t>tr|A0A8C5MP19|A0A8C5MP19_9ANUR Reverse transcriptase domain-containing protein OS=Leptobrachium leishanense OX=445787 PE=4 SV=1</t>
        </is>
      </c>
      <c r="M5295" t="n">
        <v>729</v>
      </c>
      <c r="N5295" t="inlineStr">
        <is>
          <t>Leptobrachium leishanense</t>
        </is>
      </c>
      <c r="O5295" t="inlineStr">
        <is>
          <t>Reverse transcriptase domain-containing protein</t>
        </is>
      </c>
    </row>
    <row r="5296">
      <c r="A5296" t="inlineStr"/>
      <c r="B5296" t="inlineStr"/>
      <c r="C5296" t="inlineStr"/>
      <c r="D5296" t="inlineStr"/>
      <c r="E5296">
        <f>HYPERLINK("https://www.uniprot.org/uniprotkb/A0A1B8Y0Y5/entry", "A0A1B8Y0Y5")</f>
        <v/>
      </c>
      <c r="F5296" t="n">
        <v>33.2</v>
      </c>
      <c r="G5296" t="n">
        <v>355</v>
      </c>
      <c r="H5296" t="n">
        <v>4.69e-49</v>
      </c>
      <c r="I5296" t="inlineStr">
        <is>
          <t>TrEMBL</t>
        </is>
      </c>
      <c r="J5296" t="inlineStr">
        <is>
          <t>XENTR_v90028131mg</t>
        </is>
      </c>
      <c r="K5296" t="inlineStr">
        <is>
          <t>A0A1B8Y0Y5_XENTR</t>
        </is>
      </c>
      <c r="L5296" t="inlineStr">
        <is>
          <t>tr|A0A1B8Y0Y5|A0A1B8Y0Y5_XENTR GIY-YIG domain-containing protein OS=Xenopus tropicalis OX=8364 GN=XENTR_v90028131mg PE=4 SV=1</t>
        </is>
      </c>
      <c r="M5296" t="n">
        <v>357</v>
      </c>
      <c r="N5296" t="inlineStr">
        <is>
          <t>Xenopus tropicalis</t>
        </is>
      </c>
      <c r="O5296" t="inlineStr">
        <is>
          <t>GIY-YIG domain-containing protein</t>
        </is>
      </c>
    </row>
    <row r="5297">
      <c r="A5297" t="inlineStr"/>
      <c r="B5297" t="inlineStr"/>
      <c r="C5297" t="inlineStr"/>
      <c r="D5297" t="inlineStr"/>
      <c r="E5297">
        <f>HYPERLINK("https://www.uniprot.org/uniprotkb/A0A8J1L5X1/entry", "A0A8J1L5X1")</f>
        <v/>
      </c>
      <c r="F5297" t="n">
        <v>32</v>
      </c>
      <c r="G5297" t="n">
        <v>362</v>
      </c>
      <c r="H5297" t="n">
        <v>9.31e-49</v>
      </c>
      <c r="I5297" t="inlineStr">
        <is>
          <t>TrEMBL</t>
        </is>
      </c>
      <c r="J5297" t="inlineStr">
        <is>
          <t>LOC121395443</t>
        </is>
      </c>
      <c r="K5297" t="inlineStr">
        <is>
          <t>A0A8J1L5X1_XENLA</t>
        </is>
      </c>
      <c r="L5297" t="inlineStr">
        <is>
          <t>tr|A0A8J1L5X1|A0A8J1L5X1_XENLA uncharacterized protein LOC121395443 isoform X1 OS=Xenopus laevis OX=8355 GN=LOC121395443 PE=4 SV=1</t>
        </is>
      </c>
      <c r="M5297" t="n">
        <v>371</v>
      </c>
      <c r="N5297" t="inlineStr">
        <is>
          <t>Xenopus laevis</t>
        </is>
      </c>
      <c r="O5297" t="inlineStr">
        <is>
          <t>uncharacterized protein LOC121395443 isoform X1</t>
        </is>
      </c>
    </row>
    <row r="5298">
      <c r="A5298" t="inlineStr"/>
      <c r="B5298" t="inlineStr"/>
      <c r="C5298" t="inlineStr"/>
      <c r="D5298" t="inlineStr"/>
      <c r="E5298">
        <f>HYPERLINK("https://www.uniprot.org/uniprotkb/A0A8J1KX62/entry", "A0A8J1KX62")</f>
        <v/>
      </c>
      <c r="F5298" t="n">
        <v>32</v>
      </c>
      <c r="G5298" t="n">
        <v>362</v>
      </c>
      <c r="H5298" t="n">
        <v>8.889999999999999e-48</v>
      </c>
      <c r="I5298" t="inlineStr">
        <is>
          <t>TrEMBL</t>
        </is>
      </c>
      <c r="J5298" t="inlineStr">
        <is>
          <t>LOC121394310</t>
        </is>
      </c>
      <c r="K5298" t="inlineStr">
        <is>
          <t>A0A8J1KX62_XENLA</t>
        </is>
      </c>
      <c r="L5298" t="inlineStr">
        <is>
          <t>tr|A0A8J1KX62|A0A8J1KX62_XENLA uncharacterized protein LOC121394310 isoform X1 OS=Xenopus laevis OX=8355 GN=LOC121394310 PE=4 SV=1</t>
        </is>
      </c>
      <c r="M5298" t="n">
        <v>473</v>
      </c>
      <c r="N5298" t="inlineStr">
        <is>
          <t>Xenopus laevis</t>
        </is>
      </c>
      <c r="O5298" t="inlineStr">
        <is>
          <t>uncharacterized protein LOC121394310 isoform X1</t>
        </is>
      </c>
    </row>
    <row r="5299">
      <c r="A5299" t="inlineStr"/>
      <c r="B5299" t="inlineStr"/>
      <c r="C5299" t="inlineStr"/>
      <c r="D5299" t="inlineStr"/>
      <c r="E5299">
        <f>HYPERLINK("https://www.uniprot.org/uniprotkb/A0A8J1IZR5/entry", "A0A8J1IZR5")</f>
        <v/>
      </c>
      <c r="F5299" t="n">
        <v>36.3</v>
      </c>
      <c r="G5299" t="n">
        <v>292</v>
      </c>
      <c r="H5299" t="n">
        <v>1.32e-47</v>
      </c>
      <c r="I5299" t="inlineStr">
        <is>
          <t>TrEMBL</t>
        </is>
      </c>
      <c r="J5299" t="inlineStr">
        <is>
          <t>LOC116408410</t>
        </is>
      </c>
      <c r="K5299" t="inlineStr">
        <is>
          <t>A0A8J1IZR5_XENTR</t>
        </is>
      </c>
      <c r="L5299" t="inlineStr">
        <is>
          <t>tr|A0A8J1IZR5|A0A8J1IZR5_XENTR uncharacterized protein LOC116408410 OS=Xenopus tropicalis OX=8364 GN=LOC116408410 PE=4 SV=1</t>
        </is>
      </c>
      <c r="M5299" t="n">
        <v>570</v>
      </c>
      <c r="N5299" t="inlineStr">
        <is>
          <t>Xenopus tropicalis</t>
        </is>
      </c>
      <c r="O5299" t="inlineStr">
        <is>
          <t>uncharacterized protein LOC116408410</t>
        </is>
      </c>
    </row>
    <row r="5300">
      <c r="A5300" t="inlineStr"/>
      <c r="B5300" t="inlineStr"/>
      <c r="C5300" t="inlineStr"/>
      <c r="D5300" t="inlineStr"/>
      <c r="E5300">
        <f>HYPERLINK("https://www.uniprot.org/uniprotkb/A0A803J6K6/entry", "A0A803J6K6")</f>
        <v/>
      </c>
      <c r="F5300" t="n">
        <v>32.5</v>
      </c>
      <c r="G5300" t="n">
        <v>360</v>
      </c>
      <c r="H5300" t="n">
        <v>4.47e-46</v>
      </c>
      <c r="I5300" t="inlineStr">
        <is>
          <t>TrEMBL</t>
        </is>
      </c>
      <c r="J5300" t="inlineStr"/>
      <c r="K5300" t="inlineStr">
        <is>
          <t>A0A803J6K6_XENTR</t>
        </is>
      </c>
      <c r="L5300" t="inlineStr">
        <is>
          <t>tr|A0A803J6K6|A0A803J6K6_XENTR GIY-YIG domain-containing protein OS=Xenopus tropicalis OX=8364 PE=4 SV=1</t>
        </is>
      </c>
      <c r="M5300" t="n">
        <v>764</v>
      </c>
      <c r="N5300" t="inlineStr">
        <is>
          <t>Xenopus tropicalis</t>
        </is>
      </c>
      <c r="O5300" t="inlineStr">
        <is>
          <t>GIY-YIG domain-containing protein</t>
        </is>
      </c>
    </row>
    <row r="5301">
      <c r="A5301" t="inlineStr"/>
      <c r="B5301" t="inlineStr"/>
      <c r="C5301" t="inlineStr"/>
      <c r="D5301" t="inlineStr"/>
      <c r="E5301">
        <f>HYPERLINK("https://www.uniprot.org/uniprotkb/A0A803JIM5/entry", "A0A803JIM5")</f>
        <v/>
      </c>
      <c r="F5301" t="n">
        <v>31.8</v>
      </c>
      <c r="G5301" t="n">
        <v>358</v>
      </c>
      <c r="H5301" t="n">
        <v>1.62e-45</v>
      </c>
      <c r="I5301" t="inlineStr">
        <is>
          <t>TrEMBL</t>
        </is>
      </c>
      <c r="J5301" t="inlineStr"/>
      <c r="K5301" t="inlineStr">
        <is>
          <t>A0A803JIM5_XENTR</t>
        </is>
      </c>
      <c r="L5301" t="inlineStr">
        <is>
          <t>tr|A0A803JIM5|A0A803JIM5_XENTR GIY-YIG domain-containing protein OS=Xenopus tropicalis OX=8364 PE=4 SV=1</t>
        </is>
      </c>
      <c r="M5301" t="n">
        <v>661</v>
      </c>
      <c r="N5301" t="inlineStr">
        <is>
          <t>Xenopus tropicalis</t>
        </is>
      </c>
      <c r="O5301" t="inlineStr">
        <is>
          <t>GIY-YIG domain-containing protein</t>
        </is>
      </c>
    </row>
    <row r="5302">
      <c r="A5302" t="inlineStr"/>
      <c r="B5302" t="inlineStr"/>
      <c r="C5302" t="inlineStr"/>
      <c r="D5302" t="inlineStr"/>
      <c r="E5302">
        <f>HYPERLINK("https://www.uniprot.org/uniprotkb/A0A8J1L5X3/entry", "A0A8J1L5X3")</f>
        <v/>
      </c>
      <c r="F5302" t="n">
        <v>31.7</v>
      </c>
      <c r="G5302" t="n">
        <v>363</v>
      </c>
      <c r="H5302" t="n">
        <v>2.8e-44</v>
      </c>
      <c r="I5302" t="inlineStr">
        <is>
          <t>TrEMBL</t>
        </is>
      </c>
      <c r="J5302" t="inlineStr">
        <is>
          <t>LOC121395456</t>
        </is>
      </c>
      <c r="K5302" t="inlineStr">
        <is>
          <t>A0A8J1L5X3_XENLA</t>
        </is>
      </c>
      <c r="L5302" t="inlineStr">
        <is>
          <t>tr|A0A8J1L5X3|A0A8J1L5X3_XENLA uncharacterized protein LOC121395456 isoform X1 OS=Xenopus laevis OX=8355 GN=LOC121395456 PE=4 SV=1</t>
        </is>
      </c>
      <c r="M5302" t="n">
        <v>494</v>
      </c>
      <c r="N5302" t="inlineStr">
        <is>
          <t>Xenopus laevis</t>
        </is>
      </c>
      <c r="O5302" t="inlineStr">
        <is>
          <t>uncharacterized protein LOC121395456 isoform X1</t>
        </is>
      </c>
    </row>
    <row r="5303">
      <c r="A5303" t="inlineStr">
        <is>
          <t>NODE_32179_length_3875_cov_383.515494_g11019_i0</t>
        </is>
      </c>
      <c r="B5303" t="inlineStr">
        <is>
          <t>bombina_pachypus_blastx</t>
        </is>
      </c>
      <c r="C5303" t="n">
        <v>6.72570077804173</v>
      </c>
      <c r="D5303" t="n">
        <v>3.7093330344199e-43</v>
      </c>
      <c r="E5303">
        <f>HYPERLINK("https://www.ncbi.nlm.nih.gov/gene/?term=XP_040296996.1", "XP_040296996.1")</f>
        <v/>
      </c>
      <c r="F5303" t="n">
        <v>83.3</v>
      </c>
      <c r="G5303" t="n">
        <v>287</v>
      </c>
      <c r="H5303" t="n">
        <v>3.410000000000001e-163</v>
      </c>
      <c r="I5303" t="inlineStr">
        <is>
          <t>Nr</t>
        </is>
      </c>
      <c r="J5303" t="inlineStr"/>
      <c r="K5303" t="inlineStr"/>
      <c r="L5303" t="inlineStr">
        <is>
          <t>XP_040296996.1 transmembrane protein 163 [Bufo bufo]</t>
        </is>
      </c>
      <c r="M5303" t="n">
        <v>287</v>
      </c>
      <c r="N5303" t="inlineStr">
        <is>
          <t>Bufo bufo</t>
        </is>
      </c>
      <c r="O5303" t="inlineStr">
        <is>
          <t>transmembrane protein 163</t>
        </is>
      </c>
    </row>
    <row r="5304">
      <c r="A5304" t="inlineStr"/>
      <c r="B5304" t="inlineStr"/>
      <c r="C5304" t="inlineStr"/>
      <c r="D5304" t="inlineStr"/>
      <c r="E5304">
        <f>HYPERLINK("https://www.ncbi.nlm.nih.gov/gene/?term=XP_044160886.1", "XP_044160886.1")</f>
        <v/>
      </c>
      <c r="F5304" t="n">
        <v>82.90000000000001</v>
      </c>
      <c r="G5304" t="n">
        <v>287</v>
      </c>
      <c r="H5304" t="n">
        <v>9.760000000000001e-163</v>
      </c>
      <c r="I5304" t="inlineStr">
        <is>
          <t>Nr</t>
        </is>
      </c>
      <c r="J5304" t="inlineStr"/>
      <c r="K5304" t="inlineStr"/>
      <c r="L5304" t="inlineStr">
        <is>
          <t>XP_044160886.1 transmembrane protein 163 [Bufo gargarizans]</t>
        </is>
      </c>
      <c r="M5304" t="n">
        <v>287</v>
      </c>
      <c r="N5304" t="inlineStr">
        <is>
          <t>Bufo gargarizans</t>
        </is>
      </c>
      <c r="O5304" t="inlineStr">
        <is>
          <t>transmembrane protein 163</t>
        </is>
      </c>
    </row>
    <row r="5305">
      <c r="A5305" t="inlineStr"/>
      <c r="B5305" t="inlineStr"/>
      <c r="C5305" t="inlineStr"/>
      <c r="D5305" t="inlineStr"/>
      <c r="E5305">
        <f>HYPERLINK("https://www.ncbi.nlm.nih.gov/gene/?term=XP_053327873.1", "XP_053327873.1")</f>
        <v/>
      </c>
      <c r="F5305" t="n">
        <v>83.7</v>
      </c>
      <c r="G5305" t="n">
        <v>288</v>
      </c>
      <c r="H5305" t="n">
        <v>2.04e-162</v>
      </c>
      <c r="I5305" t="inlineStr">
        <is>
          <t>Nr</t>
        </is>
      </c>
      <c r="J5305" t="inlineStr"/>
      <c r="K5305" t="inlineStr"/>
      <c r="L5305" t="inlineStr">
        <is>
          <t>XP_053327873.1 transmembrane protein 163 [Spea bombifrons]</t>
        </is>
      </c>
      <c r="M5305" t="n">
        <v>288</v>
      </c>
      <c r="N5305" t="inlineStr">
        <is>
          <t>Spea bombifrons</t>
        </is>
      </c>
      <c r="O5305" t="inlineStr">
        <is>
          <t>transmembrane protein 163</t>
        </is>
      </c>
    </row>
    <row r="5306">
      <c r="A5306" t="inlineStr"/>
      <c r="B5306" t="inlineStr"/>
      <c r="C5306" t="inlineStr"/>
      <c r="D5306" t="inlineStr"/>
      <c r="E5306">
        <f>HYPERLINK("https://www.uniprot.org/uniprotkb/Q6GLN7/entry", "Q6GLN7")</f>
        <v/>
      </c>
      <c r="F5306" t="n">
        <v>82.59999999999999</v>
      </c>
      <c r="G5306" t="n">
        <v>287</v>
      </c>
      <c r="H5306" t="n">
        <v>3.52e-162</v>
      </c>
      <c r="I5306" t="inlineStr">
        <is>
          <t>Swiss-Prot</t>
        </is>
      </c>
      <c r="J5306" t="inlineStr">
        <is>
          <t>tmem163</t>
        </is>
      </c>
      <c r="K5306" t="inlineStr">
        <is>
          <t>TM163_XENLA</t>
        </is>
      </c>
      <c r="L5306" t="inlineStr">
        <is>
          <t>sp|Q6GLN7|TM163_XENLA Transmembrane protein 163 OS=Xenopus laevis OX=8355 GN=tmem163 PE=2 SV=1</t>
        </is>
      </c>
      <c r="M5306" t="n">
        <v>281</v>
      </c>
      <c r="N5306" t="inlineStr">
        <is>
          <t>Xenopus laevis</t>
        </is>
      </c>
      <c r="O5306" t="inlineStr">
        <is>
          <t>Transmembrane protein 163</t>
        </is>
      </c>
    </row>
    <row r="5307">
      <c r="A5307" t="inlineStr"/>
      <c r="B5307" t="inlineStr"/>
      <c r="C5307" t="inlineStr"/>
      <c r="D5307" t="inlineStr"/>
      <c r="E5307">
        <f>HYPERLINK("https://www.uniprot.org/uniprotkb/A8KBD1/entry", "A8KBD1")</f>
        <v/>
      </c>
      <c r="F5307" t="n">
        <v>82.90000000000001</v>
      </c>
      <c r="G5307" t="n">
        <v>287</v>
      </c>
      <c r="H5307" t="n">
        <v>2.92e-161</v>
      </c>
      <c r="I5307" t="inlineStr">
        <is>
          <t>TrEMBL</t>
        </is>
      </c>
      <c r="J5307" t="inlineStr">
        <is>
          <t>tmem163</t>
        </is>
      </c>
      <c r="K5307" t="inlineStr">
        <is>
          <t>A8KBD1_XENTR</t>
        </is>
      </c>
      <c r="L5307" t="inlineStr">
        <is>
          <t>tr|A8KBD1|A8KBD1_XENTR Transmembrane protein 163 OS=Xenopus tropicalis OX=8364 GN=tmem163 PE=2 SV=1</t>
        </is>
      </c>
      <c r="M5307" t="n">
        <v>281</v>
      </c>
      <c r="N5307" t="inlineStr">
        <is>
          <t>Xenopus tropicalis</t>
        </is>
      </c>
      <c r="O5307" t="inlineStr">
        <is>
          <t>Transmembrane protein 163</t>
        </is>
      </c>
    </row>
    <row r="5308">
      <c r="A5308" t="inlineStr"/>
      <c r="B5308" t="inlineStr"/>
      <c r="C5308" t="inlineStr"/>
      <c r="D5308" t="inlineStr"/>
      <c r="E5308">
        <f>HYPERLINK("https://www.ncbi.nlm.nih.gov/gene/?term=NP_001106455.1", "NP_001106455.1")</f>
        <v/>
      </c>
      <c r="F5308" t="n">
        <v>82.90000000000001</v>
      </c>
      <c r="G5308" t="n">
        <v>287</v>
      </c>
      <c r="H5308" t="n">
        <v>7.5e-161</v>
      </c>
      <c r="I5308" t="inlineStr">
        <is>
          <t>Nr</t>
        </is>
      </c>
      <c r="J5308" t="inlineStr"/>
      <c r="K5308" t="inlineStr"/>
      <c r="L5308" t="inlineStr">
        <is>
          <t>NP_001106455.1 transmembrane protein 163 [Xenopus tropicalis]</t>
        </is>
      </c>
      <c r="M5308" t="n">
        <v>281</v>
      </c>
      <c r="N5308" t="inlineStr">
        <is>
          <t>Xenopus tropicalis</t>
        </is>
      </c>
      <c r="O5308" t="inlineStr">
        <is>
          <t>transmembrane protein 163</t>
        </is>
      </c>
    </row>
    <row r="5309">
      <c r="A5309" t="inlineStr"/>
      <c r="B5309" t="inlineStr"/>
      <c r="C5309" t="inlineStr"/>
      <c r="D5309" t="inlineStr"/>
      <c r="E5309">
        <f>HYPERLINK("https://www.ncbi.nlm.nih.gov/gene/?term=NP_001086283.1", "NP_001086283.1")</f>
        <v/>
      </c>
      <c r="F5309" t="n">
        <v>82.59999999999999</v>
      </c>
      <c r="G5309" t="n">
        <v>287</v>
      </c>
      <c r="H5309" t="n">
        <v>3.55e-159</v>
      </c>
      <c r="I5309" t="inlineStr">
        <is>
          <t>Nr</t>
        </is>
      </c>
      <c r="J5309" t="inlineStr"/>
      <c r="K5309" t="inlineStr"/>
      <c r="L5309" t="inlineStr">
        <is>
          <t>NP_001086283.1 transmembrane protein 163 [Xenopus laevis]</t>
        </is>
      </c>
      <c r="M5309" t="n">
        <v>281</v>
      </c>
      <c r="N5309" t="inlineStr">
        <is>
          <t>Xenopus laevis</t>
        </is>
      </c>
      <c r="O5309" t="inlineStr">
        <is>
          <t>transmembrane protein 163</t>
        </is>
      </c>
    </row>
    <row r="5310">
      <c r="A5310" t="inlineStr"/>
      <c r="B5310" t="inlineStr"/>
      <c r="C5310" t="inlineStr"/>
      <c r="D5310" t="inlineStr"/>
      <c r="E5310">
        <f>HYPERLINK("https://www.uniprot.org/uniprotkb/A0A1L8ENP5/entry", "A0A1L8ENP5")</f>
        <v/>
      </c>
      <c r="F5310" t="n">
        <v>81.5</v>
      </c>
      <c r="G5310" t="n">
        <v>287</v>
      </c>
      <c r="H5310" t="n">
        <v>1.6e-155</v>
      </c>
      <c r="I5310" t="inlineStr">
        <is>
          <t>TrEMBL</t>
        </is>
      </c>
      <c r="J5310" t="inlineStr">
        <is>
          <t>tmem163.S</t>
        </is>
      </c>
      <c r="K5310" t="inlineStr">
        <is>
          <t>A0A1L8ENP5_XENLA</t>
        </is>
      </c>
      <c r="L5310" t="inlineStr">
        <is>
          <t>tr|A0A1L8ENP5|A0A1L8ENP5_XENLA Transmembrane protein 163 OS=Xenopus laevis OX=8355 GN=tmem163.S PE=3 SV=1</t>
        </is>
      </c>
      <c r="M5310" t="n">
        <v>278</v>
      </c>
      <c r="N5310" t="inlineStr">
        <is>
          <t>Xenopus laevis</t>
        </is>
      </c>
      <c r="O5310" t="inlineStr">
        <is>
          <t>Transmembrane protein 163</t>
        </is>
      </c>
    </row>
    <row r="5311">
      <c r="A5311" t="inlineStr"/>
      <c r="B5311" t="inlineStr"/>
      <c r="C5311" t="inlineStr"/>
      <c r="D5311" t="inlineStr"/>
      <c r="E5311">
        <f>HYPERLINK("https://www.ncbi.nlm.nih.gov/gene/?term=XP_018094189.1", "XP_018094189.1")</f>
        <v/>
      </c>
      <c r="F5311" t="n">
        <v>81.5</v>
      </c>
      <c r="G5311" t="n">
        <v>287</v>
      </c>
      <c r="H5311" t="n">
        <v>4.12e-155</v>
      </c>
      <c r="I5311" t="inlineStr">
        <is>
          <t>Nr</t>
        </is>
      </c>
      <c r="J5311" t="inlineStr"/>
      <c r="K5311" t="inlineStr"/>
      <c r="L5311" t="inlineStr">
        <is>
          <t>XP_018094189.1 transmembrane protein 163-like [Xenopus laevis]</t>
        </is>
      </c>
      <c r="M5311" t="n">
        <v>278</v>
      </c>
      <c r="N5311" t="inlineStr">
        <is>
          <t>Xenopus laevis</t>
        </is>
      </c>
      <c r="O5311" t="inlineStr">
        <is>
          <t>transmembrane protein 163-like</t>
        </is>
      </c>
    </row>
    <row r="5312">
      <c r="A5312" t="inlineStr"/>
      <c r="B5312" t="inlineStr"/>
      <c r="C5312" t="inlineStr"/>
      <c r="D5312" t="inlineStr"/>
      <c r="E5312">
        <f>HYPERLINK("https://www.ncbi.nlm.nih.gov/gene/?term=XP_018418542.1", "XP_018418542.1")</f>
        <v/>
      </c>
      <c r="F5312" t="n">
        <v>79.40000000000001</v>
      </c>
      <c r="G5312" t="n">
        <v>287</v>
      </c>
      <c r="H5312" t="n">
        <v>2.75e-154</v>
      </c>
      <c r="I5312" t="inlineStr">
        <is>
          <t>Nr</t>
        </is>
      </c>
      <c r="J5312" t="inlineStr"/>
      <c r="K5312" t="inlineStr"/>
      <c r="L5312" t="inlineStr">
        <is>
          <t>XP_018418542.1 PREDICTED: transmembrane protein 163 [Nanorana parkeri]</t>
        </is>
      </c>
      <c r="M5312" t="n">
        <v>282</v>
      </c>
      <c r="N5312" t="inlineStr">
        <is>
          <t>Nanorana parkeri</t>
        </is>
      </c>
      <c r="O5312" t="inlineStr">
        <is>
          <t>PREDICTED: transmembrane protein 163</t>
        </is>
      </c>
    </row>
    <row r="5313">
      <c r="A5313" t="inlineStr"/>
      <c r="B5313" t="inlineStr"/>
      <c r="C5313" t="inlineStr"/>
      <c r="D5313" t="inlineStr"/>
      <c r="E5313">
        <f>HYPERLINK("https://www.uniprot.org/uniprotkb/A0A6P8RFW9/entry", "A0A6P8RFW9")</f>
        <v/>
      </c>
      <c r="F5313" t="n">
        <v>79.40000000000001</v>
      </c>
      <c r="G5313" t="n">
        <v>287</v>
      </c>
      <c r="H5313" t="n">
        <v>2.11e-153</v>
      </c>
      <c r="I5313" t="inlineStr">
        <is>
          <t>TrEMBL</t>
        </is>
      </c>
      <c r="J5313" t="inlineStr">
        <is>
          <t>TMEM163</t>
        </is>
      </c>
      <c r="K5313" t="inlineStr">
        <is>
          <t>A0A6P8RFW9_GEOSA</t>
        </is>
      </c>
      <c r="L5313" t="inlineStr">
        <is>
          <t>tr|A0A6P8RFW9|A0A6P8RFW9_GEOSA Transmembrane protein 163 OS=Geotrypetes seraphini OX=260995 GN=TMEM163 PE=3 SV=1</t>
        </is>
      </c>
      <c r="M5313" t="n">
        <v>287</v>
      </c>
      <c r="N5313" t="inlineStr">
        <is>
          <t>Geotrypetes seraphini</t>
        </is>
      </c>
      <c r="O5313" t="inlineStr">
        <is>
          <t>Transmembrane protein 163</t>
        </is>
      </c>
    </row>
    <row r="5314">
      <c r="A5314" t="inlineStr"/>
      <c r="B5314" t="inlineStr"/>
      <c r="C5314" t="inlineStr"/>
      <c r="D5314" t="inlineStr"/>
      <c r="E5314">
        <f>HYPERLINK("https://www.ncbi.nlm.nih.gov/gene/?term=XP_033800491.1", "XP_033800491.1")</f>
        <v/>
      </c>
      <c r="F5314" t="n">
        <v>79.40000000000001</v>
      </c>
      <c r="G5314" t="n">
        <v>287</v>
      </c>
      <c r="H5314" t="n">
        <v>5.43e-153</v>
      </c>
      <c r="I5314" t="inlineStr">
        <is>
          <t>Nr</t>
        </is>
      </c>
      <c r="J5314" t="inlineStr"/>
      <c r="K5314" t="inlineStr"/>
      <c r="L5314" t="inlineStr">
        <is>
          <t>XP_033800491.1 transmembrane protein 163 isoform X2 [Geotrypetes seraphini]</t>
        </is>
      </c>
      <c r="M5314" t="n">
        <v>287</v>
      </c>
      <c r="N5314" t="inlineStr">
        <is>
          <t>Geotrypetes seraphini</t>
        </is>
      </c>
      <c r="O5314" t="inlineStr">
        <is>
          <t>transmembrane protein 163 isoform X2</t>
        </is>
      </c>
    </row>
    <row r="5315">
      <c r="A5315" t="inlineStr"/>
      <c r="B5315" t="inlineStr"/>
      <c r="C5315" t="inlineStr"/>
      <c r="D5315" t="inlineStr"/>
      <c r="E5315">
        <f>HYPERLINK("https://www.ncbi.nlm.nih.gov/gene/?term=XP_040214023.1", "XP_040214023.1")</f>
        <v/>
      </c>
      <c r="F5315" t="n">
        <v>79.09999999999999</v>
      </c>
      <c r="G5315" t="n">
        <v>287</v>
      </c>
      <c r="H5315" t="n">
        <v>6.98e-152</v>
      </c>
      <c r="I5315" t="inlineStr">
        <is>
          <t>Nr</t>
        </is>
      </c>
      <c r="J5315" t="inlineStr"/>
      <c r="K5315" t="inlineStr"/>
      <c r="L5315" t="inlineStr">
        <is>
          <t>XP_040214023.1 transmembrane protein 163 [Rana temporaria]</t>
        </is>
      </c>
      <c r="M5315" t="n">
        <v>280</v>
      </c>
      <c r="N5315" t="inlineStr">
        <is>
          <t>Rana temporaria</t>
        </is>
      </c>
      <c r="O5315" t="inlineStr">
        <is>
          <t>transmembrane protein 163</t>
        </is>
      </c>
    </row>
    <row r="5316">
      <c r="A5316" t="inlineStr"/>
      <c r="B5316" t="inlineStr"/>
      <c r="C5316" t="inlineStr"/>
      <c r="D5316" t="inlineStr"/>
      <c r="E5316">
        <f>HYPERLINK("https://www.ncbi.nlm.nih.gov/gene/?term=XP_029461219.1", "XP_029461219.1")</f>
        <v/>
      </c>
      <c r="F5316" t="n">
        <v>79.09999999999999</v>
      </c>
      <c r="G5316" t="n">
        <v>287</v>
      </c>
      <c r="H5316" t="n">
        <v>5.18e-151</v>
      </c>
      <c r="I5316" t="inlineStr">
        <is>
          <t>Nr</t>
        </is>
      </c>
      <c r="J5316" t="inlineStr"/>
      <c r="K5316" t="inlineStr"/>
      <c r="L5316" t="inlineStr">
        <is>
          <t>XP_029461219.1 transmembrane protein 163 isoform X2 [Rhinatrema bivittatum]</t>
        </is>
      </c>
      <c r="M5316" t="n">
        <v>287</v>
      </c>
      <c r="N5316" t="inlineStr">
        <is>
          <t>Rhinatrema bivittatum</t>
        </is>
      </c>
      <c r="O5316" t="inlineStr">
        <is>
          <t>transmembrane protein 163 isoform X2</t>
        </is>
      </c>
    </row>
    <row r="5317">
      <c r="A5317" t="inlineStr"/>
      <c r="B5317" t="inlineStr"/>
      <c r="C5317" t="inlineStr"/>
      <c r="D5317" t="inlineStr"/>
      <c r="E5317">
        <f>HYPERLINK("https://www.ncbi.nlm.nih.gov/gene/?term=KAJ1189154.1", "KAJ1189154.1")</f>
        <v/>
      </c>
      <c r="F5317" t="n">
        <v>79.2</v>
      </c>
      <c r="G5317" t="n">
        <v>283</v>
      </c>
      <c r="H5317" t="n">
        <v>2.53e-149</v>
      </c>
      <c r="I5317" t="inlineStr">
        <is>
          <t>Nr</t>
        </is>
      </c>
      <c r="J5317" t="inlineStr"/>
      <c r="K5317" t="inlineStr"/>
      <c r="L5317" t="inlineStr">
        <is>
          <t>KAJ1189154.1 hypothetical protein NDU88_005905 [Pleurodeles waltl]</t>
        </is>
      </c>
      <c r="M5317" t="n">
        <v>288</v>
      </c>
      <c r="N5317" t="inlineStr">
        <is>
          <t>Pleurodeles waltl</t>
        </is>
      </c>
      <c r="O5317" t="inlineStr">
        <is>
          <t>hypothetical protein NDU88_005905</t>
        </is>
      </c>
    </row>
    <row r="5318">
      <c r="A5318" t="inlineStr"/>
      <c r="B5318" t="inlineStr"/>
      <c r="C5318" t="inlineStr"/>
      <c r="D5318" t="inlineStr"/>
      <c r="E5318">
        <f>HYPERLINK("https://www.ncbi.nlm.nih.gov/gene/?term=XP_029461218.1", "XP_029461218.1")</f>
        <v/>
      </c>
      <c r="F5318" t="n">
        <v>78.8</v>
      </c>
      <c r="G5318" t="n">
        <v>288</v>
      </c>
      <c r="H5318" t="n">
        <v>3.6e-149</v>
      </c>
      <c r="I5318" t="inlineStr">
        <is>
          <t>Nr</t>
        </is>
      </c>
      <c r="J5318" t="inlineStr"/>
      <c r="K5318" t="inlineStr"/>
      <c r="L5318" t="inlineStr">
        <is>
          <t>XP_029461218.1 transmembrane protein 163 isoform X1 [Rhinatrema bivittatum]</t>
        </is>
      </c>
      <c r="M5318" t="n">
        <v>288</v>
      </c>
      <c r="N5318" t="inlineStr">
        <is>
          <t>Rhinatrema bivittatum</t>
        </is>
      </c>
      <c r="O5318" t="inlineStr">
        <is>
          <t>transmembrane protein 163 isoform X1</t>
        </is>
      </c>
    </row>
    <row r="5319">
      <c r="A5319" t="inlineStr"/>
      <c r="B5319" t="inlineStr"/>
      <c r="C5319" t="inlineStr"/>
      <c r="D5319" t="inlineStr"/>
      <c r="E5319">
        <f>HYPERLINK("https://www.uniprot.org/uniprotkb/A0A6P7YR70/entry", "A0A6P7YR70")</f>
        <v/>
      </c>
      <c r="F5319" t="n">
        <v>77.5</v>
      </c>
      <c r="G5319" t="n">
        <v>289</v>
      </c>
      <c r="H5319" t="n">
        <v>2.79e-147</v>
      </c>
      <c r="I5319" t="inlineStr">
        <is>
          <t>TrEMBL</t>
        </is>
      </c>
      <c r="J5319" t="inlineStr">
        <is>
          <t>TMEM163</t>
        </is>
      </c>
      <c r="K5319" t="inlineStr">
        <is>
          <t>A0A6P7YR70_9AMPH</t>
        </is>
      </c>
      <c r="L5319" t="inlineStr">
        <is>
          <t>tr|A0A6P7YR70|A0A6P7YR70_9AMPH Transmembrane protein 163 OS=Microcaecilia unicolor OX=1415580 GN=TMEM163 PE=3 SV=1</t>
        </is>
      </c>
      <c r="M5319" t="n">
        <v>289</v>
      </c>
      <c r="N5319" t="inlineStr">
        <is>
          <t>Microcaecilia unicolor</t>
        </is>
      </c>
      <c r="O5319" t="inlineStr">
        <is>
          <t>Transmembrane protein 163</t>
        </is>
      </c>
    </row>
    <row r="5320">
      <c r="A5320" t="inlineStr"/>
      <c r="B5320" t="inlineStr"/>
      <c r="C5320" t="inlineStr"/>
      <c r="D5320" t="inlineStr"/>
      <c r="E5320">
        <f>HYPERLINK("https://www.ncbi.nlm.nih.gov/gene/?term=XP_030065725.1", "XP_030065725.1")</f>
        <v/>
      </c>
      <c r="F5320" t="n">
        <v>77.5</v>
      </c>
      <c r="G5320" t="n">
        <v>289</v>
      </c>
      <c r="H5320" t="n">
        <v>7.16e-147</v>
      </c>
      <c r="I5320" t="inlineStr">
        <is>
          <t>Nr</t>
        </is>
      </c>
      <c r="J5320" t="inlineStr"/>
      <c r="K5320" t="inlineStr"/>
      <c r="L5320" t="inlineStr">
        <is>
          <t>XP_030065725.1 transmembrane protein 163 [Microcaecilia unicolor]</t>
        </is>
      </c>
      <c r="M5320" t="n">
        <v>289</v>
      </c>
      <c r="N5320" t="inlineStr">
        <is>
          <t>Microcaecilia unicolor</t>
        </is>
      </c>
      <c r="O5320" t="inlineStr">
        <is>
          <t>transmembrane protein 163</t>
        </is>
      </c>
    </row>
    <row r="5321">
      <c r="A5321" t="inlineStr"/>
      <c r="B5321" t="inlineStr"/>
      <c r="C5321" t="inlineStr"/>
      <c r="D5321" t="inlineStr"/>
      <c r="E5321">
        <f>HYPERLINK("https://www.uniprot.org/uniprotkb/A0A6P8QXI8/entry", "A0A6P8QXI8")</f>
        <v/>
      </c>
      <c r="F5321" t="n">
        <v>80.40000000000001</v>
      </c>
      <c r="G5321" t="n">
        <v>271</v>
      </c>
      <c r="H5321" t="n">
        <v>2.54e-146</v>
      </c>
      <c r="I5321" t="inlineStr">
        <is>
          <t>TrEMBL</t>
        </is>
      </c>
      <c r="J5321" t="inlineStr">
        <is>
          <t>TMEM163</t>
        </is>
      </c>
      <c r="K5321" t="inlineStr">
        <is>
          <t>A0A6P8QXI8_GEOSA</t>
        </is>
      </c>
      <c r="L5321" t="inlineStr">
        <is>
          <t>tr|A0A6P8QXI8|A0A6P8QXI8_GEOSA Transmembrane protein 163 OS=Geotrypetes seraphini OX=260995 GN=TMEM163 PE=3 SV=1</t>
        </is>
      </c>
      <c r="M5321" t="n">
        <v>292</v>
      </c>
      <c r="N5321" t="inlineStr">
        <is>
          <t>Geotrypetes seraphini</t>
        </is>
      </c>
      <c r="O5321" t="inlineStr">
        <is>
          <t>Transmembrane protein 163</t>
        </is>
      </c>
    </row>
    <row r="5322">
      <c r="A5322" t="inlineStr"/>
      <c r="B5322" t="inlineStr"/>
      <c r="C5322" t="inlineStr"/>
      <c r="D5322" t="inlineStr"/>
      <c r="E5322">
        <f>HYPERLINK("https://www.ncbi.nlm.nih.gov/gene/?term=XP_033800489.1", "XP_033800489.1")</f>
        <v/>
      </c>
      <c r="F5322" t="n">
        <v>80.40000000000001</v>
      </c>
      <c r="G5322" t="n">
        <v>271</v>
      </c>
      <c r="H5322" t="n">
        <v>6.52e-146</v>
      </c>
      <c r="I5322" t="inlineStr">
        <is>
          <t>Nr</t>
        </is>
      </c>
      <c r="J5322" t="inlineStr"/>
      <c r="K5322" t="inlineStr"/>
      <c r="L5322" t="inlineStr">
        <is>
          <t>XP_033800489.1 transmembrane protein 163 isoform X1 [Geotrypetes seraphini]</t>
        </is>
      </c>
      <c r="M5322" t="n">
        <v>292</v>
      </c>
      <c r="N5322" t="inlineStr">
        <is>
          <t>Geotrypetes seraphini</t>
        </is>
      </c>
      <c r="O5322" t="inlineStr">
        <is>
          <t>transmembrane protein 163 isoform X1</t>
        </is>
      </c>
    </row>
    <row r="5323">
      <c r="A5323" t="inlineStr"/>
      <c r="B5323" t="inlineStr"/>
      <c r="C5323" t="inlineStr"/>
      <c r="D5323" t="inlineStr"/>
      <c r="E5323">
        <f>HYPERLINK("https://www.uniprot.org/uniprotkb/A0A7L1RDB5/entry", "A0A7L1RDB5")</f>
        <v/>
      </c>
      <c r="F5323" t="n">
        <v>75.3</v>
      </c>
      <c r="G5323" t="n">
        <v>287</v>
      </c>
      <c r="H5323" t="n">
        <v>6.74e-142</v>
      </c>
      <c r="I5323" t="inlineStr">
        <is>
          <t>TrEMBL</t>
        </is>
      </c>
      <c r="J5323" t="inlineStr">
        <is>
          <t>Tmem163</t>
        </is>
      </c>
      <c r="K5323" t="inlineStr">
        <is>
          <t>A0A7L1RDB5_9PASS</t>
        </is>
      </c>
      <c r="L5323" t="inlineStr">
        <is>
          <t>tr|A0A7L1RDB5|A0A7L1RDB5_9PASS Transmembrane protein 163 (Fragment) OS=Locustella ochotensis OX=187437 GN=Tmem163 PE=3 SV=1</t>
        </is>
      </c>
      <c r="M5323" t="n">
        <v>273</v>
      </c>
      <c r="N5323" t="inlineStr">
        <is>
          <t>Locustella ochotensis</t>
        </is>
      </c>
      <c r="O5323" t="inlineStr">
        <is>
          <t>Transmembrane protein 163 (Fragment)</t>
        </is>
      </c>
    </row>
    <row r="5324">
      <c r="A5324" t="inlineStr"/>
      <c r="B5324" t="inlineStr"/>
      <c r="C5324" t="inlineStr"/>
      <c r="D5324" t="inlineStr"/>
      <c r="E5324">
        <f>HYPERLINK("https://www.uniprot.org/uniprotkb/A0A7K9QMS4/entry", "A0A7K9QMS4")</f>
        <v/>
      </c>
      <c r="F5324" t="n">
        <v>75.3</v>
      </c>
      <c r="G5324" t="n">
        <v>287</v>
      </c>
      <c r="H5324" t="n">
        <v>1.36e-141</v>
      </c>
      <c r="I5324" t="inlineStr">
        <is>
          <t>TrEMBL</t>
        </is>
      </c>
      <c r="J5324" t="inlineStr">
        <is>
          <t>Tmem163</t>
        </is>
      </c>
      <c r="K5324" t="inlineStr">
        <is>
          <t>A0A7K9QMS4_IRECY</t>
        </is>
      </c>
      <c r="L5324" t="inlineStr">
        <is>
          <t>tr|A0A7K9QMS4|A0A7K9QMS4_IRECY Transmembrane protein 163 (Fragment) OS=Irena cyanogastra OX=175120 GN=Tmem163 PE=3 SV=1</t>
        </is>
      </c>
      <c r="M5324" t="n">
        <v>273</v>
      </c>
      <c r="N5324" t="inlineStr">
        <is>
          <t>Irena cyanogastra</t>
        </is>
      </c>
      <c r="O5324" t="inlineStr">
        <is>
          <t>Transmembrane protein 163 (Fragment)</t>
        </is>
      </c>
    </row>
    <row r="5325">
      <c r="A5325" t="inlineStr"/>
      <c r="B5325" t="inlineStr"/>
      <c r="C5325" t="inlineStr"/>
      <c r="D5325" t="inlineStr"/>
      <c r="E5325">
        <f>HYPERLINK("https://www.uniprot.org/uniprotkb/A0A218V3A6/entry", "A0A218V3A6")</f>
        <v/>
      </c>
      <c r="F5325" t="n">
        <v>75.3</v>
      </c>
      <c r="G5325" t="n">
        <v>287</v>
      </c>
      <c r="H5325" t="n">
        <v>1.36e-141</v>
      </c>
      <c r="I5325" t="inlineStr">
        <is>
          <t>TrEMBL</t>
        </is>
      </c>
      <c r="J5325" t="inlineStr">
        <is>
          <t>TMEM163</t>
        </is>
      </c>
      <c r="K5325" t="inlineStr">
        <is>
          <t>A0A218V3A6_9PASE</t>
        </is>
      </c>
      <c r="L5325" t="inlineStr">
        <is>
          <t>tr|A0A218V3A6|A0A218V3A6_9PASE Transmembrane protein 163 OS=Lonchura striata domestica OX=299123 GN=TMEM163 PE=3 SV=1</t>
        </is>
      </c>
      <c r="M5325" t="n">
        <v>273</v>
      </c>
      <c r="N5325" t="inlineStr">
        <is>
          <t>Lonchura striata domestica</t>
        </is>
      </c>
      <c r="O5325" t="inlineStr">
        <is>
          <t>Transmembrane protein 163</t>
        </is>
      </c>
    </row>
    <row r="5326">
      <c r="A5326" t="inlineStr"/>
      <c r="B5326" t="inlineStr"/>
      <c r="C5326" t="inlineStr"/>
      <c r="D5326" t="inlineStr"/>
      <c r="E5326">
        <f>HYPERLINK("https://www.uniprot.org/uniprotkb/A0A852E9Q1/entry", "A0A852E9Q1")</f>
        <v/>
      </c>
      <c r="F5326" t="n">
        <v>75.3</v>
      </c>
      <c r="G5326" t="n">
        <v>287</v>
      </c>
      <c r="H5326" t="n">
        <v>1.36e-141</v>
      </c>
      <c r="I5326" t="inlineStr">
        <is>
          <t>TrEMBL</t>
        </is>
      </c>
      <c r="J5326" t="inlineStr">
        <is>
          <t>Tmem163</t>
        </is>
      </c>
      <c r="K5326" t="inlineStr">
        <is>
          <t>A0A852E9Q1_VIDMA</t>
        </is>
      </c>
      <c r="L5326" t="inlineStr">
        <is>
          <t>tr|A0A852E9Q1|A0A852E9Q1_VIDMA Transmembrane protein 163 (Fragment) OS=Vidua macroura OX=187451 GN=Tmem163 PE=3 SV=1</t>
        </is>
      </c>
      <c r="M5326" t="n">
        <v>273</v>
      </c>
      <c r="N5326" t="inlineStr">
        <is>
          <t>Vidua macroura</t>
        </is>
      </c>
      <c r="O5326" t="inlineStr">
        <is>
          <t>Transmembrane protein 163 (Fragment)</t>
        </is>
      </c>
    </row>
    <row r="5327">
      <c r="A5327" t="inlineStr"/>
      <c r="B5327" t="inlineStr"/>
      <c r="C5327" t="inlineStr"/>
      <c r="D5327" t="inlineStr"/>
      <c r="E5327">
        <f>HYPERLINK("https://www.ncbi.nlm.nih.gov/gene/?term=NXO34109.1", "NXO34109.1")</f>
        <v/>
      </c>
      <c r="F5327" t="n">
        <v>75.3</v>
      </c>
      <c r="G5327" t="n">
        <v>287</v>
      </c>
      <c r="H5327" t="n">
        <v>1.73e-141</v>
      </c>
      <c r="I5327" t="inlineStr">
        <is>
          <t>Nr</t>
        </is>
      </c>
      <c r="J5327" t="inlineStr"/>
      <c r="K5327" t="inlineStr"/>
      <c r="L5327" t="inlineStr">
        <is>
          <t>NXO34109.1 TM163 protein [Locustella ochotensis]</t>
        </is>
      </c>
      <c r="M5327" t="n">
        <v>273</v>
      </c>
      <c r="N5327" t="inlineStr">
        <is>
          <t>Locustella ochotensis</t>
        </is>
      </c>
      <c r="O5327" t="inlineStr">
        <is>
          <t>TM163 protein</t>
        </is>
      </c>
    </row>
    <row r="5328">
      <c r="A5328" t="inlineStr"/>
      <c r="B5328" t="inlineStr"/>
      <c r="C5328" t="inlineStr"/>
      <c r="D5328" t="inlineStr"/>
      <c r="E5328">
        <f>HYPERLINK("https://www.uniprot.org/uniprotkb/A0A7L2Y7Q6/entry", "A0A7L2Y7Q6")</f>
        <v/>
      </c>
      <c r="F5328" t="n">
        <v>75.3</v>
      </c>
      <c r="G5328" t="n">
        <v>287</v>
      </c>
      <c r="H5328" t="n">
        <v>2.74e-141</v>
      </c>
      <c r="I5328" t="inlineStr">
        <is>
          <t>TrEMBL</t>
        </is>
      </c>
      <c r="J5328" t="inlineStr">
        <is>
          <t>Tmem163</t>
        </is>
      </c>
      <c r="K5328" t="inlineStr">
        <is>
          <t>A0A7L2Y7Q6_9PASS</t>
        </is>
      </c>
      <c r="L5328" t="inlineStr">
        <is>
          <t>tr|A0A7L2Y7Q6|A0A7L2Y7Q6_9PASS Transmembrane protein 163 (Fragment) OS=Erpornis zantholeuca OX=1112836 GN=Tmem163 PE=3 SV=1</t>
        </is>
      </c>
      <c r="M5328" t="n">
        <v>273</v>
      </c>
      <c r="N5328" t="inlineStr">
        <is>
          <t>Erpornis zantholeuca</t>
        </is>
      </c>
      <c r="O5328" t="inlineStr">
        <is>
          <t>Transmembrane protein 163 (Fragment)</t>
        </is>
      </c>
    </row>
    <row r="5329">
      <c r="A5329" t="inlineStr"/>
      <c r="B5329" t="inlineStr"/>
      <c r="C5329" t="inlineStr"/>
      <c r="D5329" t="inlineStr"/>
      <c r="E5329">
        <f>HYPERLINK("https://www.uniprot.org/uniprotkb/A0A7K9WPU9/entry", "A0A7K9WPU9")</f>
        <v/>
      </c>
      <c r="F5329" t="n">
        <v>75.3</v>
      </c>
      <c r="G5329" t="n">
        <v>287</v>
      </c>
      <c r="H5329" t="n">
        <v>2.74e-141</v>
      </c>
      <c r="I5329" t="inlineStr">
        <is>
          <t>TrEMBL</t>
        </is>
      </c>
      <c r="J5329" t="inlineStr">
        <is>
          <t>Tmem163</t>
        </is>
      </c>
      <c r="K5329" t="inlineStr">
        <is>
          <t>A0A7K9WPU9_9PASS</t>
        </is>
      </c>
      <c r="L5329" t="inlineStr">
        <is>
          <t>tr|A0A7K9WPU9|A0A7K9WPU9_9PASS Transmembrane protein 163 (Fragment) OS=Rhipidura dahli OX=667186 GN=Tmem163 PE=3 SV=1</t>
        </is>
      </c>
      <c r="M5329" t="n">
        <v>273</v>
      </c>
      <c r="N5329" t="inlineStr">
        <is>
          <t>Rhipidura dahli</t>
        </is>
      </c>
      <c r="O5329" t="inlineStr">
        <is>
          <t>Transmembrane protein 163 (Fragment)</t>
        </is>
      </c>
    </row>
    <row r="5330">
      <c r="A5330" t="inlineStr"/>
      <c r="B5330" t="inlineStr"/>
      <c r="C5330" t="inlineStr"/>
      <c r="D5330" t="inlineStr"/>
      <c r="E5330">
        <f>HYPERLINK("https://www.ncbi.nlm.nih.gov/gene/?term=XP_028662401.2", "XP_028662401.2")</f>
        <v/>
      </c>
      <c r="F5330" t="n">
        <v>76</v>
      </c>
      <c r="G5330" t="n">
        <v>283</v>
      </c>
      <c r="H5330" t="n">
        <v>3.17e-141</v>
      </c>
      <c r="I5330" t="inlineStr">
        <is>
          <t>Nr</t>
        </is>
      </c>
      <c r="J5330" t="inlineStr"/>
      <c r="K5330" t="inlineStr"/>
      <c r="L5330" t="inlineStr">
        <is>
          <t>XP_028662401.2 LOW QUALITY PROTEIN: transmembrane protein 163a [Erpetoichthys calabaricus]</t>
        </is>
      </c>
      <c r="M5330" t="n">
        <v>290</v>
      </c>
      <c r="N5330" t="inlineStr">
        <is>
          <t>Erpetoichthys calabaricus</t>
        </is>
      </c>
      <c r="O5330" t="inlineStr">
        <is>
          <t>LOW QUALITY PROTEIN: transmembrane protein 163a</t>
        </is>
      </c>
    </row>
    <row r="5331">
      <c r="A5331" t="inlineStr"/>
      <c r="B5331" t="inlineStr"/>
      <c r="C5331" t="inlineStr"/>
      <c r="D5331" t="inlineStr"/>
      <c r="E5331">
        <f>HYPERLINK("https://www.ncbi.nlm.nih.gov/gene/?term=XP_021404408.1", "XP_021404408.1")</f>
        <v/>
      </c>
      <c r="F5331" t="n">
        <v>75.3</v>
      </c>
      <c r="G5331" t="n">
        <v>287</v>
      </c>
      <c r="H5331" t="n">
        <v>3.49e-141</v>
      </c>
      <c r="I5331" t="inlineStr">
        <is>
          <t>Nr</t>
        </is>
      </c>
      <c r="J5331" t="inlineStr"/>
      <c r="K5331" t="inlineStr"/>
      <c r="L5331" t="inlineStr">
        <is>
          <t>XP_021404408.1 transmembrane protein 163 isoform X1 [Lonchura striata domestica]</t>
        </is>
      </c>
      <c r="M5331" t="n">
        <v>273</v>
      </c>
      <c r="N5331" t="inlineStr">
        <is>
          <t>Lonchura striata domestica</t>
        </is>
      </c>
      <c r="O5331" t="inlineStr">
        <is>
          <t>transmembrane protein 163 isoform X1</t>
        </is>
      </c>
    </row>
    <row r="5332">
      <c r="A5332" t="inlineStr"/>
      <c r="B5332" t="inlineStr"/>
      <c r="C5332" t="inlineStr"/>
      <c r="D5332" t="inlineStr"/>
      <c r="E5332">
        <f>HYPERLINK("https://www.uniprot.org/uniprotkb/A0A8C5NTH8/entry", "A0A8C5NTH8")</f>
        <v/>
      </c>
      <c r="F5332" t="n">
        <v>74.90000000000001</v>
      </c>
      <c r="G5332" t="n">
        <v>287</v>
      </c>
      <c r="H5332" t="n">
        <v>5.52e-141</v>
      </c>
      <c r="I5332" t="inlineStr">
        <is>
          <t>TrEMBL</t>
        </is>
      </c>
      <c r="J5332" t="inlineStr"/>
      <c r="K5332" t="inlineStr">
        <is>
          <t>A0A8C5NTH8_JUNHY</t>
        </is>
      </c>
      <c r="L5332" t="inlineStr">
        <is>
          <t>tr|A0A8C5NTH8|A0A8C5NTH8_JUNHY Transmembrane protein 163 OS=Junco hyemalis OX=40217 PE=3 SV=1</t>
        </is>
      </c>
      <c r="M5332" t="n">
        <v>273</v>
      </c>
      <c r="N5332" t="inlineStr">
        <is>
          <t>Junco hyemalis</t>
        </is>
      </c>
      <c r="O5332" t="inlineStr">
        <is>
          <t>Transmembrane protein 163</t>
        </is>
      </c>
    </row>
    <row r="5333">
      <c r="A5333" t="inlineStr"/>
      <c r="B5333" t="inlineStr"/>
      <c r="C5333" t="inlineStr"/>
      <c r="D5333" t="inlineStr"/>
      <c r="E5333">
        <f>HYPERLINK("https://www.uniprot.org/uniprotkb/A0A8K1GN62/entry", "A0A8K1GN62")</f>
        <v/>
      </c>
      <c r="F5333" t="n">
        <v>74.90000000000001</v>
      </c>
      <c r="G5333" t="n">
        <v>287</v>
      </c>
      <c r="H5333" t="n">
        <v>5.929999999999999e-141</v>
      </c>
      <c r="I5333" t="inlineStr">
        <is>
          <t>TrEMBL</t>
        </is>
      </c>
      <c r="J5333" t="inlineStr">
        <is>
          <t>HGM15179_004890</t>
        </is>
      </c>
      <c r="K5333" t="inlineStr">
        <is>
          <t>A0A8K1GN62_9PASS</t>
        </is>
      </c>
      <c r="L5333" t="inlineStr">
        <is>
          <t>tr|A0A8K1GN62|A0A8K1GN62_9PASS Transmembrane protein 163 OS=Zosterops borbonicus OX=364589 GN=HGM15179_004890 PE=3 SV=1</t>
        </is>
      </c>
      <c r="M5333" t="n">
        <v>275</v>
      </c>
      <c r="N5333" t="inlineStr">
        <is>
          <t>Zosterops borbonicus</t>
        </is>
      </c>
      <c r="O5333" t="inlineStr">
        <is>
          <t>Transmembrane protein 163</t>
        </is>
      </c>
    </row>
    <row r="5334">
      <c r="A5334" t="inlineStr"/>
      <c r="B5334" t="inlineStr"/>
      <c r="C5334" t="inlineStr"/>
      <c r="D5334" t="inlineStr"/>
      <c r="E5334">
        <f>HYPERLINK("https://www.uniprot.org/uniprotkb/A0A7L0W949/entry", "A0A7L0W949")</f>
        <v/>
      </c>
      <c r="F5334" t="n">
        <v>75.3</v>
      </c>
      <c r="G5334" t="n">
        <v>287</v>
      </c>
      <c r="H5334" t="n">
        <v>6.14e-141</v>
      </c>
      <c r="I5334" t="inlineStr">
        <is>
          <t>TrEMBL</t>
        </is>
      </c>
      <c r="J5334" t="inlineStr">
        <is>
          <t>Tmem163</t>
        </is>
      </c>
      <c r="K5334" t="inlineStr">
        <is>
          <t>A0A7L0W949_ALELA</t>
        </is>
      </c>
      <c r="L5334" t="inlineStr">
        <is>
          <t>tr|A0A7L0W949|A0A7L0W949_ALELA Transmembrane protein 163 (Fragment) OS=Alectura lathami OX=81907 GN=Tmem163 PE=3 SV=1</t>
        </is>
      </c>
      <c r="M5334" t="n">
        <v>276</v>
      </c>
      <c r="N5334" t="inlineStr">
        <is>
          <t>Alectura lathami</t>
        </is>
      </c>
      <c r="O5334" t="inlineStr">
        <is>
          <t>Transmembrane protein 163 (Fragment)</t>
        </is>
      </c>
    </row>
    <row r="5335">
      <c r="A5335" t="inlineStr"/>
      <c r="B5335" t="inlineStr"/>
      <c r="C5335" t="inlineStr"/>
      <c r="D5335" t="inlineStr"/>
      <c r="E5335">
        <f>HYPERLINK("https://www.ncbi.nlm.nih.gov/gene/?term=XP_039613240.1", "XP_039613240.1")</f>
        <v/>
      </c>
      <c r="F5335" t="n">
        <v>75.3</v>
      </c>
      <c r="G5335" t="n">
        <v>283</v>
      </c>
      <c r="H5335" t="n">
        <v>6.389999999999999e-141</v>
      </c>
      <c r="I5335" t="inlineStr">
        <is>
          <t>Nr</t>
        </is>
      </c>
      <c r="J5335" t="inlineStr"/>
      <c r="K5335" t="inlineStr"/>
      <c r="L5335" t="inlineStr">
        <is>
          <t>XP_039613240.1 transmembrane protein 163-like [Polypterus senegalus]</t>
        </is>
      </c>
      <c r="M5335" t="n">
        <v>290</v>
      </c>
      <c r="N5335" t="inlineStr">
        <is>
          <t>Polypterus senegalus</t>
        </is>
      </c>
      <c r="O5335" t="inlineStr">
        <is>
          <t>transmembrane protein 163-like</t>
        </is>
      </c>
    </row>
    <row r="5336">
      <c r="A5336" t="inlineStr"/>
      <c r="B5336" t="inlineStr"/>
      <c r="C5336" t="inlineStr"/>
      <c r="D5336" t="inlineStr"/>
      <c r="E5336">
        <f>HYPERLINK("https://www.ncbi.nlm.nih.gov/gene/?term=NXI86868.1", "NXI86868.1")</f>
        <v/>
      </c>
      <c r="F5336" t="n">
        <v>75.3</v>
      </c>
      <c r="G5336" t="n">
        <v>287</v>
      </c>
      <c r="H5336" t="n">
        <v>7.039999999999999e-141</v>
      </c>
      <c r="I5336" t="inlineStr">
        <is>
          <t>Nr</t>
        </is>
      </c>
      <c r="J5336" t="inlineStr"/>
      <c r="K5336" t="inlineStr"/>
      <c r="L5336" t="inlineStr">
        <is>
          <t>NXI86868.1 TM163 protein [Rhipidura dahli]</t>
        </is>
      </c>
      <c r="M5336" t="n">
        <v>273</v>
      </c>
      <c r="N5336" t="inlineStr">
        <is>
          <t>Rhipidura dahli</t>
        </is>
      </c>
      <c r="O5336" t="inlineStr">
        <is>
          <t>TM163 protein</t>
        </is>
      </c>
    </row>
    <row r="5337">
      <c r="A5337" t="inlineStr"/>
      <c r="B5337" t="inlineStr"/>
      <c r="C5337" t="inlineStr"/>
      <c r="D5337" t="inlineStr"/>
      <c r="E5337">
        <f>HYPERLINK("https://www.uniprot.org/uniprotkb/A0A672V807/entry", "A0A672V807")</f>
        <v/>
      </c>
      <c r="F5337" t="n">
        <v>74.90000000000001</v>
      </c>
      <c r="G5337" t="n">
        <v>287</v>
      </c>
      <c r="H5337" t="n">
        <v>7.569999999999999e-141</v>
      </c>
      <c r="I5337" t="inlineStr">
        <is>
          <t>TrEMBL</t>
        </is>
      </c>
      <c r="J5337" t="inlineStr">
        <is>
          <t>TMEM163</t>
        </is>
      </c>
      <c r="K5337" t="inlineStr">
        <is>
          <t>A0A672V807_STRHB</t>
        </is>
      </c>
      <c r="L5337" t="inlineStr">
        <is>
          <t>tr|A0A672V807|A0A672V807_STRHB Transmembrane protein 163 OS=Strigops habroptila OX=2489341 GN=TMEM163 PE=3 SV=1</t>
        </is>
      </c>
      <c r="M5337" t="n">
        <v>272</v>
      </c>
      <c r="N5337" t="inlineStr">
        <is>
          <t>Strigops habroptila</t>
        </is>
      </c>
      <c r="O5337" t="inlineStr">
        <is>
          <t>Transmembrane protein 163</t>
        </is>
      </c>
    </row>
    <row r="5338">
      <c r="A5338" t="inlineStr"/>
      <c r="B5338" t="inlineStr"/>
      <c r="C5338" t="inlineStr"/>
      <c r="D5338" t="inlineStr"/>
      <c r="E5338">
        <f>HYPERLINK("https://www.uniprot.org/uniprotkb/A0A8C3QYP3/entry", "A0A8C3QYP3")</f>
        <v/>
      </c>
      <c r="F5338" t="n">
        <v>74.90000000000001</v>
      </c>
      <c r="G5338" t="n">
        <v>287</v>
      </c>
      <c r="H5338" t="n">
        <v>7.839999999999999e-141</v>
      </c>
      <c r="I5338" t="inlineStr">
        <is>
          <t>TrEMBL</t>
        </is>
      </c>
      <c r="J5338" t="inlineStr"/>
      <c r="K5338" t="inlineStr">
        <is>
          <t>A0A8C3QYP3_9PASS</t>
        </is>
      </c>
      <c r="L5338" t="inlineStr">
        <is>
          <t>tr|A0A8C3QYP3|A0A8C3QYP3_9PASS Transmembrane protein 163 OS=Cyanoderma ruficeps OX=181631 PE=3 SV=1</t>
        </is>
      </c>
      <c r="M5338" t="n">
        <v>273</v>
      </c>
      <c r="N5338" t="inlineStr">
        <is>
          <t>Cyanoderma ruficeps</t>
        </is>
      </c>
      <c r="O5338" t="inlineStr">
        <is>
          <t>Transmembrane protein 163</t>
        </is>
      </c>
    </row>
    <row r="5339">
      <c r="A5339" t="inlineStr"/>
      <c r="B5339" t="inlineStr"/>
      <c r="C5339" t="inlineStr"/>
      <c r="D5339" t="inlineStr"/>
      <c r="E5339">
        <f>HYPERLINK("https://www.uniprot.org/uniprotkb/H0ZN91/entry", "H0ZN91")</f>
        <v/>
      </c>
      <c r="F5339" t="n">
        <v>74.90000000000001</v>
      </c>
      <c r="G5339" t="n">
        <v>287</v>
      </c>
      <c r="H5339" t="n">
        <v>7.839999999999999e-141</v>
      </c>
      <c r="I5339" t="inlineStr">
        <is>
          <t>TrEMBL</t>
        </is>
      </c>
      <c r="J5339" t="inlineStr">
        <is>
          <t>TMEM163</t>
        </is>
      </c>
      <c r="K5339" t="inlineStr">
        <is>
          <t>H0ZN91_TAEGU</t>
        </is>
      </c>
      <c r="L5339" t="inlineStr">
        <is>
          <t>tr|H0ZN91|H0ZN91_TAEGU Transmembrane protein 163 OS=Taeniopygia guttata OX=59729 GN=TMEM163 PE=3 SV=2</t>
        </is>
      </c>
      <c r="M5339" t="n">
        <v>273</v>
      </c>
      <c r="N5339" t="inlineStr">
        <is>
          <t>Taeniopygia guttata</t>
        </is>
      </c>
      <c r="O5339" t="inlineStr">
        <is>
          <t>Transmembrane protein 163</t>
        </is>
      </c>
    </row>
    <row r="5340">
      <c r="A5340" t="inlineStr"/>
      <c r="B5340" t="inlineStr"/>
      <c r="C5340" t="inlineStr"/>
      <c r="D5340" t="inlineStr"/>
      <c r="E5340">
        <f>HYPERLINK("https://www.ncbi.nlm.nih.gov/gene/?term=XP_009086047.2", "XP_009086047.2")</f>
        <v/>
      </c>
      <c r="F5340" t="n">
        <v>74.90000000000001</v>
      </c>
      <c r="G5340" t="n">
        <v>287</v>
      </c>
      <c r="H5340" t="n">
        <v>1.42e-140</v>
      </c>
      <c r="I5340" t="inlineStr">
        <is>
          <t>Nr</t>
        </is>
      </c>
      <c r="J5340" t="inlineStr"/>
      <c r="K5340" t="inlineStr"/>
      <c r="L5340" t="inlineStr">
        <is>
          <t>XP_009086047.2 transmembrane protein 163 isoform X1 [Serinus canaria]</t>
        </is>
      </c>
      <c r="M5340" t="n">
        <v>273</v>
      </c>
      <c r="N5340" t="inlineStr">
        <is>
          <t>Serinus canaria</t>
        </is>
      </c>
      <c r="O5340" t="inlineStr">
        <is>
          <t>transmembrane protein 163 isoform X1</t>
        </is>
      </c>
    </row>
    <row r="5341">
      <c r="A5341" t="inlineStr"/>
      <c r="B5341" t="inlineStr"/>
      <c r="C5341" t="inlineStr"/>
      <c r="D5341" t="inlineStr"/>
      <c r="E5341">
        <f>HYPERLINK("https://www.ncbi.nlm.nih.gov/gene/?term=XP_037999021.1", "XP_037999021.1")</f>
        <v/>
      </c>
      <c r="F5341" t="n">
        <v>74.90000000000001</v>
      </c>
      <c r="G5341" t="n">
        <v>287</v>
      </c>
      <c r="H5341" t="n">
        <v>1.42e-140</v>
      </c>
      <c r="I5341" t="inlineStr">
        <is>
          <t>Nr</t>
        </is>
      </c>
      <c r="J5341" t="inlineStr"/>
      <c r="K5341" t="inlineStr"/>
      <c r="L5341" t="inlineStr">
        <is>
          <t>XP_037999021.1 transmembrane protein 163 isoform X1 [Motacilla alba alba]</t>
        </is>
      </c>
      <c r="M5341" t="n">
        <v>273</v>
      </c>
      <c r="N5341" t="inlineStr">
        <is>
          <t>Motacilla alba alba</t>
        </is>
      </c>
      <c r="O5341" t="inlineStr">
        <is>
          <t>transmembrane protein 163 isoform X1</t>
        </is>
      </c>
    </row>
    <row r="5342">
      <c r="A5342" t="inlineStr"/>
      <c r="B5342" t="inlineStr"/>
      <c r="C5342" t="inlineStr"/>
      <c r="D5342" t="inlineStr"/>
      <c r="E5342">
        <f>HYPERLINK("https://www.ncbi.nlm.nih.gov/gene/?term=TRZ22184.1", "TRZ22184.1")</f>
        <v/>
      </c>
      <c r="F5342" t="n">
        <v>74.90000000000001</v>
      </c>
      <c r="G5342" t="n">
        <v>287</v>
      </c>
      <c r="H5342" t="n">
        <v>1.52e-140</v>
      </c>
      <c r="I5342" t="inlineStr">
        <is>
          <t>Nr</t>
        </is>
      </c>
      <c r="J5342" t="inlineStr"/>
      <c r="K5342" t="inlineStr"/>
      <c r="L5342" t="inlineStr">
        <is>
          <t>TRZ22184.1 hypothetical protein HGM15179_004890 [Zosterops borbonicus]</t>
        </is>
      </c>
      <c r="M5342" t="n">
        <v>275</v>
      </c>
      <c r="N5342" t="inlineStr">
        <is>
          <t>Zosterops borbonicus</t>
        </is>
      </c>
      <c r="O5342" t="inlineStr">
        <is>
          <t>hypothetical protein HGM15179_004890</t>
        </is>
      </c>
    </row>
    <row r="5343">
      <c r="A5343" t="inlineStr"/>
      <c r="B5343" t="inlineStr"/>
      <c r="C5343" t="inlineStr"/>
      <c r="D5343" t="inlineStr"/>
      <c r="E5343">
        <f>HYPERLINK("https://www.ncbi.nlm.nih.gov/gene/?term=NXL87284.1", "NXL87284.1")</f>
        <v/>
      </c>
      <c r="F5343" t="n">
        <v>75.3</v>
      </c>
      <c r="G5343" t="n">
        <v>287</v>
      </c>
      <c r="H5343" t="n">
        <v>1.58e-140</v>
      </c>
      <c r="I5343" t="inlineStr">
        <is>
          <t>Nr</t>
        </is>
      </c>
      <c r="J5343" t="inlineStr"/>
      <c r="K5343" t="inlineStr"/>
      <c r="L5343" t="inlineStr">
        <is>
          <t>NXL87284.1 TM163 protein [Alectura lathami]</t>
        </is>
      </c>
      <c r="M5343" t="n">
        <v>276</v>
      </c>
      <c r="N5343" t="inlineStr">
        <is>
          <t>Alectura lathami</t>
        </is>
      </c>
      <c r="O5343" t="inlineStr">
        <is>
          <t>TM163 protein</t>
        </is>
      </c>
    </row>
    <row r="5344">
      <c r="A5344" t="inlineStr"/>
      <c r="B5344" t="inlineStr"/>
      <c r="C5344" t="inlineStr"/>
      <c r="D5344" t="inlineStr"/>
      <c r="E5344">
        <f>HYPERLINK("https://www.uniprot.org/uniprotkb/A0A7L1NQC3/entry", "A0A7L1NQC3")</f>
        <v/>
      </c>
      <c r="F5344" t="n">
        <v>74.90000000000001</v>
      </c>
      <c r="G5344" t="n">
        <v>287</v>
      </c>
      <c r="H5344" t="n">
        <v>1.58e-140</v>
      </c>
      <c r="I5344" t="inlineStr">
        <is>
          <t>TrEMBL</t>
        </is>
      </c>
      <c r="J5344" t="inlineStr">
        <is>
          <t>Tmem163</t>
        </is>
      </c>
      <c r="K5344" t="inlineStr">
        <is>
          <t>A0A7L1NQC3_RHICY</t>
        </is>
      </c>
      <c r="L5344" t="inlineStr">
        <is>
          <t>tr|A0A7L1NQC3|A0A7L1NQC3_RHICY Transmembrane protein 163 (Fragment) OS=Rhinopomastus cyanomelas OX=113115 GN=Tmem163 PE=3 SV=1</t>
        </is>
      </c>
      <c r="M5344" t="n">
        <v>273</v>
      </c>
      <c r="N5344" t="inlineStr">
        <is>
          <t>Rhinopomastus cyanomelas</t>
        </is>
      </c>
      <c r="O5344" t="inlineStr">
        <is>
          <t>Transmembrane protein 163 (Fragment)</t>
        </is>
      </c>
    </row>
    <row r="5345">
      <c r="A5345" t="inlineStr"/>
      <c r="B5345" t="inlineStr"/>
      <c r="C5345" t="inlineStr"/>
      <c r="D5345" t="inlineStr"/>
      <c r="E5345">
        <f>HYPERLINK("https://www.uniprot.org/uniprotkb/A0A7L1ZB71/entry", "A0A7L1ZB71")</f>
        <v/>
      </c>
      <c r="F5345" t="n">
        <v>74.90000000000001</v>
      </c>
      <c r="G5345" t="n">
        <v>287</v>
      </c>
      <c r="H5345" t="n">
        <v>1.58e-140</v>
      </c>
      <c r="I5345" t="inlineStr">
        <is>
          <t>TrEMBL</t>
        </is>
      </c>
      <c r="J5345" t="inlineStr">
        <is>
          <t>Tmem163</t>
        </is>
      </c>
      <c r="K5345" t="inlineStr">
        <is>
          <t>A0A7L1ZB71_LEILU</t>
        </is>
      </c>
      <c r="L5345" t="inlineStr">
        <is>
          <t>tr|A0A7L1ZB71|A0A7L1ZB71_LEILU Transmembrane protein 163 (Fragment) OS=Leiothrix lutea OX=36275 GN=Tmem163 PE=3 SV=1</t>
        </is>
      </c>
      <c r="M5345" t="n">
        <v>273</v>
      </c>
      <c r="N5345" t="inlineStr">
        <is>
          <t>Leiothrix lutea</t>
        </is>
      </c>
      <c r="O5345" t="inlineStr">
        <is>
          <t>Transmembrane protein 163 (Fragment)</t>
        </is>
      </c>
    </row>
    <row r="5346">
      <c r="A5346" t="inlineStr"/>
      <c r="B5346" t="inlineStr"/>
      <c r="C5346" t="inlineStr"/>
      <c r="D5346" t="inlineStr"/>
      <c r="E5346">
        <f>HYPERLINK("https://www.uniprot.org/uniprotkb/A0A7L0M977/entry", "A0A7L0M977")</f>
        <v/>
      </c>
      <c r="F5346" t="n">
        <v>74.90000000000001</v>
      </c>
      <c r="G5346" t="n">
        <v>287</v>
      </c>
      <c r="H5346" t="n">
        <v>1.64e-140</v>
      </c>
      <c r="I5346" t="inlineStr">
        <is>
          <t>TrEMBL</t>
        </is>
      </c>
      <c r="J5346" t="inlineStr">
        <is>
          <t>Tmem163</t>
        </is>
      </c>
      <c r="K5346" t="inlineStr">
        <is>
          <t>A0A7L0M977_9PSIT</t>
        </is>
      </c>
      <c r="L5346" t="inlineStr">
        <is>
          <t>tr|A0A7L0M977|A0A7L0M977_9PSIT Transmembrane protein 163 (Fragment) OS=Amazona guildingii OX=175529 GN=Tmem163 PE=3 SV=1</t>
        </is>
      </c>
      <c r="M5346" t="n">
        <v>274</v>
      </c>
      <c r="N5346" t="inlineStr">
        <is>
          <t>Amazona guildingii</t>
        </is>
      </c>
      <c r="O5346" t="inlineStr">
        <is>
          <t>Transmembrane protein 163 (Fragment)</t>
        </is>
      </c>
    </row>
    <row r="5347">
      <c r="A5347" t="inlineStr"/>
      <c r="B5347" t="inlineStr"/>
      <c r="C5347" t="inlineStr"/>
      <c r="D5347" t="inlineStr"/>
      <c r="E5347">
        <f>HYPERLINK("https://www.ncbi.nlm.nih.gov/gene/?term=XP_030344005.1", "XP_030344005.1")</f>
        <v/>
      </c>
      <c r="F5347" t="n">
        <v>74.90000000000001</v>
      </c>
      <c r="G5347" t="n">
        <v>287</v>
      </c>
      <c r="H5347" t="n">
        <v>1.94e-140</v>
      </c>
      <c r="I5347" t="inlineStr">
        <is>
          <t>Nr</t>
        </is>
      </c>
      <c r="J5347" t="inlineStr"/>
      <c r="K5347" t="inlineStr"/>
      <c r="L5347" t="inlineStr">
        <is>
          <t>XP_030344005.1 transmembrane protein 163 [Strigops habroptila]</t>
        </is>
      </c>
      <c r="M5347" t="n">
        <v>272</v>
      </c>
      <c r="N5347" t="inlineStr">
        <is>
          <t>Strigops habroptila</t>
        </is>
      </c>
      <c r="O5347" t="inlineStr">
        <is>
          <t>transmembrane protein 163</t>
        </is>
      </c>
    </row>
    <row r="5348">
      <c r="A5348" t="inlineStr"/>
      <c r="B5348" t="inlineStr"/>
      <c r="C5348" t="inlineStr"/>
      <c r="D5348" t="inlineStr"/>
      <c r="E5348">
        <f>HYPERLINK("https://www.ncbi.nlm.nih.gov/gene/?term=XP_030133935.1", "XP_030133935.1")</f>
        <v/>
      </c>
      <c r="F5348" t="n">
        <v>74.90000000000001</v>
      </c>
      <c r="G5348" t="n">
        <v>287</v>
      </c>
      <c r="H5348" t="n">
        <v>2.01e-140</v>
      </c>
      <c r="I5348" t="inlineStr">
        <is>
          <t>Nr</t>
        </is>
      </c>
      <c r="J5348" t="inlineStr"/>
      <c r="K5348" t="inlineStr"/>
      <c r="L5348" t="inlineStr">
        <is>
          <t>XP_030133935.1 transmembrane protein 163 isoform X1 [Taeniopygia guttata]</t>
        </is>
      </c>
      <c r="M5348" t="n">
        <v>273</v>
      </c>
      <c r="N5348" t="inlineStr">
        <is>
          <t>Taeniopygia guttata</t>
        </is>
      </c>
      <c r="O5348" t="inlineStr">
        <is>
          <t>transmembrane protein 163 isoform X1</t>
        </is>
      </c>
    </row>
    <row r="5349">
      <c r="A5349" t="inlineStr"/>
      <c r="B5349" t="inlineStr"/>
      <c r="C5349" t="inlineStr"/>
      <c r="D5349" t="inlineStr"/>
      <c r="E5349">
        <f>HYPERLINK("https://www.uniprot.org/uniprotkb/A0A7K9HIW3/entry", "A0A7K9HIW3")</f>
        <v/>
      </c>
      <c r="F5349" t="n">
        <v>74.59999999999999</v>
      </c>
      <c r="G5349" t="n">
        <v>287</v>
      </c>
      <c r="H5349" t="n">
        <v>2.24e-140</v>
      </c>
      <c r="I5349" t="inlineStr">
        <is>
          <t>TrEMBL</t>
        </is>
      </c>
      <c r="J5349" t="inlineStr">
        <is>
          <t>Tmem163</t>
        </is>
      </c>
      <c r="K5349" t="inlineStr">
        <is>
          <t>A0A7K9HIW3_9AVES</t>
        </is>
      </c>
      <c r="L5349" t="inlineStr">
        <is>
          <t>tr|A0A7K9HIW3|A0A7K9HIW3_9AVES Transmembrane protein 163 (Fragment) OS=Bucco capensis OX=135168 GN=Tmem163 PE=3 SV=1</t>
        </is>
      </c>
      <c r="M5349" t="n">
        <v>273</v>
      </c>
      <c r="N5349" t="inlineStr">
        <is>
          <t>Bucco capensis</t>
        </is>
      </c>
      <c r="O5349" t="inlineStr">
        <is>
          <t>Transmembrane protein 163 (Fragment)</t>
        </is>
      </c>
    </row>
    <row r="5350">
      <c r="A5350" t="inlineStr"/>
      <c r="B5350" t="inlineStr"/>
      <c r="C5350" t="inlineStr"/>
      <c r="D5350" t="inlineStr"/>
      <c r="E5350">
        <f>HYPERLINK("https://www.uniprot.org/uniprotkb/U3KH17/entry", "U3KH17")</f>
        <v/>
      </c>
      <c r="F5350" t="n">
        <v>75.09999999999999</v>
      </c>
      <c r="G5350" t="n">
        <v>289</v>
      </c>
      <c r="H5350" t="n">
        <v>2.32e-140</v>
      </c>
      <c r="I5350" t="inlineStr">
        <is>
          <t>TrEMBL</t>
        </is>
      </c>
      <c r="J5350" t="inlineStr">
        <is>
          <t>TMEM163</t>
        </is>
      </c>
      <c r="K5350" t="inlineStr">
        <is>
          <t>U3KH17_FICAL</t>
        </is>
      </c>
      <c r="L5350" t="inlineStr">
        <is>
          <t>tr|U3KH17|U3KH17_FICAL Transmembrane protein 163 OS=Ficedula albicollis OX=59894 GN=TMEM163 PE=3 SV=1</t>
        </is>
      </c>
      <c r="M5350" t="n">
        <v>274</v>
      </c>
      <c r="N5350" t="inlineStr">
        <is>
          <t>Ficedula albicollis</t>
        </is>
      </c>
      <c r="O5350" t="inlineStr">
        <is>
          <t>Transmembrane protein 163</t>
        </is>
      </c>
    </row>
    <row r="5351">
      <c r="A5351" t="inlineStr"/>
      <c r="B5351" t="inlineStr"/>
      <c r="C5351" t="inlineStr"/>
      <c r="D5351" t="inlineStr"/>
      <c r="E5351">
        <f>HYPERLINK("https://www.uniprot.org/uniprotkb/A0A7K5TSA1/entry", "A0A7K5TSA1")</f>
        <v/>
      </c>
      <c r="F5351" t="n">
        <v>74.59999999999999</v>
      </c>
      <c r="G5351" t="n">
        <v>287</v>
      </c>
      <c r="H5351" t="n">
        <v>2.32e-140</v>
      </c>
      <c r="I5351" t="inlineStr">
        <is>
          <t>TrEMBL</t>
        </is>
      </c>
      <c r="J5351" t="inlineStr">
        <is>
          <t>Tmem163</t>
        </is>
      </c>
      <c r="K5351" t="inlineStr">
        <is>
          <t>A0A7K5TSA1_CEPOR</t>
        </is>
      </c>
      <c r="L5351" t="inlineStr">
        <is>
          <t>tr|A0A7K5TSA1|A0A7K5TSA1_CEPOR Transmembrane protein 163 (Fragment) OS=Cephalopterus ornatus OX=114276 GN=Tmem163 PE=3 SV=1</t>
        </is>
      </c>
      <c r="M5351" t="n">
        <v>274</v>
      </c>
      <c r="N5351" t="inlineStr">
        <is>
          <t>Cephalopterus ornatus</t>
        </is>
      </c>
      <c r="O5351" t="inlineStr">
        <is>
          <t>Transmembrane protein 163 (Fragment)</t>
        </is>
      </c>
    </row>
    <row r="5352">
      <c r="A5352" t="inlineStr"/>
      <c r="B5352" t="inlineStr"/>
      <c r="C5352" t="inlineStr"/>
      <c r="D5352" t="inlineStr"/>
      <c r="E5352">
        <f>HYPERLINK("https://www.uniprot.org/uniprotkb/A0A7L0II94/entry", "A0A7L0II94")</f>
        <v/>
      </c>
      <c r="F5352" t="n">
        <v>75.3</v>
      </c>
      <c r="G5352" t="n">
        <v>287</v>
      </c>
      <c r="H5352" t="n">
        <v>2.41e-140</v>
      </c>
      <c r="I5352" t="inlineStr">
        <is>
          <t>TrEMBL</t>
        </is>
      </c>
      <c r="J5352" t="inlineStr">
        <is>
          <t>Tmem163</t>
        </is>
      </c>
      <c r="K5352" t="inlineStr">
        <is>
          <t>A0A7L0II94_PIPCL</t>
        </is>
      </c>
      <c r="L5352" t="inlineStr">
        <is>
          <t>tr|A0A7L0II94|A0A7L0II94_PIPCL Transmembrane protein 163 (Fragment) OS=Piprites chloris OX=114369 GN=Tmem163 PE=3 SV=1</t>
        </is>
      </c>
      <c r="M5352" t="n">
        <v>275</v>
      </c>
      <c r="N5352" t="inlineStr">
        <is>
          <t>Piprites chloris</t>
        </is>
      </c>
      <c r="O5352" t="inlineStr">
        <is>
          <t>Transmembrane protein 163 (Fragment)</t>
        </is>
      </c>
    </row>
    <row r="5353">
      <c r="A5353" t="inlineStr"/>
      <c r="B5353" t="inlineStr"/>
      <c r="C5353" t="inlineStr"/>
      <c r="D5353" t="inlineStr"/>
      <c r="E5353">
        <f>HYPERLINK("https://www.uniprot.org/uniprotkb/A0A8C4TRH2/entry", "A0A8C4TRH2")</f>
        <v/>
      </c>
      <c r="F5353" t="n">
        <v>74.59999999999999</v>
      </c>
      <c r="G5353" t="n">
        <v>287</v>
      </c>
      <c r="H5353" t="n">
        <v>3.18e-140</v>
      </c>
      <c r="I5353" t="inlineStr">
        <is>
          <t>TrEMBL</t>
        </is>
      </c>
      <c r="J5353" t="inlineStr"/>
      <c r="K5353" t="inlineStr">
        <is>
          <t>A0A8C4TRH2_FALTI</t>
        </is>
      </c>
      <c r="L5353" t="inlineStr">
        <is>
          <t>tr|A0A8C4TRH2|A0A8C4TRH2_FALTI Transmembrane protein 163 OS=Falco tinnunculus OX=100819 PE=3 SV=1</t>
        </is>
      </c>
      <c r="M5353" t="n">
        <v>273</v>
      </c>
      <c r="N5353" t="inlineStr">
        <is>
          <t>Falco tinnunculus</t>
        </is>
      </c>
      <c r="O5353" t="inlineStr">
        <is>
          <t>Transmembrane protein 163</t>
        </is>
      </c>
    </row>
    <row r="5354">
      <c r="A5354" t="inlineStr"/>
      <c r="B5354" t="inlineStr"/>
      <c r="C5354" t="inlineStr"/>
      <c r="D5354" t="inlineStr"/>
      <c r="E5354">
        <f>HYPERLINK("https://www.uniprot.org/uniprotkb/A6QQX9/entry", "A6QQX9")</f>
        <v/>
      </c>
      <c r="F5354" t="n">
        <v>83.09999999999999</v>
      </c>
      <c r="G5354" t="n">
        <v>243</v>
      </c>
      <c r="H5354" t="n">
        <v>2.09e-139</v>
      </c>
      <c r="I5354" t="inlineStr">
        <is>
          <t>Swiss-Prot</t>
        </is>
      </c>
      <c r="J5354" t="inlineStr">
        <is>
          <t>TMEM163</t>
        </is>
      </c>
      <c r="K5354" t="inlineStr">
        <is>
          <t>TM163_BOVIN</t>
        </is>
      </c>
      <c r="L5354" t="inlineStr">
        <is>
          <t>sp|A6QQX9|TM163_BOVIN Transmembrane protein 163 OS=Bos taurus OX=9913 GN=TMEM163 PE=2 SV=1</t>
        </is>
      </c>
      <c r="M5354" t="n">
        <v>287</v>
      </c>
      <c r="N5354" t="inlineStr">
        <is>
          <t>Bos taurus</t>
        </is>
      </c>
      <c r="O5354" t="inlineStr">
        <is>
          <t>Transmembrane protein 163</t>
        </is>
      </c>
    </row>
    <row r="5355">
      <c r="A5355" t="inlineStr"/>
      <c r="B5355" t="inlineStr"/>
      <c r="C5355" t="inlineStr"/>
      <c r="D5355" t="inlineStr"/>
      <c r="E5355">
        <f>HYPERLINK("https://www.uniprot.org/uniprotkb/Q8TC26/entry", "Q8TC26")</f>
        <v/>
      </c>
      <c r="F5355" t="n">
        <v>83.2</v>
      </c>
      <c r="G5355" t="n">
        <v>244</v>
      </c>
      <c r="H5355" t="n">
        <v>2.24e-139</v>
      </c>
      <c r="I5355" t="inlineStr">
        <is>
          <t>Swiss-Prot</t>
        </is>
      </c>
      <c r="J5355" t="inlineStr">
        <is>
          <t>TMEM163</t>
        </is>
      </c>
      <c r="K5355" t="inlineStr">
        <is>
          <t>TM163_HUMAN</t>
        </is>
      </c>
      <c r="L5355" t="inlineStr">
        <is>
          <t>sp|Q8TC26|TM163_HUMAN Transmembrane protein 163 OS=Homo sapiens OX=9606 GN=TMEM163 PE=2 SV=1</t>
        </is>
      </c>
      <c r="M5355" t="n">
        <v>289</v>
      </c>
      <c r="N5355" t="inlineStr">
        <is>
          <t>Homo sapiens</t>
        </is>
      </c>
      <c r="O5355" t="inlineStr">
        <is>
          <t>Transmembrane protein 163</t>
        </is>
      </c>
    </row>
    <row r="5356">
      <c r="A5356" t="inlineStr"/>
      <c r="B5356" t="inlineStr"/>
      <c r="C5356" t="inlineStr"/>
      <c r="D5356" t="inlineStr"/>
      <c r="E5356">
        <f>HYPERLINK("https://www.uniprot.org/uniprotkb/A9CMA6/entry", "A9CMA6")</f>
        <v/>
      </c>
      <c r="F5356" t="n">
        <v>75.3</v>
      </c>
      <c r="G5356" t="n">
        <v>279</v>
      </c>
      <c r="H5356" t="n">
        <v>3.07e-139</v>
      </c>
      <c r="I5356" t="inlineStr">
        <is>
          <t>Swiss-Prot</t>
        </is>
      </c>
      <c r="J5356" t="inlineStr">
        <is>
          <t>Tmem163</t>
        </is>
      </c>
      <c r="K5356" t="inlineStr">
        <is>
          <t>TM163_RAT</t>
        </is>
      </c>
      <c r="L5356" t="inlineStr">
        <is>
          <t>sp|A9CMA6|TM163_RAT Transmembrane protein 163 OS=Rattus norvegicus OX=10116 GN=Tmem163 PE=1 SV=1</t>
        </is>
      </c>
      <c r="M5356" t="n">
        <v>288</v>
      </c>
      <c r="N5356" t="inlineStr">
        <is>
          <t>Rattus norvegicus</t>
        </is>
      </c>
      <c r="O5356" t="inlineStr">
        <is>
          <t>Transmembrane protein 163</t>
        </is>
      </c>
    </row>
    <row r="5357">
      <c r="A5357" t="inlineStr"/>
      <c r="B5357" t="inlineStr"/>
      <c r="C5357" t="inlineStr"/>
      <c r="D5357" t="inlineStr"/>
      <c r="E5357">
        <f>HYPERLINK("https://www.uniprot.org/uniprotkb/Q8C996/entry", "Q8C996")</f>
        <v/>
      </c>
      <c r="F5357" t="n">
        <v>74.3</v>
      </c>
      <c r="G5357" t="n">
        <v>276</v>
      </c>
      <c r="H5357" t="n">
        <v>2.51e-138</v>
      </c>
      <c r="I5357" t="inlineStr">
        <is>
          <t>Swiss-Prot</t>
        </is>
      </c>
      <c r="J5357" t="inlineStr">
        <is>
          <t>Tmem163</t>
        </is>
      </c>
      <c r="K5357" t="inlineStr">
        <is>
          <t>TM163_MOUSE</t>
        </is>
      </c>
      <c r="L5357" t="inlineStr">
        <is>
          <t>sp|Q8C996|TM163_MOUSE Transmembrane protein 163 OS=Mus musculus OX=10090 GN=Tmem163 PE=1 SV=1</t>
        </is>
      </c>
      <c r="M5357" t="n">
        <v>288</v>
      </c>
      <c r="N5357" t="inlineStr">
        <is>
          <t>Mus musculus</t>
        </is>
      </c>
      <c r="O5357" t="inlineStr">
        <is>
          <t>Transmembrane protein 163</t>
        </is>
      </c>
    </row>
    <row r="5358">
      <c r="A5358" t="inlineStr">
        <is>
          <t>NODE_3253_length_8591_cov_19.097959_g1304_i0</t>
        </is>
      </c>
      <c r="B5358" t="inlineStr">
        <is>
          <t>bombina_pachypus_blastx</t>
        </is>
      </c>
      <c r="C5358" t="n">
        <v>-4.65488859522323</v>
      </c>
      <c r="D5358" t="n">
        <v>4.1003262812291e-23</v>
      </c>
      <c r="E5358">
        <f>HYPERLINK("https://www.uniprot.org/uniprotkb/A0A803JEZ2/entry", "A0A803JEZ2")</f>
        <v/>
      </c>
      <c r="F5358" t="n">
        <v>39.3</v>
      </c>
      <c r="G5358" t="n">
        <v>445</v>
      </c>
      <c r="H5358" t="n">
        <v>1.66e-95</v>
      </c>
      <c r="I5358" t="inlineStr">
        <is>
          <t>TrEMBL</t>
        </is>
      </c>
      <c r="J5358" t="inlineStr"/>
      <c r="K5358" t="inlineStr">
        <is>
          <t>A0A803JEZ2_XENTR</t>
        </is>
      </c>
      <c r="L5358" t="inlineStr">
        <is>
          <t>tr|A0A803JEZ2|A0A803JEZ2_XENTR Reverse transcriptase domain-containing protein OS=Xenopus tropicalis OX=8364 PE=4 SV=1</t>
        </is>
      </c>
      <c r="M5358" t="n">
        <v>732</v>
      </c>
      <c r="N5358" t="inlineStr">
        <is>
          <t>Xenopus tropicalis</t>
        </is>
      </c>
      <c r="O5358" t="inlineStr">
        <is>
          <t>Reverse transcriptase domain-containing protein</t>
        </is>
      </c>
    </row>
    <row r="5359">
      <c r="A5359" t="inlineStr"/>
      <c r="B5359" t="inlineStr"/>
      <c r="C5359" t="inlineStr"/>
      <c r="D5359" t="inlineStr"/>
      <c r="E5359">
        <f>HYPERLINK("https://www.uniprot.org/uniprotkb/A0A8C5Q068/entry", "A0A8C5Q068")</f>
        <v/>
      </c>
      <c r="F5359" t="n">
        <v>38.7</v>
      </c>
      <c r="G5359" t="n">
        <v>444</v>
      </c>
      <c r="H5359" t="n">
        <v>7.18e-86</v>
      </c>
      <c r="I5359" t="inlineStr">
        <is>
          <t>TrEMBL</t>
        </is>
      </c>
      <c r="J5359" t="inlineStr"/>
      <c r="K5359" t="inlineStr">
        <is>
          <t>A0A8C5Q068_9ANUR</t>
        </is>
      </c>
      <c r="L5359" t="inlineStr">
        <is>
          <t>tr|A0A8C5Q068|A0A8C5Q068_9ANUR Reverse transcriptase domain-containing protein OS=Leptobrachium leishanense OX=445787 PE=4 SV=1</t>
        </is>
      </c>
      <c r="M5359" t="n">
        <v>724</v>
      </c>
      <c r="N5359" t="inlineStr">
        <is>
          <t>Leptobrachium leishanense</t>
        </is>
      </c>
      <c r="O5359" t="inlineStr">
        <is>
          <t>Reverse transcriptase domain-containing protein</t>
        </is>
      </c>
    </row>
    <row r="5360">
      <c r="A5360" t="inlineStr"/>
      <c r="B5360" t="inlineStr"/>
      <c r="C5360" t="inlineStr"/>
      <c r="D5360" t="inlineStr"/>
      <c r="E5360">
        <f>HYPERLINK("https://www.uniprot.org/uniprotkb/A0A8C5M2S8/entry", "A0A8C5M2S8")</f>
        <v/>
      </c>
      <c r="F5360" t="n">
        <v>39.1</v>
      </c>
      <c r="G5360" t="n">
        <v>445</v>
      </c>
      <c r="H5360" t="n">
        <v>1.5e-85</v>
      </c>
      <c r="I5360" t="inlineStr">
        <is>
          <t>TrEMBL</t>
        </is>
      </c>
      <c r="J5360" t="inlineStr"/>
      <c r="K5360" t="inlineStr">
        <is>
          <t>A0A8C5M2S8_9ANUR</t>
        </is>
      </c>
      <c r="L5360" t="inlineStr">
        <is>
          <t>tr|A0A8C5M2S8|A0A8C5M2S8_9ANUR Reverse transcriptase domain-containing protein OS=Leptobrachium leishanense OX=445787 PE=4 SV=1</t>
        </is>
      </c>
      <c r="M5360" t="n">
        <v>1279</v>
      </c>
      <c r="N5360" t="inlineStr">
        <is>
          <t>Leptobrachium leishanense</t>
        </is>
      </c>
      <c r="O5360" t="inlineStr">
        <is>
          <t>Reverse transcriptase domain-containing protein</t>
        </is>
      </c>
    </row>
    <row r="5361">
      <c r="A5361" t="inlineStr"/>
      <c r="B5361" t="inlineStr"/>
      <c r="C5361" t="inlineStr"/>
      <c r="D5361" t="inlineStr"/>
      <c r="E5361">
        <f>HYPERLINK("https://www.uniprot.org/uniprotkb/A0A8C5QVL1/entry", "A0A8C5QVL1")</f>
        <v/>
      </c>
      <c r="F5361" t="n">
        <v>40.5</v>
      </c>
      <c r="G5361" t="n">
        <v>351</v>
      </c>
      <c r="H5361" t="n">
        <v>1.48e-83</v>
      </c>
      <c r="I5361" t="inlineStr">
        <is>
          <t>TrEMBL</t>
        </is>
      </c>
      <c r="J5361" t="inlineStr"/>
      <c r="K5361" t="inlineStr">
        <is>
          <t>A0A8C5QVL1_9ANUR</t>
        </is>
      </c>
      <c r="L5361" t="inlineStr">
        <is>
          <t>tr|A0A8C5QVL1|A0A8C5QVL1_9ANUR Reverse transcriptase domain-containing protein OS=Leptobrachium leishanense OX=445787 PE=4 SV=1</t>
        </is>
      </c>
      <c r="M5361" t="n">
        <v>807</v>
      </c>
      <c r="N5361" t="inlineStr">
        <is>
          <t>Leptobrachium leishanense</t>
        </is>
      </c>
      <c r="O5361" t="inlineStr">
        <is>
          <t>Reverse transcriptase domain-containing protein</t>
        </is>
      </c>
    </row>
    <row r="5362">
      <c r="A5362" t="inlineStr"/>
      <c r="B5362" t="inlineStr"/>
      <c r="C5362" t="inlineStr"/>
      <c r="D5362" t="inlineStr"/>
      <c r="E5362">
        <f>HYPERLINK("https://www.uniprot.org/uniprotkb/A0A803KEP9/entry", "A0A803KEP9")</f>
        <v/>
      </c>
      <c r="F5362" t="n">
        <v>38.6</v>
      </c>
      <c r="G5362" t="n">
        <v>446</v>
      </c>
      <c r="H5362" t="n">
        <v>3.9e-83</v>
      </c>
      <c r="I5362" t="inlineStr">
        <is>
          <t>TrEMBL</t>
        </is>
      </c>
      <c r="J5362" t="inlineStr"/>
      <c r="K5362" t="inlineStr">
        <is>
          <t>A0A803KEP9_XENTR</t>
        </is>
      </c>
      <c r="L5362" t="inlineStr">
        <is>
          <t>tr|A0A803KEP9|A0A803KEP9_XENTR Reverse transcriptase domain-containing protein OS=Xenopus tropicalis OX=8364 PE=4 SV=1</t>
        </is>
      </c>
      <c r="M5362" t="n">
        <v>968</v>
      </c>
      <c r="N5362" t="inlineStr">
        <is>
          <t>Xenopus tropicalis</t>
        </is>
      </c>
      <c r="O5362" t="inlineStr">
        <is>
          <t>Reverse transcriptase domain-containing protein</t>
        </is>
      </c>
    </row>
    <row r="5363">
      <c r="A5363" t="inlineStr"/>
      <c r="B5363" t="inlineStr"/>
      <c r="C5363" t="inlineStr"/>
      <c r="D5363" t="inlineStr"/>
      <c r="E5363">
        <f>HYPERLINK("https://www.uniprot.org/uniprotkb/A0A8C5MF72/entry", "A0A8C5MF72")</f>
        <v/>
      </c>
      <c r="F5363" t="n">
        <v>40.5</v>
      </c>
      <c r="G5363" t="n">
        <v>341</v>
      </c>
      <c r="H5363" t="n">
        <v>4.72e-82</v>
      </c>
      <c r="I5363" t="inlineStr">
        <is>
          <t>TrEMBL</t>
        </is>
      </c>
      <c r="J5363" t="inlineStr"/>
      <c r="K5363" t="inlineStr">
        <is>
          <t>A0A8C5MF72_9ANUR</t>
        </is>
      </c>
      <c r="L5363" t="inlineStr">
        <is>
          <t>tr|A0A8C5MF72|A0A8C5MF72_9ANUR Reverse transcriptase domain-containing protein OS=Leptobrachium leishanense OX=445787 PE=4 SV=1</t>
        </is>
      </c>
      <c r="M5363" t="n">
        <v>354</v>
      </c>
      <c r="N5363" t="inlineStr">
        <is>
          <t>Leptobrachium leishanense</t>
        </is>
      </c>
      <c r="O5363" t="inlineStr">
        <is>
          <t>Reverse transcriptase domain-containing protein</t>
        </is>
      </c>
    </row>
    <row r="5364">
      <c r="A5364" t="inlineStr"/>
      <c r="B5364" t="inlineStr"/>
      <c r="C5364" t="inlineStr"/>
      <c r="D5364" t="inlineStr"/>
      <c r="E5364">
        <f>HYPERLINK("https://www.uniprot.org/uniprotkb/A0A8C5LMS8/entry", "A0A8C5LMS8")</f>
        <v/>
      </c>
      <c r="F5364" t="n">
        <v>38.9</v>
      </c>
      <c r="G5364" t="n">
        <v>396</v>
      </c>
      <c r="H5364" t="n">
        <v>1.38e-81</v>
      </c>
      <c r="I5364" t="inlineStr">
        <is>
          <t>TrEMBL</t>
        </is>
      </c>
      <c r="J5364" t="inlineStr"/>
      <c r="K5364" t="inlineStr">
        <is>
          <t>A0A8C5LMS8_9ANUR</t>
        </is>
      </c>
      <c r="L5364" t="inlineStr">
        <is>
          <t>tr|A0A8C5LMS8|A0A8C5LMS8_9ANUR Reverse transcriptase domain-containing protein OS=Leptobrachium leishanense OX=445787 PE=4 SV=1</t>
        </is>
      </c>
      <c r="M5364" t="n">
        <v>781</v>
      </c>
      <c r="N5364" t="inlineStr">
        <is>
          <t>Leptobrachium leishanense</t>
        </is>
      </c>
      <c r="O5364" t="inlineStr">
        <is>
          <t>Reverse transcriptase domain-containing protein</t>
        </is>
      </c>
    </row>
    <row r="5365">
      <c r="A5365" t="inlineStr"/>
      <c r="B5365" t="inlineStr"/>
      <c r="C5365" t="inlineStr"/>
      <c r="D5365" t="inlineStr"/>
      <c r="E5365">
        <f>HYPERLINK("https://www.uniprot.org/uniprotkb/A0A8C5PW05/entry", "A0A8C5PW05")</f>
        <v/>
      </c>
      <c r="F5365" t="n">
        <v>39.6</v>
      </c>
      <c r="G5365" t="n">
        <v>366</v>
      </c>
      <c r="H5365" t="n">
        <v>1.51e-81</v>
      </c>
      <c r="I5365" t="inlineStr">
        <is>
          <t>TrEMBL</t>
        </is>
      </c>
      <c r="J5365" t="inlineStr"/>
      <c r="K5365" t="inlineStr">
        <is>
          <t>A0A8C5PW05_9ANUR</t>
        </is>
      </c>
      <c r="L5365" t="inlineStr">
        <is>
          <t>tr|A0A8C5PW05|A0A8C5PW05_9ANUR Reverse transcriptase domain-containing protein OS=Leptobrachium leishanense OX=445787 PE=4 SV=1</t>
        </is>
      </c>
      <c r="M5365" t="n">
        <v>842</v>
      </c>
      <c r="N5365" t="inlineStr">
        <is>
          <t>Leptobrachium leishanense</t>
        </is>
      </c>
      <c r="O5365" t="inlineStr">
        <is>
          <t>Reverse transcriptase domain-containing protein</t>
        </is>
      </c>
    </row>
    <row r="5366">
      <c r="A5366" t="inlineStr"/>
      <c r="B5366" t="inlineStr"/>
      <c r="C5366" t="inlineStr"/>
      <c r="D5366" t="inlineStr"/>
      <c r="E5366">
        <f>HYPERLINK("https://www.uniprot.org/uniprotkb/A0A8C5QE48/entry", "A0A8C5QE48")</f>
        <v/>
      </c>
      <c r="F5366" t="n">
        <v>39.3</v>
      </c>
      <c r="G5366" t="n">
        <v>351</v>
      </c>
      <c r="H5366" t="n">
        <v>1.76e-81</v>
      </c>
      <c r="I5366" t="inlineStr">
        <is>
          <t>TrEMBL</t>
        </is>
      </c>
      <c r="J5366" t="inlineStr"/>
      <c r="K5366" t="inlineStr">
        <is>
          <t>A0A8C5QE48_9ANUR</t>
        </is>
      </c>
      <c r="L5366" t="inlineStr">
        <is>
          <t>tr|A0A8C5QE48|A0A8C5QE48_9ANUR Reverse transcriptase domain-containing protein OS=Leptobrachium leishanense OX=445787 PE=4 SV=1</t>
        </is>
      </c>
      <c r="M5366" t="n">
        <v>677</v>
      </c>
      <c r="N5366" t="inlineStr">
        <is>
          <t>Leptobrachium leishanense</t>
        </is>
      </c>
      <c r="O5366" t="inlineStr">
        <is>
          <t>Reverse transcriptase domain-containing protein</t>
        </is>
      </c>
    </row>
    <row r="5367">
      <c r="A5367" t="inlineStr"/>
      <c r="B5367" t="inlineStr"/>
      <c r="C5367" t="inlineStr"/>
      <c r="D5367" t="inlineStr"/>
      <c r="E5367">
        <f>HYPERLINK("https://www.uniprot.org/uniprotkb/A0A8C5MW43/entry", "A0A8C5MW43")</f>
        <v/>
      </c>
      <c r="F5367" t="n">
        <v>40.1</v>
      </c>
      <c r="G5367" t="n">
        <v>354</v>
      </c>
      <c r="H5367" t="n">
        <v>6.18e-81</v>
      </c>
      <c r="I5367" t="inlineStr">
        <is>
          <t>TrEMBL</t>
        </is>
      </c>
      <c r="J5367" t="inlineStr"/>
      <c r="K5367" t="inlineStr">
        <is>
          <t>A0A8C5MW43_9ANUR</t>
        </is>
      </c>
      <c r="L5367" t="inlineStr">
        <is>
          <t>tr|A0A8C5MW43|A0A8C5MW43_9ANUR Reverse transcriptase domain-containing protein OS=Leptobrachium leishanense OX=445787 PE=4 SV=1</t>
        </is>
      </c>
      <c r="M5367" t="n">
        <v>1005</v>
      </c>
      <c r="N5367" t="inlineStr">
        <is>
          <t>Leptobrachium leishanense</t>
        </is>
      </c>
      <c r="O5367" t="inlineStr">
        <is>
          <t>Reverse transcriptase domain-containing protein</t>
        </is>
      </c>
    </row>
    <row r="5368">
      <c r="A5368" t="inlineStr"/>
      <c r="B5368" t="inlineStr"/>
      <c r="C5368" t="inlineStr"/>
      <c r="D5368" t="inlineStr"/>
      <c r="E5368">
        <f>HYPERLINK("https://www.uniprot.org/uniprotkb/A0A8C5WHC3/entry", "A0A8C5WHC3")</f>
        <v/>
      </c>
      <c r="F5368" t="n">
        <v>37.5</v>
      </c>
      <c r="G5368" t="n">
        <v>440</v>
      </c>
      <c r="H5368" t="n">
        <v>2.93e-80</v>
      </c>
      <c r="I5368" t="inlineStr">
        <is>
          <t>TrEMBL</t>
        </is>
      </c>
      <c r="J5368" t="inlineStr"/>
      <c r="K5368" t="inlineStr">
        <is>
          <t>A0A8C5WHC3_9ANUR</t>
        </is>
      </c>
      <c r="L5368" t="inlineStr">
        <is>
          <t>tr|A0A8C5WHC3|A0A8C5WHC3_9ANUR Reverse transcriptase domain-containing protein OS=Leptobrachium leishanense OX=445787 PE=4 SV=1</t>
        </is>
      </c>
      <c r="M5368" t="n">
        <v>471</v>
      </c>
      <c r="N5368" t="inlineStr">
        <is>
          <t>Leptobrachium leishanense</t>
        </is>
      </c>
      <c r="O5368" t="inlineStr">
        <is>
          <t>Reverse transcriptase domain-containing protein</t>
        </is>
      </c>
    </row>
    <row r="5369">
      <c r="A5369" t="inlineStr"/>
      <c r="B5369" t="inlineStr"/>
      <c r="C5369" t="inlineStr"/>
      <c r="D5369" t="inlineStr"/>
      <c r="E5369">
        <f>HYPERLINK("https://www.uniprot.org/uniprotkb/A0A8C5PAU0/entry", "A0A8C5PAU0")</f>
        <v/>
      </c>
      <c r="F5369" t="n">
        <v>39</v>
      </c>
      <c r="G5369" t="n">
        <v>354</v>
      </c>
      <c r="H5369" t="n">
        <v>3.32e-80</v>
      </c>
      <c r="I5369" t="inlineStr">
        <is>
          <t>TrEMBL</t>
        </is>
      </c>
      <c r="J5369" t="inlineStr"/>
      <c r="K5369" t="inlineStr">
        <is>
          <t>A0A8C5PAU0_9ANUR</t>
        </is>
      </c>
      <c r="L5369" t="inlineStr">
        <is>
          <t>tr|A0A8C5PAU0|A0A8C5PAU0_9ANUR Reverse transcriptase domain-containing protein OS=Leptobrachium leishanense OX=445787 PE=4 SV=1</t>
        </is>
      </c>
      <c r="M5369" t="n">
        <v>934</v>
      </c>
      <c r="N5369" t="inlineStr">
        <is>
          <t>Leptobrachium leishanense</t>
        </is>
      </c>
      <c r="O5369" t="inlineStr">
        <is>
          <t>Reverse transcriptase domain-containing protein</t>
        </is>
      </c>
    </row>
    <row r="5370">
      <c r="A5370" t="inlineStr"/>
      <c r="B5370" t="inlineStr"/>
      <c r="C5370" t="inlineStr"/>
      <c r="D5370" t="inlineStr"/>
      <c r="E5370">
        <f>HYPERLINK("https://www.uniprot.org/uniprotkb/A0A8C5QUS4/entry", "A0A8C5QUS4")</f>
        <v/>
      </c>
      <c r="F5370" t="n">
        <v>38.6</v>
      </c>
      <c r="G5370" t="n">
        <v>396</v>
      </c>
      <c r="H5370" t="n">
        <v>4.91e-80</v>
      </c>
      <c r="I5370" t="inlineStr">
        <is>
          <t>TrEMBL</t>
        </is>
      </c>
      <c r="J5370" t="inlineStr"/>
      <c r="K5370" t="inlineStr">
        <is>
          <t>A0A8C5QUS4_9ANUR</t>
        </is>
      </c>
      <c r="L5370" t="inlineStr">
        <is>
          <t>tr|A0A8C5QUS4|A0A8C5QUS4_9ANUR Reverse transcriptase domain-containing protein OS=Leptobrachium leishanense OX=445787 PE=4 SV=1</t>
        </is>
      </c>
      <c r="M5370" t="n">
        <v>872</v>
      </c>
      <c r="N5370" t="inlineStr">
        <is>
          <t>Leptobrachium leishanense</t>
        </is>
      </c>
      <c r="O5370" t="inlineStr">
        <is>
          <t>Reverse transcriptase domain-containing protein</t>
        </is>
      </c>
    </row>
    <row r="5371">
      <c r="A5371" t="inlineStr"/>
      <c r="B5371" t="inlineStr"/>
      <c r="C5371" t="inlineStr"/>
      <c r="D5371" t="inlineStr"/>
      <c r="E5371">
        <f>HYPERLINK("https://www.uniprot.org/uniprotkb/A0A8C5M923/entry", "A0A8C5M923")</f>
        <v/>
      </c>
      <c r="F5371" t="n">
        <v>44.8</v>
      </c>
      <c r="G5371" t="n">
        <v>290</v>
      </c>
      <c r="H5371" t="n">
        <v>5.86e-80</v>
      </c>
      <c r="I5371" t="inlineStr">
        <is>
          <t>TrEMBL</t>
        </is>
      </c>
      <c r="J5371" t="inlineStr"/>
      <c r="K5371" t="inlineStr">
        <is>
          <t>A0A8C5M923_9ANUR</t>
        </is>
      </c>
      <c r="L5371" t="inlineStr">
        <is>
          <t>tr|A0A8C5M923|A0A8C5M923_9ANUR Reverse transcriptase domain-containing protein OS=Leptobrachium leishanense OX=445787 PE=4 SV=1</t>
        </is>
      </c>
      <c r="M5371" t="n">
        <v>683</v>
      </c>
      <c r="N5371" t="inlineStr">
        <is>
          <t>Leptobrachium leishanense</t>
        </is>
      </c>
      <c r="O5371" t="inlineStr">
        <is>
          <t>Reverse transcriptase domain-containing protein</t>
        </is>
      </c>
    </row>
    <row r="5372">
      <c r="A5372" t="inlineStr"/>
      <c r="B5372" t="inlineStr"/>
      <c r="C5372" t="inlineStr"/>
      <c r="D5372" t="inlineStr"/>
      <c r="E5372">
        <f>HYPERLINK("https://www.uniprot.org/uniprotkb/A0A8C5MKY4/entry", "A0A8C5MKY4")</f>
        <v/>
      </c>
      <c r="F5372" t="n">
        <v>38.3</v>
      </c>
      <c r="G5372" t="n">
        <v>363</v>
      </c>
      <c r="H5372" t="n">
        <v>6.33e-80</v>
      </c>
      <c r="I5372" t="inlineStr">
        <is>
          <t>TrEMBL</t>
        </is>
      </c>
      <c r="J5372" t="inlineStr"/>
      <c r="K5372" t="inlineStr">
        <is>
          <t>A0A8C5MKY4_9ANUR</t>
        </is>
      </c>
      <c r="L5372" t="inlineStr">
        <is>
          <t>tr|A0A8C5MKY4|A0A8C5MKY4_9ANUR Reverse transcriptase domain-containing protein OS=Leptobrachium leishanense OX=445787 PE=4 SV=1</t>
        </is>
      </c>
      <c r="M5372" t="n">
        <v>771</v>
      </c>
      <c r="N5372" t="inlineStr">
        <is>
          <t>Leptobrachium leishanense</t>
        </is>
      </c>
      <c r="O5372" t="inlineStr">
        <is>
          <t>Reverse transcriptase domain-containing protein</t>
        </is>
      </c>
    </row>
    <row r="5373">
      <c r="A5373" t="inlineStr"/>
      <c r="B5373" t="inlineStr"/>
      <c r="C5373" t="inlineStr"/>
      <c r="D5373" t="inlineStr"/>
      <c r="E5373">
        <f>HYPERLINK("https://www.uniprot.org/uniprotkb/A0A8C5PDL4/entry", "A0A8C5PDL4")</f>
        <v/>
      </c>
      <c r="F5373" t="n">
        <v>39.3</v>
      </c>
      <c r="G5373" t="n">
        <v>351</v>
      </c>
      <c r="H5373" t="n">
        <v>7.75e-80</v>
      </c>
      <c r="I5373" t="inlineStr">
        <is>
          <t>TrEMBL</t>
        </is>
      </c>
      <c r="J5373" t="inlineStr"/>
      <c r="K5373" t="inlineStr">
        <is>
          <t>A0A8C5PDL4_9ANUR</t>
        </is>
      </c>
      <c r="L5373" t="inlineStr">
        <is>
          <t>tr|A0A8C5PDL4|A0A8C5PDL4_9ANUR Reverse transcriptase domain-containing protein OS=Leptobrachium leishanense OX=445787 PE=4 SV=1</t>
        </is>
      </c>
      <c r="M5373" t="n">
        <v>880</v>
      </c>
      <c r="N5373" t="inlineStr">
        <is>
          <t>Leptobrachium leishanense</t>
        </is>
      </c>
      <c r="O5373" t="inlineStr">
        <is>
          <t>Reverse transcriptase domain-containing protein</t>
        </is>
      </c>
    </row>
    <row r="5374">
      <c r="A5374" t="inlineStr"/>
      <c r="B5374" t="inlineStr"/>
      <c r="C5374" t="inlineStr"/>
      <c r="D5374" t="inlineStr"/>
      <c r="E5374">
        <f>HYPERLINK("https://www.uniprot.org/uniprotkb/A0A8C5M845/entry", "A0A8C5M845")</f>
        <v/>
      </c>
      <c r="F5374" t="n">
        <v>40.5</v>
      </c>
      <c r="G5374" t="n">
        <v>328</v>
      </c>
      <c r="H5374" t="n">
        <v>7.87e-80</v>
      </c>
      <c r="I5374" t="inlineStr">
        <is>
          <t>TrEMBL</t>
        </is>
      </c>
      <c r="J5374" t="inlineStr"/>
      <c r="K5374" t="inlineStr">
        <is>
          <t>A0A8C5M845_9ANUR</t>
        </is>
      </c>
      <c r="L5374" t="inlineStr">
        <is>
          <t>tr|A0A8C5M845|A0A8C5M845_9ANUR Reverse transcriptase domain-containing protein OS=Leptobrachium leishanense OX=445787 PE=4 SV=1</t>
        </is>
      </c>
      <c r="M5374" t="n">
        <v>330</v>
      </c>
      <c r="N5374" t="inlineStr">
        <is>
          <t>Leptobrachium leishanense</t>
        </is>
      </c>
      <c r="O5374" t="inlineStr">
        <is>
          <t>Reverse transcriptase domain-containing protein</t>
        </is>
      </c>
    </row>
    <row r="5375">
      <c r="A5375" t="inlineStr"/>
      <c r="B5375" t="inlineStr"/>
      <c r="C5375" t="inlineStr"/>
      <c r="D5375" t="inlineStr"/>
      <c r="E5375">
        <f>HYPERLINK("https://www.uniprot.org/uniprotkb/A0A8C5PEM8/entry", "A0A8C5PEM8")</f>
        <v/>
      </c>
      <c r="F5375" t="n">
        <v>37.4</v>
      </c>
      <c r="G5375" t="n">
        <v>446</v>
      </c>
      <c r="H5375" t="n">
        <v>8.64e-80</v>
      </c>
      <c r="I5375" t="inlineStr">
        <is>
          <t>TrEMBL</t>
        </is>
      </c>
      <c r="J5375" t="inlineStr"/>
      <c r="K5375" t="inlineStr">
        <is>
          <t>A0A8C5PEM8_9ANUR</t>
        </is>
      </c>
      <c r="L5375" t="inlineStr">
        <is>
          <t>tr|A0A8C5PEM8|A0A8C5PEM8_9ANUR Reverse transcriptase domain-containing protein OS=Leptobrachium leishanense OX=445787 PE=4 SV=1</t>
        </is>
      </c>
      <c r="M5375" t="n">
        <v>700</v>
      </c>
      <c r="N5375" t="inlineStr">
        <is>
          <t>Leptobrachium leishanense</t>
        </is>
      </c>
      <c r="O5375" t="inlineStr">
        <is>
          <t>Reverse transcriptase domain-containing protein</t>
        </is>
      </c>
    </row>
    <row r="5376">
      <c r="A5376" t="inlineStr"/>
      <c r="B5376" t="inlineStr"/>
      <c r="C5376" t="inlineStr"/>
      <c r="D5376" t="inlineStr"/>
      <c r="E5376">
        <f>HYPERLINK("https://www.uniprot.org/uniprotkb/A0A8C5LPX2/entry", "A0A8C5LPX2")</f>
        <v/>
      </c>
      <c r="F5376" t="n">
        <v>38.3</v>
      </c>
      <c r="G5376" t="n">
        <v>397</v>
      </c>
      <c r="H5376" t="n">
        <v>1.45e-79</v>
      </c>
      <c r="I5376" t="inlineStr">
        <is>
          <t>TrEMBL</t>
        </is>
      </c>
      <c r="J5376" t="inlineStr"/>
      <c r="K5376" t="inlineStr">
        <is>
          <t>A0A8C5LPX2_9ANUR</t>
        </is>
      </c>
      <c r="L5376" t="inlineStr">
        <is>
          <t>tr|A0A8C5LPX2|A0A8C5LPX2_9ANUR Reverse transcriptase domain-containing protein OS=Leptobrachium leishanense OX=445787 PE=4 SV=1</t>
        </is>
      </c>
      <c r="M5376" t="n">
        <v>647</v>
      </c>
      <c r="N5376" t="inlineStr">
        <is>
          <t>Leptobrachium leishanense</t>
        </is>
      </c>
      <c r="O5376" t="inlineStr">
        <is>
          <t>Reverse transcriptase domain-containing protein</t>
        </is>
      </c>
    </row>
    <row r="5377">
      <c r="A5377" t="inlineStr"/>
      <c r="B5377" t="inlineStr"/>
      <c r="C5377" t="inlineStr"/>
      <c r="D5377" t="inlineStr"/>
      <c r="E5377">
        <f>HYPERLINK("https://www.uniprot.org/uniprotkb/A0A803JWN0/entry", "A0A803JWN0")</f>
        <v/>
      </c>
      <c r="F5377" t="n">
        <v>37.2</v>
      </c>
      <c r="G5377" t="n">
        <v>444</v>
      </c>
      <c r="H5377" t="n">
        <v>2.26e-79</v>
      </c>
      <c r="I5377" t="inlineStr">
        <is>
          <t>TrEMBL</t>
        </is>
      </c>
      <c r="J5377" t="inlineStr"/>
      <c r="K5377" t="inlineStr">
        <is>
          <t>A0A803JWN0_XENTR</t>
        </is>
      </c>
      <c r="L5377" t="inlineStr">
        <is>
          <t>tr|A0A803JWN0|A0A803JWN0_XENTR Reverse transcriptase domain-containing protein OS=Xenopus tropicalis OX=8364 PE=4 SV=1</t>
        </is>
      </c>
      <c r="M5377" t="n">
        <v>1267</v>
      </c>
      <c r="N5377" t="inlineStr">
        <is>
          <t>Xenopus tropicalis</t>
        </is>
      </c>
      <c r="O5377" t="inlineStr">
        <is>
          <t>Reverse transcriptase domain-containing protein</t>
        </is>
      </c>
    </row>
    <row r="5378">
      <c r="A5378" t="inlineStr"/>
      <c r="B5378" t="inlineStr"/>
      <c r="C5378" t="inlineStr"/>
      <c r="D5378" t="inlineStr"/>
      <c r="E5378">
        <f>HYPERLINK("https://www.uniprot.org/uniprotkb/A0A8C5LMV1/entry", "A0A8C5LMV1")</f>
        <v/>
      </c>
      <c r="F5378" t="n">
        <v>37.5</v>
      </c>
      <c r="G5378" t="n">
        <v>440</v>
      </c>
      <c r="H5378" t="n">
        <v>3.02e-79</v>
      </c>
      <c r="I5378" t="inlineStr">
        <is>
          <t>TrEMBL</t>
        </is>
      </c>
      <c r="J5378" t="inlineStr"/>
      <c r="K5378" t="inlineStr">
        <is>
          <t>A0A8C5LMV1_9ANUR</t>
        </is>
      </c>
      <c r="L5378" t="inlineStr">
        <is>
          <t>tr|A0A8C5LMV1|A0A8C5LMV1_9ANUR Endo/exonuclease/phosphatase domain-containing protein OS=Leptobrachium leishanense OX=445787 PE=4 SV=1</t>
        </is>
      </c>
      <c r="M5378" t="n">
        <v>547</v>
      </c>
      <c r="N5378" t="inlineStr">
        <is>
          <t>Leptobrachium leishanense</t>
        </is>
      </c>
      <c r="O5378" t="inlineStr">
        <is>
          <t>Endo/exonuclease/phosphatase domain-containing protein</t>
        </is>
      </c>
    </row>
    <row r="5379">
      <c r="A5379" t="inlineStr"/>
      <c r="B5379" t="inlineStr"/>
      <c r="C5379" t="inlineStr"/>
      <c r="D5379" t="inlineStr"/>
      <c r="E5379">
        <f>HYPERLINK("https://www.uniprot.org/uniprotkb/A0A8C5MU50/entry", "A0A8C5MU50")</f>
        <v/>
      </c>
      <c r="F5379" t="n">
        <v>39.9</v>
      </c>
      <c r="G5379" t="n">
        <v>351</v>
      </c>
      <c r="H5379" t="n">
        <v>3.23e-79</v>
      </c>
      <c r="I5379" t="inlineStr">
        <is>
          <t>TrEMBL</t>
        </is>
      </c>
      <c r="J5379" t="inlineStr"/>
      <c r="K5379" t="inlineStr">
        <is>
          <t>A0A8C5MU50_9ANUR</t>
        </is>
      </c>
      <c r="L5379" t="inlineStr">
        <is>
          <t>tr|A0A8C5MU50|A0A8C5MU50_9ANUR Reverse transcriptase domain-containing protein OS=Leptobrachium leishanense OX=445787 PE=4 SV=1</t>
        </is>
      </c>
      <c r="M5379" t="n">
        <v>787</v>
      </c>
      <c r="N5379" t="inlineStr">
        <is>
          <t>Leptobrachium leishanense</t>
        </is>
      </c>
      <c r="O5379" t="inlineStr">
        <is>
          <t>Reverse transcriptase domain-containing protein</t>
        </is>
      </c>
    </row>
    <row r="5380">
      <c r="A5380" t="inlineStr"/>
      <c r="B5380" t="inlineStr"/>
      <c r="C5380" t="inlineStr"/>
      <c r="D5380" t="inlineStr"/>
      <c r="E5380">
        <f>HYPERLINK("https://www.uniprot.org/uniprotkb/A0A803J5Q1/entry", "A0A803J5Q1")</f>
        <v/>
      </c>
      <c r="F5380" t="n">
        <v>34.9</v>
      </c>
      <c r="G5380" t="n">
        <v>418</v>
      </c>
      <c r="H5380" t="n">
        <v>8.250000000000001e-79</v>
      </c>
      <c r="I5380" t="inlineStr">
        <is>
          <t>TrEMBL</t>
        </is>
      </c>
      <c r="J5380" t="inlineStr"/>
      <c r="K5380" t="inlineStr">
        <is>
          <t>A0A803J5Q1_XENTR</t>
        </is>
      </c>
      <c r="L5380" t="inlineStr">
        <is>
          <t>tr|A0A803J5Q1|A0A803J5Q1_XENTR Reverse transcriptase domain-containing protein OS=Xenopus tropicalis OX=8364 PE=4 SV=1</t>
        </is>
      </c>
      <c r="M5380" t="n">
        <v>1274</v>
      </c>
      <c r="N5380" t="inlineStr">
        <is>
          <t>Xenopus tropicalis</t>
        </is>
      </c>
      <c r="O5380" t="inlineStr">
        <is>
          <t>Reverse transcriptase domain-containing protein</t>
        </is>
      </c>
    </row>
    <row r="5381">
      <c r="A5381" t="inlineStr"/>
      <c r="B5381" t="inlineStr"/>
      <c r="C5381" t="inlineStr"/>
      <c r="D5381" t="inlineStr"/>
      <c r="E5381">
        <f>HYPERLINK("https://www.uniprot.org/uniprotkb/A0A8C5QAA5/entry", "A0A8C5QAA5")</f>
        <v/>
      </c>
      <c r="F5381" t="n">
        <v>39.2</v>
      </c>
      <c r="G5381" t="n">
        <v>365</v>
      </c>
      <c r="H5381" t="n">
        <v>1.14e-78</v>
      </c>
      <c r="I5381" t="inlineStr">
        <is>
          <t>TrEMBL</t>
        </is>
      </c>
      <c r="J5381" t="inlineStr"/>
      <c r="K5381" t="inlineStr">
        <is>
          <t>A0A8C5QAA5_9ANUR</t>
        </is>
      </c>
      <c r="L5381" t="inlineStr">
        <is>
          <t>tr|A0A8C5QAA5|A0A8C5QAA5_9ANUR Reverse transcriptase domain-containing protein OS=Leptobrachium leishanense OX=445787 PE=4 SV=1</t>
        </is>
      </c>
      <c r="M5381" t="n">
        <v>783</v>
      </c>
      <c r="N5381" t="inlineStr">
        <is>
          <t>Leptobrachium leishanense</t>
        </is>
      </c>
      <c r="O5381" t="inlineStr">
        <is>
          <t>Reverse transcriptase domain-containing protein</t>
        </is>
      </c>
    </row>
    <row r="5382">
      <c r="A5382" t="inlineStr"/>
      <c r="B5382" t="inlineStr"/>
      <c r="C5382" t="inlineStr"/>
      <c r="D5382" t="inlineStr"/>
      <c r="E5382">
        <f>HYPERLINK("https://www.uniprot.org/uniprotkb/A0A8C5WHX1/entry", "A0A8C5WHX1")</f>
        <v/>
      </c>
      <c r="F5382" t="n">
        <v>40.8</v>
      </c>
      <c r="G5382" t="n">
        <v>341</v>
      </c>
      <c r="H5382" t="n">
        <v>1.18e-78</v>
      </c>
      <c r="I5382" t="inlineStr">
        <is>
          <t>TrEMBL</t>
        </is>
      </c>
      <c r="J5382" t="inlineStr"/>
      <c r="K5382" t="inlineStr">
        <is>
          <t>A0A8C5WHX1_9ANUR</t>
        </is>
      </c>
      <c r="L5382" t="inlineStr">
        <is>
          <t>tr|A0A8C5WHX1|A0A8C5WHX1_9ANUR Reverse transcriptase domain-containing protein OS=Leptobrachium leishanense OX=445787 PE=4 SV=1</t>
        </is>
      </c>
      <c r="M5382" t="n">
        <v>1225</v>
      </c>
      <c r="N5382" t="inlineStr">
        <is>
          <t>Leptobrachium leishanense</t>
        </is>
      </c>
      <c r="O5382" t="inlineStr">
        <is>
          <t>Reverse transcriptase domain-containing protein</t>
        </is>
      </c>
    </row>
    <row r="5383">
      <c r="A5383" t="inlineStr"/>
      <c r="B5383" t="inlineStr"/>
      <c r="C5383" t="inlineStr"/>
      <c r="D5383" t="inlineStr"/>
      <c r="E5383">
        <f>HYPERLINK("https://www.uniprot.org/uniprotkb/A0A8C5PW08/entry", "A0A8C5PW08")</f>
        <v/>
      </c>
      <c r="F5383" t="n">
        <v>37.8</v>
      </c>
      <c r="G5383" t="n">
        <v>447</v>
      </c>
      <c r="H5383" t="n">
        <v>1.59e-78</v>
      </c>
      <c r="I5383" t="inlineStr">
        <is>
          <t>TrEMBL</t>
        </is>
      </c>
      <c r="J5383" t="inlineStr"/>
      <c r="K5383" t="inlineStr">
        <is>
          <t>A0A8C5PW08_9ANUR</t>
        </is>
      </c>
      <c r="L5383" t="inlineStr">
        <is>
          <t>tr|A0A8C5PW08|A0A8C5PW08_9ANUR Reverse transcriptase domain-containing protein OS=Leptobrachium leishanense OX=445787 PE=4 SV=1</t>
        </is>
      </c>
      <c r="M5383" t="n">
        <v>1277</v>
      </c>
      <c r="N5383" t="inlineStr">
        <is>
          <t>Leptobrachium leishanense</t>
        </is>
      </c>
      <c r="O5383" t="inlineStr">
        <is>
          <t>Reverse transcriptase domain-containing protein</t>
        </is>
      </c>
    </row>
    <row r="5384">
      <c r="A5384" t="inlineStr"/>
      <c r="B5384" t="inlineStr"/>
      <c r="C5384" t="inlineStr"/>
      <c r="D5384" t="inlineStr"/>
      <c r="E5384">
        <f>HYPERLINK("https://www.uniprot.org/uniprotkb/A0A8C5PNC3/entry", "A0A8C5PNC3")</f>
        <v/>
      </c>
      <c r="F5384" t="n">
        <v>37.5</v>
      </c>
      <c r="G5384" t="n">
        <v>395</v>
      </c>
      <c r="H5384" t="n">
        <v>1.63e-78</v>
      </c>
      <c r="I5384" t="inlineStr">
        <is>
          <t>TrEMBL</t>
        </is>
      </c>
      <c r="J5384" t="inlineStr"/>
      <c r="K5384" t="inlineStr">
        <is>
          <t>A0A8C5PNC3_9ANUR</t>
        </is>
      </c>
      <c r="L5384" t="inlineStr">
        <is>
          <t>tr|A0A8C5PNC3|A0A8C5PNC3_9ANUR Reverse transcriptase domain-containing protein OS=Leptobrachium leishanense OX=445787 PE=4 SV=1</t>
        </is>
      </c>
      <c r="M5384" t="n">
        <v>766</v>
      </c>
      <c r="N5384" t="inlineStr">
        <is>
          <t>Leptobrachium leishanense</t>
        </is>
      </c>
      <c r="O5384" t="inlineStr">
        <is>
          <t>Reverse transcriptase domain-containing protein</t>
        </is>
      </c>
    </row>
    <row r="5385">
      <c r="A5385" t="inlineStr"/>
      <c r="B5385" t="inlineStr"/>
      <c r="C5385" t="inlineStr"/>
      <c r="D5385" t="inlineStr"/>
      <c r="E5385">
        <f>HYPERLINK("https://www.uniprot.org/uniprotkb/A0A8C5WGU9/entry", "A0A8C5WGU9")</f>
        <v/>
      </c>
      <c r="F5385" t="n">
        <v>35.8</v>
      </c>
      <c r="G5385" t="n">
        <v>416</v>
      </c>
      <c r="H5385" t="n">
        <v>2.35e-78</v>
      </c>
      <c r="I5385" t="inlineStr">
        <is>
          <t>TrEMBL</t>
        </is>
      </c>
      <c r="J5385" t="inlineStr"/>
      <c r="K5385" t="inlineStr">
        <is>
          <t>A0A8C5WGU9_9ANUR</t>
        </is>
      </c>
      <c r="L5385" t="inlineStr">
        <is>
          <t>tr|A0A8C5WGU9|A0A8C5WGU9_9ANUR Reverse transcriptase domain-containing protein OS=Leptobrachium leishanense OX=445787 PE=4 SV=1</t>
        </is>
      </c>
      <c r="M5385" t="n">
        <v>1185</v>
      </c>
      <c r="N5385" t="inlineStr">
        <is>
          <t>Leptobrachium leishanense</t>
        </is>
      </c>
      <c r="O5385" t="inlineStr">
        <is>
          <t>Reverse transcriptase domain-containing protein</t>
        </is>
      </c>
    </row>
    <row r="5386">
      <c r="A5386" t="inlineStr"/>
      <c r="B5386" t="inlineStr"/>
      <c r="C5386" t="inlineStr"/>
      <c r="D5386" t="inlineStr"/>
      <c r="E5386">
        <f>HYPERLINK("https://www.uniprot.org/uniprotkb/A0A803KCZ5/entry", "A0A803KCZ5")</f>
        <v/>
      </c>
      <c r="F5386" t="n">
        <v>35.3</v>
      </c>
      <c r="G5386" t="n">
        <v>402</v>
      </c>
      <c r="H5386" t="n">
        <v>3.03e-78</v>
      </c>
      <c r="I5386" t="inlineStr">
        <is>
          <t>TrEMBL</t>
        </is>
      </c>
      <c r="J5386" t="inlineStr"/>
      <c r="K5386" t="inlineStr">
        <is>
          <t>A0A803KCZ5_XENTR</t>
        </is>
      </c>
      <c r="L5386" t="inlineStr">
        <is>
          <t>tr|A0A803KCZ5|A0A803KCZ5_XENTR Reverse transcriptase domain-containing protein OS=Xenopus tropicalis OX=8364 PE=4 SV=1</t>
        </is>
      </c>
      <c r="M5386" t="n">
        <v>442</v>
      </c>
      <c r="N5386" t="inlineStr">
        <is>
          <t>Xenopus tropicalis</t>
        </is>
      </c>
      <c r="O5386" t="inlineStr">
        <is>
          <t>Reverse transcriptase domain-containing protein</t>
        </is>
      </c>
    </row>
    <row r="5387">
      <c r="A5387" t="inlineStr"/>
      <c r="B5387" t="inlineStr"/>
      <c r="C5387" t="inlineStr"/>
      <c r="D5387" t="inlineStr"/>
      <c r="E5387">
        <f>HYPERLINK("https://www.uniprot.org/uniprotkb/A0A8C5Q7A1/entry", "A0A8C5Q7A1")</f>
        <v/>
      </c>
      <c r="F5387" t="n">
        <v>39.3</v>
      </c>
      <c r="G5387" t="n">
        <v>351</v>
      </c>
      <c r="H5387" t="n">
        <v>4.23e-78</v>
      </c>
      <c r="I5387" t="inlineStr">
        <is>
          <t>TrEMBL</t>
        </is>
      </c>
      <c r="J5387" t="inlineStr"/>
      <c r="K5387" t="inlineStr">
        <is>
          <t>A0A8C5Q7A1_9ANUR</t>
        </is>
      </c>
      <c r="L5387" t="inlineStr">
        <is>
          <t>tr|A0A8C5Q7A1|A0A8C5Q7A1_9ANUR Reverse transcriptase domain-containing protein OS=Leptobrachium leishanense OX=445787 PE=4 SV=1</t>
        </is>
      </c>
      <c r="M5387" t="n">
        <v>1286</v>
      </c>
      <c r="N5387" t="inlineStr">
        <is>
          <t>Leptobrachium leishanense</t>
        </is>
      </c>
      <c r="O5387" t="inlineStr">
        <is>
          <t>Reverse transcriptase domain-containing protein</t>
        </is>
      </c>
    </row>
    <row r="5388">
      <c r="A5388" t="inlineStr"/>
      <c r="B5388" t="inlineStr"/>
      <c r="C5388" t="inlineStr"/>
      <c r="D5388" t="inlineStr"/>
      <c r="E5388">
        <f>HYPERLINK("https://www.uniprot.org/uniprotkb/A0A8C5QG33/entry", "A0A8C5QG33")</f>
        <v/>
      </c>
      <c r="F5388" t="n">
        <v>35.8</v>
      </c>
      <c r="G5388" t="n">
        <v>447</v>
      </c>
      <c r="H5388" t="n">
        <v>4.69e-78</v>
      </c>
      <c r="I5388" t="inlineStr">
        <is>
          <t>TrEMBL</t>
        </is>
      </c>
      <c r="J5388" t="inlineStr"/>
      <c r="K5388" t="inlineStr">
        <is>
          <t>A0A8C5QG33_9ANUR</t>
        </is>
      </c>
      <c r="L5388" t="inlineStr">
        <is>
          <t>tr|A0A8C5QG33|A0A8C5QG33_9ANUR Reverse transcriptase domain-containing protein OS=Leptobrachium leishanense OX=445787 PE=4 SV=1</t>
        </is>
      </c>
      <c r="M5388" t="n">
        <v>889</v>
      </c>
      <c r="N5388" t="inlineStr">
        <is>
          <t>Leptobrachium leishanense</t>
        </is>
      </c>
      <c r="O5388" t="inlineStr">
        <is>
          <t>Reverse transcriptase domain-containing protein</t>
        </is>
      </c>
    </row>
    <row r="5389">
      <c r="A5389" t="inlineStr"/>
      <c r="B5389" t="inlineStr"/>
      <c r="C5389" t="inlineStr"/>
      <c r="D5389" t="inlineStr"/>
      <c r="E5389">
        <f>HYPERLINK("https://www.uniprot.org/uniprotkb/A0A8C5LIY0/entry", "A0A8C5LIY0")</f>
        <v/>
      </c>
      <c r="F5389" t="n">
        <v>40.1</v>
      </c>
      <c r="G5389" t="n">
        <v>349</v>
      </c>
      <c r="H5389" t="n">
        <v>6.98e-78</v>
      </c>
      <c r="I5389" t="inlineStr">
        <is>
          <t>TrEMBL</t>
        </is>
      </c>
      <c r="J5389" t="inlineStr"/>
      <c r="K5389" t="inlineStr">
        <is>
          <t>A0A8C5LIY0_9ANUR</t>
        </is>
      </c>
      <c r="L5389" t="inlineStr">
        <is>
          <t>tr|A0A8C5LIY0|A0A8C5LIY0_9ANUR Reverse transcriptase domain-containing protein OS=Leptobrachium leishanense OX=445787 PE=4 SV=1</t>
        </is>
      </c>
      <c r="M5389" t="n">
        <v>399</v>
      </c>
      <c r="N5389" t="inlineStr">
        <is>
          <t>Leptobrachium leishanense</t>
        </is>
      </c>
      <c r="O5389" t="inlineStr">
        <is>
          <t>Reverse transcriptase domain-containing protein</t>
        </is>
      </c>
    </row>
    <row r="5390">
      <c r="A5390" t="inlineStr"/>
      <c r="B5390" t="inlineStr"/>
      <c r="C5390" t="inlineStr"/>
      <c r="D5390" t="inlineStr"/>
      <c r="E5390">
        <f>HYPERLINK("https://www.uniprot.org/uniprotkb/A0A803KBM6/entry", "A0A803KBM6")</f>
        <v/>
      </c>
      <c r="F5390" t="n">
        <v>34.9</v>
      </c>
      <c r="G5390" t="n">
        <v>450</v>
      </c>
      <c r="H5390" t="n">
        <v>7.08e-78</v>
      </c>
      <c r="I5390" t="inlineStr">
        <is>
          <t>TrEMBL</t>
        </is>
      </c>
      <c r="J5390" t="inlineStr"/>
      <c r="K5390" t="inlineStr">
        <is>
          <t>A0A803KBM6_XENTR</t>
        </is>
      </c>
      <c r="L5390" t="inlineStr">
        <is>
          <t>tr|A0A803KBM6|A0A803KBM6_XENTR Reverse transcriptase domain-containing protein OS=Xenopus tropicalis OX=8364 PE=4 SV=1</t>
        </is>
      </c>
      <c r="M5390" t="n">
        <v>669</v>
      </c>
      <c r="N5390" t="inlineStr">
        <is>
          <t>Xenopus tropicalis</t>
        </is>
      </c>
      <c r="O5390" t="inlineStr">
        <is>
          <t>Reverse transcriptase domain-containing protein</t>
        </is>
      </c>
    </row>
    <row r="5391">
      <c r="A5391" t="inlineStr"/>
      <c r="B5391" t="inlineStr"/>
      <c r="C5391" t="inlineStr"/>
      <c r="D5391" t="inlineStr"/>
      <c r="E5391">
        <f>HYPERLINK("https://www.uniprot.org/uniprotkb/A0A8C5Q914/entry", "A0A8C5Q914")</f>
        <v/>
      </c>
      <c r="F5391" t="n">
        <v>36.8</v>
      </c>
      <c r="G5391" t="n">
        <v>399</v>
      </c>
      <c r="H5391" t="n">
        <v>7.18e-78</v>
      </c>
      <c r="I5391" t="inlineStr">
        <is>
          <t>TrEMBL</t>
        </is>
      </c>
      <c r="J5391" t="inlineStr"/>
      <c r="K5391" t="inlineStr">
        <is>
          <t>A0A8C5Q914_9ANUR</t>
        </is>
      </c>
      <c r="L5391" t="inlineStr">
        <is>
          <t>tr|A0A8C5Q914|A0A8C5Q914_9ANUR Reverse transcriptase domain-containing protein OS=Leptobrachium leishanense OX=445787 PE=4 SV=1</t>
        </is>
      </c>
      <c r="M5391" t="n">
        <v>1265</v>
      </c>
      <c r="N5391" t="inlineStr">
        <is>
          <t>Leptobrachium leishanense</t>
        </is>
      </c>
      <c r="O5391" t="inlineStr">
        <is>
          <t>Reverse transcriptase domain-containing protein</t>
        </is>
      </c>
    </row>
    <row r="5392">
      <c r="A5392" t="inlineStr"/>
      <c r="B5392" t="inlineStr"/>
      <c r="C5392" t="inlineStr"/>
      <c r="D5392" t="inlineStr"/>
      <c r="E5392">
        <f>HYPERLINK("https://www.uniprot.org/uniprotkb/A0A8C5R1M5/entry", "A0A8C5R1M5")</f>
        <v/>
      </c>
      <c r="F5392" t="n">
        <v>37.6</v>
      </c>
      <c r="G5392" t="n">
        <v>351</v>
      </c>
      <c r="H5392" t="n">
        <v>7.61e-78</v>
      </c>
      <c r="I5392" t="inlineStr">
        <is>
          <t>TrEMBL</t>
        </is>
      </c>
      <c r="J5392" t="inlineStr"/>
      <c r="K5392" t="inlineStr">
        <is>
          <t>A0A8C5R1M5_9ANUR</t>
        </is>
      </c>
      <c r="L5392" t="inlineStr">
        <is>
          <t>tr|A0A8C5R1M5|A0A8C5R1M5_9ANUR Reverse transcriptase domain-containing protein OS=Leptobrachium leishanense OX=445787 PE=4 SV=1</t>
        </is>
      </c>
      <c r="M5392" t="n">
        <v>367</v>
      </c>
      <c r="N5392" t="inlineStr">
        <is>
          <t>Leptobrachium leishanense</t>
        </is>
      </c>
      <c r="O5392" t="inlineStr">
        <is>
          <t>Reverse transcriptase domain-containing protein</t>
        </is>
      </c>
    </row>
    <row r="5393">
      <c r="A5393" t="inlineStr"/>
      <c r="B5393" t="inlineStr"/>
      <c r="C5393" t="inlineStr"/>
      <c r="D5393" t="inlineStr"/>
      <c r="E5393">
        <f>HYPERLINK("https://www.uniprot.org/uniprotkb/A0A8C5P8V1/entry", "A0A8C5P8V1")</f>
        <v/>
      </c>
      <c r="F5393" t="n">
        <v>34.7</v>
      </c>
      <c r="G5393" t="n">
        <v>453</v>
      </c>
      <c r="H5393" t="n">
        <v>1.44e-77</v>
      </c>
      <c r="I5393" t="inlineStr">
        <is>
          <t>TrEMBL</t>
        </is>
      </c>
      <c r="J5393" t="inlineStr"/>
      <c r="K5393" t="inlineStr">
        <is>
          <t>A0A8C5P8V1_9ANUR</t>
        </is>
      </c>
      <c r="L5393" t="inlineStr">
        <is>
          <t>tr|A0A8C5P8V1|A0A8C5P8V1_9ANUR Reverse transcriptase domain-containing protein OS=Leptobrachium leishanense OX=445787 PE=4 SV=1</t>
        </is>
      </c>
      <c r="M5393" t="n">
        <v>538</v>
      </c>
      <c r="N5393" t="inlineStr">
        <is>
          <t>Leptobrachium leishanense</t>
        </is>
      </c>
      <c r="O5393" t="inlineStr">
        <is>
          <t>Reverse transcriptase domain-containing protein</t>
        </is>
      </c>
    </row>
    <row r="5394">
      <c r="A5394" t="inlineStr"/>
      <c r="B5394" t="inlineStr"/>
      <c r="C5394" t="inlineStr"/>
      <c r="D5394" t="inlineStr"/>
      <c r="E5394">
        <f>HYPERLINK("https://www.uniprot.org/uniprotkb/A0A8C5WHL5/entry", "A0A8C5WHL5")</f>
        <v/>
      </c>
      <c r="F5394" t="n">
        <v>37.5</v>
      </c>
      <c r="G5394" t="n">
        <v>440</v>
      </c>
      <c r="H5394" t="n">
        <v>1.86e-77</v>
      </c>
      <c r="I5394" t="inlineStr">
        <is>
          <t>TrEMBL</t>
        </is>
      </c>
      <c r="J5394" t="inlineStr"/>
      <c r="K5394" t="inlineStr">
        <is>
          <t>A0A8C5WHL5_9ANUR</t>
        </is>
      </c>
      <c r="L5394" t="inlineStr">
        <is>
          <t>tr|A0A8C5WHL5|A0A8C5WHL5_9ANUR Reverse transcriptase domain-containing protein OS=Leptobrachium leishanense OX=445787 PE=4 SV=1</t>
        </is>
      </c>
      <c r="M5394" t="n">
        <v>869</v>
      </c>
      <c r="N5394" t="inlineStr">
        <is>
          <t>Leptobrachium leishanense</t>
        </is>
      </c>
      <c r="O5394" t="inlineStr">
        <is>
          <t>Reverse transcriptase domain-containing protein</t>
        </is>
      </c>
    </row>
    <row r="5395">
      <c r="A5395" t="inlineStr"/>
      <c r="B5395" t="inlineStr"/>
      <c r="C5395" t="inlineStr"/>
      <c r="D5395" t="inlineStr"/>
      <c r="E5395">
        <f>HYPERLINK("https://www.uniprot.org/uniprotkb/A0A803JJA9/entry", "A0A803JJA9")</f>
        <v/>
      </c>
      <c r="F5395" t="n">
        <v>37.4</v>
      </c>
      <c r="G5395" t="n">
        <v>441</v>
      </c>
      <c r="H5395" t="n">
        <v>1.88e-77</v>
      </c>
      <c r="I5395" t="inlineStr">
        <is>
          <t>TrEMBL</t>
        </is>
      </c>
      <c r="J5395" t="inlineStr"/>
      <c r="K5395" t="inlineStr">
        <is>
          <t>A0A803JJA9_XENTR</t>
        </is>
      </c>
      <c r="L5395" t="inlineStr">
        <is>
          <t>tr|A0A803JJA9|A0A803JJA9_XENTR Reverse transcriptase domain-containing protein OS=Xenopus tropicalis OX=8364 PE=4 SV=1</t>
        </is>
      </c>
      <c r="M5395" t="n">
        <v>1267</v>
      </c>
      <c r="N5395" t="inlineStr">
        <is>
          <t>Xenopus tropicalis</t>
        </is>
      </c>
      <c r="O5395" t="inlineStr">
        <is>
          <t>Reverse transcriptase domain-containing protein</t>
        </is>
      </c>
    </row>
    <row r="5396">
      <c r="A5396" t="inlineStr"/>
      <c r="B5396" t="inlineStr"/>
      <c r="C5396" t="inlineStr"/>
      <c r="D5396" t="inlineStr"/>
      <c r="E5396">
        <f>HYPERLINK("https://www.uniprot.org/uniprotkb/A0A8C5LUF5/entry", "A0A8C5LUF5")</f>
        <v/>
      </c>
      <c r="F5396" t="n">
        <v>37.4</v>
      </c>
      <c r="G5396" t="n">
        <v>446</v>
      </c>
      <c r="H5396" t="n">
        <v>3.14e-77</v>
      </c>
      <c r="I5396" t="inlineStr">
        <is>
          <t>TrEMBL</t>
        </is>
      </c>
      <c r="J5396" t="inlineStr"/>
      <c r="K5396" t="inlineStr">
        <is>
          <t>A0A8C5LUF5_9ANUR</t>
        </is>
      </c>
      <c r="L5396" t="inlineStr">
        <is>
          <t>tr|A0A8C5LUF5|A0A8C5LUF5_9ANUR Reverse transcriptase domain-containing protein OS=Leptobrachium leishanense OX=445787 PE=4 SV=1</t>
        </is>
      </c>
      <c r="M5396" t="n">
        <v>1190</v>
      </c>
      <c r="N5396" t="inlineStr">
        <is>
          <t>Leptobrachium leishanense</t>
        </is>
      </c>
      <c r="O5396" t="inlineStr">
        <is>
          <t>Reverse transcriptase domain-containing protein</t>
        </is>
      </c>
    </row>
    <row r="5397">
      <c r="A5397" t="inlineStr"/>
      <c r="B5397" t="inlineStr"/>
      <c r="C5397" t="inlineStr"/>
      <c r="D5397" t="inlineStr"/>
      <c r="E5397">
        <f>HYPERLINK("https://www.uniprot.org/uniprotkb/A0A8C5MLZ2/entry", "A0A8C5MLZ2")</f>
        <v/>
      </c>
      <c r="F5397" t="n">
        <v>38</v>
      </c>
      <c r="G5397" t="n">
        <v>445</v>
      </c>
      <c r="H5397" t="n">
        <v>5.08e-77</v>
      </c>
      <c r="I5397" t="inlineStr">
        <is>
          <t>TrEMBL</t>
        </is>
      </c>
      <c r="J5397" t="inlineStr"/>
      <c r="K5397" t="inlineStr">
        <is>
          <t>A0A8C5MLZ2_9ANUR</t>
        </is>
      </c>
      <c r="L5397" t="inlineStr">
        <is>
          <t>tr|A0A8C5MLZ2|A0A8C5MLZ2_9ANUR Reverse transcriptase domain-containing protein OS=Leptobrachium leishanense OX=445787 PE=4 SV=1</t>
        </is>
      </c>
      <c r="M5397" t="n">
        <v>1277</v>
      </c>
      <c r="N5397" t="inlineStr">
        <is>
          <t>Leptobrachium leishanense</t>
        </is>
      </c>
      <c r="O5397" t="inlineStr">
        <is>
          <t>Reverse transcriptase domain-containing protein</t>
        </is>
      </c>
    </row>
    <row r="5398">
      <c r="A5398" t="inlineStr"/>
      <c r="B5398" t="inlineStr"/>
      <c r="C5398" t="inlineStr"/>
      <c r="D5398" t="inlineStr"/>
      <c r="E5398">
        <f>HYPERLINK("https://www.uniprot.org/uniprotkb/A0A8C5PQP3/entry", "A0A8C5PQP3")</f>
        <v/>
      </c>
      <c r="F5398" t="n">
        <v>37.2</v>
      </c>
      <c r="G5398" t="n">
        <v>438</v>
      </c>
      <c r="H5398" t="n">
        <v>6.04e-77</v>
      </c>
      <c r="I5398" t="inlineStr">
        <is>
          <t>TrEMBL</t>
        </is>
      </c>
      <c r="J5398" t="inlineStr"/>
      <c r="K5398" t="inlineStr">
        <is>
          <t>A0A8C5PQP3_9ANUR</t>
        </is>
      </c>
      <c r="L5398" t="inlineStr">
        <is>
          <t>tr|A0A8C5PQP3|A0A8C5PQP3_9ANUR Endo/exonuclease/phosphatase domain-containing protein OS=Leptobrachium leishanense OX=445787 PE=4 SV=1</t>
        </is>
      </c>
      <c r="M5398" t="n">
        <v>541</v>
      </c>
      <c r="N5398" t="inlineStr">
        <is>
          <t>Leptobrachium leishanense</t>
        </is>
      </c>
      <c r="O5398" t="inlineStr">
        <is>
          <t>Endo/exonuclease/phosphatase domain-containing protein</t>
        </is>
      </c>
    </row>
    <row r="5399">
      <c r="A5399" t="inlineStr"/>
      <c r="B5399" t="inlineStr"/>
      <c r="C5399" t="inlineStr"/>
      <c r="D5399" t="inlineStr"/>
      <c r="E5399">
        <f>HYPERLINK("https://www.uniprot.org/uniprotkb/A0A8C5LV43/entry", "A0A8C5LV43")</f>
        <v/>
      </c>
      <c r="F5399" t="n">
        <v>36.4</v>
      </c>
      <c r="G5399" t="n">
        <v>442</v>
      </c>
      <c r="H5399" t="n">
        <v>7.34e-77</v>
      </c>
      <c r="I5399" t="inlineStr">
        <is>
          <t>TrEMBL</t>
        </is>
      </c>
      <c r="J5399" t="inlineStr"/>
      <c r="K5399" t="inlineStr">
        <is>
          <t>A0A8C5LV43_9ANUR</t>
        </is>
      </c>
      <c r="L5399" t="inlineStr">
        <is>
          <t>tr|A0A8C5LV43|A0A8C5LV43_9ANUR Reverse transcriptase domain-containing protein OS=Leptobrachium leishanense OX=445787 PE=4 SV=1</t>
        </is>
      </c>
      <c r="M5399" t="n">
        <v>895</v>
      </c>
      <c r="N5399" t="inlineStr">
        <is>
          <t>Leptobrachium leishanense</t>
        </is>
      </c>
      <c r="O5399" t="inlineStr">
        <is>
          <t>Reverse transcriptase domain-containing protein</t>
        </is>
      </c>
    </row>
    <row r="5400">
      <c r="A5400" t="inlineStr"/>
      <c r="B5400" t="inlineStr"/>
      <c r="C5400" t="inlineStr"/>
      <c r="D5400" t="inlineStr"/>
      <c r="E5400">
        <f>HYPERLINK("https://www.uniprot.org/uniprotkb/A0A8C5QGH6/entry", "A0A8C5QGH6")</f>
        <v/>
      </c>
      <c r="F5400" t="n">
        <v>38.4</v>
      </c>
      <c r="G5400" t="n">
        <v>445</v>
      </c>
      <c r="H5400" t="n">
        <v>1.39e-76</v>
      </c>
      <c r="I5400" t="inlineStr">
        <is>
          <t>TrEMBL</t>
        </is>
      </c>
      <c r="J5400" t="inlineStr"/>
      <c r="K5400" t="inlineStr">
        <is>
          <t>A0A8C5QGH6_9ANUR</t>
        </is>
      </c>
      <c r="L5400" t="inlineStr">
        <is>
          <t>tr|A0A8C5QGH6|A0A8C5QGH6_9ANUR Reverse transcriptase domain-containing protein OS=Leptobrachium leishanense OX=445787 PE=4 SV=1</t>
        </is>
      </c>
      <c r="M5400" t="n">
        <v>716</v>
      </c>
      <c r="N5400" t="inlineStr">
        <is>
          <t>Leptobrachium leishanense</t>
        </is>
      </c>
      <c r="O5400" t="inlineStr">
        <is>
          <t>Reverse transcriptase domain-containing protein</t>
        </is>
      </c>
    </row>
    <row r="5401">
      <c r="A5401" t="inlineStr"/>
      <c r="B5401" t="inlineStr"/>
      <c r="C5401" t="inlineStr"/>
      <c r="D5401" t="inlineStr"/>
      <c r="E5401">
        <f>HYPERLINK("https://www.uniprot.org/uniprotkb/A0A8C5MDW0/entry", "A0A8C5MDW0")</f>
        <v/>
      </c>
      <c r="F5401" t="n">
        <v>35.9</v>
      </c>
      <c r="G5401" t="n">
        <v>446</v>
      </c>
      <c r="H5401" t="n">
        <v>1.53e-76</v>
      </c>
      <c r="I5401" t="inlineStr">
        <is>
          <t>TrEMBL</t>
        </is>
      </c>
      <c r="J5401" t="inlineStr"/>
      <c r="K5401" t="inlineStr">
        <is>
          <t>A0A8C5MDW0_9ANUR</t>
        </is>
      </c>
      <c r="L5401" t="inlineStr">
        <is>
          <t>tr|A0A8C5MDW0|A0A8C5MDW0_9ANUR Reverse transcriptase domain-containing protein OS=Leptobrachium leishanense OX=445787 PE=4 SV=1</t>
        </is>
      </c>
      <c r="M5401" t="n">
        <v>721</v>
      </c>
      <c r="N5401" t="inlineStr">
        <is>
          <t>Leptobrachium leishanense</t>
        </is>
      </c>
      <c r="O5401" t="inlineStr">
        <is>
          <t>Reverse transcriptase domain-containing protein</t>
        </is>
      </c>
    </row>
    <row r="5402">
      <c r="A5402" t="inlineStr"/>
      <c r="B5402" t="inlineStr"/>
      <c r="C5402" t="inlineStr"/>
      <c r="D5402" t="inlineStr"/>
      <c r="E5402">
        <f>HYPERLINK("https://www.uniprot.org/uniprotkb/A0A8C5Q7B2/entry", "A0A8C5Q7B2")</f>
        <v/>
      </c>
      <c r="F5402" t="n">
        <v>37.1</v>
      </c>
      <c r="G5402" t="n">
        <v>439</v>
      </c>
      <c r="H5402" t="n">
        <v>1.56e-76</v>
      </c>
      <c r="I5402" t="inlineStr">
        <is>
          <t>TrEMBL</t>
        </is>
      </c>
      <c r="J5402" t="inlineStr"/>
      <c r="K5402" t="inlineStr">
        <is>
          <t>A0A8C5Q7B2_9ANUR</t>
        </is>
      </c>
      <c r="L5402" t="inlineStr">
        <is>
          <t>tr|A0A8C5Q7B2|A0A8C5Q7B2_9ANUR Reverse transcriptase domain-containing protein OS=Leptobrachium leishanense OX=445787 PE=4 SV=1</t>
        </is>
      </c>
      <c r="M5402" t="n">
        <v>1248</v>
      </c>
      <c r="N5402" t="inlineStr">
        <is>
          <t>Leptobrachium leishanense</t>
        </is>
      </c>
      <c r="O5402" t="inlineStr">
        <is>
          <t>Reverse transcriptase domain-containing protein</t>
        </is>
      </c>
    </row>
    <row r="5403">
      <c r="A5403" t="inlineStr"/>
      <c r="B5403" t="inlineStr"/>
      <c r="C5403" t="inlineStr"/>
      <c r="D5403" t="inlineStr"/>
      <c r="E5403">
        <f>HYPERLINK("https://www.uniprot.org/uniprotkb/A0A8C5P6I5/entry", "A0A8C5P6I5")</f>
        <v/>
      </c>
      <c r="F5403" t="n">
        <v>37.8</v>
      </c>
      <c r="G5403" t="n">
        <v>445</v>
      </c>
      <c r="H5403" t="n">
        <v>1.67e-76</v>
      </c>
      <c r="I5403" t="inlineStr">
        <is>
          <t>TrEMBL</t>
        </is>
      </c>
      <c r="J5403" t="inlineStr"/>
      <c r="K5403" t="inlineStr">
        <is>
          <t>A0A8C5P6I5_9ANUR</t>
        </is>
      </c>
      <c r="L5403" t="inlineStr">
        <is>
          <t>tr|A0A8C5P6I5|A0A8C5P6I5_9ANUR Reverse transcriptase domain-containing protein OS=Leptobrachium leishanense OX=445787 PE=4 SV=1</t>
        </is>
      </c>
      <c r="M5403" t="n">
        <v>659</v>
      </c>
      <c r="N5403" t="inlineStr">
        <is>
          <t>Leptobrachium leishanense</t>
        </is>
      </c>
      <c r="O5403" t="inlineStr">
        <is>
          <t>Reverse transcriptase domain-containing protein</t>
        </is>
      </c>
    </row>
    <row r="5404">
      <c r="A5404" t="inlineStr"/>
      <c r="B5404" t="inlineStr"/>
      <c r="C5404" t="inlineStr"/>
      <c r="D5404" t="inlineStr"/>
      <c r="E5404">
        <f>HYPERLINK("https://www.uniprot.org/uniprotkb/A0A8C5WL06/entry", "A0A8C5WL06")</f>
        <v/>
      </c>
      <c r="F5404" t="n">
        <v>37.8</v>
      </c>
      <c r="G5404" t="n">
        <v>445</v>
      </c>
      <c r="H5404" t="n">
        <v>3.14e-76</v>
      </c>
      <c r="I5404" t="inlineStr">
        <is>
          <t>TrEMBL</t>
        </is>
      </c>
      <c r="J5404" t="inlineStr"/>
      <c r="K5404" t="inlineStr">
        <is>
          <t>A0A8C5WL06_9ANUR</t>
        </is>
      </c>
      <c r="L5404" t="inlineStr">
        <is>
          <t>tr|A0A8C5WL06|A0A8C5WL06_9ANUR Reverse transcriptase domain-containing protein OS=Leptobrachium leishanense OX=445787 PE=4 SV=1</t>
        </is>
      </c>
      <c r="M5404" t="n">
        <v>657</v>
      </c>
      <c r="N5404" t="inlineStr">
        <is>
          <t>Leptobrachium leishanense</t>
        </is>
      </c>
      <c r="O5404" t="inlineStr">
        <is>
          <t>Reverse transcriptase domain-containing protein</t>
        </is>
      </c>
    </row>
    <row r="5405">
      <c r="A5405" t="inlineStr"/>
      <c r="B5405" t="inlineStr"/>
      <c r="C5405" t="inlineStr"/>
      <c r="D5405" t="inlineStr"/>
      <c r="E5405">
        <f>HYPERLINK("https://www.uniprot.org/uniprotkb/A0A8C5Q3X7/entry", "A0A8C5Q3X7")</f>
        <v/>
      </c>
      <c r="F5405" t="n">
        <v>37.7</v>
      </c>
      <c r="G5405" t="n">
        <v>443</v>
      </c>
      <c r="H5405" t="n">
        <v>3.38e-76</v>
      </c>
      <c r="I5405" t="inlineStr">
        <is>
          <t>TrEMBL</t>
        </is>
      </c>
      <c r="J5405" t="inlineStr"/>
      <c r="K5405" t="inlineStr">
        <is>
          <t>A0A8C5Q3X7_9ANUR</t>
        </is>
      </c>
      <c r="L5405" t="inlineStr">
        <is>
          <t>tr|A0A8C5Q3X7|A0A8C5Q3X7_9ANUR Reverse transcriptase domain-containing protein OS=Leptobrachium leishanense OX=445787 PE=4 SV=1</t>
        </is>
      </c>
      <c r="M5405" t="n">
        <v>1279</v>
      </c>
      <c r="N5405" t="inlineStr">
        <is>
          <t>Leptobrachium leishanense</t>
        </is>
      </c>
      <c r="O5405" t="inlineStr">
        <is>
          <t>Reverse transcriptase domain-containing protein</t>
        </is>
      </c>
    </row>
    <row r="5406">
      <c r="A5406" t="inlineStr"/>
      <c r="B5406" t="inlineStr"/>
      <c r="C5406" t="inlineStr"/>
      <c r="D5406" t="inlineStr"/>
      <c r="E5406">
        <f>HYPERLINK("https://www.uniprot.org/uniprotkb/A0A8C5MWK9/entry", "A0A8C5MWK9")</f>
        <v/>
      </c>
      <c r="F5406" t="n">
        <v>38.1</v>
      </c>
      <c r="G5406" t="n">
        <v>449</v>
      </c>
      <c r="H5406" t="n">
        <v>3.48e-76</v>
      </c>
      <c r="I5406" t="inlineStr">
        <is>
          <t>TrEMBL</t>
        </is>
      </c>
      <c r="J5406" t="inlineStr"/>
      <c r="K5406" t="inlineStr">
        <is>
          <t>A0A8C5MWK9_9ANUR</t>
        </is>
      </c>
      <c r="L5406" t="inlineStr">
        <is>
          <t>tr|A0A8C5MWK9|A0A8C5MWK9_9ANUR Reverse transcriptase domain-containing protein OS=Leptobrachium leishanense OX=445787 PE=4 SV=1</t>
        </is>
      </c>
      <c r="M5406" t="n">
        <v>937</v>
      </c>
      <c r="N5406" t="inlineStr">
        <is>
          <t>Leptobrachium leishanense</t>
        </is>
      </c>
      <c r="O5406" t="inlineStr">
        <is>
          <t>Reverse transcriptase domain-containing protein</t>
        </is>
      </c>
    </row>
    <row r="5407">
      <c r="A5407" t="inlineStr"/>
      <c r="B5407" t="inlineStr"/>
      <c r="C5407" t="inlineStr"/>
      <c r="D5407" t="inlineStr"/>
      <c r="E5407">
        <f>HYPERLINK("https://www.uniprot.org/uniprotkb/A0A8C5MG43/entry", "A0A8C5MG43")</f>
        <v/>
      </c>
      <c r="F5407" t="n">
        <v>36.2</v>
      </c>
      <c r="G5407" t="n">
        <v>439</v>
      </c>
      <c r="H5407" t="n">
        <v>3.87e-76</v>
      </c>
      <c r="I5407" t="inlineStr">
        <is>
          <t>TrEMBL</t>
        </is>
      </c>
      <c r="J5407" t="inlineStr"/>
      <c r="K5407" t="inlineStr">
        <is>
          <t>A0A8C5MG43_9ANUR</t>
        </is>
      </c>
      <c r="L5407" t="inlineStr">
        <is>
          <t>tr|A0A8C5MG43|A0A8C5MG43_9ANUR Reverse transcriptase domain-containing protein OS=Leptobrachium leishanense OX=445787 PE=4 SV=1</t>
        </is>
      </c>
      <c r="M5407" t="n">
        <v>651</v>
      </c>
      <c r="N5407" t="inlineStr">
        <is>
          <t>Leptobrachium leishanense</t>
        </is>
      </c>
      <c r="O5407" t="inlineStr">
        <is>
          <t>Reverse transcriptase domain-containing protein</t>
        </is>
      </c>
    </row>
    <row r="5408">
      <c r="A5408" t="inlineStr"/>
      <c r="B5408" t="inlineStr"/>
      <c r="C5408" t="inlineStr"/>
      <c r="D5408" t="inlineStr"/>
      <c r="E5408">
        <f>HYPERLINK("https://www.ncbi.nlm.nih.gov/gene/?term=XP_040264811.1", "XP_040264811.1")</f>
        <v/>
      </c>
      <c r="F5408" t="n">
        <v>34.6</v>
      </c>
      <c r="G5408" t="n">
        <v>448</v>
      </c>
      <c r="H5408" t="n">
        <v>3.67e-75</v>
      </c>
      <c r="I5408" t="inlineStr">
        <is>
          <t>Nr</t>
        </is>
      </c>
      <c r="J5408" t="inlineStr"/>
      <c r="K5408" t="inlineStr"/>
      <c r="L5408" t="inlineStr">
        <is>
          <t>XP_040264811.1 mucin-5AC-like [Bufo bufo]</t>
        </is>
      </c>
      <c r="M5408" t="n">
        <v>6265</v>
      </c>
      <c r="N5408" t="inlineStr">
        <is>
          <t>Bufo bufo</t>
        </is>
      </c>
      <c r="O5408" t="inlineStr">
        <is>
          <t>mucin-5AC-like</t>
        </is>
      </c>
    </row>
    <row r="5409">
      <c r="A5409" t="inlineStr"/>
      <c r="B5409" t="inlineStr"/>
      <c r="C5409" t="inlineStr"/>
      <c r="D5409" t="inlineStr"/>
      <c r="E5409">
        <f>HYPERLINK("https://www.ncbi.nlm.nih.gov/gene/?term=XP_044133655.1", "XP_044133655.1")</f>
        <v/>
      </c>
      <c r="F5409" t="n">
        <v>36.8</v>
      </c>
      <c r="G5409" t="n">
        <v>448</v>
      </c>
      <c r="H5409" t="n">
        <v>5.72e-72</v>
      </c>
      <c r="I5409" t="inlineStr">
        <is>
          <t>Nr</t>
        </is>
      </c>
      <c r="J5409" t="inlineStr"/>
      <c r="K5409" t="inlineStr"/>
      <c r="L5409" t="inlineStr">
        <is>
          <t>XP_044133655.1 IgGFc-binding protein-like [Bufo gargarizans]</t>
        </is>
      </c>
      <c r="M5409" t="n">
        <v>6315</v>
      </c>
      <c r="N5409" t="inlineStr">
        <is>
          <t>Bufo gargarizans</t>
        </is>
      </c>
      <c r="O5409" t="inlineStr">
        <is>
          <t>IgGFc-binding protein-like</t>
        </is>
      </c>
    </row>
    <row r="5410">
      <c r="A5410" t="inlineStr"/>
      <c r="B5410" t="inlineStr"/>
      <c r="C5410" t="inlineStr"/>
      <c r="D5410" t="inlineStr"/>
      <c r="E5410">
        <f>HYPERLINK("https://www.ncbi.nlm.nih.gov/gene/?term=XP_044151381.1", "XP_044151381.1")</f>
        <v/>
      </c>
      <c r="F5410" t="n">
        <v>36</v>
      </c>
      <c r="G5410" t="n">
        <v>420</v>
      </c>
      <c r="H5410" t="n">
        <v>1.83e-67</v>
      </c>
      <c r="I5410" t="inlineStr">
        <is>
          <t>Nr</t>
        </is>
      </c>
      <c r="J5410" t="inlineStr"/>
      <c r="K5410" t="inlineStr"/>
      <c r="L5410" t="inlineStr">
        <is>
          <t>XP_044151381.1 transmembrane channel-like protein 2 [Bufo gargarizans]</t>
        </is>
      </c>
      <c r="M5410" t="n">
        <v>1358</v>
      </c>
      <c r="N5410" t="inlineStr">
        <is>
          <t>Bufo gargarizans</t>
        </is>
      </c>
      <c r="O5410" t="inlineStr">
        <is>
          <t>transmembrane channel-like protein 2</t>
        </is>
      </c>
    </row>
    <row r="5411">
      <c r="A5411" t="inlineStr"/>
      <c r="B5411" t="inlineStr"/>
      <c r="C5411" t="inlineStr"/>
      <c r="D5411" t="inlineStr"/>
      <c r="E5411">
        <f>HYPERLINK("https://www.ncbi.nlm.nih.gov/gene/?term=XP_018410174.1", "XP_018410174.1")</f>
        <v/>
      </c>
      <c r="F5411" t="n">
        <v>37.5</v>
      </c>
      <c r="G5411" t="n">
        <v>397</v>
      </c>
      <c r="H5411" t="n">
        <v>2.13e-67</v>
      </c>
      <c r="I5411" t="inlineStr">
        <is>
          <t>Nr</t>
        </is>
      </c>
      <c r="J5411" t="inlineStr"/>
      <c r="K5411" t="inlineStr"/>
      <c r="L5411" t="inlineStr">
        <is>
          <t>XP_018410174.1 PREDICTED: poly [ADP-ribose] polymerase 4-like [Nanorana parkeri]</t>
        </is>
      </c>
      <c r="M5411" t="n">
        <v>1730</v>
      </c>
      <c r="N5411" t="inlineStr">
        <is>
          <t>Nanorana parkeri</t>
        </is>
      </c>
      <c r="O5411" t="inlineStr">
        <is>
          <t>PREDICTED: poly</t>
        </is>
      </c>
    </row>
    <row r="5412">
      <c r="A5412" t="inlineStr"/>
      <c r="B5412" t="inlineStr"/>
      <c r="C5412" t="inlineStr"/>
      <c r="D5412" t="inlineStr"/>
      <c r="E5412">
        <f>HYPERLINK("https://www.ncbi.nlm.nih.gov/gene/?term=KAG7499883.1", "KAG7499883.1")</f>
        <v/>
      </c>
      <c r="F5412" t="n">
        <v>33.2</v>
      </c>
      <c r="G5412" t="n">
        <v>440</v>
      </c>
      <c r="H5412" t="n">
        <v>9.989999999999999e-67</v>
      </c>
      <c r="I5412" t="inlineStr">
        <is>
          <t>Nr</t>
        </is>
      </c>
      <c r="J5412" t="inlineStr"/>
      <c r="K5412" t="inlineStr"/>
      <c r="L5412" t="inlineStr">
        <is>
          <t>KAG7499883.1 PHD finger protein 14 isoform X1 [Solea senegalensis]</t>
        </is>
      </c>
      <c r="M5412" t="n">
        <v>1773</v>
      </c>
      <c r="N5412" t="inlineStr">
        <is>
          <t>Solea senegalensis</t>
        </is>
      </c>
      <c r="O5412" t="inlineStr">
        <is>
          <t>PHD finger protein 14 isoform X1</t>
        </is>
      </c>
    </row>
    <row r="5413">
      <c r="A5413" t="inlineStr"/>
      <c r="B5413" t="inlineStr"/>
      <c r="C5413" t="inlineStr"/>
      <c r="D5413" t="inlineStr"/>
      <c r="E5413">
        <f>HYPERLINK("https://www.ncbi.nlm.nih.gov/gene/?term=XP_041436982.1", "XP_041436982.1")</f>
        <v/>
      </c>
      <c r="F5413" t="n">
        <v>34.5</v>
      </c>
      <c r="G5413" t="n">
        <v>406</v>
      </c>
      <c r="H5413" t="n">
        <v>4.91e-65</v>
      </c>
      <c r="I5413" t="inlineStr">
        <is>
          <t>Nr</t>
        </is>
      </c>
      <c r="J5413" t="inlineStr"/>
      <c r="K5413" t="inlineStr"/>
      <c r="L5413" t="inlineStr">
        <is>
          <t>XP_041436982.1 TRAF3 interacting protein 2 L homeolog isoform X1 [Xenopus laevis]</t>
        </is>
      </c>
      <c r="M5413" t="n">
        <v>946</v>
      </c>
      <c r="N5413" t="inlineStr">
        <is>
          <t>Xenopus laevis</t>
        </is>
      </c>
      <c r="O5413" t="inlineStr">
        <is>
          <t>TRAF3 interacting protein 2 L homeolog isoform X1</t>
        </is>
      </c>
    </row>
    <row r="5414">
      <c r="A5414" t="inlineStr"/>
      <c r="B5414" t="inlineStr"/>
      <c r="C5414" t="inlineStr"/>
      <c r="D5414" t="inlineStr"/>
      <c r="E5414">
        <f>HYPERLINK("https://www.ncbi.nlm.nih.gov/gene/?term=XP_040178126.1", "XP_040178126.1")</f>
        <v/>
      </c>
      <c r="F5414" t="n">
        <v>34.2</v>
      </c>
      <c r="G5414" t="n">
        <v>445</v>
      </c>
      <c r="H5414" t="n">
        <v>1.93e-63</v>
      </c>
      <c r="I5414" t="inlineStr">
        <is>
          <t>Nr</t>
        </is>
      </c>
      <c r="J5414" t="inlineStr"/>
      <c r="K5414" t="inlineStr"/>
      <c r="L5414" t="inlineStr">
        <is>
          <t>XP_040178126.1 microsomal triglyceride transfer protein-like [Rana temporaria]</t>
        </is>
      </c>
      <c r="M5414" t="n">
        <v>1440</v>
      </c>
      <c r="N5414" t="inlineStr">
        <is>
          <t>Rana temporaria</t>
        </is>
      </c>
      <c r="O5414" t="inlineStr">
        <is>
          <t>microsomal triglyceride transfer protein-like</t>
        </is>
      </c>
    </row>
    <row r="5415">
      <c r="A5415" t="inlineStr"/>
      <c r="B5415" t="inlineStr"/>
      <c r="C5415" t="inlineStr"/>
      <c r="D5415" t="inlineStr"/>
      <c r="E5415">
        <f>HYPERLINK("https://www.ncbi.nlm.nih.gov/gene/?term=XP_051711457.1", "XP_051711457.1")</f>
        <v/>
      </c>
      <c r="F5415" t="n">
        <v>37.5</v>
      </c>
      <c r="G5415" t="n">
        <v>291</v>
      </c>
      <c r="H5415" t="n">
        <v>4.91e-63</v>
      </c>
      <c r="I5415" t="inlineStr">
        <is>
          <t>Nr</t>
        </is>
      </c>
      <c r="J5415" t="inlineStr"/>
      <c r="K5415" t="inlineStr"/>
      <c r="L5415" t="inlineStr">
        <is>
          <t>XP_051711457.1 E3 ubiquitin-protein ligase E3D isoform X1 [Oryctolagus cuniculus]</t>
        </is>
      </c>
      <c r="M5415" t="n">
        <v>415</v>
      </c>
      <c r="N5415" t="inlineStr">
        <is>
          <t>Oryctolagus cuniculus</t>
        </is>
      </c>
      <c r="O5415" t="inlineStr">
        <is>
          <t>E3 ubiquitin-protein ligase E3D isoform X1</t>
        </is>
      </c>
    </row>
    <row r="5416">
      <c r="A5416" t="inlineStr"/>
      <c r="B5416" t="inlineStr"/>
      <c r="C5416" t="inlineStr"/>
      <c r="D5416" t="inlineStr"/>
      <c r="E5416">
        <f>HYPERLINK("https://www.ncbi.nlm.nih.gov/gene/?term=XP_040178291.1", "XP_040178291.1")</f>
        <v/>
      </c>
      <c r="F5416" t="n">
        <v>33.5</v>
      </c>
      <c r="G5416" t="n">
        <v>376</v>
      </c>
      <c r="H5416" t="n">
        <v>1.41e-62</v>
      </c>
      <c r="I5416" t="inlineStr">
        <is>
          <t>Nr</t>
        </is>
      </c>
      <c r="J5416" t="inlineStr"/>
      <c r="K5416" t="inlineStr"/>
      <c r="L5416" t="inlineStr">
        <is>
          <t>XP_040178291.1 uncharacterized protein LOC120910599, partial [Rana temporaria]</t>
        </is>
      </c>
      <c r="M5416" t="n">
        <v>2918</v>
      </c>
      <c r="N5416" t="inlineStr">
        <is>
          <t>Rana temporaria</t>
        </is>
      </c>
      <c r="O5416" t="inlineStr">
        <is>
          <t>uncharacterized protein LOC120910599, partial</t>
        </is>
      </c>
    </row>
    <row r="5417">
      <c r="A5417" t="inlineStr"/>
      <c r="B5417" t="inlineStr"/>
      <c r="C5417" t="inlineStr"/>
      <c r="D5417" t="inlineStr"/>
      <c r="E5417">
        <f>HYPERLINK("https://www.ncbi.nlm.nih.gov/gene/?term=WP_251858974.1", "WP_251858974.1")</f>
        <v/>
      </c>
      <c r="F5417" t="n">
        <v>34.2</v>
      </c>
      <c r="G5417" t="n">
        <v>357</v>
      </c>
      <c r="H5417" t="n">
        <v>3.48e-62</v>
      </c>
      <c r="I5417" t="inlineStr">
        <is>
          <t>Nr</t>
        </is>
      </c>
      <c r="J5417" t="inlineStr"/>
      <c r="K5417" t="inlineStr"/>
      <c r="L5417" t="inlineStr">
        <is>
          <t>WP_251858974.1 reverse transcriptase domain-containing protein, partial [Escherichia coli]</t>
        </is>
      </c>
      <c r="M5417" t="n">
        <v>412</v>
      </c>
      <c r="N5417" t="inlineStr">
        <is>
          <t>Escherichia coli</t>
        </is>
      </c>
      <c r="O5417" t="inlineStr">
        <is>
          <t>reverse transcriptase domain-containing protein, partial</t>
        </is>
      </c>
    </row>
    <row r="5418">
      <c r="A5418" t="inlineStr"/>
      <c r="B5418" t="inlineStr"/>
      <c r="C5418" t="inlineStr"/>
      <c r="D5418" t="inlineStr"/>
      <c r="E5418">
        <f>HYPERLINK("https://www.ncbi.nlm.nih.gov/gene/?term=CAI5689795.1", "CAI5689795.1")</f>
        <v/>
      </c>
      <c r="F5418" t="n">
        <v>33</v>
      </c>
      <c r="G5418" t="n">
        <v>443</v>
      </c>
      <c r="H5418" t="n">
        <v>4.76e-62</v>
      </c>
      <c r="I5418" t="inlineStr">
        <is>
          <t>Nr</t>
        </is>
      </c>
      <c r="J5418" t="inlineStr"/>
      <c r="K5418" t="inlineStr"/>
      <c r="L5418" t="inlineStr">
        <is>
          <t>CAI5689795.1 unnamed protein product [Mustela putorius furo]</t>
        </is>
      </c>
      <c r="M5418" t="n">
        <v>634</v>
      </c>
      <c r="N5418" t="inlineStr">
        <is>
          <t>Mustela putorius furo</t>
        </is>
      </c>
      <c r="O5418" t="inlineStr">
        <is>
          <t>unnamed protein product</t>
        </is>
      </c>
    </row>
    <row r="5419">
      <c r="A5419" t="inlineStr"/>
      <c r="B5419" t="inlineStr"/>
      <c r="C5419" t="inlineStr"/>
      <c r="D5419" t="inlineStr"/>
      <c r="E5419">
        <f>HYPERLINK("https://www.uniprot.org/uniprotkb/P08548/entry", "P08548")</f>
        <v/>
      </c>
      <c r="F5419" t="n">
        <v>37.7</v>
      </c>
      <c r="G5419" t="n">
        <v>289</v>
      </c>
      <c r="H5419" t="n">
        <v>7.4e-62</v>
      </c>
      <c r="I5419" t="inlineStr">
        <is>
          <t>Swiss-Prot</t>
        </is>
      </c>
      <c r="J5419" t="inlineStr"/>
      <c r="K5419" t="inlineStr">
        <is>
          <t>LIN1_NYCCO</t>
        </is>
      </c>
      <c r="L5419" t="inlineStr">
        <is>
          <t>sp|P08548|LIN1_NYCCO LINE-1 reverse transcriptase homolog OS=Nycticebus coucang OX=9470 PE=4 SV=1</t>
        </is>
      </c>
      <c r="M5419" t="n">
        <v>1260</v>
      </c>
      <c r="N5419" t="inlineStr">
        <is>
          <t>Nycticebus coucang</t>
        </is>
      </c>
      <c r="O5419" t="inlineStr">
        <is>
          <t>LINE-1 reverse transcriptase homolog</t>
        </is>
      </c>
    </row>
    <row r="5420">
      <c r="A5420" t="inlineStr"/>
      <c r="B5420" t="inlineStr"/>
      <c r="C5420" t="inlineStr"/>
      <c r="D5420" t="inlineStr"/>
      <c r="E5420">
        <f>HYPERLINK("https://www.ncbi.nlm.nih.gov/gene/?term=XP_051701996.1", "XP_051701996.1")</f>
        <v/>
      </c>
      <c r="F5420" t="n">
        <v>37.5</v>
      </c>
      <c r="G5420" t="n">
        <v>291</v>
      </c>
      <c r="H5420" t="n">
        <v>1.4e-61</v>
      </c>
      <c r="I5420" t="inlineStr">
        <is>
          <t>Nr</t>
        </is>
      </c>
      <c r="J5420" t="inlineStr"/>
      <c r="K5420" t="inlineStr"/>
      <c r="L5420" t="inlineStr">
        <is>
          <t>XP_051701996.1 LINE-1 retrotransposable element ORF2 protein isoform X1 [Oryctolagus cuniculus]</t>
        </is>
      </c>
      <c r="M5420" t="n">
        <v>375</v>
      </c>
      <c r="N5420" t="inlineStr">
        <is>
          <t>Oryctolagus cuniculus</t>
        </is>
      </c>
      <c r="O5420" t="inlineStr">
        <is>
          <t>LINE-1 retrotransposable element ORF2 protein isoform X1</t>
        </is>
      </c>
    </row>
    <row r="5421">
      <c r="A5421" t="inlineStr"/>
      <c r="B5421" t="inlineStr"/>
      <c r="C5421" t="inlineStr"/>
      <c r="D5421" t="inlineStr"/>
      <c r="E5421">
        <f>HYPERLINK("https://www.ncbi.nlm.nih.gov/gene/?term=CAI5636556.1", "CAI5636556.1")</f>
        <v/>
      </c>
      <c r="F5421" t="n">
        <v>40.2</v>
      </c>
      <c r="G5421" t="n">
        <v>286</v>
      </c>
      <c r="H5421" t="n">
        <v>6.959999999999999e-61</v>
      </c>
      <c r="I5421" t="inlineStr">
        <is>
          <t>Nr</t>
        </is>
      </c>
      <c r="J5421" t="inlineStr"/>
      <c r="K5421" t="inlineStr"/>
      <c r="L5421" t="inlineStr">
        <is>
          <t>CAI5636556.1 unnamed protein product [Mustela putorius furo]</t>
        </is>
      </c>
      <c r="M5421" t="n">
        <v>984</v>
      </c>
      <c r="N5421" t="inlineStr">
        <is>
          <t>Mustela putorius furo</t>
        </is>
      </c>
      <c r="O5421" t="inlineStr">
        <is>
          <t>unnamed protein product</t>
        </is>
      </c>
    </row>
    <row r="5422">
      <c r="A5422" t="inlineStr"/>
      <c r="B5422" t="inlineStr"/>
      <c r="C5422" t="inlineStr"/>
      <c r="D5422" t="inlineStr"/>
      <c r="E5422">
        <f>HYPERLINK("https://www.ncbi.nlm.nih.gov/gene/?term=XP_051708119.1", "XP_051708119.1")</f>
        <v/>
      </c>
      <c r="F5422" t="n">
        <v>37.8</v>
      </c>
      <c r="G5422" t="n">
        <v>291</v>
      </c>
      <c r="H5422" t="n">
        <v>2.76e-60</v>
      </c>
      <c r="I5422" t="inlineStr">
        <is>
          <t>Nr</t>
        </is>
      </c>
      <c r="J5422" t="inlineStr"/>
      <c r="K5422" t="inlineStr"/>
      <c r="L5422" t="inlineStr">
        <is>
          <t>XP_051708119.1 LINE-1 retrotransposable element ORF2 protein isoform X1 [Oryctolagus cuniculus]</t>
        </is>
      </c>
      <c r="M5422" t="n">
        <v>680</v>
      </c>
      <c r="N5422" t="inlineStr">
        <is>
          <t>Oryctolagus cuniculus</t>
        </is>
      </c>
      <c r="O5422" t="inlineStr">
        <is>
          <t>LINE-1 retrotransposable element ORF2 protein isoform X1</t>
        </is>
      </c>
    </row>
    <row r="5423">
      <c r="A5423" t="inlineStr"/>
      <c r="B5423" t="inlineStr"/>
      <c r="C5423" t="inlineStr"/>
      <c r="D5423" t="inlineStr"/>
      <c r="E5423">
        <f>HYPERLINK("https://www.ncbi.nlm.nih.gov/gene/?term=XP_051675613.1", "XP_051675613.1")</f>
        <v/>
      </c>
      <c r="F5423" t="n">
        <v>37.5</v>
      </c>
      <c r="G5423" t="n">
        <v>291</v>
      </c>
      <c r="H5423" t="n">
        <v>7.41e-60</v>
      </c>
      <c r="I5423" t="inlineStr">
        <is>
          <t>Nr</t>
        </is>
      </c>
      <c r="J5423" t="inlineStr"/>
      <c r="K5423" t="inlineStr"/>
      <c r="L5423" t="inlineStr">
        <is>
          <t>XP_051675613.1 cilia- and flagella-associated protein 299 isoform X1 [Oryctolagus cuniculus]</t>
        </is>
      </c>
      <c r="M5423" t="n">
        <v>680</v>
      </c>
      <c r="N5423" t="inlineStr">
        <is>
          <t>Oryctolagus cuniculus</t>
        </is>
      </c>
      <c r="O5423" t="inlineStr">
        <is>
          <t>cilia- and flagella-associated protein 299 isoform X1</t>
        </is>
      </c>
    </row>
    <row r="5424">
      <c r="A5424" t="inlineStr"/>
      <c r="B5424" t="inlineStr"/>
      <c r="C5424" t="inlineStr"/>
      <c r="D5424" t="inlineStr"/>
      <c r="E5424">
        <f>HYPERLINK("https://www.ncbi.nlm.nih.gov/gene/?term=EJP2926417.1", "EJP2926417.1")</f>
        <v/>
      </c>
      <c r="F5424" t="n">
        <v>32.1</v>
      </c>
      <c r="G5424" t="n">
        <v>443</v>
      </c>
      <c r="H5424" t="n">
        <v>1.09e-59</v>
      </c>
      <c r="I5424" t="inlineStr">
        <is>
          <t>Nr</t>
        </is>
      </c>
      <c r="J5424" t="inlineStr"/>
      <c r="K5424" t="inlineStr"/>
      <c r="L5424" t="inlineStr">
        <is>
          <t>EJP2926417.1 endonuclease/exonuclease/phosphatase family protein [Campylobacter jejuni]</t>
        </is>
      </c>
      <c r="M5424" t="n">
        <v>522</v>
      </c>
      <c r="N5424" t="inlineStr">
        <is>
          <t>Campylobacter jejuni</t>
        </is>
      </c>
      <c r="O5424" t="inlineStr">
        <is>
          <t>endonuclease/exonuclease/phosphatase family protein</t>
        </is>
      </c>
    </row>
    <row r="5425">
      <c r="A5425" t="inlineStr"/>
      <c r="B5425" t="inlineStr"/>
      <c r="C5425" t="inlineStr"/>
      <c r="D5425" t="inlineStr"/>
      <c r="E5425">
        <f>HYPERLINK("https://www.ncbi.nlm.nih.gov/gene/?term=XP_040197467.1", "XP_040197467.1")</f>
        <v/>
      </c>
      <c r="F5425" t="n">
        <v>35.5</v>
      </c>
      <c r="G5425" t="n">
        <v>414</v>
      </c>
      <c r="H5425" t="n">
        <v>1.4e-59</v>
      </c>
      <c r="I5425" t="inlineStr">
        <is>
          <t>Nr</t>
        </is>
      </c>
      <c r="J5425" t="inlineStr"/>
      <c r="K5425" t="inlineStr"/>
      <c r="L5425" t="inlineStr">
        <is>
          <t>XP_040197467.1 cytosolic carboxypeptidase 4 [Rana temporaria]</t>
        </is>
      </c>
      <c r="M5425" t="n">
        <v>1575</v>
      </c>
      <c r="N5425" t="inlineStr">
        <is>
          <t>Rana temporaria</t>
        </is>
      </c>
      <c r="O5425" t="inlineStr">
        <is>
          <t>cytosolic carboxypeptidase 4</t>
        </is>
      </c>
    </row>
    <row r="5426">
      <c r="A5426" t="inlineStr"/>
      <c r="B5426" t="inlineStr"/>
      <c r="C5426" t="inlineStr"/>
      <c r="D5426" t="inlineStr"/>
      <c r="E5426">
        <f>HYPERLINK("https://www.ncbi.nlm.nih.gov/gene/?term=CAI5674631.1", "CAI5674631.1")</f>
        <v/>
      </c>
      <c r="F5426" t="n">
        <v>29.9</v>
      </c>
      <c r="G5426" t="n">
        <v>442</v>
      </c>
      <c r="H5426" t="n">
        <v>4.21e-59</v>
      </c>
      <c r="I5426" t="inlineStr">
        <is>
          <t>Nr</t>
        </is>
      </c>
      <c r="J5426" t="inlineStr"/>
      <c r="K5426" t="inlineStr"/>
      <c r="L5426" t="inlineStr">
        <is>
          <t>CAI5674631.1 unnamed protein product [Mustela putorius furo]</t>
        </is>
      </c>
      <c r="M5426" t="n">
        <v>1270</v>
      </c>
      <c r="N5426" t="inlineStr">
        <is>
          <t>Mustela putorius furo</t>
        </is>
      </c>
      <c r="O5426" t="inlineStr">
        <is>
          <t>unnamed protein product</t>
        </is>
      </c>
    </row>
    <row r="5427">
      <c r="A5427" t="inlineStr"/>
      <c r="B5427" t="inlineStr"/>
      <c r="C5427" t="inlineStr"/>
      <c r="D5427" t="inlineStr"/>
      <c r="E5427">
        <f>HYPERLINK("https://www.ncbi.nlm.nih.gov/gene/?term=KAB0353350.1", "KAB0353350.1")</f>
        <v/>
      </c>
      <c r="F5427" t="n">
        <v>36.7</v>
      </c>
      <c r="G5427" t="n">
        <v>289</v>
      </c>
      <c r="H5427" t="n">
        <v>4.99e-59</v>
      </c>
      <c r="I5427" t="inlineStr">
        <is>
          <t>Nr</t>
        </is>
      </c>
      <c r="J5427" t="inlineStr"/>
      <c r="K5427" t="inlineStr"/>
      <c r="L5427" t="inlineStr">
        <is>
          <t>KAB0353350.1 hypothetical protein FD755_023945, partial [Muntiacus reevesi]</t>
        </is>
      </c>
      <c r="M5427" t="n">
        <v>600</v>
      </c>
      <c r="N5427" t="inlineStr">
        <is>
          <t>Muntiacus reevesi</t>
        </is>
      </c>
      <c r="O5427" t="inlineStr">
        <is>
          <t>hypothetical protein FD755_023945, partial</t>
        </is>
      </c>
    </row>
    <row r="5428">
      <c r="A5428" t="inlineStr"/>
      <c r="B5428" t="inlineStr"/>
      <c r="C5428" t="inlineStr"/>
      <c r="D5428" t="inlineStr"/>
      <c r="E5428">
        <f>HYPERLINK("https://www.ncbi.nlm.nih.gov/gene/?term=XP_023192802.1", "XP_023192802.1")</f>
        <v/>
      </c>
      <c r="F5428" t="n">
        <v>34.3</v>
      </c>
      <c r="G5428" t="n">
        <v>443</v>
      </c>
      <c r="H5428" t="n">
        <v>5.65e-59</v>
      </c>
      <c r="I5428" t="inlineStr">
        <is>
          <t>Nr</t>
        </is>
      </c>
      <c r="J5428" t="inlineStr"/>
      <c r="K5428" t="inlineStr"/>
      <c r="L5428" t="inlineStr">
        <is>
          <t>XP_023192802.1 WD repeat-containing protein 3 isoform X1 [Xiphophorus maculatus]</t>
        </is>
      </c>
      <c r="M5428" t="n">
        <v>1258</v>
      </c>
      <c r="N5428" t="inlineStr">
        <is>
          <t>Xiphophorus maculatus</t>
        </is>
      </c>
      <c r="O5428" t="inlineStr">
        <is>
          <t>WD repeat-containing protein 3 isoform X1</t>
        </is>
      </c>
    </row>
    <row r="5429">
      <c r="A5429" t="inlineStr"/>
      <c r="B5429" t="inlineStr"/>
      <c r="C5429" t="inlineStr"/>
      <c r="D5429" t="inlineStr"/>
      <c r="E5429">
        <f>HYPERLINK("https://www.ncbi.nlm.nih.gov/gene/?term=KAB0377107.1", "KAB0377107.1")</f>
        <v/>
      </c>
      <c r="F5429" t="n">
        <v>36.7</v>
      </c>
      <c r="G5429" t="n">
        <v>289</v>
      </c>
      <c r="H5429" t="n">
        <v>6.59e-59</v>
      </c>
      <c r="I5429" t="inlineStr">
        <is>
          <t>Nr</t>
        </is>
      </c>
      <c r="J5429" t="inlineStr"/>
      <c r="K5429" t="inlineStr"/>
      <c r="L5429" t="inlineStr">
        <is>
          <t>KAB0377107.1 hypothetical protein FD755_011551 [Muntiacus reevesi]</t>
        </is>
      </c>
      <c r="M5429" t="n">
        <v>615</v>
      </c>
      <c r="N5429" t="inlineStr">
        <is>
          <t>Muntiacus reevesi</t>
        </is>
      </c>
      <c r="O5429" t="inlineStr">
        <is>
          <t>hypothetical protein FD755_011551</t>
        </is>
      </c>
    </row>
    <row r="5430">
      <c r="A5430" t="inlineStr"/>
      <c r="B5430" t="inlineStr"/>
      <c r="C5430" t="inlineStr"/>
      <c r="D5430" t="inlineStr"/>
      <c r="E5430">
        <f>HYPERLINK("https://www.ncbi.nlm.nih.gov/gene/?term=P08548.1", "P08548.1")</f>
        <v/>
      </c>
      <c r="F5430" t="n">
        <v>37.7</v>
      </c>
      <c r="G5430" t="n">
        <v>289</v>
      </c>
      <c r="H5430" t="n">
        <v>7.47e-59</v>
      </c>
      <c r="I5430" t="inlineStr">
        <is>
          <t>Nr</t>
        </is>
      </c>
      <c r="J5430" t="inlineStr"/>
      <c r="K5430" t="inlineStr"/>
      <c r="L5430" t="inlineStr">
        <is>
          <t>P08548.1 RecName: Full=LINE-1 reverse transcriptase homolog [Nycticebus coucang]</t>
        </is>
      </c>
      <c r="M5430" t="n">
        <v>1260</v>
      </c>
      <c r="N5430" t="inlineStr">
        <is>
          <t>Nycticebus coucang</t>
        </is>
      </c>
      <c r="O5430" t="inlineStr">
        <is>
          <t>RecName: Full=LINE-1 reverse transcriptase homolog</t>
        </is>
      </c>
    </row>
    <row r="5431">
      <c r="A5431" t="inlineStr"/>
      <c r="B5431" t="inlineStr"/>
      <c r="C5431" t="inlineStr"/>
      <c r="D5431" t="inlineStr"/>
      <c r="E5431">
        <f>HYPERLINK("https://www.ncbi.nlm.nih.gov/gene/?term=KAB0370384.1", "KAB0370384.1")</f>
        <v/>
      </c>
      <c r="F5431" t="n">
        <v>36.7</v>
      </c>
      <c r="G5431" t="n">
        <v>289</v>
      </c>
      <c r="H5431" t="n">
        <v>8.480000000000001e-59</v>
      </c>
      <c r="I5431" t="inlineStr">
        <is>
          <t>Nr</t>
        </is>
      </c>
      <c r="J5431" t="inlineStr"/>
      <c r="K5431" t="inlineStr"/>
      <c r="L5431" t="inlineStr">
        <is>
          <t>KAB0370384.1 hypothetical protein FD755_018346 [Muntiacus reevesi]</t>
        </is>
      </c>
      <c r="M5431" t="n">
        <v>648</v>
      </c>
      <c r="N5431" t="inlineStr">
        <is>
          <t>Muntiacus reevesi</t>
        </is>
      </c>
      <c r="O5431" t="inlineStr">
        <is>
          <t>hypothetical protein FD755_018346</t>
        </is>
      </c>
    </row>
    <row r="5432">
      <c r="A5432" t="inlineStr"/>
      <c r="B5432" t="inlineStr"/>
      <c r="C5432" t="inlineStr"/>
      <c r="D5432" t="inlineStr"/>
      <c r="E5432">
        <f>HYPERLINK("https://www.ncbi.nlm.nih.gov/gene/?term=KAB0341040.1", "KAB0341040.1")</f>
        <v/>
      </c>
      <c r="F5432" t="n">
        <v>36.7</v>
      </c>
      <c r="G5432" t="n">
        <v>289</v>
      </c>
      <c r="H5432" t="n">
        <v>9.94e-59</v>
      </c>
      <c r="I5432" t="inlineStr">
        <is>
          <t>Nr</t>
        </is>
      </c>
      <c r="J5432" t="inlineStr"/>
      <c r="K5432" t="inlineStr"/>
      <c r="L5432" t="inlineStr">
        <is>
          <t>KAB0341040.1 hypothetical protein FD755_024496, partial [Muntiacus reevesi]</t>
        </is>
      </c>
      <c r="M5432" t="n">
        <v>638</v>
      </c>
      <c r="N5432" t="inlineStr">
        <is>
          <t>Muntiacus reevesi</t>
        </is>
      </c>
      <c r="O5432" t="inlineStr">
        <is>
          <t>hypothetical protein FD755_024496, partial</t>
        </is>
      </c>
    </row>
    <row r="5433">
      <c r="A5433" t="inlineStr"/>
      <c r="B5433" t="inlineStr"/>
      <c r="C5433" t="inlineStr"/>
      <c r="D5433" t="inlineStr"/>
      <c r="E5433">
        <f>HYPERLINK("https://www.ncbi.nlm.nih.gov/gene/?term=WP_255248840.1", "WP_255248840.1")</f>
        <v/>
      </c>
      <c r="F5433" t="n">
        <v>36.4</v>
      </c>
      <c r="G5433" t="n">
        <v>280</v>
      </c>
      <c r="H5433" t="n">
        <v>1.46e-58</v>
      </c>
      <c r="I5433" t="inlineStr">
        <is>
          <t>Nr</t>
        </is>
      </c>
      <c r="J5433" t="inlineStr"/>
      <c r="K5433" t="inlineStr"/>
      <c r="L5433" t="inlineStr">
        <is>
          <t>WP_255248840.1 reverse transcriptase family protein [Enterobacter hormaechei]</t>
        </is>
      </c>
      <c r="M5433" t="n">
        <v>368</v>
      </c>
      <c r="N5433" t="inlineStr">
        <is>
          <t>Enterobacter hormaechei</t>
        </is>
      </c>
      <c r="O5433" t="inlineStr">
        <is>
          <t>reverse transcriptase family protein</t>
        </is>
      </c>
    </row>
    <row r="5434">
      <c r="A5434" t="inlineStr"/>
      <c r="B5434" t="inlineStr"/>
      <c r="C5434" t="inlineStr"/>
      <c r="D5434" t="inlineStr"/>
      <c r="E5434">
        <f>HYPERLINK("https://www.ncbi.nlm.nih.gov/gene/?term=CAI5685855.1", "CAI5685855.1")</f>
        <v/>
      </c>
      <c r="F5434" t="n">
        <v>30.8</v>
      </c>
      <c r="G5434" t="n">
        <v>441</v>
      </c>
      <c r="H5434" t="n">
        <v>1.94e-58</v>
      </c>
      <c r="I5434" t="inlineStr">
        <is>
          <t>Nr</t>
        </is>
      </c>
      <c r="J5434" t="inlineStr"/>
      <c r="K5434" t="inlineStr"/>
      <c r="L5434" t="inlineStr">
        <is>
          <t>CAI5685855.1 unnamed protein product [Mustela putorius furo]</t>
        </is>
      </c>
      <c r="M5434" t="n">
        <v>1267</v>
      </c>
      <c r="N5434" t="inlineStr">
        <is>
          <t>Mustela putorius furo</t>
        </is>
      </c>
      <c r="O5434" t="inlineStr">
        <is>
          <t>unnamed protein product</t>
        </is>
      </c>
    </row>
    <row r="5435">
      <c r="A5435" t="inlineStr"/>
      <c r="B5435" t="inlineStr"/>
      <c r="C5435" t="inlineStr"/>
      <c r="D5435" t="inlineStr"/>
      <c r="E5435">
        <f>HYPERLINK("https://www.ncbi.nlm.nih.gov/gene/?term=KAB0353206.1", "KAB0353206.1")</f>
        <v/>
      </c>
      <c r="F5435" t="n">
        <v>36.3</v>
      </c>
      <c r="G5435" t="n">
        <v>289</v>
      </c>
      <c r="H5435" t="n">
        <v>2.11e-58</v>
      </c>
      <c r="I5435" t="inlineStr">
        <is>
          <t>Nr</t>
        </is>
      </c>
      <c r="J5435" t="inlineStr"/>
      <c r="K5435" t="inlineStr"/>
      <c r="L5435" t="inlineStr">
        <is>
          <t>KAB0353206.1 hypothetical protein FD755_024080, partial [Muntiacus reevesi]</t>
        </is>
      </c>
      <c r="M5435" t="n">
        <v>606</v>
      </c>
      <c r="N5435" t="inlineStr">
        <is>
          <t>Muntiacus reevesi</t>
        </is>
      </c>
      <c r="O5435" t="inlineStr">
        <is>
          <t>hypothetical protein FD755_024080, partial</t>
        </is>
      </c>
    </row>
    <row r="5436">
      <c r="A5436" t="inlineStr"/>
      <c r="B5436" t="inlineStr"/>
      <c r="C5436" t="inlineStr"/>
      <c r="D5436" t="inlineStr"/>
      <c r="E5436">
        <f>HYPERLINK("https://www.ncbi.nlm.nih.gov/gene/?term=KAB0353281.1", "KAB0353281.1")</f>
        <v/>
      </c>
      <c r="F5436" t="n">
        <v>36.3</v>
      </c>
      <c r="G5436" t="n">
        <v>289</v>
      </c>
      <c r="H5436" t="n">
        <v>3.19e-58</v>
      </c>
      <c r="I5436" t="inlineStr">
        <is>
          <t>Nr</t>
        </is>
      </c>
      <c r="J5436" t="inlineStr"/>
      <c r="K5436" t="inlineStr"/>
      <c r="L5436" t="inlineStr">
        <is>
          <t>KAB0353281.1 hypothetical protein FD755_024010 [Muntiacus reevesi]</t>
        </is>
      </c>
      <c r="M5436" t="n">
        <v>629</v>
      </c>
      <c r="N5436" t="inlineStr">
        <is>
          <t>Muntiacus reevesi</t>
        </is>
      </c>
      <c r="O5436" t="inlineStr">
        <is>
          <t>hypothetical protein FD755_024010</t>
        </is>
      </c>
    </row>
    <row r="5437">
      <c r="A5437" t="inlineStr"/>
      <c r="B5437" t="inlineStr"/>
      <c r="C5437" t="inlineStr"/>
      <c r="D5437" t="inlineStr"/>
      <c r="E5437">
        <f>HYPERLINK("https://www.ncbi.nlm.nih.gov/gene/?term=KAB0369486.1", "KAB0369486.1")</f>
        <v/>
      </c>
      <c r="F5437" t="n">
        <v>36.3</v>
      </c>
      <c r="G5437" t="n">
        <v>289</v>
      </c>
      <c r="H5437" t="n">
        <v>4e-58</v>
      </c>
      <c r="I5437" t="inlineStr">
        <is>
          <t>Nr</t>
        </is>
      </c>
      <c r="J5437" t="inlineStr"/>
      <c r="K5437" t="inlineStr"/>
      <c r="L5437" t="inlineStr">
        <is>
          <t>KAB0369486.1 hypothetical protein FD755_019491, partial [Muntiacus reevesi]</t>
        </is>
      </c>
      <c r="M5437" t="n">
        <v>587</v>
      </c>
      <c r="N5437" t="inlineStr">
        <is>
          <t>Muntiacus reevesi</t>
        </is>
      </c>
      <c r="O5437" t="inlineStr">
        <is>
          <t>hypothetical protein FD755_019491, partial</t>
        </is>
      </c>
    </row>
    <row r="5438">
      <c r="A5438" t="inlineStr"/>
      <c r="B5438" t="inlineStr"/>
      <c r="C5438" t="inlineStr"/>
      <c r="D5438" t="inlineStr"/>
      <c r="E5438">
        <f>HYPERLINK("https://www.ncbi.nlm.nih.gov/gene/?term=KAB0337449.1", "KAB0337449.1")</f>
        <v/>
      </c>
      <c r="F5438" t="n">
        <v>36.3</v>
      </c>
      <c r="G5438" t="n">
        <v>289</v>
      </c>
      <c r="H5438" t="n">
        <v>4.09e-58</v>
      </c>
      <c r="I5438" t="inlineStr">
        <is>
          <t>Nr</t>
        </is>
      </c>
      <c r="J5438" t="inlineStr"/>
      <c r="K5438" t="inlineStr"/>
      <c r="L5438" t="inlineStr">
        <is>
          <t>KAB0337449.1 hypothetical protein FD754_025185, partial [Muntiacus muntjak]</t>
        </is>
      </c>
      <c r="M5438" t="n">
        <v>606</v>
      </c>
      <c r="N5438" t="inlineStr">
        <is>
          <t>Muntiacus muntjak</t>
        </is>
      </c>
      <c r="O5438" t="inlineStr">
        <is>
          <t>hypothetical protein FD754_025185, partial</t>
        </is>
      </c>
    </row>
    <row r="5439">
      <c r="A5439" t="inlineStr"/>
      <c r="B5439" t="inlineStr"/>
      <c r="C5439" t="inlineStr"/>
      <c r="D5439" t="inlineStr"/>
      <c r="E5439">
        <f>HYPERLINK("https://www.ncbi.nlm.nih.gov/gene/?term=CAI5674000.1", "CAI5674000.1")</f>
        <v/>
      </c>
      <c r="F5439" t="n">
        <v>31.1</v>
      </c>
      <c r="G5439" t="n">
        <v>438</v>
      </c>
      <c r="H5439" t="n">
        <v>4.36e-58</v>
      </c>
      <c r="I5439" t="inlineStr">
        <is>
          <t>Nr</t>
        </is>
      </c>
      <c r="J5439" t="inlineStr"/>
      <c r="K5439" t="inlineStr"/>
      <c r="L5439" t="inlineStr">
        <is>
          <t>CAI5674000.1 unnamed protein product [Mustela putorius furo]</t>
        </is>
      </c>
      <c r="M5439" t="n">
        <v>554</v>
      </c>
      <c r="N5439" t="inlineStr">
        <is>
          <t>Mustela putorius furo</t>
        </is>
      </c>
      <c r="O5439" t="inlineStr">
        <is>
          <t>unnamed protein product</t>
        </is>
      </c>
    </row>
    <row r="5440">
      <c r="A5440" t="inlineStr"/>
      <c r="B5440" t="inlineStr"/>
      <c r="C5440" t="inlineStr"/>
      <c r="D5440" t="inlineStr"/>
      <c r="E5440">
        <f>HYPERLINK("https://www.ncbi.nlm.nih.gov/gene/?term=XP_025766329.1", "XP_025766329.1")</f>
        <v/>
      </c>
      <c r="F5440" t="n">
        <v>31.1</v>
      </c>
      <c r="G5440" t="n">
        <v>438</v>
      </c>
      <c r="H5440" t="n">
        <v>4.36e-58</v>
      </c>
      <c r="I5440" t="inlineStr">
        <is>
          <t>Nr</t>
        </is>
      </c>
      <c r="J5440" t="inlineStr"/>
      <c r="K5440" t="inlineStr"/>
      <c r="L5440" t="inlineStr">
        <is>
          <t>XP_025766329.1 uncharacterized protein LOC106098505 [Oreochromis niloticus]</t>
        </is>
      </c>
      <c r="M5440" t="n">
        <v>554</v>
      </c>
      <c r="N5440" t="inlineStr">
        <is>
          <t>Oreochromis niloticus</t>
        </is>
      </c>
      <c r="O5440" t="inlineStr">
        <is>
          <t>uncharacterized protein LOC106098505</t>
        </is>
      </c>
    </row>
    <row r="5441">
      <c r="A5441" t="inlineStr"/>
      <c r="B5441" t="inlineStr"/>
      <c r="C5441" t="inlineStr"/>
      <c r="D5441" t="inlineStr"/>
      <c r="E5441">
        <f>HYPERLINK("https://www.ncbi.nlm.nih.gov/gene/?term=ABR01162.1", "ABR01162.1")</f>
        <v/>
      </c>
      <c r="F5441" t="n">
        <v>32.4</v>
      </c>
      <c r="G5441" t="n">
        <v>386</v>
      </c>
      <c r="H5441" t="n">
        <v>4.73e-58</v>
      </c>
      <c r="I5441" t="inlineStr">
        <is>
          <t>Nr</t>
        </is>
      </c>
      <c r="J5441" t="inlineStr"/>
      <c r="K5441" t="inlineStr"/>
      <c r="L5441" t="inlineStr">
        <is>
          <t>ABR01162.1 endonuclease/reverse transcriptase [Sus scrofa]</t>
        </is>
      </c>
      <c r="M5441" t="n">
        <v>1272</v>
      </c>
      <c r="N5441" t="inlineStr">
        <is>
          <t>Sus scrofa</t>
        </is>
      </c>
      <c r="O5441" t="inlineStr">
        <is>
          <t>endonuclease/reverse transcriptase</t>
        </is>
      </c>
    </row>
    <row r="5442">
      <c r="A5442" t="inlineStr"/>
      <c r="B5442" t="inlineStr"/>
      <c r="C5442" t="inlineStr"/>
      <c r="D5442" t="inlineStr"/>
      <c r="E5442">
        <f>HYPERLINK("https://www.ncbi.nlm.nih.gov/gene/?term=KAB0377679.1", "KAB0377679.1")</f>
        <v/>
      </c>
      <c r="F5442" t="n">
        <v>36.3</v>
      </c>
      <c r="G5442" t="n">
        <v>289</v>
      </c>
      <c r="H5442" t="n">
        <v>4.82e-58</v>
      </c>
      <c r="I5442" t="inlineStr">
        <is>
          <t>Nr</t>
        </is>
      </c>
      <c r="J5442" t="inlineStr"/>
      <c r="K5442" t="inlineStr"/>
      <c r="L5442" t="inlineStr">
        <is>
          <t>KAB0377679.1 hypothetical protein FD755_009257 [Muntiacus reevesi]</t>
        </is>
      </c>
      <c r="M5442" t="n">
        <v>615</v>
      </c>
      <c r="N5442" t="inlineStr">
        <is>
          <t>Muntiacus reevesi</t>
        </is>
      </c>
      <c r="O5442" t="inlineStr">
        <is>
          <t>hypothetical protein FD755_009257</t>
        </is>
      </c>
    </row>
    <row r="5443">
      <c r="A5443" t="inlineStr"/>
      <c r="B5443" t="inlineStr"/>
      <c r="C5443" t="inlineStr"/>
      <c r="D5443" t="inlineStr"/>
      <c r="E5443">
        <f>HYPERLINK("https://www.ncbi.nlm.nih.gov/gene/?term=KAB0350657.1", "KAB0350657.1")</f>
        <v/>
      </c>
      <c r="F5443" t="n">
        <v>36.3</v>
      </c>
      <c r="G5443" t="n">
        <v>289</v>
      </c>
      <c r="H5443" t="n">
        <v>5.110000000000001e-58</v>
      </c>
      <c r="I5443" t="inlineStr">
        <is>
          <t>Nr</t>
        </is>
      </c>
      <c r="J5443" t="inlineStr"/>
      <c r="K5443" t="inlineStr"/>
      <c r="L5443" t="inlineStr">
        <is>
          <t>KAB0350657.1 hypothetical protein FD754_015514, partial [Muntiacus muntjak]</t>
        </is>
      </c>
      <c r="M5443" t="n">
        <v>600</v>
      </c>
      <c r="N5443" t="inlineStr">
        <is>
          <t>Muntiacus muntjak</t>
        </is>
      </c>
      <c r="O5443" t="inlineStr">
        <is>
          <t>hypothetical protein FD754_015514, partial</t>
        </is>
      </c>
    </row>
    <row r="5444">
      <c r="A5444" t="inlineStr"/>
      <c r="B5444" t="inlineStr"/>
      <c r="C5444" t="inlineStr"/>
      <c r="D5444" t="inlineStr"/>
      <c r="E5444">
        <f>HYPERLINK("https://www.ncbi.nlm.nih.gov/gene/?term=WP_183075694.1", "WP_183075694.1")</f>
        <v/>
      </c>
      <c r="F5444" t="n">
        <v>31.4</v>
      </c>
      <c r="G5444" t="n">
        <v>443</v>
      </c>
      <c r="H5444" t="n">
        <v>5.22e-58</v>
      </c>
      <c r="I5444" t="inlineStr">
        <is>
          <t>Nr</t>
        </is>
      </c>
      <c r="J5444" t="inlineStr"/>
      <c r="K5444" t="inlineStr"/>
      <c r="L5444" t="inlineStr">
        <is>
          <t>WP_183075694.1 endonuclease/exonuclease/phosphatase family protein [Mycobacterium tuberculosis]</t>
        </is>
      </c>
      <c r="M5444" t="n">
        <v>580</v>
      </c>
      <c r="N5444" t="inlineStr">
        <is>
          <t>Mycobacterium tuberculosis</t>
        </is>
      </c>
      <c r="O5444" t="inlineStr">
        <is>
          <t>endonuclease/exonuclease/phosphatase family protein</t>
        </is>
      </c>
    </row>
    <row r="5445">
      <c r="A5445" t="inlineStr"/>
      <c r="B5445" t="inlineStr"/>
      <c r="C5445" t="inlineStr"/>
      <c r="D5445" t="inlineStr"/>
      <c r="E5445">
        <f>HYPERLINK("https://www.ncbi.nlm.nih.gov/gene/?term=KAB0338094.1", "KAB0338094.1")</f>
        <v/>
      </c>
      <c r="F5445" t="n">
        <v>36.3</v>
      </c>
      <c r="G5445" t="n">
        <v>289</v>
      </c>
      <c r="H5445" t="n">
        <v>5.7e-58</v>
      </c>
      <c r="I5445" t="inlineStr">
        <is>
          <t>Nr</t>
        </is>
      </c>
      <c r="J5445" t="inlineStr"/>
      <c r="K5445" t="inlineStr"/>
      <c r="L5445" t="inlineStr">
        <is>
          <t>KAB0338094.1 hypothetical protein FD754_024809, partial [Muntiacus muntjak]</t>
        </is>
      </c>
      <c r="M5445" t="n">
        <v>606</v>
      </c>
      <c r="N5445" t="inlineStr">
        <is>
          <t>Muntiacus muntjak</t>
        </is>
      </c>
      <c r="O5445" t="inlineStr">
        <is>
          <t>hypothetical protein FD754_024809, partial</t>
        </is>
      </c>
    </row>
    <row r="5446">
      <c r="A5446" t="inlineStr"/>
      <c r="B5446" t="inlineStr"/>
      <c r="C5446" t="inlineStr"/>
      <c r="D5446" t="inlineStr"/>
      <c r="E5446">
        <f>HYPERLINK("https://www.ncbi.nlm.nih.gov/gene/?term=KAB0354314.1", "KAB0354314.1")</f>
        <v/>
      </c>
      <c r="F5446" t="n">
        <v>36.3</v>
      </c>
      <c r="G5446" t="n">
        <v>289</v>
      </c>
      <c r="H5446" t="n">
        <v>6.600000000000001e-58</v>
      </c>
      <c r="I5446" t="inlineStr">
        <is>
          <t>Nr</t>
        </is>
      </c>
      <c r="J5446" t="inlineStr"/>
      <c r="K5446" t="inlineStr"/>
      <c r="L5446" t="inlineStr">
        <is>
          <t>KAB0354314.1 hypothetical protein FD755_022852, partial [Muntiacus reevesi]</t>
        </is>
      </c>
      <c r="M5446" t="n">
        <v>614</v>
      </c>
      <c r="N5446" t="inlineStr">
        <is>
          <t>Muntiacus reevesi</t>
        </is>
      </c>
      <c r="O5446" t="inlineStr">
        <is>
          <t>hypothetical protein FD755_022852, partial</t>
        </is>
      </c>
    </row>
    <row r="5447">
      <c r="A5447" t="inlineStr"/>
      <c r="B5447" t="inlineStr"/>
      <c r="C5447" t="inlineStr"/>
      <c r="D5447" t="inlineStr"/>
      <c r="E5447">
        <f>HYPERLINK("https://www.ncbi.nlm.nih.gov/gene/?term=KAB0337795.1", "KAB0337795.1")</f>
        <v/>
      </c>
      <c r="F5447" t="n">
        <v>36.3</v>
      </c>
      <c r="G5447" t="n">
        <v>289</v>
      </c>
      <c r="H5447" t="n">
        <v>6.72e-58</v>
      </c>
      <c r="I5447" t="inlineStr">
        <is>
          <t>Nr</t>
        </is>
      </c>
      <c r="J5447" t="inlineStr"/>
      <c r="K5447" t="inlineStr"/>
      <c r="L5447" t="inlineStr">
        <is>
          <t>KAB0337795.1 hypothetical protein FD754_024985, partial [Muntiacus muntjak]</t>
        </is>
      </c>
      <c r="M5447" t="n">
        <v>615</v>
      </c>
      <c r="N5447" t="inlineStr">
        <is>
          <t>Muntiacus muntjak</t>
        </is>
      </c>
      <c r="O5447" t="inlineStr">
        <is>
          <t>hypothetical protein FD754_024985, partial</t>
        </is>
      </c>
    </row>
    <row r="5448">
      <c r="A5448" t="inlineStr"/>
      <c r="B5448" t="inlineStr"/>
      <c r="C5448" t="inlineStr"/>
      <c r="D5448" t="inlineStr"/>
      <c r="E5448">
        <f>HYPERLINK("https://www.ncbi.nlm.nih.gov/gene/?term=AAD02928.1", "AAD02928.1")</f>
        <v/>
      </c>
      <c r="F5448" t="n">
        <v>31.9</v>
      </c>
      <c r="G5448" t="n">
        <v>442</v>
      </c>
      <c r="H5448" t="n">
        <v>8.900000000000001e-58</v>
      </c>
      <c r="I5448" t="inlineStr">
        <is>
          <t>Nr</t>
        </is>
      </c>
      <c r="J5448" t="inlineStr"/>
      <c r="K5448" t="inlineStr"/>
      <c r="L5448" t="inlineStr">
        <is>
          <t>AAD02928.1 reverse transcriptase [Oryzias latipes]</t>
        </is>
      </c>
      <c r="M5448" t="n">
        <v>1258</v>
      </c>
      <c r="N5448" t="inlineStr">
        <is>
          <t>Oryzias latipes</t>
        </is>
      </c>
      <c r="O5448" t="inlineStr">
        <is>
          <t>reverse transcriptase</t>
        </is>
      </c>
    </row>
    <row r="5449">
      <c r="A5449" t="inlineStr"/>
      <c r="B5449" t="inlineStr"/>
      <c r="C5449" t="inlineStr"/>
      <c r="D5449" t="inlineStr"/>
      <c r="E5449">
        <f>HYPERLINK("https://www.ncbi.nlm.nih.gov/gene/?term=KAI5938623.1", "KAI5938623.1")</f>
        <v/>
      </c>
      <c r="F5449" t="n">
        <v>32.6</v>
      </c>
      <c r="G5449" t="n">
        <v>442</v>
      </c>
      <c r="H5449" t="n">
        <v>1.56e-57</v>
      </c>
      <c r="I5449" t="inlineStr">
        <is>
          <t>Nr</t>
        </is>
      </c>
      <c r="J5449" t="inlineStr"/>
      <c r="K5449" t="inlineStr"/>
      <c r="L5449" t="inlineStr">
        <is>
          <t>KAI5938623.1 LINE-1 retrotransposable element ORF2 protein [Manis javanica]</t>
        </is>
      </c>
      <c r="M5449" t="n">
        <v>804</v>
      </c>
      <c r="N5449" t="inlineStr">
        <is>
          <t>Manis javanica</t>
        </is>
      </c>
      <c r="O5449" t="inlineStr">
        <is>
          <t>LINE-1 retrotransposable element ORF2 protein</t>
        </is>
      </c>
    </row>
    <row r="5450">
      <c r="A5450" t="inlineStr"/>
      <c r="B5450" t="inlineStr"/>
      <c r="C5450" t="inlineStr"/>
      <c r="D5450" t="inlineStr"/>
      <c r="E5450">
        <f>HYPERLINK("https://www.ncbi.nlm.nih.gov/gene/?term=AIE45854.1", "AIE45854.1")</f>
        <v/>
      </c>
      <c r="F5450" t="n">
        <v>32.4</v>
      </c>
      <c r="G5450" t="n">
        <v>448</v>
      </c>
      <c r="H5450" t="n">
        <v>1.67e-57</v>
      </c>
      <c r="I5450" t="inlineStr">
        <is>
          <t>Nr</t>
        </is>
      </c>
      <c r="J5450" t="inlineStr"/>
      <c r="K5450" t="inlineStr"/>
      <c r="L5450" t="inlineStr">
        <is>
          <t>AIE45854.1 ORF2 [synthetic construct]</t>
        </is>
      </c>
      <c r="M5450" t="n">
        <v>1276</v>
      </c>
      <c r="N5450" t="inlineStr">
        <is>
          <t>synthetic construct</t>
        </is>
      </c>
      <c r="O5450" t="inlineStr">
        <is>
          <t>ORF2</t>
        </is>
      </c>
    </row>
    <row r="5451">
      <c r="A5451" t="inlineStr"/>
      <c r="B5451" t="inlineStr"/>
      <c r="C5451" t="inlineStr"/>
      <c r="D5451" t="inlineStr"/>
      <c r="E5451">
        <f>HYPERLINK("https://www.ncbi.nlm.nih.gov/gene/?term=CAI5637690.1", "CAI5637690.1")</f>
        <v/>
      </c>
      <c r="F5451" t="n">
        <v>33.2</v>
      </c>
      <c r="G5451" t="n">
        <v>449</v>
      </c>
      <c r="H5451" t="n">
        <v>2.25e-57</v>
      </c>
      <c r="I5451" t="inlineStr">
        <is>
          <t>Nr</t>
        </is>
      </c>
      <c r="J5451" t="inlineStr"/>
      <c r="K5451" t="inlineStr"/>
      <c r="L5451" t="inlineStr">
        <is>
          <t>CAI5637690.1 unnamed protein product [Mustela putorius furo]</t>
        </is>
      </c>
      <c r="M5451" t="n">
        <v>1270</v>
      </c>
      <c r="N5451" t="inlineStr">
        <is>
          <t>Mustela putorius furo</t>
        </is>
      </c>
      <c r="O5451" t="inlineStr">
        <is>
          <t>unnamed protein product</t>
        </is>
      </c>
    </row>
    <row r="5452">
      <c r="A5452" t="inlineStr"/>
      <c r="B5452" t="inlineStr"/>
      <c r="C5452" t="inlineStr"/>
      <c r="D5452" t="inlineStr"/>
      <c r="E5452">
        <f>HYPERLINK("https://www.ncbi.nlm.nih.gov/gene/?term=KAI5944913.1", "KAI5944913.1")</f>
        <v/>
      </c>
      <c r="F5452" t="n">
        <v>33.4</v>
      </c>
      <c r="G5452" t="n">
        <v>440</v>
      </c>
      <c r="H5452" t="n">
        <v>2.72e-57</v>
      </c>
      <c r="I5452" t="inlineStr">
        <is>
          <t>Nr</t>
        </is>
      </c>
      <c r="J5452" t="inlineStr"/>
      <c r="K5452" t="inlineStr"/>
      <c r="L5452" t="inlineStr">
        <is>
          <t>KAI5944913.1 LINE-1 retrotransposable element ORF2 protein [Manis javanica]</t>
        </is>
      </c>
      <c r="M5452" t="n">
        <v>562</v>
      </c>
      <c r="N5452" t="inlineStr">
        <is>
          <t>Manis javanica</t>
        </is>
      </c>
      <c r="O5452" t="inlineStr">
        <is>
          <t>LINE-1 retrotransposable element ORF2 protein</t>
        </is>
      </c>
    </row>
    <row r="5453">
      <c r="A5453" t="inlineStr"/>
      <c r="B5453" t="inlineStr"/>
      <c r="C5453" t="inlineStr"/>
      <c r="D5453" t="inlineStr"/>
      <c r="E5453">
        <f>HYPERLINK("https://www.ncbi.nlm.nih.gov/gene/?term=OCT93828.1", "OCT93828.1")</f>
        <v/>
      </c>
      <c r="F5453" t="n">
        <v>32.3</v>
      </c>
      <c r="G5453" t="n">
        <v>449</v>
      </c>
      <c r="H5453" t="n">
        <v>9.47e-57</v>
      </c>
      <c r="I5453" t="inlineStr">
        <is>
          <t>Nr</t>
        </is>
      </c>
      <c r="J5453" t="inlineStr"/>
      <c r="K5453" t="inlineStr"/>
      <c r="L5453" t="inlineStr">
        <is>
          <t>OCT93828.1 hypothetical protein XELAEV_18011499mg [Xenopus laevis]</t>
        </is>
      </c>
      <c r="M5453" t="n">
        <v>2634</v>
      </c>
      <c r="N5453" t="inlineStr">
        <is>
          <t>Xenopus laevis</t>
        </is>
      </c>
      <c r="O5453" t="inlineStr">
        <is>
          <t>hypothetical protein XELAEV_18011499mg</t>
        </is>
      </c>
    </row>
    <row r="5454">
      <c r="A5454" t="inlineStr"/>
      <c r="B5454" t="inlineStr"/>
      <c r="C5454" t="inlineStr"/>
      <c r="D5454" t="inlineStr"/>
      <c r="E5454">
        <f>HYPERLINK("https://www.ncbi.nlm.nih.gov/gene/?term=KAJ0059923.1", "KAJ0059923.1")</f>
        <v/>
      </c>
      <c r="F5454" t="n">
        <v>32.7</v>
      </c>
      <c r="G5454" t="n">
        <v>443</v>
      </c>
      <c r="H5454" t="n">
        <v>1.4e-56</v>
      </c>
      <c r="I5454" t="inlineStr">
        <is>
          <t>Nr</t>
        </is>
      </c>
      <c r="J5454" t="inlineStr"/>
      <c r="K5454" t="inlineStr"/>
      <c r="L5454" t="inlineStr">
        <is>
          <t>KAJ0059923.1 hypothetical protein NL108_015598 [Boleophthalmus pectinirostris]</t>
        </is>
      </c>
      <c r="M5454" t="n">
        <v>1258</v>
      </c>
      <c r="N5454" t="inlineStr">
        <is>
          <t>Boleophthalmus pectinirostris</t>
        </is>
      </c>
      <c r="O5454" t="inlineStr">
        <is>
          <t>hypothetical protein NL108_015598</t>
        </is>
      </c>
    </row>
    <row r="5455">
      <c r="A5455" t="inlineStr"/>
      <c r="B5455" t="inlineStr"/>
      <c r="C5455" t="inlineStr"/>
      <c r="D5455" t="inlineStr"/>
      <c r="E5455">
        <f>HYPERLINK("https://www.uniprot.org/uniprotkb/O00370/entry", "O00370")</f>
        <v/>
      </c>
      <c r="F5455" t="n">
        <v>31.2</v>
      </c>
      <c r="G5455" t="n">
        <v>439</v>
      </c>
      <c r="H5455" t="n">
        <v>2.11e-56</v>
      </c>
      <c r="I5455" t="inlineStr">
        <is>
          <t>Swiss-Prot</t>
        </is>
      </c>
      <c r="J5455" t="inlineStr"/>
      <c r="K5455" t="inlineStr">
        <is>
          <t>LORF2_HUMAN</t>
        </is>
      </c>
      <c r="L5455" t="inlineStr">
        <is>
          <t>sp|O00370|LORF2_HUMAN LINE-1 retrotransposable element ORF2 protein OS=Homo sapiens OX=9606 PE=1 SV=1</t>
        </is>
      </c>
      <c r="M5455" t="n">
        <v>1275</v>
      </c>
      <c r="N5455" t="inlineStr">
        <is>
          <t>Homo sapiens</t>
        </is>
      </c>
      <c r="O5455" t="inlineStr">
        <is>
          <t>LINE-1 retrotransposable element ORF2 protein</t>
        </is>
      </c>
    </row>
    <row r="5456">
      <c r="A5456" t="inlineStr"/>
      <c r="B5456" t="inlineStr"/>
      <c r="C5456" t="inlineStr"/>
      <c r="D5456" t="inlineStr"/>
      <c r="E5456">
        <f>HYPERLINK("https://www.ncbi.nlm.nih.gov/gene/?term=AAD02930.1", "AAD02930.1")</f>
        <v/>
      </c>
      <c r="F5456" t="n">
        <v>31.2</v>
      </c>
      <c r="G5456" t="n">
        <v>442</v>
      </c>
      <c r="H5456" t="n">
        <v>3.49e-56</v>
      </c>
      <c r="I5456" t="inlineStr">
        <is>
          <t>Nr</t>
        </is>
      </c>
      <c r="J5456" t="inlineStr"/>
      <c r="K5456" t="inlineStr"/>
      <c r="L5456" t="inlineStr">
        <is>
          <t>AAD02930.1 reverse transcriptase [Oryzias latipes]</t>
        </is>
      </c>
      <c r="M5456" t="n">
        <v>1258</v>
      </c>
      <c r="N5456" t="inlineStr">
        <is>
          <t>Oryzias latipes</t>
        </is>
      </c>
      <c r="O5456" t="inlineStr">
        <is>
          <t>reverse transcriptase</t>
        </is>
      </c>
    </row>
    <row r="5457">
      <c r="A5457" t="inlineStr"/>
      <c r="B5457" t="inlineStr"/>
      <c r="C5457" t="inlineStr"/>
      <c r="D5457" t="inlineStr"/>
      <c r="E5457">
        <f>HYPERLINK("https://www.ncbi.nlm.nih.gov/gene/?term=XP_052327179.1", "XP_052327179.1")</f>
        <v/>
      </c>
      <c r="F5457" t="n">
        <v>30.9</v>
      </c>
      <c r="G5457" t="n">
        <v>446</v>
      </c>
      <c r="H5457" t="n">
        <v>4.06e-56</v>
      </c>
      <c r="I5457" t="inlineStr">
        <is>
          <t>Nr</t>
        </is>
      </c>
      <c r="J5457" t="inlineStr"/>
      <c r="K5457" t="inlineStr"/>
      <c r="L5457" t="inlineStr">
        <is>
          <t>XP_052327179.1 protein arginine methyltransferase NDUFAF7, mitochondrial isoform X1 [Oncorhynchus keta]</t>
        </is>
      </c>
      <c r="M5457" t="n">
        <v>751</v>
      </c>
      <c r="N5457" t="inlineStr">
        <is>
          <t>Oncorhynchus keta</t>
        </is>
      </c>
      <c r="O5457" t="inlineStr">
        <is>
          <t>protein arginine methyltransferase NDUFAF7, mitochondrial isoform X1</t>
        </is>
      </c>
    </row>
    <row r="5458">
      <c r="A5458" t="inlineStr"/>
      <c r="B5458" t="inlineStr"/>
      <c r="C5458" t="inlineStr"/>
      <c r="D5458" t="inlineStr"/>
      <c r="E5458">
        <f>HYPERLINK("https://www.ncbi.nlm.nih.gov/gene/?term=WP_256262922.1", "WP_256262922.1")</f>
        <v/>
      </c>
      <c r="F5458" t="n">
        <v>31</v>
      </c>
      <c r="G5458" t="n">
        <v>439</v>
      </c>
      <c r="H5458" t="n">
        <v>6.100000000000001e-56</v>
      </c>
      <c r="I5458" t="inlineStr">
        <is>
          <t>Nr</t>
        </is>
      </c>
      <c r="J5458" t="inlineStr"/>
      <c r="K5458" t="inlineStr"/>
      <c r="L5458" t="inlineStr">
        <is>
          <t>WP_256262922.1 reverse transcriptase domain-containing protein, partial [Streptococcus sp. HMSC072D03]</t>
        </is>
      </c>
      <c r="M5458" t="n">
        <v>568</v>
      </c>
      <c r="N5458" t="inlineStr">
        <is>
          <t>Streptococcus sp. HMSC072D03</t>
        </is>
      </c>
      <c r="O5458" t="inlineStr">
        <is>
          <t>reverse transcriptase domain-containing protein, partial</t>
        </is>
      </c>
    </row>
    <row r="5459">
      <c r="A5459" t="inlineStr"/>
      <c r="B5459" t="inlineStr"/>
      <c r="C5459" t="inlineStr"/>
      <c r="D5459" t="inlineStr"/>
      <c r="E5459">
        <f>HYPERLINK("https://www.ncbi.nlm.nih.gov/gene/?term=WP_215727951.1", "WP_215727951.1")</f>
        <v/>
      </c>
      <c r="F5459" t="n">
        <v>31.2</v>
      </c>
      <c r="G5459" t="n">
        <v>443</v>
      </c>
      <c r="H5459" t="n">
        <v>7.4e-56</v>
      </c>
      <c r="I5459" t="inlineStr">
        <is>
          <t>Nr</t>
        </is>
      </c>
      <c r="J5459" t="inlineStr"/>
      <c r="K5459" t="inlineStr"/>
      <c r="L5459" t="inlineStr">
        <is>
          <t>WP_215727951.1 reverse transcriptase domain-containing protein [Mycobacterium tuberculosis]</t>
        </is>
      </c>
      <c r="M5459" t="n">
        <v>774</v>
      </c>
      <c r="N5459" t="inlineStr">
        <is>
          <t>Mycobacterium tuberculosis</t>
        </is>
      </c>
      <c r="O5459" t="inlineStr">
        <is>
          <t>reverse transcriptase domain-containing protein</t>
        </is>
      </c>
    </row>
    <row r="5460">
      <c r="A5460" t="inlineStr"/>
      <c r="B5460" t="inlineStr"/>
      <c r="C5460" t="inlineStr"/>
      <c r="D5460" t="inlineStr"/>
      <c r="E5460">
        <f>HYPERLINK("https://www.uniprot.org/uniprotkb/P08548/entry", "P08548")</f>
        <v/>
      </c>
      <c r="F5460" t="n">
        <v>31.6</v>
      </c>
      <c r="G5460" t="n">
        <v>446</v>
      </c>
      <c r="H5460" t="n">
        <v>9.610000000000001e-56</v>
      </c>
      <c r="I5460" t="inlineStr">
        <is>
          <t>Swiss-Prot</t>
        </is>
      </c>
      <c r="J5460" t="inlineStr"/>
      <c r="K5460" t="inlineStr">
        <is>
          <t>LIN1_NYCCO</t>
        </is>
      </c>
      <c r="L5460" t="inlineStr">
        <is>
          <t>sp|P08548|LIN1_NYCCO LINE-1 reverse transcriptase homolog OS=Nycticebus coucang OX=9470 PE=4 SV=1</t>
        </is>
      </c>
      <c r="M5460" t="n">
        <v>1260</v>
      </c>
      <c r="N5460" t="inlineStr">
        <is>
          <t>Nycticebus coucang</t>
        </is>
      </c>
      <c r="O5460" t="inlineStr">
        <is>
          <t>LINE-1 reverse transcriptase homolog</t>
        </is>
      </c>
    </row>
    <row r="5461">
      <c r="A5461" t="inlineStr"/>
      <c r="B5461" t="inlineStr"/>
      <c r="C5461" t="inlineStr"/>
      <c r="D5461" t="inlineStr"/>
      <c r="E5461">
        <f>HYPERLINK("https://www.uniprot.org/uniprotkb/P11369/entry", "P11369")</f>
        <v/>
      </c>
      <c r="F5461" t="n">
        <v>34.9</v>
      </c>
      <c r="G5461" t="n">
        <v>284</v>
      </c>
      <c r="H5461" t="n">
        <v>7.81e-55</v>
      </c>
      <c r="I5461" t="inlineStr">
        <is>
          <t>Swiss-Prot</t>
        </is>
      </c>
      <c r="J5461" t="inlineStr">
        <is>
          <t>Pol</t>
        </is>
      </c>
      <c r="K5461" t="inlineStr">
        <is>
          <t>LORF2_MOUSE</t>
        </is>
      </c>
      <c r="L5461" t="inlineStr">
        <is>
          <t>sp|P11369|LORF2_MOUSE LINE-1 retrotransposable element ORF2 protein OS=Mus musculus OX=10090 GN=Pol PE=1 SV=2</t>
        </is>
      </c>
      <c r="M5461" t="n">
        <v>1281</v>
      </c>
      <c r="N5461" t="inlineStr">
        <is>
          <t>Mus musculus</t>
        </is>
      </c>
      <c r="O5461" t="inlineStr">
        <is>
          <t>LINE-1 retrotransposable element ORF2 protein</t>
        </is>
      </c>
    </row>
    <row r="5462">
      <c r="A5462" t="inlineStr"/>
      <c r="B5462" t="inlineStr"/>
      <c r="C5462" t="inlineStr"/>
      <c r="D5462" t="inlineStr"/>
      <c r="E5462">
        <f>HYPERLINK("https://www.uniprot.org/uniprotkb/O00370/entry", "O00370")</f>
        <v/>
      </c>
      <c r="F5462" t="n">
        <v>36.7</v>
      </c>
      <c r="G5462" t="n">
        <v>270</v>
      </c>
      <c r="H5462" t="n">
        <v>1.06e-54</v>
      </c>
      <c r="I5462" t="inlineStr">
        <is>
          <t>Swiss-Prot</t>
        </is>
      </c>
      <c r="J5462" t="inlineStr"/>
      <c r="K5462" t="inlineStr">
        <is>
          <t>LORF2_HUMAN</t>
        </is>
      </c>
      <c r="L5462" t="inlineStr">
        <is>
          <t>sp|O00370|LORF2_HUMAN LINE-1 retrotransposable element ORF2 protein OS=Homo sapiens OX=9606 PE=1 SV=1</t>
        </is>
      </c>
      <c r="M5462" t="n">
        <v>1275</v>
      </c>
      <c r="N5462" t="inlineStr">
        <is>
          <t>Homo sapiens</t>
        </is>
      </c>
      <c r="O5462" t="inlineStr">
        <is>
          <t>LINE-1 retrotransposable element ORF2 protein</t>
        </is>
      </c>
    </row>
    <row r="5463">
      <c r="A5463" t="inlineStr"/>
      <c r="B5463" t="inlineStr"/>
      <c r="C5463" t="inlineStr"/>
      <c r="D5463" t="inlineStr"/>
      <c r="E5463">
        <f>HYPERLINK("https://www.uniprot.org/uniprotkb/P11369/entry", "P11369")</f>
        <v/>
      </c>
      <c r="F5463" t="n">
        <v>28.9</v>
      </c>
      <c r="G5463" t="n">
        <v>439</v>
      </c>
      <c r="H5463" t="n">
        <v>3.36e-50</v>
      </c>
      <c r="I5463" t="inlineStr">
        <is>
          <t>Swiss-Prot</t>
        </is>
      </c>
      <c r="J5463" t="inlineStr">
        <is>
          <t>Pol</t>
        </is>
      </c>
      <c r="K5463" t="inlineStr">
        <is>
          <t>LORF2_MOUSE</t>
        </is>
      </c>
      <c r="L5463" t="inlineStr">
        <is>
          <t>sp|P11369|LORF2_MOUSE LINE-1 retrotransposable element ORF2 protein OS=Mus musculus OX=10090 GN=Pol PE=1 SV=2</t>
        </is>
      </c>
      <c r="M5463" t="n">
        <v>1281</v>
      </c>
      <c r="N5463" t="inlineStr">
        <is>
          <t>Mus musculus</t>
        </is>
      </c>
      <c r="O5463" t="inlineStr">
        <is>
          <t>LINE-1 retrotransposable element ORF2 protein</t>
        </is>
      </c>
    </row>
    <row r="5464">
      <c r="A5464" t="inlineStr"/>
      <c r="B5464" t="inlineStr"/>
      <c r="C5464" t="inlineStr"/>
      <c r="D5464" t="inlineStr"/>
      <c r="E5464">
        <f>HYPERLINK("https://www.uniprot.org/uniprotkb/P14381/entry", "P14381")</f>
        <v/>
      </c>
      <c r="F5464" t="n">
        <v>25.5</v>
      </c>
      <c r="G5464" t="n">
        <v>443</v>
      </c>
      <c r="H5464" t="n">
        <v>4.27e-22</v>
      </c>
      <c r="I5464" t="inlineStr">
        <is>
          <t>Swiss-Prot</t>
        </is>
      </c>
      <c r="J5464" t="inlineStr"/>
      <c r="K5464" t="inlineStr">
        <is>
          <t>YTX2_XENLA</t>
        </is>
      </c>
      <c r="L5464" t="inlineStr">
        <is>
          <t>sp|P14381|YTX2_XENLA Transposon TX1 uncharacterized 149 kDa protein OS=Xenopus laevis OX=8355 PE=4 SV=1</t>
        </is>
      </c>
      <c r="M5464" t="n">
        <v>1308</v>
      </c>
      <c r="N5464" t="inlineStr">
        <is>
          <t>Xenopus laevis</t>
        </is>
      </c>
      <c r="O5464" t="inlineStr">
        <is>
          <t>Transposon TX1 uncharacterized 149 kDa protein</t>
        </is>
      </c>
    </row>
    <row r="5465">
      <c r="A5465" t="inlineStr"/>
      <c r="B5465" t="inlineStr"/>
      <c r="C5465" t="inlineStr"/>
      <c r="D5465" t="inlineStr"/>
      <c r="E5465">
        <f>HYPERLINK("https://www.uniprot.org/uniprotkb/P14381/entry", "P14381")</f>
        <v/>
      </c>
      <c r="F5465" t="n">
        <v>26.9</v>
      </c>
      <c r="G5465" t="n">
        <v>286</v>
      </c>
      <c r="H5465" t="n">
        <v>1.16e-18</v>
      </c>
      <c r="I5465" t="inlineStr">
        <is>
          <t>Swiss-Prot</t>
        </is>
      </c>
      <c r="J5465" t="inlineStr"/>
      <c r="K5465" t="inlineStr">
        <is>
          <t>YTX2_XENLA</t>
        </is>
      </c>
      <c r="L5465" t="inlineStr">
        <is>
          <t>sp|P14381|YTX2_XENLA Transposon TX1 uncharacterized 149 kDa protein OS=Xenopus laevis OX=8355 PE=4 SV=1</t>
        </is>
      </c>
      <c r="M5465" t="n">
        <v>1308</v>
      </c>
      <c r="N5465" t="inlineStr">
        <is>
          <t>Xenopus laevis</t>
        </is>
      </c>
      <c r="O5465" t="inlineStr">
        <is>
          <t>Transposon TX1 uncharacterized 149 kDa protein</t>
        </is>
      </c>
    </row>
    <row r="5466">
      <c r="A5466" t="inlineStr"/>
      <c r="B5466" t="inlineStr"/>
      <c r="C5466" t="inlineStr"/>
      <c r="D5466" t="inlineStr"/>
      <c r="E5466">
        <f>HYPERLINK("https://www.ncbi.nlm.nih.gov/gene/?term=KAG8584414.1", "KAG8584414.1")</f>
        <v/>
      </c>
      <c r="F5466" t="n">
        <v>36</v>
      </c>
      <c r="G5466" t="n">
        <v>139</v>
      </c>
      <c r="H5466" t="n">
        <v>8.71e-15</v>
      </c>
      <c r="I5466" t="inlineStr">
        <is>
          <t>Nr</t>
        </is>
      </c>
      <c r="J5466" t="inlineStr"/>
      <c r="K5466" t="inlineStr"/>
      <c r="L5466" t="inlineStr">
        <is>
          <t>KAG8584414.1 hypothetical protein GDO81_008823 [Engystomops pustulosus]</t>
        </is>
      </c>
      <c r="M5466" t="n">
        <v>478</v>
      </c>
      <c r="N5466" t="inlineStr">
        <is>
          <t>Engystomops pustulosus</t>
        </is>
      </c>
      <c r="O5466" t="inlineStr">
        <is>
          <t>hypothetical protein GDO81_008823</t>
        </is>
      </c>
    </row>
    <row r="5467">
      <c r="A5467" t="inlineStr"/>
      <c r="B5467" t="inlineStr"/>
      <c r="C5467" t="inlineStr"/>
      <c r="D5467" t="inlineStr"/>
      <c r="E5467">
        <f>HYPERLINK("https://www.uniprot.org/uniprotkb/A0A8C5W7Z5/entry", "A0A8C5W7Z5")</f>
        <v/>
      </c>
      <c r="F5467" t="n">
        <v>37.8</v>
      </c>
      <c r="G5467" t="n">
        <v>135</v>
      </c>
      <c r="H5467" t="n">
        <v>2.74e-14</v>
      </c>
      <c r="I5467" t="inlineStr">
        <is>
          <t>TrEMBL</t>
        </is>
      </c>
      <c r="J5467" t="inlineStr"/>
      <c r="K5467" t="inlineStr">
        <is>
          <t>A0A8C5W7Z5_9ANUR</t>
        </is>
      </c>
      <c r="L5467" t="inlineStr">
        <is>
          <t>tr|A0A8C5W7Z5|A0A8C5W7Z5_9ANUR Transposase_22 domain-containing protein OS=Leptobrachium leishanense OX=445787 PE=4 SV=1</t>
        </is>
      </c>
      <c r="M5467" t="n">
        <v>271</v>
      </c>
      <c r="N5467" t="inlineStr">
        <is>
          <t>Leptobrachium leishanense</t>
        </is>
      </c>
      <c r="O5467" t="inlineStr">
        <is>
          <t>Transposase_22 domain-containing protein</t>
        </is>
      </c>
    </row>
    <row r="5468">
      <c r="A5468" t="inlineStr"/>
      <c r="B5468" t="inlineStr"/>
      <c r="C5468" t="inlineStr"/>
      <c r="D5468" t="inlineStr"/>
      <c r="E5468">
        <f>HYPERLINK("https://www.ncbi.nlm.nih.gov/gene/?term=CAH2329919.1", "CAH2329919.1")</f>
        <v/>
      </c>
      <c r="F5468" t="n">
        <v>39.6</v>
      </c>
      <c r="G5468" t="n">
        <v>139</v>
      </c>
      <c r="H5468" t="n">
        <v>9.94e-14</v>
      </c>
      <c r="I5468" t="inlineStr">
        <is>
          <t>Nr</t>
        </is>
      </c>
      <c r="J5468" t="inlineStr"/>
      <c r="K5468" t="inlineStr"/>
      <c r="L5468" t="inlineStr">
        <is>
          <t>CAH2329919.1 Hypothetical predicted protein [Pelobates cultripes]</t>
        </is>
      </c>
      <c r="M5468" t="n">
        <v>332</v>
      </c>
      <c r="N5468" t="inlineStr">
        <is>
          <t>Pelobates cultripes</t>
        </is>
      </c>
      <c r="O5468" t="inlineStr">
        <is>
          <t>Hypothetical predicted protein</t>
        </is>
      </c>
    </row>
    <row r="5469">
      <c r="A5469" t="inlineStr"/>
      <c r="B5469" t="inlineStr"/>
      <c r="C5469" t="inlineStr"/>
      <c r="D5469" t="inlineStr"/>
      <c r="E5469">
        <f>HYPERLINK("https://www.uniprot.org/uniprotkb/A0A803JMB6/entry", "A0A803JMB6")</f>
        <v/>
      </c>
      <c r="F5469" t="n">
        <v>45.6</v>
      </c>
      <c r="G5469" t="n">
        <v>79</v>
      </c>
      <c r="H5469" t="n">
        <v>1.73e-13</v>
      </c>
      <c r="I5469" t="inlineStr">
        <is>
          <t>TrEMBL</t>
        </is>
      </c>
      <c r="J5469" t="inlineStr"/>
      <c r="K5469" t="inlineStr">
        <is>
          <t>A0A803JMB6_XENTR</t>
        </is>
      </c>
      <c r="L5469" t="inlineStr">
        <is>
          <t>tr|A0A803JMB6|A0A803JMB6_XENTR LINE-1 type transposase domain-containing protein 1 OS=Xenopus tropicalis OX=8364 PE=4 SV=1</t>
        </is>
      </c>
      <c r="M5469" t="n">
        <v>363</v>
      </c>
      <c r="N5469" t="inlineStr">
        <is>
          <t>Xenopus tropicalis</t>
        </is>
      </c>
      <c r="O5469" t="inlineStr">
        <is>
          <t>LINE-1 type transposase domain-containing protein 1</t>
        </is>
      </c>
    </row>
    <row r="5470">
      <c r="A5470" t="inlineStr"/>
      <c r="B5470" t="inlineStr"/>
      <c r="C5470" t="inlineStr"/>
      <c r="D5470" t="inlineStr"/>
      <c r="E5470">
        <f>HYPERLINK("https://www.uniprot.org/uniprotkb/A0A8T2KBV4/entry", "A0A8T2KBV4")</f>
        <v/>
      </c>
      <c r="F5470" t="n">
        <v>34</v>
      </c>
      <c r="G5470" t="n">
        <v>147</v>
      </c>
      <c r="H5470" t="n">
        <v>2.31e-13</v>
      </c>
      <c r="I5470" t="inlineStr">
        <is>
          <t>TrEMBL</t>
        </is>
      </c>
      <c r="J5470" t="inlineStr">
        <is>
          <t>GDO86_003963</t>
        </is>
      </c>
      <c r="K5470" t="inlineStr">
        <is>
          <t>A0A8T2KBV4_9PIPI</t>
        </is>
      </c>
      <c r="L5470" t="inlineStr">
        <is>
          <t>tr|A0A8T2KBV4|A0A8T2KBV4_9PIPI Transposase element L1Md-A101/L1Md-A102/L1Md-A2 OS=Hymenochirus boettgeri OX=247094 GN=GDO86_003963 PE=4 SV=1</t>
        </is>
      </c>
      <c r="M5470" t="n">
        <v>431</v>
      </c>
      <c r="N5470" t="inlineStr">
        <is>
          <t>Hymenochirus boettgeri</t>
        </is>
      </c>
      <c r="O5470" t="inlineStr">
        <is>
          <t>Transposase element L1Md-A101/L1Md-A102/L1Md-A2</t>
        </is>
      </c>
    </row>
    <row r="5471">
      <c r="A5471" t="inlineStr"/>
      <c r="B5471" t="inlineStr"/>
      <c r="C5471" t="inlineStr"/>
      <c r="D5471" t="inlineStr"/>
      <c r="E5471">
        <f>HYPERLINK("https://www.ncbi.nlm.nih.gov/gene/?term=KAG8451976.1", "KAG8451976.1")</f>
        <v/>
      </c>
      <c r="F5471" t="n">
        <v>34</v>
      </c>
      <c r="G5471" t="n">
        <v>147</v>
      </c>
      <c r="H5471" t="n">
        <v>5.93e-13</v>
      </c>
      <c r="I5471" t="inlineStr">
        <is>
          <t>Nr</t>
        </is>
      </c>
      <c r="J5471" t="inlineStr"/>
      <c r="K5471" t="inlineStr"/>
      <c r="L5471" t="inlineStr">
        <is>
          <t>KAG8451976.1 hypothetical protein GDO86_003963 [Hymenochirus boettgeri]</t>
        </is>
      </c>
      <c r="M5471" t="n">
        <v>431</v>
      </c>
      <c r="N5471" t="inlineStr">
        <is>
          <t>Hymenochirus boettgeri</t>
        </is>
      </c>
      <c r="O5471" t="inlineStr">
        <is>
          <t>hypothetical protein GDO86_003963</t>
        </is>
      </c>
    </row>
    <row r="5472">
      <c r="A5472" t="inlineStr"/>
      <c r="B5472" t="inlineStr"/>
      <c r="C5472" t="inlineStr"/>
      <c r="D5472" t="inlineStr"/>
      <c r="E5472">
        <f>HYPERLINK("https://www.uniprot.org/uniprotkb/A0A8C5LK86/entry", "A0A8C5LK86")</f>
        <v/>
      </c>
      <c r="F5472" t="n">
        <v>44.3</v>
      </c>
      <c r="G5472" t="n">
        <v>79</v>
      </c>
      <c r="H5472" t="n">
        <v>7.95e-13</v>
      </c>
      <c r="I5472" t="inlineStr">
        <is>
          <t>TrEMBL</t>
        </is>
      </c>
      <c r="J5472" t="inlineStr"/>
      <c r="K5472" t="inlineStr">
        <is>
          <t>A0A8C5LK86_9ANUR</t>
        </is>
      </c>
      <c r="L5472" t="inlineStr">
        <is>
          <t>tr|A0A8C5LK86|A0A8C5LK86_9ANUR LINE-1 retrotransposable element ORF2 protein OS=Leptobrachium leishanense OX=445787 PE=4 SV=1</t>
        </is>
      </c>
      <c r="M5472" t="n">
        <v>349</v>
      </c>
      <c r="N5472" t="inlineStr">
        <is>
          <t>Leptobrachium leishanense</t>
        </is>
      </c>
      <c r="O5472" t="inlineStr">
        <is>
          <t>LINE-1 retrotransposable element ORF2 protein</t>
        </is>
      </c>
    </row>
    <row r="5473">
      <c r="A5473" t="inlineStr"/>
      <c r="B5473" t="inlineStr"/>
      <c r="C5473" t="inlineStr"/>
      <c r="D5473" t="inlineStr"/>
      <c r="E5473">
        <f>HYPERLINK("https://www.ncbi.nlm.nih.gov/gene/?term=XP_018408440.1", "XP_018408440.1")</f>
        <v/>
      </c>
      <c r="F5473" t="n">
        <v>37</v>
      </c>
      <c r="G5473" t="n">
        <v>135</v>
      </c>
      <c r="H5473" t="n">
        <v>1.13e-12</v>
      </c>
      <c r="I5473" t="inlineStr">
        <is>
          <t>Nr</t>
        </is>
      </c>
      <c r="J5473" t="inlineStr"/>
      <c r="K5473" t="inlineStr"/>
      <c r="L5473" t="inlineStr">
        <is>
          <t>XP_018408440.1 PREDICTED: contactin-5, partial [Nanorana parkeri]</t>
        </is>
      </c>
      <c r="M5473" t="n">
        <v>1260</v>
      </c>
      <c r="N5473" t="inlineStr">
        <is>
          <t>Nanorana parkeri</t>
        </is>
      </c>
      <c r="O5473" t="inlineStr">
        <is>
          <t>PREDICTED: contactin-5, partial</t>
        </is>
      </c>
    </row>
    <row r="5474">
      <c r="A5474" t="inlineStr"/>
      <c r="B5474" t="inlineStr"/>
      <c r="C5474" t="inlineStr"/>
      <c r="D5474" t="inlineStr"/>
      <c r="E5474">
        <f>HYPERLINK("https://www.uniprot.org/uniprotkb/A0A8C5PEA5/entry", "A0A8C5PEA5")</f>
        <v/>
      </c>
      <c r="F5474" t="n">
        <v>46.8</v>
      </c>
      <c r="G5474" t="n">
        <v>79</v>
      </c>
      <c r="H5474" t="n">
        <v>1.47e-12</v>
      </c>
      <c r="I5474" t="inlineStr">
        <is>
          <t>TrEMBL</t>
        </is>
      </c>
      <c r="J5474" t="inlineStr"/>
      <c r="K5474" t="inlineStr">
        <is>
          <t>A0A8C5PEA5_9ANUR</t>
        </is>
      </c>
      <c r="L5474" t="inlineStr">
        <is>
          <t>tr|A0A8C5PEA5|A0A8C5PEA5_9ANUR LINE-1 type transposase domain-containing protein 1 OS=Leptobrachium leishanense OX=445787 PE=4 SV=1</t>
        </is>
      </c>
      <c r="M5474" t="n">
        <v>344</v>
      </c>
      <c r="N5474" t="inlineStr">
        <is>
          <t>Leptobrachium leishanense</t>
        </is>
      </c>
      <c r="O5474" t="inlineStr">
        <is>
          <t>LINE-1 type transposase domain-containing protein 1</t>
        </is>
      </c>
    </row>
    <row r="5475">
      <c r="A5475" t="inlineStr"/>
      <c r="B5475" t="inlineStr"/>
      <c r="C5475" t="inlineStr"/>
      <c r="D5475" t="inlineStr"/>
      <c r="E5475">
        <f>HYPERLINK("https://www.uniprot.org/uniprotkb/A0A8C5PLK2/entry", "A0A8C5PLK2")</f>
        <v/>
      </c>
      <c r="F5475" t="n">
        <v>46.8</v>
      </c>
      <c r="G5475" t="n">
        <v>79</v>
      </c>
      <c r="H5475" t="n">
        <v>1.47e-12</v>
      </c>
      <c r="I5475" t="inlineStr">
        <is>
          <t>TrEMBL</t>
        </is>
      </c>
      <c r="J5475" t="inlineStr"/>
      <c r="K5475" t="inlineStr">
        <is>
          <t>A0A8C5PLK2_9ANUR</t>
        </is>
      </c>
      <c r="L5475" t="inlineStr">
        <is>
          <t>tr|A0A8C5PLK2|A0A8C5PLK2_9ANUR LINE-1 retrotransposable element ORF1 protein OS=Leptobrachium leishanense OX=445787 PE=4 SV=1</t>
        </is>
      </c>
      <c r="M5475" t="n">
        <v>344</v>
      </c>
      <c r="N5475" t="inlineStr">
        <is>
          <t>Leptobrachium leishanense</t>
        </is>
      </c>
      <c r="O5475" t="inlineStr">
        <is>
          <t>LINE-1 retrotransposable element ORF1 protein</t>
        </is>
      </c>
    </row>
    <row r="5476">
      <c r="A5476" t="inlineStr"/>
      <c r="B5476" t="inlineStr"/>
      <c r="C5476" t="inlineStr"/>
      <c r="D5476" t="inlineStr"/>
      <c r="E5476">
        <f>HYPERLINK("https://www.ncbi.nlm.nih.gov/gene/?term=KAG8580053.1", "KAG8580053.1")</f>
        <v/>
      </c>
      <c r="F5476" t="n">
        <v>33.1</v>
      </c>
      <c r="G5476" t="n">
        <v>130</v>
      </c>
      <c r="H5476" t="n">
        <v>1.67e-12</v>
      </c>
      <c r="I5476" t="inlineStr">
        <is>
          <t>Nr</t>
        </is>
      </c>
      <c r="J5476" t="inlineStr"/>
      <c r="K5476" t="inlineStr"/>
      <c r="L5476" t="inlineStr">
        <is>
          <t>KAG8580053.1 hypothetical protein GDO81_007107 [Engystomops pustulosus]</t>
        </is>
      </c>
      <c r="M5476" t="n">
        <v>494</v>
      </c>
      <c r="N5476" t="inlineStr">
        <is>
          <t>Engystomops pustulosus</t>
        </is>
      </c>
      <c r="O5476" t="inlineStr">
        <is>
          <t>hypothetical protein GDO81_007107</t>
        </is>
      </c>
    </row>
    <row r="5477">
      <c r="A5477" t="inlineStr"/>
      <c r="B5477" t="inlineStr"/>
      <c r="C5477" t="inlineStr"/>
      <c r="D5477" t="inlineStr"/>
      <c r="E5477">
        <f>HYPERLINK("https://www.uniprot.org/uniprotkb/A0A8C5M0M3/entry", "A0A8C5M0M3")</f>
        <v/>
      </c>
      <c r="F5477" t="n">
        <v>46.8</v>
      </c>
      <c r="G5477" t="n">
        <v>79</v>
      </c>
      <c r="H5477" t="n">
        <v>2.78e-12</v>
      </c>
      <c r="I5477" t="inlineStr">
        <is>
          <t>TrEMBL</t>
        </is>
      </c>
      <c r="J5477" t="inlineStr"/>
      <c r="K5477" t="inlineStr">
        <is>
          <t>A0A8C5M0M3_9ANUR</t>
        </is>
      </c>
      <c r="L5477" t="inlineStr">
        <is>
          <t>tr|A0A8C5M0M3|A0A8C5M0M3_9ANUR LINE-1 type transposase domain-containing protein 1 OS=Leptobrachium leishanense OX=445787 PE=4 SV=1</t>
        </is>
      </c>
      <c r="M5477" t="n">
        <v>344</v>
      </c>
      <c r="N5477" t="inlineStr">
        <is>
          <t>Leptobrachium leishanense</t>
        </is>
      </c>
      <c r="O5477" t="inlineStr">
        <is>
          <t>LINE-1 type transposase domain-containing protein 1</t>
        </is>
      </c>
    </row>
    <row r="5478">
      <c r="A5478" t="inlineStr"/>
      <c r="B5478" t="inlineStr"/>
      <c r="C5478" t="inlineStr"/>
      <c r="D5478" t="inlineStr"/>
      <c r="E5478">
        <f>HYPERLINK("https://www.uniprot.org/uniprotkb/A0A8C5PTB3/entry", "A0A8C5PTB3")</f>
        <v/>
      </c>
      <c r="F5478" t="n">
        <v>34.7</v>
      </c>
      <c r="G5478" t="n">
        <v>121</v>
      </c>
      <c r="H5478" t="n">
        <v>2.88e-12</v>
      </c>
      <c r="I5478" t="inlineStr">
        <is>
          <t>TrEMBL</t>
        </is>
      </c>
      <c r="J5478" t="inlineStr"/>
      <c r="K5478" t="inlineStr">
        <is>
          <t>A0A8C5PTB3_9ANUR</t>
        </is>
      </c>
      <c r="L5478" t="inlineStr">
        <is>
          <t>tr|A0A8C5PTB3|A0A8C5PTB3_9ANUR LINE-1 type transposase domain-containing protein 1 OS=Leptobrachium leishanense OX=445787 PE=4 SV=1</t>
        </is>
      </c>
      <c r="M5478" t="n">
        <v>351</v>
      </c>
      <c r="N5478" t="inlineStr">
        <is>
          <t>Leptobrachium leishanense</t>
        </is>
      </c>
      <c r="O5478" t="inlineStr">
        <is>
          <t>LINE-1 type transposase domain-containing protein 1</t>
        </is>
      </c>
    </row>
    <row r="5479">
      <c r="A5479" t="inlineStr"/>
      <c r="B5479" t="inlineStr"/>
      <c r="C5479" t="inlineStr"/>
      <c r="D5479" t="inlineStr"/>
      <c r="E5479">
        <f>HYPERLINK("https://www.uniprot.org/uniprotkb/A0A8C5M6Z7/entry", "A0A8C5M6Z7")</f>
        <v/>
      </c>
      <c r="F5479" t="n">
        <v>34.1</v>
      </c>
      <c r="G5479" t="n">
        <v>123</v>
      </c>
      <c r="H5479" t="n">
        <v>2.91e-12</v>
      </c>
      <c r="I5479" t="inlineStr">
        <is>
          <t>TrEMBL</t>
        </is>
      </c>
      <c r="J5479" t="inlineStr"/>
      <c r="K5479" t="inlineStr">
        <is>
          <t>A0A8C5M6Z7_9ANUR</t>
        </is>
      </c>
      <c r="L5479" t="inlineStr">
        <is>
          <t>tr|A0A8C5M6Z7|A0A8C5M6Z7_9ANUR LINE-1 type transposase domain-containing protein 1 OS=Leptobrachium leishanense OX=445787 PE=4 SV=1</t>
        </is>
      </c>
      <c r="M5479" t="n">
        <v>353</v>
      </c>
      <c r="N5479" t="inlineStr">
        <is>
          <t>Leptobrachium leishanense</t>
        </is>
      </c>
      <c r="O5479" t="inlineStr">
        <is>
          <t>LINE-1 type transposase domain-containing protein 1</t>
        </is>
      </c>
    </row>
    <row r="5480">
      <c r="A5480" t="inlineStr"/>
      <c r="B5480" t="inlineStr"/>
      <c r="C5480" t="inlineStr"/>
      <c r="D5480" t="inlineStr"/>
      <c r="E5480">
        <f>HYPERLINK("https://www.uniprot.org/uniprotkb/A0A8T2KBV4/entry", "A0A8T2KBV4")</f>
        <v/>
      </c>
      <c r="F5480" t="n">
        <v>43.6</v>
      </c>
      <c r="G5480" t="n">
        <v>78</v>
      </c>
      <c r="H5480" t="n">
        <v>3.65e-12</v>
      </c>
      <c r="I5480" t="inlineStr">
        <is>
          <t>TrEMBL</t>
        </is>
      </c>
      <c r="J5480" t="inlineStr">
        <is>
          <t>GDO86_003963</t>
        </is>
      </c>
      <c r="K5480" t="inlineStr">
        <is>
          <t>A0A8T2KBV4_9PIPI</t>
        </is>
      </c>
      <c r="L5480" t="inlineStr">
        <is>
          <t>tr|A0A8T2KBV4|A0A8T2KBV4_9PIPI Transposase element L1Md-A101/L1Md-A102/L1Md-A2 OS=Hymenochirus boettgeri OX=247094 GN=GDO86_003963 PE=4 SV=1</t>
        </is>
      </c>
      <c r="M5480" t="n">
        <v>431</v>
      </c>
      <c r="N5480" t="inlineStr">
        <is>
          <t>Hymenochirus boettgeri</t>
        </is>
      </c>
      <c r="O5480" t="inlineStr">
        <is>
          <t>Transposase element L1Md-A101/L1Md-A102/L1Md-A2</t>
        </is>
      </c>
    </row>
    <row r="5481">
      <c r="A5481" t="inlineStr"/>
      <c r="B5481" t="inlineStr"/>
      <c r="C5481" t="inlineStr"/>
      <c r="D5481" t="inlineStr"/>
      <c r="E5481">
        <f>HYPERLINK("https://www.uniprot.org/uniprotkb/A0A8C5PN54/entry", "A0A8C5PN54")</f>
        <v/>
      </c>
      <c r="F5481" t="n">
        <v>44.3</v>
      </c>
      <c r="G5481" t="n">
        <v>79</v>
      </c>
      <c r="H5481" t="n">
        <v>5.24e-12</v>
      </c>
      <c r="I5481" t="inlineStr">
        <is>
          <t>TrEMBL</t>
        </is>
      </c>
      <c r="J5481" t="inlineStr"/>
      <c r="K5481" t="inlineStr">
        <is>
          <t>A0A8C5PN54_9ANUR</t>
        </is>
      </c>
      <c r="L5481" t="inlineStr">
        <is>
          <t>tr|A0A8C5PN54|A0A8C5PN54_9ANUR R3H-assoc domain-containing protein OS=Leptobrachium leishanense OX=445787 PE=4 SV=1</t>
        </is>
      </c>
      <c r="M5481" t="n">
        <v>343</v>
      </c>
      <c r="N5481" t="inlineStr">
        <is>
          <t>Leptobrachium leishanense</t>
        </is>
      </c>
      <c r="O5481" t="inlineStr">
        <is>
          <t>R3H-assoc domain-containing protein</t>
        </is>
      </c>
    </row>
    <row r="5482">
      <c r="A5482" t="inlineStr"/>
      <c r="B5482" t="inlineStr"/>
      <c r="C5482" t="inlineStr"/>
      <c r="D5482" t="inlineStr"/>
      <c r="E5482">
        <f>HYPERLINK("https://www.uniprot.org/uniprotkb/A0A803J9X1/entry", "A0A803J9X1")</f>
        <v/>
      </c>
      <c r="F5482" t="n">
        <v>33.3</v>
      </c>
      <c r="G5482" t="n">
        <v>132</v>
      </c>
      <c r="H5482" t="n">
        <v>6.11e-12</v>
      </c>
      <c r="I5482" t="inlineStr">
        <is>
          <t>TrEMBL</t>
        </is>
      </c>
      <c r="J5482" t="inlineStr"/>
      <c r="K5482" t="inlineStr">
        <is>
          <t>A0A803J9X1_XENTR</t>
        </is>
      </c>
      <c r="L5482" t="inlineStr">
        <is>
          <t>tr|A0A803J9X1|A0A803J9X1_XENTR Reverse transcriptase domain-containing protein OS=Xenopus tropicalis OX=8364 PE=4 SV=1</t>
        </is>
      </c>
      <c r="M5482" t="n">
        <v>328</v>
      </c>
      <c r="N5482" t="inlineStr">
        <is>
          <t>Xenopus tropicalis</t>
        </is>
      </c>
      <c r="O5482" t="inlineStr">
        <is>
          <t>Reverse transcriptase domain-containing protein</t>
        </is>
      </c>
    </row>
    <row r="5483">
      <c r="A5483" t="inlineStr"/>
      <c r="B5483" t="inlineStr"/>
      <c r="C5483" t="inlineStr"/>
      <c r="D5483" t="inlineStr"/>
      <c r="E5483">
        <f>HYPERLINK("https://www.ncbi.nlm.nih.gov/gene/?term=KAG8584414.1", "KAG8584414.1")</f>
        <v/>
      </c>
      <c r="F5483" t="n">
        <v>34.7</v>
      </c>
      <c r="G5483" t="n">
        <v>118</v>
      </c>
      <c r="H5483" t="n">
        <v>7.23e-12</v>
      </c>
      <c r="I5483" t="inlineStr">
        <is>
          <t>Nr</t>
        </is>
      </c>
      <c r="J5483" t="inlineStr"/>
      <c r="K5483" t="inlineStr"/>
      <c r="L5483" t="inlineStr">
        <is>
          <t>KAG8584414.1 hypothetical protein GDO81_008823 [Engystomops pustulosus]</t>
        </is>
      </c>
      <c r="M5483" t="n">
        <v>478</v>
      </c>
      <c r="N5483" t="inlineStr">
        <is>
          <t>Engystomops pustulosus</t>
        </is>
      </c>
      <c r="O5483" t="inlineStr">
        <is>
          <t>hypothetical protein GDO81_008823</t>
        </is>
      </c>
    </row>
    <row r="5484">
      <c r="A5484" t="inlineStr"/>
      <c r="B5484" t="inlineStr"/>
      <c r="C5484" t="inlineStr"/>
      <c r="D5484" t="inlineStr"/>
      <c r="E5484">
        <f>HYPERLINK("https://www.uniprot.org/uniprotkb/A0A803JMB6/entry", "A0A803JMB6")</f>
        <v/>
      </c>
      <c r="F5484" t="n">
        <v>33.5</v>
      </c>
      <c r="G5484" t="n">
        <v>164</v>
      </c>
      <c r="H5484" t="n">
        <v>7.52e-12</v>
      </c>
      <c r="I5484" t="inlineStr">
        <is>
          <t>TrEMBL</t>
        </is>
      </c>
      <c r="J5484" t="inlineStr"/>
      <c r="K5484" t="inlineStr">
        <is>
          <t>A0A803JMB6_XENTR</t>
        </is>
      </c>
      <c r="L5484" t="inlineStr">
        <is>
          <t>tr|A0A803JMB6|A0A803JMB6_XENTR LINE-1 type transposase domain-containing protein 1 OS=Xenopus tropicalis OX=8364 PE=4 SV=1</t>
        </is>
      </c>
      <c r="M5484" t="n">
        <v>363</v>
      </c>
      <c r="N5484" t="inlineStr">
        <is>
          <t>Xenopus tropicalis</t>
        </is>
      </c>
      <c r="O5484" t="inlineStr">
        <is>
          <t>LINE-1 type transposase domain-containing protein 1</t>
        </is>
      </c>
    </row>
    <row r="5485">
      <c r="A5485" t="inlineStr"/>
      <c r="B5485" t="inlineStr"/>
      <c r="C5485" t="inlineStr"/>
      <c r="D5485" t="inlineStr"/>
      <c r="E5485">
        <f>HYPERLINK("https://www.ncbi.nlm.nih.gov/gene/?term=KAG8451976.1", "KAG8451976.1")</f>
        <v/>
      </c>
      <c r="F5485" t="n">
        <v>43.6</v>
      </c>
      <c r="G5485" t="n">
        <v>78</v>
      </c>
      <c r="H5485" t="n">
        <v>9.379999999999999e-12</v>
      </c>
      <c r="I5485" t="inlineStr">
        <is>
          <t>Nr</t>
        </is>
      </c>
      <c r="J5485" t="inlineStr"/>
      <c r="K5485" t="inlineStr"/>
      <c r="L5485" t="inlineStr">
        <is>
          <t>KAG8451976.1 hypothetical protein GDO86_003963 [Hymenochirus boettgeri]</t>
        </is>
      </c>
      <c r="M5485" t="n">
        <v>431</v>
      </c>
      <c r="N5485" t="inlineStr">
        <is>
          <t>Hymenochirus boettgeri</t>
        </is>
      </c>
      <c r="O5485" t="inlineStr">
        <is>
          <t>hypothetical protein GDO86_003963</t>
        </is>
      </c>
    </row>
    <row r="5486">
      <c r="A5486" t="inlineStr"/>
      <c r="B5486" t="inlineStr"/>
      <c r="C5486" t="inlineStr"/>
      <c r="D5486" t="inlineStr"/>
      <c r="E5486">
        <f>HYPERLINK("https://www.uniprot.org/uniprotkb/A0A8C5MIZ2/entry", "A0A8C5MIZ2")</f>
        <v/>
      </c>
      <c r="F5486" t="n">
        <v>35.5</v>
      </c>
      <c r="G5486" t="n">
        <v>152</v>
      </c>
      <c r="H5486" t="n">
        <v>1.16e-11</v>
      </c>
      <c r="I5486" t="inlineStr">
        <is>
          <t>TrEMBL</t>
        </is>
      </c>
      <c r="J5486" t="inlineStr"/>
      <c r="K5486" t="inlineStr">
        <is>
          <t>A0A8C5MIZ2_9ANUR</t>
        </is>
      </c>
      <c r="L5486" t="inlineStr">
        <is>
          <t>tr|A0A8C5MIZ2|A0A8C5MIZ2_9ANUR Transposase OS=Leptobrachium leishanense OX=445787 PE=4 SV=1</t>
        </is>
      </c>
      <c r="M5486" t="n">
        <v>329</v>
      </c>
      <c r="N5486" t="inlineStr">
        <is>
          <t>Leptobrachium leishanense</t>
        </is>
      </c>
      <c r="O5486" t="inlineStr">
        <is>
          <t>Transposase</t>
        </is>
      </c>
    </row>
    <row r="5487">
      <c r="A5487" t="inlineStr"/>
      <c r="B5487" t="inlineStr"/>
      <c r="C5487" t="inlineStr"/>
      <c r="D5487" t="inlineStr"/>
      <c r="E5487">
        <f>HYPERLINK("https://www.uniprot.org/uniprotkb/A0A8J1JWV7/entry", "A0A8J1JWV7")</f>
        <v/>
      </c>
      <c r="F5487" t="n">
        <v>31.1</v>
      </c>
      <c r="G5487" t="n">
        <v>132</v>
      </c>
      <c r="H5487" t="n">
        <v>1.66e-11</v>
      </c>
      <c r="I5487" t="inlineStr">
        <is>
          <t>TrEMBL</t>
        </is>
      </c>
      <c r="J5487" t="inlineStr">
        <is>
          <t>nphp4</t>
        </is>
      </c>
      <c r="K5487" t="inlineStr">
        <is>
          <t>A0A8J1JWV7_XENTR</t>
        </is>
      </c>
      <c r="L5487" t="inlineStr">
        <is>
          <t>tr|A0A8J1JWV7|A0A8J1JWV7_XENTR LOW QUALITY PROTEIN: nephrocystin-4 OS=Xenopus tropicalis OX=8364 GN=nphp4 PE=4 SV=1</t>
        </is>
      </c>
      <c r="M5487" t="n">
        <v>1030</v>
      </c>
      <c r="N5487" t="inlineStr">
        <is>
          <t>Xenopus tropicalis</t>
        </is>
      </c>
      <c r="O5487" t="inlineStr">
        <is>
          <t>LOW QUALITY PROTEIN: nephrocystin-4</t>
        </is>
      </c>
    </row>
    <row r="5488">
      <c r="A5488" t="inlineStr"/>
      <c r="B5488" t="inlineStr"/>
      <c r="C5488" t="inlineStr"/>
      <c r="D5488" t="inlineStr"/>
      <c r="E5488">
        <f>HYPERLINK("https://www.uniprot.org/uniprotkb/A0A803K9I3/entry", "A0A803K9I3")</f>
        <v/>
      </c>
      <c r="F5488" t="n">
        <v>31.1</v>
      </c>
      <c r="G5488" t="n">
        <v>132</v>
      </c>
      <c r="H5488" t="n">
        <v>1.71e-11</v>
      </c>
      <c r="I5488" t="inlineStr">
        <is>
          <t>TrEMBL</t>
        </is>
      </c>
      <c r="J5488" t="inlineStr"/>
      <c r="K5488" t="inlineStr">
        <is>
          <t>A0A803K9I3_XENTR</t>
        </is>
      </c>
      <c r="L5488" t="inlineStr">
        <is>
          <t>tr|A0A803K9I3|A0A803K9I3_XENTR LINE-1 type transposase domain-containing protein 1 OS=Xenopus tropicalis OX=8364 PE=4 SV=1</t>
        </is>
      </c>
      <c r="M5488" t="n">
        <v>424</v>
      </c>
      <c r="N5488" t="inlineStr">
        <is>
          <t>Xenopus tropicalis</t>
        </is>
      </c>
      <c r="O5488" t="inlineStr">
        <is>
          <t>LINE-1 type transposase domain-containing protein 1</t>
        </is>
      </c>
    </row>
    <row r="5489">
      <c r="A5489" t="inlineStr"/>
      <c r="B5489" t="inlineStr"/>
      <c r="C5489" t="inlineStr"/>
      <c r="D5489" t="inlineStr"/>
      <c r="E5489">
        <f>HYPERLINK("https://www.ncbi.nlm.nih.gov/gene/?term=XP_040194428.1", "XP_040194428.1")</f>
        <v/>
      </c>
      <c r="F5489" t="n">
        <v>43.9</v>
      </c>
      <c r="G5489" t="n">
        <v>82</v>
      </c>
      <c r="H5489" t="n">
        <v>1.88e-11</v>
      </c>
      <c r="I5489" t="inlineStr">
        <is>
          <t>Nr</t>
        </is>
      </c>
      <c r="J5489" t="inlineStr"/>
      <c r="K5489" t="inlineStr"/>
      <c r="L5489" t="inlineStr">
        <is>
          <t>XP_040194428.1 uncharacterized protein LOC120927670 [Rana temporaria]</t>
        </is>
      </c>
      <c r="M5489" t="n">
        <v>346</v>
      </c>
      <c r="N5489" t="inlineStr">
        <is>
          <t>Rana temporaria</t>
        </is>
      </c>
      <c r="O5489" t="inlineStr">
        <is>
          <t>uncharacterized protein LOC120927670</t>
        </is>
      </c>
    </row>
    <row r="5490">
      <c r="A5490" t="inlineStr"/>
      <c r="B5490" t="inlineStr"/>
      <c r="C5490" t="inlineStr"/>
      <c r="D5490" t="inlineStr"/>
      <c r="E5490">
        <f>HYPERLINK("https://www.uniprot.org/uniprotkb/A0A8C5LL14/entry", "A0A8C5LL14")</f>
        <v/>
      </c>
      <c r="F5490" t="n">
        <v>35.5</v>
      </c>
      <c r="G5490" t="n">
        <v>152</v>
      </c>
      <c r="H5490" t="n">
        <v>1.96e-11</v>
      </c>
      <c r="I5490" t="inlineStr">
        <is>
          <t>TrEMBL</t>
        </is>
      </c>
      <c r="J5490" t="inlineStr"/>
      <c r="K5490" t="inlineStr">
        <is>
          <t>A0A8C5LL14_9ANUR</t>
        </is>
      </c>
      <c r="L5490" t="inlineStr">
        <is>
          <t>tr|A0A8C5LL14|A0A8C5LL14_9ANUR LINE-1 type transposase domain-containing protein 1 OS=Leptobrachium leishanense OX=445787 PE=4 SV=1</t>
        </is>
      </c>
      <c r="M5490" t="n">
        <v>314</v>
      </c>
      <c r="N5490" t="inlineStr">
        <is>
          <t>Leptobrachium leishanense</t>
        </is>
      </c>
      <c r="O5490" t="inlineStr">
        <is>
          <t>LINE-1 type transposase domain-containing protein 1</t>
        </is>
      </c>
    </row>
    <row r="5491">
      <c r="A5491" t="inlineStr"/>
      <c r="B5491" t="inlineStr"/>
      <c r="C5491" t="inlineStr"/>
      <c r="D5491" t="inlineStr"/>
      <c r="E5491">
        <f>HYPERLINK("https://www.uniprot.org/uniprotkb/A0A8C5PV76/entry", "A0A8C5PV76")</f>
        <v/>
      </c>
      <c r="F5491" t="n">
        <v>36.8</v>
      </c>
      <c r="G5491" t="n">
        <v>155</v>
      </c>
      <c r="H5491" t="n">
        <v>2.18e-11</v>
      </c>
      <c r="I5491" t="inlineStr">
        <is>
          <t>TrEMBL</t>
        </is>
      </c>
      <c r="J5491" t="inlineStr"/>
      <c r="K5491" t="inlineStr">
        <is>
          <t>A0A8C5PV76_9ANUR</t>
        </is>
      </c>
      <c r="L5491" t="inlineStr">
        <is>
          <t>tr|A0A8C5PV76|A0A8C5PV76_9ANUR LINE-1 type transposase domain-containing 1 OS=Leptobrachium leishanense OX=445787 PE=4 SV=1</t>
        </is>
      </c>
      <c r="M5491" t="n">
        <v>329</v>
      </c>
      <c r="N5491" t="inlineStr">
        <is>
          <t>Leptobrachium leishanense</t>
        </is>
      </c>
      <c r="O5491" t="inlineStr">
        <is>
          <t>LINE-1 type transposase domain-containing 1</t>
        </is>
      </c>
    </row>
    <row r="5492">
      <c r="A5492" t="inlineStr"/>
      <c r="B5492" t="inlineStr"/>
      <c r="C5492" t="inlineStr"/>
      <c r="D5492" t="inlineStr"/>
      <c r="E5492">
        <f>HYPERLINK("https://www.ncbi.nlm.nih.gov/gene/?term=CAH2330585.1", "CAH2330585.1")</f>
        <v/>
      </c>
      <c r="F5492" t="n">
        <v>39.1</v>
      </c>
      <c r="G5492" t="n">
        <v>115</v>
      </c>
      <c r="H5492" t="n">
        <v>2.35e-11</v>
      </c>
      <c r="I5492" t="inlineStr">
        <is>
          <t>Nr</t>
        </is>
      </c>
      <c r="J5492" t="inlineStr"/>
      <c r="K5492" t="inlineStr"/>
      <c r="L5492" t="inlineStr">
        <is>
          <t>CAH2330585.1 Hypothetical predicted protein, partial [Pelobates cultripes]</t>
        </is>
      </c>
      <c r="M5492" t="n">
        <v>220</v>
      </c>
      <c r="N5492" t="inlineStr">
        <is>
          <t>Pelobates cultripes</t>
        </is>
      </c>
      <c r="O5492" t="inlineStr">
        <is>
          <t>Hypothetical predicted protein, partial</t>
        </is>
      </c>
    </row>
    <row r="5493">
      <c r="A5493" t="inlineStr"/>
      <c r="B5493" t="inlineStr"/>
      <c r="C5493" t="inlineStr"/>
      <c r="D5493" t="inlineStr"/>
      <c r="E5493">
        <f>HYPERLINK("https://www.uniprot.org/uniprotkb/A0A2G9RU93/entry", "A0A2G9RU93")</f>
        <v/>
      </c>
      <c r="F5493" t="n">
        <v>42.7</v>
      </c>
      <c r="G5493" t="n">
        <v>82</v>
      </c>
      <c r="H5493" t="n">
        <v>2.44e-11</v>
      </c>
      <c r="I5493" t="inlineStr">
        <is>
          <t>TrEMBL</t>
        </is>
      </c>
      <c r="J5493" t="inlineStr">
        <is>
          <t>AB205_0124000</t>
        </is>
      </c>
      <c r="K5493" t="inlineStr">
        <is>
          <t>A0A2G9RU93_LITCT</t>
        </is>
      </c>
      <c r="L5493" t="inlineStr">
        <is>
          <t>tr|A0A2G9RU93|A0A2G9RU93_LITCT Rho-GAP domain-containing protein OS=Lithobates catesbeianus OX=8400 GN=AB205_0124000 PE=4 SV=1</t>
        </is>
      </c>
      <c r="M5493" t="n">
        <v>227</v>
      </c>
      <c r="N5493" t="inlineStr">
        <is>
          <t>Lithobates catesbeianus</t>
        </is>
      </c>
      <c r="O5493" t="inlineStr">
        <is>
          <t>Rho-GAP domain-containing protein</t>
        </is>
      </c>
    </row>
    <row r="5494">
      <c r="A5494" t="inlineStr"/>
      <c r="B5494" t="inlineStr"/>
      <c r="C5494" t="inlineStr"/>
      <c r="D5494" t="inlineStr"/>
      <c r="E5494">
        <f>HYPERLINK("https://www.uniprot.org/uniprotkb/A0A8C5PEK9/entry", "A0A8C5PEK9")</f>
        <v/>
      </c>
      <c r="F5494" t="n">
        <v>36.6</v>
      </c>
      <c r="G5494" t="n">
        <v>82</v>
      </c>
      <c r="H5494" t="n">
        <v>3.12e-11</v>
      </c>
      <c r="I5494" t="inlineStr">
        <is>
          <t>TrEMBL</t>
        </is>
      </c>
      <c r="J5494" t="inlineStr"/>
      <c r="K5494" t="inlineStr">
        <is>
          <t>A0A8C5PEK9_9ANUR</t>
        </is>
      </c>
      <c r="L5494" t="inlineStr">
        <is>
          <t>tr|A0A8C5PEK9|A0A8C5PEK9_9ANUR Transposase element L1Md-A101/L1Md-A102/L1Md-A2 OS=Leptobrachium leishanense OX=445787 PE=4 SV=1</t>
        </is>
      </c>
      <c r="M5494" t="n">
        <v>246</v>
      </c>
      <c r="N5494" t="inlineStr">
        <is>
          <t>Leptobrachium leishanense</t>
        </is>
      </c>
      <c r="O5494" t="inlineStr">
        <is>
          <t>Transposase element L1Md-A101/L1Md-A102/L1Md-A2</t>
        </is>
      </c>
    </row>
    <row r="5495">
      <c r="A5495" t="inlineStr"/>
      <c r="B5495" t="inlineStr"/>
      <c r="C5495" t="inlineStr"/>
      <c r="D5495" t="inlineStr"/>
      <c r="E5495">
        <f>HYPERLINK("https://www.uniprot.org/uniprotkb/A0A8C5PC04/entry", "A0A8C5PC04")</f>
        <v/>
      </c>
      <c r="F5495" t="n">
        <v>35.5</v>
      </c>
      <c r="G5495" t="n">
        <v>152</v>
      </c>
      <c r="H5495" t="n">
        <v>3.23e-11</v>
      </c>
      <c r="I5495" t="inlineStr">
        <is>
          <t>TrEMBL</t>
        </is>
      </c>
      <c r="J5495" t="inlineStr"/>
      <c r="K5495" t="inlineStr">
        <is>
          <t>A0A8C5PC04_9ANUR</t>
        </is>
      </c>
      <c r="L5495" t="inlineStr">
        <is>
          <t>tr|A0A8C5PC04|A0A8C5PC04_9ANUR Transposase OS=Leptobrachium leishanense OX=445787 PE=4 SV=1</t>
        </is>
      </c>
      <c r="M5495" t="n">
        <v>435</v>
      </c>
      <c r="N5495" t="inlineStr">
        <is>
          <t>Leptobrachium leishanense</t>
        </is>
      </c>
      <c r="O5495" t="inlineStr">
        <is>
          <t>Transposase</t>
        </is>
      </c>
    </row>
    <row r="5496">
      <c r="A5496" t="inlineStr"/>
      <c r="B5496" t="inlineStr"/>
      <c r="C5496" t="inlineStr"/>
      <c r="D5496" t="inlineStr"/>
      <c r="E5496">
        <f>HYPERLINK("https://www.ncbi.nlm.nih.gov/gene/?term=KAG8571259.1", "KAG8571259.1")</f>
        <v/>
      </c>
      <c r="F5496" t="n">
        <v>36</v>
      </c>
      <c r="G5496" t="n">
        <v>114</v>
      </c>
      <c r="H5496" t="n">
        <v>3.55e-11</v>
      </c>
      <c r="I5496" t="inlineStr">
        <is>
          <t>Nr</t>
        </is>
      </c>
      <c r="J5496" t="inlineStr"/>
      <c r="K5496" t="inlineStr"/>
      <c r="L5496" t="inlineStr">
        <is>
          <t>KAG8571259.1 hypothetical protein GDO81_011568 [Engystomops pustulosus]</t>
        </is>
      </c>
      <c r="M5496" t="n">
        <v>487</v>
      </c>
      <c r="N5496" t="inlineStr">
        <is>
          <t>Engystomops pustulosus</t>
        </is>
      </c>
      <c r="O5496" t="inlineStr">
        <is>
          <t>hypothetical protein GDO81_011568</t>
        </is>
      </c>
    </row>
    <row r="5497">
      <c r="A5497" t="inlineStr"/>
      <c r="B5497" t="inlineStr"/>
      <c r="C5497" t="inlineStr"/>
      <c r="D5497" t="inlineStr"/>
      <c r="E5497">
        <f>HYPERLINK("https://www.uniprot.org/uniprotkb/A0A803J6A6/entry", "A0A803J6A6")</f>
        <v/>
      </c>
      <c r="F5497" t="n">
        <v>41.3</v>
      </c>
      <c r="G5497" t="n">
        <v>80</v>
      </c>
      <c r="H5497" t="n">
        <v>3.83e-11</v>
      </c>
      <c r="I5497" t="inlineStr">
        <is>
          <t>TrEMBL</t>
        </is>
      </c>
      <c r="J5497" t="inlineStr"/>
      <c r="K5497" t="inlineStr">
        <is>
          <t>A0A803J6A6_XENTR</t>
        </is>
      </c>
      <c r="L5497" t="inlineStr">
        <is>
          <t>tr|A0A803J6A6|A0A803J6A6_XENTR Transposase_22 domain-containing protein OS=Xenopus tropicalis OX=8364 PE=4 SV=1</t>
        </is>
      </c>
      <c r="M5497" t="n">
        <v>363</v>
      </c>
      <c r="N5497" t="inlineStr">
        <is>
          <t>Xenopus tropicalis</t>
        </is>
      </c>
      <c r="O5497" t="inlineStr">
        <is>
          <t>Transposase_22 domain-containing protein</t>
        </is>
      </c>
    </row>
    <row r="5498">
      <c r="A5498" t="inlineStr"/>
      <c r="B5498" t="inlineStr"/>
      <c r="C5498" t="inlineStr"/>
      <c r="D5498" t="inlineStr"/>
      <c r="E5498">
        <f>HYPERLINK("https://www.ncbi.nlm.nih.gov/gene/?term=XP_031762377.1", "XP_031762377.1")</f>
        <v/>
      </c>
      <c r="F5498" t="n">
        <v>31.1</v>
      </c>
      <c r="G5498" t="n">
        <v>132</v>
      </c>
      <c r="H5498" t="n">
        <v>4.27e-11</v>
      </c>
      <c r="I5498" t="inlineStr">
        <is>
          <t>Nr</t>
        </is>
      </c>
      <c r="J5498" t="inlineStr"/>
      <c r="K5498" t="inlineStr"/>
      <c r="L5498" t="inlineStr">
        <is>
          <t>XP_031762377.1 LOW QUALITY PROTEIN: nephrocystin-4 [Xenopus tropicalis]</t>
        </is>
      </c>
      <c r="M5498" t="n">
        <v>1030</v>
      </c>
      <c r="N5498" t="inlineStr">
        <is>
          <t>Xenopus tropicalis</t>
        </is>
      </c>
      <c r="O5498" t="inlineStr">
        <is>
          <t>LOW QUALITY PROTEIN: nephrocystin-4</t>
        </is>
      </c>
    </row>
    <row r="5499">
      <c r="A5499" t="inlineStr"/>
      <c r="B5499" t="inlineStr"/>
      <c r="C5499" t="inlineStr"/>
      <c r="D5499" t="inlineStr"/>
      <c r="E5499">
        <f>HYPERLINK("https://www.uniprot.org/uniprotkb/A0A8C5PBQ3/entry", "A0A8C5PBQ3")</f>
        <v/>
      </c>
      <c r="F5499" t="n">
        <v>49.4</v>
      </c>
      <c r="G5499" t="n">
        <v>81</v>
      </c>
      <c r="H5499" t="n">
        <v>5.32e-11</v>
      </c>
      <c r="I5499" t="inlineStr">
        <is>
          <t>TrEMBL</t>
        </is>
      </c>
      <c r="J5499" t="inlineStr"/>
      <c r="K5499" t="inlineStr">
        <is>
          <t>A0A8C5PBQ3_9ANUR</t>
        </is>
      </c>
      <c r="L5499" t="inlineStr">
        <is>
          <t>tr|A0A8C5PBQ3|A0A8C5PBQ3_9ANUR Tick transposon OS=Leptobrachium leishanense OX=445787 PE=4 SV=1</t>
        </is>
      </c>
      <c r="M5499" t="n">
        <v>321</v>
      </c>
      <c r="N5499" t="inlineStr">
        <is>
          <t>Leptobrachium leishanense</t>
        </is>
      </c>
      <c r="O5499" t="inlineStr">
        <is>
          <t>Tick transposon</t>
        </is>
      </c>
    </row>
    <row r="5500">
      <c r="A5500" t="inlineStr"/>
      <c r="B5500" t="inlineStr"/>
      <c r="C5500" t="inlineStr"/>
      <c r="D5500" t="inlineStr"/>
      <c r="E5500">
        <f>HYPERLINK("https://www.uniprot.org/uniprotkb/A0A8C5MJD9/entry", "A0A8C5MJD9")</f>
        <v/>
      </c>
      <c r="F5500" t="n">
        <v>37.8</v>
      </c>
      <c r="G5500" t="n">
        <v>82</v>
      </c>
      <c r="H5500" t="n">
        <v>5.4e-11</v>
      </c>
      <c r="I5500" t="inlineStr">
        <is>
          <t>TrEMBL</t>
        </is>
      </c>
      <c r="J5500" t="inlineStr"/>
      <c r="K5500" t="inlineStr">
        <is>
          <t>A0A8C5MJD9_9ANUR</t>
        </is>
      </c>
      <c r="L5500" t="inlineStr">
        <is>
          <t>tr|A0A8C5MJD9|A0A8C5MJD9_9ANUR Transposase element L1Md-A101/L1Md-A102/L1Md-A2 OS=Leptobrachium leishanense OX=445787 PE=4 SV=1</t>
        </is>
      </c>
      <c r="M5500" t="n">
        <v>372</v>
      </c>
      <c r="N5500" t="inlineStr">
        <is>
          <t>Leptobrachium leishanense</t>
        </is>
      </c>
      <c r="O5500" t="inlineStr">
        <is>
          <t>Transposase element L1Md-A101/L1Md-A102/L1Md-A2</t>
        </is>
      </c>
    </row>
    <row r="5501">
      <c r="A5501" t="inlineStr"/>
      <c r="B5501" t="inlineStr"/>
      <c r="C5501" t="inlineStr"/>
      <c r="D5501" t="inlineStr"/>
      <c r="E5501">
        <f>HYPERLINK("https://www.uniprot.org/uniprotkb/A0A8C5LL35/entry", "A0A8C5LL35")</f>
        <v/>
      </c>
      <c r="F5501" t="n">
        <v>37.8</v>
      </c>
      <c r="G5501" t="n">
        <v>82</v>
      </c>
      <c r="H5501" t="n">
        <v>5.5e-11</v>
      </c>
      <c r="I5501" t="inlineStr">
        <is>
          <t>TrEMBL</t>
        </is>
      </c>
      <c r="J5501" t="inlineStr"/>
      <c r="K5501" t="inlineStr">
        <is>
          <t>A0A8C5LL35_9ANUR</t>
        </is>
      </c>
      <c r="L5501" t="inlineStr">
        <is>
          <t>tr|A0A8C5LL35|A0A8C5LL35_9ANUR Transposase element L1Md-A101/L1Md-A102/L1Md-A2 OS=Leptobrachium leishanense OX=445787 PE=4 SV=1</t>
        </is>
      </c>
      <c r="M5501" t="n">
        <v>378</v>
      </c>
      <c r="N5501" t="inlineStr">
        <is>
          <t>Leptobrachium leishanense</t>
        </is>
      </c>
      <c r="O5501" t="inlineStr">
        <is>
          <t>Transposase element L1Md-A101/L1Md-A102/L1Md-A2</t>
        </is>
      </c>
    </row>
    <row r="5502">
      <c r="A5502" t="inlineStr"/>
      <c r="B5502" t="inlineStr"/>
      <c r="C5502" t="inlineStr"/>
      <c r="D5502" t="inlineStr"/>
      <c r="E5502">
        <f>HYPERLINK("https://www.uniprot.org/uniprotkb/A0A8C5PC04/entry", "A0A8C5PC04")</f>
        <v/>
      </c>
      <c r="F5502" t="n">
        <v>36.6</v>
      </c>
      <c r="G5502" t="n">
        <v>82</v>
      </c>
      <c r="H5502" t="n">
        <v>6.069999999999999e-11</v>
      </c>
      <c r="I5502" t="inlineStr">
        <is>
          <t>TrEMBL</t>
        </is>
      </c>
      <c r="J5502" t="inlineStr"/>
      <c r="K5502" t="inlineStr">
        <is>
          <t>A0A8C5PC04_9ANUR</t>
        </is>
      </c>
      <c r="L5502" t="inlineStr">
        <is>
          <t>tr|A0A8C5PC04|A0A8C5PC04_9ANUR Transposase OS=Leptobrachium leishanense OX=445787 PE=4 SV=1</t>
        </is>
      </c>
      <c r="M5502" t="n">
        <v>435</v>
      </c>
      <c r="N5502" t="inlineStr">
        <is>
          <t>Leptobrachium leishanense</t>
        </is>
      </c>
      <c r="O5502" t="inlineStr">
        <is>
          <t>Transposase</t>
        </is>
      </c>
    </row>
    <row r="5503">
      <c r="A5503" t="inlineStr"/>
      <c r="B5503" t="inlineStr"/>
      <c r="C5503" t="inlineStr"/>
      <c r="D5503" t="inlineStr"/>
      <c r="E5503">
        <f>HYPERLINK("https://www.ncbi.nlm.nih.gov/gene/?term=PIO30791.1", "PIO30791.1")</f>
        <v/>
      </c>
      <c r="F5503" t="n">
        <v>42.7</v>
      </c>
      <c r="G5503" t="n">
        <v>82</v>
      </c>
      <c r="H5503" t="n">
        <v>6.27e-11</v>
      </c>
      <c r="I5503" t="inlineStr">
        <is>
          <t>Nr</t>
        </is>
      </c>
      <c r="J5503" t="inlineStr"/>
      <c r="K5503" t="inlineStr"/>
      <c r="L5503" t="inlineStr">
        <is>
          <t>PIO30791.1 hypothetical protein AB205_0124000 [Lithobates catesbeianus]</t>
        </is>
      </c>
      <c r="M5503" t="n">
        <v>227</v>
      </c>
      <c r="N5503" t="inlineStr">
        <is>
          <t>Lithobates catesbeianus</t>
        </is>
      </c>
      <c r="O5503" t="inlineStr">
        <is>
          <t>hypothetical protein AB205_0124000</t>
        </is>
      </c>
    </row>
    <row r="5504">
      <c r="A5504" t="inlineStr"/>
      <c r="B5504" t="inlineStr"/>
      <c r="C5504" t="inlineStr"/>
      <c r="D5504" t="inlineStr"/>
      <c r="E5504">
        <f>HYPERLINK("https://www.uniprot.org/uniprotkb/A0A803K8U8/entry", "A0A803K8U8")</f>
        <v/>
      </c>
      <c r="F5504" t="n">
        <v>37.1</v>
      </c>
      <c r="G5504" t="n">
        <v>151</v>
      </c>
      <c r="H5504" t="n">
        <v>6.35e-11</v>
      </c>
      <c r="I5504" t="inlineStr">
        <is>
          <t>TrEMBL</t>
        </is>
      </c>
      <c r="J5504" t="inlineStr"/>
      <c r="K5504" t="inlineStr">
        <is>
          <t>A0A803K8U8_XENTR</t>
        </is>
      </c>
      <c r="L5504" t="inlineStr">
        <is>
          <t>tr|A0A803K8U8|A0A803K8U8_XENTR Tick transposon OS=Xenopus tropicalis OX=8364 PE=4 SV=1</t>
        </is>
      </c>
      <c r="M5504" t="n">
        <v>352</v>
      </c>
      <c r="N5504" t="inlineStr">
        <is>
          <t>Xenopus tropicalis</t>
        </is>
      </c>
      <c r="O5504" t="inlineStr">
        <is>
          <t>Tick transposon</t>
        </is>
      </c>
    </row>
    <row r="5505">
      <c r="A5505" t="inlineStr"/>
      <c r="B5505" t="inlineStr"/>
      <c r="C5505" t="inlineStr"/>
      <c r="D5505" t="inlineStr"/>
      <c r="E5505">
        <f>HYPERLINK("https://www.uniprot.org/uniprotkb/A0A8C5PV76/entry", "A0A8C5PV76")</f>
        <v/>
      </c>
      <c r="F5505" t="n">
        <v>36.6</v>
      </c>
      <c r="G5505" t="n">
        <v>82</v>
      </c>
      <c r="H5505" t="n">
        <v>8.610000000000001e-11</v>
      </c>
      <c r="I5505" t="inlineStr">
        <is>
          <t>TrEMBL</t>
        </is>
      </c>
      <c r="J5505" t="inlineStr"/>
      <c r="K5505" t="inlineStr">
        <is>
          <t>A0A8C5PV76_9ANUR</t>
        </is>
      </c>
      <c r="L5505" t="inlineStr">
        <is>
          <t>tr|A0A8C5PV76|A0A8C5PV76_9ANUR LINE-1 type transposase domain-containing 1 OS=Leptobrachium leishanense OX=445787 PE=4 SV=1</t>
        </is>
      </c>
      <c r="M5505" t="n">
        <v>329</v>
      </c>
      <c r="N5505" t="inlineStr">
        <is>
          <t>Leptobrachium leishanense</t>
        </is>
      </c>
      <c r="O5505" t="inlineStr">
        <is>
          <t>LINE-1 type transposase domain-containing 1</t>
        </is>
      </c>
    </row>
    <row r="5506">
      <c r="A5506" t="inlineStr"/>
      <c r="B5506" t="inlineStr"/>
      <c r="C5506" t="inlineStr"/>
      <c r="D5506" t="inlineStr"/>
      <c r="E5506">
        <f>HYPERLINK("https://www.uniprot.org/uniprotkb/A0A803J6A6/entry", "A0A803J6A6")</f>
        <v/>
      </c>
      <c r="F5506" t="n">
        <v>34.1</v>
      </c>
      <c r="G5506" t="n">
        <v>132</v>
      </c>
      <c r="H5506" t="n">
        <v>9.11e-11</v>
      </c>
      <c r="I5506" t="inlineStr">
        <is>
          <t>TrEMBL</t>
        </is>
      </c>
      <c r="J5506" t="inlineStr"/>
      <c r="K5506" t="inlineStr">
        <is>
          <t>A0A803J6A6_XENTR</t>
        </is>
      </c>
      <c r="L5506" t="inlineStr">
        <is>
          <t>tr|A0A803J6A6|A0A803J6A6_XENTR Transposase_22 domain-containing protein OS=Xenopus tropicalis OX=8364 PE=4 SV=1</t>
        </is>
      </c>
      <c r="M5506" t="n">
        <v>363</v>
      </c>
      <c r="N5506" t="inlineStr">
        <is>
          <t>Xenopus tropicalis</t>
        </is>
      </c>
      <c r="O5506" t="inlineStr">
        <is>
          <t>Transposase_22 domain-containing protein</t>
        </is>
      </c>
    </row>
    <row r="5507">
      <c r="A5507" t="inlineStr"/>
      <c r="B5507" t="inlineStr"/>
      <c r="C5507" t="inlineStr"/>
      <c r="D5507" t="inlineStr"/>
      <c r="E5507">
        <f>HYPERLINK("https://www.uniprot.org/uniprotkb/A0A8C5PU14/entry", "A0A8C5PU14")</f>
        <v/>
      </c>
      <c r="F5507" t="n">
        <v>36.7</v>
      </c>
      <c r="G5507" t="n">
        <v>147</v>
      </c>
      <c r="H5507" t="n">
        <v>9.14e-11</v>
      </c>
      <c r="I5507" t="inlineStr">
        <is>
          <t>TrEMBL</t>
        </is>
      </c>
      <c r="J5507" t="inlineStr"/>
      <c r="K5507" t="inlineStr">
        <is>
          <t>A0A8C5PU14_9ANUR</t>
        </is>
      </c>
      <c r="L5507" t="inlineStr">
        <is>
          <t>tr|A0A8C5PU14|A0A8C5PU14_9ANUR LINE-1 type transposase domain-containing protein 1 OS=Leptobrachium leishanense OX=445787 PE=4 SV=1</t>
        </is>
      </c>
      <c r="M5507" t="n">
        <v>364</v>
      </c>
      <c r="N5507" t="inlineStr">
        <is>
          <t>Leptobrachium leishanense</t>
        </is>
      </c>
      <c r="O5507" t="inlineStr">
        <is>
          <t>LINE-1 type transposase domain-containing protein 1</t>
        </is>
      </c>
    </row>
    <row r="5508">
      <c r="A5508" t="inlineStr"/>
      <c r="B5508" t="inlineStr"/>
      <c r="C5508" t="inlineStr"/>
      <c r="D5508" t="inlineStr"/>
      <c r="E5508">
        <f>HYPERLINK("https://www.uniprot.org/uniprotkb/A0A8C5MWK7/entry", "A0A8C5MWK7")</f>
        <v/>
      </c>
      <c r="F5508" t="n">
        <v>33.1</v>
      </c>
      <c r="G5508" t="n">
        <v>160</v>
      </c>
      <c r="H5508" t="n">
        <v>9.29e-11</v>
      </c>
      <c r="I5508" t="inlineStr">
        <is>
          <t>TrEMBL</t>
        </is>
      </c>
      <c r="J5508" t="inlineStr"/>
      <c r="K5508" t="inlineStr">
        <is>
          <t>A0A8C5MWK7_9ANUR</t>
        </is>
      </c>
      <c r="L5508" t="inlineStr">
        <is>
          <t>tr|A0A8C5MWK7|A0A8C5MWK7_9ANUR LINE-1 retrotransposable element ORF1 protein OS=Leptobrachium leishanense OX=445787 PE=4 SV=1</t>
        </is>
      </c>
      <c r="M5508" t="n">
        <v>368</v>
      </c>
      <c r="N5508" t="inlineStr">
        <is>
          <t>Leptobrachium leishanense</t>
        </is>
      </c>
      <c r="O5508" t="inlineStr">
        <is>
          <t>LINE-1 retrotransposable element ORF1 protein</t>
        </is>
      </c>
    </row>
    <row r="5509">
      <c r="A5509" t="inlineStr"/>
      <c r="B5509" t="inlineStr"/>
      <c r="C5509" t="inlineStr"/>
      <c r="D5509" t="inlineStr"/>
      <c r="E5509">
        <f>HYPERLINK("https://www.uniprot.org/uniprotkb/A0A803J8S4/entry", "A0A803J8S4")</f>
        <v/>
      </c>
      <c r="F5509" t="n">
        <v>39</v>
      </c>
      <c r="G5509" t="n">
        <v>82</v>
      </c>
      <c r="H5509" t="n">
        <v>1.01e-10</v>
      </c>
      <c r="I5509" t="inlineStr">
        <is>
          <t>TrEMBL</t>
        </is>
      </c>
      <c r="J5509" t="inlineStr"/>
      <c r="K5509" t="inlineStr">
        <is>
          <t>A0A803J8S4_XENTR</t>
        </is>
      </c>
      <c r="L5509" t="inlineStr">
        <is>
          <t>tr|A0A803J8S4|A0A803J8S4_XENTR LINE-1 retrotransposable element ORF1 protein OS=Xenopus tropicalis OX=8364 PE=4 SV=1</t>
        </is>
      </c>
      <c r="M5509" t="n">
        <v>369</v>
      </c>
      <c r="N5509" t="inlineStr">
        <is>
          <t>Xenopus tropicalis</t>
        </is>
      </c>
      <c r="O5509" t="inlineStr">
        <is>
          <t>LINE-1 retrotransposable element ORF1 protein</t>
        </is>
      </c>
    </row>
    <row r="5510">
      <c r="A5510" t="inlineStr"/>
      <c r="B5510" t="inlineStr"/>
      <c r="C5510" t="inlineStr"/>
      <c r="D5510" t="inlineStr"/>
      <c r="E5510">
        <f>HYPERLINK("https://www.uniprot.org/uniprotkb/A0A8C5MJD9/entry", "A0A8C5MJD9")</f>
        <v/>
      </c>
      <c r="F5510" t="n">
        <v>34.9</v>
      </c>
      <c r="G5510" t="n">
        <v>152</v>
      </c>
      <c r="H5510" t="n">
        <v>1.29e-10</v>
      </c>
      <c r="I5510" t="inlineStr">
        <is>
          <t>TrEMBL</t>
        </is>
      </c>
      <c r="J5510" t="inlineStr"/>
      <c r="K5510" t="inlineStr">
        <is>
          <t>A0A8C5MJD9_9ANUR</t>
        </is>
      </c>
      <c r="L5510" t="inlineStr">
        <is>
          <t>tr|A0A8C5MJD9|A0A8C5MJD9_9ANUR Transposase element L1Md-A101/L1Md-A102/L1Md-A2 OS=Leptobrachium leishanense OX=445787 PE=4 SV=1</t>
        </is>
      </c>
      <c r="M5510" t="n">
        <v>372</v>
      </c>
      <c r="N5510" t="inlineStr">
        <is>
          <t>Leptobrachium leishanense</t>
        </is>
      </c>
      <c r="O5510" t="inlineStr">
        <is>
          <t>Transposase element L1Md-A101/L1Md-A102/L1Md-A2</t>
        </is>
      </c>
    </row>
    <row r="5511">
      <c r="A5511" t="inlineStr"/>
      <c r="B5511" t="inlineStr"/>
      <c r="C5511" t="inlineStr"/>
      <c r="D5511" t="inlineStr"/>
      <c r="E5511">
        <f>HYPERLINK("https://www.ncbi.nlm.nih.gov/gene/?term=OCT96131.1", "OCT96131.1")</f>
        <v/>
      </c>
      <c r="F5511" t="n">
        <v>34.1</v>
      </c>
      <c r="G5511" t="n">
        <v>132</v>
      </c>
      <c r="H5511" t="n">
        <v>1.31e-10</v>
      </c>
      <c r="I5511" t="inlineStr">
        <is>
          <t>Nr</t>
        </is>
      </c>
      <c r="J5511" t="inlineStr"/>
      <c r="K5511" t="inlineStr"/>
      <c r="L5511" t="inlineStr">
        <is>
          <t>OCT96131.1 hypothetical protein XELAEV_18013814mg, partial [Xenopus laevis]</t>
        </is>
      </c>
      <c r="M5511" t="n">
        <v>624</v>
      </c>
      <c r="N5511" t="inlineStr">
        <is>
          <t>Xenopus laevis</t>
        </is>
      </c>
      <c r="O5511" t="inlineStr">
        <is>
          <t>hypothetical protein XELAEV_18013814mg, partial</t>
        </is>
      </c>
    </row>
    <row r="5512">
      <c r="A5512" t="inlineStr"/>
      <c r="B5512" t="inlineStr"/>
      <c r="C5512" t="inlineStr"/>
      <c r="D5512" t="inlineStr"/>
      <c r="E5512">
        <f>HYPERLINK("https://www.uniprot.org/uniprotkb/A0A8C5LL35/entry", "A0A8C5LL35")</f>
        <v/>
      </c>
      <c r="F5512" t="n">
        <v>34.9</v>
      </c>
      <c r="G5512" t="n">
        <v>152</v>
      </c>
      <c r="H5512" t="n">
        <v>1.31e-10</v>
      </c>
      <c r="I5512" t="inlineStr">
        <is>
          <t>TrEMBL</t>
        </is>
      </c>
      <c r="J5512" t="inlineStr"/>
      <c r="K5512" t="inlineStr">
        <is>
          <t>A0A8C5LL35_9ANUR</t>
        </is>
      </c>
      <c r="L5512" t="inlineStr">
        <is>
          <t>tr|A0A8C5LL35|A0A8C5LL35_9ANUR Transposase element L1Md-A101/L1Md-A102/L1Md-A2 OS=Leptobrachium leishanense OX=445787 PE=4 SV=1</t>
        </is>
      </c>
      <c r="M5512" t="n">
        <v>378</v>
      </c>
      <c r="N5512" t="inlineStr">
        <is>
          <t>Leptobrachium leishanense</t>
        </is>
      </c>
      <c r="O5512" t="inlineStr">
        <is>
          <t>Transposase element L1Md-A101/L1Md-A102/L1Md-A2</t>
        </is>
      </c>
    </row>
    <row r="5513">
      <c r="A5513" t="inlineStr"/>
      <c r="B5513" t="inlineStr"/>
      <c r="C5513" t="inlineStr"/>
      <c r="D5513" t="inlineStr"/>
      <c r="E5513">
        <f>HYPERLINK("https://www.ncbi.nlm.nih.gov/gene/?term=OCT74252.1", "OCT74252.1")</f>
        <v/>
      </c>
      <c r="F5513" t="n">
        <v>36</v>
      </c>
      <c r="G5513" t="n">
        <v>125</v>
      </c>
      <c r="H5513" t="n">
        <v>1.42e-10</v>
      </c>
      <c r="I5513" t="inlineStr">
        <is>
          <t>Nr</t>
        </is>
      </c>
      <c r="J5513" t="inlineStr"/>
      <c r="K5513" t="inlineStr"/>
      <c r="L5513" t="inlineStr">
        <is>
          <t>OCT74252.1 hypothetical protein XELAEV_18033211mg [Xenopus laevis]</t>
        </is>
      </c>
      <c r="M5513" t="n">
        <v>327</v>
      </c>
      <c r="N5513" t="inlineStr">
        <is>
          <t>Xenopus laevis</t>
        </is>
      </c>
      <c r="O5513" t="inlineStr">
        <is>
          <t>hypothetical protein XELAEV_18033211mg</t>
        </is>
      </c>
    </row>
    <row r="5514">
      <c r="A5514" t="inlineStr"/>
      <c r="B5514" t="inlineStr"/>
      <c r="C5514" t="inlineStr"/>
      <c r="D5514" t="inlineStr"/>
      <c r="E5514">
        <f>HYPERLINK("https://www.ncbi.nlm.nih.gov/gene/?term=CAH2330124.1", "CAH2330124.1")</f>
        <v/>
      </c>
      <c r="F5514" t="n">
        <v>36</v>
      </c>
      <c r="G5514" t="n">
        <v>139</v>
      </c>
      <c r="H5514" t="n">
        <v>1.45e-10</v>
      </c>
      <c r="I5514" t="inlineStr">
        <is>
          <t>Nr</t>
        </is>
      </c>
      <c r="J5514" t="inlineStr"/>
      <c r="K5514" t="inlineStr"/>
      <c r="L5514" t="inlineStr">
        <is>
          <t>CAH2330124.1 Hypothetical predicted protein [Pelobates cultripes]</t>
        </is>
      </c>
      <c r="M5514" t="n">
        <v>330</v>
      </c>
      <c r="N5514" t="inlineStr">
        <is>
          <t>Pelobates cultripes</t>
        </is>
      </c>
      <c r="O5514" t="inlineStr">
        <is>
          <t>Hypothetical predicted protein</t>
        </is>
      </c>
    </row>
    <row r="5515">
      <c r="A5515" t="inlineStr"/>
      <c r="B5515" t="inlineStr"/>
      <c r="C5515" t="inlineStr"/>
      <c r="D5515" t="inlineStr"/>
      <c r="E5515">
        <f>HYPERLINK("https://www.uniprot.org/uniprotkb/A0A8C5LUK7/entry", "A0A8C5LUK7")</f>
        <v/>
      </c>
      <c r="F5515" t="n">
        <v>36.1</v>
      </c>
      <c r="G5515" t="n">
        <v>144</v>
      </c>
      <c r="H5515" t="n">
        <v>1.69e-10</v>
      </c>
      <c r="I5515" t="inlineStr">
        <is>
          <t>TrEMBL</t>
        </is>
      </c>
      <c r="J5515" t="inlineStr"/>
      <c r="K5515" t="inlineStr">
        <is>
          <t>A0A8C5LUK7_9ANUR</t>
        </is>
      </c>
      <c r="L5515" t="inlineStr">
        <is>
          <t>tr|A0A8C5LUK7|A0A8C5LUK7_9ANUR LINE-1 type transposase domain-containing protein 1 OS=Leptobrachium leishanense OX=445787 PE=4 SV=1</t>
        </is>
      </c>
      <c r="M5515" t="n">
        <v>362</v>
      </c>
      <c r="N5515" t="inlineStr">
        <is>
          <t>Leptobrachium leishanense</t>
        </is>
      </c>
      <c r="O5515" t="inlineStr">
        <is>
          <t>LINE-1 type transposase domain-containing protein 1</t>
        </is>
      </c>
    </row>
    <row r="5516">
      <c r="A5516" t="inlineStr"/>
      <c r="B5516" t="inlineStr"/>
      <c r="C5516" t="inlineStr"/>
      <c r="D5516" t="inlineStr"/>
      <c r="E5516">
        <f>HYPERLINK("https://www.ncbi.nlm.nih.gov/gene/?term=XP_018417206.1", "XP_018417206.1")</f>
        <v/>
      </c>
      <c r="F5516" t="n">
        <v>44.6</v>
      </c>
      <c r="G5516" t="n">
        <v>74</v>
      </c>
      <c r="H5516" t="n">
        <v>1.77e-10</v>
      </c>
      <c r="I5516" t="inlineStr">
        <is>
          <t>Nr</t>
        </is>
      </c>
      <c r="J5516" t="inlineStr"/>
      <c r="K5516" t="inlineStr"/>
      <c r="L5516" t="inlineStr">
        <is>
          <t>XP_018417206.1 PREDICTED: protein phosphatase 1E [Nanorana parkeri]</t>
        </is>
      </c>
      <c r="M5516" t="n">
        <v>927</v>
      </c>
      <c r="N5516" t="inlineStr">
        <is>
          <t>Nanorana parkeri</t>
        </is>
      </c>
      <c r="O5516" t="inlineStr">
        <is>
          <t>PREDICTED: protein phosphatase 1E</t>
        </is>
      </c>
    </row>
    <row r="5517">
      <c r="A5517" t="inlineStr"/>
      <c r="B5517" t="inlineStr"/>
      <c r="C5517" t="inlineStr"/>
      <c r="D5517" t="inlineStr"/>
      <c r="E5517">
        <f>HYPERLINK("https://www.uniprot.org/uniprotkb/Q05118/entry", "Q05118")</f>
        <v/>
      </c>
      <c r="F5517" t="n">
        <v>27.6</v>
      </c>
      <c r="G5517" t="n">
        <v>293</v>
      </c>
      <c r="H5517" t="n">
        <v>1.88e-10</v>
      </c>
      <c r="I5517" t="inlineStr">
        <is>
          <t>Swiss-Prot</t>
        </is>
      </c>
      <c r="J5517" t="inlineStr"/>
      <c r="K5517" t="inlineStr">
        <is>
          <t>PO23_POPJA</t>
        </is>
      </c>
      <c r="L5517" t="inlineStr">
        <is>
          <t>sp|Q05118|PO23_POPJA Retrovirus-related Pol polyprotein from type-1 retrotransposable element R2 (Fragment) OS=Popillia japonica OX=7064 PE=4 SV=1</t>
        </is>
      </c>
      <c r="M5517" t="n">
        <v>606</v>
      </c>
      <c r="N5517" t="inlineStr">
        <is>
          <t>Popillia japonica</t>
        </is>
      </c>
      <c r="O5517" t="inlineStr">
        <is>
          <t>Retrovirus-related Pol polyprotein from type-1 retrotransposable element R2 (Fragment)</t>
        </is>
      </c>
    </row>
    <row r="5518">
      <c r="A5518" t="inlineStr"/>
      <c r="B5518" t="inlineStr"/>
      <c r="C5518" t="inlineStr"/>
      <c r="D5518" t="inlineStr"/>
      <c r="E5518">
        <f>HYPERLINK("https://www.ncbi.nlm.nih.gov/gene/?term=CAH2330500.1", "CAH2330500.1")</f>
        <v/>
      </c>
      <c r="F5518" t="n">
        <v>49.2</v>
      </c>
      <c r="G5518" t="n">
        <v>63</v>
      </c>
      <c r="H5518" t="n">
        <v>2.02e-10</v>
      </c>
      <c r="I5518" t="inlineStr">
        <is>
          <t>Nr</t>
        </is>
      </c>
      <c r="J5518" t="inlineStr"/>
      <c r="K5518" t="inlineStr"/>
      <c r="L5518" t="inlineStr">
        <is>
          <t>CAH2330500.1 Hypothetical predicted protein [Pelobates cultripes]</t>
        </is>
      </c>
      <c r="M5518" t="n">
        <v>141</v>
      </c>
      <c r="N5518" t="inlineStr">
        <is>
          <t>Pelobates cultripes</t>
        </is>
      </c>
      <c r="O5518" t="inlineStr">
        <is>
          <t>Hypothetical predicted protein</t>
        </is>
      </c>
    </row>
    <row r="5519">
      <c r="A5519" t="inlineStr"/>
      <c r="B5519" t="inlineStr"/>
      <c r="C5519" t="inlineStr"/>
      <c r="D5519" t="inlineStr"/>
      <c r="E5519">
        <f>HYPERLINK("https://www.uniprot.org/uniprotkb/A0A6P7YTW4/entry", "A0A6P7YTW4")</f>
        <v/>
      </c>
      <c r="F5519" t="n">
        <v>36.6</v>
      </c>
      <c r="G5519" t="n">
        <v>123</v>
      </c>
      <c r="H5519" t="n">
        <v>2.05e-10</v>
      </c>
      <c r="I5519" t="inlineStr">
        <is>
          <t>TrEMBL</t>
        </is>
      </c>
      <c r="J5519" t="inlineStr">
        <is>
          <t>UBR3</t>
        </is>
      </c>
      <c r="K5519" t="inlineStr">
        <is>
          <t>A0A6P7YTW4_9AMPH</t>
        </is>
      </c>
      <c r="L5519" t="inlineStr">
        <is>
          <t>tr|A0A6P7YTW4|A0A6P7YTW4_9AMPH E3 ubiquitin-protein ligase OS=Microcaecilia unicolor OX=1415580 GN=UBR3 PE=3 SV=1</t>
        </is>
      </c>
      <c r="M5519" t="n">
        <v>2265</v>
      </c>
      <c r="N5519" t="inlineStr">
        <is>
          <t>Microcaecilia unicolor</t>
        </is>
      </c>
      <c r="O5519" t="inlineStr">
        <is>
          <t>E3 ubiquitin-protein ligase</t>
        </is>
      </c>
    </row>
    <row r="5520">
      <c r="A5520" t="inlineStr"/>
      <c r="B5520" t="inlineStr"/>
      <c r="C5520" t="inlineStr"/>
      <c r="D5520" t="inlineStr"/>
      <c r="E5520">
        <f>HYPERLINK("https://www.ncbi.nlm.nih.gov/gene/?term=OCT56565.1", "OCT56565.1")</f>
        <v/>
      </c>
      <c r="F5520" t="n">
        <v>45.7</v>
      </c>
      <c r="G5520" t="n">
        <v>70</v>
      </c>
      <c r="H5520" t="n">
        <v>2.09e-10</v>
      </c>
      <c r="I5520" t="inlineStr">
        <is>
          <t>Nr</t>
        </is>
      </c>
      <c r="J5520" t="inlineStr"/>
      <c r="K5520" t="inlineStr"/>
      <c r="L5520" t="inlineStr">
        <is>
          <t>OCT56565.1 hypothetical protein XELAEV_18004687mg [Xenopus laevis]</t>
        </is>
      </c>
      <c r="M5520" t="n">
        <v>159</v>
      </c>
      <c r="N5520" t="inlineStr">
        <is>
          <t>Xenopus laevis</t>
        </is>
      </c>
      <c r="O5520" t="inlineStr">
        <is>
          <t>hypothetical protein XELAEV_18004687mg</t>
        </is>
      </c>
    </row>
    <row r="5521">
      <c r="A5521" t="inlineStr"/>
      <c r="B5521" t="inlineStr"/>
      <c r="C5521" t="inlineStr"/>
      <c r="D5521" t="inlineStr"/>
      <c r="E5521">
        <f>HYPERLINK("https://www.uniprot.org/uniprotkb/A0A8C5MIZ2/entry", "A0A8C5MIZ2")</f>
        <v/>
      </c>
      <c r="F5521" t="n">
        <v>36.6</v>
      </c>
      <c r="G5521" t="n">
        <v>82</v>
      </c>
      <c r="H5521" t="n">
        <v>2.24e-10</v>
      </c>
      <c r="I5521" t="inlineStr">
        <is>
          <t>TrEMBL</t>
        </is>
      </c>
      <c r="J5521" t="inlineStr"/>
      <c r="K5521" t="inlineStr">
        <is>
          <t>A0A8C5MIZ2_9ANUR</t>
        </is>
      </c>
      <c r="L5521" t="inlineStr">
        <is>
          <t>tr|A0A8C5MIZ2|A0A8C5MIZ2_9ANUR Transposase OS=Leptobrachium leishanense OX=445787 PE=4 SV=1</t>
        </is>
      </c>
      <c r="M5521" t="n">
        <v>329</v>
      </c>
      <c r="N5521" t="inlineStr">
        <is>
          <t>Leptobrachium leishanense</t>
        </is>
      </c>
      <c r="O5521" t="inlineStr">
        <is>
          <t>Transposase</t>
        </is>
      </c>
    </row>
    <row r="5522">
      <c r="A5522" t="inlineStr"/>
      <c r="B5522" t="inlineStr"/>
      <c r="C5522" t="inlineStr"/>
      <c r="D5522" t="inlineStr"/>
      <c r="E5522">
        <f>HYPERLINK("https://www.uniprot.org/uniprotkb/A0A8C5R7F0/entry", "A0A8C5R7F0")</f>
        <v/>
      </c>
      <c r="F5522" t="n">
        <v>48.1</v>
      </c>
      <c r="G5522" t="n">
        <v>81</v>
      </c>
      <c r="H5522" t="n">
        <v>2.32e-10</v>
      </c>
      <c r="I5522" t="inlineStr">
        <is>
          <t>TrEMBL</t>
        </is>
      </c>
      <c r="J5522" t="inlineStr"/>
      <c r="K5522" t="inlineStr">
        <is>
          <t>A0A8C5R7F0_9ANUR</t>
        </is>
      </c>
      <c r="L5522" t="inlineStr">
        <is>
          <t>tr|A0A8C5R7F0|A0A8C5R7F0_9ANUR Tick transposon OS=Leptobrachium leishanense OX=445787 PE=4 SV=1</t>
        </is>
      </c>
      <c r="M5522" t="n">
        <v>364</v>
      </c>
      <c r="N5522" t="inlineStr">
        <is>
          <t>Leptobrachium leishanense</t>
        </is>
      </c>
      <c r="O5522" t="inlineStr">
        <is>
          <t>Tick transposon</t>
        </is>
      </c>
    </row>
    <row r="5523">
      <c r="A5523" t="inlineStr"/>
      <c r="B5523" t="inlineStr"/>
      <c r="C5523" t="inlineStr"/>
      <c r="D5523" t="inlineStr"/>
      <c r="E5523">
        <f>HYPERLINK("https://www.uniprot.org/uniprotkb/A0A803JEW2/entry", "A0A803JEW2")</f>
        <v/>
      </c>
      <c r="F5523" t="n">
        <v>45.1</v>
      </c>
      <c r="G5523" t="n">
        <v>71</v>
      </c>
      <c r="H5523" t="n">
        <v>2.6e-10</v>
      </c>
      <c r="I5523" t="inlineStr">
        <is>
          <t>TrEMBL</t>
        </is>
      </c>
      <c r="J5523" t="inlineStr"/>
      <c r="K5523" t="inlineStr">
        <is>
          <t>A0A803JEW2_XENTR</t>
        </is>
      </c>
      <c r="L5523" t="inlineStr">
        <is>
          <t>tr|A0A803JEW2|A0A803JEW2_XENTR Transposase_22 domain-containing protein OS=Xenopus tropicalis OX=8364 PE=4 SV=1</t>
        </is>
      </c>
      <c r="M5523" t="n">
        <v>372</v>
      </c>
      <c r="N5523" t="inlineStr">
        <is>
          <t>Xenopus tropicalis</t>
        </is>
      </c>
      <c r="O5523" t="inlineStr">
        <is>
          <t>Transposase_22 domain-containing protein</t>
        </is>
      </c>
    </row>
    <row r="5524">
      <c r="A5524" t="inlineStr"/>
      <c r="B5524" t="inlineStr"/>
      <c r="C5524" t="inlineStr"/>
      <c r="D5524" t="inlineStr"/>
      <c r="E5524">
        <f>HYPERLINK("https://www.ncbi.nlm.nih.gov/gene/?term=OCT78735.1", "OCT78735.1")</f>
        <v/>
      </c>
      <c r="F5524" t="n">
        <v>36.1</v>
      </c>
      <c r="G5524" t="n">
        <v>133</v>
      </c>
      <c r="H5524" t="n">
        <v>2.62e-10</v>
      </c>
      <c r="I5524" t="inlineStr">
        <is>
          <t>Nr</t>
        </is>
      </c>
      <c r="J5524" t="inlineStr"/>
      <c r="K5524" t="inlineStr"/>
      <c r="L5524" t="inlineStr">
        <is>
          <t>OCT78735.1 hypothetical protein XELAEV_18029824mg, partial [Xenopus laevis]</t>
        </is>
      </c>
      <c r="M5524" t="n">
        <v>253</v>
      </c>
      <c r="N5524" t="inlineStr">
        <is>
          <t>Xenopus laevis</t>
        </is>
      </c>
      <c r="O5524" t="inlineStr">
        <is>
          <t>hypothetical protein XELAEV_18029824mg, partial</t>
        </is>
      </c>
    </row>
    <row r="5525">
      <c r="A5525" t="inlineStr"/>
      <c r="B5525" t="inlineStr"/>
      <c r="C5525" t="inlineStr"/>
      <c r="D5525" t="inlineStr"/>
      <c r="E5525">
        <f>HYPERLINK("https://www.uniprot.org/uniprotkb/A0A8C5LL14/entry", "A0A8C5LL14")</f>
        <v/>
      </c>
      <c r="F5525" t="n">
        <v>38.2</v>
      </c>
      <c r="G5525" t="n">
        <v>76</v>
      </c>
      <c r="H5525" t="n">
        <v>2.85e-10</v>
      </c>
      <c r="I5525" t="inlineStr">
        <is>
          <t>TrEMBL</t>
        </is>
      </c>
      <c r="J5525" t="inlineStr"/>
      <c r="K5525" t="inlineStr">
        <is>
          <t>A0A8C5LL14_9ANUR</t>
        </is>
      </c>
      <c r="L5525" t="inlineStr">
        <is>
          <t>tr|A0A8C5LL14|A0A8C5LL14_9ANUR LINE-1 type transposase domain-containing protein 1 OS=Leptobrachium leishanense OX=445787 PE=4 SV=1</t>
        </is>
      </c>
      <c r="M5525" t="n">
        <v>314</v>
      </c>
      <c r="N5525" t="inlineStr">
        <is>
          <t>Leptobrachium leishanense</t>
        </is>
      </c>
      <c r="O5525" t="inlineStr">
        <is>
          <t>LINE-1 type transposase domain-containing protein 1</t>
        </is>
      </c>
    </row>
    <row r="5526">
      <c r="A5526" t="inlineStr"/>
      <c r="B5526" t="inlineStr"/>
      <c r="C5526" t="inlineStr"/>
      <c r="D5526" t="inlineStr"/>
      <c r="E5526">
        <f>HYPERLINK("https://www.uniprot.org/uniprotkb/A0A8C5Q7H7/entry", "A0A8C5Q7H7")</f>
        <v/>
      </c>
      <c r="F5526" t="n">
        <v>31.4</v>
      </c>
      <c r="G5526" t="n">
        <v>194</v>
      </c>
      <c r="H5526" t="n">
        <v>2.96e-10</v>
      </c>
      <c r="I5526" t="inlineStr">
        <is>
          <t>TrEMBL</t>
        </is>
      </c>
      <c r="J5526" t="inlineStr"/>
      <c r="K5526" t="inlineStr">
        <is>
          <t>A0A8C5Q7H7_9ANUR</t>
        </is>
      </c>
      <c r="L5526" t="inlineStr">
        <is>
          <t>tr|A0A8C5Q7H7|A0A8C5Q7H7_9ANUR LINE-1 type transposase domain-containing protein 1 OS=Leptobrachium leishanense OX=445787 PE=4 SV=1</t>
        </is>
      </c>
      <c r="M5526" t="n">
        <v>348</v>
      </c>
      <c r="N5526" t="inlineStr">
        <is>
          <t>Leptobrachium leishanense</t>
        </is>
      </c>
      <c r="O5526" t="inlineStr">
        <is>
          <t>LINE-1 type transposase domain-containing protein 1</t>
        </is>
      </c>
    </row>
    <row r="5527">
      <c r="A5527" t="inlineStr"/>
      <c r="B5527" t="inlineStr"/>
      <c r="C5527" t="inlineStr"/>
      <c r="D5527" t="inlineStr"/>
      <c r="E5527">
        <f>HYPERLINK("https://www.uniprot.org/uniprotkb/A0A803JMG3/entry", "A0A803JMG3")</f>
        <v/>
      </c>
      <c r="F5527" t="n">
        <v>48.7</v>
      </c>
      <c r="G5527" t="n">
        <v>76</v>
      </c>
      <c r="H5527" t="n">
        <v>3.78e-10</v>
      </c>
      <c r="I5527" t="inlineStr">
        <is>
          <t>TrEMBL</t>
        </is>
      </c>
      <c r="J5527" t="inlineStr"/>
      <c r="K5527" t="inlineStr">
        <is>
          <t>A0A803JMG3_XENTR</t>
        </is>
      </c>
      <c r="L5527" t="inlineStr">
        <is>
          <t>tr|A0A803JMG3|A0A803JMG3_XENTR LINE-1 type transposase domain-containing protein 1 OS=Xenopus tropicalis OX=8364 PE=4 SV=1</t>
        </is>
      </c>
      <c r="M5527" t="n">
        <v>334</v>
      </c>
      <c r="N5527" t="inlineStr">
        <is>
          <t>Xenopus tropicalis</t>
        </is>
      </c>
      <c r="O5527" t="inlineStr">
        <is>
          <t>LINE-1 type transposase domain-containing protein 1</t>
        </is>
      </c>
    </row>
    <row r="5528">
      <c r="A5528" t="inlineStr"/>
      <c r="B5528" t="inlineStr"/>
      <c r="C5528" t="inlineStr"/>
      <c r="D5528" t="inlineStr"/>
      <c r="E5528">
        <f>HYPERLINK("https://www.uniprot.org/uniprotkb/A0A803J8C4/entry", "A0A803J8C4")</f>
        <v/>
      </c>
      <c r="F5528" t="n">
        <v>48.7</v>
      </c>
      <c r="G5528" t="n">
        <v>76</v>
      </c>
      <c r="H5528" t="n">
        <v>3.82e-10</v>
      </c>
      <c r="I5528" t="inlineStr">
        <is>
          <t>TrEMBL</t>
        </is>
      </c>
      <c r="J5528" t="inlineStr"/>
      <c r="K5528" t="inlineStr">
        <is>
          <t>A0A803J8C4_XENTR</t>
        </is>
      </c>
      <c r="L5528" t="inlineStr">
        <is>
          <t>tr|A0A803J8C4|A0A803J8C4_XENTR LINE-1 type transposase domain-containing protein 1 OS=Xenopus tropicalis OX=8364 PE=4 SV=1</t>
        </is>
      </c>
      <c r="M5528" t="n">
        <v>336</v>
      </c>
      <c r="N5528" t="inlineStr">
        <is>
          <t>Xenopus tropicalis</t>
        </is>
      </c>
      <c r="O5528" t="inlineStr">
        <is>
          <t>LINE-1 type transposase domain-containing protein 1</t>
        </is>
      </c>
    </row>
    <row r="5529">
      <c r="A5529" t="inlineStr"/>
      <c r="B5529" t="inlineStr"/>
      <c r="C5529" t="inlineStr"/>
      <c r="D5529" t="inlineStr"/>
      <c r="E5529">
        <f>HYPERLINK("https://www.uniprot.org/uniprotkb/A0A803J5Q5/entry", "A0A803J5Q5")</f>
        <v/>
      </c>
      <c r="F5529" t="n">
        <v>48.7</v>
      </c>
      <c r="G5529" t="n">
        <v>76</v>
      </c>
      <c r="H5529" t="n">
        <v>3.82e-10</v>
      </c>
      <c r="I5529" t="inlineStr">
        <is>
          <t>TrEMBL</t>
        </is>
      </c>
      <c r="J5529" t="inlineStr"/>
      <c r="K5529" t="inlineStr">
        <is>
          <t>A0A803J5Q5_XENTR</t>
        </is>
      </c>
      <c r="L5529" t="inlineStr">
        <is>
          <t>tr|A0A803J5Q5|A0A803J5Q5_XENTR LINE-1 type transposase domain-containing protein 1 OS=Xenopus tropicalis OX=8364 PE=4 SV=1</t>
        </is>
      </c>
      <c r="M5529" t="n">
        <v>336</v>
      </c>
      <c r="N5529" t="inlineStr">
        <is>
          <t>Xenopus tropicalis</t>
        </is>
      </c>
      <c r="O5529" t="inlineStr">
        <is>
          <t>LINE-1 type transposase domain-containing protein 1</t>
        </is>
      </c>
    </row>
    <row r="5530">
      <c r="A5530" t="inlineStr"/>
      <c r="B5530" t="inlineStr"/>
      <c r="C5530" t="inlineStr"/>
      <c r="D5530" t="inlineStr"/>
      <c r="E5530">
        <f>HYPERLINK("https://www.ncbi.nlm.nih.gov/gene/?term=OCT94485.1", "OCT94485.1")</f>
        <v/>
      </c>
      <c r="F5530" t="n">
        <v>39.2</v>
      </c>
      <c r="G5530" t="n">
        <v>74</v>
      </c>
      <c r="H5530" t="n">
        <v>4.07e-10</v>
      </c>
      <c r="I5530" t="inlineStr">
        <is>
          <t>Nr</t>
        </is>
      </c>
      <c r="J5530" t="inlineStr"/>
      <c r="K5530" t="inlineStr"/>
      <c r="L5530" t="inlineStr">
        <is>
          <t>OCT94485.1 hypothetical protein XELAEV_18012157mg [Xenopus laevis]</t>
        </is>
      </c>
      <c r="M5530" t="n">
        <v>244</v>
      </c>
      <c r="N5530" t="inlineStr">
        <is>
          <t>Xenopus laevis</t>
        </is>
      </c>
      <c r="O5530" t="inlineStr">
        <is>
          <t>hypothetical protein XELAEV_18012157mg</t>
        </is>
      </c>
    </row>
    <row r="5531">
      <c r="A5531" t="inlineStr"/>
      <c r="B5531" t="inlineStr"/>
      <c r="C5531" t="inlineStr"/>
      <c r="D5531" t="inlineStr"/>
      <c r="E5531">
        <f>HYPERLINK("https://www.uniprot.org/uniprotkb/A0A8C5PAB4/entry", "A0A8C5PAB4")</f>
        <v/>
      </c>
      <c r="F5531" t="n">
        <v>38.2</v>
      </c>
      <c r="G5531" t="n">
        <v>76</v>
      </c>
      <c r="H5531" t="n">
        <v>4.18e-10</v>
      </c>
      <c r="I5531" t="inlineStr">
        <is>
          <t>TrEMBL</t>
        </is>
      </c>
      <c r="J5531" t="inlineStr"/>
      <c r="K5531" t="inlineStr">
        <is>
          <t>A0A8C5PAB4_9ANUR</t>
        </is>
      </c>
      <c r="L5531" t="inlineStr">
        <is>
          <t>tr|A0A8C5PAB4|A0A8C5PAB4_9ANUR Proteophosphoglycan ppg4 OS=Leptobrachium leishanense OX=445787 PE=4 SV=1</t>
        </is>
      </c>
      <c r="M5531" t="n">
        <v>590</v>
      </c>
      <c r="N5531" t="inlineStr">
        <is>
          <t>Leptobrachium leishanense</t>
        </is>
      </c>
      <c r="O5531" t="inlineStr">
        <is>
          <t>Proteophosphoglycan ppg4</t>
        </is>
      </c>
    </row>
    <row r="5532">
      <c r="A5532" t="inlineStr"/>
      <c r="B5532" t="inlineStr"/>
      <c r="C5532" t="inlineStr"/>
      <c r="D5532" t="inlineStr"/>
      <c r="E5532">
        <f>HYPERLINK("https://www.uniprot.org/uniprotkb/A0A803J9X1/entry", "A0A803J9X1")</f>
        <v/>
      </c>
      <c r="F5532" t="n">
        <v>39.2</v>
      </c>
      <c r="G5532" t="n">
        <v>79</v>
      </c>
      <c r="H5532" t="n">
        <v>4.21e-10</v>
      </c>
      <c r="I5532" t="inlineStr">
        <is>
          <t>TrEMBL</t>
        </is>
      </c>
      <c r="J5532" t="inlineStr"/>
      <c r="K5532" t="inlineStr">
        <is>
          <t>A0A803J9X1_XENTR</t>
        </is>
      </c>
      <c r="L5532" t="inlineStr">
        <is>
          <t>tr|A0A803J9X1|A0A803J9X1_XENTR Reverse transcriptase domain-containing protein OS=Xenopus tropicalis OX=8364 PE=4 SV=1</t>
        </is>
      </c>
      <c r="M5532" t="n">
        <v>328</v>
      </c>
      <c r="N5532" t="inlineStr">
        <is>
          <t>Xenopus tropicalis</t>
        </is>
      </c>
      <c r="O5532" t="inlineStr">
        <is>
          <t>Reverse transcriptase domain-containing protein</t>
        </is>
      </c>
    </row>
    <row r="5533">
      <c r="A5533" t="inlineStr"/>
      <c r="B5533" t="inlineStr"/>
      <c r="C5533" t="inlineStr"/>
      <c r="D5533" t="inlineStr"/>
      <c r="E5533">
        <f>HYPERLINK("https://www.uniprot.org/uniprotkb/A0A803KF49/entry", "A0A803KF49")</f>
        <v/>
      </c>
      <c r="F5533" t="n">
        <v>48.7</v>
      </c>
      <c r="G5533" t="n">
        <v>76</v>
      </c>
      <c r="H5533" t="n">
        <v>4.31e-10</v>
      </c>
      <c r="I5533" t="inlineStr">
        <is>
          <t>TrEMBL</t>
        </is>
      </c>
      <c r="J5533" t="inlineStr"/>
      <c r="K5533" t="inlineStr">
        <is>
          <t>A0A803KF49_XENTR</t>
        </is>
      </c>
      <c r="L5533" t="inlineStr">
        <is>
          <t>tr|A0A803KF49|A0A803KF49_XENTR LINE-1 type transposase domain-containing protein 1 OS=Xenopus tropicalis OX=8364 PE=4 SV=1</t>
        </is>
      </c>
      <c r="M5533" t="n">
        <v>364</v>
      </c>
      <c r="N5533" t="inlineStr">
        <is>
          <t>Xenopus tropicalis</t>
        </is>
      </c>
      <c r="O5533" t="inlineStr">
        <is>
          <t>LINE-1 type transposase domain-containing protein 1</t>
        </is>
      </c>
    </row>
    <row r="5534">
      <c r="A5534" t="inlineStr"/>
      <c r="B5534" t="inlineStr"/>
      <c r="C5534" t="inlineStr"/>
      <c r="D5534" t="inlineStr"/>
      <c r="E5534">
        <f>HYPERLINK("https://www.uniprot.org/uniprotkb/A0A8C5QH07/entry", "A0A8C5QH07")</f>
        <v/>
      </c>
      <c r="F5534" t="n">
        <v>34.2</v>
      </c>
      <c r="G5534" t="n">
        <v>120</v>
      </c>
      <c r="H5534" t="n">
        <v>4.72e-10</v>
      </c>
      <c r="I5534" t="inlineStr">
        <is>
          <t>TrEMBL</t>
        </is>
      </c>
      <c r="J5534" t="inlineStr"/>
      <c r="K5534" t="inlineStr">
        <is>
          <t>A0A8C5QH07_9ANUR</t>
        </is>
      </c>
      <c r="L5534" t="inlineStr">
        <is>
          <t>tr|A0A8C5QH07|A0A8C5QH07_9ANUR Tick transposon OS=Leptobrachium leishanense OX=445787 PE=4 SV=1</t>
        </is>
      </c>
      <c r="M5534" t="n">
        <v>360</v>
      </c>
      <c r="N5534" t="inlineStr">
        <is>
          <t>Leptobrachium leishanense</t>
        </is>
      </c>
      <c r="O5534" t="inlineStr">
        <is>
          <t>Tick transposon</t>
        </is>
      </c>
    </row>
    <row r="5535">
      <c r="A5535" t="inlineStr"/>
      <c r="B5535" t="inlineStr"/>
      <c r="C5535" t="inlineStr"/>
      <c r="D5535" t="inlineStr"/>
      <c r="E5535">
        <f>HYPERLINK("https://www.uniprot.org/uniprotkb/A0A8C5R7F0/entry", "A0A8C5R7F0")</f>
        <v/>
      </c>
      <c r="F5535" t="n">
        <v>34.2</v>
      </c>
      <c r="G5535" t="n">
        <v>120</v>
      </c>
      <c r="H5535" t="n">
        <v>4.78e-10</v>
      </c>
      <c r="I5535" t="inlineStr">
        <is>
          <t>TrEMBL</t>
        </is>
      </c>
      <c r="J5535" t="inlineStr"/>
      <c r="K5535" t="inlineStr">
        <is>
          <t>A0A8C5R7F0_9ANUR</t>
        </is>
      </c>
      <c r="L5535" t="inlineStr">
        <is>
          <t>tr|A0A8C5R7F0|A0A8C5R7F0_9ANUR Tick transposon OS=Leptobrachium leishanense OX=445787 PE=4 SV=1</t>
        </is>
      </c>
      <c r="M5535" t="n">
        <v>364</v>
      </c>
      <c r="N5535" t="inlineStr">
        <is>
          <t>Leptobrachium leishanense</t>
        </is>
      </c>
      <c r="O5535" t="inlineStr">
        <is>
          <t>Tick transposon</t>
        </is>
      </c>
    </row>
    <row r="5536">
      <c r="A5536" t="inlineStr"/>
      <c r="B5536" t="inlineStr"/>
      <c r="C5536" t="inlineStr"/>
      <c r="D5536" t="inlineStr"/>
      <c r="E5536">
        <f>HYPERLINK("https://www.uniprot.org/uniprotkb/A0A3S5ABT3/entry", "A0A3S5ABT3")</f>
        <v/>
      </c>
      <c r="F5536" t="n">
        <v>40.5</v>
      </c>
      <c r="G5536" t="n">
        <v>79</v>
      </c>
      <c r="H5536" t="n">
        <v>5.07e-10</v>
      </c>
      <c r="I5536" t="inlineStr">
        <is>
          <t>TrEMBL</t>
        </is>
      </c>
      <c r="J5536" t="inlineStr">
        <is>
          <t>PXEA_LOCUS10203</t>
        </is>
      </c>
      <c r="K5536" t="inlineStr">
        <is>
          <t>A0A3S5ABT3_9PLAT</t>
        </is>
      </c>
      <c r="L5536" t="inlineStr">
        <is>
          <t>tr|A0A3S5ABT3|A0A3S5ABT3_9PLAT LINE-1 type transposase domain-containing protein 1 OS=Protopolystoma xenopodis OX=117903 GN=PXEA_LOCUS10203 PE=4 SV=1</t>
        </is>
      </c>
      <c r="M5536" t="n">
        <v>391</v>
      </c>
      <c r="N5536" t="inlineStr">
        <is>
          <t>Protopolystoma xenopodis</t>
        </is>
      </c>
      <c r="O5536" t="inlineStr">
        <is>
          <t>LINE-1 type transposase domain-containing protein 1</t>
        </is>
      </c>
    </row>
    <row r="5537">
      <c r="A5537" t="inlineStr"/>
      <c r="B5537" t="inlineStr"/>
      <c r="C5537" t="inlineStr"/>
      <c r="D5537" t="inlineStr"/>
      <c r="E5537">
        <f>HYPERLINK("https://www.ncbi.nlm.nih.gov/gene/?term=XP_030066714.1", "XP_030066714.1")</f>
        <v/>
      </c>
      <c r="F5537" t="n">
        <v>36.6</v>
      </c>
      <c r="G5537" t="n">
        <v>123</v>
      </c>
      <c r="H5537" t="n">
        <v>5.27e-10</v>
      </c>
      <c r="I5537" t="inlineStr">
        <is>
          <t>Nr</t>
        </is>
      </c>
      <c r="J5537" t="inlineStr"/>
      <c r="K5537" t="inlineStr"/>
      <c r="L5537" t="inlineStr">
        <is>
          <t>XP_030066714.1 LOW QUALITY PROTEIN: E3 ubiquitin-protein ligase UBR3 [Microcaecilia unicolor]</t>
        </is>
      </c>
      <c r="M5537" t="n">
        <v>2265</v>
      </c>
      <c r="N5537" t="inlineStr">
        <is>
          <t>Microcaecilia unicolor</t>
        </is>
      </c>
      <c r="O5537" t="inlineStr">
        <is>
          <t>LOW QUALITY PROTEIN: E3 ubiquitin-protein ligase UBR3</t>
        </is>
      </c>
    </row>
    <row r="5538">
      <c r="A5538" t="inlineStr"/>
      <c r="B5538" t="inlineStr"/>
      <c r="C5538" t="inlineStr"/>
      <c r="D5538" t="inlineStr"/>
      <c r="E5538">
        <f>HYPERLINK("https://www.uniprot.org/uniprotkb/P21328/entry", "P21328")</f>
        <v/>
      </c>
      <c r="F5538" t="n">
        <v>28.4</v>
      </c>
      <c r="G5538" t="n">
        <v>366</v>
      </c>
      <c r="H5538" t="n">
        <v>6.71e-10</v>
      </c>
      <c r="I5538" t="inlineStr">
        <is>
          <t>Swiss-Prot</t>
        </is>
      </c>
      <c r="J5538" t="inlineStr">
        <is>
          <t>pol</t>
        </is>
      </c>
      <c r="K5538" t="inlineStr">
        <is>
          <t>RTJK_DROME</t>
        </is>
      </c>
      <c r="L5538" t="inlineStr">
        <is>
          <t>sp|P21328|RTJK_DROME RNA-directed DNA polymerase from mobile element jockey OS=Drosophila melanogaster OX=7227 GN=pol PE=1 SV=1</t>
        </is>
      </c>
      <c r="M5538" t="n">
        <v>916</v>
      </c>
      <c r="N5538" t="inlineStr">
        <is>
          <t>Drosophila melanogaster</t>
        </is>
      </c>
      <c r="O5538" t="inlineStr">
        <is>
          <t>RNA-directed DNA polymerase from mobile element jockey</t>
        </is>
      </c>
    </row>
    <row r="5539">
      <c r="A5539" t="inlineStr"/>
      <c r="B5539" t="inlineStr"/>
      <c r="C5539" t="inlineStr"/>
      <c r="D5539" t="inlineStr"/>
      <c r="E5539">
        <f>HYPERLINK("https://www.ncbi.nlm.nih.gov/gene/?term=CAH2329919.1", "CAH2329919.1")</f>
        <v/>
      </c>
      <c r="F5539" t="n">
        <v>40.2</v>
      </c>
      <c r="G5539" t="n">
        <v>82</v>
      </c>
      <c r="H5539" t="n">
        <v>8e-10</v>
      </c>
      <c r="I5539" t="inlineStr">
        <is>
          <t>Nr</t>
        </is>
      </c>
      <c r="J5539" t="inlineStr"/>
      <c r="K5539" t="inlineStr"/>
      <c r="L5539" t="inlineStr">
        <is>
          <t>CAH2329919.1 Hypothetical predicted protein [Pelobates cultripes]</t>
        </is>
      </c>
      <c r="M5539" t="n">
        <v>332</v>
      </c>
      <c r="N5539" t="inlineStr">
        <is>
          <t>Pelobates cultripes</t>
        </is>
      </c>
      <c r="O5539" t="inlineStr">
        <is>
          <t>Hypothetical predicted protein</t>
        </is>
      </c>
    </row>
    <row r="5540">
      <c r="A5540" t="inlineStr"/>
      <c r="B5540" t="inlineStr"/>
      <c r="C5540" t="inlineStr"/>
      <c r="D5540" t="inlineStr"/>
      <c r="E5540">
        <f>HYPERLINK("https://www.ncbi.nlm.nih.gov/gene/?term=CAH2330501.1", "CAH2330501.1")</f>
        <v/>
      </c>
      <c r="F5540" t="n">
        <v>50.8</v>
      </c>
      <c r="G5540" t="n">
        <v>59</v>
      </c>
      <c r="H5540" t="n">
        <v>8.42e-10</v>
      </c>
      <c r="I5540" t="inlineStr">
        <is>
          <t>Nr</t>
        </is>
      </c>
      <c r="J5540" t="inlineStr"/>
      <c r="K5540" t="inlineStr"/>
      <c r="L5540" t="inlineStr">
        <is>
          <t>CAH2330501.1 Hypothetical predicted protein [Pelobates cultripes]</t>
        </is>
      </c>
      <c r="M5540" t="n">
        <v>85</v>
      </c>
      <c r="N5540" t="inlineStr">
        <is>
          <t>Pelobates cultripes</t>
        </is>
      </c>
      <c r="O5540" t="inlineStr">
        <is>
          <t>Hypothetical predicted protein</t>
        </is>
      </c>
    </row>
    <row r="5541">
      <c r="A5541" t="inlineStr"/>
      <c r="B5541" t="inlineStr"/>
      <c r="C5541" t="inlineStr"/>
      <c r="D5541" t="inlineStr"/>
      <c r="E5541">
        <f>HYPERLINK("https://www.ncbi.nlm.nih.gov/gene/?term=VEL16763.1", "VEL16763.1")</f>
        <v/>
      </c>
      <c r="F5541" t="n">
        <v>40.5</v>
      </c>
      <c r="G5541" t="n">
        <v>79</v>
      </c>
      <c r="H5541" t="n">
        <v>1.3e-09</v>
      </c>
      <c r="I5541" t="inlineStr">
        <is>
          <t>Nr</t>
        </is>
      </c>
      <c r="J5541" t="inlineStr"/>
      <c r="K5541" t="inlineStr"/>
      <c r="L5541" t="inlineStr">
        <is>
          <t>VEL16763.1 unnamed protein product [Protopolystoma xenopodis]</t>
        </is>
      </c>
      <c r="M5541" t="n">
        <v>391</v>
      </c>
      <c r="N5541" t="inlineStr">
        <is>
          <t>Protopolystoma xenopodis</t>
        </is>
      </c>
      <c r="O5541" t="inlineStr">
        <is>
          <t>unnamed protein product</t>
        </is>
      </c>
    </row>
    <row r="5542">
      <c r="A5542" t="inlineStr"/>
      <c r="B5542" t="inlineStr"/>
      <c r="C5542" t="inlineStr"/>
      <c r="D5542" t="inlineStr"/>
      <c r="E5542">
        <f>HYPERLINK("https://www.ncbi.nlm.nih.gov/gene/?term=XP_018420399.1", "XP_018420399.1")</f>
        <v/>
      </c>
      <c r="F5542" t="n">
        <v>32.6</v>
      </c>
      <c r="G5542" t="n">
        <v>132</v>
      </c>
      <c r="H5542" t="n">
        <v>1.33e-09</v>
      </c>
      <c r="I5542" t="inlineStr">
        <is>
          <t>Nr</t>
        </is>
      </c>
      <c r="J5542" t="inlineStr"/>
      <c r="K5542" t="inlineStr"/>
      <c r="L5542" t="inlineStr">
        <is>
          <t>XP_018420399.1 PREDICTED: mucin-5AC-like [Nanorana parkeri]</t>
        </is>
      </c>
      <c r="M5542" t="n">
        <v>2837</v>
      </c>
      <c r="N5542" t="inlineStr">
        <is>
          <t>Nanorana parkeri</t>
        </is>
      </c>
      <c r="O5542" t="inlineStr">
        <is>
          <t>PREDICTED: mucin-5AC-like</t>
        </is>
      </c>
    </row>
    <row r="5543">
      <c r="A5543" t="inlineStr"/>
      <c r="B5543" t="inlineStr"/>
      <c r="C5543" t="inlineStr"/>
      <c r="D5543" t="inlineStr"/>
      <c r="E5543">
        <f>HYPERLINK("https://www.ncbi.nlm.nih.gov/gene/?term=OCT82952.1", "OCT82952.1")</f>
        <v/>
      </c>
      <c r="F5543" t="n">
        <v>36.8</v>
      </c>
      <c r="G5543" t="n">
        <v>87</v>
      </c>
      <c r="H5543" t="n">
        <v>1.85e-09</v>
      </c>
      <c r="I5543" t="inlineStr">
        <is>
          <t>Nr</t>
        </is>
      </c>
      <c r="J5543" t="inlineStr"/>
      <c r="K5543" t="inlineStr"/>
      <c r="L5543" t="inlineStr">
        <is>
          <t>OCT82952.1 hypothetical protein XELAEV_18025488mg [Xenopus laevis]</t>
        </is>
      </c>
      <c r="M5543" t="n">
        <v>149</v>
      </c>
      <c r="N5543" t="inlineStr">
        <is>
          <t>Xenopus laevis</t>
        </is>
      </c>
      <c r="O5543" t="inlineStr">
        <is>
          <t>hypothetical protein XELAEV_18025488mg</t>
        </is>
      </c>
    </row>
    <row r="5544">
      <c r="A5544" t="inlineStr"/>
      <c r="B5544" t="inlineStr"/>
      <c r="C5544" t="inlineStr"/>
      <c r="D5544" t="inlineStr"/>
      <c r="E5544">
        <f>HYPERLINK("https://www.ncbi.nlm.nih.gov/gene/?term=CAH2330683.1", "CAH2330683.1")</f>
        <v/>
      </c>
      <c r="F5544" t="n">
        <v>31.5</v>
      </c>
      <c r="G5544" t="n">
        <v>168</v>
      </c>
      <c r="H5544" t="n">
        <v>2.45e-09</v>
      </c>
      <c r="I5544" t="inlineStr">
        <is>
          <t>Nr</t>
        </is>
      </c>
      <c r="J5544" t="inlineStr"/>
      <c r="K5544" t="inlineStr"/>
      <c r="L5544" t="inlineStr">
        <is>
          <t>CAH2330683.1 Hypothetical predicted protein [Pelobates cultripes]</t>
        </is>
      </c>
      <c r="M5544" t="n">
        <v>183</v>
      </c>
      <c r="N5544" t="inlineStr">
        <is>
          <t>Pelobates cultripes</t>
        </is>
      </c>
      <c r="O5544" t="inlineStr">
        <is>
          <t>Hypothetical predicted protein</t>
        </is>
      </c>
    </row>
    <row r="5545">
      <c r="A5545" t="inlineStr"/>
      <c r="B5545" t="inlineStr"/>
      <c r="C5545" t="inlineStr"/>
      <c r="D5545" t="inlineStr"/>
      <c r="E5545">
        <f>HYPERLINK("https://www.ncbi.nlm.nih.gov/gene/?term=XP_040272583.1", "XP_040272583.1")</f>
        <v/>
      </c>
      <c r="F5545" t="n">
        <v>40.2</v>
      </c>
      <c r="G5545" t="n">
        <v>87</v>
      </c>
      <c r="H5545" t="n">
        <v>2.46e-09</v>
      </c>
      <c r="I5545" t="inlineStr">
        <is>
          <t>Nr</t>
        </is>
      </c>
      <c r="J5545" t="inlineStr"/>
      <c r="K5545" t="inlineStr"/>
      <c r="L5545" t="inlineStr">
        <is>
          <t>XP_040272583.1 uncharacterized protein LOC120988885 [Bufo bufo]</t>
        </is>
      </c>
      <c r="M5545" t="n">
        <v>229</v>
      </c>
      <c r="N5545" t="inlineStr">
        <is>
          <t>Bufo bufo</t>
        </is>
      </c>
      <c r="O5545" t="inlineStr">
        <is>
          <t>uncharacterized protein LOC120988885</t>
        </is>
      </c>
    </row>
    <row r="5546">
      <c r="A5546" t="inlineStr"/>
      <c r="B5546" t="inlineStr"/>
      <c r="C5546" t="inlineStr"/>
      <c r="D5546" t="inlineStr"/>
      <c r="E5546">
        <f>HYPERLINK("https://www.ncbi.nlm.nih.gov/gene/?term=XP_044146854.1", "XP_044146854.1")</f>
        <v/>
      </c>
      <c r="F5546" t="n">
        <v>37.8</v>
      </c>
      <c r="G5546" t="n">
        <v>119</v>
      </c>
      <c r="H5546" t="n">
        <v>3.16e-09</v>
      </c>
      <c r="I5546" t="inlineStr">
        <is>
          <t>Nr</t>
        </is>
      </c>
      <c r="J5546" t="inlineStr"/>
      <c r="K5546" t="inlineStr"/>
      <c r="L5546" t="inlineStr">
        <is>
          <t>XP_044146854.1 uncharacterized protein LOC122935155 [Bufo gargarizans]</t>
        </is>
      </c>
      <c r="M5546" t="n">
        <v>1479</v>
      </c>
      <c r="N5546" t="inlineStr">
        <is>
          <t>Bufo gargarizans</t>
        </is>
      </c>
      <c r="O5546" t="inlineStr">
        <is>
          <t>uncharacterized protein LOC122935155</t>
        </is>
      </c>
    </row>
    <row r="5547">
      <c r="A5547" t="inlineStr"/>
      <c r="B5547" t="inlineStr"/>
      <c r="C5547" t="inlineStr"/>
      <c r="D5547" t="inlineStr"/>
      <c r="E5547">
        <f>HYPERLINK("https://www.ncbi.nlm.nih.gov/gene/?term=XP_040294380.1", "XP_040294380.1")</f>
        <v/>
      </c>
      <c r="F5547" t="n">
        <v>50.7</v>
      </c>
      <c r="G5547" t="n">
        <v>67</v>
      </c>
      <c r="H5547" t="n">
        <v>3.62e-09</v>
      </c>
      <c r="I5547" t="inlineStr">
        <is>
          <t>Nr</t>
        </is>
      </c>
      <c r="J5547" t="inlineStr"/>
      <c r="K5547" t="inlineStr"/>
      <c r="L5547" t="inlineStr">
        <is>
          <t>XP_040294380.1 keratin, type I cytoskeletal 19-like [Bufo bufo]</t>
        </is>
      </c>
      <c r="M5547" t="n">
        <v>562</v>
      </c>
      <c r="N5547" t="inlineStr">
        <is>
          <t>Bufo bufo</t>
        </is>
      </c>
      <c r="O5547" t="inlineStr">
        <is>
          <t>keratin, type I cytoskeletal 19-like</t>
        </is>
      </c>
    </row>
    <row r="5548">
      <c r="A5548" t="inlineStr"/>
      <c r="B5548" t="inlineStr"/>
      <c r="C5548" t="inlineStr"/>
      <c r="D5548" t="inlineStr"/>
      <c r="E5548">
        <f>HYPERLINK("https://www.ncbi.nlm.nih.gov/gene/?term=XP_031762377.1", "XP_031762377.1")</f>
        <v/>
      </c>
      <c r="F5548" t="n">
        <v>41.8</v>
      </c>
      <c r="G5548" t="n">
        <v>79</v>
      </c>
      <c r="H5548" t="n">
        <v>3.94e-09</v>
      </c>
      <c r="I5548" t="inlineStr">
        <is>
          <t>Nr</t>
        </is>
      </c>
      <c r="J5548" t="inlineStr"/>
      <c r="K5548" t="inlineStr"/>
      <c r="L5548" t="inlineStr">
        <is>
          <t>XP_031762377.1 LOW QUALITY PROTEIN: nephrocystin-4 [Xenopus tropicalis]</t>
        </is>
      </c>
      <c r="M5548" t="n">
        <v>1030</v>
      </c>
      <c r="N5548" t="inlineStr">
        <is>
          <t>Xenopus tropicalis</t>
        </is>
      </c>
      <c r="O5548" t="inlineStr">
        <is>
          <t>LOW QUALITY PROTEIN: nephrocystin-4</t>
        </is>
      </c>
    </row>
    <row r="5549">
      <c r="A5549" t="inlineStr"/>
      <c r="B5549" t="inlineStr"/>
      <c r="C5549" t="inlineStr"/>
      <c r="D5549" t="inlineStr"/>
      <c r="E5549">
        <f>HYPERLINK("https://www.ncbi.nlm.nih.gov/gene/?term=XP_044126392.1", "XP_044126392.1")</f>
        <v/>
      </c>
      <c r="F5549" t="n">
        <v>35.2</v>
      </c>
      <c r="G5549" t="n">
        <v>125</v>
      </c>
      <c r="H5549" t="n">
        <v>4.49e-09</v>
      </c>
      <c r="I5549" t="inlineStr">
        <is>
          <t>Nr</t>
        </is>
      </c>
      <c r="J5549" t="inlineStr"/>
      <c r="K5549" t="inlineStr"/>
      <c r="L5549" t="inlineStr">
        <is>
          <t>XP_044126392.1 receptor-type tyrosine-protein phosphatase beta-like [Bufo gargarizans]</t>
        </is>
      </c>
      <c r="M5549" t="n">
        <v>2854</v>
      </c>
      <c r="N5549" t="inlineStr">
        <is>
          <t>Bufo gargarizans</t>
        </is>
      </c>
      <c r="O5549" t="inlineStr">
        <is>
          <t>receptor-type tyrosine-protein phosphatase beta-like</t>
        </is>
      </c>
    </row>
    <row r="5550">
      <c r="A5550" t="inlineStr"/>
      <c r="B5550" t="inlineStr"/>
      <c r="C5550" t="inlineStr"/>
      <c r="D5550" t="inlineStr"/>
      <c r="E5550">
        <f>HYPERLINK("https://www.ncbi.nlm.nih.gov/gene/?term=OCT67305.1", "OCT67305.1")</f>
        <v/>
      </c>
      <c r="F5550" t="n">
        <v>44.1</v>
      </c>
      <c r="G5550" t="n">
        <v>68</v>
      </c>
      <c r="H5550" t="n">
        <v>5.12e-09</v>
      </c>
      <c r="I5550" t="inlineStr">
        <is>
          <t>Nr</t>
        </is>
      </c>
      <c r="J5550" t="inlineStr"/>
      <c r="K5550" t="inlineStr"/>
      <c r="L5550" t="inlineStr">
        <is>
          <t>OCT67305.1 hypothetical protein XELAEV_18038593mg [Xenopus laevis]</t>
        </is>
      </c>
      <c r="M5550" t="n">
        <v>269</v>
      </c>
      <c r="N5550" t="inlineStr">
        <is>
          <t>Xenopus laevis</t>
        </is>
      </c>
      <c r="O5550" t="inlineStr">
        <is>
          <t>hypothetical protein XELAEV_18038593mg</t>
        </is>
      </c>
    </row>
    <row r="5551">
      <c r="A5551" t="inlineStr"/>
      <c r="B5551" t="inlineStr"/>
      <c r="C5551" t="inlineStr"/>
      <c r="D5551" t="inlineStr"/>
      <c r="E5551">
        <f>HYPERLINK("https://www.ncbi.nlm.nih.gov/gene/?term=XP_044146862.1", "XP_044146862.1")</f>
        <v/>
      </c>
      <c r="F5551" t="n">
        <v>36.2</v>
      </c>
      <c r="G5551" t="n">
        <v>105</v>
      </c>
      <c r="H5551" t="n">
        <v>5.44e-09</v>
      </c>
      <c r="I5551" t="inlineStr">
        <is>
          <t>Nr</t>
        </is>
      </c>
      <c r="J5551" t="inlineStr"/>
      <c r="K5551" t="inlineStr"/>
      <c r="L5551" t="inlineStr">
        <is>
          <t>XP_044146862.1 vomeronasal type-2 receptor 1-like [Bufo gargarizans]</t>
        </is>
      </c>
      <c r="M5551" t="n">
        <v>886</v>
      </c>
      <c r="N5551" t="inlineStr">
        <is>
          <t>Bufo gargarizans</t>
        </is>
      </c>
      <c r="O5551" t="inlineStr">
        <is>
          <t>vomeronasal type-2 receptor 1-like</t>
        </is>
      </c>
    </row>
    <row r="5552">
      <c r="A5552" t="inlineStr"/>
      <c r="B5552" t="inlineStr"/>
      <c r="C5552" t="inlineStr"/>
      <c r="D5552" t="inlineStr"/>
      <c r="E5552">
        <f>HYPERLINK("https://www.ncbi.nlm.nih.gov/gene/?term=CAH2329754.1", "CAH2329754.1")</f>
        <v/>
      </c>
      <c r="F5552" t="n">
        <v>55</v>
      </c>
      <c r="G5552" t="n">
        <v>60</v>
      </c>
      <c r="H5552" t="n">
        <v>5.56e-09</v>
      </c>
      <c r="I5552" t="inlineStr">
        <is>
          <t>Nr</t>
        </is>
      </c>
      <c r="J5552" t="inlineStr"/>
      <c r="K5552" t="inlineStr"/>
      <c r="L5552" t="inlineStr">
        <is>
          <t>CAH2329754.1 Hypothetical predicted protein [Pelobates cultripes]</t>
        </is>
      </c>
      <c r="M5552" t="n">
        <v>125</v>
      </c>
      <c r="N5552" t="inlineStr">
        <is>
          <t>Pelobates cultripes</t>
        </is>
      </c>
      <c r="O5552" t="inlineStr">
        <is>
          <t>Hypothetical predicted protein</t>
        </is>
      </c>
    </row>
    <row r="5553">
      <c r="A5553" t="inlineStr"/>
      <c r="B5553" t="inlineStr"/>
      <c r="C5553" t="inlineStr"/>
      <c r="D5553" t="inlineStr"/>
      <c r="E5553">
        <f>HYPERLINK("https://www.uniprot.org/uniprotkb/Q95SX7/entry", "Q95SX7")</f>
        <v/>
      </c>
      <c r="F5553" t="n">
        <v>40.7</v>
      </c>
      <c r="G5553" t="n">
        <v>91</v>
      </c>
      <c r="H5553" t="n">
        <v>6.26e-09</v>
      </c>
      <c r="I5553" t="inlineStr">
        <is>
          <t>Swiss-Prot</t>
        </is>
      </c>
      <c r="J5553" t="inlineStr">
        <is>
          <t>RTase</t>
        </is>
      </c>
      <c r="K5553" t="inlineStr">
        <is>
          <t>RTBS_DROME</t>
        </is>
      </c>
      <c r="L5553" t="inlineStr">
        <is>
          <t>sp|Q95SX7|RTBS_DROME Probable RNA-directed DNA polymerase from transposon BS OS=Drosophila melanogaster OX=7227 GN=RTase PE=2 SV=1</t>
        </is>
      </c>
      <c r="M5553" t="n">
        <v>906</v>
      </c>
      <c r="N5553" t="inlineStr">
        <is>
          <t>Drosophila melanogaster</t>
        </is>
      </c>
      <c r="O5553" t="inlineStr">
        <is>
          <t>Probable RNA-directed DNA polymerase from transposon BS</t>
        </is>
      </c>
    </row>
    <row r="5554">
      <c r="A5554" t="inlineStr"/>
      <c r="B5554" t="inlineStr"/>
      <c r="C5554" t="inlineStr"/>
      <c r="D5554" t="inlineStr"/>
      <c r="E5554">
        <f>HYPERLINK("https://www.ncbi.nlm.nih.gov/gene/?term=OCT96503.1", "OCT96503.1")</f>
        <v/>
      </c>
      <c r="F5554" t="n">
        <v>40.8</v>
      </c>
      <c r="G5554" t="n">
        <v>71</v>
      </c>
      <c r="H5554" t="n">
        <v>9.41e-09</v>
      </c>
      <c r="I5554" t="inlineStr">
        <is>
          <t>Nr</t>
        </is>
      </c>
      <c r="J5554" t="inlineStr"/>
      <c r="K5554" t="inlineStr"/>
      <c r="L5554" t="inlineStr">
        <is>
          <t>OCT96503.1 hypothetical protein XELAEV_18008708mg [Xenopus laevis]</t>
        </is>
      </c>
      <c r="M5554" t="n">
        <v>231</v>
      </c>
      <c r="N5554" t="inlineStr">
        <is>
          <t>Xenopus laevis</t>
        </is>
      </c>
      <c r="O5554" t="inlineStr">
        <is>
          <t>hypothetical protein XELAEV_18008708mg</t>
        </is>
      </c>
    </row>
    <row r="5555">
      <c r="A5555" t="inlineStr"/>
      <c r="B5555" t="inlineStr"/>
      <c r="C5555" t="inlineStr"/>
      <c r="D5555" t="inlineStr"/>
      <c r="E5555">
        <f>HYPERLINK("https://www.ncbi.nlm.nih.gov/gene/?term=CAH2330124.1", "CAH2330124.1")</f>
        <v/>
      </c>
      <c r="F5555" t="n">
        <v>39.5</v>
      </c>
      <c r="G5555" t="n">
        <v>76</v>
      </c>
      <c r="H5555" t="n">
        <v>1e-08</v>
      </c>
      <c r="I5555" t="inlineStr">
        <is>
          <t>Nr</t>
        </is>
      </c>
      <c r="J5555" t="inlineStr"/>
      <c r="K5555" t="inlineStr"/>
      <c r="L5555" t="inlineStr">
        <is>
          <t>CAH2330124.1 Hypothetical predicted protein [Pelobates cultripes]</t>
        </is>
      </c>
      <c r="M5555" t="n">
        <v>330</v>
      </c>
      <c r="N5555" t="inlineStr">
        <is>
          <t>Pelobates cultripes</t>
        </is>
      </c>
      <c r="O5555" t="inlineStr">
        <is>
          <t>Hypothetical predicted protein</t>
        </is>
      </c>
    </row>
    <row r="5556">
      <c r="A5556" t="inlineStr"/>
      <c r="B5556" t="inlineStr"/>
      <c r="C5556" t="inlineStr"/>
      <c r="D5556" t="inlineStr"/>
      <c r="E5556">
        <f>HYPERLINK("https://www.ncbi.nlm.nih.gov/gene/?term=KAG8566310.1", "KAG8566310.1")</f>
        <v/>
      </c>
      <c r="F5556" t="n">
        <v>30.3</v>
      </c>
      <c r="G5556" t="n">
        <v>142</v>
      </c>
      <c r="H5556" t="n">
        <v>1e-08</v>
      </c>
      <c r="I5556" t="inlineStr">
        <is>
          <t>Nr</t>
        </is>
      </c>
      <c r="J5556" t="inlineStr"/>
      <c r="K5556" t="inlineStr"/>
      <c r="L5556" t="inlineStr">
        <is>
          <t>KAG8566310.1 hypothetical protein GDO81_013181 [Engystomops pustulosus]</t>
        </is>
      </c>
      <c r="M5556" t="n">
        <v>911</v>
      </c>
      <c r="N5556" t="inlineStr">
        <is>
          <t>Engystomops pustulosus</t>
        </is>
      </c>
      <c r="O5556" t="inlineStr">
        <is>
          <t>hypothetical protein GDO81_013181</t>
        </is>
      </c>
    </row>
    <row r="5557">
      <c r="A5557" t="inlineStr"/>
      <c r="B5557" t="inlineStr"/>
      <c r="C5557" t="inlineStr"/>
      <c r="D5557" t="inlineStr"/>
      <c r="E5557">
        <f>HYPERLINK("https://www.ncbi.nlm.nih.gov/gene/?term=KAE8589170.1", "KAE8589170.1")</f>
        <v/>
      </c>
      <c r="F5557" t="n">
        <v>48.2</v>
      </c>
      <c r="G5557" t="n">
        <v>56</v>
      </c>
      <c r="H5557" t="n">
        <v>1.39e-08</v>
      </c>
      <c r="I5557" t="inlineStr">
        <is>
          <t>Nr</t>
        </is>
      </c>
      <c r="J5557" t="inlineStr"/>
      <c r="K5557" t="inlineStr"/>
      <c r="L5557" t="inlineStr">
        <is>
          <t>KAE8589170.1 hypothetical protein XENTR_v10022906 [Xenopus tropicalis]</t>
        </is>
      </c>
      <c r="M5557" t="n">
        <v>273</v>
      </c>
      <c r="N5557" t="inlineStr">
        <is>
          <t>Xenopus tropicalis</t>
        </is>
      </c>
      <c r="O5557" t="inlineStr">
        <is>
          <t>hypothetical protein XENTR_v10022906</t>
        </is>
      </c>
    </row>
    <row r="5558">
      <c r="A5558" t="inlineStr"/>
      <c r="B5558" t="inlineStr"/>
      <c r="C5558" t="inlineStr"/>
      <c r="D5558" t="inlineStr"/>
      <c r="E5558">
        <f>HYPERLINK("https://www.ncbi.nlm.nih.gov/gene/?term=OCT84865.1", "OCT84865.1")</f>
        <v/>
      </c>
      <c r="F5558" t="n">
        <v>29.3</v>
      </c>
      <c r="G5558" t="n">
        <v>133</v>
      </c>
      <c r="H5558" t="n">
        <v>1.48e-08</v>
      </c>
      <c r="I5558" t="inlineStr">
        <is>
          <t>Nr</t>
        </is>
      </c>
      <c r="J5558" t="inlineStr"/>
      <c r="K5558" t="inlineStr"/>
      <c r="L5558" t="inlineStr">
        <is>
          <t>OCT84865.1 hypothetical protein XELAEV_18023024mg [Xenopus laevis]</t>
        </is>
      </c>
      <c r="M5558" t="n">
        <v>173</v>
      </c>
      <c r="N5558" t="inlineStr">
        <is>
          <t>Xenopus laevis</t>
        </is>
      </c>
      <c r="O5558" t="inlineStr">
        <is>
          <t>hypothetical protein XELAEV_18023024mg</t>
        </is>
      </c>
    </row>
    <row r="5559">
      <c r="A5559" t="inlineStr"/>
      <c r="B5559" t="inlineStr"/>
      <c r="C5559" t="inlineStr"/>
      <c r="D5559" t="inlineStr"/>
      <c r="E5559">
        <f>HYPERLINK("https://www.ncbi.nlm.nih.gov/gene/?term=OCT57198.1", "OCT57198.1")</f>
        <v/>
      </c>
      <c r="F5559" t="n">
        <v>43.1</v>
      </c>
      <c r="G5559" t="n">
        <v>72</v>
      </c>
      <c r="H5559" t="n">
        <v>1.53e-08</v>
      </c>
      <c r="I5559" t="inlineStr">
        <is>
          <t>Nr</t>
        </is>
      </c>
      <c r="J5559" t="inlineStr"/>
      <c r="K5559" t="inlineStr"/>
      <c r="L5559" t="inlineStr">
        <is>
          <t>OCT57198.1 hypothetical protein XELAEV_18003841mg [Xenopus laevis]</t>
        </is>
      </c>
      <c r="M5559" t="n">
        <v>287</v>
      </c>
      <c r="N5559" t="inlineStr">
        <is>
          <t>Xenopus laevis</t>
        </is>
      </c>
      <c r="O5559" t="inlineStr">
        <is>
          <t>hypothetical protein XELAEV_18003841mg</t>
        </is>
      </c>
    </row>
    <row r="5560">
      <c r="A5560" t="inlineStr"/>
      <c r="B5560" t="inlineStr"/>
      <c r="C5560" t="inlineStr"/>
      <c r="D5560" t="inlineStr"/>
      <c r="E5560">
        <f>HYPERLINK("https://www.ncbi.nlm.nih.gov/gene/?term=OCT79705.1", "OCT79705.1")</f>
        <v/>
      </c>
      <c r="F5560" t="n">
        <v>40.9</v>
      </c>
      <c r="G5560" t="n">
        <v>66</v>
      </c>
      <c r="H5560" t="n">
        <v>1.63e-08</v>
      </c>
      <c r="I5560" t="inlineStr">
        <is>
          <t>Nr</t>
        </is>
      </c>
      <c r="J5560" t="inlineStr"/>
      <c r="K5560" t="inlineStr"/>
      <c r="L5560" t="inlineStr">
        <is>
          <t>OCT79705.1 hypothetical protein XELAEV_18026514mg [Xenopus laevis]</t>
        </is>
      </c>
      <c r="M5560" t="n">
        <v>253</v>
      </c>
      <c r="N5560" t="inlineStr">
        <is>
          <t>Xenopus laevis</t>
        </is>
      </c>
      <c r="O5560" t="inlineStr">
        <is>
          <t>hypothetical protein XELAEV_18026514mg</t>
        </is>
      </c>
    </row>
    <row r="5561">
      <c r="A5561" t="inlineStr"/>
      <c r="B5561" t="inlineStr"/>
      <c r="C5561" t="inlineStr"/>
      <c r="D5561" t="inlineStr"/>
      <c r="E5561">
        <f>HYPERLINK("https://www.ncbi.nlm.nih.gov/gene/?term=XP_040181316.1", "XP_040181316.1")</f>
        <v/>
      </c>
      <c r="F5561" t="n">
        <v>37.5</v>
      </c>
      <c r="G5561" t="n">
        <v>104</v>
      </c>
      <c r="H5561" t="n">
        <v>1.66e-08</v>
      </c>
      <c r="I5561" t="inlineStr">
        <is>
          <t>Nr</t>
        </is>
      </c>
      <c r="J5561" t="inlineStr"/>
      <c r="K5561" t="inlineStr"/>
      <c r="L5561" t="inlineStr">
        <is>
          <t>XP_040181316.1 uncharacterized protein LOC120915124 [Rana temporaria]</t>
        </is>
      </c>
      <c r="M5561" t="n">
        <v>301</v>
      </c>
      <c r="N5561" t="inlineStr">
        <is>
          <t>Rana temporaria</t>
        </is>
      </c>
      <c r="O5561" t="inlineStr">
        <is>
          <t>uncharacterized protein LOC120915124</t>
        </is>
      </c>
    </row>
    <row r="5562">
      <c r="A5562" t="inlineStr"/>
      <c r="B5562" t="inlineStr"/>
      <c r="C5562" t="inlineStr"/>
      <c r="D5562" t="inlineStr"/>
      <c r="E5562">
        <f>HYPERLINK("https://www.ncbi.nlm.nih.gov/gene/?term=KAI4825292.1", "KAI4825292.1")</f>
        <v/>
      </c>
      <c r="F5562" t="n">
        <v>35.8</v>
      </c>
      <c r="G5562" t="n">
        <v>109</v>
      </c>
      <c r="H5562" t="n">
        <v>2e-08</v>
      </c>
      <c r="I5562" t="inlineStr">
        <is>
          <t>Nr</t>
        </is>
      </c>
      <c r="J5562" t="inlineStr"/>
      <c r="K5562" t="inlineStr"/>
      <c r="L5562" t="inlineStr">
        <is>
          <t>KAI4825292.1 hypothetical protein KUCAC02_020978 [Chaenocephalus aceratus]</t>
        </is>
      </c>
      <c r="M5562" t="n">
        <v>270</v>
      </c>
      <c r="N5562" t="inlineStr">
        <is>
          <t>Chaenocephalus aceratus</t>
        </is>
      </c>
      <c r="O5562" t="inlineStr">
        <is>
          <t>hypothetical protein KUCAC02_020978</t>
        </is>
      </c>
    </row>
    <row r="5563">
      <c r="A5563" t="inlineStr"/>
      <c r="B5563" t="inlineStr"/>
      <c r="C5563" t="inlineStr"/>
      <c r="D5563" t="inlineStr"/>
      <c r="E5563">
        <f>HYPERLINK("https://www.ncbi.nlm.nih.gov/gene/?term=KAJ1141401.1", "KAJ1141401.1")</f>
        <v/>
      </c>
      <c r="F5563" t="n">
        <v>32.7</v>
      </c>
      <c r="G5563" t="n">
        <v>104</v>
      </c>
      <c r="H5563" t="n">
        <v>2.37e-08</v>
      </c>
      <c r="I5563" t="inlineStr">
        <is>
          <t>Nr</t>
        </is>
      </c>
      <c r="J5563" t="inlineStr"/>
      <c r="K5563" t="inlineStr"/>
      <c r="L5563" t="inlineStr">
        <is>
          <t>KAJ1141401.1 hypothetical protein NDU88_007734 [Pleurodeles waltl]</t>
        </is>
      </c>
      <c r="M5563" t="n">
        <v>357</v>
      </c>
      <c r="N5563" t="inlineStr">
        <is>
          <t>Pleurodeles waltl</t>
        </is>
      </c>
      <c r="O5563" t="inlineStr">
        <is>
          <t>hypothetical protein NDU88_007734</t>
        </is>
      </c>
    </row>
    <row r="5564">
      <c r="A5564" t="inlineStr"/>
      <c r="B5564" t="inlineStr"/>
      <c r="C5564" t="inlineStr"/>
      <c r="D5564" t="inlineStr"/>
      <c r="E5564">
        <f>HYPERLINK("https://www.ncbi.nlm.nih.gov/gene/?term=XP_018409373.1", "XP_018409373.1")</f>
        <v/>
      </c>
      <c r="F5564" t="n">
        <v>46.4</v>
      </c>
      <c r="G5564" t="n">
        <v>69</v>
      </c>
      <c r="H5564" t="n">
        <v>2.68e-08</v>
      </c>
      <c r="I5564" t="inlineStr">
        <is>
          <t>Nr</t>
        </is>
      </c>
      <c r="J5564" t="inlineStr"/>
      <c r="K5564" t="inlineStr"/>
      <c r="L5564" t="inlineStr">
        <is>
          <t>XP_018409373.1 PREDICTED: dynein heavy chain 3, axonemal-like [Nanorana parkeri]</t>
        </is>
      </c>
      <c r="M5564" t="n">
        <v>4416</v>
      </c>
      <c r="N5564" t="inlineStr">
        <is>
          <t>Nanorana parkeri</t>
        </is>
      </c>
      <c r="O5564" t="inlineStr">
        <is>
          <t>PREDICTED: dynein heavy chain 3, axonemal-like</t>
        </is>
      </c>
    </row>
    <row r="5565">
      <c r="A5565" t="inlineStr"/>
      <c r="B5565" t="inlineStr"/>
      <c r="C5565" t="inlineStr"/>
      <c r="D5565" t="inlineStr"/>
      <c r="E5565">
        <f>HYPERLINK("https://www.ncbi.nlm.nih.gov/gene/?term=OCT97298.1", "OCT97298.1")</f>
        <v/>
      </c>
      <c r="F5565" t="n">
        <v>38.8</v>
      </c>
      <c r="G5565" t="n">
        <v>80</v>
      </c>
      <c r="H5565" t="n">
        <v>3.33e-08</v>
      </c>
      <c r="I5565" t="inlineStr">
        <is>
          <t>Nr</t>
        </is>
      </c>
      <c r="J5565" t="inlineStr"/>
      <c r="K5565" t="inlineStr"/>
      <c r="L5565" t="inlineStr">
        <is>
          <t>OCT97298.1 hypothetical protein XELAEV_18009524mg [Xenopus laevis]</t>
        </is>
      </c>
      <c r="M5565" t="n">
        <v>314</v>
      </c>
      <c r="N5565" t="inlineStr">
        <is>
          <t>Xenopus laevis</t>
        </is>
      </c>
      <c r="O5565" t="inlineStr">
        <is>
          <t>hypothetical protein XELAEV_18009524mg</t>
        </is>
      </c>
    </row>
    <row r="5566">
      <c r="A5566" t="inlineStr"/>
      <c r="B5566" t="inlineStr"/>
      <c r="C5566" t="inlineStr"/>
      <c r="D5566" t="inlineStr"/>
      <c r="E5566">
        <f>HYPERLINK("https://www.ncbi.nlm.nih.gov/gene/?term=XP_044146133.1", "XP_044146133.1")</f>
        <v/>
      </c>
      <c r="F5566" t="n">
        <v>31.5</v>
      </c>
      <c r="G5566" t="n">
        <v>130</v>
      </c>
      <c r="H5566" t="n">
        <v>4.19e-08</v>
      </c>
      <c r="I5566" t="inlineStr">
        <is>
          <t>Nr</t>
        </is>
      </c>
      <c r="J5566" t="inlineStr"/>
      <c r="K5566" t="inlineStr"/>
      <c r="L5566" t="inlineStr">
        <is>
          <t>XP_044146133.1 uncharacterized protein LOC122934611 [Bufo gargarizans]</t>
        </is>
      </c>
      <c r="M5566" t="n">
        <v>343</v>
      </c>
      <c r="N5566" t="inlineStr">
        <is>
          <t>Bufo gargarizans</t>
        </is>
      </c>
      <c r="O5566" t="inlineStr">
        <is>
          <t>uncharacterized protein LOC122934611</t>
        </is>
      </c>
    </row>
    <row r="5567">
      <c r="A5567" t="inlineStr"/>
      <c r="B5567" t="inlineStr"/>
      <c r="C5567" t="inlineStr"/>
      <c r="D5567" t="inlineStr"/>
      <c r="E5567">
        <f>HYPERLINK("https://www.ncbi.nlm.nih.gov/gene/?term=KAG8571259.1", "KAG8571259.1")</f>
        <v/>
      </c>
      <c r="F5567" t="n">
        <v>34.9</v>
      </c>
      <c r="G5567" t="n">
        <v>109</v>
      </c>
      <c r="H5567" t="n">
        <v>4.27e-08</v>
      </c>
      <c r="I5567" t="inlineStr">
        <is>
          <t>Nr</t>
        </is>
      </c>
      <c r="J5567" t="inlineStr"/>
      <c r="K5567" t="inlineStr"/>
      <c r="L5567" t="inlineStr">
        <is>
          <t>KAG8571259.1 hypothetical protein GDO81_011568 [Engystomops pustulosus]</t>
        </is>
      </c>
      <c r="M5567" t="n">
        <v>487</v>
      </c>
      <c r="N5567" t="inlineStr">
        <is>
          <t>Engystomops pustulosus</t>
        </is>
      </c>
      <c r="O5567" t="inlineStr">
        <is>
          <t>hypothetical protein GDO81_011568</t>
        </is>
      </c>
    </row>
    <row r="5568">
      <c r="A5568" t="inlineStr"/>
      <c r="B5568" t="inlineStr"/>
      <c r="C5568" t="inlineStr"/>
      <c r="D5568" t="inlineStr"/>
      <c r="E5568">
        <f>HYPERLINK("https://www.ncbi.nlm.nih.gov/gene/?term=XP_040262267.1", "XP_040262267.1")</f>
        <v/>
      </c>
      <c r="F5568" t="n">
        <v>39.7</v>
      </c>
      <c r="G5568" t="n">
        <v>68</v>
      </c>
      <c r="H5568" t="n">
        <v>4.66e-08</v>
      </c>
      <c r="I5568" t="inlineStr">
        <is>
          <t>Nr</t>
        </is>
      </c>
      <c r="J5568" t="inlineStr"/>
      <c r="K5568" t="inlineStr"/>
      <c r="L5568" t="inlineStr">
        <is>
          <t>XP_040262267.1 FERM domain-containing protein 7 [Bufo bufo]</t>
        </is>
      </c>
      <c r="M5568" t="n">
        <v>963</v>
      </c>
      <c r="N5568" t="inlineStr">
        <is>
          <t>Bufo bufo</t>
        </is>
      </c>
      <c r="O5568" t="inlineStr">
        <is>
          <t>FERM domain-containing protein 7</t>
        </is>
      </c>
    </row>
    <row r="5569">
      <c r="A5569" t="inlineStr"/>
      <c r="B5569" t="inlineStr"/>
      <c r="C5569" t="inlineStr"/>
      <c r="D5569" t="inlineStr"/>
      <c r="E5569">
        <f>HYPERLINK("https://www.uniprot.org/uniprotkb/Q03274/entry", "Q03274")</f>
        <v/>
      </c>
      <c r="F5569" t="n">
        <v>26.9</v>
      </c>
      <c r="G5569" t="n">
        <v>283</v>
      </c>
      <c r="H5569" t="n">
        <v>7.36e-08</v>
      </c>
      <c r="I5569" t="inlineStr">
        <is>
          <t>Swiss-Prot</t>
        </is>
      </c>
      <c r="J5569" t="inlineStr"/>
      <c r="K5569" t="inlineStr">
        <is>
          <t>PO22_POPJA</t>
        </is>
      </c>
      <c r="L5569" t="inlineStr">
        <is>
          <t>sp|Q03274|PO22_POPJA Retrovirus-related Pol polyprotein from type-1 retrotransposable element R2 (Fragment) OS=Popillia japonica OX=7064 PE=4 SV=1</t>
        </is>
      </c>
      <c r="M5569" t="n">
        <v>711</v>
      </c>
      <c r="N5569" t="inlineStr">
        <is>
          <t>Popillia japonica</t>
        </is>
      </c>
      <c r="O5569" t="inlineStr">
        <is>
          <t>Retrovirus-related Pol polyprotein from type-1 retrotransposable element R2 (Fragment)</t>
        </is>
      </c>
    </row>
    <row r="5570">
      <c r="A5570" t="inlineStr"/>
      <c r="B5570" t="inlineStr"/>
      <c r="C5570" t="inlineStr"/>
      <c r="D5570" t="inlineStr"/>
      <c r="E5570">
        <f>HYPERLINK("https://www.uniprot.org/uniprotkb/P21329/entry", "P21329")</f>
        <v/>
      </c>
      <c r="F5570" t="n">
        <v>36.8</v>
      </c>
      <c r="G5570" t="n">
        <v>87</v>
      </c>
      <c r="H5570" t="n">
        <v>1.64e-06</v>
      </c>
      <c r="I5570" t="inlineStr">
        <is>
          <t>Swiss-Prot</t>
        </is>
      </c>
      <c r="J5570" t="inlineStr">
        <is>
          <t>jockey\pol</t>
        </is>
      </c>
      <c r="K5570" t="inlineStr">
        <is>
          <t>RTJK_DROFU</t>
        </is>
      </c>
      <c r="L5570" t="inlineStr">
        <is>
          <t>sp|P21329|RTJK_DROFU RNA-directed DNA polymerase from mobile element jockey OS=Drosophila funebris OX=7221 GN=jockey\pol PE=1 SV=1</t>
        </is>
      </c>
      <c r="M5570" t="n">
        <v>916</v>
      </c>
      <c r="N5570" t="inlineStr">
        <is>
          <t>Drosophila funebris</t>
        </is>
      </c>
      <c r="O5570" t="inlineStr">
        <is>
          <t>RNA-directed DNA polymerase from mobile element jockey</t>
        </is>
      </c>
    </row>
    <row r="5571">
      <c r="A5571" t="inlineStr"/>
      <c r="B5571" t="inlineStr"/>
      <c r="C5571" t="inlineStr"/>
      <c r="D5571" t="inlineStr"/>
      <c r="E5571">
        <f>HYPERLINK("https://www.uniprot.org/uniprotkb/P0CV25/entry", "P0CV25")</f>
        <v/>
      </c>
      <c r="F5571" t="n">
        <v>40.7</v>
      </c>
      <c r="G5571" t="n">
        <v>59</v>
      </c>
      <c r="H5571" t="n">
        <v>1.52e-05</v>
      </c>
      <c r="I5571" t="inlineStr">
        <is>
          <t>Swiss-Prot</t>
        </is>
      </c>
      <c r="J5571" t="inlineStr">
        <is>
          <t>RXLR78</t>
        </is>
      </c>
      <c r="K5571" t="inlineStr">
        <is>
          <t>RLR78_PLAVT</t>
        </is>
      </c>
      <c r="L5571" t="inlineStr">
        <is>
          <t>sp|P0CV25|RLR78_PLAVT Secreted RxLR effector protein 78 OS=Plasmopara viticola OX=143451 GN=RXLR78 PE=3 SV=1</t>
        </is>
      </c>
      <c r="M5571" t="n">
        <v>113</v>
      </c>
      <c r="N5571" t="inlineStr">
        <is>
          <t>Plasmopara viticola</t>
        </is>
      </c>
      <c r="O5571" t="inlineStr">
        <is>
          <t>Secreted RxLR effector protein 78</t>
        </is>
      </c>
    </row>
    <row r="5572">
      <c r="A5572" t="inlineStr"/>
      <c r="B5572" t="inlineStr"/>
      <c r="C5572" t="inlineStr"/>
      <c r="D5572" t="inlineStr"/>
      <c r="E5572">
        <f>HYPERLINK("https://www.uniprot.org/uniprotkb/P16423/entry", "P16423")</f>
        <v/>
      </c>
      <c r="F5572" t="n">
        <v>19.7</v>
      </c>
      <c r="G5572" t="n">
        <v>279</v>
      </c>
      <c r="H5572" t="n">
        <v>0.000446</v>
      </c>
      <c r="I5572" t="inlineStr">
        <is>
          <t>Swiss-Prot</t>
        </is>
      </c>
      <c r="J5572" t="inlineStr">
        <is>
          <t>pol</t>
        </is>
      </c>
      <c r="K5572" t="inlineStr">
        <is>
          <t>POLR_DROME</t>
        </is>
      </c>
      <c r="L5572" t="inlineStr">
        <is>
          <t>sp|P16423|POLR_DROME Retrovirus-related Pol polyprotein from type-2 retrotransposable element R2DM OS=Drosophila melanogaster OX=7227 GN=pol PE=4 SV=1</t>
        </is>
      </c>
      <c r="M5572" t="n">
        <v>1057</v>
      </c>
      <c r="N5572" t="inlineStr">
        <is>
          <t>Drosophila melanogaster</t>
        </is>
      </c>
      <c r="O5572" t="inlineStr">
        <is>
          <t>Retrovirus-related Pol polyprotein from type-2 retrotransposable element R2DM</t>
        </is>
      </c>
    </row>
    <row r="5573">
      <c r="A5573" t="inlineStr"/>
      <c r="B5573" t="inlineStr"/>
      <c r="C5573" t="inlineStr"/>
      <c r="D5573" t="inlineStr"/>
      <c r="E5573">
        <f>HYPERLINK("https://www.uniprot.org/uniprotkb/A0A8C5PTR0/entry", "A0A8C5PTR0")</f>
        <v/>
      </c>
      <c r="F5573" t="n">
        <v>26.3</v>
      </c>
      <c r="G5573" t="n">
        <v>99</v>
      </c>
      <c r="H5573" t="n">
        <v>0.0009879999999999999</v>
      </c>
      <c r="I5573" t="inlineStr">
        <is>
          <t>TrEMBL</t>
        </is>
      </c>
      <c r="J5573" t="inlineStr"/>
      <c r="K5573" t="inlineStr">
        <is>
          <t>A0A8C5PTR0_9ANUR</t>
        </is>
      </c>
      <c r="L5573" t="inlineStr">
        <is>
          <t>tr|A0A8C5PTR0|A0A8C5PTR0_9ANUR Zf-RVT domain-containing protein OS=Leptobrachium leishanense OX=445787 PE=4 SV=1</t>
        </is>
      </c>
      <c r="M5573" t="n">
        <v>472</v>
      </c>
      <c r="N5573" t="inlineStr">
        <is>
          <t>Leptobrachium leishanense</t>
        </is>
      </c>
      <c r="O5573" t="inlineStr">
        <is>
          <t>Zf-RVT domain-containing protein</t>
        </is>
      </c>
    </row>
    <row r="5574">
      <c r="A5574" t="inlineStr">
        <is>
          <t>NODE_32727_length_3841_cov_235.909910_g0_i78</t>
        </is>
      </c>
      <c r="B5574" t="inlineStr">
        <is>
          <t>bombina_pachypus_blastx</t>
        </is>
      </c>
      <c r="C5574" t="n">
        <v>-8.561608669033561</v>
      </c>
      <c r="D5574" t="n">
        <v>0.02215201801967</v>
      </c>
      <c r="E5574">
        <f>HYPERLINK("https://www.ncbi.nlm.nih.gov/gene/?term=XP_040211055.1", "XP_040211055.1")</f>
        <v/>
      </c>
      <c r="F5574" t="n">
        <v>85.09999999999999</v>
      </c>
      <c r="G5574" t="n">
        <v>483</v>
      </c>
      <c r="H5574" t="n">
        <v>5.52e-262</v>
      </c>
      <c r="I5574" t="inlineStr">
        <is>
          <t>Nr</t>
        </is>
      </c>
      <c r="J5574" t="inlineStr"/>
      <c r="K5574" t="inlineStr"/>
      <c r="L5574" t="inlineStr">
        <is>
          <t>XP_040211055.1 microtubule-actin cross-linking factor 1, isoforms 1/2/3/5-like isoform X3 [Rana temporaria]</t>
        </is>
      </c>
      <c r="M5574" t="n">
        <v>1948</v>
      </c>
      <c r="N5574" t="inlineStr">
        <is>
          <t>Rana temporaria</t>
        </is>
      </c>
      <c r="O5574" t="inlineStr">
        <is>
          <t>microtubule-actin cross-linking factor 1, isoforms 1/2/3/5-like isoform X3</t>
        </is>
      </c>
    </row>
    <row r="5575">
      <c r="A5575" t="inlineStr"/>
      <c r="B5575" t="inlineStr"/>
      <c r="C5575" t="inlineStr"/>
      <c r="D5575" t="inlineStr"/>
      <c r="E5575">
        <f>HYPERLINK("https://www.ncbi.nlm.nih.gov/gene/?term=XP_040211054.1", "XP_040211054.1")</f>
        <v/>
      </c>
      <c r="F5575" t="n">
        <v>85.09999999999999</v>
      </c>
      <c r="G5575" t="n">
        <v>483</v>
      </c>
      <c r="H5575" t="n">
        <v>6.02e-262</v>
      </c>
      <c r="I5575" t="inlineStr">
        <is>
          <t>Nr</t>
        </is>
      </c>
      <c r="J5575" t="inlineStr"/>
      <c r="K5575" t="inlineStr"/>
      <c r="L5575" t="inlineStr">
        <is>
          <t>XP_040211054.1 microtubule-actin cross-linking factor 1, isoforms 1/2/3/5-like isoform X2 [Rana temporaria]</t>
        </is>
      </c>
      <c r="M5575" t="n">
        <v>1952</v>
      </c>
      <c r="N5575" t="inlineStr">
        <is>
          <t>Rana temporaria</t>
        </is>
      </c>
      <c r="O5575" t="inlineStr">
        <is>
          <t>microtubule-actin cross-linking factor 1, isoforms 1/2/3/5-like isoform X2</t>
        </is>
      </c>
    </row>
    <row r="5576">
      <c r="A5576" t="inlineStr"/>
      <c r="B5576" t="inlineStr"/>
      <c r="C5576" t="inlineStr"/>
      <c r="D5576" t="inlineStr"/>
      <c r="E5576">
        <f>HYPERLINK("https://www.ncbi.nlm.nih.gov/gene/?term=XP_040211053.1", "XP_040211053.1")</f>
        <v/>
      </c>
      <c r="F5576" t="n">
        <v>85.09999999999999</v>
      </c>
      <c r="G5576" t="n">
        <v>483</v>
      </c>
      <c r="H5576" t="n">
        <v>7.87e-261</v>
      </c>
      <c r="I5576" t="inlineStr">
        <is>
          <t>Nr</t>
        </is>
      </c>
      <c r="J5576" t="inlineStr"/>
      <c r="K5576" t="inlineStr"/>
      <c r="L5576" t="inlineStr">
        <is>
          <t>XP_040211053.1 microtubule-actin cross-linking factor 1, isoforms 1/2/3/5-like isoform X1 [Rana temporaria]</t>
        </is>
      </c>
      <c r="M5576" t="n">
        <v>2074</v>
      </c>
      <c r="N5576" t="inlineStr">
        <is>
          <t>Rana temporaria</t>
        </is>
      </c>
      <c r="O5576" t="inlineStr">
        <is>
          <t>microtubule-actin cross-linking factor 1, isoforms 1/2/3/5-like isoform X1</t>
        </is>
      </c>
    </row>
    <row r="5577">
      <c r="A5577" t="inlineStr"/>
      <c r="B5577" t="inlineStr"/>
      <c r="C5577" t="inlineStr"/>
      <c r="D5577" t="inlineStr"/>
      <c r="E5577">
        <f>HYPERLINK("https://www.ncbi.nlm.nih.gov/gene/?term=XP_053323911.1", "XP_053323911.1")</f>
        <v/>
      </c>
      <c r="F5577" t="n">
        <v>83.7</v>
      </c>
      <c r="G5577" t="n">
        <v>484</v>
      </c>
      <c r="H5577" t="n">
        <v>1.19e-256</v>
      </c>
      <c r="I5577" t="inlineStr">
        <is>
          <t>Nr</t>
        </is>
      </c>
      <c r="J5577" t="inlineStr"/>
      <c r="K5577" t="inlineStr"/>
      <c r="L5577" t="inlineStr">
        <is>
          <t>XP_053323911.1 microtubule-actin cross-linking factor 1, isoforms 6/7-like [Spea bombifrons]</t>
        </is>
      </c>
      <c r="M5577" t="n">
        <v>1680</v>
      </c>
      <c r="N5577" t="inlineStr">
        <is>
          <t>Spea bombifrons</t>
        </is>
      </c>
      <c r="O5577" t="inlineStr">
        <is>
          <t>microtubule-actin cross-linking factor 1, isoforms 6/7-like</t>
        </is>
      </c>
    </row>
    <row r="5578">
      <c r="A5578" t="inlineStr"/>
      <c r="B5578" t="inlineStr"/>
      <c r="C5578" t="inlineStr"/>
      <c r="D5578" t="inlineStr"/>
      <c r="E5578">
        <f>HYPERLINK("https://www.ncbi.nlm.nih.gov/gene/?term=KAE8599990.1", "KAE8599990.1")</f>
        <v/>
      </c>
      <c r="F5578" t="n">
        <v>83.09999999999999</v>
      </c>
      <c r="G5578" t="n">
        <v>484</v>
      </c>
      <c r="H5578" t="n">
        <v>2.84e-256</v>
      </c>
      <c r="I5578" t="inlineStr">
        <is>
          <t>Nr</t>
        </is>
      </c>
      <c r="J5578" t="inlineStr"/>
      <c r="K5578" t="inlineStr"/>
      <c r="L5578" t="inlineStr">
        <is>
          <t>KAE8599990.1 hypothetical protein XENTR_v10017421 [Xenopus tropicalis]</t>
        </is>
      </c>
      <c r="M5578" t="n">
        <v>1745</v>
      </c>
      <c r="N5578" t="inlineStr">
        <is>
          <t>Xenopus tropicalis</t>
        </is>
      </c>
      <c r="O5578" t="inlineStr">
        <is>
          <t>hypothetical protein XENTR_v10017421</t>
        </is>
      </c>
    </row>
    <row r="5579">
      <c r="A5579" t="inlineStr"/>
      <c r="B5579" t="inlineStr"/>
      <c r="C5579" t="inlineStr"/>
      <c r="D5579" t="inlineStr"/>
      <c r="E5579">
        <f>HYPERLINK("https://www.uniprot.org/uniprotkb/A0A8J1JRF6/entry", "A0A8J1JRF6")</f>
        <v/>
      </c>
      <c r="F5579" t="n">
        <v>83.09999999999999</v>
      </c>
      <c r="G5579" t="n">
        <v>484</v>
      </c>
      <c r="H5579" t="n">
        <v>7.169999999999999e-256</v>
      </c>
      <c r="I5579" t="inlineStr">
        <is>
          <t>TrEMBL</t>
        </is>
      </c>
      <c r="J5579" t="inlineStr">
        <is>
          <t>LOC100495047</t>
        </is>
      </c>
      <c r="K5579" t="inlineStr">
        <is>
          <t>A0A8J1JRF6_XENTR</t>
        </is>
      </c>
      <c r="L5579" t="inlineStr">
        <is>
          <t>tr|A0A8J1JRF6|A0A8J1JRF6_XENTR microtubule-actin cross-linking factor 1 OS=Xenopus tropicalis OX=8364 GN=LOC100495047 PE=4 SV=1</t>
        </is>
      </c>
      <c r="M5579" t="n">
        <v>1826</v>
      </c>
      <c r="N5579" t="inlineStr">
        <is>
          <t>Xenopus tropicalis</t>
        </is>
      </c>
      <c r="O5579" t="inlineStr">
        <is>
          <t>microtubule-actin cross-linking factor 1</t>
        </is>
      </c>
    </row>
    <row r="5580">
      <c r="A5580" t="inlineStr"/>
      <c r="B5580" t="inlineStr"/>
      <c r="C5580" t="inlineStr"/>
      <c r="D5580" t="inlineStr"/>
      <c r="E5580">
        <f>HYPERLINK("https://www.ncbi.nlm.nih.gov/gene/?term=XP_044130892.1", "XP_044130892.1")</f>
        <v/>
      </c>
      <c r="F5580" t="n">
        <v>79.09999999999999</v>
      </c>
      <c r="G5580" t="n">
        <v>483</v>
      </c>
      <c r="H5580" t="n">
        <v>1.49e-255</v>
      </c>
      <c r="I5580" t="inlineStr">
        <is>
          <t>Nr</t>
        </is>
      </c>
      <c r="J5580" t="inlineStr"/>
      <c r="K5580" t="inlineStr"/>
      <c r="L5580" t="inlineStr">
        <is>
          <t>XP_044130892.1 microtubule-actin cross-linking factor 1-like, partial [Bufo gargarizans]</t>
        </is>
      </c>
      <c r="M5580" t="n">
        <v>811</v>
      </c>
      <c r="N5580" t="inlineStr">
        <is>
          <t>Bufo gargarizans</t>
        </is>
      </c>
      <c r="O5580" t="inlineStr">
        <is>
          <t>microtubule-actin cross-linking factor 1-like, partial</t>
        </is>
      </c>
    </row>
    <row r="5581">
      <c r="A5581" t="inlineStr"/>
      <c r="B5581" t="inlineStr"/>
      <c r="C5581" t="inlineStr"/>
      <c r="D5581" t="inlineStr"/>
      <c r="E5581">
        <f>HYPERLINK("https://www.ncbi.nlm.nih.gov/gene/?term=XP_031760478.1", "XP_031760478.1")</f>
        <v/>
      </c>
      <c r="F5581" t="n">
        <v>83.09999999999999</v>
      </c>
      <c r="G5581" t="n">
        <v>484</v>
      </c>
      <c r="H5581" t="n">
        <v>1.84e-255</v>
      </c>
      <c r="I5581" t="inlineStr">
        <is>
          <t>Nr</t>
        </is>
      </c>
      <c r="J5581" t="inlineStr"/>
      <c r="K5581" t="inlineStr"/>
      <c r="L5581" t="inlineStr">
        <is>
          <t>XP_031760478.1 microtubule-actin cross-linking factor 1 [Xenopus tropicalis]</t>
        </is>
      </c>
      <c r="M5581" t="n">
        <v>1826</v>
      </c>
      <c r="N5581" t="inlineStr">
        <is>
          <t>Xenopus tropicalis</t>
        </is>
      </c>
      <c r="O5581" t="inlineStr">
        <is>
          <t>microtubule-actin cross-linking factor 1</t>
        </is>
      </c>
    </row>
    <row r="5582">
      <c r="A5582" t="inlineStr"/>
      <c r="B5582" t="inlineStr"/>
      <c r="C5582" t="inlineStr"/>
      <c r="D5582" t="inlineStr"/>
      <c r="E5582">
        <f>HYPERLINK("https://www.ncbi.nlm.nih.gov/gene/?term=OCT77336.1", "OCT77336.1")</f>
        <v/>
      </c>
      <c r="F5582" t="n">
        <v>82.2</v>
      </c>
      <c r="G5582" t="n">
        <v>484</v>
      </c>
      <c r="H5582" t="n">
        <v>5.49e-255</v>
      </c>
      <c r="I5582" t="inlineStr">
        <is>
          <t>Nr</t>
        </is>
      </c>
      <c r="J5582" t="inlineStr"/>
      <c r="K5582" t="inlineStr"/>
      <c r="L5582" t="inlineStr">
        <is>
          <t>OCT77336.1 hypothetical protein XELAEV_18032537mg [Xenopus laevis]</t>
        </is>
      </c>
      <c r="M5582" t="n">
        <v>2086</v>
      </c>
      <c r="N5582" t="inlineStr">
        <is>
          <t>Xenopus laevis</t>
        </is>
      </c>
      <c r="O5582" t="inlineStr">
        <is>
          <t>hypothetical protein XELAEV_18032537mg</t>
        </is>
      </c>
    </row>
    <row r="5583">
      <c r="A5583" t="inlineStr"/>
      <c r="B5583" t="inlineStr"/>
      <c r="C5583" t="inlineStr"/>
      <c r="D5583" t="inlineStr"/>
      <c r="E5583">
        <f>HYPERLINK("https://www.uniprot.org/uniprotkb/A0A8J6EKT4/entry", "A0A8J6EKT4")</f>
        <v/>
      </c>
      <c r="F5583" t="n">
        <v>80.5</v>
      </c>
      <c r="G5583" t="n">
        <v>482</v>
      </c>
      <c r="H5583" t="n">
        <v>2.43e-253</v>
      </c>
      <c r="I5583" t="inlineStr">
        <is>
          <t>TrEMBL</t>
        </is>
      </c>
      <c r="J5583" t="inlineStr">
        <is>
          <t>GDO78_016616</t>
        </is>
      </c>
      <c r="K5583" t="inlineStr">
        <is>
          <t>A0A8J6EKT4_ELECQ</t>
        </is>
      </c>
      <c r="L5583" t="inlineStr">
        <is>
          <t>tr|A0A8J6EKT4|A0A8J6EKT4_ELECQ KASH domain-containing protein OS=Eleutherodactylus coqui OX=57060 GN=GDO78_016616 PE=4 SV=1</t>
        </is>
      </c>
      <c r="M5583" t="n">
        <v>1723</v>
      </c>
      <c r="N5583" t="inlineStr">
        <is>
          <t>Eleutherodactylus coqui</t>
        </is>
      </c>
      <c r="O5583" t="inlineStr">
        <is>
          <t>KASH domain-containing protein</t>
        </is>
      </c>
    </row>
    <row r="5584">
      <c r="A5584" t="inlineStr"/>
      <c r="B5584" t="inlineStr"/>
      <c r="C5584" t="inlineStr"/>
      <c r="D5584" t="inlineStr"/>
      <c r="E5584">
        <f>HYPERLINK("https://www.ncbi.nlm.nih.gov/gene/?term=KAG9470845.1", "KAG9470845.1")</f>
        <v/>
      </c>
      <c r="F5584" t="n">
        <v>80.5</v>
      </c>
      <c r="G5584" t="n">
        <v>482</v>
      </c>
      <c r="H5584" t="n">
        <v>6.23e-253</v>
      </c>
      <c r="I5584" t="inlineStr">
        <is>
          <t>Nr</t>
        </is>
      </c>
      <c r="J5584" t="inlineStr"/>
      <c r="K5584" t="inlineStr"/>
      <c r="L5584" t="inlineStr">
        <is>
          <t>KAG9470845.1 hypothetical protein GDO78_016616 [Eleutherodactylus coqui]</t>
        </is>
      </c>
      <c r="M5584" t="n">
        <v>1723</v>
      </c>
      <c r="N5584" t="inlineStr">
        <is>
          <t>Eleutherodactylus coqui</t>
        </is>
      </c>
      <c r="O5584" t="inlineStr">
        <is>
          <t>hypothetical protein GDO78_016616</t>
        </is>
      </c>
    </row>
    <row r="5585">
      <c r="A5585" t="inlineStr"/>
      <c r="B5585" t="inlineStr"/>
      <c r="C5585" t="inlineStr"/>
      <c r="D5585" t="inlineStr"/>
      <c r="E5585">
        <f>HYPERLINK("https://www.uniprot.org/uniprotkb/A0A218UCP0/entry", "A0A218UCP0")</f>
        <v/>
      </c>
      <c r="F5585" t="n">
        <v>73.3</v>
      </c>
      <c r="G5585" t="n">
        <v>469</v>
      </c>
      <c r="H5585" t="n">
        <v>2.71e-232</v>
      </c>
      <c r="I5585" t="inlineStr">
        <is>
          <t>TrEMBL</t>
        </is>
      </c>
      <c r="J5585" t="inlineStr">
        <is>
          <t>MACF1_0</t>
        </is>
      </c>
      <c r="K5585" t="inlineStr">
        <is>
          <t>A0A218UCP0_9PASE</t>
        </is>
      </c>
      <c r="L5585" t="inlineStr">
        <is>
          <t>tr|A0A218UCP0|A0A218UCP0_9PASE Microtubule-actin cross-linking factor 1, isoforms 1/2/3/5 OS=Lonchura striata domestica OX=299123 GN=MACF1_0 PE=4 SV=1</t>
        </is>
      </c>
      <c r="M5585" t="n">
        <v>490</v>
      </c>
      <c r="N5585" t="inlineStr">
        <is>
          <t>Lonchura striata domestica</t>
        </is>
      </c>
      <c r="O5585" t="inlineStr">
        <is>
          <t>Microtubule-actin cross-linking factor 1, isoforms 1/2/3/5</t>
        </is>
      </c>
    </row>
    <row r="5586">
      <c r="A5586" t="inlineStr"/>
      <c r="B5586" t="inlineStr"/>
      <c r="C5586" t="inlineStr"/>
      <c r="D5586" t="inlineStr"/>
      <c r="E5586">
        <f>HYPERLINK("https://www.ncbi.nlm.nih.gov/gene/?term=OWK51378.1", "OWK51378.1")</f>
        <v/>
      </c>
      <c r="F5586" t="n">
        <v>73.3</v>
      </c>
      <c r="G5586" t="n">
        <v>469</v>
      </c>
      <c r="H5586" t="n">
        <v>6.97e-232</v>
      </c>
      <c r="I5586" t="inlineStr">
        <is>
          <t>Nr</t>
        </is>
      </c>
      <c r="J5586" t="inlineStr"/>
      <c r="K5586" t="inlineStr"/>
      <c r="L5586" t="inlineStr">
        <is>
          <t>OWK51378.1 Microtubule-actin cross-linking factor 1, isoforms 1/2/3/5 [Lonchura striata domestica]</t>
        </is>
      </c>
      <c r="M5586" t="n">
        <v>490</v>
      </c>
      <c r="N5586" t="inlineStr">
        <is>
          <t>Lonchura striata domestica</t>
        </is>
      </c>
      <c r="O5586" t="inlineStr">
        <is>
          <t>Microtubule-actin cross-linking factor 1, isoforms 1/2/3/5</t>
        </is>
      </c>
    </row>
    <row r="5587">
      <c r="A5587" t="inlineStr"/>
      <c r="B5587" t="inlineStr"/>
      <c r="C5587" t="inlineStr"/>
      <c r="D5587" t="inlineStr"/>
      <c r="E5587">
        <f>HYPERLINK("https://www.ncbi.nlm.nih.gov/gene/?term=XP_029442321.1", "XP_029442321.1")</f>
        <v/>
      </c>
      <c r="F5587" t="n">
        <v>75.09999999999999</v>
      </c>
      <c r="G5587" t="n">
        <v>465</v>
      </c>
      <c r="H5587" t="n">
        <v>2.6e-231</v>
      </c>
      <c r="I5587" t="inlineStr">
        <is>
          <t>Nr</t>
        </is>
      </c>
      <c r="J5587" t="inlineStr"/>
      <c r="K5587" t="inlineStr"/>
      <c r="L5587" t="inlineStr">
        <is>
          <t>XP_029442321.1 microtubule-actin cross-linking factor 1-like [Rhinatrema bivittatum]</t>
        </is>
      </c>
      <c r="M5587" t="n">
        <v>987</v>
      </c>
      <c r="N5587" t="inlineStr">
        <is>
          <t>Rhinatrema bivittatum</t>
        </is>
      </c>
      <c r="O5587" t="inlineStr">
        <is>
          <t>microtubule-actin cross-linking factor 1-like</t>
        </is>
      </c>
    </row>
    <row r="5588">
      <c r="A5588" t="inlineStr"/>
      <c r="B5588" t="inlineStr"/>
      <c r="C5588" t="inlineStr"/>
      <c r="D5588" t="inlineStr"/>
      <c r="E5588">
        <f>HYPERLINK("https://www.ncbi.nlm.nih.gov/gene/?term=XP_029443080.1", "XP_029443080.1")</f>
        <v/>
      </c>
      <c r="F5588" t="n">
        <v>74.8</v>
      </c>
      <c r="G5588" t="n">
        <v>465</v>
      </c>
      <c r="H5588" t="n">
        <v>4.28e-230</v>
      </c>
      <c r="I5588" t="inlineStr">
        <is>
          <t>Nr</t>
        </is>
      </c>
      <c r="J5588" t="inlineStr"/>
      <c r="K5588" t="inlineStr"/>
      <c r="L5588" t="inlineStr">
        <is>
          <t>XP_029443080.1 microtubule-actin cross-linking factor 1-like [Rhinatrema bivittatum]</t>
        </is>
      </c>
      <c r="M5588" t="n">
        <v>1045</v>
      </c>
      <c r="N5588" t="inlineStr">
        <is>
          <t>Rhinatrema bivittatum</t>
        </is>
      </c>
      <c r="O5588" t="inlineStr">
        <is>
          <t>microtubule-actin cross-linking factor 1-like</t>
        </is>
      </c>
    </row>
    <row r="5589">
      <c r="A5589" t="inlineStr"/>
      <c r="B5589" t="inlineStr"/>
      <c r="C5589" t="inlineStr"/>
      <c r="D5589" t="inlineStr"/>
      <c r="E5589">
        <f>HYPERLINK("https://www.uniprot.org/uniprotkb/A0A1V4KMU3/entry", "A0A1V4KMU3")</f>
        <v/>
      </c>
      <c r="F5589" t="n">
        <v>72.40000000000001</v>
      </c>
      <c r="G5589" t="n">
        <v>468</v>
      </c>
      <c r="H5589" t="n">
        <v>3.75e-229</v>
      </c>
      <c r="I5589" t="inlineStr">
        <is>
          <t>TrEMBL</t>
        </is>
      </c>
      <c r="J5589" t="inlineStr">
        <is>
          <t>AV530_009703</t>
        </is>
      </c>
      <c r="K5589" t="inlineStr">
        <is>
          <t>A0A1V4KMU3_PATFA</t>
        </is>
      </c>
      <c r="L5589" t="inlineStr">
        <is>
          <t>tr|A0A1V4KMU3|A0A1V4KMU3_PATFA Microtubule-actin cross-linking factor 1 OS=Patagioenas fasciata monilis OX=372326 GN=AV530_009703 PE=4 SV=1</t>
        </is>
      </c>
      <c r="M5589" t="n">
        <v>555</v>
      </c>
      <c r="N5589" t="inlineStr">
        <is>
          <t>Patagioenas fasciata monilis</t>
        </is>
      </c>
      <c r="O5589" t="inlineStr">
        <is>
          <t>Microtubule-actin cross-linking factor 1</t>
        </is>
      </c>
    </row>
    <row r="5590">
      <c r="A5590" t="inlineStr"/>
      <c r="B5590" t="inlineStr"/>
      <c r="C5590" t="inlineStr"/>
      <c r="D5590" t="inlineStr"/>
      <c r="E5590">
        <f>HYPERLINK("https://www.ncbi.nlm.nih.gov/gene/?term=OPJ85735.1", "OPJ85735.1")</f>
        <v/>
      </c>
      <c r="F5590" t="n">
        <v>72.40000000000001</v>
      </c>
      <c r="G5590" t="n">
        <v>468</v>
      </c>
      <c r="H5590" t="n">
        <v>9.62e-229</v>
      </c>
      <c r="I5590" t="inlineStr">
        <is>
          <t>Nr</t>
        </is>
      </c>
      <c r="J5590" t="inlineStr"/>
      <c r="K5590" t="inlineStr"/>
      <c r="L5590" t="inlineStr">
        <is>
          <t>OPJ85735.1 hypothetical protein AV530_009703 [Patagioenas fasciata monilis]</t>
        </is>
      </c>
      <c r="M5590" t="n">
        <v>555</v>
      </c>
      <c r="N5590" t="inlineStr">
        <is>
          <t>Patagioenas fasciata monilis</t>
        </is>
      </c>
      <c r="O5590" t="inlineStr">
        <is>
          <t>hypothetical protein AV530_009703</t>
        </is>
      </c>
    </row>
    <row r="5591">
      <c r="A5591" t="inlineStr"/>
      <c r="B5591" t="inlineStr"/>
      <c r="C5591" t="inlineStr"/>
      <c r="D5591" t="inlineStr"/>
      <c r="E5591">
        <f>HYPERLINK("https://www.ncbi.nlm.nih.gov/gene/?term=KAJ1194987.1", "KAJ1194987.1")</f>
        <v/>
      </c>
      <c r="F5591" t="n">
        <v>75.59999999999999</v>
      </c>
      <c r="G5591" t="n">
        <v>472</v>
      </c>
      <c r="H5591" t="n">
        <v>5.240000000000001e-226</v>
      </c>
      <c r="I5591" t="inlineStr">
        <is>
          <t>Nr</t>
        </is>
      </c>
      <c r="J5591" t="inlineStr"/>
      <c r="K5591" t="inlineStr"/>
      <c r="L5591" t="inlineStr">
        <is>
          <t>KAJ1194987.1 hypothetical protein NDU88_004271 [Pleurodeles waltl]</t>
        </is>
      </c>
      <c r="M5591" t="n">
        <v>2105</v>
      </c>
      <c r="N5591" t="inlineStr">
        <is>
          <t>Pleurodeles waltl</t>
        </is>
      </c>
      <c r="O5591" t="inlineStr">
        <is>
          <t>hypothetical protein NDU88_004271</t>
        </is>
      </c>
    </row>
    <row r="5592">
      <c r="A5592" t="inlineStr"/>
      <c r="B5592" t="inlineStr"/>
      <c r="C5592" t="inlineStr"/>
      <c r="D5592" t="inlineStr"/>
      <c r="E5592">
        <f>HYPERLINK("https://www.uniprot.org/uniprotkb/A0A6P7WXS2/entry", "A0A6P7WXS2")</f>
        <v/>
      </c>
      <c r="F5592" t="n">
        <v>74.2</v>
      </c>
      <c r="G5592" t="n">
        <v>469</v>
      </c>
      <c r="H5592" t="n">
        <v>7.479999999999999e-225</v>
      </c>
      <c r="I5592" t="inlineStr">
        <is>
          <t>TrEMBL</t>
        </is>
      </c>
      <c r="J5592" t="inlineStr">
        <is>
          <t>LOC115460298</t>
        </is>
      </c>
      <c r="K5592" t="inlineStr">
        <is>
          <t>A0A6P7WXS2_9AMPH</t>
        </is>
      </c>
      <c r="L5592" t="inlineStr">
        <is>
          <t>tr|A0A6P7WXS2|A0A6P7WXS2_9AMPH microtubule-actin cross-linking factor 1-like OS=Microcaecilia unicolor OX=1415580 GN=LOC115460298 PE=4 SV=1</t>
        </is>
      </c>
      <c r="M5592" t="n">
        <v>1159</v>
      </c>
      <c r="N5592" t="inlineStr">
        <is>
          <t>Microcaecilia unicolor</t>
        </is>
      </c>
      <c r="O5592" t="inlineStr">
        <is>
          <t>microtubule-actin cross-linking factor 1-like</t>
        </is>
      </c>
    </row>
    <row r="5593">
      <c r="A5593" t="inlineStr"/>
      <c r="B5593" t="inlineStr"/>
      <c r="C5593" t="inlineStr"/>
      <c r="D5593" t="inlineStr"/>
      <c r="E5593">
        <f>HYPERLINK("https://www.ncbi.nlm.nih.gov/gene/?term=XP_030045956.1", "XP_030045956.1")</f>
        <v/>
      </c>
      <c r="F5593" t="n">
        <v>74.2</v>
      </c>
      <c r="G5593" t="n">
        <v>469</v>
      </c>
      <c r="H5593" t="n">
        <v>1.92e-224</v>
      </c>
      <c r="I5593" t="inlineStr">
        <is>
          <t>Nr</t>
        </is>
      </c>
      <c r="J5593" t="inlineStr"/>
      <c r="K5593" t="inlineStr"/>
      <c r="L5593" t="inlineStr">
        <is>
          <t>XP_030045956.1 microtubule-actin cross-linking factor 1-like [Microcaecilia unicolor]</t>
        </is>
      </c>
      <c r="M5593" t="n">
        <v>1159</v>
      </c>
      <c r="N5593" t="inlineStr">
        <is>
          <t>Microcaecilia unicolor</t>
        </is>
      </c>
      <c r="O5593" t="inlineStr">
        <is>
          <t>microtubule-actin cross-linking factor 1-like</t>
        </is>
      </c>
    </row>
    <row r="5594">
      <c r="A5594" t="inlineStr"/>
      <c r="B5594" t="inlineStr"/>
      <c r="C5594" t="inlineStr"/>
      <c r="D5594" t="inlineStr"/>
      <c r="E5594">
        <f>HYPERLINK("https://www.ncbi.nlm.nih.gov/gene/?term=XP_047908483.1", "XP_047908483.1")</f>
        <v/>
      </c>
      <c r="F5594" t="n">
        <v>74</v>
      </c>
      <c r="G5594" t="n">
        <v>469</v>
      </c>
      <c r="H5594" t="n">
        <v>2e-219</v>
      </c>
      <c r="I5594" t="inlineStr">
        <is>
          <t>Nr</t>
        </is>
      </c>
      <c r="J5594" t="inlineStr"/>
      <c r="K5594" t="inlineStr"/>
      <c r="L5594" t="inlineStr">
        <is>
          <t>XP_047908483.1 microtubule-actin cross-linking factor 1-like [Anser cygnoides]</t>
        </is>
      </c>
      <c r="M5594" t="n">
        <v>1863</v>
      </c>
      <c r="N5594" t="inlineStr">
        <is>
          <t>Anser cygnoides</t>
        </is>
      </c>
      <c r="O5594" t="inlineStr">
        <is>
          <t>microtubule-actin cross-linking factor 1-like</t>
        </is>
      </c>
    </row>
    <row r="5595">
      <c r="A5595" t="inlineStr"/>
      <c r="B5595" t="inlineStr"/>
      <c r="C5595" t="inlineStr"/>
      <c r="D5595" t="inlineStr"/>
      <c r="E5595">
        <f>HYPERLINK("https://www.ncbi.nlm.nih.gov/gene/?term=XP_038031530.1", "XP_038031530.1")</f>
        <v/>
      </c>
      <c r="F5595" t="n">
        <v>73.8</v>
      </c>
      <c r="G5595" t="n">
        <v>469</v>
      </c>
      <c r="H5595" t="n">
        <v>2.85e-219</v>
      </c>
      <c r="I5595" t="inlineStr">
        <is>
          <t>Nr</t>
        </is>
      </c>
      <c r="J5595" t="inlineStr"/>
      <c r="K5595" t="inlineStr"/>
      <c r="L5595" t="inlineStr">
        <is>
          <t>XP_038031530.1 microtubule-actin cross-linking factor 1 [Anas platyrhynchos]</t>
        </is>
      </c>
      <c r="M5595" t="n">
        <v>1680</v>
      </c>
      <c r="N5595" t="inlineStr">
        <is>
          <t>Anas platyrhynchos</t>
        </is>
      </c>
      <c r="O5595" t="inlineStr">
        <is>
          <t>microtubule-actin cross-linking factor 1</t>
        </is>
      </c>
    </row>
    <row r="5596">
      <c r="A5596" t="inlineStr"/>
      <c r="B5596" t="inlineStr"/>
      <c r="C5596" t="inlineStr"/>
      <c r="D5596" t="inlineStr"/>
      <c r="E5596">
        <f>HYPERLINK("https://www.ncbi.nlm.nih.gov/gene/?term=XP_010565095.1", "XP_010565095.1")</f>
        <v/>
      </c>
      <c r="F5596" t="n">
        <v>74</v>
      </c>
      <c r="G5596" t="n">
        <v>469</v>
      </c>
      <c r="H5596" t="n">
        <v>7.599999999999999e-219</v>
      </c>
      <c r="I5596" t="inlineStr">
        <is>
          <t>Nr</t>
        </is>
      </c>
      <c r="J5596" t="inlineStr"/>
      <c r="K5596" t="inlineStr"/>
      <c r="L5596" t="inlineStr">
        <is>
          <t>XP_010565095.1 PREDICTED: microtubule-actin cross-linking factor 1, isoforms 1/2/3/5-like [Haliaeetus leucocephalus]</t>
        </is>
      </c>
      <c r="M5596" t="n">
        <v>1953</v>
      </c>
      <c r="N5596" t="inlineStr">
        <is>
          <t>Haliaeetus leucocephalus</t>
        </is>
      </c>
      <c r="O5596" t="inlineStr">
        <is>
          <t>PREDICTED: microtubule-actin cross-linking factor 1, isoforms 1/2/3/5-like</t>
        </is>
      </c>
    </row>
    <row r="5597">
      <c r="A5597" t="inlineStr"/>
      <c r="B5597" t="inlineStr"/>
      <c r="C5597" t="inlineStr"/>
      <c r="D5597" t="inlineStr"/>
      <c r="E5597">
        <f>HYPERLINK("https://www.ncbi.nlm.nih.gov/gene/?term=XP_025944140.1", "XP_025944140.1")</f>
        <v/>
      </c>
      <c r="F5597" t="n">
        <v>73.8</v>
      </c>
      <c r="G5597" t="n">
        <v>469</v>
      </c>
      <c r="H5597" t="n">
        <v>3.35e-218</v>
      </c>
      <c r="I5597" t="inlineStr">
        <is>
          <t>Nr</t>
        </is>
      </c>
      <c r="J5597" t="inlineStr"/>
      <c r="K5597" t="inlineStr"/>
      <c r="L5597" t="inlineStr">
        <is>
          <t>XP_025944140.1 microtubule-actin cross-linking factor 1, isoforms 1/2/3/5-like isoform X2 [Apteryx rowi]</t>
        </is>
      </c>
      <c r="M5597" t="n">
        <v>1942</v>
      </c>
      <c r="N5597" t="inlineStr">
        <is>
          <t>Apteryx rowi</t>
        </is>
      </c>
      <c r="O5597" t="inlineStr">
        <is>
          <t>microtubule-actin cross-linking factor 1, isoforms 1/2/3/5-like isoform X2</t>
        </is>
      </c>
    </row>
    <row r="5598">
      <c r="A5598" t="inlineStr"/>
      <c r="B5598" t="inlineStr"/>
      <c r="C5598" t="inlineStr"/>
      <c r="D5598" t="inlineStr"/>
      <c r="E5598">
        <f>HYPERLINK("https://www.ncbi.nlm.nih.gov/gene/?term=XP_025944139.1", "XP_025944139.1")</f>
        <v/>
      </c>
      <c r="F5598" t="n">
        <v>73.8</v>
      </c>
      <c r="G5598" t="n">
        <v>469</v>
      </c>
      <c r="H5598" t="n">
        <v>3.73e-218</v>
      </c>
      <c r="I5598" t="inlineStr">
        <is>
          <t>Nr</t>
        </is>
      </c>
      <c r="J5598" t="inlineStr"/>
      <c r="K5598" t="inlineStr"/>
      <c r="L5598" t="inlineStr">
        <is>
          <t>XP_025944139.1 microtubule-actin cross-linking factor 1, isoforms 1/2/3/5-like isoform X1 [Apteryx rowi]</t>
        </is>
      </c>
      <c r="M5598" t="n">
        <v>1948</v>
      </c>
      <c r="N5598" t="inlineStr">
        <is>
          <t>Apteryx rowi</t>
        </is>
      </c>
      <c r="O5598" t="inlineStr">
        <is>
          <t>microtubule-actin cross-linking factor 1, isoforms 1/2/3/5-like isoform X1</t>
        </is>
      </c>
    </row>
    <row r="5599">
      <c r="A5599" t="inlineStr"/>
      <c r="B5599" t="inlineStr"/>
      <c r="C5599" t="inlineStr"/>
      <c r="D5599" t="inlineStr"/>
      <c r="E5599">
        <f>HYPERLINK("https://www.ncbi.nlm.nih.gov/gene/?term=XP_049682686.1", "XP_049682686.1")</f>
        <v/>
      </c>
      <c r="F5599" t="n">
        <v>73.8</v>
      </c>
      <c r="G5599" t="n">
        <v>469</v>
      </c>
      <c r="H5599" t="n">
        <v>4.24e-218</v>
      </c>
      <c r="I5599" t="inlineStr">
        <is>
          <t>Nr</t>
        </is>
      </c>
      <c r="J5599" t="inlineStr"/>
      <c r="K5599" t="inlineStr"/>
      <c r="L5599" t="inlineStr">
        <is>
          <t>XP_049682686.1 microtubule-actin cross-linking factor 1, isoforms 6/7-like isoform X3 [Accipiter gentilis]</t>
        </is>
      </c>
      <c r="M5599" t="n">
        <v>1974</v>
      </c>
      <c r="N5599" t="inlineStr">
        <is>
          <t>Accipiter gentilis</t>
        </is>
      </c>
      <c r="O5599" t="inlineStr">
        <is>
          <t>microtubule-actin cross-linking factor 1, isoforms 6/7-like isoform X3</t>
        </is>
      </c>
    </row>
    <row r="5600">
      <c r="A5600" t="inlineStr"/>
      <c r="B5600" t="inlineStr"/>
      <c r="C5600" t="inlineStr"/>
      <c r="D5600" t="inlineStr"/>
      <c r="E5600">
        <f>HYPERLINK("https://www.ncbi.nlm.nih.gov/gene/?term=XP_040403501.1", "XP_040403501.1")</f>
        <v/>
      </c>
      <c r="F5600" t="n">
        <v>74</v>
      </c>
      <c r="G5600" t="n">
        <v>469</v>
      </c>
      <c r="H5600" t="n">
        <v>6.84e-218</v>
      </c>
      <c r="I5600" t="inlineStr">
        <is>
          <t>Nr</t>
        </is>
      </c>
      <c r="J5600" t="inlineStr"/>
      <c r="K5600" t="inlineStr"/>
      <c r="L5600" t="inlineStr">
        <is>
          <t>XP_040403501.1 dystonin-like [Cygnus olor]</t>
        </is>
      </c>
      <c r="M5600" t="n">
        <v>2081</v>
      </c>
      <c r="N5600" t="inlineStr">
        <is>
          <t>Cygnus olor</t>
        </is>
      </c>
      <c r="O5600" t="inlineStr">
        <is>
          <t>dystonin-like</t>
        </is>
      </c>
    </row>
    <row r="5601">
      <c r="A5601" t="inlineStr"/>
      <c r="B5601" t="inlineStr"/>
      <c r="C5601" t="inlineStr"/>
      <c r="D5601" t="inlineStr"/>
      <c r="E5601">
        <f>HYPERLINK("https://www.ncbi.nlm.nih.gov/gene/?term=XP_049682677.1", "XP_049682677.1")</f>
        <v/>
      </c>
      <c r="F5601" t="n">
        <v>73.8</v>
      </c>
      <c r="G5601" t="n">
        <v>469</v>
      </c>
      <c r="H5601" t="n">
        <v>1.14e-217</v>
      </c>
      <c r="I5601" t="inlineStr">
        <is>
          <t>Nr</t>
        </is>
      </c>
      <c r="J5601" t="inlineStr"/>
      <c r="K5601" t="inlineStr"/>
      <c r="L5601" t="inlineStr">
        <is>
          <t>XP_049682677.1 microtubule-actin cross-linking factor 1, isoforms 6/7-like isoform X2 [Accipiter gentilis]</t>
        </is>
      </c>
      <c r="M5601" t="n">
        <v>2031</v>
      </c>
      <c r="N5601" t="inlineStr">
        <is>
          <t>Accipiter gentilis</t>
        </is>
      </c>
      <c r="O5601" t="inlineStr">
        <is>
          <t>microtubule-actin cross-linking factor 1, isoforms 6/7-like isoform X2</t>
        </is>
      </c>
    </row>
    <row r="5602">
      <c r="A5602" t="inlineStr"/>
      <c r="B5602" t="inlineStr"/>
      <c r="C5602" t="inlineStr"/>
      <c r="D5602" t="inlineStr"/>
      <c r="E5602">
        <f>HYPERLINK("https://www.ncbi.nlm.nih.gov/gene/?term=XP_049682668.1", "XP_049682668.1")</f>
        <v/>
      </c>
      <c r="F5602" t="n">
        <v>73.8</v>
      </c>
      <c r="G5602" t="n">
        <v>469</v>
      </c>
      <c r="H5602" t="n">
        <v>2.69e-217</v>
      </c>
      <c r="I5602" t="inlineStr">
        <is>
          <t>Nr</t>
        </is>
      </c>
      <c r="J5602" t="inlineStr"/>
      <c r="K5602" t="inlineStr"/>
      <c r="L5602" t="inlineStr">
        <is>
          <t>XP_049682668.1 microtubule-actin cross-linking factor 1, isoforms 6/7-like isoform X1 [Accipiter gentilis]</t>
        </is>
      </c>
      <c r="M5602" t="n">
        <v>2083</v>
      </c>
      <c r="N5602" t="inlineStr">
        <is>
          <t>Accipiter gentilis</t>
        </is>
      </c>
      <c r="O5602" t="inlineStr">
        <is>
          <t>microtubule-actin cross-linking factor 1, isoforms 6/7-like isoform X1</t>
        </is>
      </c>
    </row>
    <row r="5603">
      <c r="A5603" t="inlineStr"/>
      <c r="B5603" t="inlineStr"/>
      <c r="C5603" t="inlineStr"/>
      <c r="D5603" t="inlineStr"/>
      <c r="E5603">
        <f>HYPERLINK("https://www.ncbi.nlm.nih.gov/gene/?term=XP_040444854.1", "XP_040444854.1")</f>
        <v/>
      </c>
      <c r="F5603" t="n">
        <v>73.8</v>
      </c>
      <c r="G5603" t="n">
        <v>469</v>
      </c>
      <c r="H5603" t="n">
        <v>1.39e-216</v>
      </c>
      <c r="I5603" t="inlineStr">
        <is>
          <t>Nr</t>
        </is>
      </c>
      <c r="J5603" t="inlineStr"/>
      <c r="K5603" t="inlineStr"/>
      <c r="L5603" t="inlineStr">
        <is>
          <t>XP_040444854.1 microtubule-actin cross-linking factor 1-like isoform X3 [Falco naumanni]</t>
        </is>
      </c>
      <c r="M5603" t="n">
        <v>2081</v>
      </c>
      <c r="N5603" t="inlineStr">
        <is>
          <t>Falco naumanni</t>
        </is>
      </c>
      <c r="O5603" t="inlineStr">
        <is>
          <t>microtubule-actin cross-linking factor 1-like isoform X3</t>
        </is>
      </c>
    </row>
    <row r="5604">
      <c r="A5604" t="inlineStr"/>
      <c r="B5604" t="inlineStr"/>
      <c r="C5604" t="inlineStr"/>
      <c r="D5604" t="inlineStr"/>
      <c r="E5604">
        <f>HYPERLINK("https://www.uniprot.org/uniprotkb/A0A4D9DV54/entry", "A0A4D9DV54")</f>
        <v/>
      </c>
      <c r="F5604" t="n">
        <v>73</v>
      </c>
      <c r="G5604" t="n">
        <v>466</v>
      </c>
      <c r="H5604" t="n">
        <v>2.19e-216</v>
      </c>
      <c r="I5604" t="inlineStr">
        <is>
          <t>TrEMBL</t>
        </is>
      </c>
      <c r="J5604" t="inlineStr">
        <is>
          <t>DR999_PMT19318</t>
        </is>
      </c>
      <c r="K5604" t="inlineStr">
        <is>
          <t>A0A4D9DV54_9SAUR</t>
        </is>
      </c>
      <c r="L5604" t="inlineStr">
        <is>
          <t>tr|A0A4D9DV54|A0A4D9DV54_9SAUR Neural retina-specific leucine zipper protein OS=Platysternon megacephalum OX=55544 GN=DR999_PMT19318 PE=4 SV=1</t>
        </is>
      </c>
      <c r="M5604" t="n">
        <v>1591</v>
      </c>
      <c r="N5604" t="inlineStr">
        <is>
          <t>Platysternon megacephalum</t>
        </is>
      </c>
      <c r="O5604" t="inlineStr">
        <is>
          <t>Neural retina-specific leucine zipper protein</t>
        </is>
      </c>
    </row>
    <row r="5605">
      <c r="A5605" t="inlineStr"/>
      <c r="B5605" t="inlineStr"/>
      <c r="C5605" t="inlineStr"/>
      <c r="D5605" t="inlineStr"/>
      <c r="E5605">
        <f>HYPERLINK("https://www.uniprot.org/uniprotkb/A0A6J3CDL4/entry", "A0A6J3CDL4")</f>
        <v/>
      </c>
      <c r="F5605" t="n">
        <v>73.59999999999999</v>
      </c>
      <c r="G5605" t="n">
        <v>469</v>
      </c>
      <c r="H5605" t="n">
        <v>5.17e-216</v>
      </c>
      <c r="I5605" t="inlineStr">
        <is>
          <t>TrEMBL</t>
        </is>
      </c>
      <c r="J5605" t="inlineStr">
        <is>
          <t>LOC116485702</t>
        </is>
      </c>
      <c r="K5605" t="inlineStr">
        <is>
          <t>A0A6J3CDL4_AYTFU</t>
        </is>
      </c>
      <c r="L5605" t="inlineStr">
        <is>
          <t>tr|A0A6J3CDL4|A0A6J3CDL4_AYTFU microtubule-actin cross-linking factor 1-like OS=Aythya fuligula OX=219594 GN=LOC116485702 PE=4 SV=1</t>
        </is>
      </c>
      <c r="M5605" t="n">
        <v>2076</v>
      </c>
      <c r="N5605" t="inlineStr">
        <is>
          <t>Aythya fuligula</t>
        </is>
      </c>
      <c r="O5605" t="inlineStr">
        <is>
          <t>microtubule-actin cross-linking factor 1-like</t>
        </is>
      </c>
    </row>
    <row r="5606">
      <c r="A5606" t="inlineStr"/>
      <c r="B5606" t="inlineStr"/>
      <c r="C5606" t="inlineStr"/>
      <c r="D5606" t="inlineStr"/>
      <c r="E5606">
        <f>HYPERLINK("https://www.uniprot.org/uniprotkb/A0A6J0J529/entry", "A0A6J0J529")</f>
        <v/>
      </c>
      <c r="F5606" t="n">
        <v>72.2</v>
      </c>
      <c r="G5606" t="n">
        <v>468</v>
      </c>
      <c r="H5606" t="n">
        <v>1.13e-213</v>
      </c>
      <c r="I5606" t="inlineStr">
        <is>
          <t>TrEMBL</t>
        </is>
      </c>
      <c r="J5606" t="inlineStr">
        <is>
          <t>LOC108509217</t>
        </is>
      </c>
      <c r="K5606" t="inlineStr">
        <is>
          <t>A0A6J0J529_9PASS</t>
        </is>
      </c>
      <c r="L5606" t="inlineStr">
        <is>
          <t>tr|A0A6J0J529|A0A6J0J529_9PASS dystonin-like OS=Lepidothrix coronata OX=321398 GN=LOC108509217 PE=4 SV=1</t>
        </is>
      </c>
      <c r="M5606" t="n">
        <v>2017</v>
      </c>
      <c r="N5606" t="inlineStr">
        <is>
          <t>Lepidothrix coronata</t>
        </is>
      </c>
      <c r="O5606" t="inlineStr">
        <is>
          <t>dystonin-like</t>
        </is>
      </c>
    </row>
    <row r="5607">
      <c r="A5607" t="inlineStr"/>
      <c r="B5607" t="inlineStr"/>
      <c r="C5607" t="inlineStr"/>
      <c r="D5607" t="inlineStr"/>
      <c r="E5607">
        <f>HYPERLINK("https://www.uniprot.org/uniprotkb/A0A6P8PSF6/entry", "A0A6P8PSF6")</f>
        <v/>
      </c>
      <c r="F5607" t="n">
        <v>74</v>
      </c>
      <c r="G5607" t="n">
        <v>469</v>
      </c>
      <c r="H5607" t="n">
        <v>5.490000000000001e-213</v>
      </c>
      <c r="I5607" t="inlineStr">
        <is>
          <t>TrEMBL</t>
        </is>
      </c>
      <c r="J5607" t="inlineStr">
        <is>
          <t>PLEC</t>
        </is>
      </c>
      <c r="K5607" t="inlineStr">
        <is>
          <t>A0A6P8PSF6_GEOSA</t>
        </is>
      </c>
      <c r="L5607" t="inlineStr">
        <is>
          <t>tr|A0A6P8PSF6|A0A6P8PSF6_GEOSA LOW QUALITY PROTEIN: plectin OS=Geotrypetes seraphini OX=260995 GN=PLEC PE=4 SV=1</t>
        </is>
      </c>
      <c r="M5607" t="n">
        <v>7129</v>
      </c>
      <c r="N5607" t="inlineStr">
        <is>
          <t>Geotrypetes seraphini</t>
        </is>
      </c>
      <c r="O5607" t="inlineStr">
        <is>
          <t>LOW QUALITY PROTEIN: plectin</t>
        </is>
      </c>
    </row>
    <row r="5608">
      <c r="A5608" t="inlineStr"/>
      <c r="B5608" t="inlineStr"/>
      <c r="C5608" t="inlineStr"/>
      <c r="D5608" t="inlineStr"/>
      <c r="E5608">
        <f>HYPERLINK("https://www.uniprot.org/uniprotkb/A0A8K1LHN4/entry", "A0A8K1LHN4")</f>
        <v/>
      </c>
      <c r="F5608" t="n">
        <v>72.2</v>
      </c>
      <c r="G5608" t="n">
        <v>472</v>
      </c>
      <c r="H5608" t="n">
        <v>1.26e-207</v>
      </c>
      <c r="I5608" t="inlineStr">
        <is>
          <t>TrEMBL</t>
        </is>
      </c>
      <c r="J5608" t="inlineStr">
        <is>
          <t>HGM15179_013022</t>
        </is>
      </c>
      <c r="K5608" t="inlineStr">
        <is>
          <t>A0A8K1LHN4_9PASS</t>
        </is>
      </c>
      <c r="L5608" t="inlineStr">
        <is>
          <t>tr|A0A8K1LHN4|A0A8K1LHN4_9PASS PH domain-containing protein OS=Zosterops borbonicus OX=364589 GN=HGM15179_013022 PE=4 SV=1</t>
        </is>
      </c>
      <c r="M5608" t="n">
        <v>5413</v>
      </c>
      <c r="N5608" t="inlineStr">
        <is>
          <t>Zosterops borbonicus</t>
        </is>
      </c>
      <c r="O5608" t="inlineStr">
        <is>
          <t>PH domain-containing protein</t>
        </is>
      </c>
    </row>
    <row r="5609">
      <c r="A5609" t="inlineStr"/>
      <c r="B5609" t="inlineStr"/>
      <c r="C5609" t="inlineStr"/>
      <c r="D5609" t="inlineStr"/>
      <c r="E5609">
        <f>HYPERLINK("https://www.uniprot.org/uniprotkb/A0A6G1PN54/entry", "A0A6G1PN54")</f>
        <v/>
      </c>
      <c r="F5609" t="n">
        <v>63.6</v>
      </c>
      <c r="G5609" t="n">
        <v>483</v>
      </c>
      <c r="H5609" t="n">
        <v>2.7e-199</v>
      </c>
      <c r="I5609" t="inlineStr">
        <is>
          <t>TrEMBL</t>
        </is>
      </c>
      <c r="J5609" t="inlineStr">
        <is>
          <t>EXN66_Car007278</t>
        </is>
      </c>
      <c r="K5609" t="inlineStr">
        <is>
          <t>A0A6G1PN54_9TELE</t>
        </is>
      </c>
      <c r="L5609" t="inlineStr">
        <is>
          <t>tr|A0A6G1PN54|A0A6G1PN54_9TELE Microtubule-actin cross-linking factor 1 Actin cross-linking family 7 OS=Channa argus OX=215402 GN=EXN66_Car007278 PE=4 SV=1</t>
        </is>
      </c>
      <c r="M5609" t="n">
        <v>542</v>
      </c>
      <c r="N5609" t="inlineStr">
        <is>
          <t>Channa argus</t>
        </is>
      </c>
      <c r="O5609" t="inlineStr">
        <is>
          <t>Microtubule-actin cross-linking factor 1 Actin cross-linking family 7</t>
        </is>
      </c>
    </row>
    <row r="5610">
      <c r="A5610" t="inlineStr"/>
      <c r="B5610" t="inlineStr"/>
      <c r="C5610" t="inlineStr"/>
      <c r="D5610" t="inlineStr"/>
      <c r="E5610">
        <f>HYPERLINK("https://www.uniprot.org/uniprotkb/A0A3L8RWU2/entry", "A0A3L8RWU2")</f>
        <v/>
      </c>
      <c r="F5610" t="n">
        <v>68.40000000000001</v>
      </c>
      <c r="G5610" t="n">
        <v>450</v>
      </c>
      <c r="H5610" t="n">
        <v>5.86e-198</v>
      </c>
      <c r="I5610" t="inlineStr">
        <is>
          <t>TrEMBL</t>
        </is>
      </c>
      <c r="J5610" t="inlineStr">
        <is>
          <t>DV515_00015422</t>
        </is>
      </c>
      <c r="K5610" t="inlineStr">
        <is>
          <t>A0A3L8RWU2_CHLGU</t>
        </is>
      </c>
      <c r="L5610" t="inlineStr">
        <is>
          <t>tr|A0A3L8RWU2|A0A3L8RWU2_CHLGU Microtubule-actin cross-linking factor 1 OS=Chloebia gouldiae OX=44316 GN=DV515_00015422 PE=4 SV=1</t>
        </is>
      </c>
      <c r="M5610" t="n">
        <v>520</v>
      </c>
      <c r="N5610" t="inlineStr">
        <is>
          <t>Chloebia gouldiae</t>
        </is>
      </c>
      <c r="O5610" t="inlineStr">
        <is>
          <t>Microtubule-actin cross-linking factor 1</t>
        </is>
      </c>
    </row>
    <row r="5611">
      <c r="A5611" t="inlineStr"/>
      <c r="B5611" t="inlineStr"/>
      <c r="C5611" t="inlineStr"/>
      <c r="D5611" t="inlineStr"/>
      <c r="E5611">
        <f>HYPERLINK("https://www.uniprot.org/uniprotkb/A0A6F9BBX2/entry", "A0A6F9BBX2")</f>
        <v/>
      </c>
      <c r="F5611" t="n">
        <v>64.09999999999999</v>
      </c>
      <c r="G5611" t="n">
        <v>482</v>
      </c>
      <c r="H5611" t="n">
        <v>4.190000000000001e-195</v>
      </c>
      <c r="I5611" t="inlineStr">
        <is>
          <t>TrEMBL</t>
        </is>
      </c>
      <c r="J5611" t="inlineStr">
        <is>
          <t>CSTEINMANNI_LOCUS2529089</t>
        </is>
      </c>
      <c r="K5611" t="inlineStr">
        <is>
          <t>A0A6F9BBX2_9TELE</t>
        </is>
      </c>
      <c r="L5611" t="inlineStr">
        <is>
          <t>tr|A0A6F9BBX2|A0A6F9BBX2_9TELE PH domain-containing protein OS=Coregonus sp. 'balchen' OX=861768 GN=CSTEINMANNI_LOCUS2529089 PE=4 SV=1</t>
        </is>
      </c>
      <c r="M5611" t="n">
        <v>906</v>
      </c>
      <c r="N5611" t="inlineStr">
        <is>
          <t>Coregonus sp. 'balchen'</t>
        </is>
      </c>
      <c r="O5611" t="inlineStr">
        <is>
          <t>PH domain-containing protein</t>
        </is>
      </c>
    </row>
    <row r="5612">
      <c r="A5612" t="inlineStr"/>
      <c r="B5612" t="inlineStr"/>
      <c r="C5612" t="inlineStr"/>
      <c r="D5612" t="inlineStr"/>
      <c r="E5612">
        <f>HYPERLINK("https://www.uniprot.org/uniprotkb/A0A8V0XYJ2/entry", "A0A8V0XYJ2")</f>
        <v/>
      </c>
      <c r="F5612" t="n">
        <v>65</v>
      </c>
      <c r="G5612" t="n">
        <v>469</v>
      </c>
      <c r="H5612" t="n">
        <v>5.41e-194</v>
      </c>
      <c r="I5612" t="inlineStr">
        <is>
          <t>TrEMBL</t>
        </is>
      </c>
      <c r="J5612" t="inlineStr">
        <is>
          <t>LOC121109863</t>
        </is>
      </c>
      <c r="K5612" t="inlineStr">
        <is>
          <t>A0A8V0XYJ2_CHICK</t>
        </is>
      </c>
      <c r="L5612" t="inlineStr">
        <is>
          <t>tr|A0A8V0XYJ2|A0A8V0XYJ2_CHICK Epiplakin 1 OS=Gallus gallus OX=9031 GN=LOC121109863 PE=4 SV=1</t>
        </is>
      </c>
      <c r="M5612" t="n">
        <v>687</v>
      </c>
      <c r="N5612" t="inlineStr">
        <is>
          <t>Gallus gallus</t>
        </is>
      </c>
      <c r="O5612" t="inlineStr">
        <is>
          <t>Epiplakin 1</t>
        </is>
      </c>
    </row>
    <row r="5613">
      <c r="A5613" t="inlineStr"/>
      <c r="B5613" t="inlineStr"/>
      <c r="C5613" t="inlineStr"/>
      <c r="D5613" t="inlineStr"/>
      <c r="E5613">
        <f>HYPERLINK("https://www.uniprot.org/uniprotkb/A0A060X7C7/entry", "A0A060X7C7")</f>
        <v/>
      </c>
      <c r="F5613" t="n">
        <v>63.2</v>
      </c>
      <c r="G5613" t="n">
        <v>481</v>
      </c>
      <c r="H5613" t="n">
        <v>7.210000000000001e-194</v>
      </c>
      <c r="I5613" t="inlineStr">
        <is>
          <t>TrEMBL</t>
        </is>
      </c>
      <c r="J5613" t="inlineStr">
        <is>
          <t>GSONMT00040518001</t>
        </is>
      </c>
      <c r="K5613" t="inlineStr">
        <is>
          <t>A0A060X7C7_ONCMY</t>
        </is>
      </c>
      <c r="L5613" t="inlineStr">
        <is>
          <t>tr|A0A060X7C7|A0A060X7C7_ONCMY PH domain-containing protein OS=Oncorhynchus mykiss OX=8022 GN=GSONMT00040518001 PE=4 SV=1</t>
        </is>
      </c>
      <c r="M5613" t="n">
        <v>932</v>
      </c>
      <c r="N5613" t="inlineStr">
        <is>
          <t>Oncorhynchus mykiss</t>
        </is>
      </c>
      <c r="O5613" t="inlineStr">
        <is>
          <t>PH domain-containing protein</t>
        </is>
      </c>
    </row>
    <row r="5614">
      <c r="A5614" t="inlineStr"/>
      <c r="B5614" t="inlineStr"/>
      <c r="C5614" t="inlineStr"/>
      <c r="D5614" t="inlineStr"/>
      <c r="E5614">
        <f>HYPERLINK("https://www.uniprot.org/uniprotkb/A0A3M0LHZ0/entry", "A0A3M0LHZ0")</f>
        <v/>
      </c>
      <c r="F5614" t="n">
        <v>71.3</v>
      </c>
      <c r="G5614" t="n">
        <v>436</v>
      </c>
      <c r="H5614" t="n">
        <v>7.75e-193</v>
      </c>
      <c r="I5614" t="inlineStr">
        <is>
          <t>TrEMBL</t>
        </is>
      </c>
      <c r="J5614" t="inlineStr">
        <is>
          <t>DUI87_00393</t>
        </is>
      </c>
      <c r="K5614" t="inlineStr">
        <is>
          <t>A0A3M0LHZ0_HIRRU</t>
        </is>
      </c>
      <c r="L5614" t="inlineStr">
        <is>
          <t>tr|A0A3M0LHZ0|A0A3M0LHZ0_HIRRU Spectrin beta chain, non-erythrocytic 4 OS=Hirundo rustica rustica OX=333673 GN=DUI87_00393 PE=4 SV=1</t>
        </is>
      </c>
      <c r="M5614" t="n">
        <v>1842</v>
      </c>
      <c r="N5614" t="inlineStr">
        <is>
          <t>Hirundo rustica rustica</t>
        </is>
      </c>
      <c r="O5614" t="inlineStr">
        <is>
          <t>Spectrin beta chain, non-erythrocytic 4</t>
        </is>
      </c>
    </row>
    <row r="5615">
      <c r="A5615" t="inlineStr"/>
      <c r="B5615" t="inlineStr"/>
      <c r="C5615" t="inlineStr"/>
      <c r="D5615" t="inlineStr"/>
      <c r="E5615">
        <f>HYPERLINK("https://www.uniprot.org/uniprotkb/A0A7J6CAH6/entry", "A0A7J6CAH6")</f>
        <v/>
      </c>
      <c r="F5615" t="n">
        <v>63.1</v>
      </c>
      <c r="G5615" t="n">
        <v>482</v>
      </c>
      <c r="H5615" t="n">
        <v>8.45e-192</v>
      </c>
      <c r="I5615" t="inlineStr">
        <is>
          <t>TrEMBL</t>
        </is>
      </c>
      <c r="J5615" t="inlineStr">
        <is>
          <t>G5714_016556</t>
        </is>
      </c>
      <c r="K5615" t="inlineStr">
        <is>
          <t>A0A7J6CAH6_9TELE</t>
        </is>
      </c>
      <c r="L5615" t="inlineStr">
        <is>
          <t>tr|A0A7J6CAH6|A0A7J6CAH6_9TELE PH domain-containing protein OS=Onychostoma macrolepis OX=369639 GN=G5714_016556 PE=4 SV=1</t>
        </is>
      </c>
      <c r="M5615" t="n">
        <v>859</v>
      </c>
      <c r="N5615" t="inlineStr">
        <is>
          <t>Onychostoma macrolepis</t>
        </is>
      </c>
      <c r="O5615" t="inlineStr">
        <is>
          <t>PH domain-containing protein</t>
        </is>
      </c>
    </row>
    <row r="5616">
      <c r="A5616" t="inlineStr"/>
      <c r="B5616" t="inlineStr"/>
      <c r="C5616" t="inlineStr"/>
      <c r="D5616" t="inlineStr"/>
      <c r="E5616">
        <f>HYPERLINK("https://www.uniprot.org/uniprotkb/A0A484D9S5/entry", "A0A484D9S5")</f>
        <v/>
      </c>
      <c r="F5616" t="n">
        <v>63</v>
      </c>
      <c r="G5616" t="n">
        <v>470</v>
      </c>
      <c r="H5616" t="n">
        <v>3.86e-191</v>
      </c>
      <c r="I5616" t="inlineStr">
        <is>
          <t>TrEMBL</t>
        </is>
      </c>
      <c r="J5616" t="inlineStr">
        <is>
          <t>EPR50_G00068360</t>
        </is>
      </c>
      <c r="K5616" t="inlineStr">
        <is>
          <t>A0A484D9S5_PERFV</t>
        </is>
      </c>
      <c r="L5616" t="inlineStr">
        <is>
          <t>tr|A0A484D9S5|A0A484D9S5_PERFV EF-hand domain-containing protein OS=Perca flavescens OX=8167 GN=EPR50_G00068360 PE=4 SV=1</t>
        </is>
      </c>
      <c r="M5616" t="n">
        <v>718</v>
      </c>
      <c r="N5616" t="inlineStr">
        <is>
          <t>Perca flavescens</t>
        </is>
      </c>
      <c r="O5616" t="inlineStr">
        <is>
          <t>EF-hand domain-containing protein</t>
        </is>
      </c>
    </row>
    <row r="5617">
      <c r="A5617" t="inlineStr"/>
      <c r="B5617" t="inlineStr"/>
      <c r="C5617" t="inlineStr"/>
      <c r="D5617" t="inlineStr"/>
      <c r="E5617">
        <f>HYPERLINK("https://www.uniprot.org/uniprotkb/A0A4W5P9A8/entry", "A0A4W5P9A8")</f>
        <v/>
      </c>
      <c r="F5617" t="n">
        <v>63.3</v>
      </c>
      <c r="G5617" t="n">
        <v>482</v>
      </c>
      <c r="H5617" t="n">
        <v>1.9e-190</v>
      </c>
      <c r="I5617" t="inlineStr">
        <is>
          <t>TrEMBL</t>
        </is>
      </c>
      <c r="J5617" t="inlineStr"/>
      <c r="K5617" t="inlineStr">
        <is>
          <t>A0A4W5P9A8_9TELE</t>
        </is>
      </c>
      <c r="L5617" t="inlineStr">
        <is>
          <t>tr|A0A4W5P9A8|A0A4W5P9A8_9TELE PH domain-containing protein OS=Hucho hucho OX=62062 PE=4 SV=1</t>
        </is>
      </c>
      <c r="M5617" t="n">
        <v>1014</v>
      </c>
      <c r="N5617" t="inlineStr">
        <is>
          <t>Hucho hucho</t>
        </is>
      </c>
      <c r="O5617" t="inlineStr">
        <is>
          <t>PH domain-containing protein</t>
        </is>
      </c>
    </row>
    <row r="5618">
      <c r="A5618" t="inlineStr"/>
      <c r="B5618" t="inlineStr"/>
      <c r="C5618" t="inlineStr"/>
      <c r="D5618" t="inlineStr"/>
      <c r="E5618">
        <f>HYPERLINK("https://www.uniprot.org/uniprotkb/A0A8T2LY31/entry", "A0A8T2LY31")</f>
        <v/>
      </c>
      <c r="F5618" t="n">
        <v>65.09999999999999</v>
      </c>
      <c r="G5618" t="n">
        <v>482</v>
      </c>
      <c r="H5618" t="n">
        <v>3.01e-189</v>
      </c>
      <c r="I5618" t="inlineStr">
        <is>
          <t>TrEMBL</t>
        </is>
      </c>
      <c r="J5618" t="inlineStr">
        <is>
          <t>MACF1</t>
        </is>
      </c>
      <c r="K5618" t="inlineStr">
        <is>
          <t>A0A8T2LY31_ASTMX</t>
        </is>
      </c>
      <c r="L5618" t="inlineStr">
        <is>
          <t>tr|A0A8T2LY31|A0A8T2LY31_ASTMX Microtubule-actin cross-linking factor 1-like isoform X1 OS=Astyanax mexicanus OX=7994 GN=MACF1 PE=4 SV=1</t>
        </is>
      </c>
      <c r="M5618" t="n">
        <v>2089</v>
      </c>
      <c r="N5618" t="inlineStr">
        <is>
          <t>Astyanax mexicanus</t>
        </is>
      </c>
      <c r="O5618" t="inlineStr">
        <is>
          <t>Microtubule-actin cross-linking factor 1-like isoform X1</t>
        </is>
      </c>
    </row>
    <row r="5619">
      <c r="A5619" t="inlineStr"/>
      <c r="B5619" t="inlineStr"/>
      <c r="C5619" t="inlineStr"/>
      <c r="D5619" t="inlineStr"/>
      <c r="E5619">
        <f>HYPERLINK("https://www.uniprot.org/uniprotkb/A0A8J7NSJ6/entry", "A0A8J7NSJ6")</f>
        <v/>
      </c>
      <c r="F5619" t="n">
        <v>66.40000000000001</v>
      </c>
      <c r="G5619" t="n">
        <v>464</v>
      </c>
      <c r="H5619" t="n">
        <v>7.749999999999999e-189</v>
      </c>
      <c r="I5619" t="inlineStr">
        <is>
          <t>TrEMBL</t>
        </is>
      </c>
      <c r="J5619" t="inlineStr">
        <is>
          <t>Plec</t>
        </is>
      </c>
      <c r="K5619" t="inlineStr">
        <is>
          <t>A0A8J7NSJ6_ATRSP</t>
        </is>
      </c>
      <c r="L5619" t="inlineStr">
        <is>
          <t>tr|A0A8J7NSJ6|A0A8J7NSJ6_ATRSP PLEC protein (Fragment) OS=Atractosteus spatula OX=7917 GN=Plec PE=4 SV=1</t>
        </is>
      </c>
      <c r="M5619" t="n">
        <v>8699</v>
      </c>
      <c r="N5619" t="inlineStr">
        <is>
          <t>Atractosteus spatula</t>
        </is>
      </c>
      <c r="O5619" t="inlineStr">
        <is>
          <t>PLEC protein (Fragment)</t>
        </is>
      </c>
    </row>
    <row r="5620">
      <c r="A5620" t="inlineStr"/>
      <c r="B5620" t="inlineStr"/>
      <c r="C5620" t="inlineStr"/>
      <c r="D5620" t="inlineStr"/>
      <c r="E5620">
        <f>HYPERLINK("https://www.uniprot.org/uniprotkb/A0A8T2ILH5/entry", "A0A8T2ILH5")</f>
        <v/>
      </c>
      <c r="F5620" t="n">
        <v>81.2</v>
      </c>
      <c r="G5620" t="n">
        <v>341</v>
      </c>
      <c r="H5620" t="n">
        <v>2.56e-187</v>
      </c>
      <c r="I5620" t="inlineStr">
        <is>
          <t>TrEMBL</t>
        </is>
      </c>
      <c r="J5620" t="inlineStr">
        <is>
          <t>GDO86_019212</t>
        </is>
      </c>
      <c r="K5620" t="inlineStr">
        <is>
          <t>A0A8T2ILH5_9PIPI</t>
        </is>
      </c>
      <c r="L5620" t="inlineStr">
        <is>
          <t>tr|A0A8T2ILH5|A0A8T2ILH5_9PIPI Microtubule-actin crosslinking factor 1 OS=Hymenochirus boettgeri OX=247094 GN=GDO86_019212 PE=4 SV=1</t>
        </is>
      </c>
      <c r="M5620" t="n">
        <v>799</v>
      </c>
      <c r="N5620" t="inlineStr">
        <is>
          <t>Hymenochirus boettgeri</t>
        </is>
      </c>
      <c r="O5620" t="inlineStr">
        <is>
          <t>Microtubule-actin crosslinking factor 1</t>
        </is>
      </c>
    </row>
    <row r="5621">
      <c r="A5621" t="inlineStr"/>
      <c r="B5621" t="inlineStr"/>
      <c r="C5621" t="inlineStr"/>
      <c r="D5621" t="inlineStr"/>
      <c r="E5621">
        <f>HYPERLINK("https://www.uniprot.org/uniprotkb/A0A6P8GBE7/entry", "A0A6P8GBE7")</f>
        <v/>
      </c>
      <c r="F5621" t="n">
        <v>65.8</v>
      </c>
      <c r="G5621" t="n">
        <v>468</v>
      </c>
      <c r="H5621" t="n">
        <v>4.84e-186</v>
      </c>
      <c r="I5621" t="inlineStr">
        <is>
          <t>TrEMBL</t>
        </is>
      </c>
      <c r="J5621" t="inlineStr">
        <is>
          <t>LOC105905367</t>
        </is>
      </c>
      <c r="K5621" t="inlineStr">
        <is>
          <t>A0A6P8GBE7_CLUHA</t>
        </is>
      </c>
      <c r="L5621" t="inlineStr">
        <is>
          <t>tr|A0A6P8GBE7|A0A6P8GBE7_CLUHA dystonin-like isoform X25 OS=Clupea harengus OX=7950 GN=LOC105905367 PE=4 SV=1</t>
        </is>
      </c>
      <c r="M5621" t="n">
        <v>4248</v>
      </c>
      <c r="N5621" t="inlineStr">
        <is>
          <t>Clupea harengus</t>
        </is>
      </c>
      <c r="O5621" t="inlineStr">
        <is>
          <t>dystonin-like isoform X25</t>
        </is>
      </c>
    </row>
    <row r="5622">
      <c r="A5622" t="inlineStr"/>
      <c r="B5622" t="inlineStr"/>
      <c r="C5622" t="inlineStr"/>
      <c r="D5622" t="inlineStr"/>
      <c r="E5622">
        <f>HYPERLINK("https://www.uniprot.org/uniprotkb/A0A8C3CXV9/entry", "A0A8C3CXV9")</f>
        <v/>
      </c>
      <c r="F5622" t="n">
        <v>69.3</v>
      </c>
      <c r="G5622" t="n">
        <v>462</v>
      </c>
      <c r="H5622" t="n">
        <v>1.07e-185</v>
      </c>
      <c r="I5622" t="inlineStr">
        <is>
          <t>TrEMBL</t>
        </is>
      </c>
      <c r="J5622" t="inlineStr"/>
      <c r="K5622" t="inlineStr">
        <is>
          <t>A0A8C3CXV9_CAIMO</t>
        </is>
      </c>
      <c r="L5622" t="inlineStr">
        <is>
          <t>tr|A0A8C3CXV9|A0A8C3CXV9_CAIMO Nesprin-2 OS=Cairina moschata domestica OX=1240228 PE=4 SV=1</t>
        </is>
      </c>
      <c r="M5622" t="n">
        <v>2140</v>
      </c>
      <c r="N5622" t="inlineStr">
        <is>
          <t>Cairina moschata domestica</t>
        </is>
      </c>
      <c r="O5622" t="inlineStr">
        <is>
          <t>Nesprin-2</t>
        </is>
      </c>
    </row>
    <row r="5623">
      <c r="A5623" t="inlineStr"/>
      <c r="B5623" t="inlineStr"/>
      <c r="C5623" t="inlineStr"/>
      <c r="D5623" t="inlineStr"/>
      <c r="E5623">
        <f>HYPERLINK("https://www.uniprot.org/uniprotkb/A0A5N5Q3M4/entry", "A0A5N5Q3M4")</f>
        <v/>
      </c>
      <c r="F5623" t="n">
        <v>63.3</v>
      </c>
      <c r="G5623" t="n">
        <v>482</v>
      </c>
      <c r="H5623" t="n">
        <v>4.05e-183</v>
      </c>
      <c r="I5623" t="inlineStr">
        <is>
          <t>TrEMBL</t>
        </is>
      </c>
      <c r="J5623" t="inlineStr">
        <is>
          <t>PHYPO_G00001100</t>
        </is>
      </c>
      <c r="K5623" t="inlineStr">
        <is>
          <t>A0A5N5Q3M4_PANHP</t>
        </is>
      </c>
      <c r="L5623" t="inlineStr">
        <is>
          <t>tr|A0A5N5Q3M4|A0A5N5Q3M4_PANHP MACF1 OS=Pangasianodon hypophthalmus OX=310915 GN=PHYPO_G00001100 PE=4 SV=1</t>
        </is>
      </c>
      <c r="M5623" t="n">
        <v>2086</v>
      </c>
      <c r="N5623" t="inlineStr">
        <is>
          <t>Pangasianodon hypophthalmus</t>
        </is>
      </c>
      <c r="O5623" t="inlineStr">
        <is>
          <t>MACF1</t>
        </is>
      </c>
    </row>
    <row r="5624">
      <c r="A5624" t="inlineStr"/>
      <c r="B5624" t="inlineStr"/>
      <c r="C5624" t="inlineStr"/>
      <c r="D5624" t="inlineStr"/>
      <c r="E5624">
        <f>HYPERLINK("https://www.uniprot.org/uniprotkb/A0A8T2ILH5/entry", "A0A8T2ILH5")</f>
        <v/>
      </c>
      <c r="F5624" t="n">
        <v>82.09999999999999</v>
      </c>
      <c r="G5624" t="n">
        <v>330</v>
      </c>
      <c r="H5624" t="n">
        <v>1.02e-169</v>
      </c>
      <c r="I5624" t="inlineStr">
        <is>
          <t>TrEMBL</t>
        </is>
      </c>
      <c r="J5624" t="inlineStr">
        <is>
          <t>GDO86_019212</t>
        </is>
      </c>
      <c r="K5624" t="inlineStr">
        <is>
          <t>A0A8T2ILH5_9PIPI</t>
        </is>
      </c>
      <c r="L5624" t="inlineStr">
        <is>
          <t>tr|A0A8T2ILH5|A0A8T2ILH5_9PIPI Microtubule-actin crosslinking factor 1 OS=Hymenochirus boettgeri OX=247094 GN=GDO86_019212 PE=4 SV=1</t>
        </is>
      </c>
      <c r="M5624" t="n">
        <v>799</v>
      </c>
      <c r="N5624" t="inlineStr">
        <is>
          <t>Hymenochirus boettgeri</t>
        </is>
      </c>
      <c r="O5624" t="inlineStr">
        <is>
          <t>Microtubule-actin crosslinking factor 1</t>
        </is>
      </c>
    </row>
    <row r="5625">
      <c r="A5625" t="inlineStr"/>
      <c r="B5625" t="inlineStr"/>
      <c r="C5625" t="inlineStr"/>
      <c r="D5625" t="inlineStr"/>
      <c r="E5625">
        <f>HYPERLINK("https://www.ncbi.nlm.nih.gov/gene/?term=KAG8431934.1", "KAG8431934.1")</f>
        <v/>
      </c>
      <c r="F5625" t="n">
        <v>82.09999999999999</v>
      </c>
      <c r="G5625" t="n">
        <v>330</v>
      </c>
      <c r="H5625" t="n">
        <v>2.63e-169</v>
      </c>
      <c r="I5625" t="inlineStr">
        <is>
          <t>Nr</t>
        </is>
      </c>
      <c r="J5625" t="inlineStr"/>
      <c r="K5625" t="inlineStr"/>
      <c r="L5625" t="inlineStr">
        <is>
          <t>KAG8431934.1 hypothetical protein GDO86_019212 [Hymenochirus boettgeri]</t>
        </is>
      </c>
      <c r="M5625" t="n">
        <v>799</v>
      </c>
      <c r="N5625" t="inlineStr">
        <is>
          <t>Hymenochirus boettgeri</t>
        </is>
      </c>
      <c r="O5625" t="inlineStr">
        <is>
          <t>hypothetical protein GDO86_019212</t>
        </is>
      </c>
    </row>
    <row r="5626">
      <c r="A5626" t="inlineStr"/>
      <c r="B5626" t="inlineStr"/>
      <c r="C5626" t="inlineStr"/>
      <c r="D5626" t="inlineStr"/>
      <c r="E5626">
        <f>HYPERLINK("https://www.ncbi.nlm.nih.gov/gene/?term=XP_040211056.1", "XP_040211056.1")</f>
        <v/>
      </c>
      <c r="F5626" t="n">
        <v>82.8</v>
      </c>
      <c r="G5626" t="n">
        <v>331</v>
      </c>
      <c r="H5626" t="n">
        <v>1.14e-167</v>
      </c>
      <c r="I5626" t="inlineStr">
        <is>
          <t>Nr</t>
        </is>
      </c>
      <c r="J5626" t="inlineStr"/>
      <c r="K5626" t="inlineStr"/>
      <c r="L5626" t="inlineStr">
        <is>
          <t>XP_040211056.1 microtubule-actin cross-linking factor 1, isoforms 1/2/3/5-like isoform X4 [Rana temporaria]</t>
        </is>
      </c>
      <c r="M5626" t="n">
        <v>1743</v>
      </c>
      <c r="N5626" t="inlineStr">
        <is>
          <t>Rana temporaria</t>
        </is>
      </c>
      <c r="O5626" t="inlineStr">
        <is>
          <t>microtubule-actin cross-linking factor 1, isoforms 1/2/3/5-like isoform X4</t>
        </is>
      </c>
    </row>
    <row r="5627">
      <c r="A5627" t="inlineStr"/>
      <c r="B5627" t="inlineStr"/>
      <c r="C5627" t="inlineStr"/>
      <c r="D5627" t="inlineStr"/>
      <c r="E5627">
        <f>HYPERLINK("https://www.ncbi.nlm.nih.gov/gene/?term=XP_018416429.1", "XP_018416429.1")</f>
        <v/>
      </c>
      <c r="F5627" t="n">
        <v>82.2</v>
      </c>
      <c r="G5627" t="n">
        <v>331</v>
      </c>
      <c r="H5627" t="n">
        <v>1.46e-166</v>
      </c>
      <c r="I5627" t="inlineStr">
        <is>
          <t>Nr</t>
        </is>
      </c>
      <c r="J5627" t="inlineStr"/>
      <c r="K5627" t="inlineStr"/>
      <c r="L5627" t="inlineStr">
        <is>
          <t>XP_018416429.1 PREDICTED: microtubule-actin cross-linking factor 1, isoforms 1/2/3/5-like [Nanorana parkeri]</t>
        </is>
      </c>
      <c r="M5627" t="n">
        <v>1782</v>
      </c>
      <c r="N5627" t="inlineStr">
        <is>
          <t>Nanorana parkeri</t>
        </is>
      </c>
      <c r="O5627" t="inlineStr">
        <is>
          <t>PREDICTED: microtubule-actin cross-linking factor 1, isoforms 1/2/3/5-like</t>
        </is>
      </c>
    </row>
    <row r="5628">
      <c r="A5628" t="inlineStr"/>
      <c r="B5628" t="inlineStr"/>
      <c r="C5628" t="inlineStr"/>
      <c r="D5628" t="inlineStr"/>
      <c r="E5628">
        <f>HYPERLINK("https://www.ncbi.nlm.nih.gov/gene/?term=XP_040211055.1", "XP_040211055.1")</f>
        <v/>
      </c>
      <c r="F5628" t="n">
        <v>82.8</v>
      </c>
      <c r="G5628" t="n">
        <v>331</v>
      </c>
      <c r="H5628" t="n">
        <v>1.63e-166</v>
      </c>
      <c r="I5628" t="inlineStr">
        <is>
          <t>Nr</t>
        </is>
      </c>
      <c r="J5628" t="inlineStr"/>
      <c r="K5628" t="inlineStr"/>
      <c r="L5628" t="inlineStr">
        <is>
          <t>XP_040211055.1 microtubule-actin cross-linking factor 1, isoforms 1/2/3/5-like isoform X3 [Rana temporaria]</t>
        </is>
      </c>
      <c r="M5628" t="n">
        <v>1948</v>
      </c>
      <c r="N5628" t="inlineStr">
        <is>
          <t>Rana temporaria</t>
        </is>
      </c>
      <c r="O5628" t="inlineStr">
        <is>
          <t>microtubule-actin cross-linking factor 1, isoforms 1/2/3/5-like isoform X3</t>
        </is>
      </c>
    </row>
    <row r="5629">
      <c r="A5629" t="inlineStr"/>
      <c r="B5629" t="inlineStr"/>
      <c r="C5629" t="inlineStr"/>
      <c r="D5629" t="inlineStr"/>
      <c r="E5629">
        <f>HYPERLINK("https://www.ncbi.nlm.nih.gov/gene/?term=XP_040211054.1", "XP_040211054.1")</f>
        <v/>
      </c>
      <c r="F5629" t="n">
        <v>82.8</v>
      </c>
      <c r="G5629" t="n">
        <v>331</v>
      </c>
      <c r="H5629" t="n">
        <v>1.71e-166</v>
      </c>
      <c r="I5629" t="inlineStr">
        <is>
          <t>Nr</t>
        </is>
      </c>
      <c r="J5629" t="inlineStr"/>
      <c r="K5629" t="inlineStr"/>
      <c r="L5629" t="inlineStr">
        <is>
          <t>XP_040211054.1 microtubule-actin cross-linking factor 1, isoforms 1/2/3/5-like isoform X2 [Rana temporaria]</t>
        </is>
      </c>
      <c r="M5629" t="n">
        <v>1952</v>
      </c>
      <c r="N5629" t="inlineStr">
        <is>
          <t>Rana temporaria</t>
        </is>
      </c>
      <c r="O5629" t="inlineStr">
        <is>
          <t>microtubule-actin cross-linking factor 1, isoforms 1/2/3/5-like isoform X2</t>
        </is>
      </c>
    </row>
    <row r="5630">
      <c r="A5630" t="inlineStr"/>
      <c r="B5630" t="inlineStr"/>
      <c r="C5630" t="inlineStr"/>
      <c r="D5630" t="inlineStr"/>
      <c r="E5630">
        <f>HYPERLINK("https://www.ncbi.nlm.nih.gov/gene/?term=XP_040211053.1", "XP_040211053.1")</f>
        <v/>
      </c>
      <c r="F5630" t="n">
        <v>82.8</v>
      </c>
      <c r="G5630" t="n">
        <v>331</v>
      </c>
      <c r="H5630" t="n">
        <v>6.010000000000001e-166</v>
      </c>
      <c r="I5630" t="inlineStr">
        <is>
          <t>Nr</t>
        </is>
      </c>
      <c r="J5630" t="inlineStr"/>
      <c r="K5630" t="inlineStr"/>
      <c r="L5630" t="inlineStr">
        <is>
          <t>XP_040211053.1 microtubule-actin cross-linking factor 1, isoforms 1/2/3/5-like isoform X1 [Rana temporaria]</t>
        </is>
      </c>
      <c r="M5630" t="n">
        <v>2074</v>
      </c>
      <c r="N5630" t="inlineStr">
        <is>
          <t>Rana temporaria</t>
        </is>
      </c>
      <c r="O5630" t="inlineStr">
        <is>
          <t>microtubule-actin cross-linking factor 1, isoforms 1/2/3/5-like isoform X1</t>
        </is>
      </c>
    </row>
    <row r="5631">
      <c r="A5631" t="inlineStr"/>
      <c r="B5631" t="inlineStr"/>
      <c r="C5631" t="inlineStr"/>
      <c r="D5631" t="inlineStr"/>
      <c r="E5631">
        <f>HYPERLINK("https://www.ncbi.nlm.nih.gov/gene/?term=OCT77336.1", "OCT77336.1")</f>
        <v/>
      </c>
      <c r="F5631" t="n">
        <v>84.3</v>
      </c>
      <c r="G5631" t="n">
        <v>331</v>
      </c>
      <c r="H5631" t="n">
        <v>1.61e-162</v>
      </c>
      <c r="I5631" t="inlineStr">
        <is>
          <t>Nr</t>
        </is>
      </c>
      <c r="J5631" t="inlineStr"/>
      <c r="K5631" t="inlineStr"/>
      <c r="L5631" t="inlineStr">
        <is>
          <t>OCT77336.1 hypothetical protein XELAEV_18032537mg [Xenopus laevis]</t>
        </is>
      </c>
      <c r="M5631" t="n">
        <v>2086</v>
      </c>
      <c r="N5631" t="inlineStr">
        <is>
          <t>Xenopus laevis</t>
        </is>
      </c>
      <c r="O5631" t="inlineStr">
        <is>
          <t>hypothetical protein XELAEV_18032537mg</t>
        </is>
      </c>
    </row>
    <row r="5632">
      <c r="A5632" t="inlineStr"/>
      <c r="B5632" t="inlineStr"/>
      <c r="C5632" t="inlineStr"/>
      <c r="D5632" t="inlineStr"/>
      <c r="E5632">
        <f>HYPERLINK("https://www.ncbi.nlm.nih.gov/gene/?term=XP_044130892.1", "XP_044130892.1")</f>
        <v/>
      </c>
      <c r="F5632" t="n">
        <v>78.5</v>
      </c>
      <c r="G5632" t="n">
        <v>330</v>
      </c>
      <c r="H5632" t="n">
        <v>3.09e-162</v>
      </c>
      <c r="I5632" t="inlineStr">
        <is>
          <t>Nr</t>
        </is>
      </c>
      <c r="J5632" t="inlineStr"/>
      <c r="K5632" t="inlineStr"/>
      <c r="L5632" t="inlineStr">
        <is>
          <t>XP_044130892.1 microtubule-actin cross-linking factor 1-like, partial [Bufo gargarizans]</t>
        </is>
      </c>
      <c r="M5632" t="n">
        <v>811</v>
      </c>
      <c r="N5632" t="inlineStr">
        <is>
          <t>Bufo gargarizans</t>
        </is>
      </c>
      <c r="O5632" t="inlineStr">
        <is>
          <t>microtubule-actin cross-linking factor 1-like, partial</t>
        </is>
      </c>
    </row>
    <row r="5633">
      <c r="A5633" t="inlineStr"/>
      <c r="B5633" t="inlineStr"/>
      <c r="C5633" t="inlineStr"/>
      <c r="D5633" t="inlineStr"/>
      <c r="E5633">
        <f>HYPERLINK("https://www.ncbi.nlm.nih.gov/gene/?term=KAE8599990.1", "KAE8599990.1")</f>
        <v/>
      </c>
      <c r="F5633" t="n">
        <v>83.09999999999999</v>
      </c>
      <c r="G5633" t="n">
        <v>331</v>
      </c>
      <c r="H5633" t="n">
        <v>9.46e-162</v>
      </c>
      <c r="I5633" t="inlineStr">
        <is>
          <t>Nr</t>
        </is>
      </c>
      <c r="J5633" t="inlineStr"/>
      <c r="K5633" t="inlineStr"/>
      <c r="L5633" t="inlineStr">
        <is>
          <t>KAE8599990.1 hypothetical protein XENTR_v10017421 [Xenopus tropicalis]</t>
        </is>
      </c>
      <c r="M5633" t="n">
        <v>1745</v>
      </c>
      <c r="N5633" t="inlineStr">
        <is>
          <t>Xenopus tropicalis</t>
        </is>
      </c>
      <c r="O5633" t="inlineStr">
        <is>
          <t>hypothetical protein XENTR_v10017421</t>
        </is>
      </c>
    </row>
    <row r="5634">
      <c r="A5634" t="inlineStr"/>
      <c r="B5634" t="inlineStr"/>
      <c r="C5634" t="inlineStr"/>
      <c r="D5634" t="inlineStr"/>
      <c r="E5634">
        <f>HYPERLINK("https://www.uniprot.org/uniprotkb/A0A8J1JRF6/entry", "A0A8J1JRF6")</f>
        <v/>
      </c>
      <c r="F5634" t="n">
        <v>83.09999999999999</v>
      </c>
      <c r="G5634" t="n">
        <v>331</v>
      </c>
      <c r="H5634" t="n">
        <v>1.06e-161</v>
      </c>
      <c r="I5634" t="inlineStr">
        <is>
          <t>TrEMBL</t>
        </is>
      </c>
      <c r="J5634" t="inlineStr">
        <is>
          <t>LOC100495047</t>
        </is>
      </c>
      <c r="K5634" t="inlineStr">
        <is>
          <t>A0A8J1JRF6_XENTR</t>
        </is>
      </c>
      <c r="L5634" t="inlineStr">
        <is>
          <t>tr|A0A8J1JRF6|A0A8J1JRF6_XENTR microtubule-actin cross-linking factor 1 OS=Xenopus tropicalis OX=8364 GN=LOC100495047 PE=4 SV=1</t>
        </is>
      </c>
      <c r="M5634" t="n">
        <v>1826</v>
      </c>
      <c r="N5634" t="inlineStr">
        <is>
          <t>Xenopus tropicalis</t>
        </is>
      </c>
      <c r="O5634" t="inlineStr">
        <is>
          <t>microtubule-actin cross-linking factor 1</t>
        </is>
      </c>
    </row>
    <row r="5635">
      <c r="A5635" t="inlineStr"/>
      <c r="B5635" t="inlineStr"/>
      <c r="C5635" t="inlineStr"/>
      <c r="D5635" t="inlineStr"/>
      <c r="E5635">
        <f>HYPERLINK("https://www.ncbi.nlm.nih.gov/gene/?term=XP_031760478.1", "XP_031760478.1")</f>
        <v/>
      </c>
      <c r="F5635" t="n">
        <v>83.09999999999999</v>
      </c>
      <c r="G5635" t="n">
        <v>331</v>
      </c>
      <c r="H5635" t="n">
        <v>2.72e-161</v>
      </c>
      <c r="I5635" t="inlineStr">
        <is>
          <t>Nr</t>
        </is>
      </c>
      <c r="J5635" t="inlineStr"/>
      <c r="K5635" t="inlineStr"/>
      <c r="L5635" t="inlineStr">
        <is>
          <t>XP_031760478.1 microtubule-actin cross-linking factor 1 [Xenopus tropicalis]</t>
        </is>
      </c>
      <c r="M5635" t="n">
        <v>1826</v>
      </c>
      <c r="N5635" t="inlineStr">
        <is>
          <t>Xenopus tropicalis</t>
        </is>
      </c>
      <c r="O5635" t="inlineStr">
        <is>
          <t>microtubule-actin cross-linking factor 1</t>
        </is>
      </c>
    </row>
    <row r="5636">
      <c r="A5636" t="inlineStr"/>
      <c r="B5636" t="inlineStr"/>
      <c r="C5636" t="inlineStr"/>
      <c r="D5636" t="inlineStr"/>
      <c r="E5636">
        <f>HYPERLINK("https://www.uniprot.org/uniprotkb/A0A803JT26/entry", "A0A803JT26")</f>
        <v/>
      </c>
      <c r="F5636" t="n">
        <v>76.09999999999999</v>
      </c>
      <c r="G5636" t="n">
        <v>335</v>
      </c>
      <c r="H5636" t="n">
        <v>2.47e-152</v>
      </c>
      <c r="I5636" t="inlineStr">
        <is>
          <t>TrEMBL</t>
        </is>
      </c>
      <c r="J5636" t="inlineStr">
        <is>
          <t>LOC100495047</t>
        </is>
      </c>
      <c r="K5636" t="inlineStr">
        <is>
          <t>A0A803JT26_XENTR</t>
        </is>
      </c>
      <c r="L5636" t="inlineStr">
        <is>
          <t>tr|A0A803JT26|A0A803JT26_XENTR Microtubule-actin cross-linking factor 1 OS=Xenopus tropicalis OX=8364 GN=LOC100495047 PE=4 SV=1</t>
        </is>
      </c>
      <c r="M5636" t="n">
        <v>609</v>
      </c>
      <c r="N5636" t="inlineStr">
        <is>
          <t>Xenopus tropicalis</t>
        </is>
      </c>
      <c r="O5636" t="inlineStr">
        <is>
          <t>Microtubule-actin cross-linking factor 1</t>
        </is>
      </c>
    </row>
    <row r="5637">
      <c r="A5637" t="inlineStr"/>
      <c r="B5637" t="inlineStr"/>
      <c r="C5637" t="inlineStr"/>
      <c r="D5637" t="inlineStr"/>
      <c r="E5637">
        <f>HYPERLINK("https://www.uniprot.org/uniprotkb/A0A1B8XUW9/entry", "A0A1B8XUW9")</f>
        <v/>
      </c>
      <c r="F5637" t="n">
        <v>85.5</v>
      </c>
      <c r="G5637" t="n">
        <v>262</v>
      </c>
      <c r="H5637" t="n">
        <v>6.09e-144</v>
      </c>
      <c r="I5637" t="inlineStr">
        <is>
          <t>TrEMBL</t>
        </is>
      </c>
      <c r="J5637" t="inlineStr">
        <is>
          <t>XENTR_v900267601mg</t>
        </is>
      </c>
      <c r="K5637" t="inlineStr">
        <is>
          <t>A0A1B8XUW9_XENTR</t>
        </is>
      </c>
      <c r="L5637" t="inlineStr">
        <is>
          <t>tr|A0A1B8XUW9|A0A1B8XUW9_XENTR Spectrin repeat containing, nuclear envelope 1b (Fragment) OS=Xenopus tropicalis OX=8364 GN=XENTR_v900267601mg PE=4 SV=1</t>
        </is>
      </c>
      <c r="M5637" t="n">
        <v>464</v>
      </c>
      <c r="N5637" t="inlineStr">
        <is>
          <t>Xenopus tropicalis</t>
        </is>
      </c>
      <c r="O5637" t="inlineStr">
        <is>
          <t>Spectrin repeat containing, nuclear envelope 1b (Fragment)</t>
        </is>
      </c>
    </row>
    <row r="5638">
      <c r="A5638" t="inlineStr"/>
      <c r="B5638" t="inlineStr"/>
      <c r="C5638" t="inlineStr"/>
      <c r="D5638" t="inlineStr"/>
      <c r="E5638">
        <f>HYPERLINK("https://www.uniprot.org/uniprotkb/A0A8J6EKT4/entry", "A0A8J6EKT4")</f>
        <v/>
      </c>
      <c r="F5638" t="n">
        <v>74.8</v>
      </c>
      <c r="G5638" t="n">
        <v>330</v>
      </c>
      <c r="H5638" t="n">
        <v>1.07e-142</v>
      </c>
      <c r="I5638" t="inlineStr">
        <is>
          <t>TrEMBL</t>
        </is>
      </c>
      <c r="J5638" t="inlineStr">
        <is>
          <t>GDO78_016616</t>
        </is>
      </c>
      <c r="K5638" t="inlineStr">
        <is>
          <t>A0A8J6EKT4_ELECQ</t>
        </is>
      </c>
      <c r="L5638" t="inlineStr">
        <is>
          <t>tr|A0A8J6EKT4|A0A8J6EKT4_ELECQ KASH domain-containing protein OS=Eleutherodactylus coqui OX=57060 GN=GDO78_016616 PE=4 SV=1</t>
        </is>
      </c>
      <c r="M5638" t="n">
        <v>1723</v>
      </c>
      <c r="N5638" t="inlineStr">
        <is>
          <t>Eleutherodactylus coqui</t>
        </is>
      </c>
      <c r="O5638" t="inlineStr">
        <is>
          <t>KASH domain-containing protein</t>
        </is>
      </c>
    </row>
    <row r="5639">
      <c r="A5639" t="inlineStr"/>
      <c r="B5639" t="inlineStr"/>
      <c r="C5639" t="inlineStr"/>
      <c r="D5639" t="inlineStr"/>
      <c r="E5639">
        <f>HYPERLINK("https://www.ncbi.nlm.nih.gov/gene/?term=KAG9470845.1", "KAG9470845.1")</f>
        <v/>
      </c>
      <c r="F5639" t="n">
        <v>74.8</v>
      </c>
      <c r="G5639" t="n">
        <v>330</v>
      </c>
      <c r="H5639" t="n">
        <v>2.74e-142</v>
      </c>
      <c r="I5639" t="inlineStr">
        <is>
          <t>Nr</t>
        </is>
      </c>
      <c r="J5639" t="inlineStr"/>
      <c r="K5639" t="inlineStr"/>
      <c r="L5639" t="inlineStr">
        <is>
          <t>KAG9470845.1 hypothetical protein GDO78_016616 [Eleutherodactylus coqui]</t>
        </is>
      </c>
      <c r="M5639" t="n">
        <v>1723</v>
      </c>
      <c r="N5639" t="inlineStr">
        <is>
          <t>Eleutherodactylus coqui</t>
        </is>
      </c>
      <c r="O5639" t="inlineStr">
        <is>
          <t>hypothetical protein GDO78_016616</t>
        </is>
      </c>
    </row>
    <row r="5640">
      <c r="A5640" t="inlineStr"/>
      <c r="B5640" t="inlineStr"/>
      <c r="C5640" t="inlineStr"/>
      <c r="D5640" t="inlineStr"/>
      <c r="E5640">
        <f>HYPERLINK("https://www.ncbi.nlm.nih.gov/gene/?term=XP_053323911.1", "XP_053323911.1")</f>
        <v/>
      </c>
      <c r="F5640" t="n">
        <v>73.3</v>
      </c>
      <c r="G5640" t="n">
        <v>330</v>
      </c>
      <c r="H5640" t="n">
        <v>1.17e-138</v>
      </c>
      <c r="I5640" t="inlineStr">
        <is>
          <t>Nr</t>
        </is>
      </c>
      <c r="J5640" t="inlineStr"/>
      <c r="K5640" t="inlineStr"/>
      <c r="L5640" t="inlineStr">
        <is>
          <t>XP_053323911.1 microtubule-actin cross-linking factor 1, isoforms 6/7-like [Spea bombifrons]</t>
        </is>
      </c>
      <c r="M5640" t="n">
        <v>1680</v>
      </c>
      <c r="N5640" t="inlineStr">
        <is>
          <t>Spea bombifrons</t>
        </is>
      </c>
      <c r="O5640" t="inlineStr">
        <is>
          <t>microtubule-actin cross-linking factor 1, isoforms 6/7-like</t>
        </is>
      </c>
    </row>
    <row r="5641">
      <c r="A5641" t="inlineStr"/>
      <c r="B5641" t="inlineStr"/>
      <c r="C5641" t="inlineStr"/>
      <c r="D5641" t="inlineStr"/>
      <c r="E5641">
        <f>HYPERLINK("https://www.ncbi.nlm.nih.gov/gene/?term=XP_029442321.1", "XP_029442321.1")</f>
        <v/>
      </c>
      <c r="F5641" t="n">
        <v>70.59999999999999</v>
      </c>
      <c r="G5641" t="n">
        <v>320</v>
      </c>
      <c r="H5641" t="n">
        <v>6.779999999999999e-136</v>
      </c>
      <c r="I5641" t="inlineStr">
        <is>
          <t>Nr</t>
        </is>
      </c>
      <c r="J5641" t="inlineStr"/>
      <c r="K5641" t="inlineStr"/>
      <c r="L5641" t="inlineStr">
        <is>
          <t>XP_029442321.1 microtubule-actin cross-linking factor 1-like [Rhinatrema bivittatum]</t>
        </is>
      </c>
      <c r="M5641" t="n">
        <v>987</v>
      </c>
      <c r="N5641" t="inlineStr">
        <is>
          <t>Rhinatrema bivittatum</t>
        </is>
      </c>
      <c r="O5641" t="inlineStr">
        <is>
          <t>microtubule-actin cross-linking factor 1-like</t>
        </is>
      </c>
    </row>
    <row r="5642">
      <c r="A5642" t="inlineStr"/>
      <c r="B5642" t="inlineStr"/>
      <c r="C5642" t="inlineStr"/>
      <c r="D5642" t="inlineStr"/>
      <c r="E5642">
        <f>HYPERLINK("https://www.uniprot.org/uniprotkb/A0A7R5KVC4/entry", "A0A7R5KVC4")</f>
        <v/>
      </c>
      <c r="F5642" t="n">
        <v>69.09999999999999</v>
      </c>
      <c r="G5642" t="n">
        <v>330</v>
      </c>
      <c r="H5642" t="n">
        <v>1.97e-135</v>
      </c>
      <c r="I5642" t="inlineStr">
        <is>
          <t>TrEMBL</t>
        </is>
      </c>
      <c r="J5642" t="inlineStr">
        <is>
          <t>LOC114001953</t>
        </is>
      </c>
      <c r="K5642" t="inlineStr">
        <is>
          <t>A0A7R5KVC4_9PASS</t>
        </is>
      </c>
      <c r="L5642" t="inlineStr">
        <is>
          <t>tr|A0A7R5KVC4|A0A7R5KVC4_9PASS microtubule-actin cross-linking factor 1-like OS=Pipra filicauda OX=649802 GN=LOC114001953 PE=4 SV=1</t>
        </is>
      </c>
      <c r="M5642" t="n">
        <v>599</v>
      </c>
      <c r="N5642" t="inlineStr">
        <is>
          <t>Pipra filicauda</t>
        </is>
      </c>
      <c r="O5642" t="inlineStr">
        <is>
          <t>microtubule-actin cross-linking factor 1-like</t>
        </is>
      </c>
    </row>
    <row r="5643">
      <c r="A5643" t="inlineStr"/>
      <c r="B5643" t="inlineStr"/>
      <c r="C5643" t="inlineStr"/>
      <c r="D5643" t="inlineStr"/>
      <c r="E5643">
        <f>HYPERLINK("https://www.ncbi.nlm.nih.gov/gene/?term=XP_029443080.1", "XP_029443080.1")</f>
        <v/>
      </c>
      <c r="F5643" t="n">
        <v>70.59999999999999</v>
      </c>
      <c r="G5643" t="n">
        <v>320</v>
      </c>
      <c r="H5643" t="n">
        <v>2.51e-135</v>
      </c>
      <c r="I5643" t="inlineStr">
        <is>
          <t>Nr</t>
        </is>
      </c>
      <c r="J5643" t="inlineStr"/>
      <c r="K5643" t="inlineStr"/>
      <c r="L5643" t="inlineStr">
        <is>
          <t>XP_029443080.1 microtubule-actin cross-linking factor 1-like [Rhinatrema bivittatum]</t>
        </is>
      </c>
      <c r="M5643" t="n">
        <v>1045</v>
      </c>
      <c r="N5643" t="inlineStr">
        <is>
          <t>Rhinatrema bivittatum</t>
        </is>
      </c>
      <c r="O5643" t="inlineStr">
        <is>
          <t>microtubule-actin cross-linking factor 1-like</t>
        </is>
      </c>
    </row>
    <row r="5644">
      <c r="A5644" t="inlineStr"/>
      <c r="B5644" t="inlineStr"/>
      <c r="C5644" t="inlineStr"/>
      <c r="D5644" t="inlineStr"/>
      <c r="E5644">
        <f>HYPERLINK("https://www.ncbi.nlm.nih.gov/gene/?term=XP_039244480.1", "XP_039244480.1")</f>
        <v/>
      </c>
      <c r="F5644" t="n">
        <v>69.09999999999999</v>
      </c>
      <c r="G5644" t="n">
        <v>330</v>
      </c>
      <c r="H5644" t="n">
        <v>5.05e-135</v>
      </c>
      <c r="I5644" t="inlineStr">
        <is>
          <t>Nr</t>
        </is>
      </c>
      <c r="J5644" t="inlineStr"/>
      <c r="K5644" t="inlineStr"/>
      <c r="L5644" t="inlineStr">
        <is>
          <t>XP_039244480.1 microtubule-actin cross-linking factor 1-like [Pipra filicauda]</t>
        </is>
      </c>
      <c r="M5644" t="n">
        <v>599</v>
      </c>
      <c r="N5644" t="inlineStr">
        <is>
          <t>Pipra filicauda</t>
        </is>
      </c>
      <c r="O5644" t="inlineStr">
        <is>
          <t>microtubule-actin cross-linking factor 1-like</t>
        </is>
      </c>
    </row>
    <row r="5645">
      <c r="A5645" t="inlineStr"/>
      <c r="B5645" t="inlineStr"/>
      <c r="C5645" t="inlineStr"/>
      <c r="D5645" t="inlineStr"/>
      <c r="E5645">
        <f>HYPERLINK("https://www.uniprot.org/uniprotkb/A0A8C5Q5D1/entry", "A0A8C5Q5D1")</f>
        <v/>
      </c>
      <c r="F5645" t="n">
        <v>75.90000000000001</v>
      </c>
      <c r="G5645" t="n">
        <v>294</v>
      </c>
      <c r="H5645" t="n">
        <v>1.88e-134</v>
      </c>
      <c r="I5645" t="inlineStr">
        <is>
          <t>TrEMBL</t>
        </is>
      </c>
      <c r="J5645" t="inlineStr"/>
      <c r="K5645" t="inlineStr">
        <is>
          <t>A0A8C5Q5D1_9ANUR</t>
        </is>
      </c>
      <c r="L5645" t="inlineStr">
        <is>
          <t>tr|A0A8C5Q5D1|A0A8C5Q5D1_9ANUR EF-hand domain-containing protein OS=Leptobrachium leishanense OX=445787 PE=4 SV=1</t>
        </is>
      </c>
      <c r="M5645" t="n">
        <v>582</v>
      </c>
      <c r="N5645" t="inlineStr">
        <is>
          <t>Leptobrachium leishanense</t>
        </is>
      </c>
      <c r="O5645" t="inlineStr">
        <is>
          <t>EF-hand domain-containing protein</t>
        </is>
      </c>
    </row>
    <row r="5646">
      <c r="A5646" t="inlineStr"/>
      <c r="B5646" t="inlineStr"/>
      <c r="C5646" t="inlineStr"/>
      <c r="D5646" t="inlineStr"/>
      <c r="E5646">
        <f>HYPERLINK("https://www.uniprot.org/uniprotkb/A0A8C3JCM1/entry", "A0A8C3JCM1")</f>
        <v/>
      </c>
      <c r="F5646" t="n">
        <v>68.7</v>
      </c>
      <c r="G5646" t="n">
        <v>329</v>
      </c>
      <c r="H5646" t="n">
        <v>5.24e-134</v>
      </c>
      <c r="I5646" t="inlineStr">
        <is>
          <t>TrEMBL</t>
        </is>
      </c>
      <c r="J5646" t="inlineStr"/>
      <c r="K5646" t="inlineStr">
        <is>
          <t>A0A8C3JCM1_9CHAR</t>
        </is>
      </c>
      <c r="L5646" t="inlineStr">
        <is>
          <t>tr|A0A8C3JCM1|A0A8C3JCM1_9CHAR MACF1 factor OS=Calidris pygmaea OX=425635 PE=4 SV=1</t>
        </is>
      </c>
      <c r="M5646" t="n">
        <v>651</v>
      </c>
      <c r="N5646" t="inlineStr">
        <is>
          <t>Calidris pygmaea</t>
        </is>
      </c>
      <c r="O5646" t="inlineStr">
        <is>
          <t>MACF1 factor</t>
        </is>
      </c>
    </row>
    <row r="5647">
      <c r="A5647" t="inlineStr"/>
      <c r="B5647" t="inlineStr"/>
      <c r="C5647" t="inlineStr"/>
      <c r="D5647" t="inlineStr"/>
      <c r="E5647">
        <f>HYPERLINK("https://www.ncbi.nlm.nih.gov/gene/?term=XP_017596700.1", "XP_017596700.1")</f>
        <v/>
      </c>
      <c r="F5647" t="n">
        <v>69.40000000000001</v>
      </c>
      <c r="G5647" t="n">
        <v>330</v>
      </c>
      <c r="H5647" t="n">
        <v>1.72e-133</v>
      </c>
      <c r="I5647" t="inlineStr">
        <is>
          <t>Nr</t>
        </is>
      </c>
      <c r="J5647" t="inlineStr"/>
      <c r="K5647" t="inlineStr"/>
      <c r="L5647" t="inlineStr">
        <is>
          <t>XP_017596700.1 PREDICTED: microtubule-actin cross-linking factor 1-like [Corvus brachyrhynchos]</t>
        </is>
      </c>
      <c r="M5647" t="n">
        <v>822</v>
      </c>
      <c r="N5647" t="inlineStr">
        <is>
          <t>Corvus brachyrhynchos</t>
        </is>
      </c>
      <c r="O5647" t="inlineStr">
        <is>
          <t>PREDICTED: microtubule-actin cross-linking factor 1-like</t>
        </is>
      </c>
    </row>
    <row r="5648">
      <c r="A5648" t="inlineStr"/>
      <c r="B5648" t="inlineStr"/>
      <c r="C5648" t="inlineStr"/>
      <c r="D5648" t="inlineStr"/>
      <c r="E5648">
        <f>HYPERLINK("https://www.uniprot.org/uniprotkb/A0A8C4JSQ4/entry", "A0A8C4JSQ4")</f>
        <v/>
      </c>
      <c r="F5648" t="n">
        <v>70.2</v>
      </c>
      <c r="G5648" t="n">
        <v>326</v>
      </c>
      <c r="H5648" t="n">
        <v>2.13e-133</v>
      </c>
      <c r="I5648" t="inlineStr">
        <is>
          <t>TrEMBL</t>
        </is>
      </c>
      <c r="J5648" t="inlineStr"/>
      <c r="K5648" t="inlineStr">
        <is>
          <t>A0A8C4JSQ4_DRONO</t>
        </is>
      </c>
      <c r="L5648" t="inlineStr">
        <is>
          <t>tr|A0A8C4JSQ4|A0A8C4JSQ4_DRONO EF-hand domain-containing protein OS=Dromaius novaehollandiae OX=8790 PE=4 SV=1</t>
        </is>
      </c>
      <c r="M5648" t="n">
        <v>605</v>
      </c>
      <c r="N5648" t="inlineStr">
        <is>
          <t>Dromaius novaehollandiae</t>
        </is>
      </c>
      <c r="O5648" t="inlineStr">
        <is>
          <t>EF-hand domain-containing protein</t>
        </is>
      </c>
    </row>
    <row r="5649">
      <c r="A5649" t="inlineStr"/>
      <c r="B5649" t="inlineStr"/>
      <c r="C5649" t="inlineStr"/>
      <c r="D5649" t="inlineStr"/>
      <c r="E5649">
        <f>HYPERLINK("https://www.uniprot.org/uniprotkb/A0A8B9PHV0/entry", "A0A8B9PHV0")</f>
        <v/>
      </c>
      <c r="F5649" t="n">
        <v>70.59999999999999</v>
      </c>
      <c r="G5649" t="n">
        <v>326</v>
      </c>
      <c r="H5649" t="n">
        <v>3.23e-133</v>
      </c>
      <c r="I5649" t="inlineStr">
        <is>
          <t>TrEMBL</t>
        </is>
      </c>
      <c r="J5649" t="inlineStr"/>
      <c r="K5649" t="inlineStr">
        <is>
          <t>A0A8B9PHV0_APTOW</t>
        </is>
      </c>
      <c r="L5649" t="inlineStr">
        <is>
          <t>tr|A0A8B9PHV0|A0A8B9PHV0_APTOW EF-hand domain-containing protein OS=Apteryx owenii OX=8824 PE=4 SV=1</t>
        </is>
      </c>
      <c r="M5649" t="n">
        <v>678</v>
      </c>
      <c r="N5649" t="inlineStr">
        <is>
          <t>Apteryx owenii</t>
        </is>
      </c>
      <c r="O5649" t="inlineStr">
        <is>
          <t>EF-hand domain-containing protein</t>
        </is>
      </c>
    </row>
    <row r="5650">
      <c r="A5650" t="inlineStr"/>
      <c r="B5650" t="inlineStr"/>
      <c r="C5650" t="inlineStr"/>
      <c r="D5650" t="inlineStr"/>
      <c r="E5650">
        <f>HYPERLINK("https://www.uniprot.org/uniprotkb/A0A8B9BHD9/entry", "A0A8B9BHD9")</f>
        <v/>
      </c>
      <c r="F5650" t="n">
        <v>69.8</v>
      </c>
      <c r="G5650" t="n">
        <v>325</v>
      </c>
      <c r="H5650" t="n">
        <v>1.44e-132</v>
      </c>
      <c r="I5650" t="inlineStr">
        <is>
          <t>TrEMBL</t>
        </is>
      </c>
      <c r="J5650" t="inlineStr"/>
      <c r="K5650" t="inlineStr">
        <is>
          <t>A0A8B9BHD9_9AVES</t>
        </is>
      </c>
      <c r="L5650" t="inlineStr">
        <is>
          <t>tr|A0A8B9BHD9|A0A8B9BHD9_9AVES EF-hand domain-containing protein OS=Anser brachyrhynchus OX=132585 PE=4 SV=1</t>
        </is>
      </c>
      <c r="M5650" t="n">
        <v>658</v>
      </c>
      <c r="N5650" t="inlineStr">
        <is>
          <t>Anser brachyrhynchus</t>
        </is>
      </c>
      <c r="O5650" t="inlineStr">
        <is>
          <t>EF-hand domain-containing protein</t>
        </is>
      </c>
    </row>
    <row r="5651">
      <c r="A5651" t="inlineStr"/>
      <c r="B5651" t="inlineStr"/>
      <c r="C5651" t="inlineStr"/>
      <c r="D5651" t="inlineStr"/>
      <c r="E5651">
        <f>HYPERLINK("https://www.uniprot.org/uniprotkb/A0A8D0EWW3/entry", "A0A8D0EWW3")</f>
        <v/>
      </c>
      <c r="F5651" t="n">
        <v>69.3</v>
      </c>
      <c r="G5651" t="n">
        <v>316</v>
      </c>
      <c r="H5651" t="n">
        <v>6.98e-131</v>
      </c>
      <c r="I5651" t="inlineStr">
        <is>
          <t>TrEMBL</t>
        </is>
      </c>
      <c r="J5651" t="inlineStr"/>
      <c r="K5651" t="inlineStr">
        <is>
          <t>A0A8D0EWW3_STROC</t>
        </is>
      </c>
      <c r="L5651" t="inlineStr">
        <is>
          <t>tr|A0A8D0EWW3|A0A8D0EWW3_STROC EF-hand domain-containing protein OS=Strix occidentalis caurina OX=311401 PE=4 SV=1</t>
        </is>
      </c>
      <c r="M5651" t="n">
        <v>625</v>
      </c>
      <c r="N5651" t="inlineStr">
        <is>
          <t>Strix occidentalis caurina</t>
        </is>
      </c>
      <c r="O5651" t="inlineStr">
        <is>
          <t>EF-hand domain-containing protein</t>
        </is>
      </c>
    </row>
    <row r="5652">
      <c r="A5652" t="inlineStr"/>
      <c r="B5652" t="inlineStr"/>
      <c r="C5652" t="inlineStr"/>
      <c r="D5652" t="inlineStr"/>
      <c r="E5652">
        <f>HYPERLINK("https://www.uniprot.org/uniprotkb/O94854/entry", "O94854")</f>
        <v/>
      </c>
      <c r="F5652" t="n">
        <v>52.2</v>
      </c>
      <c r="G5652" t="n">
        <v>408</v>
      </c>
      <c r="H5652" t="n">
        <v>1.67e-130</v>
      </c>
      <c r="I5652" t="inlineStr">
        <is>
          <t>Swiss-Prot</t>
        </is>
      </c>
      <c r="J5652" t="inlineStr">
        <is>
          <t>MACF1</t>
        </is>
      </c>
      <c r="K5652" t="inlineStr">
        <is>
          <t>K0754_HUMAN</t>
        </is>
      </c>
      <c r="L5652" t="inlineStr">
        <is>
          <t>sp|O94854|K0754_HUMAN Microtubule-actin cross-linking factor 1, isoforms 6/7 OS=Homo sapiens OX=9606 GN=MACF1 PE=2 SV=5</t>
        </is>
      </c>
      <c r="M5652" t="n">
        <v>3515</v>
      </c>
      <c r="N5652" t="inlineStr">
        <is>
          <t>Homo sapiens</t>
        </is>
      </c>
      <c r="O5652" t="inlineStr">
        <is>
          <t>Microtubule-actin cross-linking factor 1, isoforms 6/7</t>
        </is>
      </c>
    </row>
    <row r="5653">
      <c r="A5653" t="inlineStr"/>
      <c r="B5653" t="inlineStr"/>
      <c r="C5653" t="inlineStr"/>
      <c r="D5653" t="inlineStr"/>
      <c r="E5653">
        <f>HYPERLINK("https://www.uniprot.org/uniprotkb/Q9UPN3/entry", "Q9UPN3")</f>
        <v/>
      </c>
      <c r="F5653" t="n">
        <v>52.2</v>
      </c>
      <c r="G5653" t="n">
        <v>408</v>
      </c>
      <c r="H5653" t="n">
        <v>1.78e-130</v>
      </c>
      <c r="I5653" t="inlineStr">
        <is>
          <t>Swiss-Prot</t>
        </is>
      </c>
      <c r="J5653" t="inlineStr">
        <is>
          <t>MACF1</t>
        </is>
      </c>
      <c r="K5653" t="inlineStr">
        <is>
          <t>MACF1_HUMAN</t>
        </is>
      </c>
      <c r="L5653" t="inlineStr">
        <is>
          <t>sp|Q9UPN3|MACF1_HUMAN Microtubule-actin cross-linking factor 1, isoforms 1/2/3/4/5 OS=Homo sapiens OX=9606 GN=MACF1 PE=1 SV=4</t>
        </is>
      </c>
      <c r="M5653" t="n">
        <v>7388</v>
      </c>
      <c r="N5653" t="inlineStr">
        <is>
          <t>Homo sapiens</t>
        </is>
      </c>
      <c r="O5653" t="inlineStr">
        <is>
          <t>Microtubule-actin cross-linking factor 1, isoforms 1/2/3/4/5</t>
        </is>
      </c>
    </row>
    <row r="5654">
      <c r="A5654" t="inlineStr"/>
      <c r="B5654" t="inlineStr"/>
      <c r="C5654" t="inlineStr"/>
      <c r="D5654" t="inlineStr"/>
      <c r="E5654">
        <f>HYPERLINK("https://www.uniprot.org/uniprotkb/A0A6P7WXS2/entry", "A0A6P7WXS2")</f>
        <v/>
      </c>
      <c r="F5654" t="n">
        <v>67.59999999999999</v>
      </c>
      <c r="G5654" t="n">
        <v>330</v>
      </c>
      <c r="H5654" t="n">
        <v>2.61e-130</v>
      </c>
      <c r="I5654" t="inlineStr">
        <is>
          <t>TrEMBL</t>
        </is>
      </c>
      <c r="J5654" t="inlineStr">
        <is>
          <t>LOC115460298</t>
        </is>
      </c>
      <c r="K5654" t="inlineStr">
        <is>
          <t>A0A6P7WXS2_9AMPH</t>
        </is>
      </c>
      <c r="L5654" t="inlineStr">
        <is>
          <t>tr|A0A6P7WXS2|A0A6P7WXS2_9AMPH microtubule-actin cross-linking factor 1-like OS=Microcaecilia unicolor OX=1415580 GN=LOC115460298 PE=4 SV=1</t>
        </is>
      </c>
      <c r="M5654" t="n">
        <v>1159</v>
      </c>
      <c r="N5654" t="inlineStr">
        <is>
          <t>Microcaecilia unicolor</t>
        </is>
      </c>
      <c r="O5654" t="inlineStr">
        <is>
          <t>microtubule-actin cross-linking factor 1-like</t>
        </is>
      </c>
    </row>
    <row r="5655">
      <c r="A5655" t="inlineStr"/>
      <c r="B5655" t="inlineStr"/>
      <c r="C5655" t="inlineStr"/>
      <c r="D5655" t="inlineStr"/>
      <c r="E5655">
        <f>HYPERLINK("https://www.uniprot.org/uniprotkb/Q69ZZ9/entry", "Q69ZZ9")</f>
        <v/>
      </c>
      <c r="F5655" t="n">
        <v>52.1</v>
      </c>
      <c r="G5655" t="n">
        <v>407</v>
      </c>
      <c r="H5655" t="n">
        <v>3.07e-130</v>
      </c>
      <c r="I5655" t="inlineStr">
        <is>
          <t>Swiss-Prot</t>
        </is>
      </c>
      <c r="J5655" t="inlineStr">
        <is>
          <t>Macf1</t>
        </is>
      </c>
      <c r="K5655" t="inlineStr">
        <is>
          <t>K0754_MOUSE</t>
        </is>
      </c>
      <c r="L5655" t="inlineStr">
        <is>
          <t>sp|Q69ZZ9|K0754_MOUSE Microtubule-actin cross-linking factor 1, isoforms 6/7 OS=Mus musculus OX=10090 GN=Macf1 PE=2 SV=3</t>
        </is>
      </c>
      <c r="M5655" t="n">
        <v>3305</v>
      </c>
      <c r="N5655" t="inlineStr">
        <is>
          <t>Mus musculus</t>
        </is>
      </c>
      <c r="O5655" t="inlineStr">
        <is>
          <t>Microtubule-actin cross-linking factor 1, isoforms 6/7</t>
        </is>
      </c>
    </row>
    <row r="5656">
      <c r="A5656" t="inlineStr"/>
      <c r="B5656" t="inlineStr"/>
      <c r="C5656" t="inlineStr"/>
      <c r="D5656" t="inlineStr"/>
      <c r="E5656">
        <f>HYPERLINK("https://www.uniprot.org/uniprotkb/D3ZHV2/entry", "D3ZHV2")</f>
        <v/>
      </c>
      <c r="F5656" t="n">
        <v>52.1</v>
      </c>
      <c r="G5656" t="n">
        <v>407</v>
      </c>
      <c r="H5656" t="n">
        <v>5.98e-130</v>
      </c>
      <c r="I5656" t="inlineStr">
        <is>
          <t>Swiss-Prot</t>
        </is>
      </c>
      <c r="J5656" t="inlineStr">
        <is>
          <t>Macf1</t>
        </is>
      </c>
      <c r="K5656" t="inlineStr">
        <is>
          <t>MACF1_RAT</t>
        </is>
      </c>
      <c r="L5656" t="inlineStr">
        <is>
          <t>sp|D3ZHV2|MACF1_RAT Microtubule-actin cross-linking factor 1 OS=Rattus norvegicus OX=10116 GN=Macf1 PE=1 SV=1</t>
        </is>
      </c>
      <c r="M5656" t="n">
        <v>5430</v>
      </c>
      <c r="N5656" t="inlineStr">
        <is>
          <t>Rattus norvegicus</t>
        </is>
      </c>
      <c r="O5656" t="inlineStr">
        <is>
          <t>Microtubule-actin cross-linking factor 1</t>
        </is>
      </c>
    </row>
    <row r="5657">
      <c r="A5657" t="inlineStr"/>
      <c r="B5657" t="inlineStr"/>
      <c r="C5657" t="inlineStr"/>
      <c r="D5657" t="inlineStr"/>
      <c r="E5657">
        <f>HYPERLINK("https://www.uniprot.org/uniprotkb/A0A8C3TPR9/entry", "A0A8C3TPR9")</f>
        <v/>
      </c>
      <c r="F5657" t="n">
        <v>68.7</v>
      </c>
      <c r="G5657" t="n">
        <v>316</v>
      </c>
      <c r="H5657" t="n">
        <v>6.65e-130</v>
      </c>
      <c r="I5657" t="inlineStr">
        <is>
          <t>TrEMBL</t>
        </is>
      </c>
      <c r="J5657" t="inlineStr"/>
      <c r="K5657" t="inlineStr">
        <is>
          <t>A0A8C3TPR9_CATUS</t>
        </is>
      </c>
      <c r="L5657" t="inlineStr">
        <is>
          <t>tr|A0A8C3TPR9|A0A8C3TPR9_CATUS EF-hand domain-containing protein OS=Catharus ustulatus OX=91951 PE=4 SV=1</t>
        </is>
      </c>
      <c r="M5657" t="n">
        <v>596</v>
      </c>
      <c r="N5657" t="inlineStr">
        <is>
          <t>Catharus ustulatus</t>
        </is>
      </c>
      <c r="O5657" t="inlineStr">
        <is>
          <t>EF-hand domain-containing protein</t>
        </is>
      </c>
    </row>
    <row r="5658">
      <c r="A5658" t="inlineStr"/>
      <c r="B5658" t="inlineStr"/>
      <c r="C5658" t="inlineStr"/>
      <c r="D5658" t="inlineStr"/>
      <c r="E5658">
        <f>HYPERLINK("https://www.ncbi.nlm.nih.gov/gene/?term=XP_030045956.1", "XP_030045956.1")</f>
        <v/>
      </c>
      <c r="F5658" t="n">
        <v>67.59999999999999</v>
      </c>
      <c r="G5658" t="n">
        <v>330</v>
      </c>
      <c r="H5658" t="n">
        <v>6.71e-130</v>
      </c>
      <c r="I5658" t="inlineStr">
        <is>
          <t>Nr</t>
        </is>
      </c>
      <c r="J5658" t="inlineStr"/>
      <c r="K5658" t="inlineStr"/>
      <c r="L5658" t="inlineStr">
        <is>
          <t>XP_030045956.1 microtubule-actin cross-linking factor 1-like [Microcaecilia unicolor]</t>
        </is>
      </c>
      <c r="M5658" t="n">
        <v>1159</v>
      </c>
      <c r="N5658" t="inlineStr">
        <is>
          <t>Microcaecilia unicolor</t>
        </is>
      </c>
      <c r="O5658" t="inlineStr">
        <is>
          <t>microtubule-actin cross-linking factor 1-like</t>
        </is>
      </c>
    </row>
    <row r="5659">
      <c r="A5659" t="inlineStr"/>
      <c r="B5659" t="inlineStr"/>
      <c r="C5659" t="inlineStr"/>
      <c r="D5659" t="inlineStr"/>
      <c r="E5659">
        <f>HYPERLINK("https://www.ncbi.nlm.nih.gov/gene/?term=XP_025944140.1", "XP_025944140.1")</f>
        <v/>
      </c>
      <c r="F5659" t="n">
        <v>71.3</v>
      </c>
      <c r="G5659" t="n">
        <v>331</v>
      </c>
      <c r="H5659" t="n">
        <v>1.63e-129</v>
      </c>
      <c r="I5659" t="inlineStr">
        <is>
          <t>Nr</t>
        </is>
      </c>
      <c r="J5659" t="inlineStr"/>
      <c r="K5659" t="inlineStr"/>
      <c r="L5659" t="inlineStr">
        <is>
          <t>XP_025944140.1 microtubule-actin cross-linking factor 1, isoforms 1/2/3/5-like isoform X2 [Apteryx rowi]</t>
        </is>
      </c>
      <c r="M5659" t="n">
        <v>1942</v>
      </c>
      <c r="N5659" t="inlineStr">
        <is>
          <t>Apteryx rowi</t>
        </is>
      </c>
      <c r="O5659" t="inlineStr">
        <is>
          <t>microtubule-actin cross-linking factor 1, isoforms 1/2/3/5-like isoform X2</t>
        </is>
      </c>
    </row>
    <row r="5660">
      <c r="A5660" t="inlineStr"/>
      <c r="B5660" t="inlineStr"/>
      <c r="C5660" t="inlineStr"/>
      <c r="D5660" t="inlineStr"/>
      <c r="E5660">
        <f>HYPERLINK("https://www.ncbi.nlm.nih.gov/gene/?term=XP_025944141.1", "XP_025944141.1")</f>
        <v/>
      </c>
      <c r="F5660" t="n">
        <v>71.3</v>
      </c>
      <c r="G5660" t="n">
        <v>328</v>
      </c>
      <c r="H5660" t="n">
        <v>1.74e-129</v>
      </c>
      <c r="I5660" t="inlineStr">
        <is>
          <t>Nr</t>
        </is>
      </c>
      <c r="J5660" t="inlineStr"/>
      <c r="K5660" t="inlineStr"/>
      <c r="L5660" t="inlineStr">
        <is>
          <t>XP_025944141.1 microtubule-actin cross-linking factor 1, isoforms 1/2/3/5-like isoform X3 [Apteryx rowi]</t>
        </is>
      </c>
      <c r="M5660" t="n">
        <v>1675</v>
      </c>
      <c r="N5660" t="inlineStr">
        <is>
          <t>Apteryx rowi</t>
        </is>
      </c>
      <c r="O5660" t="inlineStr">
        <is>
          <t>microtubule-actin cross-linking factor 1, isoforms 1/2/3/5-like isoform X3</t>
        </is>
      </c>
    </row>
    <row r="5661">
      <c r="A5661" t="inlineStr"/>
      <c r="B5661" t="inlineStr"/>
      <c r="C5661" t="inlineStr"/>
      <c r="D5661" t="inlineStr"/>
      <c r="E5661">
        <f>HYPERLINK("https://www.uniprot.org/uniprotkb/A0A8D2P2X6/entry", "A0A8D2P2X6")</f>
        <v/>
      </c>
      <c r="F5661" t="n">
        <v>69.5</v>
      </c>
      <c r="G5661" t="n">
        <v>311</v>
      </c>
      <c r="H5661" t="n">
        <v>3.77e-129</v>
      </c>
      <c r="I5661" t="inlineStr">
        <is>
          <t>TrEMBL</t>
        </is>
      </c>
      <c r="J5661" t="inlineStr"/>
      <c r="K5661" t="inlineStr">
        <is>
          <t>A0A8D2P2X6_ZOSLA</t>
        </is>
      </c>
      <c r="L5661" t="inlineStr">
        <is>
          <t>tr|A0A8D2P2X6|A0A8D2P2X6_ZOSLA EF-hand domain-containing protein OS=Zosterops lateralis melanops OX=1220523 PE=4 SV=1</t>
        </is>
      </c>
      <c r="M5661" t="n">
        <v>528</v>
      </c>
      <c r="N5661" t="inlineStr">
        <is>
          <t>Zosterops lateralis melanops</t>
        </is>
      </c>
      <c r="O5661" t="inlineStr">
        <is>
          <t>EF-hand domain-containing protein</t>
        </is>
      </c>
    </row>
    <row r="5662">
      <c r="A5662" t="inlineStr"/>
      <c r="B5662" t="inlineStr"/>
      <c r="C5662" t="inlineStr"/>
      <c r="D5662" t="inlineStr"/>
      <c r="E5662">
        <f>HYPERLINK("https://www.ncbi.nlm.nih.gov/gene/?term=XP_040444854.1", "XP_040444854.1")</f>
        <v/>
      </c>
      <c r="F5662" t="n">
        <v>71.2</v>
      </c>
      <c r="G5662" t="n">
        <v>330</v>
      </c>
      <c r="H5662" t="n">
        <v>3.8e-129</v>
      </c>
      <c r="I5662" t="inlineStr">
        <is>
          <t>Nr</t>
        </is>
      </c>
      <c r="J5662" t="inlineStr"/>
      <c r="K5662" t="inlineStr"/>
      <c r="L5662" t="inlineStr">
        <is>
          <t>XP_040444854.1 microtubule-actin cross-linking factor 1-like isoform X3 [Falco naumanni]</t>
        </is>
      </c>
      <c r="M5662" t="n">
        <v>2081</v>
      </c>
      <c r="N5662" t="inlineStr">
        <is>
          <t>Falco naumanni</t>
        </is>
      </c>
      <c r="O5662" t="inlineStr">
        <is>
          <t>microtubule-actin cross-linking factor 1-like isoform X3</t>
        </is>
      </c>
    </row>
    <row r="5663">
      <c r="A5663" t="inlineStr"/>
      <c r="B5663" t="inlineStr"/>
      <c r="C5663" t="inlineStr"/>
      <c r="D5663" t="inlineStr"/>
      <c r="E5663">
        <f>HYPERLINK("https://www.ncbi.nlm.nih.gov/gene/?term=XP_040444853.1", "XP_040444853.1")</f>
        <v/>
      </c>
      <c r="F5663" t="n">
        <v>71.2</v>
      </c>
      <c r="G5663" t="n">
        <v>330</v>
      </c>
      <c r="H5663" t="n">
        <v>3.93e-129</v>
      </c>
      <c r="I5663" t="inlineStr">
        <is>
          <t>Nr</t>
        </is>
      </c>
      <c r="J5663" t="inlineStr"/>
      <c r="K5663" t="inlineStr"/>
      <c r="L5663" t="inlineStr">
        <is>
          <t>XP_040444853.1 microtubule-actin cross-linking factor 1-like isoform X2 [Falco naumanni]</t>
        </is>
      </c>
      <c r="M5663" t="n">
        <v>2093</v>
      </c>
      <c r="N5663" t="inlineStr">
        <is>
          <t>Falco naumanni</t>
        </is>
      </c>
      <c r="O5663" t="inlineStr">
        <is>
          <t>microtubule-actin cross-linking factor 1-like isoform X2</t>
        </is>
      </c>
    </row>
    <row r="5664">
      <c r="A5664" t="inlineStr"/>
      <c r="B5664" t="inlineStr"/>
      <c r="C5664" t="inlineStr"/>
      <c r="D5664" t="inlineStr"/>
      <c r="E5664">
        <f>HYPERLINK("https://www.ncbi.nlm.nih.gov/gene/?term=XP_040444852.1", "XP_040444852.1")</f>
        <v/>
      </c>
      <c r="F5664" t="n">
        <v>71.2</v>
      </c>
      <c r="G5664" t="n">
        <v>330</v>
      </c>
      <c r="H5664" t="n">
        <v>4.340000000000001e-129</v>
      </c>
      <c r="I5664" t="inlineStr">
        <is>
          <t>Nr</t>
        </is>
      </c>
      <c r="J5664" t="inlineStr"/>
      <c r="K5664" t="inlineStr"/>
      <c r="L5664" t="inlineStr">
        <is>
          <t>XP_040444852.1 microtubule-actin cross-linking factor 1-like isoform X1 [Falco naumanni]</t>
        </is>
      </c>
      <c r="M5664" t="n">
        <v>2132</v>
      </c>
      <c r="N5664" t="inlineStr">
        <is>
          <t>Falco naumanni</t>
        </is>
      </c>
      <c r="O5664" t="inlineStr">
        <is>
          <t>microtubule-actin cross-linking factor 1-like isoform X1</t>
        </is>
      </c>
    </row>
    <row r="5665">
      <c r="A5665" t="inlineStr"/>
      <c r="B5665" t="inlineStr"/>
      <c r="C5665" t="inlineStr"/>
      <c r="D5665" t="inlineStr"/>
      <c r="E5665">
        <f>HYPERLINK("https://www.ncbi.nlm.nih.gov/gene/?term=XP_052643924.1", "XP_052643924.1")</f>
        <v/>
      </c>
      <c r="F5665" t="n">
        <v>70.90000000000001</v>
      </c>
      <c r="G5665" t="n">
        <v>330</v>
      </c>
      <c r="H5665" t="n">
        <v>7.160000000000001e-129</v>
      </c>
      <c r="I5665" t="inlineStr">
        <is>
          <t>Nr</t>
        </is>
      </c>
      <c r="J5665" t="inlineStr"/>
      <c r="K5665" t="inlineStr"/>
      <c r="L5665" t="inlineStr">
        <is>
          <t>XP_052643924.1 microtubule-actin cross-linking factor 1, isoforms 6/7-like isoform X2 [Harpia harpyja]</t>
        </is>
      </c>
      <c r="M5665" t="n">
        <v>2083</v>
      </c>
      <c r="N5665" t="inlineStr">
        <is>
          <t>Harpia harpyja</t>
        </is>
      </c>
      <c r="O5665" t="inlineStr">
        <is>
          <t>microtubule-actin cross-linking factor 1, isoforms 6/7-like isoform X2</t>
        </is>
      </c>
    </row>
    <row r="5666">
      <c r="A5666" t="inlineStr"/>
      <c r="B5666" t="inlineStr"/>
      <c r="C5666" t="inlineStr"/>
      <c r="D5666" t="inlineStr"/>
      <c r="E5666">
        <f>HYPERLINK("https://www.ncbi.nlm.nih.gov/gene/?term=XP_052643923.1", "XP_052643923.1")</f>
        <v/>
      </c>
      <c r="F5666" t="n">
        <v>70.90000000000001</v>
      </c>
      <c r="G5666" t="n">
        <v>330</v>
      </c>
      <c r="H5666" t="n">
        <v>7.200000000000001e-129</v>
      </c>
      <c r="I5666" t="inlineStr">
        <is>
          <t>Nr</t>
        </is>
      </c>
      <c r="J5666" t="inlineStr"/>
      <c r="K5666" t="inlineStr"/>
      <c r="L5666" t="inlineStr">
        <is>
          <t>XP_052643923.1 microtubule-actin cross-linking factor 1, isoforms 6/7-like isoform X1 [Harpia harpyja]</t>
        </is>
      </c>
      <c r="M5666" t="n">
        <v>2085</v>
      </c>
      <c r="N5666" t="inlineStr">
        <is>
          <t>Harpia harpyja</t>
        </is>
      </c>
      <c r="O5666" t="inlineStr">
        <is>
          <t>microtubule-actin cross-linking factor 1, isoforms 6/7-like isoform X1</t>
        </is>
      </c>
    </row>
    <row r="5667">
      <c r="A5667" t="inlineStr"/>
      <c r="B5667" t="inlineStr"/>
      <c r="C5667" t="inlineStr"/>
      <c r="D5667" t="inlineStr"/>
      <c r="E5667">
        <f>HYPERLINK("https://www.ncbi.nlm.nih.gov/gene/?term=XP_025944139.1", "XP_025944139.1")</f>
        <v/>
      </c>
      <c r="F5667" t="n">
        <v>71.3</v>
      </c>
      <c r="G5667" t="n">
        <v>328</v>
      </c>
      <c r="H5667" t="n">
        <v>1.12e-128</v>
      </c>
      <c r="I5667" t="inlineStr">
        <is>
          <t>Nr</t>
        </is>
      </c>
      <c r="J5667" t="inlineStr"/>
      <c r="K5667" t="inlineStr"/>
      <c r="L5667" t="inlineStr">
        <is>
          <t>XP_025944139.1 microtubule-actin cross-linking factor 1, isoforms 1/2/3/5-like isoform X1 [Apteryx rowi]</t>
        </is>
      </c>
      <c r="M5667" t="n">
        <v>1948</v>
      </c>
      <c r="N5667" t="inlineStr">
        <is>
          <t>Apteryx rowi</t>
        </is>
      </c>
      <c r="O5667" t="inlineStr">
        <is>
          <t>microtubule-actin cross-linking factor 1, isoforms 1/2/3/5-like isoform X1</t>
        </is>
      </c>
    </row>
    <row r="5668">
      <c r="A5668" t="inlineStr"/>
      <c r="B5668" t="inlineStr"/>
      <c r="C5668" t="inlineStr"/>
      <c r="D5668" t="inlineStr"/>
      <c r="E5668">
        <f>HYPERLINK("https://www.uniprot.org/uniprotkb/A0A3L8RVI9/entry", "A0A3L8RVI9")</f>
        <v/>
      </c>
      <c r="F5668" t="n">
        <v>69.40000000000001</v>
      </c>
      <c r="G5668" t="n">
        <v>330</v>
      </c>
      <c r="H5668" t="n">
        <v>2.2e-127</v>
      </c>
      <c r="I5668" t="inlineStr">
        <is>
          <t>TrEMBL</t>
        </is>
      </c>
      <c r="J5668" t="inlineStr">
        <is>
          <t>DV515_00015423</t>
        </is>
      </c>
      <c r="K5668" t="inlineStr">
        <is>
          <t>A0A3L8RVI9_CHLGU</t>
        </is>
      </c>
      <c r="L5668" t="inlineStr">
        <is>
          <t>tr|A0A3L8RVI9|A0A3L8RVI9_CHLGU KASH domain-containing protein (Fragment) OS=Chloebia gouldiae OX=44316 GN=DV515_00015423 PE=4 SV=1</t>
        </is>
      </c>
      <c r="M5668" t="n">
        <v>1511</v>
      </c>
      <c r="N5668" t="inlineStr">
        <is>
          <t>Chloebia gouldiae</t>
        </is>
      </c>
      <c r="O5668" t="inlineStr">
        <is>
          <t>KASH domain-containing protein (Fragment)</t>
        </is>
      </c>
    </row>
    <row r="5669">
      <c r="A5669" t="inlineStr"/>
      <c r="B5669" t="inlineStr"/>
      <c r="C5669" t="inlineStr"/>
      <c r="D5669" t="inlineStr"/>
      <c r="E5669">
        <f>HYPERLINK("https://www.uniprot.org/uniprotkb/A0A6J3CDL4/entry", "A0A6J3CDL4")</f>
        <v/>
      </c>
      <c r="F5669" t="n">
        <v>69.7</v>
      </c>
      <c r="G5669" t="n">
        <v>330</v>
      </c>
      <c r="H5669" t="n">
        <v>2.2e-127</v>
      </c>
      <c r="I5669" t="inlineStr">
        <is>
          <t>TrEMBL</t>
        </is>
      </c>
      <c r="J5669" t="inlineStr">
        <is>
          <t>LOC116485702</t>
        </is>
      </c>
      <c r="K5669" t="inlineStr">
        <is>
          <t>A0A6J3CDL4_AYTFU</t>
        </is>
      </c>
      <c r="L5669" t="inlineStr">
        <is>
          <t>tr|A0A6J3CDL4|A0A6J3CDL4_AYTFU microtubule-actin cross-linking factor 1-like OS=Aythya fuligula OX=219594 GN=LOC116485702 PE=4 SV=1</t>
        </is>
      </c>
      <c r="M5669" t="n">
        <v>2076</v>
      </c>
      <c r="N5669" t="inlineStr">
        <is>
          <t>Aythya fuligula</t>
        </is>
      </c>
      <c r="O5669" t="inlineStr">
        <is>
          <t>microtubule-actin cross-linking factor 1-like</t>
        </is>
      </c>
    </row>
    <row r="5670">
      <c r="A5670" t="inlineStr"/>
      <c r="B5670" t="inlineStr"/>
      <c r="C5670" t="inlineStr"/>
      <c r="D5670" t="inlineStr"/>
      <c r="E5670">
        <f>HYPERLINK("https://www.uniprot.org/uniprotkb/A0A8C8SFW6/entry", "A0A8C8SFW6")</f>
        <v/>
      </c>
      <c r="F5670" t="n">
        <v>66.8</v>
      </c>
      <c r="G5670" t="n">
        <v>316</v>
      </c>
      <c r="H5670" t="n">
        <v>3.66e-127</v>
      </c>
      <c r="I5670" t="inlineStr">
        <is>
          <t>TrEMBL</t>
        </is>
      </c>
      <c r="J5670" t="inlineStr"/>
      <c r="K5670" t="inlineStr">
        <is>
          <t>A0A8C8SFW6_9SAUR</t>
        </is>
      </c>
      <c r="L5670" t="inlineStr">
        <is>
          <t>tr|A0A8C8SFW6|A0A8C8SFW6_9SAUR PH domain-containing protein OS=Pelusios castaneus OX=367368 PE=4 SV=1</t>
        </is>
      </c>
      <c r="M5670" t="n">
        <v>634</v>
      </c>
      <c r="N5670" t="inlineStr">
        <is>
          <t>Pelusios castaneus</t>
        </is>
      </c>
      <c r="O5670" t="inlineStr">
        <is>
          <t>PH domain-containing protein</t>
        </is>
      </c>
    </row>
    <row r="5671">
      <c r="A5671" t="inlineStr"/>
      <c r="B5671" t="inlineStr"/>
      <c r="C5671" t="inlineStr"/>
      <c r="D5671" t="inlineStr"/>
      <c r="E5671">
        <f>HYPERLINK("https://www.uniprot.org/uniprotkb/A0A6J0J529/entry", "A0A6J0J529")</f>
        <v/>
      </c>
      <c r="F5671" t="n">
        <v>69.40000000000001</v>
      </c>
      <c r="G5671" t="n">
        <v>330</v>
      </c>
      <c r="H5671" t="n">
        <v>1.67e-126</v>
      </c>
      <c r="I5671" t="inlineStr">
        <is>
          <t>TrEMBL</t>
        </is>
      </c>
      <c r="J5671" t="inlineStr">
        <is>
          <t>LOC108509217</t>
        </is>
      </c>
      <c r="K5671" t="inlineStr">
        <is>
          <t>A0A6J0J529_9PASS</t>
        </is>
      </c>
      <c r="L5671" t="inlineStr">
        <is>
          <t>tr|A0A6J0J529|A0A6J0J529_9PASS dystonin-like OS=Lepidothrix coronata OX=321398 GN=LOC108509217 PE=4 SV=1</t>
        </is>
      </c>
      <c r="M5671" t="n">
        <v>2017</v>
      </c>
      <c r="N5671" t="inlineStr">
        <is>
          <t>Lepidothrix coronata</t>
        </is>
      </c>
      <c r="O5671" t="inlineStr">
        <is>
          <t>dystonin-like</t>
        </is>
      </c>
    </row>
    <row r="5672">
      <c r="A5672" t="inlineStr"/>
      <c r="B5672" t="inlineStr"/>
      <c r="C5672" t="inlineStr"/>
      <c r="D5672" t="inlineStr"/>
      <c r="E5672">
        <f>HYPERLINK("https://www.uniprot.org/uniprotkb/A0A6P8PSF6/entry", "A0A6P8PSF6")</f>
        <v/>
      </c>
      <c r="F5672" t="n">
        <v>67.3</v>
      </c>
      <c r="G5672" t="n">
        <v>330</v>
      </c>
      <c r="H5672" t="n">
        <v>3.22e-126</v>
      </c>
      <c r="I5672" t="inlineStr">
        <is>
          <t>TrEMBL</t>
        </is>
      </c>
      <c r="J5672" t="inlineStr">
        <is>
          <t>PLEC</t>
        </is>
      </c>
      <c r="K5672" t="inlineStr">
        <is>
          <t>A0A6P8PSF6_GEOSA</t>
        </is>
      </c>
      <c r="L5672" t="inlineStr">
        <is>
          <t>tr|A0A6P8PSF6|A0A6P8PSF6_GEOSA LOW QUALITY PROTEIN: plectin OS=Geotrypetes seraphini OX=260995 GN=PLEC PE=4 SV=1</t>
        </is>
      </c>
      <c r="M5672" t="n">
        <v>7129</v>
      </c>
      <c r="N5672" t="inlineStr">
        <is>
          <t>Geotrypetes seraphini</t>
        </is>
      </c>
      <c r="O5672" t="inlineStr">
        <is>
          <t>LOW QUALITY PROTEIN: plectin</t>
        </is>
      </c>
    </row>
    <row r="5673">
      <c r="A5673" t="inlineStr"/>
      <c r="B5673" t="inlineStr"/>
      <c r="C5673" t="inlineStr"/>
      <c r="D5673" t="inlineStr"/>
      <c r="E5673">
        <f>HYPERLINK("https://www.uniprot.org/uniprotkb/Q9QXZ0/entry", "Q9QXZ0")</f>
        <v/>
      </c>
      <c r="F5673" t="n">
        <v>50.8</v>
      </c>
      <c r="G5673" t="n">
        <v>417</v>
      </c>
      <c r="H5673" t="n">
        <v>6.28e-126</v>
      </c>
      <c r="I5673" t="inlineStr">
        <is>
          <t>Swiss-Prot</t>
        </is>
      </c>
      <c r="J5673" t="inlineStr">
        <is>
          <t>Macf1</t>
        </is>
      </c>
      <c r="K5673" t="inlineStr">
        <is>
          <t>MACF1_MOUSE</t>
        </is>
      </c>
      <c r="L5673" t="inlineStr">
        <is>
          <t>sp|Q9QXZ0|MACF1_MOUSE Microtubule-actin cross-linking factor 1, isoforms 1/2/3/4 OS=Mus musculus OX=10090 GN=Macf1 PE=1 SV=2</t>
        </is>
      </c>
      <c r="M5673" t="n">
        <v>7354</v>
      </c>
      <c r="N5673" t="inlineStr">
        <is>
          <t>Mus musculus</t>
        </is>
      </c>
      <c r="O5673" t="inlineStr">
        <is>
          <t>Microtubule-actin cross-linking factor 1, isoforms 1/2/3/4</t>
        </is>
      </c>
    </row>
    <row r="5674">
      <c r="A5674" t="inlineStr"/>
      <c r="B5674" t="inlineStr"/>
      <c r="C5674" t="inlineStr"/>
      <c r="D5674" t="inlineStr"/>
      <c r="E5674">
        <f>HYPERLINK("https://www.uniprot.org/uniprotkb/A0A452IHE6/entry", "A0A452IHE6")</f>
        <v/>
      </c>
      <c r="F5674" t="n">
        <v>67.2</v>
      </c>
      <c r="G5674" t="n">
        <v>308</v>
      </c>
      <c r="H5674" t="n">
        <v>1.94e-124</v>
      </c>
      <c r="I5674" t="inlineStr">
        <is>
          <t>TrEMBL</t>
        </is>
      </c>
      <c r="J5674" t="inlineStr"/>
      <c r="K5674" t="inlineStr">
        <is>
          <t>A0A452IHE6_9SAUR</t>
        </is>
      </c>
      <c r="L5674" t="inlineStr">
        <is>
          <t>tr|A0A452IHE6|A0A452IHE6_9SAUR MACF1 factor OS=Gopherus agassizii OX=38772 PE=4 SV=1</t>
        </is>
      </c>
      <c r="M5674" t="n">
        <v>612</v>
      </c>
      <c r="N5674" t="inlineStr">
        <is>
          <t>Gopherus agassizii</t>
        </is>
      </c>
      <c r="O5674" t="inlineStr">
        <is>
          <t>MACF1 factor</t>
        </is>
      </c>
    </row>
    <row r="5675">
      <c r="A5675" t="inlineStr"/>
      <c r="B5675" t="inlineStr"/>
      <c r="C5675" t="inlineStr"/>
      <c r="D5675" t="inlineStr"/>
      <c r="E5675">
        <f>HYPERLINK("https://www.uniprot.org/uniprotkb/A0A4D9DV54/entry", "A0A4D9DV54")</f>
        <v/>
      </c>
      <c r="F5675" t="n">
        <v>66.7</v>
      </c>
      <c r="G5675" t="n">
        <v>330</v>
      </c>
      <c r="H5675" t="n">
        <v>1.3e-123</v>
      </c>
      <c r="I5675" t="inlineStr">
        <is>
          <t>TrEMBL</t>
        </is>
      </c>
      <c r="J5675" t="inlineStr">
        <is>
          <t>DR999_PMT19318</t>
        </is>
      </c>
      <c r="K5675" t="inlineStr">
        <is>
          <t>A0A4D9DV54_9SAUR</t>
        </is>
      </c>
      <c r="L5675" t="inlineStr">
        <is>
          <t>tr|A0A4D9DV54|A0A4D9DV54_9SAUR Neural retina-specific leucine zipper protein OS=Platysternon megacephalum OX=55544 GN=DR999_PMT19318 PE=4 SV=1</t>
        </is>
      </c>
      <c r="M5675" t="n">
        <v>1591</v>
      </c>
      <c r="N5675" t="inlineStr">
        <is>
          <t>Platysternon megacephalum</t>
        </is>
      </c>
      <c r="O5675" t="inlineStr">
        <is>
          <t>Neural retina-specific leucine zipper protein</t>
        </is>
      </c>
    </row>
    <row r="5676">
      <c r="A5676" t="inlineStr"/>
      <c r="B5676" t="inlineStr"/>
      <c r="C5676" t="inlineStr"/>
      <c r="D5676" t="inlineStr"/>
      <c r="E5676">
        <f>HYPERLINK("https://www.uniprot.org/uniprotkb/A0A8K1LHN4/entry", "A0A8K1LHN4")</f>
        <v/>
      </c>
      <c r="F5676" t="n">
        <v>68.2</v>
      </c>
      <c r="G5676" t="n">
        <v>330</v>
      </c>
      <c r="H5676" t="n">
        <v>1.51e-123</v>
      </c>
      <c r="I5676" t="inlineStr">
        <is>
          <t>TrEMBL</t>
        </is>
      </c>
      <c r="J5676" t="inlineStr">
        <is>
          <t>HGM15179_013022</t>
        </is>
      </c>
      <c r="K5676" t="inlineStr">
        <is>
          <t>A0A8K1LHN4_9PASS</t>
        </is>
      </c>
      <c r="L5676" t="inlineStr">
        <is>
          <t>tr|A0A8K1LHN4|A0A8K1LHN4_9PASS PH domain-containing protein OS=Zosterops borbonicus OX=364589 GN=HGM15179_013022 PE=4 SV=1</t>
        </is>
      </c>
      <c r="M5676" t="n">
        <v>5413</v>
      </c>
      <c r="N5676" t="inlineStr">
        <is>
          <t>Zosterops borbonicus</t>
        </is>
      </c>
      <c r="O5676" t="inlineStr">
        <is>
          <t>PH domain-containing protein</t>
        </is>
      </c>
    </row>
    <row r="5677">
      <c r="A5677" t="inlineStr"/>
      <c r="B5677" t="inlineStr"/>
      <c r="C5677" t="inlineStr"/>
      <c r="D5677" t="inlineStr"/>
      <c r="E5677">
        <f>HYPERLINK("https://www.uniprot.org/uniprotkb/A0A8C4XX92/entry", "A0A8C4XX92")</f>
        <v/>
      </c>
      <c r="F5677" t="n">
        <v>64.3</v>
      </c>
      <c r="G5677" t="n">
        <v>325</v>
      </c>
      <c r="H5677" t="n">
        <v>1.78e-123</v>
      </c>
      <c r="I5677" t="inlineStr">
        <is>
          <t>TrEMBL</t>
        </is>
      </c>
      <c r="J5677" t="inlineStr"/>
      <c r="K5677" t="inlineStr">
        <is>
          <t>A0A8C4XX92_9SAUR</t>
        </is>
      </c>
      <c r="L5677" t="inlineStr">
        <is>
          <t>tr|A0A8C4XX92|A0A8C4XX92_9SAUR EF-hand domain-containing protein OS=Gopherus evgoodei OX=1825980 PE=4 SV=1</t>
        </is>
      </c>
      <c r="M5677" t="n">
        <v>641</v>
      </c>
      <c r="N5677" t="inlineStr">
        <is>
          <t>Gopherus evgoodei</t>
        </is>
      </c>
      <c r="O5677" t="inlineStr">
        <is>
          <t>EF-hand domain-containing protein</t>
        </is>
      </c>
    </row>
    <row r="5678">
      <c r="A5678" t="inlineStr"/>
      <c r="B5678" t="inlineStr"/>
      <c r="C5678" t="inlineStr"/>
      <c r="D5678" t="inlineStr"/>
      <c r="E5678">
        <f>HYPERLINK("https://www.uniprot.org/uniprotkb/A0A8C3CXV9/entry", "A0A8C3CXV9")</f>
        <v/>
      </c>
      <c r="F5678" t="n">
        <v>69.7</v>
      </c>
      <c r="G5678" t="n">
        <v>320</v>
      </c>
      <c r="H5678" t="n">
        <v>1.37e-122</v>
      </c>
      <c r="I5678" t="inlineStr">
        <is>
          <t>TrEMBL</t>
        </is>
      </c>
      <c r="J5678" t="inlineStr"/>
      <c r="K5678" t="inlineStr">
        <is>
          <t>A0A8C3CXV9_CAIMO</t>
        </is>
      </c>
      <c r="L5678" t="inlineStr">
        <is>
          <t>tr|A0A8C3CXV9|A0A8C3CXV9_CAIMO Nesprin-2 OS=Cairina moschata domestica OX=1240228 PE=4 SV=1</t>
        </is>
      </c>
      <c r="M5678" t="n">
        <v>2140</v>
      </c>
      <c r="N5678" t="inlineStr">
        <is>
          <t>Cairina moschata domestica</t>
        </is>
      </c>
      <c r="O5678" t="inlineStr">
        <is>
          <t>Nesprin-2</t>
        </is>
      </c>
    </row>
    <row r="5679">
      <c r="A5679" t="inlineStr"/>
      <c r="B5679" t="inlineStr"/>
      <c r="C5679" t="inlineStr"/>
      <c r="D5679" t="inlineStr"/>
      <c r="E5679">
        <f>HYPERLINK("https://www.uniprot.org/uniprotkb/Q03001/entry", "Q03001")</f>
        <v/>
      </c>
      <c r="F5679" t="n">
        <v>45.1</v>
      </c>
      <c r="G5679" t="n">
        <v>468</v>
      </c>
      <c r="H5679" t="n">
        <v>1.93e-118</v>
      </c>
      <c r="I5679" t="inlineStr">
        <is>
          <t>Swiss-Prot</t>
        </is>
      </c>
      <c r="J5679" t="inlineStr">
        <is>
          <t>DST</t>
        </is>
      </c>
      <c r="K5679" t="inlineStr">
        <is>
          <t>DYST_HUMAN</t>
        </is>
      </c>
      <c r="L5679" t="inlineStr">
        <is>
          <t>sp|Q03001|DYST_HUMAN Dystonin OS=Homo sapiens OX=9606 GN=DST PE=1 SV=4</t>
        </is>
      </c>
      <c r="M5679" t="n">
        <v>7570</v>
      </c>
      <c r="N5679" t="inlineStr">
        <is>
          <t>Homo sapiens</t>
        </is>
      </c>
      <c r="O5679" t="inlineStr">
        <is>
          <t>Dystonin</t>
        </is>
      </c>
    </row>
    <row r="5680">
      <c r="A5680" t="inlineStr"/>
      <c r="B5680" t="inlineStr"/>
      <c r="C5680" t="inlineStr"/>
      <c r="D5680" t="inlineStr"/>
      <c r="E5680">
        <f>HYPERLINK("https://www.uniprot.org/uniprotkb/Q91ZU6/entry", "Q91ZU6")</f>
        <v/>
      </c>
      <c r="F5680" t="n">
        <v>45.1</v>
      </c>
      <c r="G5680" t="n">
        <v>470</v>
      </c>
      <c r="H5680" t="n">
        <v>3.07e-117</v>
      </c>
      <c r="I5680" t="inlineStr">
        <is>
          <t>Swiss-Prot</t>
        </is>
      </c>
      <c r="J5680" t="inlineStr">
        <is>
          <t>Dst</t>
        </is>
      </c>
      <c r="K5680" t="inlineStr">
        <is>
          <t>DYST_MOUSE</t>
        </is>
      </c>
      <c r="L5680" t="inlineStr">
        <is>
          <t>sp|Q91ZU6|DYST_MOUSE Dystonin OS=Mus musculus OX=10090 GN=Dst PE=1 SV=2</t>
        </is>
      </c>
      <c r="M5680" t="n">
        <v>7393</v>
      </c>
      <c r="N5680" t="inlineStr">
        <is>
          <t>Mus musculus</t>
        </is>
      </c>
      <c r="O5680" t="inlineStr">
        <is>
          <t>Dystonin</t>
        </is>
      </c>
    </row>
    <row r="5681">
      <c r="A5681" t="inlineStr"/>
      <c r="B5681" t="inlineStr"/>
      <c r="C5681" t="inlineStr"/>
      <c r="D5681" t="inlineStr"/>
      <c r="E5681">
        <f>HYPERLINK("https://www.uniprot.org/uniprotkb/Q91ZU6/entry", "Q91ZU6")</f>
        <v/>
      </c>
      <c r="F5681" t="n">
        <v>50.9</v>
      </c>
      <c r="G5681" t="n">
        <v>328</v>
      </c>
      <c r="H5681" t="n">
        <v>7.89e-87</v>
      </c>
      <c r="I5681" t="inlineStr">
        <is>
          <t>Swiss-Prot</t>
        </is>
      </c>
      <c r="J5681" t="inlineStr">
        <is>
          <t>Dst</t>
        </is>
      </c>
      <c r="K5681" t="inlineStr">
        <is>
          <t>DYST_MOUSE</t>
        </is>
      </c>
      <c r="L5681" t="inlineStr">
        <is>
          <t>sp|Q91ZU6|DYST_MOUSE Dystonin OS=Mus musculus OX=10090 GN=Dst PE=1 SV=2</t>
        </is>
      </c>
      <c r="M5681" t="n">
        <v>7393</v>
      </c>
      <c r="N5681" t="inlineStr">
        <is>
          <t>Mus musculus</t>
        </is>
      </c>
      <c r="O5681" t="inlineStr">
        <is>
          <t>Dystonin</t>
        </is>
      </c>
    </row>
    <row r="5682">
      <c r="A5682" t="inlineStr"/>
      <c r="B5682" t="inlineStr"/>
      <c r="C5682" t="inlineStr"/>
      <c r="D5682" t="inlineStr"/>
      <c r="E5682">
        <f>HYPERLINK("https://www.uniprot.org/uniprotkb/Q03001/entry", "Q03001")</f>
        <v/>
      </c>
      <c r="F5682" t="n">
        <v>51.4</v>
      </c>
      <c r="G5682" t="n">
        <v>317</v>
      </c>
      <c r="H5682" t="n">
        <v>2.7e-86</v>
      </c>
      <c r="I5682" t="inlineStr">
        <is>
          <t>Swiss-Prot</t>
        </is>
      </c>
      <c r="J5682" t="inlineStr">
        <is>
          <t>DST</t>
        </is>
      </c>
      <c r="K5682" t="inlineStr">
        <is>
          <t>DYST_HUMAN</t>
        </is>
      </c>
      <c r="L5682" t="inlineStr">
        <is>
          <t>sp|Q03001|DYST_HUMAN Dystonin OS=Homo sapiens OX=9606 GN=DST PE=1 SV=4</t>
        </is>
      </c>
      <c r="M5682" t="n">
        <v>7570</v>
      </c>
      <c r="N5682" t="inlineStr">
        <is>
          <t>Homo sapiens</t>
        </is>
      </c>
      <c r="O5682" t="inlineStr">
        <is>
          <t>Dystonin</t>
        </is>
      </c>
    </row>
    <row r="5683">
      <c r="A5683" t="inlineStr"/>
      <c r="B5683" t="inlineStr"/>
      <c r="C5683" t="inlineStr"/>
      <c r="D5683" t="inlineStr"/>
      <c r="E5683">
        <f>HYPERLINK("https://www.uniprot.org/uniprotkb/Q69ZZ9/entry", "Q69ZZ9")</f>
        <v/>
      </c>
      <c r="F5683" t="n">
        <v>50.5</v>
      </c>
      <c r="G5683" t="n">
        <v>317</v>
      </c>
      <c r="H5683" t="n">
        <v>2.95e-85</v>
      </c>
      <c r="I5683" t="inlineStr">
        <is>
          <t>Swiss-Prot</t>
        </is>
      </c>
      <c r="J5683" t="inlineStr">
        <is>
          <t>Macf1</t>
        </is>
      </c>
      <c r="K5683" t="inlineStr">
        <is>
          <t>K0754_MOUSE</t>
        </is>
      </c>
      <c r="L5683" t="inlineStr">
        <is>
          <t>sp|Q69ZZ9|K0754_MOUSE Microtubule-actin cross-linking factor 1, isoforms 6/7 OS=Mus musculus OX=10090 GN=Macf1 PE=2 SV=3</t>
        </is>
      </c>
      <c r="M5683" t="n">
        <v>3305</v>
      </c>
      <c r="N5683" t="inlineStr">
        <is>
          <t>Mus musculus</t>
        </is>
      </c>
      <c r="O5683" t="inlineStr">
        <is>
          <t>Microtubule-actin cross-linking factor 1, isoforms 6/7</t>
        </is>
      </c>
    </row>
    <row r="5684">
      <c r="A5684" t="inlineStr"/>
      <c r="B5684" t="inlineStr"/>
      <c r="C5684" t="inlineStr"/>
      <c r="D5684" t="inlineStr"/>
      <c r="E5684">
        <f>HYPERLINK("https://www.uniprot.org/uniprotkb/Q9QXZ0/entry", "Q9QXZ0")</f>
        <v/>
      </c>
      <c r="F5684" t="n">
        <v>50.5</v>
      </c>
      <c r="G5684" t="n">
        <v>317</v>
      </c>
      <c r="H5684" t="n">
        <v>3.14e-85</v>
      </c>
      <c r="I5684" t="inlineStr">
        <is>
          <t>Swiss-Prot</t>
        </is>
      </c>
      <c r="J5684" t="inlineStr">
        <is>
          <t>Macf1</t>
        </is>
      </c>
      <c r="K5684" t="inlineStr">
        <is>
          <t>MACF1_MOUSE</t>
        </is>
      </c>
      <c r="L5684" t="inlineStr">
        <is>
          <t>sp|Q9QXZ0|MACF1_MOUSE Microtubule-actin cross-linking factor 1, isoforms 1/2/3/4 OS=Mus musculus OX=10090 GN=Macf1 PE=1 SV=2</t>
        </is>
      </c>
      <c r="M5684" t="n">
        <v>7354</v>
      </c>
      <c r="N5684" t="inlineStr">
        <is>
          <t>Mus musculus</t>
        </is>
      </c>
      <c r="O5684" t="inlineStr">
        <is>
          <t>Microtubule-actin cross-linking factor 1, isoforms 1/2/3/4</t>
        </is>
      </c>
    </row>
    <row r="5685">
      <c r="A5685" t="inlineStr"/>
      <c r="B5685" t="inlineStr"/>
      <c r="C5685" t="inlineStr"/>
      <c r="D5685" t="inlineStr"/>
      <c r="E5685">
        <f>HYPERLINK("https://www.uniprot.org/uniprotkb/D3ZHV2/entry", "D3ZHV2")</f>
        <v/>
      </c>
      <c r="F5685" t="n">
        <v>50.2</v>
      </c>
      <c r="G5685" t="n">
        <v>317</v>
      </c>
      <c r="H5685" t="n">
        <v>4.2e-85</v>
      </c>
      <c r="I5685" t="inlineStr">
        <is>
          <t>Swiss-Prot</t>
        </is>
      </c>
      <c r="J5685" t="inlineStr">
        <is>
          <t>Macf1</t>
        </is>
      </c>
      <c r="K5685" t="inlineStr">
        <is>
          <t>MACF1_RAT</t>
        </is>
      </c>
      <c r="L5685" t="inlineStr">
        <is>
          <t>sp|D3ZHV2|MACF1_RAT Microtubule-actin cross-linking factor 1 OS=Rattus norvegicus OX=10116 GN=Macf1 PE=1 SV=1</t>
        </is>
      </c>
      <c r="M5685" t="n">
        <v>5430</v>
      </c>
      <c r="N5685" t="inlineStr">
        <is>
          <t>Rattus norvegicus</t>
        </is>
      </c>
      <c r="O5685" t="inlineStr">
        <is>
          <t>Microtubule-actin cross-linking factor 1</t>
        </is>
      </c>
    </row>
    <row r="5686">
      <c r="A5686" t="inlineStr"/>
      <c r="B5686" t="inlineStr"/>
      <c r="C5686" t="inlineStr"/>
      <c r="D5686" t="inlineStr"/>
      <c r="E5686">
        <f>HYPERLINK("https://www.uniprot.org/uniprotkb/O94854/entry", "O94854")</f>
        <v/>
      </c>
      <c r="F5686" t="n">
        <v>49.8</v>
      </c>
      <c r="G5686" t="n">
        <v>317</v>
      </c>
      <c r="H5686" t="n">
        <v>6.4e-84</v>
      </c>
      <c r="I5686" t="inlineStr">
        <is>
          <t>Swiss-Prot</t>
        </is>
      </c>
      <c r="J5686" t="inlineStr">
        <is>
          <t>MACF1</t>
        </is>
      </c>
      <c r="K5686" t="inlineStr">
        <is>
          <t>K0754_HUMAN</t>
        </is>
      </c>
      <c r="L5686" t="inlineStr">
        <is>
          <t>sp|O94854|K0754_HUMAN Microtubule-actin cross-linking factor 1, isoforms 6/7 OS=Homo sapiens OX=9606 GN=MACF1 PE=2 SV=5</t>
        </is>
      </c>
      <c r="M5686" t="n">
        <v>3515</v>
      </c>
      <c r="N5686" t="inlineStr">
        <is>
          <t>Homo sapiens</t>
        </is>
      </c>
      <c r="O5686" t="inlineStr">
        <is>
          <t>Microtubule-actin cross-linking factor 1, isoforms 6/7</t>
        </is>
      </c>
    </row>
    <row r="5687">
      <c r="A5687" t="inlineStr"/>
      <c r="B5687" t="inlineStr"/>
      <c r="C5687" t="inlineStr"/>
      <c r="D5687" t="inlineStr"/>
      <c r="E5687">
        <f>HYPERLINK("https://www.uniprot.org/uniprotkb/Q9UPN3/entry", "Q9UPN3")</f>
        <v/>
      </c>
      <c r="F5687" t="n">
        <v>49.8</v>
      </c>
      <c r="G5687" t="n">
        <v>317</v>
      </c>
      <c r="H5687" t="n">
        <v>6.77e-84</v>
      </c>
      <c r="I5687" t="inlineStr">
        <is>
          <t>Swiss-Prot</t>
        </is>
      </c>
      <c r="J5687" t="inlineStr">
        <is>
          <t>MACF1</t>
        </is>
      </c>
      <c r="K5687" t="inlineStr">
        <is>
          <t>MACF1_HUMAN</t>
        </is>
      </c>
      <c r="L5687" t="inlineStr">
        <is>
          <t>sp|Q9UPN3|MACF1_HUMAN Microtubule-actin cross-linking factor 1, isoforms 1/2/3/4/5 OS=Homo sapiens OX=9606 GN=MACF1 PE=1 SV=4</t>
        </is>
      </c>
      <c r="M5687" t="n">
        <v>7388</v>
      </c>
      <c r="N5687" t="inlineStr">
        <is>
          <t>Homo sapiens</t>
        </is>
      </c>
      <c r="O5687" t="inlineStr">
        <is>
          <t>Microtubule-actin cross-linking factor 1, isoforms 1/2/3/4/5</t>
        </is>
      </c>
    </row>
    <row r="5688">
      <c r="A5688" t="inlineStr"/>
      <c r="B5688" t="inlineStr"/>
      <c r="C5688" t="inlineStr"/>
      <c r="D5688" t="inlineStr"/>
      <c r="E5688">
        <f>HYPERLINK("https://www.uniprot.org/uniprotkb/G3V7L1/entry", "G3V7L1")</f>
        <v/>
      </c>
      <c r="F5688" t="n">
        <v>26.8</v>
      </c>
      <c r="G5688" t="n">
        <v>265</v>
      </c>
      <c r="H5688" t="n">
        <v>7.21e-13</v>
      </c>
      <c r="I5688" t="inlineStr">
        <is>
          <t>Swiss-Prot</t>
        </is>
      </c>
      <c r="J5688" t="inlineStr">
        <is>
          <t>Utrn</t>
        </is>
      </c>
      <c r="K5688" t="inlineStr">
        <is>
          <t>UTRN_RAT</t>
        </is>
      </c>
      <c r="L5688" t="inlineStr">
        <is>
          <t>sp|G3V7L1|UTRN_RAT Utrophin OS=Rattus norvegicus OX=10116 GN=Utrn PE=1 SV=3</t>
        </is>
      </c>
      <c r="M5688" t="n">
        <v>3419</v>
      </c>
      <c r="N5688" t="inlineStr">
        <is>
          <t>Rattus norvegicus</t>
        </is>
      </c>
      <c r="O5688" t="inlineStr">
        <is>
          <t>Utrophin</t>
        </is>
      </c>
    </row>
    <row r="5689">
      <c r="A5689" t="inlineStr"/>
      <c r="B5689" t="inlineStr"/>
      <c r="C5689" t="inlineStr"/>
      <c r="D5689" t="inlineStr"/>
      <c r="E5689">
        <f>HYPERLINK("https://www.uniprot.org/uniprotkb/Q8JZP9/entry", "Q8JZP9")</f>
        <v/>
      </c>
      <c r="F5689" t="n">
        <v>40.9</v>
      </c>
      <c r="G5689" t="n">
        <v>88</v>
      </c>
      <c r="H5689" t="n">
        <v>2.61e-12</v>
      </c>
      <c r="I5689" t="inlineStr">
        <is>
          <t>Swiss-Prot</t>
        </is>
      </c>
      <c r="J5689" t="inlineStr">
        <is>
          <t>Gas2l1</t>
        </is>
      </c>
      <c r="K5689" t="inlineStr">
        <is>
          <t>GA2L1_MOUSE</t>
        </is>
      </c>
      <c r="L5689" t="inlineStr">
        <is>
          <t>sp|Q8JZP9|GA2L1_MOUSE GAS2-like protein 1 OS=Mus musculus OX=10090 GN=Gas2l1 PE=1 SV=1</t>
        </is>
      </c>
      <c r="M5689" t="n">
        <v>678</v>
      </c>
      <c r="N5689" t="inlineStr">
        <is>
          <t>Mus musculus</t>
        </is>
      </c>
      <c r="O5689" t="inlineStr">
        <is>
          <t>GAS2-like protein 1</t>
        </is>
      </c>
    </row>
    <row r="5690">
      <c r="A5690" t="inlineStr"/>
      <c r="B5690" t="inlineStr"/>
      <c r="C5690" t="inlineStr"/>
      <c r="D5690" t="inlineStr"/>
      <c r="E5690">
        <f>HYPERLINK("https://www.uniprot.org/uniprotkb/A0A1L8HFX9/entry", "A0A1L8HFX9")</f>
        <v/>
      </c>
      <c r="F5690" t="n">
        <v>42.7</v>
      </c>
      <c r="G5690" t="n">
        <v>82</v>
      </c>
      <c r="H5690" t="n">
        <v>9.63e-12</v>
      </c>
      <c r="I5690" t="inlineStr">
        <is>
          <t>Swiss-Prot</t>
        </is>
      </c>
      <c r="J5690" t="inlineStr">
        <is>
          <t>gas2l2.L</t>
        </is>
      </c>
      <c r="K5690" t="inlineStr">
        <is>
          <t>G2L2L_XENLA</t>
        </is>
      </c>
      <c r="L5690" t="inlineStr">
        <is>
          <t>sp|A0A1L8HFX9|G2L2L_XENLA GAS2-like protein 2A OS=Xenopus laevis OX=8355 GN=gas2l2.L PE=3 SV=1</t>
        </is>
      </c>
      <c r="M5690" t="n">
        <v>980</v>
      </c>
      <c r="N5690" t="inlineStr">
        <is>
          <t>Xenopus laevis</t>
        </is>
      </c>
      <c r="O5690" t="inlineStr">
        <is>
          <t>GAS2-like protein 2A</t>
        </is>
      </c>
    </row>
    <row r="5691">
      <c r="A5691" t="inlineStr"/>
      <c r="B5691" t="inlineStr"/>
      <c r="C5691" t="inlineStr"/>
      <c r="D5691" t="inlineStr"/>
      <c r="E5691">
        <f>HYPERLINK("https://www.uniprot.org/uniprotkb/Q99501/entry", "Q99501")</f>
        <v/>
      </c>
      <c r="F5691" t="n">
        <v>41.5</v>
      </c>
      <c r="G5691" t="n">
        <v>82</v>
      </c>
      <c r="H5691" t="n">
        <v>3.27e-11</v>
      </c>
      <c r="I5691" t="inlineStr">
        <is>
          <t>Swiss-Prot</t>
        </is>
      </c>
      <c r="J5691" t="inlineStr">
        <is>
          <t>GAS2L1</t>
        </is>
      </c>
      <c r="K5691" t="inlineStr">
        <is>
          <t>GA2L1_HUMAN</t>
        </is>
      </c>
      <c r="L5691" t="inlineStr">
        <is>
          <t>sp|Q99501|GA2L1_HUMAN GAS2-like protein 1 OS=Homo sapiens OX=9606 GN=GAS2L1 PE=1 SV=2</t>
        </is>
      </c>
      <c r="M5691" t="n">
        <v>681</v>
      </c>
      <c r="N5691" t="inlineStr">
        <is>
          <t>Homo sapiens</t>
        </is>
      </c>
      <c r="O5691" t="inlineStr">
        <is>
          <t>GAS2-like protein 1</t>
        </is>
      </c>
    </row>
    <row r="5692">
      <c r="A5692" t="inlineStr"/>
      <c r="B5692" t="inlineStr"/>
      <c r="C5692" t="inlineStr"/>
      <c r="D5692" t="inlineStr"/>
      <c r="E5692">
        <f>HYPERLINK("https://www.uniprot.org/uniprotkb/Q5SSG4/entry", "Q5SSG4")</f>
        <v/>
      </c>
      <c r="F5692" t="n">
        <v>44.9</v>
      </c>
      <c r="G5692" t="n">
        <v>78</v>
      </c>
      <c r="H5692" t="n">
        <v>3.69e-11</v>
      </c>
      <c r="I5692" t="inlineStr">
        <is>
          <t>Swiss-Prot</t>
        </is>
      </c>
      <c r="J5692" t="inlineStr">
        <is>
          <t>Gas2l2</t>
        </is>
      </c>
      <c r="K5692" t="inlineStr">
        <is>
          <t>GA2L2_MOUSE</t>
        </is>
      </c>
      <c r="L5692" t="inlineStr">
        <is>
          <t>sp|Q5SSG4|GA2L2_MOUSE GAS2-like protein 2 OS=Mus musculus OX=10090 GN=Gas2l2 PE=1 SV=1</t>
        </is>
      </c>
      <c r="M5692" t="n">
        <v>860</v>
      </c>
      <c r="N5692" t="inlineStr">
        <is>
          <t>Mus musculus</t>
        </is>
      </c>
      <c r="O5692" t="inlineStr">
        <is>
          <t>GAS2-like protein 2</t>
        </is>
      </c>
    </row>
    <row r="5693">
      <c r="A5693" t="inlineStr"/>
      <c r="B5693" t="inlineStr"/>
      <c r="C5693" t="inlineStr"/>
      <c r="D5693" t="inlineStr"/>
      <c r="E5693">
        <f>HYPERLINK("https://www.uniprot.org/uniprotkb/A0A1L8H8C0/entry", "A0A1L8H8C0")</f>
        <v/>
      </c>
      <c r="F5693" t="n">
        <v>43.2</v>
      </c>
      <c r="G5693" t="n">
        <v>81</v>
      </c>
      <c r="H5693" t="n">
        <v>3.85e-11</v>
      </c>
      <c r="I5693" t="inlineStr">
        <is>
          <t>Swiss-Prot</t>
        </is>
      </c>
      <c r="J5693" t="inlineStr">
        <is>
          <t>gas2l2.S</t>
        </is>
      </c>
      <c r="K5693" t="inlineStr">
        <is>
          <t>G2L2S_XENLA</t>
        </is>
      </c>
      <c r="L5693" t="inlineStr">
        <is>
          <t>sp|A0A1L8H8C0|G2L2S_XENLA GAS2-like protein 2B OS=Xenopus laevis OX=8355 GN=gas2l2.S PE=3 SV=1</t>
        </is>
      </c>
      <c r="M5693" t="n">
        <v>956</v>
      </c>
      <c r="N5693" t="inlineStr">
        <is>
          <t>Xenopus laevis</t>
        </is>
      </c>
      <c r="O5693" t="inlineStr">
        <is>
          <t>GAS2-like protein 2B</t>
        </is>
      </c>
    </row>
    <row r="5694">
      <c r="A5694" t="inlineStr"/>
      <c r="B5694" t="inlineStr"/>
      <c r="C5694" t="inlineStr"/>
      <c r="D5694" t="inlineStr"/>
      <c r="E5694">
        <f>HYPERLINK("https://www.uniprot.org/uniprotkb/D3ZUE1/entry", "D3ZUE1")</f>
        <v/>
      </c>
      <c r="F5694" t="n">
        <v>44.9</v>
      </c>
      <c r="G5694" t="n">
        <v>78</v>
      </c>
      <c r="H5694" t="n">
        <v>4.87e-11</v>
      </c>
      <c r="I5694" t="inlineStr">
        <is>
          <t>Swiss-Prot</t>
        </is>
      </c>
      <c r="J5694" t="inlineStr">
        <is>
          <t>Gas2l2</t>
        </is>
      </c>
      <c r="K5694" t="inlineStr">
        <is>
          <t>GA2L2_RAT</t>
        </is>
      </c>
      <c r="L5694" t="inlineStr">
        <is>
          <t>sp|D3ZUE1|GA2L2_RAT GAS2-like protein 2 OS=Rattus norvegicus OX=10116 GN=Gas2l2 PE=1 SV=1</t>
        </is>
      </c>
      <c r="M5694" t="n">
        <v>857</v>
      </c>
      <c r="N5694" t="inlineStr">
        <is>
          <t>Rattus norvegicus</t>
        </is>
      </c>
      <c r="O5694" t="inlineStr">
        <is>
          <t>GAS2-like protein 2</t>
        </is>
      </c>
    </row>
    <row r="5695">
      <c r="A5695" t="inlineStr"/>
      <c r="B5695" t="inlineStr"/>
      <c r="C5695" t="inlineStr"/>
      <c r="D5695" t="inlineStr"/>
      <c r="E5695">
        <f>HYPERLINK("https://www.uniprot.org/uniprotkb/Q9W3Y4/entry", "Q9W3Y4")</f>
        <v/>
      </c>
      <c r="F5695" t="n">
        <v>39.7</v>
      </c>
      <c r="G5695" t="n">
        <v>78</v>
      </c>
      <c r="H5695" t="n">
        <v>5.13e-11</v>
      </c>
      <c r="I5695" t="inlineStr">
        <is>
          <t>Swiss-Prot</t>
        </is>
      </c>
      <c r="J5695" t="inlineStr">
        <is>
          <t>pigs</t>
        </is>
      </c>
      <c r="K5695" t="inlineStr">
        <is>
          <t>GA2PE_DROME</t>
        </is>
      </c>
      <c r="L5695" t="inlineStr">
        <is>
          <t>sp|Q9W3Y4|GA2PE_DROME GAS2-like protein pickled eggs OS=Drosophila melanogaster OX=7227 GN=pigs PE=2 SV=2</t>
        </is>
      </c>
      <c r="M5695" t="n">
        <v>977</v>
      </c>
      <c r="N5695" t="inlineStr">
        <is>
          <t>Drosophila melanogaster</t>
        </is>
      </c>
      <c r="O5695" t="inlineStr">
        <is>
          <t>GAS2-like protein pickled eggs</t>
        </is>
      </c>
    </row>
    <row r="5696">
      <c r="A5696" t="inlineStr"/>
      <c r="B5696" t="inlineStr"/>
      <c r="C5696" t="inlineStr"/>
      <c r="D5696" t="inlineStr"/>
      <c r="E5696">
        <f>HYPERLINK("https://www.uniprot.org/uniprotkb/P11530/entry", "P11530")</f>
        <v/>
      </c>
      <c r="F5696" t="n">
        <v>27.4</v>
      </c>
      <c r="G5696" t="n">
        <v>219</v>
      </c>
      <c r="H5696" t="n">
        <v>1.98e-10</v>
      </c>
      <c r="I5696" t="inlineStr">
        <is>
          <t>Swiss-Prot</t>
        </is>
      </c>
      <c r="J5696" t="inlineStr">
        <is>
          <t>Dmd</t>
        </is>
      </c>
      <c r="K5696" t="inlineStr">
        <is>
          <t>DMD_RAT</t>
        </is>
      </c>
      <c r="L5696" t="inlineStr">
        <is>
          <t>sp|P11530|DMD_RAT Dystrophin OS=Rattus norvegicus OX=10116 GN=Dmd PE=1 SV=2</t>
        </is>
      </c>
      <c r="M5696" t="n">
        <v>3677</v>
      </c>
      <c r="N5696" t="inlineStr">
        <is>
          <t>Rattus norvegicus</t>
        </is>
      </c>
      <c r="O5696" t="inlineStr">
        <is>
          <t>Dystrophin</t>
        </is>
      </c>
    </row>
    <row r="5697">
      <c r="A5697" t="inlineStr"/>
      <c r="B5697" t="inlineStr"/>
      <c r="C5697" t="inlineStr"/>
      <c r="D5697" t="inlineStr"/>
      <c r="E5697">
        <f>HYPERLINK("https://www.uniprot.org/uniprotkb/P11531/entry", "P11531")</f>
        <v/>
      </c>
      <c r="F5697" t="n">
        <v>28.2</v>
      </c>
      <c r="G5697" t="n">
        <v>213</v>
      </c>
      <c r="H5697" t="n">
        <v>1.98e-10</v>
      </c>
      <c r="I5697" t="inlineStr">
        <is>
          <t>Swiss-Prot</t>
        </is>
      </c>
      <c r="J5697" t="inlineStr">
        <is>
          <t>Dmd</t>
        </is>
      </c>
      <c r="K5697" t="inlineStr">
        <is>
          <t>DMD_MOUSE</t>
        </is>
      </c>
      <c r="L5697" t="inlineStr">
        <is>
          <t>sp|P11531|DMD_MOUSE Dystrophin OS=Mus musculus OX=10090 GN=Dmd PE=1 SV=3</t>
        </is>
      </c>
      <c r="M5697" t="n">
        <v>3678</v>
      </c>
      <c r="N5697" t="inlineStr">
        <is>
          <t>Mus musculus</t>
        </is>
      </c>
      <c r="O5697" t="inlineStr">
        <is>
          <t>Dystrophin</t>
        </is>
      </c>
    </row>
    <row r="5698">
      <c r="A5698" t="inlineStr"/>
      <c r="B5698" t="inlineStr"/>
      <c r="C5698" t="inlineStr"/>
      <c r="D5698" t="inlineStr"/>
      <c r="E5698">
        <f>HYPERLINK("https://www.uniprot.org/uniprotkb/Q8NHY3/entry", "Q8NHY3")</f>
        <v/>
      </c>
      <c r="F5698" t="n">
        <v>40.2</v>
      </c>
      <c r="G5698" t="n">
        <v>82</v>
      </c>
      <c r="H5698" t="n">
        <v>1.99e-10</v>
      </c>
      <c r="I5698" t="inlineStr">
        <is>
          <t>Swiss-Prot</t>
        </is>
      </c>
      <c r="J5698" t="inlineStr">
        <is>
          <t>GAS2L2</t>
        </is>
      </c>
      <c r="K5698" t="inlineStr">
        <is>
          <t>GA2L2_HUMAN</t>
        </is>
      </c>
      <c r="L5698" t="inlineStr">
        <is>
          <t>sp|Q8NHY3|GA2L2_HUMAN GAS2-like protein 2 OS=Homo sapiens OX=9606 GN=GAS2L2 PE=1 SV=1</t>
        </is>
      </c>
      <c r="M5698" t="n">
        <v>880</v>
      </c>
      <c r="N5698" t="inlineStr">
        <is>
          <t>Homo sapiens</t>
        </is>
      </c>
      <c r="O5698" t="inlineStr">
        <is>
          <t>GAS2-like protein 2</t>
        </is>
      </c>
    </row>
    <row r="5699">
      <c r="A5699" t="inlineStr"/>
      <c r="B5699" t="inlineStr"/>
      <c r="C5699" t="inlineStr"/>
      <c r="D5699" t="inlineStr"/>
      <c r="E5699">
        <f>HYPERLINK("https://www.uniprot.org/uniprotkb/P11533/entry", "P11533")</f>
        <v/>
      </c>
      <c r="F5699" t="n">
        <v>24.3</v>
      </c>
      <c r="G5699" t="n">
        <v>235</v>
      </c>
      <c r="H5699" t="n">
        <v>8e-10</v>
      </c>
      <c r="I5699" t="inlineStr">
        <is>
          <t>Swiss-Prot</t>
        </is>
      </c>
      <c r="J5699" t="inlineStr">
        <is>
          <t>DMD</t>
        </is>
      </c>
      <c r="K5699" t="inlineStr">
        <is>
          <t>DMD_CHICK</t>
        </is>
      </c>
      <c r="L5699" t="inlineStr">
        <is>
          <t>sp|P11533|DMD_CHICK Dystrophin OS=Gallus gallus OX=9031 GN=DMD PE=2 SV=1</t>
        </is>
      </c>
      <c r="M5699" t="n">
        <v>3660</v>
      </c>
      <c r="N5699" t="inlineStr">
        <is>
          <t>Gallus gallus</t>
        </is>
      </c>
      <c r="O5699" t="inlineStr">
        <is>
          <t>Dystrophin</t>
        </is>
      </c>
    </row>
    <row r="5700">
      <c r="A5700" t="inlineStr"/>
      <c r="B5700" t="inlineStr"/>
      <c r="C5700" t="inlineStr"/>
      <c r="D5700" t="inlineStr"/>
      <c r="E5700">
        <f>HYPERLINK("https://www.uniprot.org/uniprotkb/P46939/entry", "P46939")</f>
        <v/>
      </c>
      <c r="F5700" t="n">
        <v>25.3</v>
      </c>
      <c r="G5700" t="n">
        <v>265</v>
      </c>
      <c r="H5700" t="n">
        <v>1.05e-09</v>
      </c>
      <c r="I5700" t="inlineStr">
        <is>
          <t>Swiss-Prot</t>
        </is>
      </c>
      <c r="J5700" t="inlineStr">
        <is>
          <t>UTRN</t>
        </is>
      </c>
      <c r="K5700" t="inlineStr">
        <is>
          <t>UTRN_HUMAN</t>
        </is>
      </c>
      <c r="L5700" t="inlineStr">
        <is>
          <t>sp|P46939|UTRN_HUMAN Utrophin OS=Homo sapiens OX=9606 GN=UTRN PE=1 SV=2</t>
        </is>
      </c>
      <c r="M5700" t="n">
        <v>3433</v>
      </c>
      <c r="N5700" t="inlineStr">
        <is>
          <t>Homo sapiens</t>
        </is>
      </c>
      <c r="O5700" t="inlineStr">
        <is>
          <t>Utrophin</t>
        </is>
      </c>
    </row>
    <row r="5701">
      <c r="A5701" t="inlineStr"/>
      <c r="B5701" t="inlineStr"/>
      <c r="C5701" t="inlineStr"/>
      <c r="D5701" t="inlineStr"/>
      <c r="E5701">
        <f>HYPERLINK("https://www.uniprot.org/uniprotkb/Q5GN48/entry", "Q5GN48")</f>
        <v/>
      </c>
      <c r="F5701" t="n">
        <v>26</v>
      </c>
      <c r="G5701" t="n">
        <v>235</v>
      </c>
      <c r="H5701" t="n">
        <v>1.4e-09</v>
      </c>
      <c r="I5701" t="inlineStr">
        <is>
          <t>Swiss-Prot</t>
        </is>
      </c>
      <c r="J5701" t="inlineStr">
        <is>
          <t>DMD</t>
        </is>
      </c>
      <c r="K5701" t="inlineStr">
        <is>
          <t>DMD_PIG</t>
        </is>
      </c>
      <c r="L5701" t="inlineStr">
        <is>
          <t>sp|Q5GN48|DMD_PIG Dystrophin OS=Sus scrofa OX=9823 GN=DMD PE=1 SV=1</t>
        </is>
      </c>
      <c r="M5701" t="n">
        <v>3674</v>
      </c>
      <c r="N5701" t="inlineStr">
        <is>
          <t>Sus scrofa</t>
        </is>
      </c>
      <c r="O5701" t="inlineStr">
        <is>
          <t>Dystrophin</t>
        </is>
      </c>
    </row>
    <row r="5702">
      <c r="A5702" t="inlineStr"/>
      <c r="B5702" t="inlineStr"/>
      <c r="C5702" t="inlineStr"/>
      <c r="D5702" t="inlineStr"/>
      <c r="E5702">
        <f>HYPERLINK("https://www.uniprot.org/uniprotkb/O97592/entry", "O97592")</f>
        <v/>
      </c>
      <c r="F5702" t="n">
        <v>27.7</v>
      </c>
      <c r="G5702" t="n">
        <v>191</v>
      </c>
      <c r="H5702" t="n">
        <v>3.22e-09</v>
      </c>
      <c r="I5702" t="inlineStr">
        <is>
          <t>Swiss-Prot</t>
        </is>
      </c>
      <c r="J5702" t="inlineStr">
        <is>
          <t>DMD</t>
        </is>
      </c>
      <c r="K5702" t="inlineStr">
        <is>
          <t>DMD_CANLF</t>
        </is>
      </c>
      <c r="L5702" t="inlineStr">
        <is>
          <t>sp|O97592|DMD_CANLF Dystrophin OS=Canis lupus familiaris OX=9615 GN=DMD PE=2 SV=1</t>
        </is>
      </c>
      <c r="M5702" t="n">
        <v>3680</v>
      </c>
      <c r="N5702" t="inlineStr">
        <is>
          <t>Canis lupus familiaris</t>
        </is>
      </c>
      <c r="O5702" t="inlineStr">
        <is>
          <t>Dystrophin</t>
        </is>
      </c>
    </row>
    <row r="5703">
      <c r="A5703" t="inlineStr"/>
      <c r="B5703" t="inlineStr"/>
      <c r="C5703" t="inlineStr"/>
      <c r="D5703" t="inlineStr"/>
      <c r="E5703">
        <f>HYPERLINK("https://www.uniprot.org/uniprotkb/P11532/entry", "P11532")</f>
        <v/>
      </c>
      <c r="F5703" t="n">
        <v>27.1</v>
      </c>
      <c r="G5703" t="n">
        <v>192</v>
      </c>
      <c r="H5703" t="n">
        <v>9.8e-09</v>
      </c>
      <c r="I5703" t="inlineStr">
        <is>
          <t>Swiss-Prot</t>
        </is>
      </c>
      <c r="J5703" t="inlineStr">
        <is>
          <t>DMD</t>
        </is>
      </c>
      <c r="K5703" t="inlineStr">
        <is>
          <t>DMD_HUMAN</t>
        </is>
      </c>
      <c r="L5703" t="inlineStr">
        <is>
          <t>sp|P11532|DMD_HUMAN Dystrophin OS=Homo sapiens OX=9606 GN=DMD PE=1 SV=3</t>
        </is>
      </c>
      <c r="M5703" t="n">
        <v>3685</v>
      </c>
      <c r="N5703" t="inlineStr">
        <is>
          <t>Homo sapiens</t>
        </is>
      </c>
      <c r="O5703" t="inlineStr">
        <is>
          <t>Dystrophin</t>
        </is>
      </c>
    </row>
    <row r="5704">
      <c r="A5704" t="inlineStr"/>
      <c r="B5704" t="inlineStr"/>
      <c r="C5704" t="inlineStr"/>
      <c r="D5704" t="inlineStr"/>
      <c r="E5704">
        <f>HYPERLINK("https://www.uniprot.org/uniprotkb/Q3UWW6/entry", "Q3UWW6")</f>
        <v/>
      </c>
      <c r="F5704" t="n">
        <v>49.2</v>
      </c>
      <c r="G5704" t="n">
        <v>59</v>
      </c>
      <c r="H5704" t="n">
        <v>1.53e-08</v>
      </c>
      <c r="I5704" t="inlineStr">
        <is>
          <t>Swiss-Prot</t>
        </is>
      </c>
      <c r="J5704" t="inlineStr">
        <is>
          <t>Gas2l3</t>
        </is>
      </c>
      <c r="K5704" t="inlineStr">
        <is>
          <t>GA2L3_MOUSE</t>
        </is>
      </c>
      <c r="L5704" t="inlineStr">
        <is>
          <t>sp|Q3UWW6|GA2L3_MOUSE GAS2-like protein 3 OS=Mus musculus OX=10090 GN=Gas2l3 PE=1 SV=1</t>
        </is>
      </c>
      <c r="M5704" t="n">
        <v>683</v>
      </c>
      <c r="N5704" t="inlineStr">
        <is>
          <t>Mus musculus</t>
        </is>
      </c>
      <c r="O5704" t="inlineStr">
        <is>
          <t>GAS2-like protein 3</t>
        </is>
      </c>
    </row>
    <row r="5705">
      <c r="A5705" t="inlineStr"/>
      <c r="B5705" t="inlineStr"/>
      <c r="C5705" t="inlineStr"/>
      <c r="D5705" t="inlineStr"/>
      <c r="E5705">
        <f>HYPERLINK("https://www.uniprot.org/uniprotkb/Q86XJ1/entry", "Q86XJ1")</f>
        <v/>
      </c>
      <c r="F5705" t="n">
        <v>47.5</v>
      </c>
      <c r="G5705" t="n">
        <v>59</v>
      </c>
      <c r="H5705" t="n">
        <v>3.55e-08</v>
      </c>
      <c r="I5705" t="inlineStr">
        <is>
          <t>Swiss-Prot</t>
        </is>
      </c>
      <c r="J5705" t="inlineStr">
        <is>
          <t>GAS2L3</t>
        </is>
      </c>
      <c r="K5705" t="inlineStr">
        <is>
          <t>GA2L3_HUMAN</t>
        </is>
      </c>
      <c r="L5705" t="inlineStr">
        <is>
          <t>sp|Q86XJ1|GA2L3_HUMAN GAS2-like protein 3 OS=Homo sapiens OX=9606 GN=GAS2L3 PE=1 SV=1</t>
        </is>
      </c>
      <c r="M5705" t="n">
        <v>694</v>
      </c>
      <c r="N5705" t="inlineStr">
        <is>
          <t>Homo sapiens</t>
        </is>
      </c>
      <c r="O5705" t="inlineStr">
        <is>
          <t>GAS2-like protein 3</t>
        </is>
      </c>
    </row>
    <row r="5706">
      <c r="A5706" t="inlineStr"/>
      <c r="B5706" t="inlineStr"/>
      <c r="C5706" t="inlineStr"/>
      <c r="D5706" t="inlineStr"/>
      <c r="E5706">
        <f>HYPERLINK("https://www.uniprot.org/uniprotkb/Q8NF91/entry", "Q8NF91")</f>
        <v/>
      </c>
      <c r="F5706" t="n">
        <v>25.8</v>
      </c>
      <c r="G5706" t="n">
        <v>163</v>
      </c>
      <c r="H5706" t="n">
        <v>4.07e-08</v>
      </c>
      <c r="I5706" t="inlineStr">
        <is>
          <t>Swiss-Prot</t>
        </is>
      </c>
      <c r="J5706" t="inlineStr">
        <is>
          <t>SYNE1</t>
        </is>
      </c>
      <c r="K5706" t="inlineStr">
        <is>
          <t>SYNE1_HUMAN</t>
        </is>
      </c>
      <c r="L5706" t="inlineStr">
        <is>
          <t>sp|Q8NF91|SYNE1_HUMAN Nesprin-1 OS=Homo sapiens OX=9606 GN=SYNE1 PE=1 SV=4</t>
        </is>
      </c>
      <c r="M5706" t="n">
        <v>8797</v>
      </c>
      <c r="N5706" t="inlineStr">
        <is>
          <t>Homo sapiens</t>
        </is>
      </c>
      <c r="O5706" t="inlineStr">
        <is>
          <t>Nesprin-1</t>
        </is>
      </c>
    </row>
    <row r="5707">
      <c r="A5707" t="inlineStr"/>
      <c r="B5707" t="inlineStr"/>
      <c r="C5707" t="inlineStr"/>
      <c r="D5707" t="inlineStr"/>
      <c r="E5707">
        <f>HYPERLINK("https://www.uniprot.org/uniprotkb/Q6ZWR6/entry", "Q6ZWR6")</f>
        <v/>
      </c>
      <c r="F5707" t="n">
        <v>28.7</v>
      </c>
      <c r="G5707" t="n">
        <v>164</v>
      </c>
      <c r="H5707" t="n">
        <v>9.34e-08</v>
      </c>
      <c r="I5707" t="inlineStr">
        <is>
          <t>Swiss-Prot</t>
        </is>
      </c>
      <c r="J5707" t="inlineStr">
        <is>
          <t>Syne1</t>
        </is>
      </c>
      <c r="K5707" t="inlineStr">
        <is>
          <t>SYNE1_MOUSE</t>
        </is>
      </c>
      <c r="L5707" t="inlineStr">
        <is>
          <t>sp|Q6ZWR6|SYNE1_MOUSE Nesprin-1 OS=Mus musculus OX=10090 GN=Syne1 PE=1 SV=2</t>
        </is>
      </c>
      <c r="M5707" t="n">
        <v>8799</v>
      </c>
      <c r="N5707" t="inlineStr">
        <is>
          <t>Mus musculus</t>
        </is>
      </c>
      <c r="O5707" t="inlineStr">
        <is>
          <t>Nesprin-1</t>
        </is>
      </c>
    </row>
    <row r="5708">
      <c r="A5708" t="inlineStr"/>
      <c r="B5708" t="inlineStr"/>
      <c r="C5708" t="inlineStr"/>
      <c r="D5708" t="inlineStr"/>
      <c r="E5708">
        <f>HYPERLINK("https://www.uniprot.org/uniprotkb/Q8WXH0/entry", "Q8WXH0")</f>
        <v/>
      </c>
      <c r="F5708" t="n">
        <v>26.2</v>
      </c>
      <c r="G5708" t="n">
        <v>168</v>
      </c>
      <c r="H5708" t="n">
        <v>1.22e-07</v>
      </c>
      <c r="I5708" t="inlineStr">
        <is>
          <t>Swiss-Prot</t>
        </is>
      </c>
      <c r="J5708" t="inlineStr">
        <is>
          <t>SYNE2</t>
        </is>
      </c>
      <c r="K5708" t="inlineStr">
        <is>
          <t>SYNE2_HUMAN</t>
        </is>
      </c>
      <c r="L5708" t="inlineStr">
        <is>
          <t>sp|Q8WXH0|SYNE2_HUMAN Nesprin-2 OS=Homo sapiens OX=9606 GN=SYNE2 PE=1 SV=3</t>
        </is>
      </c>
      <c r="M5708" t="n">
        <v>6885</v>
      </c>
      <c r="N5708" t="inlineStr">
        <is>
          <t>Homo sapiens</t>
        </is>
      </c>
      <c r="O5708" t="inlineStr">
        <is>
          <t>Nesprin-2</t>
        </is>
      </c>
    </row>
    <row r="5709">
      <c r="A5709" t="inlineStr"/>
      <c r="B5709" t="inlineStr"/>
      <c r="C5709" t="inlineStr"/>
      <c r="D5709" t="inlineStr"/>
      <c r="E5709">
        <f>HYPERLINK("https://www.uniprot.org/uniprotkb/Q6ZWQ0/entry", "Q6ZWQ0")</f>
        <v/>
      </c>
      <c r="F5709" t="n">
        <v>26.2</v>
      </c>
      <c r="G5709" t="n">
        <v>168</v>
      </c>
      <c r="H5709" t="n">
        <v>1.61e-07</v>
      </c>
      <c r="I5709" t="inlineStr">
        <is>
          <t>Swiss-Prot</t>
        </is>
      </c>
      <c r="J5709" t="inlineStr">
        <is>
          <t>Syne2</t>
        </is>
      </c>
      <c r="K5709" t="inlineStr">
        <is>
          <t>SYNE2_MOUSE</t>
        </is>
      </c>
      <c r="L5709" t="inlineStr">
        <is>
          <t>sp|Q6ZWQ0|SYNE2_MOUSE Nesprin-2 OS=Mus musculus OX=10090 GN=Syne2 PE=1 SV=2</t>
        </is>
      </c>
      <c r="M5709" t="n">
        <v>6874</v>
      </c>
      <c r="N5709" t="inlineStr">
        <is>
          <t>Mus musculus</t>
        </is>
      </c>
      <c r="O5709" t="inlineStr">
        <is>
          <t>Nesprin-2</t>
        </is>
      </c>
    </row>
    <row r="5710">
      <c r="A5710" t="inlineStr"/>
      <c r="B5710" t="inlineStr"/>
      <c r="C5710" t="inlineStr"/>
      <c r="D5710" t="inlineStr"/>
      <c r="E5710">
        <f>HYPERLINK("https://www.uniprot.org/uniprotkb/O43903/entry", "O43903")</f>
        <v/>
      </c>
      <c r="F5710" t="n">
        <v>45.8</v>
      </c>
      <c r="G5710" t="n">
        <v>59</v>
      </c>
      <c r="H5710" t="n">
        <v>2.8e-07</v>
      </c>
      <c r="I5710" t="inlineStr">
        <is>
          <t>Swiss-Prot</t>
        </is>
      </c>
      <c r="J5710" t="inlineStr">
        <is>
          <t>GAS2</t>
        </is>
      </c>
      <c r="K5710" t="inlineStr">
        <is>
          <t>GAS2_HUMAN</t>
        </is>
      </c>
      <c r="L5710" t="inlineStr">
        <is>
          <t>sp|O43903|GAS2_HUMAN Growth arrest-specific protein 2 OS=Homo sapiens OX=9606 GN=GAS2 PE=1 SV=1</t>
        </is>
      </c>
      <c r="M5710" t="n">
        <v>313</v>
      </c>
      <c r="N5710" t="inlineStr">
        <is>
          <t>Homo sapiens</t>
        </is>
      </c>
      <c r="O5710" t="inlineStr">
        <is>
          <t>Growth arrest-specific protein 2</t>
        </is>
      </c>
    </row>
    <row r="5711">
      <c r="A5711" t="inlineStr"/>
      <c r="B5711" t="inlineStr"/>
      <c r="C5711" t="inlineStr"/>
      <c r="D5711" t="inlineStr"/>
      <c r="E5711">
        <f>HYPERLINK("https://www.uniprot.org/uniprotkb/P11862/entry", "P11862")</f>
        <v/>
      </c>
      <c r="F5711" t="n">
        <v>45.8</v>
      </c>
      <c r="G5711" t="n">
        <v>59</v>
      </c>
      <c r="H5711" t="n">
        <v>3.75e-07</v>
      </c>
      <c r="I5711" t="inlineStr">
        <is>
          <t>Swiss-Prot</t>
        </is>
      </c>
      <c r="J5711" t="inlineStr">
        <is>
          <t>Gas2</t>
        </is>
      </c>
      <c r="K5711" t="inlineStr">
        <is>
          <t>GAS2_MOUSE</t>
        </is>
      </c>
      <c r="L5711" t="inlineStr">
        <is>
          <t>sp|P11862|GAS2_MOUSE Growth arrest-specific protein 2 OS=Mus musculus OX=10090 GN=Gas2 PE=1 SV=1</t>
        </is>
      </c>
      <c r="M5711" t="n">
        <v>314</v>
      </c>
      <c r="N5711" t="inlineStr">
        <is>
          <t>Mus musculus</t>
        </is>
      </c>
      <c r="O5711" t="inlineStr">
        <is>
          <t>Growth arrest-specific protein 2</t>
        </is>
      </c>
    </row>
    <row r="5712">
      <c r="A5712" t="inlineStr"/>
      <c r="B5712" t="inlineStr"/>
      <c r="C5712" t="inlineStr"/>
      <c r="D5712" t="inlineStr"/>
      <c r="E5712">
        <f>HYPERLINK("https://www.uniprot.org/uniprotkb/P13395/entry", "P13395")</f>
        <v/>
      </c>
      <c r="F5712" t="n">
        <v>24.4</v>
      </c>
      <c r="G5712" t="n">
        <v>176</v>
      </c>
      <c r="H5712" t="n">
        <v>1.39e-06</v>
      </c>
      <c r="I5712" t="inlineStr">
        <is>
          <t>Swiss-Prot</t>
        </is>
      </c>
      <c r="J5712" t="inlineStr">
        <is>
          <t>alpha-Spec</t>
        </is>
      </c>
      <c r="K5712" t="inlineStr">
        <is>
          <t>SPTCA_DROME</t>
        </is>
      </c>
      <c r="L5712" t="inlineStr">
        <is>
          <t>sp|P13395|SPTCA_DROME Spectrin alpha chain OS=Drosophila melanogaster OX=7227 GN=alpha-Spec PE=1 SV=2</t>
        </is>
      </c>
      <c r="M5712" t="n">
        <v>2415</v>
      </c>
      <c r="N5712" t="inlineStr">
        <is>
          <t>Drosophila melanogaster</t>
        </is>
      </c>
      <c r="O5712" t="inlineStr">
        <is>
          <t>Spectrin alpha chain</t>
        </is>
      </c>
    </row>
    <row r="5713">
      <c r="A5713" t="inlineStr"/>
      <c r="B5713" t="inlineStr"/>
      <c r="C5713" t="inlineStr"/>
      <c r="D5713" t="inlineStr"/>
      <c r="E5713">
        <f>HYPERLINK("https://www.uniprot.org/uniprotkb/P07751/entry", "P07751")</f>
        <v/>
      </c>
      <c r="F5713" t="n">
        <v>25.3</v>
      </c>
      <c r="G5713" t="n">
        <v>146</v>
      </c>
      <c r="H5713" t="n">
        <v>7.32e-06</v>
      </c>
      <c r="I5713" t="inlineStr">
        <is>
          <t>Swiss-Prot</t>
        </is>
      </c>
      <c r="J5713" t="inlineStr">
        <is>
          <t>SPTAN1</t>
        </is>
      </c>
      <c r="K5713" t="inlineStr">
        <is>
          <t>SPTN1_CHICK</t>
        </is>
      </c>
      <c r="L5713" t="inlineStr">
        <is>
          <t>sp|P07751|SPTN1_CHICK Spectrin alpha chain, non-erythrocytic 1 OS=Gallus gallus OX=9031 GN=SPTAN1 PE=1 SV=3</t>
        </is>
      </c>
      <c r="M5713" t="n">
        <v>2477</v>
      </c>
      <c r="N5713" t="inlineStr">
        <is>
          <t>Gallus gallus</t>
        </is>
      </c>
      <c r="O5713" t="inlineStr">
        <is>
          <t>Spectrin alpha chain, non-erythrocytic 1</t>
        </is>
      </c>
    </row>
    <row r="5714">
      <c r="A5714" t="inlineStr"/>
      <c r="B5714" t="inlineStr"/>
      <c r="C5714" t="inlineStr"/>
      <c r="D5714" t="inlineStr"/>
      <c r="E5714">
        <f>HYPERLINK("https://www.uniprot.org/uniprotkb/P08032/entry", "P08032")</f>
        <v/>
      </c>
      <c r="F5714" t="n">
        <v>23.4</v>
      </c>
      <c r="G5714" t="n">
        <v>218</v>
      </c>
      <c r="H5714" t="n">
        <v>3.83e-05</v>
      </c>
      <c r="I5714" t="inlineStr">
        <is>
          <t>Swiss-Prot</t>
        </is>
      </c>
      <c r="J5714" t="inlineStr">
        <is>
          <t>Spta1</t>
        </is>
      </c>
      <c r="K5714" t="inlineStr">
        <is>
          <t>SPTA1_MOUSE</t>
        </is>
      </c>
      <c r="L5714" t="inlineStr">
        <is>
          <t>sp|P08032|SPTA1_MOUSE Spectrin alpha chain, erythrocytic 1 OS=Mus musculus OX=10090 GN=Spta1 PE=1 SV=3</t>
        </is>
      </c>
      <c r="M5714" t="n">
        <v>2415</v>
      </c>
      <c r="N5714" t="inlineStr">
        <is>
          <t>Mus musculus</t>
        </is>
      </c>
      <c r="O5714" t="inlineStr">
        <is>
          <t>Spectrin alpha chain, erythrocytic 1</t>
        </is>
      </c>
    </row>
    <row r="5715">
      <c r="A5715" t="inlineStr"/>
      <c r="B5715" t="inlineStr"/>
      <c r="C5715" t="inlineStr"/>
      <c r="D5715" t="inlineStr"/>
      <c r="E5715">
        <f>HYPERLINK("https://www.uniprot.org/uniprotkb/Q13813/entry", "Q13813")</f>
        <v/>
      </c>
      <c r="F5715" t="n">
        <v>26</v>
      </c>
      <c r="G5715" t="n">
        <v>146</v>
      </c>
      <c r="H5715" t="n">
        <v>3.83e-05</v>
      </c>
      <c r="I5715" t="inlineStr">
        <is>
          <t>Swiss-Prot</t>
        </is>
      </c>
      <c r="J5715" t="inlineStr">
        <is>
          <t>SPTAN1</t>
        </is>
      </c>
      <c r="K5715" t="inlineStr">
        <is>
          <t>SPTN1_HUMAN</t>
        </is>
      </c>
      <c r="L5715" t="inlineStr">
        <is>
          <t>sp|Q13813|SPTN1_HUMAN Spectrin alpha chain, non-erythrocytic 1 OS=Homo sapiens OX=9606 GN=SPTAN1 PE=1 SV=3</t>
        </is>
      </c>
      <c r="M5715" t="n">
        <v>2472</v>
      </c>
      <c r="N5715" t="inlineStr">
        <is>
          <t>Homo sapiens</t>
        </is>
      </c>
      <c r="O5715" t="inlineStr">
        <is>
          <t>Spectrin alpha chain, non-erythrocytic 1</t>
        </is>
      </c>
    </row>
    <row r="5716">
      <c r="A5716" t="inlineStr"/>
      <c r="B5716" t="inlineStr"/>
      <c r="C5716" t="inlineStr"/>
      <c r="D5716" t="inlineStr"/>
      <c r="E5716">
        <f>HYPERLINK("https://www.uniprot.org/uniprotkb/P16546/entry", "P16546")</f>
        <v/>
      </c>
      <c r="F5716" t="n">
        <v>26.7</v>
      </c>
      <c r="G5716" t="n">
        <v>135</v>
      </c>
      <c r="H5716" t="n">
        <v>6.65e-05</v>
      </c>
      <c r="I5716" t="inlineStr">
        <is>
          <t>Swiss-Prot</t>
        </is>
      </c>
      <c r="J5716" t="inlineStr">
        <is>
          <t>Sptan1</t>
        </is>
      </c>
      <c r="K5716" t="inlineStr">
        <is>
          <t>SPTN1_MOUSE</t>
        </is>
      </c>
      <c r="L5716" t="inlineStr">
        <is>
          <t>sp|P16546|SPTN1_MOUSE Spectrin alpha chain, non-erythrocytic 1 OS=Mus musculus OX=10090 GN=Sptan1 PE=1 SV=4</t>
        </is>
      </c>
      <c r="M5716" t="n">
        <v>2472</v>
      </c>
      <c r="N5716" t="inlineStr">
        <is>
          <t>Mus musculus</t>
        </is>
      </c>
      <c r="O5716" t="inlineStr">
        <is>
          <t>Spectrin alpha chain, non-erythrocytic 1</t>
        </is>
      </c>
    </row>
    <row r="5717">
      <c r="A5717" t="inlineStr"/>
      <c r="B5717" t="inlineStr"/>
      <c r="C5717" t="inlineStr"/>
      <c r="D5717" t="inlineStr"/>
      <c r="E5717">
        <f>HYPERLINK("https://www.uniprot.org/uniprotkb/P16086/entry", "P16086")</f>
        <v/>
      </c>
      <c r="F5717" t="n">
        <v>26.7</v>
      </c>
      <c r="G5717" t="n">
        <v>135</v>
      </c>
      <c r="H5717" t="n">
        <v>6.65e-05</v>
      </c>
      <c r="I5717" t="inlineStr">
        <is>
          <t>Swiss-Prot</t>
        </is>
      </c>
      <c r="J5717" t="inlineStr">
        <is>
          <t>Sptan1</t>
        </is>
      </c>
      <c r="K5717" t="inlineStr">
        <is>
          <t>SPTN1_RAT</t>
        </is>
      </c>
      <c r="L5717" t="inlineStr">
        <is>
          <t>sp|P16086|SPTN1_RAT Spectrin alpha chain, non-erythrocytic 1 OS=Rattus norvegicus OX=10116 GN=Sptan1 PE=1 SV=2</t>
        </is>
      </c>
      <c r="M5717" t="n">
        <v>2472</v>
      </c>
      <c r="N5717" t="inlineStr">
        <is>
          <t>Rattus norvegicus</t>
        </is>
      </c>
      <c r="O5717" t="inlineStr">
        <is>
          <t>Spectrin alpha chain, non-erythrocytic 1</t>
        </is>
      </c>
    </row>
    <row r="5718">
      <c r="A5718" t="inlineStr"/>
      <c r="B5718" t="inlineStr"/>
      <c r="C5718" t="inlineStr"/>
      <c r="D5718" t="inlineStr"/>
      <c r="E5718">
        <f>HYPERLINK("https://www.uniprot.org/uniprotkb/Q0DZP5/entry", "Q0DZP5")</f>
        <v/>
      </c>
      <c r="F5718" t="n">
        <v>42.6</v>
      </c>
      <c r="G5718" t="n">
        <v>54</v>
      </c>
      <c r="H5718" t="n">
        <v>0.000195</v>
      </c>
      <c r="I5718" t="inlineStr">
        <is>
          <t>Swiss-Prot</t>
        </is>
      </c>
      <c r="J5718" t="inlineStr">
        <is>
          <t>CML17</t>
        </is>
      </c>
      <c r="K5718" t="inlineStr">
        <is>
          <t>CML17_ORYSJ</t>
        </is>
      </c>
      <c r="L5718" t="inlineStr">
        <is>
          <t>sp|Q0DZP5|CML17_ORYSJ Probable calcium-binding protein CML17 OS=Oryza sativa subsp. japonica OX=39947 GN=CML17 PE=2 SV=1</t>
        </is>
      </c>
      <c r="M5718" t="n">
        <v>164</v>
      </c>
      <c r="N5718" t="inlineStr">
        <is>
          <t>Oryza sativa subsp. japonica</t>
        </is>
      </c>
      <c r="O5718" t="inlineStr">
        <is>
          <t>Probable calcium-binding protein CML17</t>
        </is>
      </c>
    </row>
    <row r="5719">
      <c r="A5719" t="inlineStr"/>
      <c r="B5719" t="inlineStr"/>
      <c r="C5719" t="inlineStr"/>
      <c r="D5719" t="inlineStr"/>
      <c r="E5719">
        <f>HYPERLINK("https://www.uniprot.org/uniprotkb/Q86V35/entry", "Q86V35")</f>
        <v/>
      </c>
      <c r="F5719" t="n">
        <v>33.3</v>
      </c>
      <c r="G5719" t="n">
        <v>63</v>
      </c>
      <c r="H5719" t="n">
        <v>0.000359</v>
      </c>
      <c r="I5719" t="inlineStr">
        <is>
          <t>Swiss-Prot</t>
        </is>
      </c>
      <c r="J5719" t="inlineStr">
        <is>
          <t>CABP7</t>
        </is>
      </c>
      <c r="K5719" t="inlineStr">
        <is>
          <t>CABP7_HUMAN</t>
        </is>
      </c>
      <c r="L5719" t="inlineStr">
        <is>
          <t>sp|Q86V35|CABP7_HUMAN Calcium-binding protein 7 OS=Homo sapiens OX=9606 GN=CABP7 PE=1 SV=1</t>
        </is>
      </c>
      <c r="M5719" t="n">
        <v>215</v>
      </c>
      <c r="N5719" t="inlineStr">
        <is>
          <t>Homo sapiens</t>
        </is>
      </c>
      <c r="O5719" t="inlineStr">
        <is>
          <t>Calcium-binding protein 7</t>
        </is>
      </c>
    </row>
    <row r="5720">
      <c r="A5720" t="inlineStr"/>
      <c r="B5720" t="inlineStr"/>
      <c r="C5720" t="inlineStr"/>
      <c r="D5720" t="inlineStr"/>
      <c r="E5720">
        <f>HYPERLINK("https://www.uniprot.org/uniprotkb/Q91ZM8/entry", "Q91ZM8")</f>
        <v/>
      </c>
      <c r="F5720" t="n">
        <v>33.3</v>
      </c>
      <c r="G5720" t="n">
        <v>63</v>
      </c>
      <c r="H5720" t="n">
        <v>0.000359</v>
      </c>
      <c r="I5720" t="inlineStr">
        <is>
          <t>Swiss-Prot</t>
        </is>
      </c>
      <c r="J5720" t="inlineStr">
        <is>
          <t>Cabp7</t>
        </is>
      </c>
      <c r="K5720" t="inlineStr">
        <is>
          <t>CABP7_MOUSE</t>
        </is>
      </c>
      <c r="L5720" t="inlineStr">
        <is>
          <t>sp|Q91ZM8|CABP7_MOUSE Calcium-binding protein 7 OS=Mus musculus OX=10090 GN=Cabp7 PE=2 SV=1</t>
        </is>
      </c>
      <c r="M5720" t="n">
        <v>215</v>
      </c>
      <c r="N5720" t="inlineStr">
        <is>
          <t>Mus musculus</t>
        </is>
      </c>
      <c r="O5720" t="inlineStr">
        <is>
          <t>Calcium-binding protein 7</t>
        </is>
      </c>
    </row>
    <row r="5721">
      <c r="A5721" t="inlineStr"/>
      <c r="B5721" t="inlineStr"/>
      <c r="C5721" t="inlineStr"/>
      <c r="D5721" t="inlineStr"/>
      <c r="E5721">
        <f>HYPERLINK("https://www.uniprot.org/uniprotkb/Q866X0/entry", "Q866X0")</f>
        <v/>
      </c>
      <c r="F5721" t="n">
        <v>33.3</v>
      </c>
      <c r="G5721" t="n">
        <v>63</v>
      </c>
      <c r="H5721" t="n">
        <v>0.000359</v>
      </c>
      <c r="I5721" t="inlineStr">
        <is>
          <t>Swiss-Prot</t>
        </is>
      </c>
      <c r="J5721" t="inlineStr">
        <is>
          <t>CABP7</t>
        </is>
      </c>
      <c r="K5721" t="inlineStr">
        <is>
          <t>CABP7_PAPAN</t>
        </is>
      </c>
      <c r="L5721" t="inlineStr">
        <is>
          <t>sp|Q866X0|CABP7_PAPAN Calcium-binding protein 7 OS=Papio anubis OX=9555 GN=CABP7 PE=3 SV=1</t>
        </is>
      </c>
      <c r="M5721" t="n">
        <v>215</v>
      </c>
      <c r="N5721" t="inlineStr">
        <is>
          <t>Papio anubis</t>
        </is>
      </c>
      <c r="O5721" t="inlineStr">
        <is>
          <t>Calcium-binding protein 7</t>
        </is>
      </c>
    </row>
    <row r="5722">
      <c r="A5722" t="inlineStr"/>
      <c r="B5722" t="inlineStr"/>
      <c r="C5722" t="inlineStr"/>
      <c r="D5722" t="inlineStr"/>
      <c r="E5722">
        <f>HYPERLINK("https://www.uniprot.org/uniprotkb/Q66H96/entry", "Q66H96")</f>
        <v/>
      </c>
      <c r="F5722" t="n">
        <v>33.3</v>
      </c>
      <c r="G5722" t="n">
        <v>63</v>
      </c>
      <c r="H5722" t="n">
        <v>0.000359</v>
      </c>
      <c r="I5722" t="inlineStr">
        <is>
          <t>Swiss-Prot</t>
        </is>
      </c>
      <c r="J5722" t="inlineStr">
        <is>
          <t>Cabp7</t>
        </is>
      </c>
      <c r="K5722" t="inlineStr">
        <is>
          <t>CABP7_RAT</t>
        </is>
      </c>
      <c r="L5722" t="inlineStr">
        <is>
          <t>sp|Q66H96|CABP7_RAT Calcium-binding protein 7 OS=Rattus norvegicus OX=10116 GN=Cabp7 PE=1 SV=1</t>
        </is>
      </c>
      <c r="M5722" t="n">
        <v>215</v>
      </c>
      <c r="N5722" t="inlineStr">
        <is>
          <t>Rattus norvegicus</t>
        </is>
      </c>
      <c r="O5722" t="inlineStr">
        <is>
          <t>Calcium-binding protein 7</t>
        </is>
      </c>
    </row>
    <row r="5723">
      <c r="A5723" t="inlineStr">
        <is>
          <t>NODE_339159_length_453_cov_1.629534_g244181_i0</t>
        </is>
      </c>
      <c r="B5723" t="inlineStr">
        <is>
          <t>bombina_pachypus_blastx</t>
        </is>
      </c>
      <c r="C5723" t="n">
        <v>6.95446784910467</v>
      </c>
      <c r="D5723" t="n">
        <v>0.0115300354765869</v>
      </c>
      <c r="E5723">
        <f>HYPERLINK("https://www.uniprot.org/uniprotkb/A0A803K2N6/entry", "A0A803K2N6")</f>
        <v/>
      </c>
      <c r="F5723" t="n">
        <v>42.8</v>
      </c>
      <c r="G5723" t="n">
        <v>145</v>
      </c>
      <c r="H5723" t="n">
        <v>3.62e-31</v>
      </c>
      <c r="I5723" t="inlineStr">
        <is>
          <t>TrEMBL</t>
        </is>
      </c>
      <c r="J5723" t="inlineStr"/>
      <c r="K5723" t="inlineStr">
        <is>
          <t>A0A803K2N6_XENTR</t>
        </is>
      </c>
      <c r="L5723" t="inlineStr">
        <is>
          <t>tr|A0A803K2N6|A0A803K2N6_XENTR Reverse transcriptase domain-containing protein OS=Xenopus tropicalis OX=8364 PE=4 SV=1</t>
        </is>
      </c>
      <c r="M5723" t="n">
        <v>275</v>
      </c>
      <c r="N5723" t="inlineStr">
        <is>
          <t>Xenopus tropicalis</t>
        </is>
      </c>
      <c r="O5723" t="inlineStr">
        <is>
          <t>Reverse transcriptase domain-containing protein</t>
        </is>
      </c>
    </row>
    <row r="5724">
      <c r="A5724" t="inlineStr"/>
      <c r="B5724" t="inlineStr"/>
      <c r="C5724" t="inlineStr"/>
      <c r="D5724" t="inlineStr"/>
      <c r="E5724">
        <f>HYPERLINK("https://www.uniprot.org/uniprotkb/A0A803KCG6/entry", "A0A803KCG6")</f>
        <v/>
      </c>
      <c r="F5724" t="n">
        <v>41.8</v>
      </c>
      <c r="G5724" t="n">
        <v>141</v>
      </c>
      <c r="H5724" t="n">
        <v>1.85e-25</v>
      </c>
      <c r="I5724" t="inlineStr">
        <is>
          <t>TrEMBL</t>
        </is>
      </c>
      <c r="J5724" t="inlineStr"/>
      <c r="K5724" t="inlineStr">
        <is>
          <t>A0A803KCG6_XENTR</t>
        </is>
      </c>
      <c r="L5724" t="inlineStr">
        <is>
          <t>tr|A0A803KCG6|A0A803KCG6_XENTR Reverse transcriptase domain-containing protein OS=Xenopus tropicalis OX=8364 PE=4 SV=1</t>
        </is>
      </c>
      <c r="M5724" t="n">
        <v>762</v>
      </c>
      <c r="N5724" t="inlineStr">
        <is>
          <t>Xenopus tropicalis</t>
        </is>
      </c>
      <c r="O5724" t="inlineStr">
        <is>
          <t>Reverse transcriptase domain-containing protein</t>
        </is>
      </c>
    </row>
    <row r="5725">
      <c r="A5725" t="inlineStr"/>
      <c r="B5725" t="inlineStr"/>
      <c r="C5725" t="inlineStr"/>
      <c r="D5725" t="inlineStr"/>
      <c r="E5725">
        <f>HYPERLINK("https://www.uniprot.org/uniprotkb/A0A8C5N1Z7/entry", "A0A8C5N1Z7")</f>
        <v/>
      </c>
      <c r="F5725" t="n">
        <v>35.1</v>
      </c>
      <c r="G5725" t="n">
        <v>134</v>
      </c>
      <c r="H5725" t="n">
        <v>9.34e-18</v>
      </c>
      <c r="I5725" t="inlineStr">
        <is>
          <t>TrEMBL</t>
        </is>
      </c>
      <c r="J5725" t="inlineStr"/>
      <c r="K5725" t="inlineStr">
        <is>
          <t>A0A8C5N1Z7_9ANUR</t>
        </is>
      </c>
      <c r="L5725" t="inlineStr">
        <is>
          <t>tr|A0A8C5N1Z7|A0A8C5N1Z7_9ANUR Reverse transcriptase domain-containing protein OS=Leptobrachium leishanense OX=445787 PE=4 SV=1</t>
        </is>
      </c>
      <c r="M5725" t="n">
        <v>471</v>
      </c>
      <c r="N5725" t="inlineStr">
        <is>
          <t>Leptobrachium leishanense</t>
        </is>
      </c>
      <c r="O5725" t="inlineStr">
        <is>
          <t>Reverse transcriptase domain-containing protein</t>
        </is>
      </c>
    </row>
    <row r="5726">
      <c r="A5726" t="inlineStr"/>
      <c r="B5726" t="inlineStr"/>
      <c r="C5726" t="inlineStr"/>
      <c r="D5726" t="inlineStr"/>
      <c r="E5726">
        <f>HYPERLINK("https://www.uniprot.org/uniprotkb/A0A8C5M1L9/entry", "A0A8C5M1L9")</f>
        <v/>
      </c>
      <c r="F5726" t="n">
        <v>35.8</v>
      </c>
      <c r="G5726" t="n">
        <v>134</v>
      </c>
      <c r="H5726" t="n">
        <v>1.16e-17</v>
      </c>
      <c r="I5726" t="inlineStr">
        <is>
          <t>TrEMBL</t>
        </is>
      </c>
      <c r="J5726" t="inlineStr"/>
      <c r="K5726" t="inlineStr">
        <is>
          <t>A0A8C5M1L9_9ANUR</t>
        </is>
      </c>
      <c r="L5726" t="inlineStr">
        <is>
          <t>tr|A0A8C5M1L9|A0A8C5M1L9_9ANUR Reverse transcriptase domain-containing protein OS=Leptobrachium leishanense OX=445787 PE=4 SV=1</t>
        </is>
      </c>
      <c r="M5726" t="n">
        <v>725</v>
      </c>
      <c r="N5726" t="inlineStr">
        <is>
          <t>Leptobrachium leishanense</t>
        </is>
      </c>
      <c r="O5726" t="inlineStr">
        <is>
          <t>Reverse transcriptase domain-containing protein</t>
        </is>
      </c>
    </row>
    <row r="5727">
      <c r="A5727" t="inlineStr"/>
      <c r="B5727" t="inlineStr"/>
      <c r="C5727" t="inlineStr"/>
      <c r="D5727" t="inlineStr"/>
      <c r="E5727">
        <f>HYPERLINK("https://www.uniprot.org/uniprotkb/A0A8C5W8X4/entry", "A0A8C5W8X4")</f>
        <v/>
      </c>
      <c r="F5727" t="n">
        <v>34.3</v>
      </c>
      <c r="G5727" t="n">
        <v>134</v>
      </c>
      <c r="H5727" t="n">
        <v>1.58e-17</v>
      </c>
      <c r="I5727" t="inlineStr">
        <is>
          <t>TrEMBL</t>
        </is>
      </c>
      <c r="J5727" t="inlineStr"/>
      <c r="K5727" t="inlineStr">
        <is>
          <t>A0A8C5W8X4_9ANUR</t>
        </is>
      </c>
      <c r="L5727" t="inlineStr">
        <is>
          <t>tr|A0A8C5W8X4|A0A8C5W8X4_9ANUR Reverse transcriptase domain-containing protein OS=Leptobrachium leishanense OX=445787 PE=4 SV=1</t>
        </is>
      </c>
      <c r="M5727" t="n">
        <v>716</v>
      </c>
      <c r="N5727" t="inlineStr">
        <is>
          <t>Leptobrachium leishanense</t>
        </is>
      </c>
      <c r="O5727" t="inlineStr">
        <is>
          <t>Reverse transcriptase domain-containing protein</t>
        </is>
      </c>
    </row>
    <row r="5728">
      <c r="A5728" t="inlineStr"/>
      <c r="B5728" t="inlineStr"/>
      <c r="C5728" t="inlineStr"/>
      <c r="D5728" t="inlineStr"/>
      <c r="E5728">
        <f>HYPERLINK("https://www.ncbi.nlm.nih.gov/gene/?term=KAF7642341.1", "KAF7642341.1")</f>
        <v/>
      </c>
      <c r="F5728" t="n">
        <v>31.1</v>
      </c>
      <c r="G5728" t="n">
        <v>148</v>
      </c>
      <c r="H5728" t="n">
        <v>1.54e-16</v>
      </c>
      <c r="I5728" t="inlineStr">
        <is>
          <t>Nr</t>
        </is>
      </c>
      <c r="J5728" t="inlineStr"/>
      <c r="K5728" t="inlineStr"/>
      <c r="L5728" t="inlineStr">
        <is>
          <t>KAF7642341.1 hypothetical protein LDENG_00259770 [Lucifuga dentata]</t>
        </is>
      </c>
      <c r="M5728" t="n">
        <v>267</v>
      </c>
      <c r="N5728" t="inlineStr">
        <is>
          <t>Lucifuga dentata</t>
        </is>
      </c>
      <c r="O5728" t="inlineStr">
        <is>
          <t>hypothetical protein LDENG_00259770</t>
        </is>
      </c>
    </row>
    <row r="5729">
      <c r="A5729" t="inlineStr"/>
      <c r="B5729" t="inlineStr"/>
      <c r="C5729" t="inlineStr"/>
      <c r="D5729" t="inlineStr"/>
      <c r="E5729">
        <f>HYPERLINK("https://www.uniprot.org/uniprotkb/A0A8C5N1S5/entry", "A0A8C5N1S5")</f>
        <v/>
      </c>
      <c r="F5729" t="n">
        <v>36.6</v>
      </c>
      <c r="G5729" t="n">
        <v>123</v>
      </c>
      <c r="H5729" t="n">
        <v>1.88e-16</v>
      </c>
      <c r="I5729" t="inlineStr">
        <is>
          <t>TrEMBL</t>
        </is>
      </c>
      <c r="J5729" t="inlineStr"/>
      <c r="K5729" t="inlineStr">
        <is>
          <t>A0A8C5N1S5_9ANUR</t>
        </is>
      </c>
      <c r="L5729" t="inlineStr">
        <is>
          <t>tr|A0A8C5N1S5|A0A8C5N1S5_9ANUR Reverse transcriptase domain-containing protein OS=Leptobrachium leishanense OX=445787 PE=4 SV=1</t>
        </is>
      </c>
      <c r="M5729" t="n">
        <v>730</v>
      </c>
      <c r="N5729" t="inlineStr">
        <is>
          <t>Leptobrachium leishanense</t>
        </is>
      </c>
      <c r="O5729" t="inlineStr">
        <is>
          <t>Reverse transcriptase domain-containing protein</t>
        </is>
      </c>
    </row>
    <row r="5730">
      <c r="A5730" t="inlineStr"/>
      <c r="B5730" t="inlineStr"/>
      <c r="C5730" t="inlineStr"/>
      <c r="D5730" t="inlineStr"/>
      <c r="E5730">
        <f>HYPERLINK("https://www.ncbi.nlm.nih.gov/gene/?term=XP_040294184.1", "XP_040294184.1")</f>
        <v/>
      </c>
      <c r="F5730" t="n">
        <v>39.4</v>
      </c>
      <c r="G5730" t="n">
        <v>137</v>
      </c>
      <c r="H5730" t="n">
        <v>2.78e-16</v>
      </c>
      <c r="I5730" t="inlineStr">
        <is>
          <t>Nr</t>
        </is>
      </c>
      <c r="J5730" t="inlineStr"/>
      <c r="K5730" t="inlineStr"/>
      <c r="L5730" t="inlineStr">
        <is>
          <t>XP_040294184.1 uncharacterized protein LOC121005481 [Bufo bufo]</t>
        </is>
      </c>
      <c r="M5730" t="n">
        <v>311</v>
      </c>
      <c r="N5730" t="inlineStr">
        <is>
          <t>Bufo bufo</t>
        </is>
      </c>
      <c r="O5730" t="inlineStr">
        <is>
          <t>uncharacterized protein LOC121005481</t>
        </is>
      </c>
    </row>
    <row r="5731">
      <c r="A5731" t="inlineStr"/>
      <c r="B5731" t="inlineStr"/>
      <c r="C5731" t="inlineStr"/>
      <c r="D5731" t="inlineStr"/>
      <c r="E5731">
        <f>HYPERLINK("https://www.uniprot.org/uniprotkb/A0A8C5N1Y7/entry", "A0A8C5N1Y7")</f>
        <v/>
      </c>
      <c r="F5731" t="n">
        <v>40</v>
      </c>
      <c r="G5731" t="n">
        <v>110</v>
      </c>
      <c r="H5731" t="n">
        <v>6.17e-16</v>
      </c>
      <c r="I5731" t="inlineStr">
        <is>
          <t>TrEMBL</t>
        </is>
      </c>
      <c r="J5731" t="inlineStr"/>
      <c r="K5731" t="inlineStr">
        <is>
          <t>A0A8C5N1Y7_9ANUR</t>
        </is>
      </c>
      <c r="L5731" t="inlineStr">
        <is>
          <t>tr|A0A8C5N1Y7|A0A8C5N1Y7_9ANUR Reverse transcriptase domain-containing protein OS=Leptobrachium leishanense OX=445787 PE=4 SV=1</t>
        </is>
      </c>
      <c r="M5731" t="n">
        <v>564</v>
      </c>
      <c r="N5731" t="inlineStr">
        <is>
          <t>Leptobrachium leishanense</t>
        </is>
      </c>
      <c r="O5731" t="inlineStr">
        <is>
          <t>Reverse transcriptase domain-containing protein</t>
        </is>
      </c>
    </row>
    <row r="5732">
      <c r="A5732" t="inlineStr"/>
      <c r="B5732" t="inlineStr"/>
      <c r="C5732" t="inlineStr"/>
      <c r="D5732" t="inlineStr"/>
      <c r="E5732">
        <f>HYPERLINK("https://www.uniprot.org/uniprotkb/A0A803JIM5/entry", "A0A803JIM5")</f>
        <v/>
      </c>
      <c r="F5732" t="n">
        <v>30.8</v>
      </c>
      <c r="G5732" t="n">
        <v>146</v>
      </c>
      <c r="H5732" t="n">
        <v>1.18e-15</v>
      </c>
      <c r="I5732" t="inlineStr">
        <is>
          <t>TrEMBL</t>
        </is>
      </c>
      <c r="J5732" t="inlineStr"/>
      <c r="K5732" t="inlineStr">
        <is>
          <t>A0A803JIM5_XENTR</t>
        </is>
      </c>
      <c r="L5732" t="inlineStr">
        <is>
          <t>tr|A0A803JIM5|A0A803JIM5_XENTR GIY-YIG domain-containing protein OS=Xenopus tropicalis OX=8364 PE=4 SV=1</t>
        </is>
      </c>
      <c r="M5732" t="n">
        <v>661</v>
      </c>
      <c r="N5732" t="inlineStr">
        <is>
          <t>Xenopus tropicalis</t>
        </is>
      </c>
      <c r="O5732" t="inlineStr">
        <is>
          <t>GIY-YIG domain-containing protein</t>
        </is>
      </c>
    </row>
    <row r="5733">
      <c r="A5733" t="inlineStr"/>
      <c r="B5733" t="inlineStr"/>
      <c r="C5733" t="inlineStr"/>
      <c r="D5733" t="inlineStr"/>
      <c r="E5733">
        <f>HYPERLINK("https://www.ncbi.nlm.nih.gov/gene/?term=XP_044141565.1", "XP_044141565.1")</f>
        <v/>
      </c>
      <c r="F5733" t="n">
        <v>37.6</v>
      </c>
      <c r="G5733" t="n">
        <v>141</v>
      </c>
      <c r="H5733" t="n">
        <v>1.27e-15</v>
      </c>
      <c r="I5733" t="inlineStr">
        <is>
          <t>Nr</t>
        </is>
      </c>
      <c r="J5733" t="inlineStr"/>
      <c r="K5733" t="inlineStr"/>
      <c r="L5733" t="inlineStr">
        <is>
          <t>XP_044141565.1 cytidine monophosphate-N-acetylneuraminic acid hydroxylase-like [Bufo gargarizans]</t>
        </is>
      </c>
      <c r="M5733" t="n">
        <v>1055</v>
      </c>
      <c r="N5733" t="inlineStr">
        <is>
          <t>Bufo gargarizans</t>
        </is>
      </c>
      <c r="O5733" t="inlineStr">
        <is>
          <t>cytidine monophosphate-N-acetylneuraminic acid hydroxylase-like</t>
        </is>
      </c>
    </row>
    <row r="5734">
      <c r="A5734" t="inlineStr"/>
      <c r="B5734" t="inlineStr"/>
      <c r="C5734" t="inlineStr"/>
      <c r="D5734" t="inlineStr"/>
      <c r="E5734">
        <f>HYPERLINK("https://www.ncbi.nlm.nih.gov/gene/?term=XP_029607817.1", "XP_029607817.1")</f>
        <v/>
      </c>
      <c r="F5734" t="n">
        <v>35.7</v>
      </c>
      <c r="G5734" t="n">
        <v>126</v>
      </c>
      <c r="H5734" t="n">
        <v>2.98e-15</v>
      </c>
      <c r="I5734" t="inlineStr">
        <is>
          <t>Nr</t>
        </is>
      </c>
      <c r="J5734" t="inlineStr"/>
      <c r="K5734" t="inlineStr"/>
      <c r="L5734" t="inlineStr">
        <is>
          <t>XP_029607817.1 uncharacterized protein LOC115192950 [Salmo trutta]</t>
        </is>
      </c>
      <c r="M5734" t="n">
        <v>289</v>
      </c>
      <c r="N5734" t="inlineStr">
        <is>
          <t>Salmo trutta</t>
        </is>
      </c>
      <c r="O5734" t="inlineStr">
        <is>
          <t>uncharacterized protein LOC115192950</t>
        </is>
      </c>
    </row>
    <row r="5735">
      <c r="A5735" t="inlineStr"/>
      <c r="B5735" t="inlineStr"/>
      <c r="C5735" t="inlineStr"/>
      <c r="D5735" t="inlineStr"/>
      <c r="E5735">
        <f>HYPERLINK("https://www.uniprot.org/uniprotkb/A0A8C5P7I8/entry", "A0A8C5P7I8")</f>
        <v/>
      </c>
      <c r="F5735" t="n">
        <v>33.3</v>
      </c>
      <c r="G5735" t="n">
        <v>141</v>
      </c>
      <c r="H5735" t="n">
        <v>3.04e-15</v>
      </c>
      <c r="I5735" t="inlineStr">
        <is>
          <t>TrEMBL</t>
        </is>
      </c>
      <c r="J5735" t="inlineStr"/>
      <c r="K5735" t="inlineStr">
        <is>
          <t>A0A8C5P7I8_9ANUR</t>
        </is>
      </c>
      <c r="L5735" t="inlineStr">
        <is>
          <t>tr|A0A8C5P7I8|A0A8C5P7I8_9ANUR Reverse transcriptase domain-containing protein OS=Leptobrachium leishanense OX=445787 PE=4 SV=1</t>
        </is>
      </c>
      <c r="M5735" t="n">
        <v>728</v>
      </c>
      <c r="N5735" t="inlineStr">
        <is>
          <t>Leptobrachium leishanense</t>
        </is>
      </c>
      <c r="O5735" t="inlineStr">
        <is>
          <t>Reverse transcriptase domain-containing protein</t>
        </is>
      </c>
    </row>
    <row r="5736">
      <c r="A5736" t="inlineStr"/>
      <c r="B5736" t="inlineStr"/>
      <c r="C5736" t="inlineStr"/>
      <c r="D5736" t="inlineStr"/>
      <c r="E5736">
        <f>HYPERLINK("https://www.uniprot.org/uniprotkb/A0A8C5PX07/entry", "A0A8C5PX07")</f>
        <v/>
      </c>
      <c r="F5736" t="n">
        <v>31.5</v>
      </c>
      <c r="G5736" t="n">
        <v>143</v>
      </c>
      <c r="H5736" t="n">
        <v>3.79e-15</v>
      </c>
      <c r="I5736" t="inlineStr">
        <is>
          <t>TrEMBL</t>
        </is>
      </c>
      <c r="J5736" t="inlineStr"/>
      <c r="K5736" t="inlineStr">
        <is>
          <t>A0A8C5PX07_9ANUR</t>
        </is>
      </c>
      <c r="L5736" t="inlineStr">
        <is>
          <t>tr|A0A8C5PX07|A0A8C5PX07_9ANUR Reverse transcriptase domain-containing protein OS=Leptobrachium leishanense OX=445787 PE=4 SV=1</t>
        </is>
      </c>
      <c r="M5736" t="n">
        <v>504</v>
      </c>
      <c r="N5736" t="inlineStr">
        <is>
          <t>Leptobrachium leishanense</t>
        </is>
      </c>
      <c r="O5736" t="inlineStr">
        <is>
          <t>Reverse transcriptase domain-containing protein</t>
        </is>
      </c>
    </row>
    <row r="5737">
      <c r="A5737" t="inlineStr"/>
      <c r="B5737" t="inlineStr"/>
      <c r="C5737" t="inlineStr"/>
      <c r="D5737" t="inlineStr"/>
      <c r="E5737">
        <f>HYPERLINK("https://www.uniprot.org/uniprotkb/A0A8C5R1Q4/entry", "A0A8C5R1Q4")</f>
        <v/>
      </c>
      <c r="F5737" t="n">
        <v>31.5</v>
      </c>
      <c r="G5737" t="n">
        <v>143</v>
      </c>
      <c r="H5737" t="n">
        <v>3.96e-15</v>
      </c>
      <c r="I5737" t="inlineStr">
        <is>
          <t>TrEMBL</t>
        </is>
      </c>
      <c r="J5737" t="inlineStr"/>
      <c r="K5737" t="inlineStr">
        <is>
          <t>A0A8C5R1Q4_9ANUR</t>
        </is>
      </c>
      <c r="L5737" t="inlineStr">
        <is>
          <t>tr|A0A8C5R1Q4|A0A8C5R1Q4_9ANUR Reverse transcriptase domain-containing protein OS=Leptobrachium leishanense OX=445787 PE=4 SV=1</t>
        </is>
      </c>
      <c r="M5737" t="n">
        <v>564</v>
      </c>
      <c r="N5737" t="inlineStr">
        <is>
          <t>Leptobrachium leishanense</t>
        </is>
      </c>
      <c r="O5737" t="inlineStr">
        <is>
          <t>Reverse transcriptase domain-containing protein</t>
        </is>
      </c>
    </row>
    <row r="5738">
      <c r="A5738" t="inlineStr"/>
      <c r="B5738" t="inlineStr"/>
      <c r="C5738" t="inlineStr"/>
      <c r="D5738" t="inlineStr"/>
      <c r="E5738">
        <f>HYPERLINK("https://www.ncbi.nlm.nih.gov/gene/?term=XP_044135914.1", "XP_044135914.1")</f>
        <v/>
      </c>
      <c r="F5738" t="n">
        <v>38.6</v>
      </c>
      <c r="G5738" t="n">
        <v>114</v>
      </c>
      <c r="H5738" t="n">
        <v>8.049999999999999e-15</v>
      </c>
      <c r="I5738" t="inlineStr">
        <is>
          <t>Nr</t>
        </is>
      </c>
      <c r="J5738" t="inlineStr"/>
      <c r="K5738" t="inlineStr"/>
      <c r="L5738" t="inlineStr">
        <is>
          <t>XP_044135914.1 uncharacterized protein LOC122927779 [Bufo gargarizans]</t>
        </is>
      </c>
      <c r="M5738" t="n">
        <v>418</v>
      </c>
      <c r="N5738" t="inlineStr">
        <is>
          <t>Bufo gargarizans</t>
        </is>
      </c>
      <c r="O5738" t="inlineStr">
        <is>
          <t>uncharacterized protein LOC122927779</t>
        </is>
      </c>
    </row>
    <row r="5739">
      <c r="A5739" t="inlineStr"/>
      <c r="B5739" t="inlineStr"/>
      <c r="C5739" t="inlineStr"/>
      <c r="D5739" t="inlineStr"/>
      <c r="E5739">
        <f>HYPERLINK("https://www.uniprot.org/uniprotkb/A0A8J1LC42/entry", "A0A8J1LC42")</f>
        <v/>
      </c>
      <c r="F5739" t="n">
        <v>30.4</v>
      </c>
      <c r="G5739" t="n">
        <v>138</v>
      </c>
      <c r="H5739" t="n">
        <v>9.79e-15</v>
      </c>
      <c r="I5739" t="inlineStr">
        <is>
          <t>TrEMBL</t>
        </is>
      </c>
      <c r="J5739" t="inlineStr">
        <is>
          <t>LOC121396317</t>
        </is>
      </c>
      <c r="K5739" t="inlineStr">
        <is>
          <t>A0A8J1LC42_XENLA</t>
        </is>
      </c>
      <c r="L5739" t="inlineStr">
        <is>
          <t>tr|A0A8J1LC42|A0A8J1LC42_XENLA uncharacterized protein LOC121396317 OS=Xenopus laevis OX=8355 GN=LOC121396317 PE=4 SV=1</t>
        </is>
      </c>
      <c r="M5739" t="n">
        <v>525</v>
      </c>
      <c r="N5739" t="inlineStr">
        <is>
          <t>Xenopus laevis</t>
        </is>
      </c>
      <c r="O5739" t="inlineStr">
        <is>
          <t>uncharacterized protein LOC121396317</t>
        </is>
      </c>
    </row>
    <row r="5740">
      <c r="A5740" t="inlineStr"/>
      <c r="B5740" t="inlineStr"/>
      <c r="C5740" t="inlineStr"/>
      <c r="D5740" t="inlineStr"/>
      <c r="E5740">
        <f>HYPERLINK("https://www.uniprot.org/uniprotkb/A0A8J1MJP0/entry", "A0A8J1MJP0")</f>
        <v/>
      </c>
      <c r="F5740" t="n">
        <v>30.4</v>
      </c>
      <c r="G5740" t="n">
        <v>138</v>
      </c>
      <c r="H5740" t="n">
        <v>1.02e-14</v>
      </c>
      <c r="I5740" t="inlineStr">
        <is>
          <t>TrEMBL</t>
        </is>
      </c>
      <c r="J5740" t="inlineStr">
        <is>
          <t>LOC121401420</t>
        </is>
      </c>
      <c r="K5740" t="inlineStr">
        <is>
          <t>A0A8J1MJP0_XENLA</t>
        </is>
      </c>
      <c r="L5740" t="inlineStr">
        <is>
          <t>tr|A0A8J1MJP0|A0A8J1MJP0_XENLA uncharacterized protein LOC121401420 OS=Xenopus laevis OX=8355 GN=LOC121401420 PE=4 SV=1</t>
        </is>
      </c>
      <c r="M5740" t="n">
        <v>609</v>
      </c>
      <c r="N5740" t="inlineStr">
        <is>
          <t>Xenopus laevis</t>
        </is>
      </c>
      <c r="O5740" t="inlineStr">
        <is>
          <t>uncharacterized protein LOC121401420</t>
        </is>
      </c>
    </row>
    <row r="5741">
      <c r="A5741" t="inlineStr"/>
      <c r="B5741" t="inlineStr"/>
      <c r="C5741" t="inlineStr"/>
      <c r="D5741" t="inlineStr"/>
      <c r="E5741">
        <f>HYPERLINK("https://www.uniprot.org/uniprotkb/A0A8J1M256/entry", "A0A8J1M256")</f>
        <v/>
      </c>
      <c r="F5741" t="n">
        <v>30.4</v>
      </c>
      <c r="G5741" t="n">
        <v>138</v>
      </c>
      <c r="H5741" t="n">
        <v>1.03e-14</v>
      </c>
      <c r="I5741" t="inlineStr">
        <is>
          <t>TrEMBL</t>
        </is>
      </c>
      <c r="J5741" t="inlineStr">
        <is>
          <t>LOC121399279</t>
        </is>
      </c>
      <c r="K5741" t="inlineStr">
        <is>
          <t>A0A8J1M256_XENLA</t>
        </is>
      </c>
      <c r="L5741" t="inlineStr">
        <is>
          <t>tr|A0A8J1M256|A0A8J1M256_XENLA uncharacterized protein LOC121399279 OS=Xenopus laevis OX=8355 GN=LOC121399279 PE=4 SV=1</t>
        </is>
      </c>
      <c r="M5741" t="n">
        <v>663</v>
      </c>
      <c r="N5741" t="inlineStr">
        <is>
          <t>Xenopus laevis</t>
        </is>
      </c>
      <c r="O5741" t="inlineStr">
        <is>
          <t>uncharacterized protein LOC121399279</t>
        </is>
      </c>
    </row>
    <row r="5742">
      <c r="A5742" t="inlineStr"/>
      <c r="B5742" t="inlineStr"/>
      <c r="C5742" t="inlineStr"/>
      <c r="D5742" t="inlineStr"/>
      <c r="E5742">
        <f>HYPERLINK("https://www.uniprot.org/uniprotkb/A0A8J1MKG7/entry", "A0A8J1MKG7")</f>
        <v/>
      </c>
      <c r="F5742" t="n">
        <v>30.4</v>
      </c>
      <c r="G5742" t="n">
        <v>138</v>
      </c>
      <c r="H5742" t="n">
        <v>1.04e-14</v>
      </c>
      <c r="I5742" t="inlineStr">
        <is>
          <t>TrEMBL</t>
        </is>
      </c>
      <c r="J5742" t="inlineStr">
        <is>
          <t>LOC121401419</t>
        </is>
      </c>
      <c r="K5742" t="inlineStr">
        <is>
          <t>A0A8J1MKG7_XENLA</t>
        </is>
      </c>
      <c r="L5742" t="inlineStr">
        <is>
          <t>tr|A0A8J1MKG7|A0A8J1MKG7_XENLA uncharacterized protein LOC121401419 OS=Xenopus laevis OX=8355 GN=LOC121401419 PE=4 SV=1</t>
        </is>
      </c>
      <c r="M5742" t="n">
        <v>688</v>
      </c>
      <c r="N5742" t="inlineStr">
        <is>
          <t>Xenopus laevis</t>
        </is>
      </c>
      <c r="O5742" t="inlineStr">
        <is>
          <t>uncharacterized protein LOC121401419</t>
        </is>
      </c>
    </row>
    <row r="5743">
      <c r="A5743" t="inlineStr"/>
      <c r="B5743" t="inlineStr"/>
      <c r="C5743" t="inlineStr"/>
      <c r="D5743" t="inlineStr"/>
      <c r="E5743">
        <f>HYPERLINK("https://www.uniprot.org/uniprotkb/A0A8J1KSI6/entry", "A0A8J1KSI6")</f>
        <v/>
      </c>
      <c r="F5743" t="n">
        <v>30.4</v>
      </c>
      <c r="G5743" t="n">
        <v>138</v>
      </c>
      <c r="H5743" t="n">
        <v>1.04e-14</v>
      </c>
      <c r="I5743" t="inlineStr">
        <is>
          <t>TrEMBL</t>
        </is>
      </c>
      <c r="J5743" t="inlineStr">
        <is>
          <t>LOC121394168</t>
        </is>
      </c>
      <c r="K5743" t="inlineStr">
        <is>
          <t>A0A8J1KSI6_XENLA</t>
        </is>
      </c>
      <c r="L5743" t="inlineStr">
        <is>
          <t>tr|A0A8J1KSI6|A0A8J1KSI6_XENLA uncharacterized protein LOC121394168 OS=Xenopus laevis OX=8355 GN=LOC121394168 PE=4 SV=1</t>
        </is>
      </c>
      <c r="M5743" t="n">
        <v>699</v>
      </c>
      <c r="N5743" t="inlineStr">
        <is>
          <t>Xenopus laevis</t>
        </is>
      </c>
      <c r="O5743" t="inlineStr">
        <is>
          <t>uncharacterized protein LOC121394168</t>
        </is>
      </c>
    </row>
    <row r="5744">
      <c r="A5744" t="inlineStr"/>
      <c r="B5744" t="inlineStr"/>
      <c r="C5744" t="inlineStr"/>
      <c r="D5744" t="inlineStr"/>
      <c r="E5744">
        <f>HYPERLINK("https://www.ncbi.nlm.nih.gov/gene/?term=XP_044147138.1", "XP_044147138.1")</f>
        <v/>
      </c>
      <c r="F5744" t="n">
        <v>38.6</v>
      </c>
      <c r="G5744" t="n">
        <v>114</v>
      </c>
      <c r="H5744" t="n">
        <v>1.05e-14</v>
      </c>
      <c r="I5744" t="inlineStr">
        <is>
          <t>Nr</t>
        </is>
      </c>
      <c r="J5744" t="inlineStr"/>
      <c r="K5744" t="inlineStr"/>
      <c r="L5744" t="inlineStr">
        <is>
          <t>XP_044147138.1 uncharacterized protein LOC122935434 [Bufo gargarizans]</t>
        </is>
      </c>
      <c r="M5744" t="n">
        <v>650</v>
      </c>
      <c r="N5744" t="inlineStr">
        <is>
          <t>Bufo gargarizans</t>
        </is>
      </c>
      <c r="O5744" t="inlineStr">
        <is>
          <t>uncharacterized protein LOC122935434</t>
        </is>
      </c>
    </row>
    <row r="5745">
      <c r="A5745" t="inlineStr"/>
      <c r="B5745" t="inlineStr"/>
      <c r="C5745" t="inlineStr"/>
      <c r="D5745" t="inlineStr"/>
      <c r="E5745">
        <f>HYPERLINK("https://www.ncbi.nlm.nih.gov/gene/?term=XP_040196440.1", "XP_040196440.1")</f>
        <v/>
      </c>
      <c r="F5745" t="n">
        <v>34.9</v>
      </c>
      <c r="G5745" t="n">
        <v>126</v>
      </c>
      <c r="H5745" t="n">
        <v>1.07e-14</v>
      </c>
      <c r="I5745" t="inlineStr">
        <is>
          <t>Nr</t>
        </is>
      </c>
      <c r="J5745" t="inlineStr"/>
      <c r="K5745" t="inlineStr"/>
      <c r="L5745" t="inlineStr">
        <is>
          <t>XP_040196440.1 uncharacterized protein LOC120929221 [Rana temporaria]</t>
        </is>
      </c>
      <c r="M5745" t="n">
        <v>742</v>
      </c>
      <c r="N5745" t="inlineStr">
        <is>
          <t>Rana temporaria</t>
        </is>
      </c>
      <c r="O5745" t="inlineStr">
        <is>
          <t>uncharacterized protein LOC120929221</t>
        </is>
      </c>
    </row>
    <row r="5746">
      <c r="A5746" t="inlineStr"/>
      <c r="B5746" t="inlineStr"/>
      <c r="C5746" t="inlineStr"/>
      <c r="D5746" t="inlineStr"/>
      <c r="E5746">
        <f>HYPERLINK("https://www.ncbi.nlm.nih.gov/gene/?term=XP_041427092.1", "XP_041427092.1")</f>
        <v/>
      </c>
      <c r="F5746" t="n">
        <v>30.4</v>
      </c>
      <c r="G5746" t="n">
        <v>138</v>
      </c>
      <c r="H5746" t="n">
        <v>2.51e-14</v>
      </c>
      <c r="I5746" t="inlineStr">
        <is>
          <t>Nr</t>
        </is>
      </c>
      <c r="J5746" t="inlineStr"/>
      <c r="K5746" t="inlineStr"/>
      <c r="L5746" t="inlineStr">
        <is>
          <t>XP_041427092.1 uncharacterized protein LOC121396317 [Xenopus laevis]</t>
        </is>
      </c>
      <c r="M5746" t="n">
        <v>525</v>
      </c>
      <c r="N5746" t="inlineStr">
        <is>
          <t>Xenopus laevis</t>
        </is>
      </c>
      <c r="O5746" t="inlineStr">
        <is>
          <t>uncharacterized protein LOC121396317</t>
        </is>
      </c>
    </row>
    <row r="5747">
      <c r="A5747" t="inlineStr"/>
      <c r="B5747" t="inlineStr"/>
      <c r="C5747" t="inlineStr"/>
      <c r="D5747" t="inlineStr"/>
      <c r="E5747">
        <f>HYPERLINK("https://www.uniprot.org/uniprotkb/A0A8J1L614/entry", "A0A8J1L614")</f>
        <v/>
      </c>
      <c r="F5747" t="n">
        <v>30.4</v>
      </c>
      <c r="G5747" t="n">
        <v>138</v>
      </c>
      <c r="H5747" t="n">
        <v>2.57e-14</v>
      </c>
      <c r="I5747" t="inlineStr">
        <is>
          <t>TrEMBL</t>
        </is>
      </c>
      <c r="J5747" t="inlineStr">
        <is>
          <t>LOC121395471</t>
        </is>
      </c>
      <c r="K5747" t="inlineStr">
        <is>
          <t>A0A8J1L614_XENLA</t>
        </is>
      </c>
      <c r="L5747" t="inlineStr">
        <is>
          <t>tr|A0A8J1L614|A0A8J1L614_XENLA uncharacterized protein LOC121395471 OS=Xenopus laevis OX=8355 GN=LOC121395471 PE=4 SV=1</t>
        </is>
      </c>
      <c r="M5747" t="n">
        <v>608</v>
      </c>
      <c r="N5747" t="inlineStr">
        <is>
          <t>Xenopus laevis</t>
        </is>
      </c>
      <c r="O5747" t="inlineStr">
        <is>
          <t>uncharacterized protein LOC121395471</t>
        </is>
      </c>
    </row>
    <row r="5748">
      <c r="A5748" t="inlineStr"/>
      <c r="B5748" t="inlineStr"/>
      <c r="C5748" t="inlineStr"/>
      <c r="D5748" t="inlineStr"/>
      <c r="E5748">
        <f>HYPERLINK("https://www.ncbi.nlm.nih.gov/gene/?term=XP_041441974.1", "XP_041441974.1")</f>
        <v/>
      </c>
      <c r="F5748" t="n">
        <v>30.4</v>
      </c>
      <c r="G5748" t="n">
        <v>138</v>
      </c>
      <c r="H5748" t="n">
        <v>2.61e-14</v>
      </c>
      <c r="I5748" t="inlineStr">
        <is>
          <t>Nr</t>
        </is>
      </c>
      <c r="J5748" t="inlineStr"/>
      <c r="K5748" t="inlineStr"/>
      <c r="L5748" t="inlineStr">
        <is>
          <t>XP_041441974.1 uncharacterized protein LOC121401420 [Xenopus laevis]</t>
        </is>
      </c>
      <c r="M5748" t="n">
        <v>609</v>
      </c>
      <c r="N5748" t="inlineStr">
        <is>
          <t>Xenopus laevis</t>
        </is>
      </c>
      <c r="O5748" t="inlineStr">
        <is>
          <t>uncharacterized protein LOC121401420</t>
        </is>
      </c>
    </row>
    <row r="5749">
      <c r="A5749" t="inlineStr"/>
      <c r="B5749" t="inlineStr"/>
      <c r="C5749" t="inlineStr"/>
      <c r="D5749" t="inlineStr"/>
      <c r="E5749">
        <f>HYPERLINK("https://www.uniprot.org/uniprotkb/A0A8J1LMJ6/entry", "A0A8J1LMJ6")</f>
        <v/>
      </c>
      <c r="F5749" t="n">
        <v>29.2</v>
      </c>
      <c r="G5749" t="n">
        <v>130</v>
      </c>
      <c r="H5749" t="n">
        <v>2.64e-14</v>
      </c>
      <c r="I5749" t="inlineStr">
        <is>
          <t>TrEMBL</t>
        </is>
      </c>
      <c r="J5749" t="inlineStr">
        <is>
          <t>LOC108700086</t>
        </is>
      </c>
      <c r="K5749" t="inlineStr">
        <is>
          <t>A0A8J1LMJ6_XENLA</t>
        </is>
      </c>
      <c r="L5749" t="inlineStr">
        <is>
          <t>tr|A0A8J1LMJ6|A0A8J1LMJ6_XENLA uncharacterized protein LOC108700086 OS=Xenopus laevis OX=8355 GN=LOC108700086 PE=4 SV=1</t>
        </is>
      </c>
      <c r="M5749" t="n">
        <v>703</v>
      </c>
      <c r="N5749" t="inlineStr">
        <is>
          <t>Xenopus laevis</t>
        </is>
      </c>
      <c r="O5749" t="inlineStr">
        <is>
          <t>uncharacterized protein LOC108700086</t>
        </is>
      </c>
    </row>
    <row r="5750">
      <c r="A5750" t="inlineStr"/>
      <c r="B5750" t="inlineStr"/>
      <c r="C5750" t="inlineStr"/>
      <c r="D5750" t="inlineStr"/>
      <c r="E5750">
        <f>HYPERLINK("https://www.ncbi.nlm.nih.gov/gene/?term=XP_041435406.1", "XP_041435406.1")</f>
        <v/>
      </c>
      <c r="F5750" t="n">
        <v>30.4</v>
      </c>
      <c r="G5750" t="n">
        <v>138</v>
      </c>
      <c r="H5750" t="n">
        <v>2.65e-14</v>
      </c>
      <c r="I5750" t="inlineStr">
        <is>
          <t>Nr</t>
        </is>
      </c>
      <c r="J5750" t="inlineStr"/>
      <c r="K5750" t="inlineStr"/>
      <c r="L5750" t="inlineStr">
        <is>
          <t>XP_041435406.1 uncharacterized protein LOC121399279 [Xenopus laevis]</t>
        </is>
      </c>
      <c r="M5750" t="n">
        <v>663</v>
      </c>
      <c r="N5750" t="inlineStr">
        <is>
          <t>Xenopus laevis</t>
        </is>
      </c>
      <c r="O5750" t="inlineStr">
        <is>
          <t>uncharacterized protein LOC121399279</t>
        </is>
      </c>
    </row>
    <row r="5751">
      <c r="A5751" t="inlineStr"/>
      <c r="B5751" t="inlineStr"/>
      <c r="C5751" t="inlineStr"/>
      <c r="D5751" t="inlineStr"/>
      <c r="E5751">
        <f>HYPERLINK("https://www.ncbi.nlm.nih.gov/gene/?term=XP_041441973.1", "XP_041441973.1")</f>
        <v/>
      </c>
      <c r="F5751" t="n">
        <v>30.4</v>
      </c>
      <c r="G5751" t="n">
        <v>138</v>
      </c>
      <c r="H5751" t="n">
        <v>2.67e-14</v>
      </c>
      <c r="I5751" t="inlineStr">
        <is>
          <t>Nr</t>
        </is>
      </c>
      <c r="J5751" t="inlineStr"/>
      <c r="K5751" t="inlineStr"/>
      <c r="L5751" t="inlineStr">
        <is>
          <t>XP_041441973.1 uncharacterized protein LOC121401419 [Xenopus laevis]</t>
        </is>
      </c>
      <c r="M5751" t="n">
        <v>688</v>
      </c>
      <c r="N5751" t="inlineStr">
        <is>
          <t>Xenopus laevis</t>
        </is>
      </c>
      <c r="O5751" t="inlineStr">
        <is>
          <t>uncharacterized protein LOC121401419</t>
        </is>
      </c>
    </row>
    <row r="5752">
      <c r="A5752" t="inlineStr"/>
      <c r="B5752" t="inlineStr"/>
      <c r="C5752" t="inlineStr"/>
      <c r="D5752" t="inlineStr"/>
      <c r="E5752">
        <f>HYPERLINK("https://www.ncbi.nlm.nih.gov/gene/?term=XP_041420270.1", "XP_041420270.1")</f>
        <v/>
      </c>
      <c r="F5752" t="n">
        <v>30.4</v>
      </c>
      <c r="G5752" t="n">
        <v>138</v>
      </c>
      <c r="H5752" t="n">
        <v>2.67e-14</v>
      </c>
      <c r="I5752" t="inlineStr">
        <is>
          <t>Nr</t>
        </is>
      </c>
      <c r="J5752" t="inlineStr"/>
      <c r="K5752" t="inlineStr"/>
      <c r="L5752" t="inlineStr">
        <is>
          <t>XP_041420270.1 uncharacterized protein LOC121394168 [Xenopus laevis]</t>
        </is>
      </c>
      <c r="M5752" t="n">
        <v>699</v>
      </c>
      <c r="N5752" t="inlineStr">
        <is>
          <t>Xenopus laevis</t>
        </is>
      </c>
      <c r="O5752" t="inlineStr">
        <is>
          <t>uncharacterized protein LOC121394168</t>
        </is>
      </c>
    </row>
    <row r="5753">
      <c r="A5753" t="inlineStr"/>
      <c r="B5753" t="inlineStr"/>
      <c r="C5753" t="inlineStr"/>
      <c r="D5753" t="inlineStr"/>
      <c r="E5753">
        <f>HYPERLINK("https://www.ncbi.nlm.nih.gov/gene/?term=XP_040183651.1", "XP_040183651.1")</f>
        <v/>
      </c>
      <c r="F5753" t="n">
        <v>32.8</v>
      </c>
      <c r="G5753" t="n">
        <v>128</v>
      </c>
      <c r="H5753" t="n">
        <v>2.83e-14</v>
      </c>
      <c r="I5753" t="inlineStr">
        <is>
          <t>Nr</t>
        </is>
      </c>
      <c r="J5753" t="inlineStr"/>
      <c r="K5753" t="inlineStr"/>
      <c r="L5753" t="inlineStr">
        <is>
          <t>XP_040183651.1 uncharacterized protein LOC120916780 [Rana temporaria]</t>
        </is>
      </c>
      <c r="M5753" t="n">
        <v>1154</v>
      </c>
      <c r="N5753" t="inlineStr">
        <is>
          <t>Rana temporaria</t>
        </is>
      </c>
      <c r="O5753" t="inlineStr">
        <is>
          <t>uncharacterized protein LOC120916780</t>
        </is>
      </c>
    </row>
    <row r="5754">
      <c r="A5754" t="inlineStr"/>
      <c r="B5754" t="inlineStr"/>
      <c r="C5754" t="inlineStr"/>
      <c r="D5754" t="inlineStr"/>
      <c r="E5754">
        <f>HYPERLINK("https://www.uniprot.org/uniprotkb/A0A8J1KSS4/entry", "A0A8J1KSS4")</f>
        <v/>
      </c>
      <c r="F5754" t="n">
        <v>33.3</v>
      </c>
      <c r="G5754" t="n">
        <v>120</v>
      </c>
      <c r="H5754" t="n">
        <v>4.78e-14</v>
      </c>
      <c r="I5754" t="inlineStr">
        <is>
          <t>TrEMBL</t>
        </is>
      </c>
      <c r="J5754" t="inlineStr">
        <is>
          <t>LOC121394191</t>
        </is>
      </c>
      <c r="K5754" t="inlineStr">
        <is>
          <t>A0A8J1KSS4_XENLA</t>
        </is>
      </c>
      <c r="L5754" t="inlineStr">
        <is>
          <t>tr|A0A8J1KSS4|A0A8J1KSS4_XENLA uncharacterized protein LOC121394191 OS=Xenopus laevis OX=8355 GN=LOC121394191 PE=4 SV=1</t>
        </is>
      </c>
      <c r="M5754" t="n">
        <v>613</v>
      </c>
      <c r="N5754" t="inlineStr">
        <is>
          <t>Xenopus laevis</t>
        </is>
      </c>
      <c r="O5754" t="inlineStr">
        <is>
          <t>uncharacterized protein LOC121394191</t>
        </is>
      </c>
    </row>
    <row r="5755">
      <c r="A5755" t="inlineStr"/>
      <c r="B5755" t="inlineStr"/>
      <c r="C5755" t="inlineStr"/>
      <c r="D5755" t="inlineStr"/>
      <c r="E5755">
        <f>HYPERLINK("https://www.ncbi.nlm.nih.gov/gene/?term=XP_040188254.1", "XP_040188254.1")</f>
        <v/>
      </c>
      <c r="F5755" t="n">
        <v>30.4</v>
      </c>
      <c r="G5755" t="n">
        <v>138</v>
      </c>
      <c r="H5755" t="n">
        <v>4.87e-14</v>
      </c>
      <c r="I5755" t="inlineStr">
        <is>
          <t>Nr</t>
        </is>
      </c>
      <c r="J5755" t="inlineStr"/>
      <c r="K5755" t="inlineStr"/>
      <c r="L5755" t="inlineStr">
        <is>
          <t>XP_040188254.1 uncharacterized protein LOC120920313 [Rana temporaria]</t>
        </is>
      </c>
      <c r="M5755" t="n">
        <v>618</v>
      </c>
      <c r="N5755" t="inlineStr">
        <is>
          <t>Rana temporaria</t>
        </is>
      </c>
      <c r="O5755" t="inlineStr">
        <is>
          <t>uncharacterized protein LOC120920313</t>
        </is>
      </c>
    </row>
    <row r="5756">
      <c r="A5756" t="inlineStr"/>
      <c r="B5756" t="inlineStr"/>
      <c r="C5756" t="inlineStr"/>
      <c r="D5756" t="inlineStr"/>
      <c r="E5756">
        <f>HYPERLINK("https://www.ncbi.nlm.nih.gov/gene/?term=XP_040179872.1", "XP_040179872.1")</f>
        <v/>
      </c>
      <c r="F5756" t="n">
        <v>36.1</v>
      </c>
      <c r="G5756" t="n">
        <v>133</v>
      </c>
      <c r="H5756" t="n">
        <v>5.02e-14</v>
      </c>
      <c r="I5756" t="inlineStr">
        <is>
          <t>Nr</t>
        </is>
      </c>
      <c r="J5756" t="inlineStr"/>
      <c r="K5756" t="inlineStr"/>
      <c r="L5756" t="inlineStr">
        <is>
          <t>XP_040179872.1 uncharacterized protein LOC120913749 [Rana temporaria]</t>
        </is>
      </c>
      <c r="M5756" t="n">
        <v>761</v>
      </c>
      <c r="N5756" t="inlineStr">
        <is>
          <t>Rana temporaria</t>
        </is>
      </c>
      <c r="O5756" t="inlineStr">
        <is>
          <t>uncharacterized protein LOC120913749</t>
        </is>
      </c>
    </row>
    <row r="5757">
      <c r="A5757" t="inlineStr"/>
      <c r="B5757" t="inlineStr"/>
      <c r="C5757" t="inlineStr"/>
      <c r="D5757" t="inlineStr"/>
      <c r="E5757">
        <f>HYPERLINK("https://www.ncbi.nlm.nih.gov/gene/?term=XP_040189948.1", "XP_040189948.1")</f>
        <v/>
      </c>
      <c r="F5757" t="n">
        <v>33.8</v>
      </c>
      <c r="G5757" t="n">
        <v>142</v>
      </c>
      <c r="H5757" t="n">
        <v>5.28e-14</v>
      </c>
      <c r="I5757" t="inlineStr">
        <is>
          <t>Nr</t>
        </is>
      </c>
      <c r="J5757" t="inlineStr"/>
      <c r="K5757" t="inlineStr"/>
      <c r="L5757" t="inlineStr">
        <is>
          <t>XP_040189948.1 extracellular calcium-sensing receptor-like [Rana temporaria]</t>
        </is>
      </c>
      <c r="M5757" t="n">
        <v>1218</v>
      </c>
      <c r="N5757" t="inlineStr">
        <is>
          <t>Rana temporaria</t>
        </is>
      </c>
      <c r="O5757" t="inlineStr">
        <is>
          <t>extracellular calcium-sensing receptor-like</t>
        </is>
      </c>
    </row>
    <row r="5758">
      <c r="A5758" t="inlineStr"/>
      <c r="B5758" t="inlineStr"/>
      <c r="C5758" t="inlineStr"/>
      <c r="D5758" t="inlineStr"/>
      <c r="E5758">
        <f>HYPERLINK("https://www.ncbi.nlm.nih.gov/gene/?term=XP_041424973.1", "XP_041424973.1")</f>
        <v/>
      </c>
      <c r="F5758" t="n">
        <v>30.4</v>
      </c>
      <c r="G5758" t="n">
        <v>138</v>
      </c>
      <c r="H5758" t="n">
        <v>6.61e-14</v>
      </c>
      <c r="I5758" t="inlineStr">
        <is>
          <t>Nr</t>
        </is>
      </c>
      <c r="J5758" t="inlineStr"/>
      <c r="K5758" t="inlineStr"/>
      <c r="L5758" t="inlineStr">
        <is>
          <t>XP_041424973.1 uncharacterized protein LOC121395471 [Xenopus laevis]</t>
        </is>
      </c>
      <c r="M5758" t="n">
        <v>608</v>
      </c>
      <c r="N5758" t="inlineStr">
        <is>
          <t>Xenopus laevis</t>
        </is>
      </c>
      <c r="O5758" t="inlineStr">
        <is>
          <t>uncharacterized protein LOC121395471</t>
        </is>
      </c>
    </row>
    <row r="5759">
      <c r="A5759" t="inlineStr"/>
      <c r="B5759" t="inlineStr"/>
      <c r="C5759" t="inlineStr"/>
      <c r="D5759" t="inlineStr"/>
      <c r="E5759">
        <f>HYPERLINK("https://www.ncbi.nlm.nih.gov/gene/?term=XP_041430795.1", "XP_041430795.1")</f>
        <v/>
      </c>
      <c r="F5759" t="n">
        <v>29.2</v>
      </c>
      <c r="G5759" t="n">
        <v>130</v>
      </c>
      <c r="H5759" t="n">
        <v>6.77e-14</v>
      </c>
      <c r="I5759" t="inlineStr">
        <is>
          <t>Nr</t>
        </is>
      </c>
      <c r="J5759" t="inlineStr"/>
      <c r="K5759" t="inlineStr"/>
      <c r="L5759" t="inlineStr">
        <is>
          <t>XP_041430795.1 uncharacterized protein LOC108700086 [Xenopus laevis]</t>
        </is>
      </c>
      <c r="M5759" t="n">
        <v>703</v>
      </c>
      <c r="N5759" t="inlineStr">
        <is>
          <t>Xenopus laevis</t>
        </is>
      </c>
      <c r="O5759" t="inlineStr">
        <is>
          <t>uncharacterized protein LOC108700086</t>
        </is>
      </c>
    </row>
    <row r="5760">
      <c r="A5760" t="inlineStr"/>
      <c r="B5760" t="inlineStr"/>
      <c r="C5760" t="inlineStr"/>
      <c r="D5760" t="inlineStr"/>
      <c r="E5760">
        <f>HYPERLINK("https://www.uniprot.org/uniprotkb/A0A803JSK4/entry", "A0A803JSK4")</f>
        <v/>
      </c>
      <c r="F5760" t="n">
        <v>29</v>
      </c>
      <c r="G5760" t="n">
        <v>124</v>
      </c>
      <c r="H5760" t="n">
        <v>1.22e-13</v>
      </c>
      <c r="I5760" t="inlineStr">
        <is>
          <t>TrEMBL</t>
        </is>
      </c>
      <c r="J5760" t="inlineStr"/>
      <c r="K5760" t="inlineStr">
        <is>
          <t>A0A803JSK4_XENTR</t>
        </is>
      </c>
      <c r="L5760" t="inlineStr">
        <is>
          <t>tr|A0A803JSK4|A0A803JSK4_XENTR Reverse transcriptase domain-containing protein OS=Xenopus tropicalis OX=8364 PE=4 SV=1</t>
        </is>
      </c>
      <c r="M5760" t="n">
        <v>639</v>
      </c>
      <c r="N5760" t="inlineStr">
        <is>
          <t>Xenopus tropicalis</t>
        </is>
      </c>
      <c r="O5760" t="inlineStr">
        <is>
          <t>Reverse transcriptase domain-containing protein</t>
        </is>
      </c>
    </row>
    <row r="5761">
      <c r="A5761" t="inlineStr"/>
      <c r="B5761" t="inlineStr"/>
      <c r="C5761" t="inlineStr"/>
      <c r="D5761" t="inlineStr"/>
      <c r="E5761">
        <f>HYPERLINK("https://www.ncbi.nlm.nih.gov/gene/?term=XP_041420361.1", "XP_041420361.1")</f>
        <v/>
      </c>
      <c r="F5761" t="n">
        <v>33.3</v>
      </c>
      <c r="G5761" t="n">
        <v>120</v>
      </c>
      <c r="H5761" t="n">
        <v>1.23e-13</v>
      </c>
      <c r="I5761" t="inlineStr">
        <is>
          <t>Nr</t>
        </is>
      </c>
      <c r="J5761" t="inlineStr"/>
      <c r="K5761" t="inlineStr"/>
      <c r="L5761" t="inlineStr">
        <is>
          <t>XP_041420361.1 uncharacterized protein LOC121394191 [Xenopus laevis]</t>
        </is>
      </c>
      <c r="M5761" t="n">
        <v>613</v>
      </c>
      <c r="N5761" t="inlineStr">
        <is>
          <t>Xenopus laevis</t>
        </is>
      </c>
      <c r="O5761" t="inlineStr">
        <is>
          <t>uncharacterized protein LOC121394191</t>
        </is>
      </c>
    </row>
    <row r="5762">
      <c r="A5762" t="inlineStr"/>
      <c r="B5762" t="inlineStr"/>
      <c r="C5762" t="inlineStr"/>
      <c r="D5762" t="inlineStr"/>
      <c r="E5762">
        <f>HYPERLINK("https://www.uniprot.org/uniprotkb/A0A8C5MMS5/entry", "A0A8C5MMS5")</f>
        <v/>
      </c>
      <c r="F5762" t="n">
        <v>30.1</v>
      </c>
      <c r="G5762" t="n">
        <v>143</v>
      </c>
      <c r="H5762" t="n">
        <v>1.23e-13</v>
      </c>
      <c r="I5762" t="inlineStr">
        <is>
          <t>TrEMBL</t>
        </is>
      </c>
      <c r="J5762" t="inlineStr"/>
      <c r="K5762" t="inlineStr">
        <is>
          <t>A0A8C5MMS5_9ANUR</t>
        </is>
      </c>
      <c r="L5762" t="inlineStr">
        <is>
          <t>tr|A0A8C5MMS5|A0A8C5MMS5_9ANUR Reverse transcriptase domain-containing protein OS=Leptobrachium leishanense OX=445787 PE=4 SV=1</t>
        </is>
      </c>
      <c r="M5762" t="n">
        <v>664</v>
      </c>
      <c r="N5762" t="inlineStr">
        <is>
          <t>Leptobrachium leishanense</t>
        </is>
      </c>
      <c r="O5762" t="inlineStr">
        <is>
          <t>Reverse transcriptase domain-containing protein</t>
        </is>
      </c>
    </row>
    <row r="5763">
      <c r="A5763" t="inlineStr"/>
      <c r="B5763" t="inlineStr"/>
      <c r="C5763" t="inlineStr"/>
      <c r="D5763" t="inlineStr"/>
      <c r="E5763">
        <f>HYPERLINK("https://www.uniprot.org/uniprotkb/A0A803J844/entry", "A0A803J844")</f>
        <v/>
      </c>
      <c r="F5763" t="n">
        <v>29</v>
      </c>
      <c r="G5763" t="n">
        <v>124</v>
      </c>
      <c r="H5763" t="n">
        <v>1.23e-13</v>
      </c>
      <c r="I5763" t="inlineStr">
        <is>
          <t>TrEMBL</t>
        </is>
      </c>
      <c r="J5763" t="inlineStr"/>
      <c r="K5763" t="inlineStr">
        <is>
          <t>A0A803J844_XENTR</t>
        </is>
      </c>
      <c r="L5763" t="inlineStr">
        <is>
          <t>tr|A0A803J844|A0A803J844_XENTR Reverse transcriptase domain-containing protein OS=Xenopus tropicalis OX=8364 PE=4 SV=1</t>
        </is>
      </c>
      <c r="M5763" t="n">
        <v>673</v>
      </c>
      <c r="N5763" t="inlineStr">
        <is>
          <t>Xenopus tropicalis</t>
        </is>
      </c>
      <c r="O5763" t="inlineStr">
        <is>
          <t>Reverse transcriptase domain-containing protein</t>
        </is>
      </c>
    </row>
    <row r="5764">
      <c r="A5764" t="inlineStr"/>
      <c r="B5764" t="inlineStr"/>
      <c r="C5764" t="inlineStr"/>
      <c r="D5764" t="inlineStr"/>
      <c r="E5764">
        <f>HYPERLINK("https://www.uniprot.org/uniprotkb/A0A6P6MRC2/entry", "A0A6P6MRC2")</f>
        <v/>
      </c>
      <c r="F5764" t="n">
        <v>33.3</v>
      </c>
      <c r="G5764" t="n">
        <v>126</v>
      </c>
      <c r="H5764" t="n">
        <v>1.63e-13</v>
      </c>
      <c r="I5764" t="inlineStr">
        <is>
          <t>TrEMBL</t>
        </is>
      </c>
      <c r="J5764" t="inlineStr">
        <is>
          <t>LOC113069710</t>
        </is>
      </c>
      <c r="K5764" t="inlineStr">
        <is>
          <t>A0A6P6MRC2_CARAU</t>
        </is>
      </c>
      <c r="L5764" t="inlineStr">
        <is>
          <t>tr|A0A6P6MRC2|A0A6P6MRC2_CARAU uncharacterized protein LOC113069710 OS=Carassius auratus OX=7957 GN=LOC113069710 PE=4 SV=1</t>
        </is>
      </c>
      <c r="M5764" t="n">
        <v>581</v>
      </c>
      <c r="N5764" t="inlineStr">
        <is>
          <t>Carassius auratus</t>
        </is>
      </c>
      <c r="O5764" t="inlineStr">
        <is>
          <t>uncharacterized protein LOC113069710</t>
        </is>
      </c>
    </row>
    <row r="5765">
      <c r="A5765" t="inlineStr"/>
      <c r="B5765" t="inlineStr"/>
      <c r="C5765" t="inlineStr"/>
      <c r="D5765" t="inlineStr"/>
      <c r="E5765">
        <f>HYPERLINK("https://www.uniprot.org/uniprotkb/A0A2I4DBU1/entry", "A0A2I4DBU1")</f>
        <v/>
      </c>
      <c r="F5765" t="n">
        <v>28.5</v>
      </c>
      <c r="G5765" t="n">
        <v>151</v>
      </c>
      <c r="H5765" t="n">
        <v>2.74e-13</v>
      </c>
      <c r="I5765" t="inlineStr">
        <is>
          <t>TrEMBL</t>
        </is>
      </c>
      <c r="J5765" t="inlineStr">
        <is>
          <t>LOC106536907</t>
        </is>
      </c>
      <c r="K5765" t="inlineStr">
        <is>
          <t>A0A2I4DBU1_9TELE</t>
        </is>
      </c>
      <c r="L5765" t="inlineStr">
        <is>
          <t>tr|A0A2I4DBU1|A0A2I4DBU1_9TELE uncharacterized protein LOC106536907 OS=Austrofundulus limnaeus OX=52670 GN=LOC106536907 PE=4 SV=1</t>
        </is>
      </c>
      <c r="M5765" t="n">
        <v>448</v>
      </c>
      <c r="N5765" t="inlineStr">
        <is>
          <t>Austrofundulus limnaeus</t>
        </is>
      </c>
      <c r="O5765" t="inlineStr">
        <is>
          <t>uncharacterized protein LOC106536907</t>
        </is>
      </c>
    </row>
    <row r="5766">
      <c r="A5766" t="inlineStr"/>
      <c r="B5766" t="inlineStr"/>
      <c r="C5766" t="inlineStr"/>
      <c r="D5766" t="inlineStr"/>
      <c r="E5766">
        <f>HYPERLINK("https://www.uniprot.org/uniprotkb/A0A8C5PYY2/entry", "A0A8C5PYY2")</f>
        <v/>
      </c>
      <c r="F5766" t="n">
        <v>31.2</v>
      </c>
      <c r="G5766" t="n">
        <v>138</v>
      </c>
      <c r="H5766" t="n">
        <v>2.86e-13</v>
      </c>
      <c r="I5766" t="inlineStr">
        <is>
          <t>TrEMBL</t>
        </is>
      </c>
      <c r="J5766" t="inlineStr"/>
      <c r="K5766" t="inlineStr">
        <is>
          <t>A0A8C5PYY2_9ANUR</t>
        </is>
      </c>
      <c r="L5766" t="inlineStr">
        <is>
          <t>tr|A0A8C5PYY2|A0A8C5PYY2_9ANUR Reverse transcriptase domain-containing protein OS=Leptobrachium leishanense OX=445787 PE=4 SV=1</t>
        </is>
      </c>
      <c r="M5766" t="n">
        <v>483</v>
      </c>
      <c r="N5766" t="inlineStr">
        <is>
          <t>Leptobrachium leishanense</t>
        </is>
      </c>
      <c r="O5766" t="inlineStr">
        <is>
          <t>Reverse transcriptase domain-containing protein</t>
        </is>
      </c>
    </row>
    <row r="5767">
      <c r="A5767" t="inlineStr"/>
      <c r="B5767" t="inlineStr"/>
      <c r="C5767" t="inlineStr"/>
      <c r="D5767" t="inlineStr"/>
      <c r="E5767">
        <f>HYPERLINK("https://www.ncbi.nlm.nih.gov/gene/?term=XP_052468100.1", "XP_052468100.1")</f>
        <v/>
      </c>
      <c r="F5767" t="n">
        <v>33.3</v>
      </c>
      <c r="G5767" t="n">
        <v>126</v>
      </c>
      <c r="H5767" t="n">
        <v>3.52e-13</v>
      </c>
      <c r="I5767" t="inlineStr">
        <is>
          <t>Nr</t>
        </is>
      </c>
      <c r="J5767" t="inlineStr"/>
      <c r="K5767" t="inlineStr"/>
      <c r="L5767" t="inlineStr">
        <is>
          <t>XP_052468100.1 uncharacterized protein LOC128025655 [Carassius gibelio]</t>
        </is>
      </c>
      <c r="M5767" t="n">
        <v>417</v>
      </c>
      <c r="N5767" t="inlineStr">
        <is>
          <t>Carassius gibelio</t>
        </is>
      </c>
      <c r="O5767" t="inlineStr">
        <is>
          <t>uncharacterized protein LOC128025655</t>
        </is>
      </c>
    </row>
    <row r="5768">
      <c r="A5768" t="inlineStr"/>
      <c r="B5768" t="inlineStr"/>
      <c r="C5768" t="inlineStr"/>
      <c r="D5768" t="inlineStr"/>
      <c r="E5768">
        <f>HYPERLINK("https://www.ncbi.nlm.nih.gov/gene/?term=XP_026098621.1", "XP_026098621.1")</f>
        <v/>
      </c>
      <c r="F5768" t="n">
        <v>33.3</v>
      </c>
      <c r="G5768" t="n">
        <v>126</v>
      </c>
      <c r="H5768" t="n">
        <v>4.19e-13</v>
      </c>
      <c r="I5768" t="inlineStr">
        <is>
          <t>Nr</t>
        </is>
      </c>
      <c r="J5768" t="inlineStr"/>
      <c r="K5768" t="inlineStr"/>
      <c r="L5768" t="inlineStr">
        <is>
          <t>XP_026098621.1 uncharacterized protein LOC113069710 [Carassius auratus]</t>
        </is>
      </c>
      <c r="M5768" t="n">
        <v>581</v>
      </c>
      <c r="N5768" t="inlineStr">
        <is>
          <t>Carassius auratus</t>
        </is>
      </c>
      <c r="O5768" t="inlineStr">
        <is>
          <t>uncharacterized protein LOC113069710</t>
        </is>
      </c>
    </row>
    <row r="5769">
      <c r="A5769" t="inlineStr"/>
      <c r="B5769" t="inlineStr"/>
      <c r="C5769" t="inlineStr"/>
      <c r="D5769" t="inlineStr"/>
      <c r="E5769">
        <f>HYPERLINK("https://www.ncbi.nlm.nih.gov/gene/?term=XP_013889702.1", "XP_013889702.1")</f>
        <v/>
      </c>
      <c r="F5769" t="n">
        <v>28.5</v>
      </c>
      <c r="G5769" t="n">
        <v>151</v>
      </c>
      <c r="H5769" t="n">
        <v>7.03e-13</v>
      </c>
      <c r="I5769" t="inlineStr">
        <is>
          <t>Nr</t>
        </is>
      </c>
      <c r="J5769" t="inlineStr"/>
      <c r="K5769" t="inlineStr"/>
      <c r="L5769" t="inlineStr">
        <is>
          <t>XP_013889702.1 PREDICTED: uncharacterized protein LOC106536907, partial [Austrofundulus limnaeus]</t>
        </is>
      </c>
      <c r="M5769" t="n">
        <v>448</v>
      </c>
      <c r="N5769" t="inlineStr">
        <is>
          <t>Austrofundulus limnaeus</t>
        </is>
      </c>
      <c r="O5769" t="inlineStr">
        <is>
          <t>PREDICTED: uncharacterized protein LOC106536907, partial</t>
        </is>
      </c>
    </row>
    <row r="5770">
      <c r="A5770" t="inlineStr"/>
      <c r="B5770" t="inlineStr"/>
      <c r="C5770" t="inlineStr"/>
      <c r="D5770" t="inlineStr"/>
      <c r="E5770">
        <f>HYPERLINK("https://www.ncbi.nlm.nih.gov/gene/?term=XP_013868522.1", "XP_013868522.1")</f>
        <v/>
      </c>
      <c r="F5770" t="n">
        <v>28.5</v>
      </c>
      <c r="G5770" t="n">
        <v>151</v>
      </c>
      <c r="H5770" t="n">
        <v>1.14e-12</v>
      </c>
      <c r="I5770" t="inlineStr">
        <is>
          <t>Nr</t>
        </is>
      </c>
      <c r="J5770" t="inlineStr"/>
      <c r="K5770" t="inlineStr"/>
      <c r="L5770" t="inlineStr">
        <is>
          <t>XP_013868522.1 PREDICTED: uncharacterized protein LOC106520812, partial [Austrofundulus limnaeus]</t>
        </is>
      </c>
      <c r="M5770" t="n">
        <v>392</v>
      </c>
      <c r="N5770" t="inlineStr">
        <is>
          <t>Austrofundulus limnaeus</t>
        </is>
      </c>
      <c r="O5770" t="inlineStr">
        <is>
          <t>PREDICTED: uncharacterized protein LOC106520812, partial</t>
        </is>
      </c>
    </row>
    <row r="5771">
      <c r="A5771" t="inlineStr"/>
      <c r="B5771" t="inlineStr"/>
      <c r="C5771" t="inlineStr"/>
      <c r="D5771" t="inlineStr"/>
      <c r="E5771">
        <f>HYPERLINK("https://www.ncbi.nlm.nih.gov/gene/?term=XP_040272050.1", "XP_040272050.1")</f>
        <v/>
      </c>
      <c r="F5771" t="n">
        <v>29.7</v>
      </c>
      <c r="G5771" t="n">
        <v>145</v>
      </c>
      <c r="H5771" t="n">
        <v>1.21e-12</v>
      </c>
      <c r="I5771" t="inlineStr">
        <is>
          <t>Nr</t>
        </is>
      </c>
      <c r="J5771" t="inlineStr"/>
      <c r="K5771" t="inlineStr"/>
      <c r="L5771" t="inlineStr">
        <is>
          <t>XP_040272050.1 uncharacterized protein LOC120988574 [Bufo bufo]</t>
        </is>
      </c>
      <c r="M5771" t="n">
        <v>243</v>
      </c>
      <c r="N5771" t="inlineStr">
        <is>
          <t>Bufo bufo</t>
        </is>
      </c>
      <c r="O5771" t="inlineStr">
        <is>
          <t>uncharacterized protein LOC120988574</t>
        </is>
      </c>
    </row>
    <row r="5772">
      <c r="A5772" t="inlineStr"/>
      <c r="B5772" t="inlineStr"/>
      <c r="C5772" t="inlineStr"/>
      <c r="D5772" t="inlineStr"/>
      <c r="E5772">
        <f>HYPERLINK("https://www.ncbi.nlm.nih.gov/gene/?term=KAJ1166052.1", "KAJ1166052.1")</f>
        <v/>
      </c>
      <c r="F5772" t="n">
        <v>36.8</v>
      </c>
      <c r="G5772" t="n">
        <v>117</v>
      </c>
      <c r="H5772" t="n">
        <v>2.57e-12</v>
      </c>
      <c r="I5772" t="inlineStr">
        <is>
          <t>Nr</t>
        </is>
      </c>
      <c r="J5772" t="inlineStr"/>
      <c r="K5772" t="inlineStr"/>
      <c r="L5772" t="inlineStr">
        <is>
          <t>KAJ1166052.1 hypothetical protein NDU88_006462 [Pleurodeles waltl]</t>
        </is>
      </c>
      <c r="M5772" t="n">
        <v>494</v>
      </c>
      <c r="N5772" t="inlineStr">
        <is>
          <t>Pleurodeles waltl</t>
        </is>
      </c>
      <c r="O5772" t="inlineStr">
        <is>
          <t>hypothetical protein NDU88_006462</t>
        </is>
      </c>
    </row>
    <row r="5773">
      <c r="A5773" t="inlineStr">
        <is>
          <t>NODE_344064_length_446_cov_5109.226913_g249073_i0</t>
        </is>
      </c>
      <c r="B5773" t="inlineStr">
        <is>
          <t>bombina_pachypus_blastx</t>
        </is>
      </c>
      <c r="C5773" t="n">
        <v>-6.72067740466889</v>
      </c>
      <c r="D5773" t="n">
        <v>0.0059845074241716</v>
      </c>
      <c r="E5773">
        <f>HYPERLINK("https://www.uniprot.org/uniprotkb/Q6DET2/entry", "Q6DET2")</f>
        <v/>
      </c>
      <c r="F5773" t="n">
        <v>84.09999999999999</v>
      </c>
      <c r="G5773" t="n">
        <v>107</v>
      </c>
      <c r="H5773" t="n">
        <v>3.87e-48</v>
      </c>
      <c r="I5773" t="inlineStr">
        <is>
          <t>TrEMBL</t>
        </is>
      </c>
      <c r="J5773" t="inlineStr">
        <is>
          <t>atp5mc3</t>
        </is>
      </c>
      <c r="K5773" t="inlineStr">
        <is>
          <t>Q6DET2_XENTR</t>
        </is>
      </c>
      <c r="L5773" t="inlineStr">
        <is>
          <t>tr|Q6DET2|Q6DET2_XENTR ATP synthase lipid-binding protein OS=Xenopus tropicalis OX=8364 GN=atp5mc3 PE=2 SV=1</t>
        </is>
      </c>
      <c r="M5773" t="n">
        <v>142</v>
      </c>
      <c r="N5773" t="inlineStr">
        <is>
          <t>Xenopus tropicalis</t>
        </is>
      </c>
      <c r="O5773" t="inlineStr">
        <is>
          <t>ATP synthase lipid-binding protein</t>
        </is>
      </c>
    </row>
    <row r="5774">
      <c r="A5774" t="inlineStr"/>
      <c r="B5774" t="inlineStr"/>
      <c r="C5774" t="inlineStr"/>
      <c r="D5774" t="inlineStr"/>
      <c r="E5774">
        <f>HYPERLINK("https://www.ncbi.nlm.nih.gov/gene/?term=NP_001005087.1", "NP_001005087.1")</f>
        <v/>
      </c>
      <c r="F5774" t="n">
        <v>84.09999999999999</v>
      </c>
      <c r="G5774" t="n">
        <v>107</v>
      </c>
      <c r="H5774" t="n">
        <v>9.939999999999999e-48</v>
      </c>
      <c r="I5774" t="inlineStr">
        <is>
          <t>Nr</t>
        </is>
      </c>
      <c r="J5774" t="inlineStr"/>
      <c r="K5774" t="inlineStr"/>
      <c r="L5774" t="inlineStr">
        <is>
          <t>NP_001005087.1 ATP synthase F(0) complex subunit C3, mitochondrial [Xenopus tropicalis]</t>
        </is>
      </c>
      <c r="M5774" t="n">
        <v>142</v>
      </c>
      <c r="N5774" t="inlineStr">
        <is>
          <t>Xenopus tropicalis</t>
        </is>
      </c>
      <c r="O5774" t="inlineStr">
        <is>
          <t>ATP synthase F(0) complex subunit C3, mitochondrial</t>
        </is>
      </c>
    </row>
    <row r="5775">
      <c r="A5775" t="inlineStr"/>
      <c r="B5775" t="inlineStr"/>
      <c r="C5775" t="inlineStr"/>
      <c r="D5775" t="inlineStr"/>
      <c r="E5775">
        <f>HYPERLINK("https://www.uniprot.org/uniprotkb/B0JZY9/entry", "B0JZY9")</f>
        <v/>
      </c>
      <c r="F5775" t="n">
        <v>83.2</v>
      </c>
      <c r="G5775" t="n">
        <v>107</v>
      </c>
      <c r="H5775" t="n">
        <v>3.17e-47</v>
      </c>
      <c r="I5775" t="inlineStr">
        <is>
          <t>TrEMBL</t>
        </is>
      </c>
      <c r="J5775" t="inlineStr">
        <is>
          <t>atp5mc3</t>
        </is>
      </c>
      <c r="K5775" t="inlineStr">
        <is>
          <t>B0JZY9_XENTR</t>
        </is>
      </c>
      <c r="L5775" t="inlineStr">
        <is>
          <t>tr|B0JZY9|B0JZY9_XENTR ATP synthase lipid-binding protein OS=Xenopus tropicalis OX=8364 GN=atp5mc3 PE=2 SV=1</t>
        </is>
      </c>
      <c r="M5775" t="n">
        <v>142</v>
      </c>
      <c r="N5775" t="inlineStr">
        <is>
          <t>Xenopus tropicalis</t>
        </is>
      </c>
      <c r="O5775" t="inlineStr">
        <is>
          <t>ATP synthase lipid-binding protein</t>
        </is>
      </c>
    </row>
    <row r="5776">
      <c r="A5776" t="inlineStr"/>
      <c r="B5776" t="inlineStr"/>
      <c r="C5776" t="inlineStr"/>
      <c r="D5776" t="inlineStr"/>
      <c r="E5776">
        <f>HYPERLINK("https://www.uniprot.org/uniprotkb/Q8AVE1/entry", "Q8AVE1")</f>
        <v/>
      </c>
      <c r="F5776" t="n">
        <v>84.09999999999999</v>
      </c>
      <c r="G5776" t="n">
        <v>107</v>
      </c>
      <c r="H5776" t="n">
        <v>6.38e-47</v>
      </c>
      <c r="I5776" t="inlineStr">
        <is>
          <t>TrEMBL</t>
        </is>
      </c>
      <c r="J5776" t="inlineStr">
        <is>
          <t>atp5mc3.S</t>
        </is>
      </c>
      <c r="K5776" t="inlineStr">
        <is>
          <t>Q8AVE1_XENLA</t>
        </is>
      </c>
      <c r="L5776" t="inlineStr">
        <is>
          <t>tr|Q8AVE1|Q8AVE1_XENLA ATP synthase lipid-binding protein OS=Xenopus laevis OX=8355 GN=atp5mc3.S PE=2 SV=1</t>
        </is>
      </c>
      <c r="M5776" t="n">
        <v>142</v>
      </c>
      <c r="N5776" t="inlineStr">
        <is>
          <t>Xenopus laevis</t>
        </is>
      </c>
      <c r="O5776" t="inlineStr">
        <is>
          <t>ATP synthase lipid-binding protein</t>
        </is>
      </c>
    </row>
    <row r="5777">
      <c r="A5777" t="inlineStr"/>
      <c r="B5777" t="inlineStr"/>
      <c r="C5777" t="inlineStr"/>
      <c r="D5777" t="inlineStr"/>
      <c r="E5777">
        <f>HYPERLINK("https://www.ncbi.nlm.nih.gov/gene/?term=XP_012825764.2", "XP_012825764.2")</f>
        <v/>
      </c>
      <c r="F5777" t="n">
        <v>83.2</v>
      </c>
      <c r="G5777" t="n">
        <v>107</v>
      </c>
      <c r="H5777" t="n">
        <v>8.130000000000001e-47</v>
      </c>
      <c r="I5777" t="inlineStr">
        <is>
          <t>Nr</t>
        </is>
      </c>
      <c r="J5777" t="inlineStr"/>
      <c r="K5777" t="inlineStr"/>
      <c r="L5777" t="inlineStr">
        <is>
          <t>XP_012825764.2 ATP synthase F(0) complex subunit C3, mitochondrial isoform X1 [Xenopus tropicalis]</t>
        </is>
      </c>
      <c r="M5777" t="n">
        <v>142</v>
      </c>
      <c r="N5777" t="inlineStr">
        <is>
          <t>Xenopus tropicalis</t>
        </is>
      </c>
      <c r="O5777" t="inlineStr">
        <is>
          <t>ATP synthase F(0) complex subunit C3, mitochondrial isoform X1</t>
        </is>
      </c>
    </row>
    <row r="5778">
      <c r="A5778" t="inlineStr"/>
      <c r="B5778" t="inlineStr"/>
      <c r="C5778" t="inlineStr"/>
      <c r="D5778" t="inlineStr"/>
      <c r="E5778">
        <f>HYPERLINK("https://www.ncbi.nlm.nih.gov/gene/?term=XP_033871275.1", "XP_033871275.1")</f>
        <v/>
      </c>
      <c r="F5778" t="n">
        <v>82.2</v>
      </c>
      <c r="G5778" t="n">
        <v>107</v>
      </c>
      <c r="H5778" t="n">
        <v>1.15e-46</v>
      </c>
      <c r="I5778" t="inlineStr">
        <is>
          <t>Nr</t>
        </is>
      </c>
      <c r="J5778" t="inlineStr"/>
      <c r="K5778" t="inlineStr"/>
      <c r="L5778" t="inlineStr">
        <is>
          <t>XP_033871275.1 ATP synthase F(0) complex subunit C3, mitochondrial-like [Acipenser ruthenus]</t>
        </is>
      </c>
      <c r="M5778" t="n">
        <v>142</v>
      </c>
      <c r="N5778" t="inlineStr">
        <is>
          <t>Acipenser ruthenus</t>
        </is>
      </c>
      <c r="O5778" t="inlineStr">
        <is>
          <t>ATP synthase F(0) complex subunit C3, mitochondrial-like</t>
        </is>
      </c>
    </row>
    <row r="5779">
      <c r="A5779" t="inlineStr"/>
      <c r="B5779" t="inlineStr"/>
      <c r="C5779" t="inlineStr"/>
      <c r="D5779" t="inlineStr"/>
      <c r="E5779">
        <f>HYPERLINK("https://www.uniprot.org/uniprotkb/A0A8J0TWB7/entry", "A0A8J0TWB7")</f>
        <v/>
      </c>
      <c r="F5779" t="n">
        <v>84.09999999999999</v>
      </c>
      <c r="G5779" t="n">
        <v>107</v>
      </c>
      <c r="H5779" t="n">
        <v>1.29e-46</v>
      </c>
      <c r="I5779" t="inlineStr">
        <is>
          <t>TrEMBL</t>
        </is>
      </c>
      <c r="J5779" t="inlineStr">
        <is>
          <t>atp5mc3.L</t>
        </is>
      </c>
      <c r="K5779" t="inlineStr">
        <is>
          <t>A0A8J0TWB7_XENLA</t>
        </is>
      </c>
      <c r="L5779" t="inlineStr">
        <is>
          <t>tr|A0A8J0TWB7|A0A8J0TWB7_XENLA ATP synthase lipid-binding protein OS=Xenopus laevis OX=8355 GN=atp5mc3.L PE=3 SV=1</t>
        </is>
      </c>
      <c r="M5779" t="n">
        <v>142</v>
      </c>
      <c r="N5779" t="inlineStr">
        <is>
          <t>Xenopus laevis</t>
        </is>
      </c>
      <c r="O5779" t="inlineStr">
        <is>
          <t>ATP synthase lipid-binding protein</t>
        </is>
      </c>
    </row>
    <row r="5780">
      <c r="A5780" t="inlineStr"/>
      <c r="B5780" t="inlineStr"/>
      <c r="C5780" t="inlineStr"/>
      <c r="D5780" t="inlineStr"/>
      <c r="E5780">
        <f>HYPERLINK("https://www.ncbi.nlm.nih.gov/gene/?term=NP_001080083.1", "NP_001080083.1")</f>
        <v/>
      </c>
      <c r="F5780" t="n">
        <v>84.09999999999999</v>
      </c>
      <c r="G5780" t="n">
        <v>107</v>
      </c>
      <c r="H5780" t="n">
        <v>1.64e-46</v>
      </c>
      <c r="I5780" t="inlineStr">
        <is>
          <t>Nr</t>
        </is>
      </c>
      <c r="J5780" t="inlineStr"/>
      <c r="K5780" t="inlineStr"/>
      <c r="L5780" t="inlineStr">
        <is>
          <t>NP_001080083.1 ATP synthase membrane subunit c locus 3 S homeolog [Xenopus laevis]</t>
        </is>
      </c>
      <c r="M5780" t="n">
        <v>142</v>
      </c>
      <c r="N5780" t="inlineStr">
        <is>
          <t>Xenopus laevis</t>
        </is>
      </c>
      <c r="O5780" t="inlineStr">
        <is>
          <t>ATP synthase membrane subunit c locus 3 S homeolog</t>
        </is>
      </c>
    </row>
    <row r="5781">
      <c r="A5781" t="inlineStr"/>
      <c r="B5781" t="inlineStr"/>
      <c r="C5781" t="inlineStr"/>
      <c r="D5781" t="inlineStr"/>
      <c r="E5781">
        <f>HYPERLINK("https://www.uniprot.org/uniprotkb/A0A6I8Q8W6/entry", "A0A6I8Q8W6")</f>
        <v/>
      </c>
      <c r="F5781" t="n">
        <v>86.09999999999999</v>
      </c>
      <c r="G5781" t="n">
        <v>101</v>
      </c>
      <c r="H5781" t="n">
        <v>2.78e-46</v>
      </c>
      <c r="I5781" t="inlineStr">
        <is>
          <t>TrEMBL</t>
        </is>
      </c>
      <c r="J5781" t="inlineStr">
        <is>
          <t>atp5mc3</t>
        </is>
      </c>
      <c r="K5781" t="inlineStr">
        <is>
          <t>A0A6I8Q8W6_XENTR</t>
        </is>
      </c>
      <c r="L5781" t="inlineStr">
        <is>
          <t>tr|A0A6I8Q8W6|A0A6I8Q8W6_XENTR ATP synthase lipid-binding protein OS=Xenopus tropicalis OX=8364 GN=atp5mc3 PE=3 SV=2</t>
        </is>
      </c>
      <c r="M5781" t="n">
        <v>133</v>
      </c>
      <c r="N5781" t="inlineStr">
        <is>
          <t>Xenopus tropicalis</t>
        </is>
      </c>
      <c r="O5781" t="inlineStr">
        <is>
          <t>ATP synthase lipid-binding protein</t>
        </is>
      </c>
    </row>
    <row r="5782">
      <c r="A5782" t="inlineStr"/>
      <c r="B5782" t="inlineStr"/>
      <c r="C5782" t="inlineStr"/>
      <c r="D5782" t="inlineStr"/>
      <c r="E5782">
        <f>HYPERLINK("https://www.uniprot.org/uniprotkb/A0A6I8RWN3/entry", "A0A6I8RWN3")</f>
        <v/>
      </c>
      <c r="F5782" t="n">
        <v>86.09999999999999</v>
      </c>
      <c r="G5782" t="n">
        <v>101</v>
      </c>
      <c r="H5782" t="n">
        <v>2.96e-46</v>
      </c>
      <c r="I5782" t="inlineStr">
        <is>
          <t>TrEMBL</t>
        </is>
      </c>
      <c r="J5782" t="inlineStr">
        <is>
          <t>atp5mc3</t>
        </is>
      </c>
      <c r="K5782" t="inlineStr">
        <is>
          <t>A0A6I8RWN3_XENTR</t>
        </is>
      </c>
      <c r="L5782" t="inlineStr">
        <is>
          <t>tr|A0A6I8RWN3|A0A6I8RWN3_XENTR ATP synthase lipid-binding protein OS=Xenopus tropicalis OX=8364 GN=atp5mc3 PE=3 SV=2</t>
        </is>
      </c>
      <c r="M5782" t="n">
        <v>135</v>
      </c>
      <c r="N5782" t="inlineStr">
        <is>
          <t>Xenopus tropicalis</t>
        </is>
      </c>
      <c r="O5782" t="inlineStr">
        <is>
          <t>ATP synthase lipid-binding protein</t>
        </is>
      </c>
    </row>
    <row r="5783">
      <c r="A5783" t="inlineStr"/>
      <c r="B5783" t="inlineStr"/>
      <c r="C5783" t="inlineStr"/>
      <c r="D5783" t="inlineStr"/>
      <c r="E5783">
        <f>HYPERLINK("https://www.ncbi.nlm.nih.gov/gene/?term=XP_018091425.1", "XP_018091425.1")</f>
        <v/>
      </c>
      <c r="F5783" t="n">
        <v>84.09999999999999</v>
      </c>
      <c r="G5783" t="n">
        <v>107</v>
      </c>
      <c r="H5783" t="n">
        <v>3.3e-46</v>
      </c>
      <c r="I5783" t="inlineStr">
        <is>
          <t>Nr</t>
        </is>
      </c>
      <c r="J5783" t="inlineStr"/>
      <c r="K5783" t="inlineStr"/>
      <c r="L5783" t="inlineStr">
        <is>
          <t>XP_018091425.1 ATP synthase F(0) complex subunit C3, mitochondrial [Xenopus laevis]</t>
        </is>
      </c>
      <c r="M5783" t="n">
        <v>142</v>
      </c>
      <c r="N5783" t="inlineStr">
        <is>
          <t>Xenopus laevis</t>
        </is>
      </c>
      <c r="O5783" t="inlineStr">
        <is>
          <t>ATP synthase F(0) complex subunit C3, mitochondrial</t>
        </is>
      </c>
    </row>
    <row r="5784">
      <c r="A5784" t="inlineStr"/>
      <c r="B5784" t="inlineStr"/>
      <c r="C5784" t="inlineStr"/>
      <c r="D5784" t="inlineStr"/>
      <c r="E5784">
        <f>HYPERLINK("https://www.uniprot.org/uniprotkb/A0A8D0GDT4/entry", "A0A8D0GDT4")</f>
        <v/>
      </c>
      <c r="F5784" t="n">
        <v>84.59999999999999</v>
      </c>
      <c r="G5784" t="n">
        <v>104</v>
      </c>
      <c r="H5784" t="n">
        <v>3.68e-46</v>
      </c>
      <c r="I5784" t="inlineStr">
        <is>
          <t>TrEMBL</t>
        </is>
      </c>
      <c r="J5784" t="inlineStr"/>
      <c r="K5784" t="inlineStr">
        <is>
          <t>A0A8D0GDT4_SPHPU</t>
        </is>
      </c>
      <c r="L5784" t="inlineStr">
        <is>
          <t>tr|A0A8D0GDT4|A0A8D0GDT4_SPHPU ATP synthase lipid-binding protein OS=Sphenodon punctatus OX=8508 PE=3 SV=1</t>
        </is>
      </c>
      <c r="M5784" t="n">
        <v>142</v>
      </c>
      <c r="N5784" t="inlineStr">
        <is>
          <t>Sphenodon punctatus</t>
        </is>
      </c>
      <c r="O5784" t="inlineStr">
        <is>
          <t>ATP synthase lipid-binding protein</t>
        </is>
      </c>
    </row>
    <row r="5785">
      <c r="A5785" t="inlineStr"/>
      <c r="B5785" t="inlineStr"/>
      <c r="C5785" t="inlineStr"/>
      <c r="D5785" t="inlineStr"/>
      <c r="E5785">
        <f>HYPERLINK("https://www.uniprot.org/uniprotkb/H6UFA7/entry", "H6UFA7")</f>
        <v/>
      </c>
      <c r="F5785" t="n">
        <v>83.2</v>
      </c>
      <c r="G5785" t="n">
        <v>107</v>
      </c>
      <c r="H5785" t="n">
        <v>4.91e-46</v>
      </c>
      <c r="I5785" t="inlineStr">
        <is>
          <t>TrEMBL</t>
        </is>
      </c>
      <c r="J5785" t="inlineStr">
        <is>
          <t>atp5g3</t>
        </is>
      </c>
      <c r="K5785" t="inlineStr">
        <is>
          <t>H6UFA7_SPEBO</t>
        </is>
      </c>
      <c r="L5785" t="inlineStr">
        <is>
          <t>tr|H6UFA7|H6UFA7_SPEBO ATP synthase lipid-binding protein (Fragment) OS=Spea bombifrons OX=233779 GN=atp5g3 PE=2 SV=1</t>
        </is>
      </c>
      <c r="M5785" t="n">
        <v>140</v>
      </c>
      <c r="N5785" t="inlineStr">
        <is>
          <t>Spea bombifrons</t>
        </is>
      </c>
      <c r="O5785" t="inlineStr">
        <is>
          <t>ATP synthase lipid-binding protein (Fragment)</t>
        </is>
      </c>
    </row>
    <row r="5786">
      <c r="A5786" t="inlineStr"/>
      <c r="B5786" t="inlineStr"/>
      <c r="C5786" t="inlineStr"/>
      <c r="D5786" t="inlineStr"/>
      <c r="E5786">
        <f>HYPERLINK("https://www.uniprot.org/uniprotkb/H6UFA8/entry", "H6UFA8")</f>
        <v/>
      </c>
      <c r="F5786" t="n">
        <v>83.2</v>
      </c>
      <c r="G5786" t="n">
        <v>107</v>
      </c>
      <c r="H5786" t="n">
        <v>4.91e-46</v>
      </c>
      <c r="I5786" t="inlineStr">
        <is>
          <t>TrEMBL</t>
        </is>
      </c>
      <c r="J5786" t="inlineStr">
        <is>
          <t>atp5g3</t>
        </is>
      </c>
      <c r="K5786" t="inlineStr">
        <is>
          <t>H6UFA8_9ANUR</t>
        </is>
      </c>
      <c r="L5786" t="inlineStr">
        <is>
          <t>tr|H6UFA8|H6UFA8_9ANUR ATP synthase lipid-binding protein (Fragment) OS=Spea multiplicata OX=30317 GN=atp5g3 PE=2 SV=1</t>
        </is>
      </c>
      <c r="M5786" t="n">
        <v>140</v>
      </c>
      <c r="N5786" t="inlineStr">
        <is>
          <t>Spea multiplicata</t>
        </is>
      </c>
      <c r="O5786" t="inlineStr">
        <is>
          <t>ATP synthase lipid-binding protein (Fragment)</t>
        </is>
      </c>
    </row>
    <row r="5787">
      <c r="A5787" t="inlineStr"/>
      <c r="B5787" t="inlineStr"/>
      <c r="C5787" t="inlineStr"/>
      <c r="D5787" t="inlineStr"/>
      <c r="E5787">
        <f>HYPERLINK("https://www.ncbi.nlm.nih.gov/gene/?term=XP_041116296.1", "XP_041116296.1")</f>
        <v/>
      </c>
      <c r="F5787" t="n">
        <v>82.2</v>
      </c>
      <c r="G5787" t="n">
        <v>107</v>
      </c>
      <c r="H5787" t="n">
        <v>6.66e-46</v>
      </c>
      <c r="I5787" t="inlineStr">
        <is>
          <t>Nr</t>
        </is>
      </c>
      <c r="J5787" t="inlineStr"/>
      <c r="K5787" t="inlineStr"/>
      <c r="L5787" t="inlineStr">
        <is>
          <t>XP_041116296.1 ATP synthase F(0) complex subunit C3, mitochondrial-like [Polyodon spathula]</t>
        </is>
      </c>
      <c r="M5787" t="n">
        <v>142</v>
      </c>
      <c r="N5787" t="inlineStr">
        <is>
          <t>Polyodon spathula</t>
        </is>
      </c>
      <c r="O5787" t="inlineStr">
        <is>
          <t>ATP synthase F(0) complex subunit C3, mitochondrial-like</t>
        </is>
      </c>
    </row>
    <row r="5788">
      <c r="A5788" t="inlineStr"/>
      <c r="B5788" t="inlineStr"/>
      <c r="C5788" t="inlineStr"/>
      <c r="D5788" t="inlineStr"/>
      <c r="E5788">
        <f>HYPERLINK("https://www.ncbi.nlm.nih.gov/gene/?term=AEZ53695.1", "AEZ53695.1")</f>
        <v/>
      </c>
      <c r="F5788" t="n">
        <v>83.2</v>
      </c>
      <c r="G5788" t="n">
        <v>107</v>
      </c>
      <c r="H5788" t="n">
        <v>1.26e-45</v>
      </c>
      <c r="I5788" t="inlineStr">
        <is>
          <t>Nr</t>
        </is>
      </c>
      <c r="J5788" t="inlineStr"/>
      <c r="K5788" t="inlineStr"/>
      <c r="L5788" t="inlineStr">
        <is>
          <t>AEZ53695.1 ATP synthase, H+ transporting, mitochondrial Fo complex, subunit C3 (subunit 9), partial [Spea bombifrons]</t>
        </is>
      </c>
      <c r="M5788" t="n">
        <v>140</v>
      </c>
      <c r="N5788" t="inlineStr">
        <is>
          <t>Spea bombifrons</t>
        </is>
      </c>
      <c r="O5788" t="inlineStr">
        <is>
          <t>ATP synthase, H+ transporting, mitochondrial Fo complex, subunit C3 (subunit 9), partial</t>
        </is>
      </c>
    </row>
    <row r="5789">
      <c r="A5789" t="inlineStr"/>
      <c r="B5789" t="inlineStr"/>
      <c r="C5789" t="inlineStr"/>
      <c r="D5789" t="inlineStr"/>
      <c r="E5789">
        <f>HYPERLINK("https://www.ncbi.nlm.nih.gov/gene/?term=XP_053327346.1", "XP_053327346.1")</f>
        <v/>
      </c>
      <c r="F5789" t="n">
        <v>83.2</v>
      </c>
      <c r="G5789" t="n">
        <v>107</v>
      </c>
      <c r="H5789" t="n">
        <v>1.34e-45</v>
      </c>
      <c r="I5789" t="inlineStr">
        <is>
          <t>Nr</t>
        </is>
      </c>
      <c r="J5789" t="inlineStr"/>
      <c r="K5789" t="inlineStr"/>
      <c r="L5789" t="inlineStr">
        <is>
          <t>XP_053327346.1 ATP synthase F(0) complex subunit C3, mitochondrial [Spea bombifrons]</t>
        </is>
      </c>
      <c r="M5789" t="n">
        <v>142</v>
      </c>
      <c r="N5789" t="inlineStr">
        <is>
          <t>Spea bombifrons</t>
        </is>
      </c>
      <c r="O5789" t="inlineStr">
        <is>
          <t>ATP synthase F(0) complex subunit C3, mitochondrial</t>
        </is>
      </c>
    </row>
    <row r="5790">
      <c r="A5790" t="inlineStr"/>
      <c r="B5790" t="inlineStr"/>
      <c r="C5790" t="inlineStr"/>
      <c r="D5790" t="inlineStr"/>
      <c r="E5790">
        <f>HYPERLINK("https://www.ncbi.nlm.nih.gov/gene/?term=XP_041120840.1", "XP_041120840.1")</f>
        <v/>
      </c>
      <c r="F5790" t="n">
        <v>80.40000000000001</v>
      </c>
      <c r="G5790" t="n">
        <v>107</v>
      </c>
      <c r="H5790" t="n">
        <v>1.9e-45</v>
      </c>
      <c r="I5790" t="inlineStr">
        <is>
          <t>Nr</t>
        </is>
      </c>
      <c r="J5790" t="inlineStr"/>
      <c r="K5790" t="inlineStr"/>
      <c r="L5790" t="inlineStr">
        <is>
          <t>XP_041120840.1 ATP synthase F(0) complex subunit C3, mitochondrial-like [Polyodon spathula]</t>
        </is>
      </c>
      <c r="M5790" t="n">
        <v>142</v>
      </c>
      <c r="N5790" t="inlineStr">
        <is>
          <t>Polyodon spathula</t>
        </is>
      </c>
      <c r="O5790" t="inlineStr">
        <is>
          <t>ATP synthase F(0) complex subunit C3, mitochondrial-like</t>
        </is>
      </c>
    </row>
    <row r="5791">
      <c r="A5791" t="inlineStr"/>
      <c r="B5791" t="inlineStr"/>
      <c r="C5791" t="inlineStr"/>
      <c r="D5791" t="inlineStr"/>
      <c r="E5791">
        <f>HYPERLINK("https://www.uniprot.org/uniprotkb/A0A6P7YL68/entry", "A0A6P7YL68")</f>
        <v/>
      </c>
      <c r="F5791" t="n">
        <v>85</v>
      </c>
      <c r="G5791" t="n">
        <v>107</v>
      </c>
      <c r="H5791" t="n">
        <v>2.05e-45</v>
      </c>
      <c r="I5791" t="inlineStr">
        <is>
          <t>TrEMBL</t>
        </is>
      </c>
      <c r="J5791" t="inlineStr">
        <is>
          <t>ATP5MC3</t>
        </is>
      </c>
      <c r="K5791" t="inlineStr">
        <is>
          <t>A0A6P7YL68_9AMPH</t>
        </is>
      </c>
      <c r="L5791" t="inlineStr">
        <is>
          <t>tr|A0A6P7YL68|A0A6P7YL68_9AMPH ATP synthase lipid-binding protein OS=Microcaecilia unicolor OX=1415580 GN=ATP5MC3 PE=3 SV=1</t>
        </is>
      </c>
      <c r="M5791" t="n">
        <v>141</v>
      </c>
      <c r="N5791" t="inlineStr">
        <is>
          <t>Microcaecilia unicolor</t>
        </is>
      </c>
      <c r="O5791" t="inlineStr">
        <is>
          <t>ATP synthase lipid-binding protein</t>
        </is>
      </c>
    </row>
    <row r="5792">
      <c r="A5792" t="inlineStr"/>
      <c r="B5792" t="inlineStr"/>
      <c r="C5792" t="inlineStr"/>
      <c r="D5792" t="inlineStr"/>
      <c r="E5792">
        <f>HYPERLINK("https://www.uniprot.org/uniprotkb/A0A0B8RYG4/entry", "A0A0B8RYG4")</f>
        <v/>
      </c>
      <c r="F5792" t="n">
        <v>78.90000000000001</v>
      </c>
      <c r="G5792" t="n">
        <v>109</v>
      </c>
      <c r="H5792" t="n">
        <v>2.19e-45</v>
      </c>
      <c r="I5792" t="inlineStr">
        <is>
          <t>TrEMBL</t>
        </is>
      </c>
      <c r="J5792" t="inlineStr"/>
      <c r="K5792" t="inlineStr">
        <is>
          <t>A0A0B8RYG4_BOIIR</t>
        </is>
      </c>
      <c r="L5792" t="inlineStr">
        <is>
          <t>tr|A0A0B8RYG4|A0A0B8RYG4_BOIIR ATP synthase lipid-binding protein OS=Boiga irregularis OX=92519 PE=3 SV=1</t>
        </is>
      </c>
      <c r="M5792" t="n">
        <v>143</v>
      </c>
      <c r="N5792" t="inlineStr">
        <is>
          <t>Boiga irregularis</t>
        </is>
      </c>
      <c r="O5792" t="inlineStr">
        <is>
          <t>ATP synthase lipid-binding protein</t>
        </is>
      </c>
    </row>
    <row r="5793">
      <c r="A5793" t="inlineStr"/>
      <c r="B5793" t="inlineStr"/>
      <c r="C5793" t="inlineStr"/>
      <c r="D5793" t="inlineStr"/>
      <c r="E5793">
        <f>HYPERLINK("https://www.uniprot.org/uniprotkb/A0A670XUW2/entry", "A0A670XUW2")</f>
        <v/>
      </c>
      <c r="F5793" t="n">
        <v>78</v>
      </c>
      <c r="G5793" t="n">
        <v>109</v>
      </c>
      <c r="H5793" t="n">
        <v>4.41e-45</v>
      </c>
      <c r="I5793" t="inlineStr">
        <is>
          <t>TrEMBL</t>
        </is>
      </c>
      <c r="J5793" t="inlineStr">
        <is>
          <t>ATP5MC3</t>
        </is>
      </c>
      <c r="K5793" t="inlineStr">
        <is>
          <t>A0A670XUW2_PSETE</t>
        </is>
      </c>
      <c r="L5793" t="inlineStr">
        <is>
          <t>tr|A0A670XUW2|A0A670XUW2_PSETE ATP synthase lipid-binding protein OS=Pseudonaja textilis OX=8673 GN=ATP5MC3 PE=3 SV=1</t>
        </is>
      </c>
      <c r="M5793" t="n">
        <v>143</v>
      </c>
      <c r="N5793" t="inlineStr">
        <is>
          <t>Pseudonaja textilis</t>
        </is>
      </c>
      <c r="O5793" t="inlineStr">
        <is>
          <t>ATP synthase lipid-binding protein</t>
        </is>
      </c>
    </row>
    <row r="5794">
      <c r="A5794" t="inlineStr"/>
      <c r="B5794" t="inlineStr"/>
      <c r="C5794" t="inlineStr"/>
      <c r="D5794" t="inlineStr"/>
      <c r="E5794">
        <f>HYPERLINK("https://www.uniprot.org/uniprotkb/A0A8C5SC56/entry", "A0A8C5SC56")</f>
        <v/>
      </c>
      <c r="F5794" t="n">
        <v>78</v>
      </c>
      <c r="G5794" t="n">
        <v>109</v>
      </c>
      <c r="H5794" t="n">
        <v>4.41e-45</v>
      </c>
      <c r="I5794" t="inlineStr">
        <is>
          <t>TrEMBL</t>
        </is>
      </c>
      <c r="J5794" t="inlineStr"/>
      <c r="K5794" t="inlineStr">
        <is>
          <t>A0A8C5SC56_LATLA</t>
        </is>
      </c>
      <c r="L5794" t="inlineStr">
        <is>
          <t>tr|A0A8C5SC56|A0A8C5SC56_LATLA ATP synthase lipid-binding protein OS=Laticauda laticaudata OX=8630 PE=3 SV=1</t>
        </is>
      </c>
      <c r="M5794" t="n">
        <v>143</v>
      </c>
      <c r="N5794" t="inlineStr">
        <is>
          <t>Laticauda laticaudata</t>
        </is>
      </c>
      <c r="O5794" t="inlineStr">
        <is>
          <t>ATP synthase lipid-binding protein</t>
        </is>
      </c>
    </row>
    <row r="5795">
      <c r="A5795" t="inlineStr"/>
      <c r="B5795" t="inlineStr"/>
      <c r="C5795" t="inlineStr"/>
      <c r="D5795" t="inlineStr"/>
      <c r="E5795">
        <f>HYPERLINK("https://www.ncbi.nlm.nih.gov/gene/?term=XP_030065743.1", "XP_030065743.1")</f>
        <v/>
      </c>
      <c r="F5795" t="n">
        <v>85</v>
      </c>
      <c r="G5795" t="n">
        <v>107</v>
      </c>
      <c r="H5795" t="n">
        <v>5.28e-45</v>
      </c>
      <c r="I5795" t="inlineStr">
        <is>
          <t>Nr</t>
        </is>
      </c>
      <c r="J5795" t="inlineStr"/>
      <c r="K5795" t="inlineStr"/>
      <c r="L5795" t="inlineStr">
        <is>
          <t>XP_030065743.1 ATP synthase F(0) complex subunit C3, mitochondrial [Microcaecilia unicolor]</t>
        </is>
      </c>
      <c r="M5795" t="n">
        <v>141</v>
      </c>
      <c r="N5795" t="inlineStr">
        <is>
          <t>Microcaecilia unicolor</t>
        </is>
      </c>
      <c r="O5795" t="inlineStr">
        <is>
          <t>ATP synthase F(0) complex subunit C3, mitochondrial</t>
        </is>
      </c>
    </row>
    <row r="5796">
      <c r="A5796" t="inlineStr"/>
      <c r="B5796" t="inlineStr"/>
      <c r="C5796" t="inlineStr"/>
      <c r="D5796" t="inlineStr"/>
      <c r="E5796">
        <f>HYPERLINK("https://www.uniprot.org/uniprotkb/A0A7N5KP76/entry", "A0A7N5KP76")</f>
        <v/>
      </c>
      <c r="F5796" t="n">
        <v>78</v>
      </c>
      <c r="G5796" t="n">
        <v>109</v>
      </c>
      <c r="H5796" t="n">
        <v>6.249999999999999e-45</v>
      </c>
      <c r="I5796" t="inlineStr">
        <is>
          <t>TrEMBL</t>
        </is>
      </c>
      <c r="J5796" t="inlineStr">
        <is>
          <t>LOC117798555</t>
        </is>
      </c>
      <c r="K5796" t="inlineStr">
        <is>
          <t>A0A7N5KP76_AILME</t>
        </is>
      </c>
      <c r="L5796" t="inlineStr">
        <is>
          <t>tr|A0A7N5KP76|A0A7N5KP76_AILME ATP synthase lipid-binding protein OS=Ailuropoda melanoleuca OX=9646 GN=LOC117798555 PE=3 SV=1</t>
        </is>
      </c>
      <c r="M5796" t="n">
        <v>143</v>
      </c>
      <c r="N5796" t="inlineStr">
        <is>
          <t>Ailuropoda melanoleuca</t>
        </is>
      </c>
      <c r="O5796" t="inlineStr">
        <is>
          <t>ATP synthase lipid-binding protein</t>
        </is>
      </c>
    </row>
    <row r="5797">
      <c r="A5797" t="inlineStr"/>
      <c r="B5797" t="inlineStr"/>
      <c r="C5797" t="inlineStr"/>
      <c r="D5797" t="inlineStr"/>
      <c r="E5797">
        <f>HYPERLINK("https://www.uniprot.org/uniprotkb/J3S4M6/entry", "J3S4M6")</f>
        <v/>
      </c>
      <c r="F5797" t="n">
        <v>78</v>
      </c>
      <c r="G5797" t="n">
        <v>109</v>
      </c>
      <c r="H5797" t="n">
        <v>6.249999999999999e-45</v>
      </c>
      <c r="I5797" t="inlineStr">
        <is>
          <t>TrEMBL</t>
        </is>
      </c>
      <c r="J5797" t="inlineStr"/>
      <c r="K5797" t="inlineStr">
        <is>
          <t>J3S4M6_CROAD</t>
        </is>
      </c>
      <c r="L5797" t="inlineStr">
        <is>
          <t>tr|J3S4M6|J3S4M6_CROAD ATP synthase lipid-binding protein OS=Crotalus adamanteus OX=8729 PE=2 SV=1</t>
        </is>
      </c>
      <c r="M5797" t="n">
        <v>143</v>
      </c>
      <c r="N5797" t="inlineStr">
        <is>
          <t>Crotalus adamanteus</t>
        </is>
      </c>
      <c r="O5797" t="inlineStr">
        <is>
          <t>ATP synthase lipid-binding protein</t>
        </is>
      </c>
    </row>
    <row r="5798">
      <c r="A5798" t="inlineStr"/>
      <c r="B5798" t="inlineStr"/>
      <c r="C5798" t="inlineStr"/>
      <c r="D5798" t="inlineStr"/>
      <c r="E5798">
        <f>HYPERLINK("https://www.uniprot.org/uniprotkb/A0A0K8S3Q0/entry", "A0A0K8S3Q0")</f>
        <v/>
      </c>
      <c r="F5798" t="n">
        <v>78</v>
      </c>
      <c r="G5798" t="n">
        <v>109</v>
      </c>
      <c r="H5798" t="n">
        <v>6.249999999999999e-45</v>
      </c>
      <c r="I5798" t="inlineStr">
        <is>
          <t>TrEMBL</t>
        </is>
      </c>
      <c r="J5798" t="inlineStr"/>
      <c r="K5798" t="inlineStr">
        <is>
          <t>A0A0K8S3Q0_CROHD</t>
        </is>
      </c>
      <c r="L5798" t="inlineStr">
        <is>
          <t>tr|A0A0K8S3Q0|A0A0K8S3Q0_CROHD ATP synthase lipid-binding protein OS=Crotalus horridus OX=35024 PE=3 SV=1</t>
        </is>
      </c>
      <c r="M5798" t="n">
        <v>143</v>
      </c>
      <c r="N5798" t="inlineStr">
        <is>
          <t>Crotalus horridus</t>
        </is>
      </c>
      <c r="O5798" t="inlineStr">
        <is>
          <t>ATP synthase lipid-binding protein</t>
        </is>
      </c>
    </row>
    <row r="5799">
      <c r="A5799" t="inlineStr"/>
      <c r="B5799" t="inlineStr"/>
      <c r="C5799" t="inlineStr"/>
      <c r="D5799" t="inlineStr"/>
      <c r="E5799">
        <f>HYPERLINK("https://www.uniprot.org/uniprotkb/A0A1W7RJ49/entry", "A0A1W7RJ49")</f>
        <v/>
      </c>
      <c r="F5799" t="n">
        <v>78</v>
      </c>
      <c r="G5799" t="n">
        <v>109</v>
      </c>
      <c r="H5799" t="n">
        <v>6.249999999999999e-45</v>
      </c>
      <c r="I5799" t="inlineStr">
        <is>
          <t>TrEMBL</t>
        </is>
      </c>
      <c r="J5799" t="inlineStr"/>
      <c r="K5799" t="inlineStr">
        <is>
          <t>A0A1W7RJ49_AGKCO</t>
        </is>
      </c>
      <c r="L5799" t="inlineStr">
        <is>
          <t>tr|A0A1W7RJ49|A0A1W7RJ49_AGKCO ATP synthase lipid-binding protein OS=Agkistrodon contortrix contortrix OX=8713 PE=3 SV=1</t>
        </is>
      </c>
      <c r="M5799" t="n">
        <v>143</v>
      </c>
      <c r="N5799" t="inlineStr">
        <is>
          <t>Agkistrodon contortrix contortrix</t>
        </is>
      </c>
      <c r="O5799" t="inlineStr">
        <is>
          <t>ATP synthase lipid-binding protein</t>
        </is>
      </c>
    </row>
    <row r="5800">
      <c r="A5800" t="inlineStr"/>
      <c r="B5800" t="inlineStr"/>
      <c r="C5800" t="inlineStr"/>
      <c r="D5800" t="inlineStr"/>
      <c r="E5800">
        <f>HYPERLINK("https://www.ncbi.nlm.nih.gov/gene/?term=OCT63648.1", "OCT63648.1")</f>
        <v/>
      </c>
      <c r="F5800" t="n">
        <v>84.09999999999999</v>
      </c>
      <c r="G5800" t="n">
        <v>107</v>
      </c>
      <c r="H5800" t="n">
        <v>9.61e-45</v>
      </c>
      <c r="I5800" t="inlineStr">
        <is>
          <t>Nr</t>
        </is>
      </c>
      <c r="J5800" t="inlineStr"/>
      <c r="K5800" t="inlineStr"/>
      <c r="L5800" t="inlineStr">
        <is>
          <t>OCT63648.1 hypothetical protein XELAEV_18044747mg [Xenopus laevis]</t>
        </is>
      </c>
      <c r="M5800" t="n">
        <v>256</v>
      </c>
      <c r="N5800" t="inlineStr">
        <is>
          <t>Xenopus laevis</t>
        </is>
      </c>
      <c r="O5800" t="inlineStr">
        <is>
          <t>hypothetical protein XELAEV_18044747mg</t>
        </is>
      </c>
    </row>
    <row r="5801">
      <c r="A5801" t="inlineStr"/>
      <c r="B5801" t="inlineStr"/>
      <c r="C5801" t="inlineStr"/>
      <c r="D5801" t="inlineStr"/>
      <c r="E5801">
        <f>HYPERLINK("https://www.uniprot.org/uniprotkb/A0A7K9V447/entry", "A0A7K9V447")</f>
        <v/>
      </c>
      <c r="F5801" t="n">
        <v>87.09999999999999</v>
      </c>
      <c r="G5801" t="n">
        <v>101</v>
      </c>
      <c r="H5801" t="n">
        <v>1.12e-44</v>
      </c>
      <c r="I5801" t="inlineStr">
        <is>
          <t>TrEMBL</t>
        </is>
      </c>
      <c r="J5801" t="inlineStr">
        <is>
          <t>Atp5mc3</t>
        </is>
      </c>
      <c r="K5801" t="inlineStr">
        <is>
          <t>A0A7K9V447_ANSSE</t>
        </is>
      </c>
      <c r="L5801" t="inlineStr">
        <is>
          <t>tr|A0A7K9V447|A0A7K9V447_ANSSE ATP synthase lipid-binding protein (Fragment) OS=Anseranas semipalmata OX=8851 GN=Atp5mc3 PE=3 SV=1</t>
        </is>
      </c>
      <c r="M5801" t="n">
        <v>128</v>
      </c>
      <c r="N5801" t="inlineStr">
        <is>
          <t>Anseranas semipalmata</t>
        </is>
      </c>
      <c r="O5801" t="inlineStr">
        <is>
          <t>ATP synthase lipid-binding protein (Fragment)</t>
        </is>
      </c>
    </row>
    <row r="5802">
      <c r="A5802" t="inlineStr"/>
      <c r="B5802" t="inlineStr"/>
      <c r="C5802" t="inlineStr"/>
      <c r="D5802" t="inlineStr"/>
      <c r="E5802">
        <f>HYPERLINK("https://www.ncbi.nlm.nih.gov/gene/?term=XP_026552811.1", "XP_026552811.1")</f>
        <v/>
      </c>
      <c r="F5802" t="n">
        <v>78</v>
      </c>
      <c r="G5802" t="n">
        <v>109</v>
      </c>
      <c r="H5802" t="n">
        <v>1.13e-44</v>
      </c>
      <c r="I5802" t="inlineStr">
        <is>
          <t>Nr</t>
        </is>
      </c>
      <c r="J5802" t="inlineStr"/>
      <c r="K5802" t="inlineStr"/>
      <c r="L5802" t="inlineStr">
        <is>
          <t>XP_026552811.1 ATP synthase F(0) complex subunit C3, mitochondrial [Pseudonaja textilis]</t>
        </is>
      </c>
      <c r="M5802" t="n">
        <v>143</v>
      </c>
      <c r="N5802" t="inlineStr">
        <is>
          <t>Pseudonaja textilis</t>
        </is>
      </c>
      <c r="O5802" t="inlineStr">
        <is>
          <t>ATP synthase F(0) complex subunit C3, mitochondrial</t>
        </is>
      </c>
    </row>
    <row r="5803">
      <c r="A5803" t="inlineStr"/>
      <c r="B5803" t="inlineStr"/>
      <c r="C5803" t="inlineStr"/>
      <c r="D5803" t="inlineStr"/>
      <c r="E5803">
        <f>HYPERLINK("https://www.ncbi.nlm.nih.gov/gene/?term=XP_033023615.1", "XP_033023615.1")</f>
        <v/>
      </c>
      <c r="F5803" t="n">
        <v>78.90000000000001</v>
      </c>
      <c r="G5803" t="n">
        <v>109</v>
      </c>
      <c r="H5803" t="n">
        <v>1.13e-44</v>
      </c>
      <c r="I5803" t="inlineStr">
        <is>
          <t>Nr</t>
        </is>
      </c>
      <c r="J5803" t="inlineStr"/>
      <c r="K5803" t="inlineStr"/>
      <c r="L5803" t="inlineStr">
        <is>
          <t>XP_033023615.1 ATP synthase F(0) complex subunit C3, mitochondrial [Lacerta agilis]</t>
        </is>
      </c>
      <c r="M5803" t="n">
        <v>143</v>
      </c>
      <c r="N5803" t="inlineStr">
        <is>
          <t>Lacerta agilis</t>
        </is>
      </c>
      <c r="O5803" t="inlineStr">
        <is>
          <t>ATP synthase F(0) complex subunit C3, mitochondrial</t>
        </is>
      </c>
    </row>
    <row r="5804">
      <c r="A5804" t="inlineStr"/>
      <c r="B5804" t="inlineStr"/>
      <c r="C5804" t="inlineStr"/>
      <c r="D5804" t="inlineStr"/>
      <c r="E5804">
        <f>HYPERLINK("https://www.uniprot.org/uniprotkb/A0A6J1UR70/entry", "A0A6J1UR70")</f>
        <v/>
      </c>
      <c r="F5804" t="n">
        <v>77.09999999999999</v>
      </c>
      <c r="G5804" t="n">
        <v>109</v>
      </c>
      <c r="H5804" t="n">
        <v>1.26e-44</v>
      </c>
      <c r="I5804" t="inlineStr">
        <is>
          <t>TrEMBL</t>
        </is>
      </c>
      <c r="J5804" t="inlineStr">
        <is>
          <t>ATP5MC3</t>
        </is>
      </c>
      <c r="K5804" t="inlineStr">
        <is>
          <t>A0A6J1UR70_9SAUR</t>
        </is>
      </c>
      <c r="L5804" t="inlineStr">
        <is>
          <t>tr|A0A6J1UR70|A0A6J1UR70_9SAUR ATP synthase lipid-binding protein OS=Notechis scutatus OX=8663 GN=ATP5MC3 PE=3 SV=1</t>
        </is>
      </c>
      <c r="M5804" t="n">
        <v>143</v>
      </c>
      <c r="N5804" t="inlineStr">
        <is>
          <t>Notechis scutatus</t>
        </is>
      </c>
      <c r="O5804" t="inlineStr">
        <is>
          <t>ATP synthase lipid-binding protein</t>
        </is>
      </c>
    </row>
    <row r="5805">
      <c r="A5805" t="inlineStr"/>
      <c r="B5805" t="inlineStr"/>
      <c r="C5805" t="inlineStr"/>
      <c r="D5805" t="inlineStr"/>
      <c r="E5805">
        <f>HYPERLINK("https://www.uniprot.org/uniprotkb/A0A1B1XXP5/entry", "A0A1B1XXP5")</f>
        <v/>
      </c>
      <c r="F5805" t="n">
        <v>78</v>
      </c>
      <c r="G5805" t="n">
        <v>109</v>
      </c>
      <c r="H5805" t="n">
        <v>1.26e-44</v>
      </c>
      <c r="I5805" t="inlineStr">
        <is>
          <t>TrEMBL</t>
        </is>
      </c>
      <c r="J5805" t="inlineStr">
        <is>
          <t>Atp5g3</t>
        </is>
      </c>
      <c r="K5805" t="inlineStr">
        <is>
          <t>A0A1B1XXP5_PANGU</t>
        </is>
      </c>
      <c r="L5805" t="inlineStr">
        <is>
          <t>tr|A0A1B1XXP5|A0A1B1XXP5_PANGU ATP synthase lipid-binding protein OS=Pantherophis guttatus OX=94885 GN=Atp5g3 PE=3 SV=1</t>
        </is>
      </c>
      <c r="M5805" t="n">
        <v>143</v>
      </c>
      <c r="N5805" t="inlineStr">
        <is>
          <t>Pantherophis guttatus</t>
        </is>
      </c>
      <c r="O5805" t="inlineStr">
        <is>
          <t>ATP synthase lipid-binding protein</t>
        </is>
      </c>
    </row>
    <row r="5806">
      <c r="A5806" t="inlineStr"/>
      <c r="B5806" t="inlineStr"/>
      <c r="C5806" t="inlineStr"/>
      <c r="D5806" t="inlineStr"/>
      <c r="E5806">
        <f>HYPERLINK("https://www.ncbi.nlm.nih.gov/gene/?term=XP_015686106.1", "XP_015686106.1")</f>
        <v/>
      </c>
      <c r="F5806" t="n">
        <v>78</v>
      </c>
      <c r="G5806" t="n">
        <v>109</v>
      </c>
      <c r="H5806" t="n">
        <v>1.61e-44</v>
      </c>
      <c r="I5806" t="inlineStr">
        <is>
          <t>Nr</t>
        </is>
      </c>
      <c r="J5806" t="inlineStr"/>
      <c r="K5806" t="inlineStr"/>
      <c r="L5806" t="inlineStr">
        <is>
          <t>XP_015686106.1 ATP synthase F(0) complex subunit C3, mitochondrial [Protobothrops mucrosquamatus]</t>
        </is>
      </c>
      <c r="M5806" t="n">
        <v>143</v>
      </c>
      <c r="N5806" t="inlineStr">
        <is>
          <t>Protobothrops mucrosquamatus</t>
        </is>
      </c>
      <c r="O5806" t="inlineStr">
        <is>
          <t>ATP synthase F(0) complex subunit C3, mitochondrial</t>
        </is>
      </c>
    </row>
    <row r="5807">
      <c r="A5807" t="inlineStr"/>
      <c r="B5807" t="inlineStr"/>
      <c r="C5807" t="inlineStr"/>
      <c r="D5807" t="inlineStr"/>
      <c r="E5807">
        <f>HYPERLINK("https://www.ncbi.nlm.nih.gov/gene/?term=XP_034506892.1", "XP_034506892.1")</f>
        <v/>
      </c>
      <c r="F5807" t="n">
        <v>78</v>
      </c>
      <c r="G5807" t="n">
        <v>109</v>
      </c>
      <c r="H5807" t="n">
        <v>1.61e-44</v>
      </c>
      <c r="I5807" t="inlineStr">
        <is>
          <t>Nr</t>
        </is>
      </c>
      <c r="J5807" t="inlineStr"/>
      <c r="K5807" t="inlineStr"/>
      <c r="L5807" t="inlineStr">
        <is>
          <t>XP_034506892.1 ATP synthase F(0) complex subunit C3, mitochondrial-like [Ailuropoda melanoleuca]</t>
        </is>
      </c>
      <c r="M5807" t="n">
        <v>143</v>
      </c>
      <c r="N5807" t="inlineStr">
        <is>
          <t>Ailuropoda melanoleuca</t>
        </is>
      </c>
      <c r="O5807" t="inlineStr">
        <is>
          <t>ATP synthase F(0) complex subunit C3, mitochondrial-like</t>
        </is>
      </c>
    </row>
    <row r="5808">
      <c r="A5808" t="inlineStr"/>
      <c r="B5808" t="inlineStr"/>
      <c r="C5808" t="inlineStr"/>
      <c r="D5808" t="inlineStr"/>
      <c r="E5808">
        <f>HYPERLINK("https://www.uniprot.org/uniprotkb/A0A6P8QW93/entry", "A0A6P8QW93")</f>
        <v/>
      </c>
      <c r="F5808" t="n">
        <v>84.09999999999999</v>
      </c>
      <c r="G5808" t="n">
        <v>107</v>
      </c>
      <c r="H5808" t="n">
        <v>1.68e-44</v>
      </c>
      <c r="I5808" t="inlineStr">
        <is>
          <t>TrEMBL</t>
        </is>
      </c>
      <c r="J5808" t="inlineStr">
        <is>
          <t>ATP5MC3</t>
        </is>
      </c>
      <c r="K5808" t="inlineStr">
        <is>
          <t>A0A6P8QW93_GEOSA</t>
        </is>
      </c>
      <c r="L5808" t="inlineStr">
        <is>
          <t>tr|A0A6P8QW93|A0A6P8QW93_GEOSA ATP synthase lipid-binding protein OS=Geotrypetes seraphini OX=260995 GN=ATP5MC3 PE=3 SV=1</t>
        </is>
      </c>
      <c r="M5808" t="n">
        <v>141</v>
      </c>
      <c r="N5808" t="inlineStr">
        <is>
          <t>Geotrypetes seraphini</t>
        </is>
      </c>
      <c r="O5808" t="inlineStr">
        <is>
          <t>ATP synthase lipid-binding protein</t>
        </is>
      </c>
    </row>
    <row r="5809">
      <c r="A5809" t="inlineStr"/>
      <c r="B5809" t="inlineStr"/>
      <c r="C5809" t="inlineStr"/>
      <c r="D5809" t="inlineStr"/>
      <c r="E5809">
        <f>HYPERLINK("https://www.ncbi.nlm.nih.gov/gene/?term=MBN3277104.1", "MBN3277104.1")</f>
        <v/>
      </c>
      <c r="F5809" t="n">
        <v>83.2</v>
      </c>
      <c r="G5809" t="n">
        <v>101</v>
      </c>
      <c r="H5809" t="n">
        <v>1.78e-44</v>
      </c>
      <c r="I5809" t="inlineStr">
        <is>
          <t>Nr</t>
        </is>
      </c>
      <c r="J5809" t="inlineStr"/>
      <c r="K5809" t="inlineStr"/>
      <c r="L5809" t="inlineStr">
        <is>
          <t>MBN3277104.1 AT5G3 synthase [Polyodon spathula]</t>
        </is>
      </c>
      <c r="M5809" t="n">
        <v>135</v>
      </c>
      <c r="N5809" t="inlineStr">
        <is>
          <t>Polyodon spathula</t>
        </is>
      </c>
      <c r="O5809" t="inlineStr">
        <is>
          <t>AT5G3 synthase</t>
        </is>
      </c>
    </row>
    <row r="5810">
      <c r="A5810" t="inlineStr"/>
      <c r="B5810" t="inlineStr"/>
      <c r="C5810" t="inlineStr"/>
      <c r="D5810" t="inlineStr"/>
      <c r="E5810">
        <f>HYPERLINK("https://www.uniprot.org/uniprotkb/U3F7P2/entry", "U3F7P2")</f>
        <v/>
      </c>
      <c r="F5810" t="n">
        <v>78</v>
      </c>
      <c r="G5810" t="n">
        <v>109</v>
      </c>
      <c r="H5810" t="n">
        <v>1.79e-44</v>
      </c>
      <c r="I5810" t="inlineStr">
        <is>
          <t>TrEMBL</t>
        </is>
      </c>
      <c r="J5810" t="inlineStr"/>
      <c r="K5810" t="inlineStr">
        <is>
          <t>U3F7P2_MICFL</t>
        </is>
      </c>
      <c r="L5810" t="inlineStr">
        <is>
          <t>tr|U3F7P2|U3F7P2_MICFL ATP synthase lipid-binding protein OS=Micrurus fulvius OX=8637 PE=2 SV=1</t>
        </is>
      </c>
      <c r="M5810" t="n">
        <v>143</v>
      </c>
      <c r="N5810" t="inlineStr">
        <is>
          <t>Micrurus fulvius</t>
        </is>
      </c>
      <c r="O5810" t="inlineStr">
        <is>
          <t>ATP synthase lipid-binding protein</t>
        </is>
      </c>
    </row>
    <row r="5811">
      <c r="A5811" t="inlineStr"/>
      <c r="B5811" t="inlineStr"/>
      <c r="C5811" t="inlineStr"/>
      <c r="D5811" t="inlineStr"/>
      <c r="E5811">
        <f>HYPERLINK("https://www.ncbi.nlm.nih.gov/gene/?term=XP_035186921.1", "XP_035186921.1")</f>
        <v/>
      </c>
      <c r="F5811" t="n">
        <v>84.59999999999999</v>
      </c>
      <c r="G5811" t="n">
        <v>104</v>
      </c>
      <c r="H5811" t="n">
        <v>2.14e-44</v>
      </c>
      <c r="I5811" t="inlineStr">
        <is>
          <t>Nr</t>
        </is>
      </c>
      <c r="J5811" t="inlineStr"/>
      <c r="K5811" t="inlineStr"/>
      <c r="L5811" t="inlineStr">
        <is>
          <t>XP_035186921.1 ATP synthase F(0) complex subunit C3, mitochondrial [Oxyura jamaicensis]</t>
        </is>
      </c>
      <c r="M5811" t="n">
        <v>141</v>
      </c>
      <c r="N5811" t="inlineStr">
        <is>
          <t>Oxyura jamaicensis</t>
        </is>
      </c>
      <c r="O5811" t="inlineStr">
        <is>
          <t>ATP synthase F(0) complex subunit C3, mitochondrial</t>
        </is>
      </c>
    </row>
    <row r="5812">
      <c r="A5812" t="inlineStr"/>
      <c r="B5812" t="inlineStr"/>
      <c r="C5812" t="inlineStr"/>
      <c r="D5812" t="inlineStr"/>
      <c r="E5812">
        <f>HYPERLINK("https://www.ncbi.nlm.nih.gov/gene/?term=XP_048342744.1", "XP_048342744.1")</f>
        <v/>
      </c>
      <c r="F5812" t="n">
        <v>78</v>
      </c>
      <c r="G5812" t="n">
        <v>109</v>
      </c>
      <c r="H5812" t="n">
        <v>2.28e-44</v>
      </c>
      <c r="I5812" t="inlineStr">
        <is>
          <t>Nr</t>
        </is>
      </c>
      <c r="J5812" t="inlineStr"/>
      <c r="K5812" t="inlineStr"/>
      <c r="L5812" t="inlineStr">
        <is>
          <t>XP_048342744.1 ATP synthase F(0) complex subunit C3, mitochondrial [Sphaerodactylus townsendi]</t>
        </is>
      </c>
      <c r="M5812" t="n">
        <v>143</v>
      </c>
      <c r="N5812" t="inlineStr">
        <is>
          <t>Sphaerodactylus townsendi</t>
        </is>
      </c>
      <c r="O5812" t="inlineStr">
        <is>
          <t>ATP synthase F(0) complex subunit C3, mitochondrial</t>
        </is>
      </c>
    </row>
    <row r="5813">
      <c r="A5813" t="inlineStr"/>
      <c r="B5813" t="inlineStr"/>
      <c r="C5813" t="inlineStr"/>
      <c r="D5813" t="inlineStr"/>
      <c r="E5813">
        <f>HYPERLINK("https://www.uniprot.org/uniprotkb/A0A6J3DAC8/entry", "A0A6J3DAC8")</f>
        <v/>
      </c>
      <c r="F5813" t="n">
        <v>83.7</v>
      </c>
      <c r="G5813" t="n">
        <v>104</v>
      </c>
      <c r="H5813" t="n">
        <v>2.39e-44</v>
      </c>
      <c r="I5813" t="inlineStr">
        <is>
          <t>TrEMBL</t>
        </is>
      </c>
      <c r="J5813" t="inlineStr">
        <is>
          <t>ATP5MC3</t>
        </is>
      </c>
      <c r="K5813" t="inlineStr">
        <is>
          <t>A0A6J3DAC8_AYTFU</t>
        </is>
      </c>
      <c r="L5813" t="inlineStr">
        <is>
          <t>tr|A0A6J3DAC8|A0A6J3DAC8_AYTFU ATP synthase lipid-binding protein OS=Aythya fuligula OX=219594 GN=ATP5MC3 PE=3 SV=1</t>
        </is>
      </c>
      <c r="M5813" t="n">
        <v>141</v>
      </c>
      <c r="N5813" t="inlineStr">
        <is>
          <t>Aythya fuligula</t>
        </is>
      </c>
      <c r="O5813" t="inlineStr">
        <is>
          <t>ATP synthase lipid-binding protein</t>
        </is>
      </c>
    </row>
    <row r="5814">
      <c r="A5814" t="inlineStr"/>
      <c r="B5814" t="inlineStr"/>
      <c r="C5814" t="inlineStr"/>
      <c r="D5814" t="inlineStr"/>
      <c r="E5814">
        <f>HYPERLINK("https://www.uniprot.org/uniprotkb/A0A8B9SK43/entry", "A0A8B9SK43")</f>
        <v/>
      </c>
      <c r="F5814" t="n">
        <v>83.7</v>
      </c>
      <c r="G5814" t="n">
        <v>104</v>
      </c>
      <c r="H5814" t="n">
        <v>2.39e-44</v>
      </c>
      <c r="I5814" t="inlineStr">
        <is>
          <t>TrEMBL</t>
        </is>
      </c>
      <c r="J5814" t="inlineStr">
        <is>
          <t>ATP5MC3</t>
        </is>
      </c>
      <c r="K5814" t="inlineStr">
        <is>
          <t>A0A8B9SK43_ANAPL</t>
        </is>
      </c>
      <c r="L5814" t="inlineStr">
        <is>
          <t>tr|A0A8B9SK43|A0A8B9SK43_ANAPL ATP synthase lipid-binding protein OS=Anas platyrhynchos OX=8839 GN=ATP5MC3 PE=3 SV=1</t>
        </is>
      </c>
      <c r="M5814" t="n">
        <v>141</v>
      </c>
      <c r="N5814" t="inlineStr">
        <is>
          <t>Anas platyrhynchos</t>
        </is>
      </c>
      <c r="O5814" t="inlineStr">
        <is>
          <t>ATP synthase lipid-binding protein</t>
        </is>
      </c>
    </row>
    <row r="5815">
      <c r="A5815" t="inlineStr"/>
      <c r="B5815" t="inlineStr"/>
      <c r="C5815" t="inlineStr"/>
      <c r="D5815" t="inlineStr"/>
      <c r="E5815">
        <f>HYPERLINK("https://www.uniprot.org/uniprotkb/A0A493T0H2/entry", "A0A493T0H2")</f>
        <v/>
      </c>
      <c r="F5815" t="n">
        <v>83.7</v>
      </c>
      <c r="G5815" t="n">
        <v>104</v>
      </c>
      <c r="H5815" t="n">
        <v>2.39e-44</v>
      </c>
      <c r="I5815" t="inlineStr">
        <is>
          <t>TrEMBL</t>
        </is>
      </c>
      <c r="J5815" t="inlineStr">
        <is>
          <t>ATP5MC3</t>
        </is>
      </c>
      <c r="K5815" t="inlineStr">
        <is>
          <t>A0A493T0H2_ANAPP</t>
        </is>
      </c>
      <c r="L5815" t="inlineStr">
        <is>
          <t>tr|A0A493T0H2|A0A493T0H2_ANAPP ATP synthase lipid-binding protein OS=Anas platyrhynchos platyrhynchos OX=8840 GN=ATP5MC3 PE=3 SV=1</t>
        </is>
      </c>
      <c r="M5815" t="n">
        <v>141</v>
      </c>
      <c r="N5815" t="inlineStr">
        <is>
          <t>Anas platyrhynchos platyrhynchos</t>
        </is>
      </c>
      <c r="O5815" t="inlineStr">
        <is>
          <t>ATP synthase lipid-binding protein</t>
        </is>
      </c>
    </row>
    <row r="5816">
      <c r="A5816" t="inlineStr"/>
      <c r="B5816" t="inlineStr"/>
      <c r="C5816" t="inlineStr"/>
      <c r="D5816" t="inlineStr"/>
      <c r="E5816">
        <f>HYPERLINK("https://www.ncbi.nlm.nih.gov/gene/?term=NXI66551.1", "NXI66551.1")</f>
        <v/>
      </c>
      <c r="F5816" t="n">
        <v>87.09999999999999</v>
      </c>
      <c r="G5816" t="n">
        <v>101</v>
      </c>
      <c r="H5816" t="n">
        <v>2.89e-44</v>
      </c>
      <c r="I5816" t="inlineStr">
        <is>
          <t>Nr</t>
        </is>
      </c>
      <c r="J5816" t="inlineStr"/>
      <c r="K5816" t="inlineStr"/>
      <c r="L5816" t="inlineStr">
        <is>
          <t>NXI66551.1 AT5G3 synthase [Anseranas semipalmata]</t>
        </is>
      </c>
      <c r="M5816" t="n">
        <v>128</v>
      </c>
      <c r="N5816" t="inlineStr">
        <is>
          <t>Anseranas semipalmata</t>
        </is>
      </c>
      <c r="O5816" t="inlineStr">
        <is>
          <t>AT5G3 synthase</t>
        </is>
      </c>
    </row>
    <row r="5817">
      <c r="A5817" t="inlineStr"/>
      <c r="B5817" t="inlineStr"/>
      <c r="C5817" t="inlineStr"/>
      <c r="D5817" t="inlineStr"/>
      <c r="E5817">
        <f>HYPERLINK("https://www.ncbi.nlm.nih.gov/gene/?term=XP_007428084.1", "XP_007428084.1")</f>
        <v/>
      </c>
      <c r="F5817" t="n">
        <v>78</v>
      </c>
      <c r="G5817" t="n">
        <v>109</v>
      </c>
      <c r="H5817" t="n">
        <v>3.24e-44</v>
      </c>
      <c r="I5817" t="inlineStr">
        <is>
          <t>Nr</t>
        </is>
      </c>
      <c r="J5817" t="inlineStr"/>
      <c r="K5817" t="inlineStr"/>
      <c r="L5817" t="inlineStr">
        <is>
          <t>XP_007428084.1 ATP synthase F(0) complex subunit C3, mitochondrial [Python bivittatus]</t>
        </is>
      </c>
      <c r="M5817" t="n">
        <v>143</v>
      </c>
      <c r="N5817" t="inlineStr">
        <is>
          <t>Python bivittatus</t>
        </is>
      </c>
      <c r="O5817" t="inlineStr">
        <is>
          <t>ATP synthase F(0) complex subunit C3, mitochondrial</t>
        </is>
      </c>
    </row>
    <row r="5818">
      <c r="A5818" t="inlineStr"/>
      <c r="B5818" t="inlineStr"/>
      <c r="C5818" t="inlineStr"/>
      <c r="D5818" t="inlineStr"/>
      <c r="E5818">
        <f>HYPERLINK("https://www.ncbi.nlm.nih.gov/gene/?term=XP_026533464.1", "XP_026533464.1")</f>
        <v/>
      </c>
      <c r="F5818" t="n">
        <v>77.09999999999999</v>
      </c>
      <c r="G5818" t="n">
        <v>109</v>
      </c>
      <c r="H5818" t="n">
        <v>3.24e-44</v>
      </c>
      <c r="I5818" t="inlineStr">
        <is>
          <t>Nr</t>
        </is>
      </c>
      <c r="J5818" t="inlineStr"/>
      <c r="K5818" t="inlineStr"/>
      <c r="L5818" t="inlineStr">
        <is>
          <t>XP_026533464.1 ATP synthase F(0) complex subunit C3, mitochondrial [Notechis scutatus]</t>
        </is>
      </c>
      <c r="M5818" t="n">
        <v>143</v>
      </c>
      <c r="N5818" t="inlineStr">
        <is>
          <t>Notechis scutatus</t>
        </is>
      </c>
      <c r="O5818" t="inlineStr">
        <is>
          <t>ATP synthase F(0) complex subunit C3, mitochondrial</t>
        </is>
      </c>
    </row>
    <row r="5819">
      <c r="A5819" t="inlineStr"/>
      <c r="B5819" t="inlineStr"/>
      <c r="C5819" t="inlineStr"/>
      <c r="D5819" t="inlineStr"/>
      <c r="E5819">
        <f>HYPERLINK("https://www.ncbi.nlm.nih.gov/gene/?term=XP_034283761.1", "XP_034283761.1")</f>
        <v/>
      </c>
      <c r="F5819" t="n">
        <v>78</v>
      </c>
      <c r="G5819" t="n">
        <v>109</v>
      </c>
      <c r="H5819" t="n">
        <v>3.24e-44</v>
      </c>
      <c r="I5819" t="inlineStr">
        <is>
          <t>Nr</t>
        </is>
      </c>
      <c r="J5819" t="inlineStr"/>
      <c r="K5819" t="inlineStr"/>
      <c r="L5819" t="inlineStr">
        <is>
          <t>XP_034283761.1 ATP synthase F(0) complex subunit C3, mitochondrial [Pantherophis guttatus]</t>
        </is>
      </c>
      <c r="M5819" t="n">
        <v>143</v>
      </c>
      <c r="N5819" t="inlineStr">
        <is>
          <t>Pantherophis guttatus</t>
        </is>
      </c>
      <c r="O5819" t="inlineStr">
        <is>
          <t>ATP synthase F(0) complex subunit C3, mitochondrial</t>
        </is>
      </c>
    </row>
    <row r="5820">
      <c r="A5820" t="inlineStr"/>
      <c r="B5820" t="inlineStr"/>
      <c r="C5820" t="inlineStr"/>
      <c r="D5820" t="inlineStr"/>
      <c r="E5820">
        <f>HYPERLINK("https://www.ncbi.nlm.nih.gov/gene/?term=XP_033802417.1", "XP_033802417.1")</f>
        <v/>
      </c>
      <c r="F5820" t="n">
        <v>84.09999999999999</v>
      </c>
      <c r="G5820" t="n">
        <v>107</v>
      </c>
      <c r="H5820" t="n">
        <v>4.32e-44</v>
      </c>
      <c r="I5820" t="inlineStr">
        <is>
          <t>Nr</t>
        </is>
      </c>
      <c r="J5820" t="inlineStr"/>
      <c r="K5820" t="inlineStr"/>
      <c r="L5820" t="inlineStr">
        <is>
          <t>XP_033802417.1 ATP synthase F(0) complex subunit C3, mitochondrial [Geotrypetes seraphini]</t>
        </is>
      </c>
      <c r="M5820" t="n">
        <v>141</v>
      </c>
      <c r="N5820" t="inlineStr">
        <is>
          <t>Geotrypetes seraphini</t>
        </is>
      </c>
      <c r="O5820" t="inlineStr">
        <is>
          <t>ATP synthase F(0) complex subunit C3, mitochondrial</t>
        </is>
      </c>
    </row>
    <row r="5821">
      <c r="A5821" t="inlineStr"/>
      <c r="B5821" t="inlineStr"/>
      <c r="C5821" t="inlineStr"/>
      <c r="D5821" t="inlineStr"/>
      <c r="E5821">
        <f>HYPERLINK("https://www.ncbi.nlm.nih.gov/gene/?term=XP_027316806.1", "XP_027316806.1")</f>
        <v/>
      </c>
      <c r="F5821" t="n">
        <v>83.7</v>
      </c>
      <c r="G5821" t="n">
        <v>104</v>
      </c>
      <c r="H5821" t="n">
        <v>6.130000000000001e-44</v>
      </c>
      <c r="I5821" t="inlineStr">
        <is>
          <t>Nr</t>
        </is>
      </c>
      <c r="J5821" t="inlineStr"/>
      <c r="K5821" t="inlineStr"/>
      <c r="L5821" t="inlineStr">
        <is>
          <t>XP_027316806.1 ATP synthase F(0) complex subunit C3, mitochondrial [Anas platyrhynchos]</t>
        </is>
      </c>
      <c r="M5821" t="n">
        <v>141</v>
      </c>
      <c r="N5821" t="inlineStr">
        <is>
          <t>Anas platyrhynchos</t>
        </is>
      </c>
      <c r="O5821" t="inlineStr">
        <is>
          <t>ATP synthase F(0) complex subunit C3, mitochondrial</t>
        </is>
      </c>
    </row>
    <row r="5822">
      <c r="A5822" t="inlineStr"/>
      <c r="B5822" t="inlineStr"/>
      <c r="C5822" t="inlineStr"/>
      <c r="D5822" t="inlineStr"/>
      <c r="E5822">
        <f>HYPERLINK("https://www.ncbi.nlm.nih.gov/gene/?term=XP_015282130.1", "XP_015282130.1")</f>
        <v/>
      </c>
      <c r="F5822" t="n">
        <v>77.09999999999999</v>
      </c>
      <c r="G5822" t="n">
        <v>109</v>
      </c>
      <c r="H5822" t="n">
        <v>6.52e-44</v>
      </c>
      <c r="I5822" t="inlineStr">
        <is>
          <t>Nr</t>
        </is>
      </c>
      <c r="J5822" t="inlineStr"/>
      <c r="K5822" t="inlineStr"/>
      <c r="L5822" t="inlineStr">
        <is>
          <t>XP_015282130.1 PREDICTED: ATP synthase F(0) complex subunit C3, mitochondrial [Gekko japonicus]</t>
        </is>
      </c>
      <c r="M5822" t="n">
        <v>143</v>
      </c>
      <c r="N5822" t="inlineStr">
        <is>
          <t>Gekko japonicus</t>
        </is>
      </c>
      <c r="O5822" t="inlineStr">
        <is>
          <t>PREDICTED: ATP synthase F(0) complex subunit C3, mitochondrial</t>
        </is>
      </c>
    </row>
    <row r="5823">
      <c r="A5823" t="inlineStr"/>
      <c r="B5823" t="inlineStr"/>
      <c r="C5823" t="inlineStr"/>
      <c r="D5823" t="inlineStr"/>
      <c r="E5823">
        <f>HYPERLINK("https://www.uniprot.org/uniprotkb/Q3ZC75/entry", "Q3ZC75")</f>
        <v/>
      </c>
      <c r="F5823" t="n">
        <v>76.90000000000001</v>
      </c>
      <c r="G5823" t="n">
        <v>104</v>
      </c>
      <c r="H5823" t="n">
        <v>2.56e-41</v>
      </c>
      <c r="I5823" t="inlineStr">
        <is>
          <t>Swiss-Prot</t>
        </is>
      </c>
      <c r="J5823" t="inlineStr">
        <is>
          <t>ATP5MC3</t>
        </is>
      </c>
      <c r="K5823" t="inlineStr">
        <is>
          <t>AT5G3_BOVIN</t>
        </is>
      </c>
      <c r="L5823" t="inlineStr">
        <is>
          <t>sp|Q3ZC75|AT5G3_BOVIN ATP synthase F(0) complex subunit C3, mitochondrial OS=Bos taurus OX=9913 GN=ATP5MC3 PE=2 SV=1</t>
        </is>
      </c>
      <c r="M5823" t="n">
        <v>141</v>
      </c>
      <c r="N5823" t="inlineStr">
        <is>
          <t>Bos taurus</t>
        </is>
      </c>
      <c r="O5823" t="inlineStr">
        <is>
          <t>ATP synthase F(0) complex subunit C3, mitochondrial</t>
        </is>
      </c>
    </row>
    <row r="5824">
      <c r="A5824" t="inlineStr"/>
      <c r="B5824" t="inlineStr"/>
      <c r="C5824" t="inlineStr"/>
      <c r="D5824" t="inlineStr"/>
      <c r="E5824">
        <f>HYPERLINK("https://www.uniprot.org/uniprotkb/P56384/entry", "P56384")</f>
        <v/>
      </c>
      <c r="F5824" t="n">
        <v>78.8</v>
      </c>
      <c r="G5824" t="n">
        <v>104</v>
      </c>
      <c r="H5824" t="n">
        <v>2.56e-41</v>
      </c>
      <c r="I5824" t="inlineStr">
        <is>
          <t>Swiss-Prot</t>
        </is>
      </c>
      <c r="J5824" t="inlineStr">
        <is>
          <t>Atp5mc3</t>
        </is>
      </c>
      <c r="K5824" t="inlineStr">
        <is>
          <t>AT5G3_MOUSE</t>
        </is>
      </c>
      <c r="L5824" t="inlineStr">
        <is>
          <t>sp|P56384|AT5G3_MOUSE ATP synthase F(0) complex subunit C3, mitochondrial OS=Mus musculus OX=10090 GN=Atp5mc3 PE=1 SV=1</t>
        </is>
      </c>
      <c r="M5824" t="n">
        <v>141</v>
      </c>
      <c r="N5824" t="inlineStr">
        <is>
          <t>Mus musculus</t>
        </is>
      </c>
      <c r="O5824" t="inlineStr">
        <is>
          <t>ATP synthase F(0) complex subunit C3, mitochondrial</t>
        </is>
      </c>
    </row>
    <row r="5825">
      <c r="A5825" t="inlineStr"/>
      <c r="B5825" t="inlineStr"/>
      <c r="C5825" t="inlineStr"/>
      <c r="D5825" t="inlineStr"/>
      <c r="E5825">
        <f>HYPERLINK("https://www.uniprot.org/uniprotkb/P48201/entry", "P48201")</f>
        <v/>
      </c>
      <c r="F5825" t="n">
        <v>79</v>
      </c>
      <c r="G5825" t="n">
        <v>105</v>
      </c>
      <c r="H5825" t="n">
        <v>1.07e-40</v>
      </c>
      <c r="I5825" t="inlineStr">
        <is>
          <t>Swiss-Prot</t>
        </is>
      </c>
      <c r="J5825" t="inlineStr">
        <is>
          <t>ATP5MC3</t>
        </is>
      </c>
      <c r="K5825" t="inlineStr">
        <is>
          <t>AT5G3_HUMAN</t>
        </is>
      </c>
      <c r="L5825" t="inlineStr">
        <is>
          <t>sp|P48201|AT5G3_HUMAN ATP synthase F(0) complex subunit C3, mitochondrial OS=Homo sapiens OX=9606 GN=ATP5MC3 PE=1 SV=1</t>
        </is>
      </c>
      <c r="M5825" t="n">
        <v>142</v>
      </c>
      <c r="N5825" t="inlineStr">
        <is>
          <t>Homo sapiens</t>
        </is>
      </c>
      <c r="O5825" t="inlineStr">
        <is>
          <t>ATP synthase F(0) complex subunit C3, mitochondrial</t>
        </is>
      </c>
    </row>
    <row r="5826">
      <c r="A5826" t="inlineStr"/>
      <c r="B5826" t="inlineStr"/>
      <c r="C5826" t="inlineStr"/>
      <c r="D5826" t="inlineStr"/>
      <c r="E5826">
        <f>HYPERLINK("https://www.uniprot.org/uniprotkb/Q71S46/entry", "Q71S46")</f>
        <v/>
      </c>
      <c r="F5826" t="n">
        <v>79</v>
      </c>
      <c r="G5826" t="n">
        <v>105</v>
      </c>
      <c r="H5826" t="n">
        <v>1.07e-40</v>
      </c>
      <c r="I5826" t="inlineStr">
        <is>
          <t>Swiss-Prot</t>
        </is>
      </c>
      <c r="J5826" t="inlineStr">
        <is>
          <t>Atp5mc3</t>
        </is>
      </c>
      <c r="K5826" t="inlineStr">
        <is>
          <t>AT5G3_RAT</t>
        </is>
      </c>
      <c r="L5826" t="inlineStr">
        <is>
          <t>sp|Q71S46|AT5G3_RAT ATP synthase F(0) complex subunit C3, mitochondrial OS=Rattus norvegicus OX=10116 GN=Atp5mc3 PE=1 SV=1</t>
        </is>
      </c>
      <c r="M5826" t="n">
        <v>142</v>
      </c>
      <c r="N5826" t="inlineStr">
        <is>
          <t>Rattus norvegicus</t>
        </is>
      </c>
      <c r="O5826" t="inlineStr">
        <is>
          <t>ATP synthase F(0) complex subunit C3, mitochondrial</t>
        </is>
      </c>
    </row>
    <row r="5827">
      <c r="A5827" t="inlineStr"/>
      <c r="B5827" t="inlineStr"/>
      <c r="C5827" t="inlineStr"/>
      <c r="D5827" t="inlineStr"/>
      <c r="E5827">
        <f>HYPERLINK("https://www.uniprot.org/uniprotkb/Q5RFL2/entry", "Q5RFL2")</f>
        <v/>
      </c>
      <c r="F5827" t="n">
        <v>79</v>
      </c>
      <c r="G5827" t="n">
        <v>105</v>
      </c>
      <c r="H5827" t="n">
        <v>1.52e-40</v>
      </c>
      <c r="I5827" t="inlineStr">
        <is>
          <t>Swiss-Prot</t>
        </is>
      </c>
      <c r="J5827" t="inlineStr">
        <is>
          <t>ATP5MC3</t>
        </is>
      </c>
      <c r="K5827" t="inlineStr">
        <is>
          <t>AT5G3_PONAB</t>
        </is>
      </c>
      <c r="L5827" t="inlineStr">
        <is>
          <t>sp|Q5RFL2|AT5G3_PONAB ATP synthase F(0) complex subunit C3, mitochondrial OS=Pongo abelii OX=9601 GN=ATP5MC3 PE=2 SV=1</t>
        </is>
      </c>
      <c r="M5827" t="n">
        <v>142</v>
      </c>
      <c r="N5827" t="inlineStr">
        <is>
          <t>Pongo abelii</t>
        </is>
      </c>
      <c r="O5827" t="inlineStr">
        <is>
          <t>ATP synthase F(0) complex subunit C3, mitochondrial</t>
        </is>
      </c>
    </row>
    <row r="5828">
      <c r="A5828" t="inlineStr"/>
      <c r="B5828" t="inlineStr"/>
      <c r="C5828" t="inlineStr"/>
      <c r="D5828" t="inlineStr"/>
      <c r="E5828">
        <f>HYPERLINK("https://www.uniprot.org/uniprotkb/Q5RAP9/entry", "Q5RAP9")</f>
        <v/>
      </c>
      <c r="F5828" t="n">
        <v>65.40000000000001</v>
      </c>
      <c r="G5828" t="n">
        <v>107</v>
      </c>
      <c r="H5828" t="n">
        <v>1e-33</v>
      </c>
      <c r="I5828" t="inlineStr">
        <is>
          <t>Swiss-Prot</t>
        </is>
      </c>
      <c r="J5828" t="inlineStr">
        <is>
          <t>ATP5MC2</t>
        </is>
      </c>
      <c r="K5828" t="inlineStr">
        <is>
          <t>AT5G2_PONAB</t>
        </is>
      </c>
      <c r="L5828" t="inlineStr">
        <is>
          <t>sp|Q5RAP9|AT5G2_PONAB ATP synthase F(0) complex subunit C2, mitochondrial OS=Pongo abelii OX=9601 GN=ATP5MC2 PE=2 SV=1</t>
        </is>
      </c>
      <c r="M5828" t="n">
        <v>141</v>
      </c>
      <c r="N5828" t="inlineStr">
        <is>
          <t>Pongo abelii</t>
        </is>
      </c>
      <c r="O5828" t="inlineStr">
        <is>
          <t>ATP synthase F(0) complex subunit C2, mitochondrial</t>
        </is>
      </c>
    </row>
    <row r="5829">
      <c r="A5829" t="inlineStr"/>
      <c r="B5829" t="inlineStr"/>
      <c r="C5829" t="inlineStr"/>
      <c r="D5829" t="inlineStr"/>
      <c r="E5829">
        <f>HYPERLINK("https://www.uniprot.org/uniprotkb/Q06055/entry", "Q06055")</f>
        <v/>
      </c>
      <c r="F5829" t="n">
        <v>66.40000000000001</v>
      </c>
      <c r="G5829" t="n">
        <v>107</v>
      </c>
      <c r="H5829" t="n">
        <v>2.01e-33</v>
      </c>
      <c r="I5829" t="inlineStr">
        <is>
          <t>Swiss-Prot</t>
        </is>
      </c>
      <c r="J5829" t="inlineStr">
        <is>
          <t>ATP5MC2</t>
        </is>
      </c>
      <c r="K5829" t="inlineStr">
        <is>
          <t>AT5G2_HUMAN</t>
        </is>
      </c>
      <c r="L5829" t="inlineStr">
        <is>
          <t>sp|Q06055|AT5G2_HUMAN ATP synthase F(0) complex subunit C2, mitochondrial OS=Homo sapiens OX=9606 GN=ATP5MC2 PE=1 SV=1</t>
        </is>
      </c>
      <c r="M5829" t="n">
        <v>141</v>
      </c>
      <c r="N5829" t="inlineStr">
        <is>
          <t>Homo sapiens</t>
        </is>
      </c>
      <c r="O5829" t="inlineStr">
        <is>
          <t>ATP synthase F(0) complex subunit C2, mitochondrial</t>
        </is>
      </c>
    </row>
    <row r="5830">
      <c r="A5830" t="inlineStr"/>
      <c r="B5830" t="inlineStr"/>
      <c r="C5830" t="inlineStr"/>
      <c r="D5830" t="inlineStr"/>
      <c r="E5830">
        <f>HYPERLINK("https://www.uniprot.org/uniprotkb/Q9CR84/entry", "Q9CR84")</f>
        <v/>
      </c>
      <c r="F5830" t="n">
        <v>68.3</v>
      </c>
      <c r="G5830" t="n">
        <v>104</v>
      </c>
      <c r="H5830" t="n">
        <v>2.01e-32</v>
      </c>
      <c r="I5830" t="inlineStr">
        <is>
          <t>Swiss-Prot</t>
        </is>
      </c>
      <c r="J5830" t="inlineStr">
        <is>
          <t>Atp5mc1</t>
        </is>
      </c>
      <c r="K5830" t="inlineStr">
        <is>
          <t>AT5G1_MOUSE</t>
        </is>
      </c>
      <c r="L5830" t="inlineStr">
        <is>
          <t>sp|Q9CR84|AT5G1_MOUSE ATP synthase F(0) complex subunit C1, mitochondrial OS=Mus musculus OX=10090 GN=Atp5mc1 PE=1 SV=1</t>
        </is>
      </c>
      <c r="M5830" t="n">
        <v>136</v>
      </c>
      <c r="N5830" t="inlineStr">
        <is>
          <t>Mus musculus</t>
        </is>
      </c>
      <c r="O5830" t="inlineStr">
        <is>
          <t>ATP synthase F(0) complex subunit C1, mitochondrial</t>
        </is>
      </c>
    </row>
    <row r="5831">
      <c r="A5831" t="inlineStr"/>
      <c r="B5831" t="inlineStr"/>
      <c r="C5831" t="inlineStr"/>
      <c r="D5831" t="inlineStr"/>
      <c r="E5831">
        <f>HYPERLINK("https://www.uniprot.org/uniprotkb/Q06646/entry", "Q06646")</f>
        <v/>
      </c>
      <c r="F5831" t="n">
        <v>69.3</v>
      </c>
      <c r="G5831" t="n">
        <v>101</v>
      </c>
      <c r="H5831" t="n">
        <v>2.31e-32</v>
      </c>
      <c r="I5831" t="inlineStr">
        <is>
          <t>Swiss-Prot</t>
        </is>
      </c>
      <c r="J5831" t="inlineStr">
        <is>
          <t>Atp5mc2</t>
        </is>
      </c>
      <c r="K5831" t="inlineStr">
        <is>
          <t>AT5G2_RAT</t>
        </is>
      </c>
      <c r="L5831" t="inlineStr">
        <is>
          <t>sp|Q06646|AT5G2_RAT ATP synthase F(0) complex subunit C2, mitochondrial OS=Rattus norvegicus OX=10116 GN=Atp5mc2 PE=1 SV=1</t>
        </is>
      </c>
      <c r="M5831" t="n">
        <v>141</v>
      </c>
      <c r="N5831" t="inlineStr">
        <is>
          <t>Rattus norvegicus</t>
        </is>
      </c>
      <c r="O5831" t="inlineStr">
        <is>
          <t>ATP synthase F(0) complex subunit C2, mitochondrial</t>
        </is>
      </c>
    </row>
    <row r="5832">
      <c r="A5832" t="inlineStr"/>
      <c r="B5832" t="inlineStr"/>
      <c r="C5832" t="inlineStr"/>
      <c r="D5832" t="inlineStr"/>
      <c r="E5832">
        <f>HYPERLINK("https://www.uniprot.org/uniprotkb/P32876/entry", "P32876")</f>
        <v/>
      </c>
      <c r="F5832" t="n">
        <v>69.2</v>
      </c>
      <c r="G5832" t="n">
        <v>104</v>
      </c>
      <c r="H5832" t="n">
        <v>2.84e-32</v>
      </c>
      <c r="I5832" t="inlineStr">
        <is>
          <t>Swiss-Prot</t>
        </is>
      </c>
      <c r="J5832" t="inlineStr">
        <is>
          <t>ATP5MC1</t>
        </is>
      </c>
      <c r="K5832" t="inlineStr">
        <is>
          <t>AT5G1_BOVIN</t>
        </is>
      </c>
      <c r="L5832" t="inlineStr">
        <is>
          <t>sp|P32876|AT5G1_BOVIN ATP synthase F(0) complex subunit C1, mitochondrial OS=Bos taurus OX=9913 GN=ATP5MC1 PE=1 SV=1</t>
        </is>
      </c>
      <c r="M5832" t="n">
        <v>136</v>
      </c>
      <c r="N5832" t="inlineStr">
        <is>
          <t>Bos taurus</t>
        </is>
      </c>
      <c r="O5832" t="inlineStr">
        <is>
          <t>ATP synthase F(0) complex subunit C1, mitochondrial</t>
        </is>
      </c>
    </row>
    <row r="5833">
      <c r="A5833" t="inlineStr"/>
      <c r="B5833" t="inlineStr"/>
      <c r="C5833" t="inlineStr"/>
      <c r="D5833" t="inlineStr"/>
      <c r="E5833">
        <f>HYPERLINK("https://www.uniprot.org/uniprotkb/A1XQS5/entry", "A1XQS5")</f>
        <v/>
      </c>
      <c r="F5833" t="n">
        <v>66.3</v>
      </c>
      <c r="G5833" t="n">
        <v>104</v>
      </c>
      <c r="H5833" t="n">
        <v>5.72e-32</v>
      </c>
      <c r="I5833" t="inlineStr">
        <is>
          <t>Swiss-Prot</t>
        </is>
      </c>
      <c r="J5833" t="inlineStr">
        <is>
          <t>ATP5MC1</t>
        </is>
      </c>
      <c r="K5833" t="inlineStr">
        <is>
          <t>AT5G1_PIG</t>
        </is>
      </c>
      <c r="L5833" t="inlineStr">
        <is>
          <t>sp|A1XQS5|AT5G1_PIG ATP synthase F(0) complex subunit C1, mitochondrial OS=Sus scrofa OX=9823 GN=ATP5MC1 PE=2 SV=1</t>
        </is>
      </c>
      <c r="M5833" t="n">
        <v>136</v>
      </c>
      <c r="N5833" t="inlineStr">
        <is>
          <t>Sus scrofa</t>
        </is>
      </c>
      <c r="O5833" t="inlineStr">
        <is>
          <t>ATP synthase F(0) complex subunit C1, mitochondrial</t>
        </is>
      </c>
    </row>
    <row r="5834">
      <c r="A5834" t="inlineStr"/>
      <c r="B5834" t="inlineStr"/>
      <c r="C5834" t="inlineStr"/>
      <c r="D5834" t="inlineStr"/>
      <c r="E5834">
        <f>HYPERLINK("https://www.uniprot.org/uniprotkb/Q06645/entry", "Q06645")</f>
        <v/>
      </c>
      <c r="F5834" t="n">
        <v>68.3</v>
      </c>
      <c r="G5834" t="n">
        <v>104</v>
      </c>
      <c r="H5834" t="n">
        <v>8.1e-32</v>
      </c>
      <c r="I5834" t="inlineStr">
        <is>
          <t>Swiss-Prot</t>
        </is>
      </c>
      <c r="J5834" t="inlineStr">
        <is>
          <t>Atp5mc1</t>
        </is>
      </c>
      <c r="K5834" t="inlineStr">
        <is>
          <t>AT5G1_RAT</t>
        </is>
      </c>
      <c r="L5834" t="inlineStr">
        <is>
          <t>sp|Q06645|AT5G1_RAT ATP synthase F(0) complex subunit C1, mitochondrial OS=Rattus norvegicus OX=10116 GN=Atp5mc1 PE=1 SV=1</t>
        </is>
      </c>
      <c r="M5834" t="n">
        <v>136</v>
      </c>
      <c r="N5834" t="inlineStr">
        <is>
          <t>Rattus norvegicus</t>
        </is>
      </c>
      <c r="O5834" t="inlineStr">
        <is>
          <t>ATP synthase F(0) complex subunit C1, mitochondrial</t>
        </is>
      </c>
    </row>
    <row r="5835">
      <c r="A5835" t="inlineStr"/>
      <c r="B5835" t="inlineStr"/>
      <c r="C5835" t="inlineStr"/>
      <c r="D5835" t="inlineStr"/>
      <c r="E5835">
        <f>HYPERLINK("https://www.uniprot.org/uniprotkb/P17605/entry", "P17605")</f>
        <v/>
      </c>
      <c r="F5835" t="n">
        <v>69.2</v>
      </c>
      <c r="G5835" t="n">
        <v>104</v>
      </c>
      <c r="H5835" t="n">
        <v>8.1e-32</v>
      </c>
      <c r="I5835" t="inlineStr">
        <is>
          <t>Swiss-Prot</t>
        </is>
      </c>
      <c r="J5835" t="inlineStr">
        <is>
          <t>ATP5MC1</t>
        </is>
      </c>
      <c r="K5835" t="inlineStr">
        <is>
          <t>AT5G1_SHEEP</t>
        </is>
      </c>
      <c r="L5835" t="inlineStr">
        <is>
          <t>sp|P17605|AT5G1_SHEEP ATP synthase F(0) complex subunit C1, mitochondrial OS=Ovis aries OX=9940 GN=ATP5MC1 PE=1 SV=2</t>
        </is>
      </c>
      <c r="M5835" t="n">
        <v>136</v>
      </c>
      <c r="N5835" t="inlineStr">
        <is>
          <t>Ovis aries</t>
        </is>
      </c>
      <c r="O5835" t="inlineStr">
        <is>
          <t>ATP synthase F(0) complex subunit C1, mitochondrial</t>
        </is>
      </c>
    </row>
    <row r="5836">
      <c r="A5836" t="inlineStr"/>
      <c r="B5836" t="inlineStr"/>
      <c r="C5836" t="inlineStr"/>
      <c r="D5836" t="inlineStr"/>
      <c r="E5836">
        <f>HYPERLINK("https://www.uniprot.org/uniprotkb/P56383/entry", "P56383")</f>
        <v/>
      </c>
      <c r="F5836" t="n">
        <v>66.7</v>
      </c>
      <c r="G5836" t="n">
        <v>102</v>
      </c>
      <c r="H5836" t="n">
        <v>1.53e-31</v>
      </c>
      <c r="I5836" t="inlineStr">
        <is>
          <t>Swiss-Prot</t>
        </is>
      </c>
      <c r="J5836" t="inlineStr">
        <is>
          <t>Atp5mc2</t>
        </is>
      </c>
      <c r="K5836" t="inlineStr">
        <is>
          <t>AT5G2_MOUSE</t>
        </is>
      </c>
      <c r="L5836" t="inlineStr">
        <is>
          <t>sp|P56383|AT5G2_MOUSE ATP synthase F(0) complex subunit C2, mitochondrial OS=Mus musculus OX=10090 GN=Atp5mc2 PE=1 SV=2</t>
        </is>
      </c>
      <c r="M5836" t="n">
        <v>146</v>
      </c>
      <c r="N5836" t="inlineStr">
        <is>
          <t>Mus musculus</t>
        </is>
      </c>
      <c r="O5836" t="inlineStr">
        <is>
          <t>ATP synthase F(0) complex subunit C2, mitochondrial</t>
        </is>
      </c>
    </row>
    <row r="5837">
      <c r="A5837" t="inlineStr"/>
      <c r="B5837" t="inlineStr"/>
      <c r="C5837" t="inlineStr"/>
      <c r="D5837" t="inlineStr"/>
      <c r="E5837">
        <f>HYPERLINK("https://www.uniprot.org/uniprotkb/P05496/entry", "P05496")</f>
        <v/>
      </c>
      <c r="F5837" t="n">
        <v>66.7</v>
      </c>
      <c r="G5837" t="n">
        <v>102</v>
      </c>
      <c r="H5837" t="n">
        <v>2.31e-31</v>
      </c>
      <c r="I5837" t="inlineStr">
        <is>
          <t>Swiss-Prot</t>
        </is>
      </c>
      <c r="J5837" t="inlineStr">
        <is>
          <t>ATP5MC1</t>
        </is>
      </c>
      <c r="K5837" t="inlineStr">
        <is>
          <t>AT5G1_HUMAN</t>
        </is>
      </c>
      <c r="L5837" t="inlineStr">
        <is>
          <t>sp|P05496|AT5G1_HUMAN ATP synthase F(0) complex subunit C1, mitochondrial OS=Homo sapiens OX=9606 GN=ATP5MC1 PE=1 SV=2</t>
        </is>
      </c>
      <c r="M5837" t="n">
        <v>136</v>
      </c>
      <c r="N5837" t="inlineStr">
        <is>
          <t>Homo sapiens</t>
        </is>
      </c>
      <c r="O5837" t="inlineStr">
        <is>
          <t>ATP synthase F(0) complex subunit C1, mitochondrial</t>
        </is>
      </c>
    </row>
    <row r="5838">
      <c r="A5838" t="inlineStr"/>
      <c r="B5838" t="inlineStr"/>
      <c r="C5838" t="inlineStr"/>
      <c r="D5838" t="inlineStr"/>
      <c r="E5838">
        <f>HYPERLINK("https://www.uniprot.org/uniprotkb/P07926/entry", "P07926")</f>
        <v/>
      </c>
      <c r="F5838" t="n">
        <v>65.7</v>
      </c>
      <c r="G5838" t="n">
        <v>108</v>
      </c>
      <c r="H5838" t="n">
        <v>2.82e-31</v>
      </c>
      <c r="I5838" t="inlineStr">
        <is>
          <t>Swiss-Prot</t>
        </is>
      </c>
      <c r="J5838" t="inlineStr">
        <is>
          <t>ATP5MC2</t>
        </is>
      </c>
      <c r="K5838" t="inlineStr">
        <is>
          <t>AT5G2_BOVIN</t>
        </is>
      </c>
      <c r="L5838" t="inlineStr">
        <is>
          <t>sp|P07926|AT5G2_BOVIN ATP synthase F(0) complex subunit C2, mitochondrial OS=Bos taurus OX=9913 GN=ATP5MC2 PE=1 SV=1</t>
        </is>
      </c>
      <c r="M5838" t="n">
        <v>143</v>
      </c>
      <c r="N5838" t="inlineStr">
        <is>
          <t>Bos taurus</t>
        </is>
      </c>
      <c r="O5838" t="inlineStr">
        <is>
          <t>ATP synthase F(0) complex subunit C2, mitochondrial</t>
        </is>
      </c>
    </row>
    <row r="5839">
      <c r="A5839" t="inlineStr"/>
      <c r="B5839" t="inlineStr"/>
      <c r="C5839" t="inlineStr"/>
      <c r="D5839" t="inlineStr"/>
      <c r="E5839">
        <f>HYPERLINK("https://www.uniprot.org/uniprotkb/Q06056/entry", "Q06056")</f>
        <v/>
      </c>
      <c r="F5839" t="n">
        <v>64.8</v>
      </c>
      <c r="G5839" t="n">
        <v>108</v>
      </c>
      <c r="H5839" t="n">
        <v>8.020000000000001e-31</v>
      </c>
      <c r="I5839" t="inlineStr">
        <is>
          <t>Swiss-Prot</t>
        </is>
      </c>
      <c r="J5839" t="inlineStr">
        <is>
          <t>ATP5MC2</t>
        </is>
      </c>
      <c r="K5839" t="inlineStr">
        <is>
          <t>AT5G2_SHEEP</t>
        </is>
      </c>
      <c r="L5839" t="inlineStr">
        <is>
          <t>sp|Q06056|AT5G2_SHEEP ATP synthase F(0) complex subunit C2, mitochondrial OS=Ovis aries OX=9940 GN=ATP5MC2 PE=2 SV=1</t>
        </is>
      </c>
      <c r="M5839" t="n">
        <v>143</v>
      </c>
      <c r="N5839" t="inlineStr">
        <is>
          <t>Ovis aries</t>
        </is>
      </c>
      <c r="O5839" t="inlineStr">
        <is>
          <t>ATP synthase F(0) complex subunit C2, mitochondrial</t>
        </is>
      </c>
    </row>
    <row r="5840">
      <c r="A5840" t="inlineStr"/>
      <c r="B5840" t="inlineStr"/>
      <c r="C5840" t="inlineStr"/>
      <c r="D5840" t="inlineStr"/>
      <c r="E5840">
        <f>HYPERLINK("https://www.uniprot.org/uniprotkb/Q9U505/entry", "Q9U505")</f>
        <v/>
      </c>
      <c r="F5840" t="n">
        <v>86.40000000000001</v>
      </c>
      <c r="G5840" t="n">
        <v>59</v>
      </c>
      <c r="H5840" t="n">
        <v>9.970000000000001e-27</v>
      </c>
      <c r="I5840" t="inlineStr">
        <is>
          <t>Swiss-Prot</t>
        </is>
      </c>
      <c r="J5840" t="inlineStr"/>
      <c r="K5840" t="inlineStr">
        <is>
          <t>AT5G_MANSE</t>
        </is>
      </c>
      <c r="L5840" t="inlineStr">
        <is>
          <t>sp|Q9U505|AT5G_MANSE ATP synthase lipid-binding protein, mitochondrial OS=Manduca sexta OX=7130 PE=2 SV=1</t>
        </is>
      </c>
      <c r="M5840" t="n">
        <v>131</v>
      </c>
      <c r="N5840" t="inlineStr">
        <is>
          <t>Manduca sexta</t>
        </is>
      </c>
      <c r="O5840" t="inlineStr">
        <is>
          <t>ATP synthase lipid-binding protein, mitochondrial</t>
        </is>
      </c>
    </row>
    <row r="5841">
      <c r="A5841" t="inlineStr"/>
      <c r="B5841" t="inlineStr"/>
      <c r="C5841" t="inlineStr"/>
      <c r="D5841" t="inlineStr"/>
      <c r="E5841">
        <f>HYPERLINK("https://www.uniprot.org/uniprotkb/A8XDX2/entry", "A8XDX2")</f>
        <v/>
      </c>
      <c r="F5841" t="n">
        <v>75.8</v>
      </c>
      <c r="G5841" t="n">
        <v>62</v>
      </c>
      <c r="H5841" t="n">
        <v>4.01e-23</v>
      </c>
      <c r="I5841" t="inlineStr">
        <is>
          <t>Swiss-Prot</t>
        </is>
      </c>
      <c r="J5841" t="inlineStr">
        <is>
          <t>CBG11706</t>
        </is>
      </c>
      <c r="K5841" t="inlineStr">
        <is>
          <t>AT5G_CAEBR</t>
        </is>
      </c>
      <c r="L5841" t="inlineStr">
        <is>
          <t>sp|A8XDX2|AT5G_CAEBR ATP synthase lipid-binding protein, mitochondrial OS=Caenorhabditis briggsae OX=6238 GN=CBG11706 PE=3 SV=1</t>
        </is>
      </c>
      <c r="M5841" t="n">
        <v>116</v>
      </c>
      <c r="N5841" t="inlineStr">
        <is>
          <t>Caenorhabditis briggsae</t>
        </is>
      </c>
      <c r="O5841" t="inlineStr">
        <is>
          <t>ATP synthase lipid-binding protein, mitochondrial</t>
        </is>
      </c>
    </row>
    <row r="5842">
      <c r="A5842" t="inlineStr"/>
      <c r="B5842" t="inlineStr"/>
      <c r="C5842" t="inlineStr"/>
      <c r="D5842" t="inlineStr"/>
      <c r="E5842">
        <f>HYPERLINK("https://www.uniprot.org/uniprotkb/Q9BKS0/entry", "Q9BKS0")</f>
        <v/>
      </c>
      <c r="F5842" t="n">
        <v>75.8</v>
      </c>
      <c r="G5842" t="n">
        <v>62</v>
      </c>
      <c r="H5842" t="n">
        <v>4.01e-23</v>
      </c>
      <c r="I5842" t="inlineStr">
        <is>
          <t>Swiss-Prot</t>
        </is>
      </c>
      <c r="J5842" t="inlineStr">
        <is>
          <t>Y82E9BR.3</t>
        </is>
      </c>
      <c r="K5842" t="inlineStr">
        <is>
          <t>AT5G_CAEEL</t>
        </is>
      </c>
      <c r="L5842" t="inlineStr">
        <is>
          <t>sp|Q9BKS0|AT5G_CAEEL ATP synthase c subunit OS=Caenorhabditis elegans OX=6239 GN=Y82E9BR.3 PE=3 SV=1</t>
        </is>
      </c>
      <c r="M5842" t="n">
        <v>116</v>
      </c>
      <c r="N5842" t="inlineStr">
        <is>
          <t>Caenorhabditis elegans</t>
        </is>
      </c>
      <c r="O5842" t="inlineStr">
        <is>
          <t>ATP synthase c subunit</t>
        </is>
      </c>
    </row>
    <row r="5843">
      <c r="A5843" t="inlineStr"/>
      <c r="B5843" t="inlineStr"/>
      <c r="C5843" t="inlineStr"/>
      <c r="D5843" t="inlineStr"/>
      <c r="E5843">
        <f>HYPERLINK("https://www.uniprot.org/uniprotkb/P48880/entry", "P48880")</f>
        <v/>
      </c>
      <c r="F5843" t="n">
        <v>73.8</v>
      </c>
      <c r="G5843" t="n">
        <v>42</v>
      </c>
      <c r="H5843" t="n">
        <v>2.66e-13</v>
      </c>
      <c r="I5843" t="inlineStr">
        <is>
          <t>Swiss-Prot</t>
        </is>
      </c>
      <c r="J5843" t="inlineStr">
        <is>
          <t>ATP9</t>
        </is>
      </c>
      <c r="K5843" t="inlineStr">
        <is>
          <t>ATP9_CHOCR</t>
        </is>
      </c>
      <c r="L5843" t="inlineStr">
        <is>
          <t>sp|P48880|ATP9_CHOCR ATP synthase subunit 9, mitochondrial OS=Chondrus crispus OX=2769 GN=ATP9 PE=3 SV=1</t>
        </is>
      </c>
      <c r="M5843" t="n">
        <v>76</v>
      </c>
      <c r="N5843" t="inlineStr">
        <is>
          <t>Chondrus crispus</t>
        </is>
      </c>
      <c r="O5843" t="inlineStr">
        <is>
          <t>ATP synthase subunit 9, mitochondrial</t>
        </is>
      </c>
    </row>
    <row r="5844">
      <c r="A5844" t="inlineStr"/>
      <c r="B5844" t="inlineStr"/>
      <c r="C5844" t="inlineStr"/>
      <c r="D5844" t="inlineStr"/>
      <c r="E5844">
        <f>HYPERLINK("https://www.uniprot.org/uniprotkb/Q12635/entry", "Q12635")</f>
        <v/>
      </c>
      <c r="F5844" t="n">
        <v>71.40000000000001</v>
      </c>
      <c r="G5844" t="n">
        <v>42</v>
      </c>
      <c r="H5844" t="n">
        <v>3.25e-11</v>
      </c>
      <c r="I5844" t="inlineStr">
        <is>
          <t>Swiss-Prot</t>
        </is>
      </c>
      <c r="J5844" t="inlineStr">
        <is>
          <t>atp-9</t>
        </is>
      </c>
      <c r="K5844" t="inlineStr">
        <is>
          <t>ATP9M_NEUCR</t>
        </is>
      </c>
      <c r="L5844" t="inlineStr">
        <is>
          <t>sp|Q12635|ATP9M_NEUCR ATP synthase subunit 9, mitochondrial OS=Neurospora crassa (strain ATCC 24698 / 74-OR23-1A / CBS 708.71 / DSM 1257 / FGSC 987) OX=367110 GN=atp-9 PE=3 SV=1</t>
        </is>
      </c>
      <c r="M5844" t="n">
        <v>74</v>
      </c>
      <c r="N5844" t="inlineStr">
        <is>
          <t>Neurospora crassa (strain ATCC 24698 / 74-OR23-1A / CBS 708.71 / DSM 1257 / FGSC 987)</t>
        </is>
      </c>
      <c r="O5844" t="inlineStr">
        <is>
          <t>ATP synthase subunit 9, mitochondrial</t>
        </is>
      </c>
    </row>
    <row r="5845">
      <c r="A5845" t="inlineStr"/>
      <c r="B5845" t="inlineStr"/>
      <c r="C5845" t="inlineStr"/>
      <c r="D5845" t="inlineStr"/>
      <c r="E5845">
        <f>HYPERLINK("https://www.uniprot.org/uniprotkb/Q01554/entry", "Q01554")</f>
        <v/>
      </c>
      <c r="F5845" t="n">
        <v>65.09999999999999</v>
      </c>
      <c r="G5845" t="n">
        <v>43</v>
      </c>
      <c r="H5845" t="n">
        <v>1.03e-09</v>
      </c>
      <c r="I5845" t="inlineStr">
        <is>
          <t>Swiss-Prot</t>
        </is>
      </c>
      <c r="J5845" t="inlineStr">
        <is>
          <t>ATP9</t>
        </is>
      </c>
      <c r="K5845" t="inlineStr">
        <is>
          <t>ATP9_TRIRU</t>
        </is>
      </c>
      <c r="L5845" t="inlineStr">
        <is>
          <t>sp|Q01554|ATP9_TRIRU ATP synthase subunit 9, mitochondrial OS=Trichophyton rubrum OX=5551 GN=ATP9 PE=3 SV=1</t>
        </is>
      </c>
      <c r="M5845" t="n">
        <v>74</v>
      </c>
      <c r="N5845" t="inlineStr">
        <is>
          <t>Trichophyton rubrum</t>
        </is>
      </c>
      <c r="O5845" t="inlineStr">
        <is>
          <t>ATP synthase subunit 9, mitochondrial</t>
        </is>
      </c>
    </row>
    <row r="5846">
      <c r="A5846" t="inlineStr"/>
      <c r="B5846" t="inlineStr"/>
      <c r="C5846" t="inlineStr"/>
      <c r="D5846" t="inlineStr"/>
      <c r="E5846">
        <f>HYPERLINK("https://www.uniprot.org/uniprotkb/P21537/entry", "P21537")</f>
        <v/>
      </c>
      <c r="F5846" t="n">
        <v>60.5</v>
      </c>
      <c r="G5846" t="n">
        <v>43</v>
      </c>
      <c r="H5846" t="n">
        <v>1.46e-09</v>
      </c>
      <c r="I5846" t="inlineStr">
        <is>
          <t>Swiss-Prot</t>
        </is>
      </c>
      <c r="J5846" t="inlineStr">
        <is>
          <t>atp9</t>
        </is>
      </c>
      <c r="K5846" t="inlineStr">
        <is>
          <t>ATP9_SCHPO</t>
        </is>
      </c>
      <c r="L5846" t="inlineStr">
        <is>
          <t>sp|P21537|ATP9_SCHPO ATP synthase subunit 9, mitochondrial OS=Schizosaccharomyces pombe (strain 972 / ATCC 24843) OX=284812 GN=atp9 PE=3 SV=3</t>
        </is>
      </c>
      <c r="M5846" t="n">
        <v>74</v>
      </c>
      <c r="N5846" t="inlineStr">
        <is>
          <t>Schizosaccharomyces pombe (strain 972 / ATCC 24843)</t>
        </is>
      </c>
      <c r="O5846" t="inlineStr">
        <is>
          <t>ATP synthase subunit 9, mitochondrial</t>
        </is>
      </c>
    </row>
    <row r="5847">
      <c r="A5847" t="inlineStr"/>
      <c r="B5847" t="inlineStr"/>
      <c r="C5847" t="inlineStr"/>
      <c r="D5847" t="inlineStr"/>
      <c r="E5847">
        <f>HYPERLINK("https://www.uniprot.org/uniprotkb/Q85Q98/entry", "Q85Q98")</f>
        <v/>
      </c>
      <c r="F5847" t="n">
        <v>62.8</v>
      </c>
      <c r="G5847" t="n">
        <v>43</v>
      </c>
      <c r="H5847" t="n">
        <v>3.05e-09</v>
      </c>
      <c r="I5847" t="inlineStr">
        <is>
          <t>Swiss-Prot</t>
        </is>
      </c>
      <c r="J5847" t="inlineStr">
        <is>
          <t>ATP9</t>
        </is>
      </c>
      <c r="K5847" t="inlineStr">
        <is>
          <t>ATP9_CANGA</t>
        </is>
      </c>
      <c r="L5847" t="inlineStr">
        <is>
          <t>sp|Q85Q98|ATP9_CANGA ATP synthase subunit 9, mitochondrial OS=Candida glabrata (strain ATCC 2001 / CBS 138 / JCM 3761 / NBRC 0622 / NRRL Y-65) OX=284593 GN=ATP9 PE=3 SV=1</t>
        </is>
      </c>
      <c r="M5847" t="n">
        <v>76</v>
      </c>
      <c r="N5847" t="inlineStr">
        <is>
          <t>Candida glabrata (strain ATCC 2001 / CBS 138 / JCM 3761 / NBRC 0622 / NRRL Y-65)</t>
        </is>
      </c>
      <c r="O5847" t="inlineStr">
        <is>
          <t>ATP synthase subunit 9, mitochondrial</t>
        </is>
      </c>
    </row>
    <row r="5848">
      <c r="A5848" t="inlineStr">
        <is>
          <t>NODE_3696_length_8345_cov_16.912539_g1464_i0</t>
        </is>
      </c>
      <c r="B5848" t="inlineStr">
        <is>
          <t>bombina_pachypus_blastx</t>
        </is>
      </c>
      <c r="C5848" t="n">
        <v>-2.48182646790729</v>
      </c>
      <c r="D5848" t="n">
        <v>0.0164578202122652</v>
      </c>
      <c r="E5848">
        <f>HYPERLINK("https://www.uniprot.org/uniprotkb/A0A803J5Q1/entry", "A0A803J5Q1")</f>
        <v/>
      </c>
      <c r="F5848" t="n">
        <v>34.1</v>
      </c>
      <c r="G5848" t="n">
        <v>1254</v>
      </c>
      <c r="H5848" t="n">
        <v>3.49e-243</v>
      </c>
      <c r="I5848" t="inlineStr">
        <is>
          <t>TrEMBL</t>
        </is>
      </c>
      <c r="J5848" t="inlineStr"/>
      <c r="K5848" t="inlineStr">
        <is>
          <t>A0A803J5Q1_XENTR</t>
        </is>
      </c>
      <c r="L5848" t="inlineStr">
        <is>
          <t>tr|A0A803J5Q1|A0A803J5Q1_XENTR Reverse transcriptase domain-containing protein OS=Xenopus tropicalis OX=8364 PE=4 SV=1</t>
        </is>
      </c>
      <c r="M5848" t="n">
        <v>1274</v>
      </c>
      <c r="N5848" t="inlineStr">
        <is>
          <t>Xenopus tropicalis</t>
        </is>
      </c>
      <c r="O5848" t="inlineStr">
        <is>
          <t>Reverse transcriptase domain-containing protein</t>
        </is>
      </c>
    </row>
    <row r="5849">
      <c r="A5849" t="inlineStr"/>
      <c r="B5849" t="inlineStr"/>
      <c r="C5849" t="inlineStr"/>
      <c r="D5849" t="inlineStr"/>
      <c r="E5849">
        <f>HYPERLINK("https://www.uniprot.org/uniprotkb/A0A8C5WDV5/entry", "A0A8C5WDV5")</f>
        <v/>
      </c>
      <c r="F5849" t="n">
        <v>35.9</v>
      </c>
      <c r="G5849" t="n">
        <v>1250</v>
      </c>
      <c r="H5849" t="n">
        <v>3.819999999999999e-242</v>
      </c>
      <c r="I5849" t="inlineStr">
        <is>
          <t>TrEMBL</t>
        </is>
      </c>
      <c r="J5849" t="inlineStr"/>
      <c r="K5849" t="inlineStr">
        <is>
          <t>A0A8C5WDV5_9ANUR</t>
        </is>
      </c>
      <c r="L5849" t="inlineStr">
        <is>
          <t>tr|A0A8C5WDV5|A0A8C5WDV5_9ANUR Reverse transcriptase domain-containing protein OS=Leptobrachium leishanense OX=445787 PE=4 SV=1</t>
        </is>
      </c>
      <c r="M5849" t="n">
        <v>1286</v>
      </c>
      <c r="N5849" t="inlineStr">
        <is>
          <t>Leptobrachium leishanense</t>
        </is>
      </c>
      <c r="O5849" t="inlineStr">
        <is>
          <t>Reverse transcriptase domain-containing protein</t>
        </is>
      </c>
    </row>
    <row r="5850">
      <c r="A5850" t="inlineStr"/>
      <c r="B5850" t="inlineStr"/>
      <c r="C5850" t="inlineStr"/>
      <c r="D5850" t="inlineStr"/>
      <c r="E5850">
        <f>HYPERLINK("https://www.uniprot.org/uniprotkb/A0A8C5Q7B2/entry", "A0A8C5Q7B2")</f>
        <v/>
      </c>
      <c r="F5850" t="n">
        <v>35.4</v>
      </c>
      <c r="G5850" t="n">
        <v>1248</v>
      </c>
      <c r="H5850" t="n">
        <v>1.7e-239</v>
      </c>
      <c r="I5850" t="inlineStr">
        <is>
          <t>TrEMBL</t>
        </is>
      </c>
      <c r="J5850" t="inlineStr"/>
      <c r="K5850" t="inlineStr">
        <is>
          <t>A0A8C5Q7B2_9ANUR</t>
        </is>
      </c>
      <c r="L5850" t="inlineStr">
        <is>
          <t>tr|A0A8C5Q7B2|A0A8C5Q7B2_9ANUR Reverse transcriptase domain-containing protein OS=Leptobrachium leishanense OX=445787 PE=4 SV=1</t>
        </is>
      </c>
      <c r="M5850" t="n">
        <v>1248</v>
      </c>
      <c r="N5850" t="inlineStr">
        <is>
          <t>Leptobrachium leishanense</t>
        </is>
      </c>
      <c r="O5850" t="inlineStr">
        <is>
          <t>Reverse transcriptase domain-containing protein</t>
        </is>
      </c>
    </row>
    <row r="5851">
      <c r="A5851" t="inlineStr"/>
      <c r="B5851" t="inlineStr"/>
      <c r="C5851" t="inlineStr"/>
      <c r="D5851" t="inlineStr"/>
      <c r="E5851">
        <f>HYPERLINK("https://www.uniprot.org/uniprotkb/A0A8C5MRI3/entry", "A0A8C5MRI3")</f>
        <v/>
      </c>
      <c r="F5851" t="n">
        <v>35.3</v>
      </c>
      <c r="G5851" t="n">
        <v>1243</v>
      </c>
      <c r="H5851" t="n">
        <v>9.429999999999999e-238</v>
      </c>
      <c r="I5851" t="inlineStr">
        <is>
          <t>TrEMBL</t>
        </is>
      </c>
      <c r="J5851" t="inlineStr"/>
      <c r="K5851" t="inlineStr">
        <is>
          <t>A0A8C5MRI3_9ANUR</t>
        </is>
      </c>
      <c r="L5851" t="inlineStr">
        <is>
          <t>tr|A0A8C5MRI3|A0A8C5MRI3_9ANUR Reverse transcriptase domain-containing protein OS=Leptobrachium leishanense OX=445787 PE=4 SV=1</t>
        </is>
      </c>
      <c r="M5851" t="n">
        <v>1269</v>
      </c>
      <c r="N5851" t="inlineStr">
        <is>
          <t>Leptobrachium leishanense</t>
        </is>
      </c>
      <c r="O5851" t="inlineStr">
        <is>
          <t>Reverse transcriptase domain-containing protein</t>
        </is>
      </c>
    </row>
    <row r="5852">
      <c r="A5852" t="inlineStr"/>
      <c r="B5852" t="inlineStr"/>
      <c r="C5852" t="inlineStr"/>
      <c r="D5852" t="inlineStr"/>
      <c r="E5852">
        <f>HYPERLINK("https://www.uniprot.org/uniprotkb/A0A8C5M8P7/entry", "A0A8C5M8P7")</f>
        <v/>
      </c>
      <c r="F5852" t="n">
        <v>35.7</v>
      </c>
      <c r="G5852" t="n">
        <v>1251</v>
      </c>
      <c r="H5852" t="n">
        <v>9.729999999999999e-232</v>
      </c>
      <c r="I5852" t="inlineStr">
        <is>
          <t>TrEMBL</t>
        </is>
      </c>
      <c r="J5852" t="inlineStr"/>
      <c r="K5852" t="inlineStr">
        <is>
          <t>A0A8C5M8P7_9ANUR</t>
        </is>
      </c>
      <c r="L5852" t="inlineStr">
        <is>
          <t>tr|A0A8C5M8P7|A0A8C5M8P7_9ANUR Reverse transcriptase domain-containing protein OS=Leptobrachium leishanense OX=445787 PE=4 SV=1</t>
        </is>
      </c>
      <c r="M5852" t="n">
        <v>1288</v>
      </c>
      <c r="N5852" t="inlineStr">
        <is>
          <t>Leptobrachium leishanense</t>
        </is>
      </c>
      <c r="O5852" t="inlineStr">
        <is>
          <t>Reverse transcriptase domain-containing protein</t>
        </is>
      </c>
    </row>
    <row r="5853">
      <c r="A5853" t="inlineStr"/>
      <c r="B5853" t="inlineStr"/>
      <c r="C5853" t="inlineStr"/>
      <c r="D5853" t="inlineStr"/>
      <c r="E5853">
        <f>HYPERLINK("https://www.uniprot.org/uniprotkb/A0A8C5PT54/entry", "A0A8C5PT54")</f>
        <v/>
      </c>
      <c r="F5853" t="n">
        <v>35</v>
      </c>
      <c r="G5853" t="n">
        <v>1258</v>
      </c>
      <c r="H5853" t="n">
        <v>3.73e-231</v>
      </c>
      <c r="I5853" t="inlineStr">
        <is>
          <t>TrEMBL</t>
        </is>
      </c>
      <c r="J5853" t="inlineStr"/>
      <c r="K5853" t="inlineStr">
        <is>
          <t>A0A8C5PT54_9ANUR</t>
        </is>
      </c>
      <c r="L5853" t="inlineStr">
        <is>
          <t>tr|A0A8C5PT54|A0A8C5PT54_9ANUR Reverse transcriptase domain-containing protein OS=Leptobrachium leishanense OX=445787 PE=4 SV=1</t>
        </is>
      </c>
      <c r="M5853" t="n">
        <v>1275</v>
      </c>
      <c r="N5853" t="inlineStr">
        <is>
          <t>Leptobrachium leishanense</t>
        </is>
      </c>
      <c r="O5853" t="inlineStr">
        <is>
          <t>Reverse transcriptase domain-containing protein</t>
        </is>
      </c>
    </row>
    <row r="5854">
      <c r="A5854" t="inlineStr"/>
      <c r="B5854" t="inlineStr"/>
      <c r="C5854" t="inlineStr"/>
      <c r="D5854" t="inlineStr"/>
      <c r="E5854">
        <f>HYPERLINK("https://www.uniprot.org/uniprotkb/A0A8C5MN92/entry", "A0A8C5MN92")</f>
        <v/>
      </c>
      <c r="F5854" t="n">
        <v>35.3</v>
      </c>
      <c r="G5854" t="n">
        <v>1256</v>
      </c>
      <c r="H5854" t="n">
        <v>9.220000000000001e-231</v>
      </c>
      <c r="I5854" t="inlineStr">
        <is>
          <t>TrEMBL</t>
        </is>
      </c>
      <c r="J5854" t="inlineStr"/>
      <c r="K5854" t="inlineStr">
        <is>
          <t>A0A8C5MN92_9ANUR</t>
        </is>
      </c>
      <c r="L5854" t="inlineStr">
        <is>
          <t>tr|A0A8C5MN92|A0A8C5MN92_9ANUR Reverse transcriptase domain-containing protein OS=Leptobrachium leishanense OX=445787 PE=4 SV=1</t>
        </is>
      </c>
      <c r="M5854" t="n">
        <v>1283</v>
      </c>
      <c r="N5854" t="inlineStr">
        <is>
          <t>Leptobrachium leishanense</t>
        </is>
      </c>
      <c r="O5854" t="inlineStr">
        <is>
          <t>Reverse transcriptase domain-containing protein</t>
        </is>
      </c>
    </row>
    <row r="5855">
      <c r="A5855" t="inlineStr"/>
      <c r="B5855" t="inlineStr"/>
      <c r="C5855" t="inlineStr"/>
      <c r="D5855" t="inlineStr"/>
      <c r="E5855">
        <f>HYPERLINK("https://www.uniprot.org/uniprotkb/A0A803K2M0/entry", "A0A803K2M0")</f>
        <v/>
      </c>
      <c r="F5855" t="n">
        <v>35.1</v>
      </c>
      <c r="G5855" t="n">
        <v>1231</v>
      </c>
      <c r="H5855" t="n">
        <v>5.399999999999999e-230</v>
      </c>
      <c r="I5855" t="inlineStr">
        <is>
          <t>TrEMBL</t>
        </is>
      </c>
      <c r="J5855" t="inlineStr"/>
      <c r="K5855" t="inlineStr">
        <is>
          <t>A0A803K2M0_XENTR</t>
        </is>
      </c>
      <c r="L5855" t="inlineStr">
        <is>
          <t>tr|A0A803K2M0|A0A803K2M0_XENTR Reverse transcriptase domain-containing protein OS=Xenopus tropicalis OX=8364 PE=4 SV=1</t>
        </is>
      </c>
      <c r="M5855" t="n">
        <v>1273</v>
      </c>
      <c r="N5855" t="inlineStr">
        <is>
          <t>Xenopus tropicalis</t>
        </is>
      </c>
      <c r="O5855" t="inlineStr">
        <is>
          <t>Reverse transcriptase domain-containing protein</t>
        </is>
      </c>
    </row>
    <row r="5856">
      <c r="A5856" t="inlineStr"/>
      <c r="B5856" t="inlineStr"/>
      <c r="C5856" t="inlineStr"/>
      <c r="D5856" t="inlineStr"/>
      <c r="E5856">
        <f>HYPERLINK("https://www.uniprot.org/uniprotkb/A0A803JVL8/entry", "A0A803JVL8")</f>
        <v/>
      </c>
      <c r="F5856" t="n">
        <v>35.4</v>
      </c>
      <c r="G5856" t="n">
        <v>1256</v>
      </c>
      <c r="H5856" t="n">
        <v>1.15e-229</v>
      </c>
      <c r="I5856" t="inlineStr">
        <is>
          <t>TrEMBL</t>
        </is>
      </c>
      <c r="J5856" t="inlineStr"/>
      <c r="K5856" t="inlineStr">
        <is>
          <t>A0A803JVL8_XENTR</t>
        </is>
      </c>
      <c r="L5856" t="inlineStr">
        <is>
          <t>tr|A0A803JVL8|A0A803JVL8_XENTR Reverse transcriptase domain-containing protein OS=Xenopus tropicalis OX=8364 PE=4 SV=1</t>
        </is>
      </c>
      <c r="M5856" t="n">
        <v>1288</v>
      </c>
      <c r="N5856" t="inlineStr">
        <is>
          <t>Xenopus tropicalis</t>
        </is>
      </c>
      <c r="O5856" t="inlineStr">
        <is>
          <t>Reverse transcriptase domain-containing protein</t>
        </is>
      </c>
    </row>
    <row r="5857">
      <c r="A5857" t="inlineStr"/>
      <c r="B5857" t="inlineStr"/>
      <c r="C5857" t="inlineStr"/>
      <c r="D5857" t="inlineStr"/>
      <c r="E5857">
        <f>HYPERLINK("https://www.uniprot.org/uniprotkb/A0A8C5RCN1/entry", "A0A8C5RCN1")</f>
        <v/>
      </c>
      <c r="F5857" t="n">
        <v>35.1</v>
      </c>
      <c r="G5857" t="n">
        <v>1253</v>
      </c>
      <c r="H5857" t="n">
        <v>1.38e-229</v>
      </c>
      <c r="I5857" t="inlineStr">
        <is>
          <t>TrEMBL</t>
        </is>
      </c>
      <c r="J5857" t="inlineStr"/>
      <c r="K5857" t="inlineStr">
        <is>
          <t>A0A8C5RCN1_9ANUR</t>
        </is>
      </c>
      <c r="L5857" t="inlineStr">
        <is>
          <t>tr|A0A8C5RCN1|A0A8C5RCN1_9ANUR Reverse transcriptase domain-containing protein OS=Leptobrachium leishanense OX=445787 PE=4 SV=1</t>
        </is>
      </c>
      <c r="M5857" t="n">
        <v>1270</v>
      </c>
      <c r="N5857" t="inlineStr">
        <is>
          <t>Leptobrachium leishanense</t>
        </is>
      </c>
      <c r="O5857" t="inlineStr">
        <is>
          <t>Reverse transcriptase domain-containing protein</t>
        </is>
      </c>
    </row>
    <row r="5858">
      <c r="A5858" t="inlineStr"/>
      <c r="B5858" t="inlineStr"/>
      <c r="C5858" t="inlineStr"/>
      <c r="D5858" t="inlineStr"/>
      <c r="E5858">
        <f>HYPERLINK("https://www.uniprot.org/uniprotkb/A0A8C5MLZ2/entry", "A0A8C5MLZ2")</f>
        <v/>
      </c>
      <c r="F5858" t="n">
        <v>35</v>
      </c>
      <c r="G5858" t="n">
        <v>1258</v>
      </c>
      <c r="H5858" t="n">
        <v>1.68e-229</v>
      </c>
      <c r="I5858" t="inlineStr">
        <is>
          <t>TrEMBL</t>
        </is>
      </c>
      <c r="J5858" t="inlineStr"/>
      <c r="K5858" t="inlineStr">
        <is>
          <t>A0A8C5MLZ2_9ANUR</t>
        </is>
      </c>
      <c r="L5858" t="inlineStr">
        <is>
          <t>tr|A0A8C5MLZ2|A0A8C5MLZ2_9ANUR Reverse transcriptase domain-containing protein OS=Leptobrachium leishanense OX=445787 PE=4 SV=1</t>
        </is>
      </c>
      <c r="M5858" t="n">
        <v>1277</v>
      </c>
      <c r="N5858" t="inlineStr">
        <is>
          <t>Leptobrachium leishanense</t>
        </is>
      </c>
      <c r="O5858" t="inlineStr">
        <is>
          <t>Reverse transcriptase domain-containing protein</t>
        </is>
      </c>
    </row>
    <row r="5859">
      <c r="A5859" t="inlineStr"/>
      <c r="B5859" t="inlineStr"/>
      <c r="C5859" t="inlineStr"/>
      <c r="D5859" t="inlineStr"/>
      <c r="E5859">
        <f>HYPERLINK("https://www.uniprot.org/uniprotkb/A0A8C5M4L4/entry", "A0A8C5M4L4")</f>
        <v/>
      </c>
      <c r="F5859" t="n">
        <v>35.1</v>
      </c>
      <c r="G5859" t="n">
        <v>1248</v>
      </c>
      <c r="H5859" t="n">
        <v>1.67e-227</v>
      </c>
      <c r="I5859" t="inlineStr">
        <is>
          <t>TrEMBL</t>
        </is>
      </c>
      <c r="J5859" t="inlineStr"/>
      <c r="K5859" t="inlineStr">
        <is>
          <t>A0A8C5M4L4_9ANUR</t>
        </is>
      </c>
      <c r="L5859" t="inlineStr">
        <is>
          <t>tr|A0A8C5M4L4|A0A8C5M4L4_9ANUR Reverse transcriptase domain-containing protein OS=Leptobrachium leishanense OX=445787 PE=4 SV=1</t>
        </is>
      </c>
      <c r="M5859" t="n">
        <v>1283</v>
      </c>
      <c r="N5859" t="inlineStr">
        <is>
          <t>Leptobrachium leishanense</t>
        </is>
      </c>
      <c r="O5859" t="inlineStr">
        <is>
          <t>Reverse transcriptase domain-containing protein</t>
        </is>
      </c>
    </row>
    <row r="5860">
      <c r="A5860" t="inlineStr"/>
      <c r="B5860" t="inlineStr"/>
      <c r="C5860" t="inlineStr"/>
      <c r="D5860" t="inlineStr"/>
      <c r="E5860">
        <f>HYPERLINK("https://www.uniprot.org/uniprotkb/A0A8C5N146/entry", "A0A8C5N146")</f>
        <v/>
      </c>
      <c r="F5860" t="n">
        <v>35.1</v>
      </c>
      <c r="G5860" t="n">
        <v>1248</v>
      </c>
      <c r="H5860" t="n">
        <v>1.71e-227</v>
      </c>
      <c r="I5860" t="inlineStr">
        <is>
          <t>TrEMBL</t>
        </is>
      </c>
      <c r="J5860" t="inlineStr"/>
      <c r="K5860" t="inlineStr">
        <is>
          <t>A0A8C5N146_9ANUR</t>
        </is>
      </c>
      <c r="L5860" t="inlineStr">
        <is>
          <t>tr|A0A8C5N146|A0A8C5N146_9ANUR Reverse transcriptase domain-containing protein OS=Leptobrachium leishanense OX=445787 PE=4 SV=1</t>
        </is>
      </c>
      <c r="M5860" t="n">
        <v>1284</v>
      </c>
      <c r="N5860" t="inlineStr">
        <is>
          <t>Leptobrachium leishanense</t>
        </is>
      </c>
      <c r="O5860" t="inlineStr">
        <is>
          <t>Reverse transcriptase domain-containing protein</t>
        </is>
      </c>
    </row>
    <row r="5861">
      <c r="A5861" t="inlineStr"/>
      <c r="B5861" t="inlineStr"/>
      <c r="C5861" t="inlineStr"/>
      <c r="D5861" t="inlineStr"/>
      <c r="E5861">
        <f>HYPERLINK("https://www.uniprot.org/uniprotkb/A0A8C5QS68/entry", "A0A8C5QS68")</f>
        <v/>
      </c>
      <c r="F5861" t="n">
        <v>34.9</v>
      </c>
      <c r="G5861" t="n">
        <v>1251</v>
      </c>
      <c r="H5861" t="n">
        <v>1.99e-227</v>
      </c>
      <c r="I5861" t="inlineStr">
        <is>
          <t>TrEMBL</t>
        </is>
      </c>
      <c r="J5861" t="inlineStr"/>
      <c r="K5861" t="inlineStr">
        <is>
          <t>A0A8C5QS68_9ANUR</t>
        </is>
      </c>
      <c r="L5861" t="inlineStr">
        <is>
          <t>tr|A0A8C5QS68|A0A8C5QS68_9ANUR Reverse transcriptase domain-containing protein OS=Leptobrachium leishanense OX=445787 PE=4 SV=1</t>
        </is>
      </c>
      <c r="M5861" t="n">
        <v>1277</v>
      </c>
      <c r="N5861" t="inlineStr">
        <is>
          <t>Leptobrachium leishanense</t>
        </is>
      </c>
      <c r="O5861" t="inlineStr">
        <is>
          <t>Reverse transcriptase domain-containing protein</t>
        </is>
      </c>
    </row>
    <row r="5862">
      <c r="A5862" t="inlineStr"/>
      <c r="B5862" t="inlineStr"/>
      <c r="C5862" t="inlineStr"/>
      <c r="D5862" t="inlineStr"/>
      <c r="E5862">
        <f>HYPERLINK("https://www.uniprot.org/uniprotkb/A0A803JJA9/entry", "A0A803JJA9")</f>
        <v/>
      </c>
      <c r="F5862" t="n">
        <v>34.8</v>
      </c>
      <c r="G5862" t="n">
        <v>1253</v>
      </c>
      <c r="H5862" t="n">
        <v>2.12e-227</v>
      </c>
      <c r="I5862" t="inlineStr">
        <is>
          <t>TrEMBL</t>
        </is>
      </c>
      <c r="J5862" t="inlineStr"/>
      <c r="K5862" t="inlineStr">
        <is>
          <t>A0A803JJA9_XENTR</t>
        </is>
      </c>
      <c r="L5862" t="inlineStr">
        <is>
          <t>tr|A0A803JJA9|A0A803JJA9_XENTR Reverse transcriptase domain-containing protein OS=Xenopus tropicalis OX=8364 PE=4 SV=1</t>
        </is>
      </c>
      <c r="M5862" t="n">
        <v>1267</v>
      </c>
      <c r="N5862" t="inlineStr">
        <is>
          <t>Xenopus tropicalis</t>
        </is>
      </c>
      <c r="O5862" t="inlineStr">
        <is>
          <t>Reverse transcriptase domain-containing protein</t>
        </is>
      </c>
    </row>
    <row r="5863">
      <c r="A5863" t="inlineStr"/>
      <c r="B5863" t="inlineStr"/>
      <c r="C5863" t="inlineStr"/>
      <c r="D5863" t="inlineStr"/>
      <c r="E5863">
        <f>HYPERLINK("https://www.uniprot.org/uniprotkb/A0A8C5PW08/entry", "A0A8C5PW08")</f>
        <v/>
      </c>
      <c r="F5863" t="n">
        <v>34.8</v>
      </c>
      <c r="G5863" t="n">
        <v>1260</v>
      </c>
      <c r="H5863" t="n">
        <v>8.430000000000001e-226</v>
      </c>
      <c r="I5863" t="inlineStr">
        <is>
          <t>TrEMBL</t>
        </is>
      </c>
      <c r="J5863" t="inlineStr"/>
      <c r="K5863" t="inlineStr">
        <is>
          <t>A0A8C5PW08_9ANUR</t>
        </is>
      </c>
      <c r="L5863" t="inlineStr">
        <is>
          <t>tr|A0A8C5PW08|A0A8C5PW08_9ANUR Reverse transcriptase domain-containing protein OS=Leptobrachium leishanense OX=445787 PE=4 SV=1</t>
        </is>
      </c>
      <c r="M5863" t="n">
        <v>1277</v>
      </c>
      <c r="N5863" t="inlineStr">
        <is>
          <t>Leptobrachium leishanense</t>
        </is>
      </c>
      <c r="O5863" t="inlineStr">
        <is>
          <t>Reverse transcriptase domain-containing protein</t>
        </is>
      </c>
    </row>
    <row r="5864">
      <c r="A5864" t="inlineStr"/>
      <c r="B5864" t="inlineStr"/>
      <c r="C5864" t="inlineStr"/>
      <c r="D5864" t="inlineStr"/>
      <c r="E5864">
        <f>HYPERLINK("https://www.uniprot.org/uniprotkb/A0A8C5LYI8/entry", "A0A8C5LYI8")</f>
        <v/>
      </c>
      <c r="F5864" t="n">
        <v>35.2</v>
      </c>
      <c r="G5864" t="n">
        <v>1251</v>
      </c>
      <c r="H5864" t="n">
        <v>3.29e-225</v>
      </c>
      <c r="I5864" t="inlineStr">
        <is>
          <t>TrEMBL</t>
        </is>
      </c>
      <c r="J5864" t="inlineStr"/>
      <c r="K5864" t="inlineStr">
        <is>
          <t>A0A8C5LYI8_9ANUR</t>
        </is>
      </c>
      <c r="L5864" t="inlineStr">
        <is>
          <t>tr|A0A8C5LYI8|A0A8C5LYI8_9ANUR Reverse transcriptase domain-containing protein OS=Leptobrachium leishanense OX=445787 PE=4 SV=1</t>
        </is>
      </c>
      <c r="M5864" t="n">
        <v>1277</v>
      </c>
      <c r="N5864" t="inlineStr">
        <is>
          <t>Leptobrachium leishanense</t>
        </is>
      </c>
      <c r="O5864" t="inlineStr">
        <is>
          <t>Reverse transcriptase domain-containing protein</t>
        </is>
      </c>
    </row>
    <row r="5865">
      <c r="A5865" t="inlineStr"/>
      <c r="B5865" t="inlineStr"/>
      <c r="C5865" t="inlineStr"/>
      <c r="D5865" t="inlineStr"/>
      <c r="E5865">
        <f>HYPERLINK("https://www.uniprot.org/uniprotkb/A0A803JWN0/entry", "A0A803JWN0")</f>
        <v/>
      </c>
      <c r="F5865" t="n">
        <v>33.5</v>
      </c>
      <c r="G5865" t="n">
        <v>1249</v>
      </c>
      <c r="H5865" t="n">
        <v>6.939999999999999e-225</v>
      </c>
      <c r="I5865" t="inlineStr">
        <is>
          <t>TrEMBL</t>
        </is>
      </c>
      <c r="J5865" t="inlineStr"/>
      <c r="K5865" t="inlineStr">
        <is>
          <t>A0A803JWN0_XENTR</t>
        </is>
      </c>
      <c r="L5865" t="inlineStr">
        <is>
          <t>tr|A0A803JWN0|A0A803JWN0_XENTR Reverse transcriptase domain-containing protein OS=Xenopus tropicalis OX=8364 PE=4 SV=1</t>
        </is>
      </c>
      <c r="M5865" t="n">
        <v>1267</v>
      </c>
      <c r="N5865" t="inlineStr">
        <is>
          <t>Xenopus tropicalis</t>
        </is>
      </c>
      <c r="O5865" t="inlineStr">
        <is>
          <t>Reverse transcriptase domain-containing protein</t>
        </is>
      </c>
    </row>
    <row r="5866">
      <c r="A5866" t="inlineStr"/>
      <c r="B5866" t="inlineStr"/>
      <c r="C5866" t="inlineStr"/>
      <c r="D5866" t="inlineStr"/>
      <c r="E5866">
        <f>HYPERLINK("https://www.uniprot.org/uniprotkb/A0A8C5M2E5/entry", "A0A8C5M2E5")</f>
        <v/>
      </c>
      <c r="F5866" t="n">
        <v>34.8</v>
      </c>
      <c r="G5866" t="n">
        <v>1253</v>
      </c>
      <c r="H5866" t="n">
        <v>1.81e-224</v>
      </c>
      <c r="I5866" t="inlineStr">
        <is>
          <t>TrEMBL</t>
        </is>
      </c>
      <c r="J5866" t="inlineStr"/>
      <c r="K5866" t="inlineStr">
        <is>
          <t>A0A8C5M2E5_9ANUR</t>
        </is>
      </c>
      <c r="L5866" t="inlineStr">
        <is>
          <t>tr|A0A8C5M2E5|A0A8C5M2E5_9ANUR Reverse transcriptase domain-containing protein OS=Leptobrachium leishanense OX=445787 PE=4 SV=1</t>
        </is>
      </c>
      <c r="M5866" t="n">
        <v>1277</v>
      </c>
      <c r="N5866" t="inlineStr">
        <is>
          <t>Leptobrachium leishanense</t>
        </is>
      </c>
      <c r="O5866" t="inlineStr">
        <is>
          <t>Reverse transcriptase domain-containing protein</t>
        </is>
      </c>
    </row>
    <row r="5867">
      <c r="A5867" t="inlineStr"/>
      <c r="B5867" t="inlineStr"/>
      <c r="C5867" t="inlineStr"/>
      <c r="D5867" t="inlineStr"/>
      <c r="E5867">
        <f>HYPERLINK("https://www.uniprot.org/uniprotkb/A0A803J5F9/entry", "A0A803J5F9")</f>
        <v/>
      </c>
      <c r="F5867" t="n">
        <v>35.3</v>
      </c>
      <c r="G5867" t="n">
        <v>1263</v>
      </c>
      <c r="H5867" t="n">
        <v>4.38e-224</v>
      </c>
      <c r="I5867" t="inlineStr">
        <is>
          <t>TrEMBL</t>
        </is>
      </c>
      <c r="J5867" t="inlineStr"/>
      <c r="K5867" t="inlineStr">
        <is>
          <t>A0A803J5F9_XENTR</t>
        </is>
      </c>
      <c r="L5867" t="inlineStr">
        <is>
          <t>tr|A0A803J5F9|A0A803J5F9_XENTR Reverse transcriptase domain-containing protein OS=Xenopus tropicalis OX=8364 PE=4 SV=1</t>
        </is>
      </c>
      <c r="M5867" t="n">
        <v>1272</v>
      </c>
      <c r="N5867" t="inlineStr">
        <is>
          <t>Xenopus tropicalis</t>
        </is>
      </c>
      <c r="O5867" t="inlineStr">
        <is>
          <t>Reverse transcriptase domain-containing protein</t>
        </is>
      </c>
    </row>
    <row r="5868">
      <c r="A5868" t="inlineStr"/>
      <c r="B5868" t="inlineStr"/>
      <c r="C5868" t="inlineStr"/>
      <c r="D5868" t="inlineStr"/>
      <c r="E5868">
        <f>HYPERLINK("https://www.uniprot.org/uniprotkb/A0A8C5MBR9/entry", "A0A8C5MBR9")</f>
        <v/>
      </c>
      <c r="F5868" t="n">
        <v>34.2</v>
      </c>
      <c r="G5868" t="n">
        <v>1226</v>
      </c>
      <c r="H5868" t="n">
        <v>1.09e-222</v>
      </c>
      <c r="I5868" t="inlineStr">
        <is>
          <t>TrEMBL</t>
        </is>
      </c>
      <c r="J5868" t="inlineStr"/>
      <c r="K5868" t="inlineStr">
        <is>
          <t>A0A8C5MBR9_9ANUR</t>
        </is>
      </c>
      <c r="L5868" t="inlineStr">
        <is>
          <t>tr|A0A8C5MBR9|A0A8C5MBR9_9ANUR Reverse transcriptase domain-containing protein OS=Leptobrachium leishanense OX=445787 PE=4 SV=1</t>
        </is>
      </c>
      <c r="M5868" t="n">
        <v>1290</v>
      </c>
      <c r="N5868" t="inlineStr">
        <is>
          <t>Leptobrachium leishanense</t>
        </is>
      </c>
      <c r="O5868" t="inlineStr">
        <is>
          <t>Reverse transcriptase domain-containing protein</t>
        </is>
      </c>
    </row>
    <row r="5869">
      <c r="A5869" t="inlineStr"/>
      <c r="B5869" t="inlineStr"/>
      <c r="C5869" t="inlineStr"/>
      <c r="D5869" t="inlineStr"/>
      <c r="E5869">
        <f>HYPERLINK("https://www.uniprot.org/uniprotkb/A0A803K7N3/entry", "A0A803K7N3")</f>
        <v/>
      </c>
      <c r="F5869" t="n">
        <v>33.9</v>
      </c>
      <c r="G5869" t="n">
        <v>1224</v>
      </c>
      <c r="H5869" t="n">
        <v>1.18e-222</v>
      </c>
      <c r="I5869" t="inlineStr">
        <is>
          <t>TrEMBL</t>
        </is>
      </c>
      <c r="J5869" t="inlineStr"/>
      <c r="K5869" t="inlineStr">
        <is>
          <t>A0A803K7N3_XENTR</t>
        </is>
      </c>
      <c r="L5869" t="inlineStr">
        <is>
          <t>tr|A0A803K7N3|A0A803K7N3_XENTR Reverse transcriptase domain-containing protein OS=Xenopus tropicalis OX=8364 PE=4 SV=1</t>
        </is>
      </c>
      <c r="M5869" t="n">
        <v>1268</v>
      </c>
      <c r="N5869" t="inlineStr">
        <is>
          <t>Xenopus tropicalis</t>
        </is>
      </c>
      <c r="O5869" t="inlineStr">
        <is>
          <t>Reverse transcriptase domain-containing protein</t>
        </is>
      </c>
    </row>
    <row r="5870">
      <c r="A5870" t="inlineStr"/>
      <c r="B5870" t="inlineStr"/>
      <c r="C5870" t="inlineStr"/>
      <c r="D5870" t="inlineStr"/>
      <c r="E5870">
        <f>HYPERLINK("https://www.uniprot.org/uniprotkb/A0A803JR91/entry", "A0A803JR91")</f>
        <v/>
      </c>
      <c r="F5870" t="n">
        <v>33.4</v>
      </c>
      <c r="G5870" t="n">
        <v>1251</v>
      </c>
      <c r="H5870" t="n">
        <v>1.49e-222</v>
      </c>
      <c r="I5870" t="inlineStr">
        <is>
          <t>TrEMBL</t>
        </is>
      </c>
      <c r="J5870" t="inlineStr"/>
      <c r="K5870" t="inlineStr">
        <is>
          <t>A0A803JR91_XENTR</t>
        </is>
      </c>
      <c r="L5870" t="inlineStr">
        <is>
          <t>tr|A0A803JR91|A0A803JR91_XENTR Reverse transcriptase domain-containing protein OS=Xenopus tropicalis OX=8364 PE=4 SV=1</t>
        </is>
      </c>
      <c r="M5870" t="n">
        <v>1264</v>
      </c>
      <c r="N5870" t="inlineStr">
        <is>
          <t>Xenopus tropicalis</t>
        </is>
      </c>
      <c r="O5870" t="inlineStr">
        <is>
          <t>Reverse transcriptase domain-containing protein</t>
        </is>
      </c>
    </row>
    <row r="5871">
      <c r="A5871" t="inlineStr"/>
      <c r="B5871" t="inlineStr"/>
      <c r="C5871" t="inlineStr"/>
      <c r="D5871" t="inlineStr"/>
      <c r="E5871">
        <f>HYPERLINK("https://www.uniprot.org/uniprotkb/A0A803J467/entry", "A0A803J467")</f>
        <v/>
      </c>
      <c r="F5871" t="n">
        <v>33.9</v>
      </c>
      <c r="G5871" t="n">
        <v>1224</v>
      </c>
      <c r="H5871" t="n">
        <v>1.66e-222</v>
      </c>
      <c r="I5871" t="inlineStr">
        <is>
          <t>TrEMBL</t>
        </is>
      </c>
      <c r="J5871" t="inlineStr"/>
      <c r="K5871" t="inlineStr">
        <is>
          <t>A0A803J467_XENTR</t>
        </is>
      </c>
      <c r="L5871" t="inlineStr">
        <is>
          <t>tr|A0A803J467|A0A803J467_XENTR Reverse transcriptase domain-containing protein OS=Xenopus tropicalis OX=8364 PE=4 SV=1</t>
        </is>
      </c>
      <c r="M5871" t="n">
        <v>1268</v>
      </c>
      <c r="N5871" t="inlineStr">
        <is>
          <t>Xenopus tropicalis</t>
        </is>
      </c>
      <c r="O5871" t="inlineStr">
        <is>
          <t>Reverse transcriptase domain-containing protein</t>
        </is>
      </c>
    </row>
    <row r="5872">
      <c r="A5872" t="inlineStr"/>
      <c r="B5872" t="inlineStr"/>
      <c r="C5872" t="inlineStr"/>
      <c r="D5872" t="inlineStr"/>
      <c r="E5872">
        <f>HYPERLINK("https://www.uniprot.org/uniprotkb/A0A8C5MTU0/entry", "A0A8C5MTU0")</f>
        <v/>
      </c>
      <c r="F5872" t="n">
        <v>35.4</v>
      </c>
      <c r="G5872" t="n">
        <v>1250</v>
      </c>
      <c r="H5872" t="n">
        <v>1.39e-221</v>
      </c>
      <c r="I5872" t="inlineStr">
        <is>
          <t>TrEMBL</t>
        </is>
      </c>
      <c r="J5872" t="inlineStr"/>
      <c r="K5872" t="inlineStr">
        <is>
          <t>A0A8C5MTU0_9ANUR</t>
        </is>
      </c>
      <c r="L5872" t="inlineStr">
        <is>
          <t>tr|A0A8C5MTU0|A0A8C5MTU0_9ANUR Reverse transcriptase domain-containing protein OS=Leptobrachium leishanense OX=445787 PE=4 SV=1</t>
        </is>
      </c>
      <c r="M5872" t="n">
        <v>1296</v>
      </c>
      <c r="N5872" t="inlineStr">
        <is>
          <t>Leptobrachium leishanense</t>
        </is>
      </c>
      <c r="O5872" t="inlineStr">
        <is>
          <t>Reverse transcriptase domain-containing protein</t>
        </is>
      </c>
    </row>
    <row r="5873">
      <c r="A5873" t="inlineStr"/>
      <c r="B5873" t="inlineStr"/>
      <c r="C5873" t="inlineStr"/>
      <c r="D5873" t="inlineStr"/>
      <c r="E5873">
        <f>HYPERLINK("https://www.ncbi.nlm.nih.gov/gene/?term=CAI5685855.1", "CAI5685855.1")</f>
        <v/>
      </c>
      <c r="F5873" t="n">
        <v>31.8</v>
      </c>
      <c r="G5873" t="n">
        <v>1234</v>
      </c>
      <c r="H5873" t="n">
        <v>2.31e-186</v>
      </c>
      <c r="I5873" t="inlineStr">
        <is>
          <t>Nr</t>
        </is>
      </c>
      <c r="J5873" t="inlineStr"/>
      <c r="K5873" t="inlineStr"/>
      <c r="L5873" t="inlineStr">
        <is>
          <t>CAI5685855.1 unnamed protein product [Mustela putorius furo]</t>
        </is>
      </c>
      <c r="M5873" t="n">
        <v>1267</v>
      </c>
      <c r="N5873" t="inlineStr">
        <is>
          <t>Mustela putorius furo</t>
        </is>
      </c>
      <c r="O5873" t="inlineStr">
        <is>
          <t>unnamed protein product</t>
        </is>
      </c>
    </row>
    <row r="5874">
      <c r="A5874" t="inlineStr"/>
      <c r="B5874" t="inlineStr"/>
      <c r="C5874" t="inlineStr"/>
      <c r="D5874" t="inlineStr"/>
      <c r="E5874">
        <f>HYPERLINK("https://www.ncbi.nlm.nih.gov/gene/?term=XP_023192802.1", "XP_023192802.1")</f>
        <v/>
      </c>
      <c r="F5874" t="n">
        <v>31.4</v>
      </c>
      <c r="G5874" t="n">
        <v>1240</v>
      </c>
      <c r="H5874" t="n">
        <v>8.320000000000001e-183</v>
      </c>
      <c r="I5874" t="inlineStr">
        <is>
          <t>Nr</t>
        </is>
      </c>
      <c r="J5874" t="inlineStr"/>
      <c r="K5874" t="inlineStr"/>
      <c r="L5874" t="inlineStr">
        <is>
          <t>XP_023192802.1 WD repeat-containing protein 3 isoform X1 [Xiphophorus maculatus]</t>
        </is>
      </c>
      <c r="M5874" t="n">
        <v>1258</v>
      </c>
      <c r="N5874" t="inlineStr">
        <is>
          <t>Xiphophorus maculatus</t>
        </is>
      </c>
      <c r="O5874" t="inlineStr">
        <is>
          <t>WD repeat-containing protein 3 isoform X1</t>
        </is>
      </c>
    </row>
    <row r="5875">
      <c r="A5875" t="inlineStr"/>
      <c r="B5875" t="inlineStr"/>
      <c r="C5875" t="inlineStr"/>
      <c r="D5875" t="inlineStr"/>
      <c r="E5875">
        <f>HYPERLINK("https://www.ncbi.nlm.nih.gov/gene/?term=CAI5636845.1", "CAI5636845.1")</f>
        <v/>
      </c>
      <c r="F5875" t="n">
        <v>30.3</v>
      </c>
      <c r="G5875" t="n">
        <v>1248</v>
      </c>
      <c r="H5875" t="n">
        <v>1.14e-180</v>
      </c>
      <c r="I5875" t="inlineStr">
        <is>
          <t>Nr</t>
        </is>
      </c>
      <c r="J5875" t="inlineStr"/>
      <c r="K5875" t="inlineStr"/>
      <c r="L5875" t="inlineStr">
        <is>
          <t>CAI5636845.1 unnamed protein product [Mustela putorius furo]</t>
        </is>
      </c>
      <c r="M5875" t="n">
        <v>1253</v>
      </c>
      <c r="N5875" t="inlineStr">
        <is>
          <t>Mustela putorius furo</t>
        </is>
      </c>
      <c r="O5875" t="inlineStr">
        <is>
          <t>unnamed protein product</t>
        </is>
      </c>
    </row>
    <row r="5876">
      <c r="A5876" t="inlineStr"/>
      <c r="B5876" t="inlineStr"/>
      <c r="C5876" t="inlineStr"/>
      <c r="D5876" t="inlineStr"/>
      <c r="E5876">
        <f>HYPERLINK("https://www.ncbi.nlm.nih.gov/gene/?term=KAB0369772.1", "KAB0369772.1")</f>
        <v/>
      </c>
      <c r="F5876" t="n">
        <v>30.4</v>
      </c>
      <c r="G5876" t="n">
        <v>1253</v>
      </c>
      <c r="H5876" t="n">
        <v>1.11e-176</v>
      </c>
      <c r="I5876" t="inlineStr">
        <is>
          <t>Nr</t>
        </is>
      </c>
      <c r="J5876" t="inlineStr"/>
      <c r="K5876" t="inlineStr"/>
      <c r="L5876" t="inlineStr">
        <is>
          <t>KAB0369772.1 hypothetical protein FD755_018765 [Muntiacus reevesi]</t>
        </is>
      </c>
      <c r="M5876" t="n">
        <v>1272</v>
      </c>
      <c r="N5876" t="inlineStr">
        <is>
          <t>Muntiacus reevesi</t>
        </is>
      </c>
      <c r="O5876" t="inlineStr">
        <is>
          <t>hypothetical protein FD755_018765</t>
        </is>
      </c>
    </row>
    <row r="5877">
      <c r="A5877" t="inlineStr"/>
      <c r="B5877" t="inlineStr"/>
      <c r="C5877" t="inlineStr"/>
      <c r="D5877" t="inlineStr"/>
      <c r="E5877">
        <f>HYPERLINK("https://www.ncbi.nlm.nih.gov/gene/?term=WP_117224667.1", "WP_117224667.1")</f>
        <v/>
      </c>
      <c r="F5877" t="n">
        <v>30.3</v>
      </c>
      <c r="G5877" t="n">
        <v>1258</v>
      </c>
      <c r="H5877" t="n">
        <v>1.56e-176</v>
      </c>
      <c r="I5877" t="inlineStr">
        <is>
          <t>Nr</t>
        </is>
      </c>
      <c r="J5877" t="inlineStr"/>
      <c r="K5877" t="inlineStr"/>
      <c r="L5877" t="inlineStr">
        <is>
          <t>WP_117224667.1 reverse transcriptase domain-containing protein [Staphylococcus aureus]</t>
        </is>
      </c>
      <c r="M5877" t="n">
        <v>1272</v>
      </c>
      <c r="N5877" t="inlineStr">
        <is>
          <t>Staphylococcus aureus</t>
        </is>
      </c>
      <c r="O5877" t="inlineStr">
        <is>
          <t>reverse transcriptase domain-containing protein</t>
        </is>
      </c>
    </row>
    <row r="5878">
      <c r="A5878" t="inlineStr"/>
      <c r="B5878" t="inlineStr"/>
      <c r="C5878" t="inlineStr"/>
      <c r="D5878" t="inlineStr"/>
      <c r="E5878">
        <f>HYPERLINK("https://www.ncbi.nlm.nih.gov/gene/?term=KAB0354204.1", "KAB0354204.1")</f>
        <v/>
      </c>
      <c r="F5878" t="n">
        <v>30.3</v>
      </c>
      <c r="G5878" t="n">
        <v>1253</v>
      </c>
      <c r="H5878" t="n">
        <v>1.56e-176</v>
      </c>
      <c r="I5878" t="inlineStr">
        <is>
          <t>Nr</t>
        </is>
      </c>
      <c r="J5878" t="inlineStr"/>
      <c r="K5878" t="inlineStr"/>
      <c r="L5878" t="inlineStr">
        <is>
          <t>KAB0354204.1 hypothetical protein FD755_022742 [Muntiacus reevesi]</t>
        </is>
      </c>
      <c r="M5878" t="n">
        <v>1272</v>
      </c>
      <c r="N5878" t="inlineStr">
        <is>
          <t>Muntiacus reevesi</t>
        </is>
      </c>
      <c r="O5878" t="inlineStr">
        <is>
          <t>hypothetical protein FD755_022742</t>
        </is>
      </c>
    </row>
    <row r="5879">
      <c r="A5879" t="inlineStr"/>
      <c r="B5879" t="inlineStr"/>
      <c r="C5879" t="inlineStr"/>
      <c r="D5879" t="inlineStr"/>
      <c r="E5879">
        <f>HYPERLINK("https://www.ncbi.nlm.nih.gov/gene/?term=WP_117219196.1", "WP_117219196.1")</f>
        <v/>
      </c>
      <c r="F5879" t="n">
        <v>30.2</v>
      </c>
      <c r="G5879" t="n">
        <v>1253</v>
      </c>
      <c r="H5879" t="n">
        <v>1.56e-176</v>
      </c>
      <c r="I5879" t="inlineStr">
        <is>
          <t>Nr</t>
        </is>
      </c>
      <c r="J5879" t="inlineStr"/>
      <c r="K5879" t="inlineStr"/>
      <c r="L5879" t="inlineStr">
        <is>
          <t>WP_117219196.1 reverse transcriptase domain-containing protein [Staphylococcus aureus]</t>
        </is>
      </c>
      <c r="M5879" t="n">
        <v>1272</v>
      </c>
      <c r="N5879" t="inlineStr">
        <is>
          <t>Staphylococcus aureus</t>
        </is>
      </c>
      <c r="O5879" t="inlineStr">
        <is>
          <t>reverse transcriptase domain-containing protein</t>
        </is>
      </c>
    </row>
    <row r="5880">
      <c r="A5880" t="inlineStr"/>
      <c r="B5880" t="inlineStr"/>
      <c r="C5880" t="inlineStr"/>
      <c r="D5880" t="inlineStr"/>
      <c r="E5880">
        <f>HYPERLINK("https://www.ncbi.nlm.nih.gov/gene/?term=WP_117196721.1", "WP_117196721.1")</f>
        <v/>
      </c>
      <c r="F5880" t="n">
        <v>30.5</v>
      </c>
      <c r="G5880" t="n">
        <v>1254</v>
      </c>
      <c r="H5880" t="n">
        <v>3.04e-176</v>
      </c>
      <c r="I5880" t="inlineStr">
        <is>
          <t>Nr</t>
        </is>
      </c>
      <c r="J5880" t="inlineStr"/>
      <c r="K5880" t="inlineStr"/>
      <c r="L5880" t="inlineStr">
        <is>
          <t>WP_117196721.1 reverse transcriptase domain-containing protein [Staphylococcus aureus]</t>
        </is>
      </c>
      <c r="M5880" t="n">
        <v>1272</v>
      </c>
      <c r="N5880" t="inlineStr">
        <is>
          <t>Staphylococcus aureus</t>
        </is>
      </c>
      <c r="O5880" t="inlineStr">
        <is>
          <t>reverse transcriptase domain-containing protein</t>
        </is>
      </c>
    </row>
    <row r="5881">
      <c r="A5881" t="inlineStr"/>
      <c r="B5881" t="inlineStr"/>
      <c r="C5881" t="inlineStr"/>
      <c r="D5881" t="inlineStr"/>
      <c r="E5881">
        <f>HYPERLINK("https://www.ncbi.nlm.nih.gov/gene/?term=KAB0374022.1", "KAB0374022.1")</f>
        <v/>
      </c>
      <c r="F5881" t="n">
        <v>30.4</v>
      </c>
      <c r="G5881" t="n">
        <v>1253</v>
      </c>
      <c r="H5881" t="n">
        <v>3.04e-176</v>
      </c>
      <c r="I5881" t="inlineStr">
        <is>
          <t>Nr</t>
        </is>
      </c>
      <c r="J5881" t="inlineStr"/>
      <c r="K5881" t="inlineStr"/>
      <c r="L5881" t="inlineStr">
        <is>
          <t>KAB0374022.1 hypothetical protein FD755_014278 [Muntiacus reevesi]</t>
        </is>
      </c>
      <c r="M5881" t="n">
        <v>1272</v>
      </c>
      <c r="N5881" t="inlineStr">
        <is>
          <t>Muntiacus reevesi</t>
        </is>
      </c>
      <c r="O5881" t="inlineStr">
        <is>
          <t>hypothetical protein FD755_014278</t>
        </is>
      </c>
    </row>
    <row r="5882">
      <c r="A5882" t="inlineStr"/>
      <c r="B5882" t="inlineStr"/>
      <c r="C5882" t="inlineStr"/>
      <c r="D5882" t="inlineStr"/>
      <c r="E5882">
        <f>HYPERLINK("https://www.ncbi.nlm.nih.gov/gene/?term=AIE45854.1", "AIE45854.1")</f>
        <v/>
      </c>
      <c r="F5882" t="n">
        <v>30.6</v>
      </c>
      <c r="G5882" t="n">
        <v>1227</v>
      </c>
      <c r="H5882" t="n">
        <v>4.68e-176</v>
      </c>
      <c r="I5882" t="inlineStr">
        <is>
          <t>Nr</t>
        </is>
      </c>
      <c r="J5882" t="inlineStr"/>
      <c r="K5882" t="inlineStr"/>
      <c r="L5882" t="inlineStr">
        <is>
          <t>AIE45854.1 ORF2 [synthetic construct]</t>
        </is>
      </c>
      <c r="M5882" t="n">
        <v>1276</v>
      </c>
      <c r="N5882" t="inlineStr">
        <is>
          <t>synthetic construct</t>
        </is>
      </c>
      <c r="O5882" t="inlineStr">
        <is>
          <t>ORF2</t>
        </is>
      </c>
    </row>
    <row r="5883">
      <c r="A5883" t="inlineStr"/>
      <c r="B5883" t="inlineStr"/>
      <c r="C5883" t="inlineStr"/>
      <c r="D5883" t="inlineStr"/>
      <c r="E5883">
        <f>HYPERLINK("https://www.ncbi.nlm.nih.gov/gene/?term=KAB0370908.1", "KAB0370908.1")</f>
        <v/>
      </c>
      <c r="F5883" t="n">
        <v>30.3</v>
      </c>
      <c r="G5883" t="n">
        <v>1253</v>
      </c>
      <c r="H5883" t="n">
        <v>8.31e-176</v>
      </c>
      <c r="I5883" t="inlineStr">
        <is>
          <t>Nr</t>
        </is>
      </c>
      <c r="J5883" t="inlineStr"/>
      <c r="K5883" t="inlineStr"/>
      <c r="L5883" t="inlineStr">
        <is>
          <t>KAB0370908.1 hypothetical protein FD755_017317 [Muntiacus reevesi]</t>
        </is>
      </c>
      <c r="M5883" t="n">
        <v>1272</v>
      </c>
      <c r="N5883" t="inlineStr">
        <is>
          <t>Muntiacus reevesi</t>
        </is>
      </c>
      <c r="O5883" t="inlineStr">
        <is>
          <t>hypothetical protein FD755_017317</t>
        </is>
      </c>
    </row>
    <row r="5884">
      <c r="A5884" t="inlineStr"/>
      <c r="B5884" t="inlineStr"/>
      <c r="C5884" t="inlineStr"/>
      <c r="D5884" t="inlineStr"/>
      <c r="E5884">
        <f>HYPERLINK("https://www.ncbi.nlm.nih.gov/gene/?term=KAB0355441.1", "KAB0355441.1")</f>
        <v/>
      </c>
      <c r="F5884" t="n">
        <v>30.3</v>
      </c>
      <c r="G5884" t="n">
        <v>1253</v>
      </c>
      <c r="H5884" t="n">
        <v>8.31e-176</v>
      </c>
      <c r="I5884" t="inlineStr">
        <is>
          <t>Nr</t>
        </is>
      </c>
      <c r="J5884" t="inlineStr"/>
      <c r="K5884" t="inlineStr"/>
      <c r="L5884" t="inlineStr">
        <is>
          <t>KAB0355441.1 hypothetical protein FD755_021949 [Muntiacus reevesi]</t>
        </is>
      </c>
      <c r="M5884" t="n">
        <v>1272</v>
      </c>
      <c r="N5884" t="inlineStr">
        <is>
          <t>Muntiacus reevesi</t>
        </is>
      </c>
      <c r="O5884" t="inlineStr">
        <is>
          <t>hypothetical protein FD755_021949</t>
        </is>
      </c>
    </row>
    <row r="5885">
      <c r="A5885" t="inlineStr"/>
      <c r="B5885" t="inlineStr"/>
      <c r="C5885" t="inlineStr"/>
      <c r="D5885" t="inlineStr"/>
      <c r="E5885">
        <f>HYPERLINK("https://www.ncbi.nlm.nih.gov/gene/?term=CAI5637690.1", "CAI5637690.1")</f>
        <v/>
      </c>
      <c r="F5885" t="n">
        <v>30.5</v>
      </c>
      <c r="G5885" t="n">
        <v>1261</v>
      </c>
      <c r="H5885" t="n">
        <v>1.11e-175</v>
      </c>
      <c r="I5885" t="inlineStr">
        <is>
          <t>Nr</t>
        </is>
      </c>
      <c r="J5885" t="inlineStr"/>
      <c r="K5885" t="inlineStr"/>
      <c r="L5885" t="inlineStr">
        <is>
          <t>CAI5637690.1 unnamed protein product [Mustela putorius furo]</t>
        </is>
      </c>
      <c r="M5885" t="n">
        <v>1270</v>
      </c>
      <c r="N5885" t="inlineStr">
        <is>
          <t>Mustela putorius furo</t>
        </is>
      </c>
      <c r="O5885" t="inlineStr">
        <is>
          <t>unnamed protein product</t>
        </is>
      </c>
    </row>
    <row r="5886">
      <c r="A5886" t="inlineStr"/>
      <c r="B5886" t="inlineStr"/>
      <c r="C5886" t="inlineStr"/>
      <c r="D5886" t="inlineStr"/>
      <c r="E5886">
        <f>HYPERLINK("https://www.ncbi.nlm.nih.gov/gene/?term=WP_117220819.1", "WP_117220819.1")</f>
        <v/>
      </c>
      <c r="F5886" t="n">
        <v>30.4</v>
      </c>
      <c r="G5886" t="n">
        <v>1253</v>
      </c>
      <c r="H5886" t="n">
        <v>1.16e-175</v>
      </c>
      <c r="I5886" t="inlineStr">
        <is>
          <t>Nr</t>
        </is>
      </c>
      <c r="J5886" t="inlineStr"/>
      <c r="K5886" t="inlineStr"/>
      <c r="L5886" t="inlineStr">
        <is>
          <t>WP_117220819.1 reverse transcriptase domain-containing protein [Staphylococcus aureus]</t>
        </is>
      </c>
      <c r="M5886" t="n">
        <v>1272</v>
      </c>
      <c r="N5886" t="inlineStr">
        <is>
          <t>Staphylococcus aureus</t>
        </is>
      </c>
      <c r="O5886" t="inlineStr">
        <is>
          <t>reverse transcriptase domain-containing protein</t>
        </is>
      </c>
    </row>
    <row r="5887">
      <c r="A5887" t="inlineStr"/>
      <c r="B5887" t="inlineStr"/>
      <c r="C5887" t="inlineStr"/>
      <c r="D5887" t="inlineStr"/>
      <c r="E5887">
        <f>HYPERLINK("https://www.ncbi.nlm.nih.gov/gene/?term=GBY15108.1", "GBY15108.1")</f>
        <v/>
      </c>
      <c r="F5887" t="n">
        <v>30.2</v>
      </c>
      <c r="G5887" t="n">
        <v>1253</v>
      </c>
      <c r="H5887" t="n">
        <v>1.55e-175</v>
      </c>
      <c r="I5887" t="inlineStr">
        <is>
          <t>Nr</t>
        </is>
      </c>
      <c r="J5887" t="inlineStr"/>
      <c r="K5887" t="inlineStr"/>
      <c r="L5887" t="inlineStr">
        <is>
          <t>GBY15108.1 hypothetical protein M6K034_2590 [Staphylococcus aureus]</t>
        </is>
      </c>
      <c r="M5887" t="n">
        <v>1270</v>
      </c>
      <c r="N5887" t="inlineStr">
        <is>
          <t>Staphylococcus aureus</t>
        </is>
      </c>
      <c r="O5887" t="inlineStr">
        <is>
          <t>hypothetical protein M6K034_2590</t>
        </is>
      </c>
    </row>
    <row r="5888">
      <c r="A5888" t="inlineStr"/>
      <c r="B5888" t="inlineStr"/>
      <c r="C5888" t="inlineStr"/>
      <c r="D5888" t="inlineStr"/>
      <c r="E5888">
        <f>HYPERLINK("https://www.ncbi.nlm.nih.gov/gene/?term=WP_220377026.1", "WP_220377026.1")</f>
        <v/>
      </c>
      <c r="F5888" t="n">
        <v>30.2</v>
      </c>
      <c r="G5888" t="n">
        <v>1253</v>
      </c>
      <c r="H5888" t="n">
        <v>1.62e-175</v>
      </c>
      <c r="I5888" t="inlineStr">
        <is>
          <t>Nr</t>
        </is>
      </c>
      <c r="J5888" t="inlineStr"/>
      <c r="K5888" t="inlineStr"/>
      <c r="L5888" t="inlineStr">
        <is>
          <t>WP_220377026.1 reverse transcriptase domain-containing protein [Staphylococcus aureus]</t>
        </is>
      </c>
      <c r="M5888" t="n">
        <v>1272</v>
      </c>
      <c r="N5888" t="inlineStr">
        <is>
          <t>Staphylococcus aureus</t>
        </is>
      </c>
      <c r="O5888" t="inlineStr">
        <is>
          <t>reverse transcriptase domain-containing protein</t>
        </is>
      </c>
    </row>
    <row r="5889">
      <c r="A5889" t="inlineStr"/>
      <c r="B5889" t="inlineStr"/>
      <c r="C5889" t="inlineStr"/>
      <c r="D5889" t="inlineStr"/>
      <c r="E5889">
        <f>HYPERLINK("https://www.ncbi.nlm.nih.gov/gene/?term=KAB0368317.1", "KAB0368317.1")</f>
        <v/>
      </c>
      <c r="F5889" t="n">
        <v>30.3</v>
      </c>
      <c r="G5889" t="n">
        <v>1253</v>
      </c>
      <c r="H5889" t="n">
        <v>1.62e-175</v>
      </c>
      <c r="I5889" t="inlineStr">
        <is>
          <t>Nr</t>
        </is>
      </c>
      <c r="J5889" t="inlineStr"/>
      <c r="K5889" t="inlineStr"/>
      <c r="L5889" t="inlineStr">
        <is>
          <t>KAB0368317.1 hypothetical protein FD755_020083 [Muntiacus reevesi]</t>
        </is>
      </c>
      <c r="M5889" t="n">
        <v>1272</v>
      </c>
      <c r="N5889" t="inlineStr">
        <is>
          <t>Muntiacus reevesi</t>
        </is>
      </c>
      <c r="O5889" t="inlineStr">
        <is>
          <t>hypothetical protein FD755_020083</t>
        </is>
      </c>
    </row>
    <row r="5890">
      <c r="A5890" t="inlineStr"/>
      <c r="B5890" t="inlineStr"/>
      <c r="C5890" t="inlineStr"/>
      <c r="D5890" t="inlineStr"/>
      <c r="E5890">
        <f>HYPERLINK("https://www.ncbi.nlm.nih.gov/gene/?term=KAB0370146.1", "KAB0370146.1")</f>
        <v/>
      </c>
      <c r="F5890" t="n">
        <v>30.3</v>
      </c>
      <c r="G5890" t="n">
        <v>1253</v>
      </c>
      <c r="H5890" t="n">
        <v>1.62e-175</v>
      </c>
      <c r="I5890" t="inlineStr">
        <is>
          <t>Nr</t>
        </is>
      </c>
      <c r="J5890" t="inlineStr"/>
      <c r="K5890" t="inlineStr"/>
      <c r="L5890" t="inlineStr">
        <is>
          <t>KAB0370146.1 hypothetical protein FD755_018108 [Muntiacus reevesi]</t>
        </is>
      </c>
      <c r="M5890" t="n">
        <v>1272</v>
      </c>
      <c r="N5890" t="inlineStr">
        <is>
          <t>Muntiacus reevesi</t>
        </is>
      </c>
      <c r="O5890" t="inlineStr">
        <is>
          <t>hypothetical protein FD755_018108</t>
        </is>
      </c>
    </row>
    <row r="5891">
      <c r="A5891" t="inlineStr"/>
      <c r="B5891" t="inlineStr"/>
      <c r="C5891" t="inlineStr"/>
      <c r="D5891" t="inlineStr"/>
      <c r="E5891">
        <f>HYPERLINK("https://www.ncbi.nlm.nih.gov/gene/?term=KAB0372904.1", "KAB0372904.1")</f>
        <v/>
      </c>
      <c r="F5891" t="n">
        <v>30.3</v>
      </c>
      <c r="G5891" t="n">
        <v>1253</v>
      </c>
      <c r="H5891" t="n">
        <v>1.62e-175</v>
      </c>
      <c r="I5891" t="inlineStr">
        <is>
          <t>Nr</t>
        </is>
      </c>
      <c r="J5891" t="inlineStr"/>
      <c r="K5891" t="inlineStr"/>
      <c r="L5891" t="inlineStr">
        <is>
          <t>KAB0372904.1 hypothetical protein FD755_015657 [Muntiacus reevesi]</t>
        </is>
      </c>
      <c r="M5891" t="n">
        <v>1272</v>
      </c>
      <c r="N5891" t="inlineStr">
        <is>
          <t>Muntiacus reevesi</t>
        </is>
      </c>
      <c r="O5891" t="inlineStr">
        <is>
          <t>hypothetical protein FD755_015657</t>
        </is>
      </c>
    </row>
    <row r="5892">
      <c r="A5892" t="inlineStr"/>
      <c r="B5892" t="inlineStr"/>
      <c r="C5892" t="inlineStr"/>
      <c r="D5892" t="inlineStr"/>
      <c r="E5892">
        <f>HYPERLINK("https://www.ncbi.nlm.nih.gov/gene/?term=KAB0369595.1", "KAB0369595.1")</f>
        <v/>
      </c>
      <c r="F5892" t="n">
        <v>30.3</v>
      </c>
      <c r="G5892" t="n">
        <v>1253</v>
      </c>
      <c r="H5892" t="n">
        <v>2.27e-175</v>
      </c>
      <c r="I5892" t="inlineStr">
        <is>
          <t>Nr</t>
        </is>
      </c>
      <c r="J5892" t="inlineStr"/>
      <c r="K5892" t="inlineStr"/>
      <c r="L5892" t="inlineStr">
        <is>
          <t>KAB0369595.1 hypothetical protein FD755_018588 [Muntiacus reevesi]</t>
        </is>
      </c>
      <c r="M5892" t="n">
        <v>1272</v>
      </c>
      <c r="N5892" t="inlineStr">
        <is>
          <t>Muntiacus reevesi</t>
        </is>
      </c>
      <c r="O5892" t="inlineStr">
        <is>
          <t>hypothetical protein FD755_018588</t>
        </is>
      </c>
    </row>
    <row r="5893">
      <c r="A5893" t="inlineStr"/>
      <c r="B5893" t="inlineStr"/>
      <c r="C5893" t="inlineStr"/>
      <c r="D5893" t="inlineStr"/>
      <c r="E5893">
        <f>HYPERLINK("https://www.ncbi.nlm.nih.gov/gene/?term=ELR44776.1", "ELR44776.1")</f>
        <v/>
      </c>
      <c r="F5893" t="n">
        <v>30.3</v>
      </c>
      <c r="G5893" t="n">
        <v>1254</v>
      </c>
      <c r="H5893" t="n">
        <v>3.17e-175</v>
      </c>
      <c r="I5893" t="inlineStr">
        <is>
          <t>Nr</t>
        </is>
      </c>
      <c r="J5893" t="inlineStr"/>
      <c r="K5893" t="inlineStr"/>
      <c r="L5893" t="inlineStr">
        <is>
          <t>ELR44776.1 hypothetical protein M91_14132 [Bos mutus]</t>
        </is>
      </c>
      <c r="M5893" t="n">
        <v>1272</v>
      </c>
      <c r="N5893" t="inlineStr">
        <is>
          <t>Bos mutus</t>
        </is>
      </c>
      <c r="O5893" t="inlineStr">
        <is>
          <t>hypothetical protein M91_14132</t>
        </is>
      </c>
    </row>
    <row r="5894">
      <c r="A5894" t="inlineStr"/>
      <c r="B5894" t="inlineStr"/>
      <c r="C5894" t="inlineStr"/>
      <c r="D5894" t="inlineStr"/>
      <c r="E5894">
        <f>HYPERLINK("https://www.ncbi.nlm.nih.gov/gene/?term=ELR55746.1", "ELR55746.1")</f>
        <v/>
      </c>
      <c r="F5894" t="n">
        <v>30.3</v>
      </c>
      <c r="G5894" t="n">
        <v>1254</v>
      </c>
      <c r="H5894" t="n">
        <v>3.17e-175</v>
      </c>
      <c r="I5894" t="inlineStr">
        <is>
          <t>Nr</t>
        </is>
      </c>
      <c r="J5894" t="inlineStr"/>
      <c r="K5894" t="inlineStr"/>
      <c r="L5894" t="inlineStr">
        <is>
          <t>ELR55746.1 hypothetical protein M91_14620 [Bos mutus]</t>
        </is>
      </c>
      <c r="M5894" t="n">
        <v>1272</v>
      </c>
      <c r="N5894" t="inlineStr">
        <is>
          <t>Bos mutus</t>
        </is>
      </c>
      <c r="O5894" t="inlineStr">
        <is>
          <t>hypothetical protein M91_14620</t>
        </is>
      </c>
    </row>
    <row r="5895">
      <c r="A5895" t="inlineStr"/>
      <c r="B5895" t="inlineStr"/>
      <c r="C5895" t="inlineStr"/>
      <c r="D5895" t="inlineStr"/>
      <c r="E5895">
        <f>HYPERLINK("https://www.ncbi.nlm.nih.gov/gene/?term=WP_117207181.1", "WP_117207181.1")</f>
        <v/>
      </c>
      <c r="F5895" t="n">
        <v>30.4</v>
      </c>
      <c r="G5895" t="n">
        <v>1254</v>
      </c>
      <c r="H5895" t="n">
        <v>3.17e-175</v>
      </c>
      <c r="I5895" t="inlineStr">
        <is>
          <t>Nr</t>
        </is>
      </c>
      <c r="J5895" t="inlineStr"/>
      <c r="K5895" t="inlineStr"/>
      <c r="L5895" t="inlineStr">
        <is>
          <t>WP_117207181.1 reverse transcriptase domain-containing protein [Staphylococcus aureus]</t>
        </is>
      </c>
      <c r="M5895" t="n">
        <v>1272</v>
      </c>
      <c r="N5895" t="inlineStr">
        <is>
          <t>Staphylococcus aureus</t>
        </is>
      </c>
      <c r="O5895" t="inlineStr">
        <is>
          <t>reverse transcriptase domain-containing protein</t>
        </is>
      </c>
    </row>
    <row r="5896">
      <c r="A5896" t="inlineStr"/>
      <c r="B5896" t="inlineStr"/>
      <c r="C5896" t="inlineStr"/>
      <c r="D5896" t="inlineStr"/>
      <c r="E5896">
        <f>HYPERLINK("https://www.ncbi.nlm.nih.gov/gene/?term=WP_117218654.1", "WP_117218654.1")</f>
        <v/>
      </c>
      <c r="F5896" t="n">
        <v>30.3</v>
      </c>
      <c r="G5896" t="n">
        <v>1255</v>
      </c>
      <c r="H5896" t="n">
        <v>4.44e-175</v>
      </c>
      <c r="I5896" t="inlineStr">
        <is>
          <t>Nr</t>
        </is>
      </c>
      <c r="J5896" t="inlineStr"/>
      <c r="K5896" t="inlineStr"/>
      <c r="L5896" t="inlineStr">
        <is>
          <t>WP_117218654.1 reverse transcriptase domain-containing protein [Staphylococcus aureus]</t>
        </is>
      </c>
      <c r="M5896" t="n">
        <v>1272</v>
      </c>
      <c r="N5896" t="inlineStr">
        <is>
          <t>Staphylococcus aureus</t>
        </is>
      </c>
      <c r="O5896" t="inlineStr">
        <is>
          <t>reverse transcriptase domain-containing protein</t>
        </is>
      </c>
    </row>
    <row r="5897">
      <c r="A5897" t="inlineStr"/>
      <c r="B5897" t="inlineStr"/>
      <c r="C5897" t="inlineStr"/>
      <c r="D5897" t="inlineStr"/>
      <c r="E5897">
        <f>HYPERLINK("https://www.ncbi.nlm.nih.gov/gene/?term=KAB0363240.1", "KAB0363240.1")</f>
        <v/>
      </c>
      <c r="F5897" t="n">
        <v>30.2</v>
      </c>
      <c r="G5897" t="n">
        <v>1253</v>
      </c>
      <c r="H5897" t="n">
        <v>4.44e-175</v>
      </c>
      <c r="I5897" t="inlineStr">
        <is>
          <t>Nr</t>
        </is>
      </c>
      <c r="J5897" t="inlineStr"/>
      <c r="K5897" t="inlineStr"/>
      <c r="L5897" t="inlineStr">
        <is>
          <t>KAB0363240.1 hypothetical protein FD754_007396 [Muntiacus muntjak]</t>
        </is>
      </c>
      <c r="M5897" t="n">
        <v>1272</v>
      </c>
      <c r="N5897" t="inlineStr">
        <is>
          <t>Muntiacus muntjak</t>
        </is>
      </c>
      <c r="O5897" t="inlineStr">
        <is>
          <t>hypothetical protein FD754_007396</t>
        </is>
      </c>
    </row>
    <row r="5898">
      <c r="A5898" t="inlineStr"/>
      <c r="B5898" t="inlineStr"/>
      <c r="C5898" t="inlineStr"/>
      <c r="D5898" t="inlineStr"/>
      <c r="E5898">
        <f>HYPERLINK("https://www.uniprot.org/uniprotkb/P08548/entry", "P08548")</f>
        <v/>
      </c>
      <c r="F5898" t="n">
        <v>30.5</v>
      </c>
      <c r="G5898" t="n">
        <v>1238</v>
      </c>
      <c r="H5898" t="n">
        <v>1.22e-169</v>
      </c>
      <c r="I5898" t="inlineStr">
        <is>
          <t>Swiss-Prot</t>
        </is>
      </c>
      <c r="J5898" t="inlineStr"/>
      <c r="K5898" t="inlineStr">
        <is>
          <t>LIN1_NYCCO</t>
        </is>
      </c>
      <c r="L5898" t="inlineStr">
        <is>
          <t>sp|P08548|LIN1_NYCCO LINE-1 reverse transcriptase homolog OS=Nycticebus coucang OX=9470 PE=4 SV=1</t>
        </is>
      </c>
      <c r="M5898" t="n">
        <v>1260</v>
      </c>
      <c r="N5898" t="inlineStr">
        <is>
          <t>Nycticebus coucang</t>
        </is>
      </c>
      <c r="O5898" t="inlineStr">
        <is>
          <t>LINE-1 reverse transcriptase homolog</t>
        </is>
      </c>
    </row>
    <row r="5899">
      <c r="A5899" t="inlineStr"/>
      <c r="B5899" t="inlineStr"/>
      <c r="C5899" t="inlineStr"/>
      <c r="D5899" t="inlineStr"/>
      <c r="E5899">
        <f>HYPERLINK("https://www.uniprot.org/uniprotkb/O00370/entry", "O00370")</f>
        <v/>
      </c>
      <c r="F5899" t="n">
        <v>30.4</v>
      </c>
      <c r="G5899" t="n">
        <v>1254</v>
      </c>
      <c r="H5899" t="n">
        <v>2.71e-165</v>
      </c>
      <c r="I5899" t="inlineStr">
        <is>
          <t>Swiss-Prot</t>
        </is>
      </c>
      <c r="J5899" t="inlineStr"/>
      <c r="K5899" t="inlineStr">
        <is>
          <t>LORF2_HUMAN</t>
        </is>
      </c>
      <c r="L5899" t="inlineStr">
        <is>
          <t>sp|O00370|LORF2_HUMAN LINE-1 retrotransposable element ORF2 protein OS=Homo sapiens OX=9606 PE=1 SV=1</t>
        </is>
      </c>
      <c r="M5899" t="n">
        <v>1275</v>
      </c>
      <c r="N5899" t="inlineStr">
        <is>
          <t>Homo sapiens</t>
        </is>
      </c>
      <c r="O5899" t="inlineStr">
        <is>
          <t>LINE-1 retrotransposable element ORF2 protein</t>
        </is>
      </c>
    </row>
    <row r="5900">
      <c r="A5900" t="inlineStr"/>
      <c r="B5900" t="inlineStr"/>
      <c r="C5900" t="inlineStr"/>
      <c r="D5900" t="inlineStr"/>
      <c r="E5900">
        <f>HYPERLINK("https://www.uniprot.org/uniprotkb/P11369/entry", "P11369")</f>
        <v/>
      </c>
      <c r="F5900" t="n">
        <v>29.2</v>
      </c>
      <c r="G5900" t="n">
        <v>1229</v>
      </c>
      <c r="H5900" t="n">
        <v>1.82e-159</v>
      </c>
      <c r="I5900" t="inlineStr">
        <is>
          <t>Swiss-Prot</t>
        </is>
      </c>
      <c r="J5900" t="inlineStr">
        <is>
          <t>Pol</t>
        </is>
      </c>
      <c r="K5900" t="inlineStr">
        <is>
          <t>LORF2_MOUSE</t>
        </is>
      </c>
      <c r="L5900" t="inlineStr">
        <is>
          <t>sp|P11369|LORF2_MOUSE LINE-1 retrotransposable element ORF2 protein OS=Mus musculus OX=10090 GN=Pol PE=1 SV=2</t>
        </is>
      </c>
      <c r="M5900" t="n">
        <v>1281</v>
      </c>
      <c r="N5900" t="inlineStr">
        <is>
          <t>Mus musculus</t>
        </is>
      </c>
      <c r="O5900" t="inlineStr">
        <is>
          <t>LINE-1 retrotransposable element ORF2 protein</t>
        </is>
      </c>
    </row>
    <row r="5901">
      <c r="A5901" t="inlineStr"/>
      <c r="B5901" t="inlineStr"/>
      <c r="C5901" t="inlineStr"/>
      <c r="D5901" t="inlineStr"/>
      <c r="E5901">
        <f>HYPERLINK("https://www.uniprot.org/uniprotkb/P14381/entry", "P14381")</f>
        <v/>
      </c>
      <c r="F5901" t="n">
        <v>25.6</v>
      </c>
      <c r="G5901" t="n">
        <v>871</v>
      </c>
      <c r="H5901" t="n">
        <v>6.32e-51</v>
      </c>
      <c r="I5901" t="inlineStr">
        <is>
          <t>Swiss-Prot</t>
        </is>
      </c>
      <c r="J5901" t="inlineStr"/>
      <c r="K5901" t="inlineStr">
        <is>
          <t>YTX2_XENLA</t>
        </is>
      </c>
      <c r="L5901" t="inlineStr">
        <is>
          <t>sp|P14381|YTX2_XENLA Transposon TX1 uncharacterized 149 kDa protein OS=Xenopus laevis OX=8355 PE=4 SV=1</t>
        </is>
      </c>
      <c r="M5901" t="n">
        <v>1308</v>
      </c>
      <c r="N5901" t="inlineStr">
        <is>
          <t>Xenopus laevis</t>
        </is>
      </c>
      <c r="O5901" t="inlineStr">
        <is>
          <t>Transposon TX1 uncharacterized 149 kDa protein</t>
        </is>
      </c>
    </row>
    <row r="5902">
      <c r="A5902" t="inlineStr"/>
      <c r="B5902" t="inlineStr"/>
      <c r="C5902" t="inlineStr"/>
      <c r="D5902" t="inlineStr"/>
      <c r="E5902">
        <f>HYPERLINK("https://www.uniprot.org/uniprotkb/A0A8C5MIZ2/entry", "A0A8C5MIZ2")</f>
        <v/>
      </c>
      <c r="F5902" t="n">
        <v>34.4</v>
      </c>
      <c r="G5902" t="n">
        <v>270</v>
      </c>
      <c r="H5902" t="n">
        <v>6.67e-42</v>
      </c>
      <c r="I5902" t="inlineStr">
        <is>
          <t>TrEMBL</t>
        </is>
      </c>
      <c r="J5902" t="inlineStr"/>
      <c r="K5902" t="inlineStr">
        <is>
          <t>A0A8C5MIZ2_9ANUR</t>
        </is>
      </c>
      <c r="L5902" t="inlineStr">
        <is>
          <t>tr|A0A8C5MIZ2|A0A8C5MIZ2_9ANUR Transposase OS=Leptobrachium leishanense OX=445787 PE=4 SV=1</t>
        </is>
      </c>
      <c r="M5902" t="n">
        <v>329</v>
      </c>
      <c r="N5902" t="inlineStr">
        <is>
          <t>Leptobrachium leishanense</t>
        </is>
      </c>
      <c r="O5902" t="inlineStr">
        <is>
          <t>Transposase</t>
        </is>
      </c>
    </row>
    <row r="5903">
      <c r="A5903" t="inlineStr"/>
      <c r="B5903" t="inlineStr"/>
      <c r="C5903" t="inlineStr"/>
      <c r="D5903" t="inlineStr"/>
      <c r="E5903">
        <f>HYPERLINK("https://www.uniprot.org/uniprotkb/A0A8C5MJD9/entry", "A0A8C5MJD9")</f>
        <v/>
      </c>
      <c r="F5903" t="n">
        <v>34.2</v>
      </c>
      <c r="G5903" t="n">
        <v>275</v>
      </c>
      <c r="H5903" t="n">
        <v>6.94e-41</v>
      </c>
      <c r="I5903" t="inlineStr">
        <is>
          <t>TrEMBL</t>
        </is>
      </c>
      <c r="J5903" t="inlineStr"/>
      <c r="K5903" t="inlineStr">
        <is>
          <t>A0A8C5MJD9_9ANUR</t>
        </is>
      </c>
      <c r="L5903" t="inlineStr">
        <is>
          <t>tr|A0A8C5MJD9|A0A8C5MJD9_9ANUR Transposase element L1Md-A101/L1Md-A102/L1Md-A2 OS=Leptobrachium leishanense OX=445787 PE=4 SV=1</t>
        </is>
      </c>
      <c r="M5903" t="n">
        <v>372</v>
      </c>
      <c r="N5903" t="inlineStr">
        <is>
          <t>Leptobrachium leishanense</t>
        </is>
      </c>
      <c r="O5903" t="inlineStr">
        <is>
          <t>Transposase element L1Md-A101/L1Md-A102/L1Md-A2</t>
        </is>
      </c>
    </row>
    <row r="5904">
      <c r="A5904" t="inlineStr"/>
      <c r="B5904" t="inlineStr"/>
      <c r="C5904" t="inlineStr"/>
      <c r="D5904" t="inlineStr"/>
      <c r="E5904">
        <f>HYPERLINK("https://www.uniprot.org/uniprotkb/A0A8C5LL35/entry", "A0A8C5LL35")</f>
        <v/>
      </c>
      <c r="F5904" t="n">
        <v>34.2</v>
      </c>
      <c r="G5904" t="n">
        <v>275</v>
      </c>
      <c r="H5904" t="n">
        <v>7.92e-41</v>
      </c>
      <c r="I5904" t="inlineStr">
        <is>
          <t>TrEMBL</t>
        </is>
      </c>
      <c r="J5904" t="inlineStr"/>
      <c r="K5904" t="inlineStr">
        <is>
          <t>A0A8C5LL35_9ANUR</t>
        </is>
      </c>
      <c r="L5904" t="inlineStr">
        <is>
          <t>tr|A0A8C5LL35|A0A8C5LL35_9ANUR Transposase element L1Md-A101/L1Md-A102/L1Md-A2 OS=Leptobrachium leishanense OX=445787 PE=4 SV=1</t>
        </is>
      </c>
      <c r="M5904" t="n">
        <v>378</v>
      </c>
      <c r="N5904" t="inlineStr">
        <is>
          <t>Leptobrachium leishanense</t>
        </is>
      </c>
      <c r="O5904" t="inlineStr">
        <is>
          <t>Transposase element L1Md-A101/L1Md-A102/L1Md-A2</t>
        </is>
      </c>
    </row>
    <row r="5905">
      <c r="A5905" t="inlineStr"/>
      <c r="B5905" t="inlineStr"/>
      <c r="C5905" t="inlineStr"/>
      <c r="D5905" t="inlineStr"/>
      <c r="E5905">
        <f>HYPERLINK("https://www.ncbi.nlm.nih.gov/gene/?term=KAG8566310.1", "KAG8566310.1")</f>
        <v/>
      </c>
      <c r="F5905" t="n">
        <v>37.5</v>
      </c>
      <c r="G5905" t="n">
        <v>269</v>
      </c>
      <c r="H5905" t="n">
        <v>2e-40</v>
      </c>
      <c r="I5905" t="inlineStr">
        <is>
          <t>Nr</t>
        </is>
      </c>
      <c r="J5905" t="inlineStr"/>
      <c r="K5905" t="inlineStr"/>
      <c r="L5905" t="inlineStr">
        <is>
          <t>KAG8566310.1 hypothetical protein GDO81_013181 [Engystomops pustulosus]</t>
        </is>
      </c>
      <c r="M5905" t="n">
        <v>911</v>
      </c>
      <c r="N5905" t="inlineStr">
        <is>
          <t>Engystomops pustulosus</t>
        </is>
      </c>
      <c r="O5905" t="inlineStr">
        <is>
          <t>hypothetical protein GDO81_013181</t>
        </is>
      </c>
    </row>
    <row r="5906">
      <c r="A5906" t="inlineStr"/>
      <c r="B5906" t="inlineStr"/>
      <c r="C5906" t="inlineStr"/>
      <c r="D5906" t="inlineStr"/>
      <c r="E5906">
        <f>HYPERLINK("https://www.uniprot.org/uniprotkb/A0A8C5PV76/entry", "A0A8C5PV76")</f>
        <v/>
      </c>
      <c r="F5906" t="n">
        <v>34.1</v>
      </c>
      <c r="G5906" t="n">
        <v>270</v>
      </c>
      <c r="H5906" t="n">
        <v>3.81e-40</v>
      </c>
      <c r="I5906" t="inlineStr">
        <is>
          <t>TrEMBL</t>
        </is>
      </c>
      <c r="J5906" t="inlineStr"/>
      <c r="K5906" t="inlineStr">
        <is>
          <t>A0A8C5PV76_9ANUR</t>
        </is>
      </c>
      <c r="L5906" t="inlineStr">
        <is>
          <t>tr|A0A8C5PV76|A0A8C5PV76_9ANUR LINE-1 type transposase domain-containing 1 OS=Leptobrachium leishanense OX=445787 PE=4 SV=1</t>
        </is>
      </c>
      <c r="M5906" t="n">
        <v>329</v>
      </c>
      <c r="N5906" t="inlineStr">
        <is>
          <t>Leptobrachium leishanense</t>
        </is>
      </c>
      <c r="O5906" t="inlineStr">
        <is>
          <t>LINE-1 type transposase domain-containing 1</t>
        </is>
      </c>
    </row>
    <row r="5907">
      <c r="A5907" t="inlineStr"/>
      <c r="B5907" t="inlineStr"/>
      <c r="C5907" t="inlineStr"/>
      <c r="D5907" t="inlineStr"/>
      <c r="E5907">
        <f>HYPERLINK("https://www.uniprot.org/uniprotkb/A0A8C5PC04/entry", "A0A8C5PC04")</f>
        <v/>
      </c>
      <c r="F5907" t="n">
        <v>34.1</v>
      </c>
      <c r="G5907" t="n">
        <v>270</v>
      </c>
      <c r="H5907" t="n">
        <v>9.499999999999999e-40</v>
      </c>
      <c r="I5907" t="inlineStr">
        <is>
          <t>TrEMBL</t>
        </is>
      </c>
      <c r="J5907" t="inlineStr"/>
      <c r="K5907" t="inlineStr">
        <is>
          <t>A0A8C5PC04_9ANUR</t>
        </is>
      </c>
      <c r="L5907" t="inlineStr">
        <is>
          <t>tr|A0A8C5PC04|A0A8C5PC04_9ANUR Transposase OS=Leptobrachium leishanense OX=445787 PE=4 SV=1</t>
        </is>
      </c>
      <c r="M5907" t="n">
        <v>435</v>
      </c>
      <c r="N5907" t="inlineStr">
        <is>
          <t>Leptobrachium leishanense</t>
        </is>
      </c>
      <c r="O5907" t="inlineStr">
        <is>
          <t>Transposase</t>
        </is>
      </c>
    </row>
    <row r="5908">
      <c r="A5908" t="inlineStr"/>
      <c r="B5908" t="inlineStr"/>
      <c r="C5908" t="inlineStr"/>
      <c r="D5908" t="inlineStr"/>
      <c r="E5908">
        <f>HYPERLINK("https://www.uniprot.org/uniprotkb/A0A8C5PAL5/entry", "A0A8C5PAL5")</f>
        <v/>
      </c>
      <c r="F5908" t="n">
        <v>36.6</v>
      </c>
      <c r="G5908" t="n">
        <v>262</v>
      </c>
      <c r="H5908" t="n">
        <v>1.15e-39</v>
      </c>
      <c r="I5908" t="inlineStr">
        <is>
          <t>TrEMBL</t>
        </is>
      </c>
      <c r="J5908" t="inlineStr"/>
      <c r="K5908" t="inlineStr">
        <is>
          <t>A0A8C5PAL5_9ANUR</t>
        </is>
      </c>
      <c r="L5908" t="inlineStr">
        <is>
          <t>tr|A0A8C5PAL5|A0A8C5PAL5_9ANUR LINE-1 type transposase domain-containing 1 OS=Leptobrachium leishanense OX=445787 PE=4 SV=1</t>
        </is>
      </c>
      <c r="M5908" t="n">
        <v>319</v>
      </c>
      <c r="N5908" t="inlineStr">
        <is>
          <t>Leptobrachium leishanense</t>
        </is>
      </c>
      <c r="O5908" t="inlineStr">
        <is>
          <t>LINE-1 type transposase domain-containing 1</t>
        </is>
      </c>
    </row>
    <row r="5909">
      <c r="A5909" t="inlineStr"/>
      <c r="B5909" t="inlineStr"/>
      <c r="C5909" t="inlineStr"/>
      <c r="D5909" t="inlineStr"/>
      <c r="E5909">
        <f>HYPERLINK("https://www.ncbi.nlm.nih.gov/gene/?term=OCT96131.1", "OCT96131.1")</f>
        <v/>
      </c>
      <c r="F5909" t="n">
        <v>34.4</v>
      </c>
      <c r="G5909" t="n">
        <v>282</v>
      </c>
      <c r="H5909" t="n">
        <v>9.5e-39</v>
      </c>
      <c r="I5909" t="inlineStr">
        <is>
          <t>Nr</t>
        </is>
      </c>
      <c r="J5909" t="inlineStr"/>
      <c r="K5909" t="inlineStr"/>
      <c r="L5909" t="inlineStr">
        <is>
          <t>OCT96131.1 hypothetical protein XELAEV_18013814mg, partial [Xenopus laevis]</t>
        </is>
      </c>
      <c r="M5909" t="n">
        <v>624</v>
      </c>
      <c r="N5909" t="inlineStr">
        <is>
          <t>Xenopus laevis</t>
        </is>
      </c>
      <c r="O5909" t="inlineStr">
        <is>
          <t>hypothetical protein XELAEV_18013814mg, partial</t>
        </is>
      </c>
    </row>
    <row r="5910">
      <c r="A5910" t="inlineStr"/>
      <c r="B5910" t="inlineStr"/>
      <c r="C5910" t="inlineStr"/>
      <c r="D5910" t="inlineStr"/>
      <c r="E5910">
        <f>HYPERLINK("https://www.uniprot.org/uniprotkb/A0A803J9X1/entry", "A0A803J9X1")</f>
        <v/>
      </c>
      <c r="F5910" t="n">
        <v>33.2</v>
      </c>
      <c r="G5910" t="n">
        <v>247</v>
      </c>
      <c r="H5910" t="n">
        <v>1.51e-38</v>
      </c>
      <c r="I5910" t="inlineStr">
        <is>
          <t>TrEMBL</t>
        </is>
      </c>
      <c r="J5910" t="inlineStr"/>
      <c r="K5910" t="inlineStr">
        <is>
          <t>A0A803J9X1_XENTR</t>
        </is>
      </c>
      <c r="L5910" t="inlineStr">
        <is>
          <t>tr|A0A803J9X1|A0A803J9X1_XENTR Reverse transcriptase domain-containing protein OS=Xenopus tropicalis OX=8364 PE=4 SV=1</t>
        </is>
      </c>
      <c r="M5910" t="n">
        <v>328</v>
      </c>
      <c r="N5910" t="inlineStr">
        <is>
          <t>Xenopus tropicalis</t>
        </is>
      </c>
      <c r="O5910" t="inlineStr">
        <is>
          <t>Reverse transcriptase domain-containing protein</t>
        </is>
      </c>
    </row>
    <row r="5911">
      <c r="A5911" t="inlineStr"/>
      <c r="B5911" t="inlineStr"/>
      <c r="C5911" t="inlineStr"/>
      <c r="D5911" t="inlineStr"/>
      <c r="E5911">
        <f>HYPERLINK("https://www.uniprot.org/uniprotkb/A0A803J6A6/entry", "A0A803J6A6")</f>
        <v/>
      </c>
      <c r="F5911" t="n">
        <v>34.8</v>
      </c>
      <c r="G5911" t="n">
        <v>253</v>
      </c>
      <c r="H5911" t="n">
        <v>1.69e-38</v>
      </c>
      <c r="I5911" t="inlineStr">
        <is>
          <t>TrEMBL</t>
        </is>
      </c>
      <c r="J5911" t="inlineStr"/>
      <c r="K5911" t="inlineStr">
        <is>
          <t>A0A803J6A6_XENTR</t>
        </is>
      </c>
      <c r="L5911" t="inlineStr">
        <is>
          <t>tr|A0A803J6A6|A0A803J6A6_XENTR Transposase_22 domain-containing protein OS=Xenopus tropicalis OX=8364 PE=4 SV=1</t>
        </is>
      </c>
      <c r="M5911" t="n">
        <v>363</v>
      </c>
      <c r="N5911" t="inlineStr">
        <is>
          <t>Xenopus tropicalis</t>
        </is>
      </c>
      <c r="O5911" t="inlineStr">
        <is>
          <t>Transposase_22 domain-containing protein</t>
        </is>
      </c>
    </row>
    <row r="5912">
      <c r="A5912" t="inlineStr"/>
      <c r="B5912" t="inlineStr"/>
      <c r="C5912" t="inlineStr"/>
      <c r="D5912" t="inlineStr"/>
      <c r="E5912">
        <f>HYPERLINK("https://www.uniprot.org/uniprotkb/A0A8C5PDJ6/entry", "A0A8C5PDJ6")</f>
        <v/>
      </c>
      <c r="F5912" t="n">
        <v>37.2</v>
      </c>
      <c r="G5912" t="n">
        <v>269</v>
      </c>
      <c r="H5912" t="n">
        <v>2.12e-38</v>
      </c>
      <c r="I5912" t="inlineStr">
        <is>
          <t>TrEMBL</t>
        </is>
      </c>
      <c r="J5912" t="inlineStr"/>
      <c r="K5912" t="inlineStr">
        <is>
          <t>A0A8C5PDJ6_9ANUR</t>
        </is>
      </c>
      <c r="L5912" t="inlineStr">
        <is>
          <t>tr|A0A8C5PDJ6|A0A8C5PDJ6_9ANUR LINE-1 type transposase domain-containing protein 1 OS=Leptobrachium leishanense OX=445787 PE=4 SV=1</t>
        </is>
      </c>
      <c r="M5912" t="n">
        <v>358</v>
      </c>
      <c r="N5912" t="inlineStr">
        <is>
          <t>Leptobrachium leishanense</t>
        </is>
      </c>
      <c r="O5912" t="inlineStr">
        <is>
          <t>LINE-1 type transposase domain-containing protein 1</t>
        </is>
      </c>
    </row>
    <row r="5913">
      <c r="A5913" t="inlineStr"/>
      <c r="B5913" t="inlineStr"/>
      <c r="C5913" t="inlineStr"/>
      <c r="D5913" t="inlineStr"/>
      <c r="E5913">
        <f>HYPERLINK("https://www.uniprot.org/uniprotkb/A0A8C5LL14/entry", "A0A8C5LL14")</f>
        <v/>
      </c>
      <c r="F5913" t="n">
        <v>34.9</v>
      </c>
      <c r="G5913" t="n">
        <v>229</v>
      </c>
      <c r="H5913" t="n">
        <v>5.81e-38</v>
      </c>
      <c r="I5913" t="inlineStr">
        <is>
          <t>TrEMBL</t>
        </is>
      </c>
      <c r="J5913" t="inlineStr"/>
      <c r="K5913" t="inlineStr">
        <is>
          <t>A0A8C5LL14_9ANUR</t>
        </is>
      </c>
      <c r="L5913" t="inlineStr">
        <is>
          <t>tr|A0A8C5LL14|A0A8C5LL14_9ANUR LINE-1 type transposase domain-containing protein 1 OS=Leptobrachium leishanense OX=445787 PE=4 SV=1</t>
        </is>
      </c>
      <c r="M5913" t="n">
        <v>314</v>
      </c>
      <c r="N5913" t="inlineStr">
        <is>
          <t>Leptobrachium leishanense</t>
        </is>
      </c>
      <c r="O5913" t="inlineStr">
        <is>
          <t>LINE-1 type transposase domain-containing protein 1</t>
        </is>
      </c>
    </row>
    <row r="5914">
      <c r="A5914" t="inlineStr"/>
      <c r="B5914" t="inlineStr"/>
      <c r="C5914" t="inlineStr"/>
      <c r="D5914" t="inlineStr"/>
      <c r="E5914">
        <f>HYPERLINK("https://www.ncbi.nlm.nih.gov/gene/?term=XP_044146854.1", "XP_044146854.1")</f>
        <v/>
      </c>
      <c r="F5914" t="n">
        <v>37.9</v>
      </c>
      <c r="G5914" t="n">
        <v>272</v>
      </c>
      <c r="H5914" t="n">
        <v>1.12e-37</v>
      </c>
      <c r="I5914" t="inlineStr">
        <is>
          <t>Nr</t>
        </is>
      </c>
      <c r="J5914" t="inlineStr"/>
      <c r="K5914" t="inlineStr"/>
      <c r="L5914" t="inlineStr">
        <is>
          <t>XP_044146854.1 uncharacterized protein LOC122935155 [Bufo gargarizans]</t>
        </is>
      </c>
      <c r="M5914" t="n">
        <v>1479</v>
      </c>
      <c r="N5914" t="inlineStr">
        <is>
          <t>Bufo gargarizans</t>
        </is>
      </c>
      <c r="O5914" t="inlineStr">
        <is>
          <t>uncharacterized protein LOC122935155</t>
        </is>
      </c>
    </row>
    <row r="5915">
      <c r="A5915" t="inlineStr"/>
      <c r="B5915" t="inlineStr"/>
      <c r="C5915" t="inlineStr"/>
      <c r="D5915" t="inlineStr"/>
      <c r="E5915">
        <f>HYPERLINK("https://www.uniprot.org/uniprotkb/A0A8C5LUK7/entry", "A0A8C5LUK7")</f>
        <v/>
      </c>
      <c r="F5915" t="n">
        <v>36.4</v>
      </c>
      <c r="G5915" t="n">
        <v>269</v>
      </c>
      <c r="H5915" t="n">
        <v>1.23e-37</v>
      </c>
      <c r="I5915" t="inlineStr">
        <is>
          <t>TrEMBL</t>
        </is>
      </c>
      <c r="J5915" t="inlineStr"/>
      <c r="K5915" t="inlineStr">
        <is>
          <t>A0A8C5LUK7_9ANUR</t>
        </is>
      </c>
      <c r="L5915" t="inlineStr">
        <is>
          <t>tr|A0A8C5LUK7|A0A8C5LUK7_9ANUR LINE-1 type transposase domain-containing protein 1 OS=Leptobrachium leishanense OX=445787 PE=4 SV=1</t>
        </is>
      </c>
      <c r="M5915" t="n">
        <v>362</v>
      </c>
      <c r="N5915" t="inlineStr">
        <is>
          <t>Leptobrachium leishanense</t>
        </is>
      </c>
      <c r="O5915" t="inlineStr">
        <is>
          <t>LINE-1 type transposase domain-containing protein 1</t>
        </is>
      </c>
    </row>
    <row r="5916">
      <c r="A5916" t="inlineStr"/>
      <c r="B5916" t="inlineStr"/>
      <c r="C5916" t="inlineStr"/>
      <c r="D5916" t="inlineStr"/>
      <c r="E5916">
        <f>HYPERLINK("https://www.uniprot.org/uniprotkb/A0A8C5PTI2/entry", "A0A8C5PTI2")</f>
        <v/>
      </c>
      <c r="F5916" t="n">
        <v>39.7</v>
      </c>
      <c r="G5916" t="n">
        <v>239</v>
      </c>
      <c r="H5916" t="n">
        <v>2.96e-37</v>
      </c>
      <c r="I5916" t="inlineStr">
        <is>
          <t>TrEMBL</t>
        </is>
      </c>
      <c r="J5916" t="inlineStr"/>
      <c r="K5916" t="inlineStr">
        <is>
          <t>A0A8C5PTI2_9ANUR</t>
        </is>
      </c>
      <c r="L5916" t="inlineStr">
        <is>
          <t>tr|A0A8C5PTI2|A0A8C5PTI2_9ANUR t-SNARE coiled-coil homology domain-containing protein OS=Leptobrachium leishanense OX=445787 PE=4 SV=1</t>
        </is>
      </c>
      <c r="M5916" t="n">
        <v>271</v>
      </c>
      <c r="N5916" t="inlineStr">
        <is>
          <t>Leptobrachium leishanense</t>
        </is>
      </c>
      <c r="O5916" t="inlineStr">
        <is>
          <t>t-SNARE coiled-coil homology domain-containing protein</t>
        </is>
      </c>
    </row>
    <row r="5917">
      <c r="A5917" t="inlineStr"/>
      <c r="B5917" t="inlineStr"/>
      <c r="C5917" t="inlineStr"/>
      <c r="D5917" t="inlineStr"/>
      <c r="E5917">
        <f>HYPERLINK("https://www.uniprot.org/uniprotkb/A0A803K9I3/entry", "A0A803K9I3")</f>
        <v/>
      </c>
      <c r="F5917" t="n">
        <v>35.1</v>
      </c>
      <c r="G5917" t="n">
        <v>248</v>
      </c>
      <c r="H5917" t="n">
        <v>8.11e-37</v>
      </c>
      <c r="I5917" t="inlineStr">
        <is>
          <t>TrEMBL</t>
        </is>
      </c>
      <c r="J5917" t="inlineStr"/>
      <c r="K5917" t="inlineStr">
        <is>
          <t>A0A803K9I3_XENTR</t>
        </is>
      </c>
      <c r="L5917" t="inlineStr">
        <is>
          <t>tr|A0A803K9I3|A0A803K9I3_XENTR LINE-1 type transposase domain-containing protein 1 OS=Xenopus tropicalis OX=8364 PE=4 SV=1</t>
        </is>
      </c>
      <c r="M5917" t="n">
        <v>424</v>
      </c>
      <c r="N5917" t="inlineStr">
        <is>
          <t>Xenopus tropicalis</t>
        </is>
      </c>
      <c r="O5917" t="inlineStr">
        <is>
          <t>LINE-1 type transposase domain-containing protein 1</t>
        </is>
      </c>
    </row>
    <row r="5918">
      <c r="A5918" t="inlineStr"/>
      <c r="B5918" t="inlineStr"/>
      <c r="C5918" t="inlineStr"/>
      <c r="D5918" t="inlineStr"/>
      <c r="E5918">
        <f>HYPERLINK("https://www.uniprot.org/uniprotkb/A0A8T2KBV4/entry", "A0A8T2KBV4")</f>
        <v/>
      </c>
      <c r="F5918" t="n">
        <v>38.3</v>
      </c>
      <c r="G5918" t="n">
        <v>240</v>
      </c>
      <c r="H5918" t="n">
        <v>9.180000000000001e-37</v>
      </c>
      <c r="I5918" t="inlineStr">
        <is>
          <t>TrEMBL</t>
        </is>
      </c>
      <c r="J5918" t="inlineStr">
        <is>
          <t>GDO86_003963</t>
        </is>
      </c>
      <c r="K5918" t="inlineStr">
        <is>
          <t>A0A8T2KBV4_9PIPI</t>
        </is>
      </c>
      <c r="L5918" t="inlineStr">
        <is>
          <t>tr|A0A8T2KBV4|A0A8T2KBV4_9PIPI Transposase element L1Md-A101/L1Md-A102/L1Md-A2 OS=Hymenochirus boettgeri OX=247094 GN=GDO86_003963 PE=4 SV=1</t>
        </is>
      </c>
      <c r="M5918" t="n">
        <v>431</v>
      </c>
      <c r="N5918" t="inlineStr">
        <is>
          <t>Hymenochirus boettgeri</t>
        </is>
      </c>
      <c r="O5918" t="inlineStr">
        <is>
          <t>Transposase element L1Md-A101/L1Md-A102/L1Md-A2</t>
        </is>
      </c>
    </row>
    <row r="5919">
      <c r="A5919" t="inlineStr"/>
      <c r="B5919" t="inlineStr"/>
      <c r="C5919" t="inlineStr"/>
      <c r="D5919" t="inlineStr"/>
      <c r="E5919">
        <f>HYPERLINK("https://www.uniprot.org/uniprotkb/A0A8C5R5T1/entry", "A0A8C5R5T1")</f>
        <v/>
      </c>
      <c r="F5919" t="n">
        <v>36.8</v>
      </c>
      <c r="G5919" t="n">
        <v>269</v>
      </c>
      <c r="H5919" t="n">
        <v>1.77e-36</v>
      </c>
      <c r="I5919" t="inlineStr">
        <is>
          <t>TrEMBL</t>
        </is>
      </c>
      <c r="J5919" t="inlineStr"/>
      <c r="K5919" t="inlineStr">
        <is>
          <t>A0A8C5R5T1_9ANUR</t>
        </is>
      </c>
      <c r="L5919" t="inlineStr">
        <is>
          <t>tr|A0A8C5R5T1|A0A8C5R5T1_9ANUR LINE-1 retrotransposable element ORF1 protein OS=Leptobrachium leishanense OX=445787 PE=4 SV=1</t>
        </is>
      </c>
      <c r="M5919" t="n">
        <v>362</v>
      </c>
      <c r="N5919" t="inlineStr">
        <is>
          <t>Leptobrachium leishanense</t>
        </is>
      </c>
      <c r="O5919" t="inlineStr">
        <is>
          <t>LINE-1 retrotransposable element ORF1 protein</t>
        </is>
      </c>
    </row>
    <row r="5920">
      <c r="A5920" t="inlineStr"/>
      <c r="B5920" t="inlineStr"/>
      <c r="C5920" t="inlineStr"/>
      <c r="D5920" t="inlineStr"/>
      <c r="E5920">
        <f>HYPERLINK("https://www.uniprot.org/uniprotkb/A0A803J8S4/entry", "A0A803J8S4")</f>
        <v/>
      </c>
      <c r="F5920" t="n">
        <v>35.1</v>
      </c>
      <c r="G5920" t="n">
        <v>245</v>
      </c>
      <c r="H5920" t="n">
        <v>2.05e-36</v>
      </c>
      <c r="I5920" t="inlineStr">
        <is>
          <t>TrEMBL</t>
        </is>
      </c>
      <c r="J5920" t="inlineStr"/>
      <c r="K5920" t="inlineStr">
        <is>
          <t>A0A803J8S4_XENTR</t>
        </is>
      </c>
      <c r="L5920" t="inlineStr">
        <is>
          <t>tr|A0A803J8S4|A0A803J8S4_XENTR LINE-1 retrotransposable element ORF1 protein OS=Xenopus tropicalis OX=8364 PE=4 SV=1</t>
        </is>
      </c>
      <c r="M5920" t="n">
        <v>369</v>
      </c>
      <c r="N5920" t="inlineStr">
        <is>
          <t>Xenopus tropicalis</t>
        </is>
      </c>
      <c r="O5920" t="inlineStr">
        <is>
          <t>LINE-1 retrotransposable element ORF1 protein</t>
        </is>
      </c>
    </row>
    <row r="5921">
      <c r="A5921" t="inlineStr"/>
      <c r="B5921" t="inlineStr"/>
      <c r="C5921" t="inlineStr"/>
      <c r="D5921" t="inlineStr"/>
      <c r="E5921">
        <f>HYPERLINK("https://www.ncbi.nlm.nih.gov/gene/?term=KAG8451976.1", "KAG8451976.1")</f>
        <v/>
      </c>
      <c r="F5921" t="n">
        <v>38.3</v>
      </c>
      <c r="G5921" t="n">
        <v>240</v>
      </c>
      <c r="H5921" t="n">
        <v>2.36e-36</v>
      </c>
      <c r="I5921" t="inlineStr">
        <is>
          <t>Nr</t>
        </is>
      </c>
      <c r="J5921" t="inlineStr"/>
      <c r="K5921" t="inlineStr"/>
      <c r="L5921" t="inlineStr">
        <is>
          <t>KAG8451976.1 hypothetical protein GDO86_003963 [Hymenochirus boettgeri]</t>
        </is>
      </c>
      <c r="M5921" t="n">
        <v>431</v>
      </c>
      <c r="N5921" t="inlineStr">
        <is>
          <t>Hymenochirus boettgeri</t>
        </is>
      </c>
      <c r="O5921" t="inlineStr">
        <is>
          <t>hypothetical protein GDO86_003963</t>
        </is>
      </c>
    </row>
    <row r="5922">
      <c r="A5922" t="inlineStr"/>
      <c r="B5922" t="inlineStr"/>
      <c r="C5922" t="inlineStr"/>
      <c r="D5922" t="inlineStr"/>
      <c r="E5922">
        <f>HYPERLINK("https://www.uniprot.org/uniprotkb/A0A8C5QJC0/entry", "A0A8C5QJC0")</f>
        <v/>
      </c>
      <c r="F5922" t="n">
        <v>36.1</v>
      </c>
      <c r="G5922" t="n">
        <v>269</v>
      </c>
      <c r="H5922" t="n">
        <v>4.58e-36</v>
      </c>
      <c r="I5922" t="inlineStr">
        <is>
          <t>TrEMBL</t>
        </is>
      </c>
      <c r="J5922" t="inlineStr"/>
      <c r="K5922" t="inlineStr">
        <is>
          <t>A0A8C5QJC0_9ANUR</t>
        </is>
      </c>
      <c r="L5922" t="inlineStr">
        <is>
          <t>tr|A0A8C5QJC0|A0A8C5QJC0_9ANUR LINE-1 type transposase domain-containing protein 1 OS=Leptobrachium leishanense OX=445787 PE=4 SV=1</t>
        </is>
      </c>
      <c r="M5922" t="n">
        <v>344</v>
      </c>
      <c r="N5922" t="inlineStr">
        <is>
          <t>Leptobrachium leishanense</t>
        </is>
      </c>
      <c r="O5922" t="inlineStr">
        <is>
          <t>LINE-1 type transposase domain-containing protein 1</t>
        </is>
      </c>
    </row>
    <row r="5923">
      <c r="A5923" t="inlineStr"/>
      <c r="B5923" t="inlineStr"/>
      <c r="C5923" t="inlineStr"/>
      <c r="D5923" t="inlineStr"/>
      <c r="E5923">
        <f>HYPERLINK("https://www.uniprot.org/uniprotkb/A0A8J1JWV7/entry", "A0A8J1JWV7")</f>
        <v/>
      </c>
      <c r="F5923" t="n">
        <v>35.5</v>
      </c>
      <c r="G5923" t="n">
        <v>248</v>
      </c>
      <c r="H5923" t="n">
        <v>1.26e-35</v>
      </c>
      <c r="I5923" t="inlineStr">
        <is>
          <t>TrEMBL</t>
        </is>
      </c>
      <c r="J5923" t="inlineStr">
        <is>
          <t>nphp4</t>
        </is>
      </c>
      <c r="K5923" t="inlineStr">
        <is>
          <t>A0A8J1JWV7_XENTR</t>
        </is>
      </c>
      <c r="L5923" t="inlineStr">
        <is>
          <t>tr|A0A8J1JWV7|A0A8J1JWV7_XENTR LOW QUALITY PROTEIN: nephrocystin-4 OS=Xenopus tropicalis OX=8364 GN=nphp4 PE=4 SV=1</t>
        </is>
      </c>
      <c r="M5923" t="n">
        <v>1030</v>
      </c>
      <c r="N5923" t="inlineStr">
        <is>
          <t>Xenopus tropicalis</t>
        </is>
      </c>
      <c r="O5923" t="inlineStr">
        <is>
          <t>LOW QUALITY PROTEIN: nephrocystin-4</t>
        </is>
      </c>
    </row>
    <row r="5924">
      <c r="A5924" t="inlineStr"/>
      <c r="B5924" t="inlineStr"/>
      <c r="C5924" t="inlineStr"/>
      <c r="D5924" t="inlineStr"/>
      <c r="E5924">
        <f>HYPERLINK("https://www.ncbi.nlm.nih.gov/gene/?term=KAE8589170.1", "KAE8589170.1")</f>
        <v/>
      </c>
      <c r="F5924" t="n">
        <v>35.4</v>
      </c>
      <c r="G5924" t="n">
        <v>268</v>
      </c>
      <c r="H5924" t="n">
        <v>1.66e-35</v>
      </c>
      <c r="I5924" t="inlineStr">
        <is>
          <t>Nr</t>
        </is>
      </c>
      <c r="J5924" t="inlineStr"/>
      <c r="K5924" t="inlineStr"/>
      <c r="L5924" t="inlineStr">
        <is>
          <t>KAE8589170.1 hypothetical protein XENTR_v10022906 [Xenopus tropicalis]</t>
        </is>
      </c>
      <c r="M5924" t="n">
        <v>273</v>
      </c>
      <c r="N5924" t="inlineStr">
        <is>
          <t>Xenopus tropicalis</t>
        </is>
      </c>
      <c r="O5924" t="inlineStr">
        <is>
          <t>hypothetical protein XENTR_v10022906</t>
        </is>
      </c>
    </row>
    <row r="5925">
      <c r="A5925" t="inlineStr"/>
      <c r="B5925" t="inlineStr"/>
      <c r="C5925" t="inlineStr"/>
      <c r="D5925" t="inlineStr"/>
      <c r="E5925">
        <f>HYPERLINK("https://www.uniprot.org/uniprotkb/A0A8C5MG70/entry", "A0A8C5MG70")</f>
        <v/>
      </c>
      <c r="F5925" t="n">
        <v>35</v>
      </c>
      <c r="G5925" t="n">
        <v>243</v>
      </c>
      <c r="H5925" t="n">
        <v>1.82e-35</v>
      </c>
      <c r="I5925" t="inlineStr">
        <is>
          <t>TrEMBL</t>
        </is>
      </c>
      <c r="J5925" t="inlineStr"/>
      <c r="K5925" t="inlineStr">
        <is>
          <t>A0A8C5MG70_9ANUR</t>
        </is>
      </c>
      <c r="L5925" t="inlineStr">
        <is>
          <t>tr|A0A8C5MG70|A0A8C5MG70_9ANUR Transposase element L1Md-A101/L1Md-A102/L1Md-A2 OS=Leptobrachium leishanense OX=445787 PE=4 SV=1</t>
        </is>
      </c>
      <c r="M5925" t="n">
        <v>362</v>
      </c>
      <c r="N5925" t="inlineStr">
        <is>
          <t>Leptobrachium leishanense</t>
        </is>
      </c>
      <c r="O5925" t="inlineStr">
        <is>
          <t>Transposase element L1Md-A101/L1Md-A102/L1Md-A2</t>
        </is>
      </c>
    </row>
    <row r="5926">
      <c r="A5926" t="inlineStr"/>
      <c r="B5926" t="inlineStr"/>
      <c r="C5926" t="inlineStr"/>
      <c r="D5926" t="inlineStr"/>
      <c r="E5926">
        <f>HYPERLINK("https://www.uniprot.org/uniprotkb/A0A8C5PPF7/entry", "A0A8C5PPF7")</f>
        <v/>
      </c>
      <c r="F5926" t="n">
        <v>34</v>
      </c>
      <c r="G5926" t="n">
        <v>244</v>
      </c>
      <c r="H5926" t="n">
        <v>2.23e-35</v>
      </c>
      <c r="I5926" t="inlineStr">
        <is>
          <t>TrEMBL</t>
        </is>
      </c>
      <c r="J5926" t="inlineStr"/>
      <c r="K5926" t="inlineStr">
        <is>
          <t>A0A8C5PPF7_9ANUR</t>
        </is>
      </c>
      <c r="L5926" t="inlineStr">
        <is>
          <t>tr|A0A8C5PPF7|A0A8C5PPF7_9ANUR LINE-1 type transposase domain-containing 1 OS=Leptobrachium leishanense OX=445787 PE=4 SV=1</t>
        </is>
      </c>
      <c r="M5926" t="n">
        <v>340</v>
      </c>
      <c r="N5926" t="inlineStr">
        <is>
          <t>Leptobrachium leishanense</t>
        </is>
      </c>
      <c r="O5926" t="inlineStr">
        <is>
          <t>LINE-1 type transposase domain-containing 1</t>
        </is>
      </c>
    </row>
    <row r="5927">
      <c r="A5927" t="inlineStr"/>
      <c r="B5927" t="inlineStr"/>
      <c r="C5927" t="inlineStr"/>
      <c r="D5927" t="inlineStr"/>
      <c r="E5927">
        <f>HYPERLINK("https://www.ncbi.nlm.nih.gov/gene/?term=XP_031762377.1", "XP_031762377.1")</f>
        <v/>
      </c>
      <c r="F5927" t="n">
        <v>35.5</v>
      </c>
      <c r="G5927" t="n">
        <v>248</v>
      </c>
      <c r="H5927" t="n">
        <v>3.22e-35</v>
      </c>
      <c r="I5927" t="inlineStr">
        <is>
          <t>Nr</t>
        </is>
      </c>
      <c r="J5927" t="inlineStr"/>
      <c r="K5927" t="inlineStr"/>
      <c r="L5927" t="inlineStr">
        <is>
          <t>XP_031762377.1 LOW QUALITY PROTEIN: nephrocystin-4 [Xenopus tropicalis]</t>
        </is>
      </c>
      <c r="M5927" t="n">
        <v>1030</v>
      </c>
      <c r="N5927" t="inlineStr">
        <is>
          <t>Xenopus tropicalis</t>
        </is>
      </c>
      <c r="O5927" t="inlineStr">
        <is>
          <t>LOW QUALITY PROTEIN: nephrocystin-4</t>
        </is>
      </c>
    </row>
    <row r="5928">
      <c r="A5928" t="inlineStr"/>
      <c r="B5928" t="inlineStr"/>
      <c r="C5928" t="inlineStr"/>
      <c r="D5928" t="inlineStr"/>
      <c r="E5928">
        <f>HYPERLINK("https://www.uniprot.org/uniprotkb/A0A803K8U8/entry", "A0A803K8U8")</f>
        <v/>
      </c>
      <c r="F5928" t="n">
        <v>33.3</v>
      </c>
      <c r="G5928" t="n">
        <v>240</v>
      </c>
      <c r="H5928" t="n">
        <v>4.02e-35</v>
      </c>
      <c r="I5928" t="inlineStr">
        <is>
          <t>TrEMBL</t>
        </is>
      </c>
      <c r="J5928" t="inlineStr"/>
      <c r="K5928" t="inlineStr">
        <is>
          <t>A0A803K8U8_XENTR</t>
        </is>
      </c>
      <c r="L5928" t="inlineStr">
        <is>
          <t>tr|A0A803K8U8|A0A803K8U8_XENTR Tick transposon OS=Xenopus tropicalis OX=8364 PE=4 SV=1</t>
        </is>
      </c>
      <c r="M5928" t="n">
        <v>352</v>
      </c>
      <c r="N5928" t="inlineStr">
        <is>
          <t>Xenopus tropicalis</t>
        </is>
      </c>
      <c r="O5928" t="inlineStr">
        <is>
          <t>Tick transposon</t>
        </is>
      </c>
    </row>
    <row r="5929">
      <c r="A5929" t="inlineStr"/>
      <c r="B5929" t="inlineStr"/>
      <c r="C5929" t="inlineStr"/>
      <c r="D5929" t="inlineStr"/>
      <c r="E5929">
        <f>HYPERLINK("https://www.uniprot.org/uniprotkb/A0A8C5Q4L2/entry", "A0A8C5Q4L2")</f>
        <v/>
      </c>
      <c r="F5929" t="n">
        <v>33</v>
      </c>
      <c r="G5929" t="n">
        <v>288</v>
      </c>
      <c r="H5929" t="n">
        <v>4.28e-35</v>
      </c>
      <c r="I5929" t="inlineStr">
        <is>
          <t>TrEMBL</t>
        </is>
      </c>
      <c r="J5929" t="inlineStr"/>
      <c r="K5929" t="inlineStr">
        <is>
          <t>A0A8C5Q4L2_9ANUR</t>
        </is>
      </c>
      <c r="L5929" t="inlineStr">
        <is>
          <t>tr|A0A8C5Q4L2|A0A8C5Q4L2_9ANUR T-cell activation inhibitor, mitochondrial OS=Leptobrachium leishanense OX=445787 PE=4 SV=1</t>
        </is>
      </c>
      <c r="M5929" t="n">
        <v>355</v>
      </c>
      <c r="N5929" t="inlineStr">
        <is>
          <t>Leptobrachium leishanense</t>
        </is>
      </c>
      <c r="O5929" t="inlineStr">
        <is>
          <t>T-cell activation inhibitor, mitochondrial</t>
        </is>
      </c>
    </row>
    <row r="5930">
      <c r="A5930" t="inlineStr"/>
      <c r="B5930" t="inlineStr"/>
      <c r="C5930" t="inlineStr"/>
      <c r="D5930" t="inlineStr"/>
      <c r="E5930">
        <f>HYPERLINK("https://www.uniprot.org/uniprotkb/A0A8C5LWR2/entry", "A0A8C5LWR2")</f>
        <v/>
      </c>
      <c r="F5930" t="n">
        <v>35.4</v>
      </c>
      <c r="G5930" t="n">
        <v>254</v>
      </c>
      <c r="H5930" t="n">
        <v>4.83e-35</v>
      </c>
      <c r="I5930" t="inlineStr">
        <is>
          <t>TrEMBL</t>
        </is>
      </c>
      <c r="J5930" t="inlineStr"/>
      <c r="K5930" t="inlineStr">
        <is>
          <t>A0A8C5LWR2_9ANUR</t>
        </is>
      </c>
      <c r="L5930" t="inlineStr">
        <is>
          <t>tr|A0A8C5LWR2|A0A8C5LWR2_9ANUR Transposase_22 domain-containing protein OS=Leptobrachium leishanense OX=445787 PE=4 SV=1</t>
        </is>
      </c>
      <c r="M5930" t="n">
        <v>345</v>
      </c>
      <c r="N5930" t="inlineStr">
        <is>
          <t>Leptobrachium leishanense</t>
        </is>
      </c>
      <c r="O5930" t="inlineStr">
        <is>
          <t>Transposase_22 domain-containing protein</t>
        </is>
      </c>
    </row>
    <row r="5931">
      <c r="A5931" t="inlineStr"/>
      <c r="B5931" t="inlineStr"/>
      <c r="C5931" t="inlineStr"/>
      <c r="D5931" t="inlineStr"/>
      <c r="E5931">
        <f>HYPERLINK("https://www.uniprot.org/uniprotkb/A0A8C5QWI0/entry", "A0A8C5QWI0")</f>
        <v/>
      </c>
      <c r="F5931" t="n">
        <v>36.3</v>
      </c>
      <c r="G5931" t="n">
        <v>256</v>
      </c>
      <c r="H5931" t="n">
        <v>7.81e-35</v>
      </c>
      <c r="I5931" t="inlineStr">
        <is>
          <t>TrEMBL</t>
        </is>
      </c>
      <c r="J5931" t="inlineStr"/>
      <c r="K5931" t="inlineStr">
        <is>
          <t>A0A8C5QWI0_9ANUR</t>
        </is>
      </c>
      <c r="L5931" t="inlineStr">
        <is>
          <t>tr|A0A8C5QWI0|A0A8C5QWI0_9ANUR LINE-1 retrotransposable element ORF1 protein OS=Leptobrachium leishanense OX=445787 PE=4 SV=1</t>
        </is>
      </c>
      <c r="M5931" t="n">
        <v>352</v>
      </c>
      <c r="N5931" t="inlineStr">
        <is>
          <t>Leptobrachium leishanense</t>
        </is>
      </c>
      <c r="O5931" t="inlineStr">
        <is>
          <t>LINE-1 retrotransposable element ORF1 protein</t>
        </is>
      </c>
    </row>
    <row r="5932">
      <c r="A5932" t="inlineStr"/>
      <c r="B5932" t="inlineStr"/>
      <c r="C5932" t="inlineStr"/>
      <c r="D5932" t="inlineStr"/>
      <c r="E5932">
        <f>HYPERLINK("https://www.uniprot.org/uniprotkb/A0A8C5LQL7/entry", "A0A8C5LQL7")</f>
        <v/>
      </c>
      <c r="F5932" t="n">
        <v>33.3</v>
      </c>
      <c r="G5932" t="n">
        <v>261</v>
      </c>
      <c r="H5932" t="n">
        <v>1.37e-34</v>
      </c>
      <c r="I5932" t="inlineStr">
        <is>
          <t>TrEMBL</t>
        </is>
      </c>
      <c r="J5932" t="inlineStr"/>
      <c r="K5932" t="inlineStr">
        <is>
          <t>A0A8C5LQL7_9ANUR</t>
        </is>
      </c>
      <c r="L5932" t="inlineStr">
        <is>
          <t>tr|A0A8C5LQL7|A0A8C5LQL7_9ANUR LINE-1 retrotransposable element ORF2 protein OS=Leptobrachium leishanense OX=445787 PE=4 SV=1</t>
        </is>
      </c>
      <c r="M5932" t="n">
        <v>274</v>
      </c>
      <c r="N5932" t="inlineStr">
        <is>
          <t>Leptobrachium leishanense</t>
        </is>
      </c>
      <c r="O5932" t="inlineStr">
        <is>
          <t>LINE-1 retrotransposable element ORF2 protein</t>
        </is>
      </c>
    </row>
    <row r="5933">
      <c r="A5933" t="inlineStr"/>
      <c r="B5933" t="inlineStr"/>
      <c r="C5933" t="inlineStr"/>
      <c r="D5933" t="inlineStr"/>
      <c r="E5933">
        <f>HYPERLINK("https://www.ncbi.nlm.nih.gov/gene/?term=CAH2329919.1", "CAH2329919.1")</f>
        <v/>
      </c>
      <c r="F5933" t="n">
        <v>35.5</v>
      </c>
      <c r="G5933" t="n">
        <v>245</v>
      </c>
      <c r="H5933" t="n">
        <v>6.92e-34</v>
      </c>
      <c r="I5933" t="inlineStr">
        <is>
          <t>Nr</t>
        </is>
      </c>
      <c r="J5933" t="inlineStr"/>
      <c r="K5933" t="inlineStr"/>
      <c r="L5933" t="inlineStr">
        <is>
          <t>CAH2329919.1 Hypothetical predicted protein [Pelobates cultripes]</t>
        </is>
      </c>
      <c r="M5933" t="n">
        <v>332</v>
      </c>
      <c r="N5933" t="inlineStr">
        <is>
          <t>Pelobates cultripes</t>
        </is>
      </c>
      <c r="O5933" t="inlineStr">
        <is>
          <t>Hypothetical predicted protein</t>
        </is>
      </c>
    </row>
    <row r="5934">
      <c r="A5934" t="inlineStr"/>
      <c r="B5934" t="inlineStr"/>
      <c r="C5934" t="inlineStr"/>
      <c r="D5934" t="inlineStr"/>
      <c r="E5934">
        <f>HYPERLINK("https://www.ncbi.nlm.nih.gov/gene/?term=KAG8580053.1", "KAG8580053.1")</f>
        <v/>
      </c>
      <c r="F5934" t="n">
        <v>33.2</v>
      </c>
      <c r="G5934" t="n">
        <v>253</v>
      </c>
      <c r="H5934" t="n">
        <v>8.42e-34</v>
      </c>
      <c r="I5934" t="inlineStr">
        <is>
          <t>Nr</t>
        </is>
      </c>
      <c r="J5934" t="inlineStr"/>
      <c r="K5934" t="inlineStr"/>
      <c r="L5934" t="inlineStr">
        <is>
          <t>KAG8580053.1 hypothetical protein GDO81_007107 [Engystomops pustulosus]</t>
        </is>
      </c>
      <c r="M5934" t="n">
        <v>494</v>
      </c>
      <c r="N5934" t="inlineStr">
        <is>
          <t>Engystomops pustulosus</t>
        </is>
      </c>
      <c r="O5934" t="inlineStr">
        <is>
          <t>hypothetical protein GDO81_007107</t>
        </is>
      </c>
    </row>
    <row r="5935">
      <c r="A5935" t="inlineStr"/>
      <c r="B5935" t="inlineStr"/>
      <c r="C5935" t="inlineStr"/>
      <c r="D5935" t="inlineStr"/>
      <c r="E5935">
        <f>HYPERLINK("https://www.ncbi.nlm.nih.gov/gene/?term=VEL16763.1", "VEL16763.1")</f>
        <v/>
      </c>
      <c r="F5935" t="n">
        <v>30.9</v>
      </c>
      <c r="G5935" t="n">
        <v>246</v>
      </c>
      <c r="H5935" t="n">
        <v>1.17e-32</v>
      </c>
      <c r="I5935" t="inlineStr">
        <is>
          <t>Nr</t>
        </is>
      </c>
      <c r="J5935" t="inlineStr"/>
      <c r="K5935" t="inlineStr"/>
      <c r="L5935" t="inlineStr">
        <is>
          <t>VEL16763.1 unnamed protein product [Protopolystoma xenopodis]</t>
        </is>
      </c>
      <c r="M5935" t="n">
        <v>391</v>
      </c>
      <c r="N5935" t="inlineStr">
        <is>
          <t>Protopolystoma xenopodis</t>
        </is>
      </c>
      <c r="O5935" t="inlineStr">
        <is>
          <t>unnamed protein product</t>
        </is>
      </c>
    </row>
    <row r="5936">
      <c r="A5936" t="inlineStr"/>
      <c r="B5936" t="inlineStr"/>
      <c r="C5936" t="inlineStr"/>
      <c r="D5936" t="inlineStr"/>
      <c r="E5936">
        <f>HYPERLINK("https://www.ncbi.nlm.nih.gov/gene/?term=CAH2330124.1", "CAH2330124.1")</f>
        <v/>
      </c>
      <c r="F5936" t="n">
        <v>36.6</v>
      </c>
      <c r="G5936" t="n">
        <v>243</v>
      </c>
      <c r="H5936" t="n">
        <v>1.32e-32</v>
      </c>
      <c r="I5936" t="inlineStr">
        <is>
          <t>Nr</t>
        </is>
      </c>
      <c r="J5936" t="inlineStr"/>
      <c r="K5936" t="inlineStr"/>
      <c r="L5936" t="inlineStr">
        <is>
          <t>CAH2330124.1 Hypothetical predicted protein [Pelobates cultripes]</t>
        </is>
      </c>
      <c r="M5936" t="n">
        <v>330</v>
      </c>
      <c r="N5936" t="inlineStr">
        <is>
          <t>Pelobates cultripes</t>
        </is>
      </c>
      <c r="O5936" t="inlineStr">
        <is>
          <t>Hypothetical predicted protein</t>
        </is>
      </c>
    </row>
    <row r="5937">
      <c r="A5937" t="inlineStr"/>
      <c r="B5937" t="inlineStr"/>
      <c r="C5937" t="inlineStr"/>
      <c r="D5937" t="inlineStr"/>
      <c r="E5937">
        <f>HYPERLINK("https://www.ncbi.nlm.nih.gov/gene/?term=XP_044126392.1", "XP_044126392.1")</f>
        <v/>
      </c>
      <c r="F5937" t="n">
        <v>36.9</v>
      </c>
      <c r="G5937" t="n">
        <v>236</v>
      </c>
      <c r="H5937" t="n">
        <v>1.72e-32</v>
      </c>
      <c r="I5937" t="inlineStr">
        <is>
          <t>Nr</t>
        </is>
      </c>
      <c r="J5937" t="inlineStr"/>
      <c r="K5937" t="inlineStr"/>
      <c r="L5937" t="inlineStr">
        <is>
          <t>XP_044126392.1 receptor-type tyrosine-protein phosphatase beta-like [Bufo gargarizans]</t>
        </is>
      </c>
      <c r="M5937" t="n">
        <v>2854</v>
      </c>
      <c r="N5937" t="inlineStr">
        <is>
          <t>Bufo gargarizans</t>
        </is>
      </c>
      <c r="O5937" t="inlineStr">
        <is>
          <t>receptor-type tyrosine-protein phosphatase beta-like</t>
        </is>
      </c>
    </row>
    <row r="5938">
      <c r="A5938" t="inlineStr"/>
      <c r="B5938" t="inlineStr"/>
      <c r="C5938" t="inlineStr"/>
      <c r="D5938" t="inlineStr"/>
      <c r="E5938">
        <f>HYPERLINK("https://www.ncbi.nlm.nih.gov/gene/?term=XP_040194428.1", "XP_040194428.1")</f>
        <v/>
      </c>
      <c r="F5938" t="n">
        <v>32.6</v>
      </c>
      <c r="G5938" t="n">
        <v>233</v>
      </c>
      <c r="H5938" t="n">
        <v>2.57e-32</v>
      </c>
      <c r="I5938" t="inlineStr">
        <is>
          <t>Nr</t>
        </is>
      </c>
      <c r="J5938" t="inlineStr"/>
      <c r="K5938" t="inlineStr"/>
      <c r="L5938" t="inlineStr">
        <is>
          <t>XP_040194428.1 uncharacterized protein LOC120927670 [Rana temporaria]</t>
        </is>
      </c>
      <c r="M5938" t="n">
        <v>346</v>
      </c>
      <c r="N5938" t="inlineStr">
        <is>
          <t>Rana temporaria</t>
        </is>
      </c>
      <c r="O5938" t="inlineStr">
        <is>
          <t>uncharacterized protein LOC120927670</t>
        </is>
      </c>
    </row>
    <row r="5939">
      <c r="A5939" t="inlineStr"/>
      <c r="B5939" t="inlineStr"/>
      <c r="C5939" t="inlineStr"/>
      <c r="D5939" t="inlineStr"/>
      <c r="E5939">
        <f>HYPERLINK("https://www.ncbi.nlm.nih.gov/gene/?term=OCT86463.1", "OCT86463.1")</f>
        <v/>
      </c>
      <c r="F5939" t="n">
        <v>37.4</v>
      </c>
      <c r="G5939" t="n">
        <v>238</v>
      </c>
      <c r="H5939" t="n">
        <v>3.21e-29</v>
      </c>
      <c r="I5939" t="inlineStr">
        <is>
          <t>Nr</t>
        </is>
      </c>
      <c r="J5939" t="inlineStr"/>
      <c r="K5939" t="inlineStr"/>
      <c r="L5939" t="inlineStr">
        <is>
          <t>OCT86463.1 hypothetical protein XELAEV_18020146mg [Xenopus laevis]</t>
        </is>
      </c>
      <c r="M5939" t="n">
        <v>822</v>
      </c>
      <c r="N5939" t="inlineStr">
        <is>
          <t>Xenopus laevis</t>
        </is>
      </c>
      <c r="O5939" t="inlineStr">
        <is>
          <t>hypothetical protein XELAEV_18020146mg</t>
        </is>
      </c>
    </row>
    <row r="5940">
      <c r="A5940" t="inlineStr"/>
      <c r="B5940" t="inlineStr"/>
      <c r="C5940" t="inlineStr"/>
      <c r="D5940" t="inlineStr"/>
      <c r="E5940">
        <f>HYPERLINK("https://www.ncbi.nlm.nih.gov/gene/?term=KAG8551096.1", "KAG8551096.1")</f>
        <v/>
      </c>
      <c r="F5940" t="n">
        <v>33.3</v>
      </c>
      <c r="G5940" t="n">
        <v>240</v>
      </c>
      <c r="H5940" t="n">
        <v>6.000000000000001e-29</v>
      </c>
      <c r="I5940" t="inlineStr">
        <is>
          <t>Nr</t>
        </is>
      </c>
      <c r="J5940" t="inlineStr"/>
      <c r="K5940" t="inlineStr"/>
      <c r="L5940" t="inlineStr">
        <is>
          <t>KAG8551096.1 hypothetical protein GDO81_018459 [Engystomops pustulosus]</t>
        </is>
      </c>
      <c r="M5940" t="n">
        <v>305</v>
      </c>
      <c r="N5940" t="inlineStr">
        <is>
          <t>Engystomops pustulosus</t>
        </is>
      </c>
      <c r="O5940" t="inlineStr">
        <is>
          <t>hypothetical protein GDO81_018459</t>
        </is>
      </c>
    </row>
    <row r="5941">
      <c r="A5941" t="inlineStr"/>
      <c r="B5941" t="inlineStr"/>
      <c r="C5941" t="inlineStr"/>
      <c r="D5941" t="inlineStr"/>
      <c r="E5941">
        <f>HYPERLINK("https://www.ncbi.nlm.nih.gov/gene/?term=OCT87317.1", "OCT87317.1")</f>
        <v/>
      </c>
      <c r="F5941" t="n">
        <v>31.5</v>
      </c>
      <c r="G5941" t="n">
        <v>257</v>
      </c>
      <c r="H5941" t="n">
        <v>2.48e-28</v>
      </c>
      <c r="I5941" t="inlineStr">
        <is>
          <t>Nr</t>
        </is>
      </c>
      <c r="J5941" t="inlineStr"/>
      <c r="K5941" t="inlineStr"/>
      <c r="L5941" t="inlineStr">
        <is>
          <t>OCT87317.1 hypothetical protein XELAEV_18021015mg, partial [Xenopus laevis]</t>
        </is>
      </c>
      <c r="M5941" t="n">
        <v>326</v>
      </c>
      <c r="N5941" t="inlineStr">
        <is>
          <t>Xenopus laevis</t>
        </is>
      </c>
      <c r="O5941" t="inlineStr">
        <is>
          <t>hypothetical protein XELAEV_18021015mg, partial</t>
        </is>
      </c>
    </row>
    <row r="5942">
      <c r="A5942" t="inlineStr"/>
      <c r="B5942" t="inlineStr"/>
      <c r="C5942" t="inlineStr"/>
      <c r="D5942" t="inlineStr"/>
      <c r="E5942">
        <f>HYPERLINK("https://www.ncbi.nlm.nih.gov/gene/?term=KAG8584414.1", "KAG8584414.1")</f>
        <v/>
      </c>
      <c r="F5942" t="n">
        <v>34.4</v>
      </c>
      <c r="G5942" t="n">
        <v>253</v>
      </c>
      <c r="H5942" t="n">
        <v>2.65e-28</v>
      </c>
      <c r="I5942" t="inlineStr">
        <is>
          <t>Nr</t>
        </is>
      </c>
      <c r="J5942" t="inlineStr"/>
      <c r="K5942" t="inlineStr"/>
      <c r="L5942" t="inlineStr">
        <is>
          <t>KAG8584414.1 hypothetical protein GDO81_008823 [Engystomops pustulosus]</t>
        </is>
      </c>
      <c r="M5942" t="n">
        <v>478</v>
      </c>
      <c r="N5942" t="inlineStr">
        <is>
          <t>Engystomops pustulosus</t>
        </is>
      </c>
      <c r="O5942" t="inlineStr">
        <is>
          <t>hypothetical protein GDO81_008823</t>
        </is>
      </c>
    </row>
    <row r="5943">
      <c r="A5943" t="inlineStr"/>
      <c r="B5943" t="inlineStr"/>
      <c r="C5943" t="inlineStr"/>
      <c r="D5943" t="inlineStr"/>
      <c r="E5943">
        <f>HYPERLINK("https://www.ncbi.nlm.nih.gov/gene/?term=XP_040297463.1", "XP_040297463.1")</f>
        <v/>
      </c>
      <c r="F5943" t="n">
        <v>31.2</v>
      </c>
      <c r="G5943" t="n">
        <v>260</v>
      </c>
      <c r="H5943" t="n">
        <v>3.69e-28</v>
      </c>
      <c r="I5943" t="inlineStr">
        <is>
          <t>Nr</t>
        </is>
      </c>
      <c r="J5943" t="inlineStr"/>
      <c r="K5943" t="inlineStr"/>
      <c r="L5943" t="inlineStr">
        <is>
          <t>XP_040297463.1 lactase-phlorizin hydrolase-like [Bufo bufo]</t>
        </is>
      </c>
      <c r="M5943" t="n">
        <v>3165</v>
      </c>
      <c r="N5943" t="inlineStr">
        <is>
          <t>Bufo bufo</t>
        </is>
      </c>
      <c r="O5943" t="inlineStr">
        <is>
          <t>lactase-phlorizin hydrolase-like</t>
        </is>
      </c>
    </row>
    <row r="5944">
      <c r="A5944" t="inlineStr"/>
      <c r="B5944" t="inlineStr"/>
      <c r="C5944" t="inlineStr"/>
      <c r="D5944" t="inlineStr"/>
      <c r="E5944">
        <f>HYPERLINK("https://www.ncbi.nlm.nih.gov/gene/?term=PIO31496.1", "PIO31496.1")</f>
        <v/>
      </c>
      <c r="F5944" t="n">
        <v>31.6</v>
      </c>
      <c r="G5944" t="n">
        <v>231</v>
      </c>
      <c r="H5944" t="n">
        <v>2.35e-27</v>
      </c>
      <c r="I5944" t="inlineStr">
        <is>
          <t>Nr</t>
        </is>
      </c>
      <c r="J5944" t="inlineStr"/>
      <c r="K5944" t="inlineStr"/>
      <c r="L5944" t="inlineStr">
        <is>
          <t>PIO31496.1 hypothetical protein AB205_0176850, partial [Lithobates catesbeianus]</t>
        </is>
      </c>
      <c r="M5944" t="n">
        <v>307</v>
      </c>
      <c r="N5944" t="inlineStr">
        <is>
          <t>Lithobates catesbeianus</t>
        </is>
      </c>
      <c r="O5944" t="inlineStr">
        <is>
          <t>hypothetical protein AB205_0176850, partial</t>
        </is>
      </c>
    </row>
    <row r="5945">
      <c r="A5945" t="inlineStr"/>
      <c r="B5945" t="inlineStr"/>
      <c r="C5945" t="inlineStr"/>
      <c r="D5945" t="inlineStr"/>
      <c r="E5945">
        <f>HYPERLINK("https://www.ncbi.nlm.nih.gov/gene/?term=XP_040275957.1", "XP_040275957.1")</f>
        <v/>
      </c>
      <c r="F5945" t="n">
        <v>30.6</v>
      </c>
      <c r="G5945" t="n">
        <v>235</v>
      </c>
      <c r="H5945" t="n">
        <v>1.11e-26</v>
      </c>
      <c r="I5945" t="inlineStr">
        <is>
          <t>Nr</t>
        </is>
      </c>
      <c r="J5945" t="inlineStr"/>
      <c r="K5945" t="inlineStr"/>
      <c r="L5945" t="inlineStr">
        <is>
          <t>XP_040275957.1 uncharacterized protein LOC120991127 [Bufo bufo]</t>
        </is>
      </c>
      <c r="M5945" t="n">
        <v>418</v>
      </c>
      <c r="N5945" t="inlineStr">
        <is>
          <t>Bufo bufo</t>
        </is>
      </c>
      <c r="O5945" t="inlineStr">
        <is>
          <t>uncharacterized protein LOC120991127</t>
        </is>
      </c>
    </row>
    <row r="5946">
      <c r="A5946" t="inlineStr"/>
      <c r="B5946" t="inlineStr"/>
      <c r="C5946" t="inlineStr"/>
      <c r="D5946" t="inlineStr"/>
      <c r="E5946">
        <f>HYPERLINK("https://www.ncbi.nlm.nih.gov/gene/?term=XP_040272583.1", "XP_040272583.1")</f>
        <v/>
      </c>
      <c r="F5946" t="n">
        <v>33.5</v>
      </c>
      <c r="G5946" t="n">
        <v>233</v>
      </c>
      <c r="H5946" t="n">
        <v>2.16e-26</v>
      </c>
      <c r="I5946" t="inlineStr">
        <is>
          <t>Nr</t>
        </is>
      </c>
      <c r="J5946" t="inlineStr"/>
      <c r="K5946" t="inlineStr"/>
      <c r="L5946" t="inlineStr">
        <is>
          <t>XP_040272583.1 uncharacterized protein LOC120988885 [Bufo bufo]</t>
        </is>
      </c>
      <c r="M5946" t="n">
        <v>229</v>
      </c>
      <c r="N5946" t="inlineStr">
        <is>
          <t>Bufo bufo</t>
        </is>
      </c>
      <c r="O5946" t="inlineStr">
        <is>
          <t>uncharacterized protein LOC120988885</t>
        </is>
      </c>
    </row>
    <row r="5947">
      <c r="A5947" t="inlineStr"/>
      <c r="B5947" t="inlineStr"/>
      <c r="C5947" t="inlineStr"/>
      <c r="D5947" t="inlineStr"/>
      <c r="E5947">
        <f>HYPERLINK("https://www.ncbi.nlm.nih.gov/gene/?term=KAE8575755.1", "KAE8575755.1")</f>
        <v/>
      </c>
      <c r="F5947" t="n">
        <v>36.5</v>
      </c>
      <c r="G5947" t="n">
        <v>197</v>
      </c>
      <c r="H5947" t="n">
        <v>2.22e-26</v>
      </c>
      <c r="I5947" t="inlineStr">
        <is>
          <t>Nr</t>
        </is>
      </c>
      <c r="J5947" t="inlineStr"/>
      <c r="K5947" t="inlineStr"/>
      <c r="L5947" t="inlineStr">
        <is>
          <t>KAE8575755.1 hypothetical protein XENTR_v10003932 [Xenopus tropicalis]</t>
        </is>
      </c>
      <c r="M5947" t="n">
        <v>273</v>
      </c>
      <c r="N5947" t="inlineStr">
        <is>
          <t>Xenopus tropicalis</t>
        </is>
      </c>
      <c r="O5947" t="inlineStr">
        <is>
          <t>hypothetical protein XENTR_v10003932</t>
        </is>
      </c>
    </row>
    <row r="5948">
      <c r="A5948" t="inlineStr"/>
      <c r="B5948" t="inlineStr"/>
      <c r="C5948" t="inlineStr"/>
      <c r="D5948" t="inlineStr"/>
      <c r="E5948">
        <f>HYPERLINK("https://www.ncbi.nlm.nih.gov/gene/?term=OCT96570.1", "OCT96570.1")</f>
        <v/>
      </c>
      <c r="F5948" t="n">
        <v>28.8</v>
      </c>
      <c r="G5948" t="n">
        <v>243</v>
      </c>
      <c r="H5948" t="n">
        <v>5.34e-26</v>
      </c>
      <c r="I5948" t="inlineStr">
        <is>
          <t>Nr</t>
        </is>
      </c>
      <c r="J5948" t="inlineStr"/>
      <c r="K5948" t="inlineStr"/>
      <c r="L5948" t="inlineStr">
        <is>
          <t>OCT96570.1 hypothetical protein XELAEV_18008776mg [Xenopus laevis]</t>
        </is>
      </c>
      <c r="M5948" t="n">
        <v>283</v>
      </c>
      <c r="N5948" t="inlineStr">
        <is>
          <t>Xenopus laevis</t>
        </is>
      </c>
      <c r="O5948" t="inlineStr">
        <is>
          <t>hypothetical protein XELAEV_18008776mg</t>
        </is>
      </c>
    </row>
    <row r="5949">
      <c r="A5949" t="inlineStr"/>
      <c r="B5949" t="inlineStr"/>
      <c r="C5949" t="inlineStr"/>
      <c r="D5949" t="inlineStr"/>
      <c r="E5949">
        <f>HYPERLINK("https://www.ncbi.nlm.nih.gov/gene/?term=KAJ1217652.1", "KAJ1217652.1")</f>
        <v/>
      </c>
      <c r="F5949" t="n">
        <v>33</v>
      </c>
      <c r="G5949" t="n">
        <v>212</v>
      </c>
      <c r="H5949" t="n">
        <v>1.11e-25</v>
      </c>
      <c r="I5949" t="inlineStr">
        <is>
          <t>Nr</t>
        </is>
      </c>
      <c r="J5949" t="inlineStr"/>
      <c r="K5949" t="inlineStr"/>
      <c r="L5949" t="inlineStr">
        <is>
          <t>KAJ1217652.1 hypothetical protein NDU88_005245 [Pleurodeles waltl]</t>
        </is>
      </c>
      <c r="M5949" t="n">
        <v>271</v>
      </c>
      <c r="N5949" t="inlineStr">
        <is>
          <t>Pleurodeles waltl</t>
        </is>
      </c>
      <c r="O5949" t="inlineStr">
        <is>
          <t>hypothetical protein NDU88_005245</t>
        </is>
      </c>
    </row>
    <row r="5950">
      <c r="A5950" t="inlineStr"/>
      <c r="B5950" t="inlineStr"/>
      <c r="C5950" t="inlineStr"/>
      <c r="D5950" t="inlineStr"/>
      <c r="E5950">
        <f>HYPERLINK("https://www.ncbi.nlm.nih.gov/gene/?term=KAJ1181228.1", "KAJ1181228.1")</f>
        <v/>
      </c>
      <c r="F5950" t="n">
        <v>43.2</v>
      </c>
      <c r="G5950" t="n">
        <v>139</v>
      </c>
      <c r="H5950" t="n">
        <v>1.54e-25</v>
      </c>
      <c r="I5950" t="inlineStr">
        <is>
          <t>Nr</t>
        </is>
      </c>
      <c r="J5950" t="inlineStr"/>
      <c r="K5950" t="inlineStr"/>
      <c r="L5950" t="inlineStr">
        <is>
          <t>KAJ1181228.1 hypothetical protein NDU88_006438 [Pleurodeles waltl]</t>
        </is>
      </c>
      <c r="M5950" t="n">
        <v>271</v>
      </c>
      <c r="N5950" t="inlineStr">
        <is>
          <t>Pleurodeles waltl</t>
        </is>
      </c>
      <c r="O5950" t="inlineStr">
        <is>
          <t>hypothetical protein NDU88_006438</t>
        </is>
      </c>
    </row>
    <row r="5951">
      <c r="A5951" t="inlineStr"/>
      <c r="B5951" t="inlineStr"/>
      <c r="C5951" t="inlineStr"/>
      <c r="D5951" t="inlineStr"/>
      <c r="E5951">
        <f>HYPERLINK("https://www.ncbi.nlm.nih.gov/gene/?term=XP_044146862.1", "XP_044146862.1")</f>
        <v/>
      </c>
      <c r="F5951" t="n">
        <v>31.9</v>
      </c>
      <c r="G5951" t="n">
        <v>226</v>
      </c>
      <c r="H5951" t="n">
        <v>2.81e-25</v>
      </c>
      <c r="I5951" t="inlineStr">
        <is>
          <t>Nr</t>
        </is>
      </c>
      <c r="J5951" t="inlineStr"/>
      <c r="K5951" t="inlineStr"/>
      <c r="L5951" t="inlineStr">
        <is>
          <t>XP_044146862.1 vomeronasal type-2 receptor 1-like [Bufo gargarizans]</t>
        </is>
      </c>
      <c r="M5951" t="n">
        <v>886</v>
      </c>
      <c r="N5951" t="inlineStr">
        <is>
          <t>Bufo gargarizans</t>
        </is>
      </c>
      <c r="O5951" t="inlineStr">
        <is>
          <t>vomeronasal type-2 receptor 1-like</t>
        </is>
      </c>
    </row>
    <row r="5952">
      <c r="A5952" t="inlineStr"/>
      <c r="B5952" t="inlineStr"/>
      <c r="C5952" t="inlineStr"/>
      <c r="D5952" t="inlineStr"/>
      <c r="E5952">
        <f>HYPERLINK("https://www.uniprot.org/uniprotkb/P16423/entry", "P16423")</f>
        <v/>
      </c>
      <c r="F5952" t="n">
        <v>26.5</v>
      </c>
      <c r="G5952" t="n">
        <v>452</v>
      </c>
      <c r="H5952" t="n">
        <v>1.51e-23</v>
      </c>
      <c r="I5952" t="inlineStr">
        <is>
          <t>Swiss-Prot</t>
        </is>
      </c>
      <c r="J5952" t="inlineStr">
        <is>
          <t>pol</t>
        </is>
      </c>
      <c r="K5952" t="inlineStr">
        <is>
          <t>POLR_DROME</t>
        </is>
      </c>
      <c r="L5952" t="inlineStr">
        <is>
          <t>sp|P16423|POLR_DROME Retrovirus-related Pol polyprotein from type-2 retrotransposable element R2DM OS=Drosophila melanogaster OX=7227 GN=pol PE=4 SV=1</t>
        </is>
      </c>
      <c r="M5952" t="n">
        <v>1057</v>
      </c>
      <c r="N5952" t="inlineStr">
        <is>
          <t>Drosophila melanogaster</t>
        </is>
      </c>
      <c r="O5952" t="inlineStr">
        <is>
          <t>Retrovirus-related Pol polyprotein from type-2 retrotransposable element R2DM</t>
        </is>
      </c>
    </row>
    <row r="5953">
      <c r="A5953" t="inlineStr"/>
      <c r="B5953" t="inlineStr"/>
      <c r="C5953" t="inlineStr"/>
      <c r="D5953" t="inlineStr"/>
      <c r="E5953">
        <f>HYPERLINK("https://www.uniprot.org/uniprotkb/Q03274/entry", "Q03274")</f>
        <v/>
      </c>
      <c r="F5953" t="n">
        <v>27.6</v>
      </c>
      <c r="G5953" t="n">
        <v>460</v>
      </c>
      <c r="H5953" t="n">
        <v>2.44e-19</v>
      </c>
      <c r="I5953" t="inlineStr">
        <is>
          <t>Swiss-Prot</t>
        </is>
      </c>
      <c r="J5953" t="inlineStr"/>
      <c r="K5953" t="inlineStr">
        <is>
          <t>PO22_POPJA</t>
        </is>
      </c>
      <c r="L5953" t="inlineStr">
        <is>
          <t>sp|Q03274|PO22_POPJA Retrovirus-related Pol polyprotein from type-1 retrotransposable element R2 (Fragment) OS=Popillia japonica OX=7064 PE=4 SV=1</t>
        </is>
      </c>
      <c r="M5953" t="n">
        <v>711</v>
      </c>
      <c r="N5953" t="inlineStr">
        <is>
          <t>Popillia japonica</t>
        </is>
      </c>
      <c r="O5953" t="inlineStr">
        <is>
          <t>Retrovirus-related Pol polyprotein from type-1 retrotransposable element R2 (Fragment)</t>
        </is>
      </c>
    </row>
    <row r="5954">
      <c r="A5954" t="inlineStr"/>
      <c r="B5954" t="inlineStr"/>
      <c r="C5954" t="inlineStr"/>
      <c r="D5954" t="inlineStr"/>
      <c r="E5954">
        <f>HYPERLINK("https://www.uniprot.org/uniprotkb/Q95SX7/entry", "Q95SX7")</f>
        <v/>
      </c>
      <c r="F5954" t="n">
        <v>27.8</v>
      </c>
      <c r="G5954" t="n">
        <v>288</v>
      </c>
      <c r="H5954" t="n">
        <v>5.9e-15</v>
      </c>
      <c r="I5954" t="inlineStr">
        <is>
          <t>Swiss-Prot</t>
        </is>
      </c>
      <c r="J5954" t="inlineStr">
        <is>
          <t>RTase</t>
        </is>
      </c>
      <c r="K5954" t="inlineStr">
        <is>
          <t>RTBS_DROME</t>
        </is>
      </c>
      <c r="L5954" t="inlineStr">
        <is>
          <t>sp|Q95SX7|RTBS_DROME Probable RNA-directed DNA polymerase from transposon BS OS=Drosophila melanogaster OX=7227 GN=RTase PE=2 SV=1</t>
        </is>
      </c>
      <c r="M5954" t="n">
        <v>906</v>
      </c>
      <c r="N5954" t="inlineStr">
        <is>
          <t>Drosophila melanogaster</t>
        </is>
      </c>
      <c r="O5954" t="inlineStr">
        <is>
          <t>Probable RNA-directed DNA polymerase from transposon BS</t>
        </is>
      </c>
    </row>
    <row r="5955">
      <c r="A5955" t="inlineStr"/>
      <c r="B5955" t="inlineStr"/>
      <c r="C5955" t="inlineStr"/>
      <c r="D5955" t="inlineStr"/>
      <c r="E5955">
        <f>HYPERLINK("https://www.uniprot.org/uniprotkb/Q03278/entry", "Q03278")</f>
        <v/>
      </c>
      <c r="F5955" t="n">
        <v>23.5</v>
      </c>
      <c r="G5955" t="n">
        <v>443</v>
      </c>
      <c r="H5955" t="n">
        <v>7.320000000000001e-14</v>
      </c>
      <c r="I5955" t="inlineStr">
        <is>
          <t>Swiss-Prot</t>
        </is>
      </c>
      <c r="J5955" t="inlineStr"/>
      <c r="K5955" t="inlineStr">
        <is>
          <t>PO21_NASVI</t>
        </is>
      </c>
      <c r="L5955" t="inlineStr">
        <is>
          <t>sp|Q03278|PO21_NASVI Retrovirus-related Pol polyprotein from type-1 retrotransposable element R2 (Fragment) OS=Nasonia vitripennis OX=7425 PE=4 SV=2</t>
        </is>
      </c>
      <c r="M5955" t="n">
        <v>1025</v>
      </c>
      <c r="N5955" t="inlineStr">
        <is>
          <t>Nasonia vitripennis</t>
        </is>
      </c>
      <c r="O5955" t="inlineStr">
        <is>
          <t>Retrovirus-related Pol polyprotein from type-1 retrotransposable element R2 (Fragment)</t>
        </is>
      </c>
    </row>
    <row r="5956">
      <c r="A5956" t="inlineStr"/>
      <c r="B5956" t="inlineStr"/>
      <c r="C5956" t="inlineStr"/>
      <c r="D5956" t="inlineStr"/>
      <c r="E5956">
        <f>HYPERLINK("https://www.uniprot.org/uniprotkb/Q9NBX4/entry", "Q9NBX4")</f>
        <v/>
      </c>
      <c r="F5956" t="n">
        <v>24.9</v>
      </c>
      <c r="G5956" t="n">
        <v>409</v>
      </c>
      <c r="H5956" t="n">
        <v>1.18e-13</v>
      </c>
      <c r="I5956" t="inlineStr">
        <is>
          <t>Swiss-Prot</t>
        </is>
      </c>
      <c r="J5956" t="inlineStr">
        <is>
          <t>X-element\ORF2</t>
        </is>
      </c>
      <c r="K5956" t="inlineStr">
        <is>
          <t>RTXE_DROME</t>
        </is>
      </c>
      <c r="L5956" t="inlineStr">
        <is>
          <t>sp|Q9NBX4|RTXE_DROME Probable RNA-directed DNA polymerase from transposon X-element OS=Drosophila melanogaster OX=7227 GN=X-element\ORF2 PE=3 SV=1</t>
        </is>
      </c>
      <c r="M5956" t="n">
        <v>908</v>
      </c>
      <c r="N5956" t="inlineStr">
        <is>
          <t>Drosophila melanogaster</t>
        </is>
      </c>
      <c r="O5956" t="inlineStr">
        <is>
          <t>Probable RNA-directed DNA polymerase from transposon X-element</t>
        </is>
      </c>
    </row>
    <row r="5957">
      <c r="A5957" t="inlineStr"/>
      <c r="B5957" t="inlineStr"/>
      <c r="C5957" t="inlineStr"/>
      <c r="D5957" t="inlineStr"/>
      <c r="E5957">
        <f>HYPERLINK("https://www.uniprot.org/uniprotkb/P0CV25/entry", "P0CV25")</f>
        <v/>
      </c>
      <c r="F5957" t="n">
        <v>40.2</v>
      </c>
      <c r="G5957" t="n">
        <v>92</v>
      </c>
      <c r="H5957" t="n">
        <v>2.68e-13</v>
      </c>
      <c r="I5957" t="inlineStr">
        <is>
          <t>Swiss-Prot</t>
        </is>
      </c>
      <c r="J5957" t="inlineStr">
        <is>
          <t>RXLR78</t>
        </is>
      </c>
      <c r="K5957" t="inlineStr">
        <is>
          <t>RLR78_PLAVT</t>
        </is>
      </c>
      <c r="L5957" t="inlineStr">
        <is>
          <t>sp|P0CV25|RLR78_PLAVT Secreted RxLR effector protein 78 OS=Plasmopara viticola OX=143451 GN=RXLR78 PE=3 SV=1</t>
        </is>
      </c>
      <c r="M5957" t="n">
        <v>113</v>
      </c>
      <c r="N5957" t="inlineStr">
        <is>
          <t>Plasmopara viticola</t>
        </is>
      </c>
      <c r="O5957" t="inlineStr">
        <is>
          <t>Secreted RxLR effector protein 78</t>
        </is>
      </c>
    </row>
    <row r="5958">
      <c r="A5958" t="inlineStr"/>
      <c r="B5958" t="inlineStr"/>
      <c r="C5958" t="inlineStr"/>
      <c r="D5958" t="inlineStr"/>
      <c r="E5958">
        <f>HYPERLINK("https://www.uniprot.org/uniprotkb/P21329/entry", "P21329")</f>
        <v/>
      </c>
      <c r="F5958" t="n">
        <v>24.1</v>
      </c>
      <c r="G5958" t="n">
        <v>448</v>
      </c>
      <c r="H5958" t="n">
        <v>7.17e-10</v>
      </c>
      <c r="I5958" t="inlineStr">
        <is>
          <t>Swiss-Prot</t>
        </is>
      </c>
      <c r="J5958" t="inlineStr">
        <is>
          <t>jockey\pol</t>
        </is>
      </c>
      <c r="K5958" t="inlineStr">
        <is>
          <t>RTJK_DROFU</t>
        </is>
      </c>
      <c r="L5958" t="inlineStr">
        <is>
          <t>sp|P21329|RTJK_DROFU RNA-directed DNA polymerase from mobile element jockey OS=Drosophila funebris OX=7221 GN=jockey\pol PE=1 SV=1</t>
        </is>
      </c>
      <c r="M5958" t="n">
        <v>916</v>
      </c>
      <c r="N5958" t="inlineStr">
        <is>
          <t>Drosophila funebris</t>
        </is>
      </c>
      <c r="O5958" t="inlineStr">
        <is>
          <t>RNA-directed DNA polymerase from mobile element jockey</t>
        </is>
      </c>
    </row>
    <row r="5959">
      <c r="A5959" t="inlineStr"/>
      <c r="B5959" t="inlineStr"/>
      <c r="C5959" t="inlineStr"/>
      <c r="D5959" t="inlineStr"/>
      <c r="E5959">
        <f>HYPERLINK("https://www.uniprot.org/uniprotkb/Q05118/entry", "Q05118")</f>
        <v/>
      </c>
      <c r="F5959" t="n">
        <v>24.8</v>
      </c>
      <c r="G5959" t="n">
        <v>311</v>
      </c>
      <c r="H5959" t="n">
        <v>3.81e-09</v>
      </c>
      <c r="I5959" t="inlineStr">
        <is>
          <t>Swiss-Prot</t>
        </is>
      </c>
      <c r="J5959" t="inlineStr"/>
      <c r="K5959" t="inlineStr">
        <is>
          <t>PO23_POPJA</t>
        </is>
      </c>
      <c r="L5959" t="inlineStr">
        <is>
          <t>sp|Q05118|PO23_POPJA Retrovirus-related Pol polyprotein from type-1 retrotransposable element R2 (Fragment) OS=Popillia japonica OX=7064 PE=4 SV=1</t>
        </is>
      </c>
      <c r="M5959" t="n">
        <v>606</v>
      </c>
      <c r="N5959" t="inlineStr">
        <is>
          <t>Popillia japonica</t>
        </is>
      </c>
      <c r="O5959" t="inlineStr">
        <is>
          <t>Retrovirus-related Pol polyprotein from type-1 retrotransposable element R2 (Fragment)</t>
        </is>
      </c>
    </row>
    <row r="5960">
      <c r="A5960" t="inlineStr"/>
      <c r="B5960" t="inlineStr"/>
      <c r="C5960" t="inlineStr"/>
      <c r="D5960" t="inlineStr"/>
      <c r="E5960">
        <f>HYPERLINK("https://www.uniprot.org/uniprotkb/A0A2G9SK95/entry", "A0A2G9SK95")</f>
        <v/>
      </c>
      <c r="F5960" t="n">
        <v>26.8</v>
      </c>
      <c r="G5960" t="n">
        <v>142</v>
      </c>
      <c r="H5960" t="n">
        <v>7.94e-09</v>
      </c>
      <c r="I5960" t="inlineStr">
        <is>
          <t>TrEMBL</t>
        </is>
      </c>
      <c r="J5960" t="inlineStr">
        <is>
          <t>AB205_0190240</t>
        </is>
      </c>
      <c r="K5960" t="inlineStr">
        <is>
          <t>A0A2G9SK95_LITCT</t>
        </is>
      </c>
      <c r="L5960" t="inlineStr">
        <is>
          <t>tr|A0A2G9SK95|A0A2G9SK95_LITCT Reverse transcriptase OS=Lithobates catesbeianus OX=8400 GN=AB205_0190240 PE=4 SV=1</t>
        </is>
      </c>
      <c r="M5960" t="n">
        <v>385</v>
      </c>
      <c r="N5960" t="inlineStr">
        <is>
          <t>Lithobates catesbeianus</t>
        </is>
      </c>
      <c r="O5960" t="inlineStr">
        <is>
          <t>Reverse transcriptase</t>
        </is>
      </c>
    </row>
    <row r="5961">
      <c r="A5961" t="inlineStr"/>
      <c r="B5961" t="inlineStr"/>
      <c r="C5961" t="inlineStr"/>
      <c r="D5961" t="inlineStr"/>
      <c r="E5961">
        <f>HYPERLINK("https://www.uniprot.org/uniprotkb/P21328/entry", "P21328")</f>
        <v/>
      </c>
      <c r="F5961" t="n">
        <v>25.3</v>
      </c>
      <c r="G5961" t="n">
        <v>451</v>
      </c>
      <c r="H5961" t="n">
        <v>8.270000000000001e-09</v>
      </c>
      <c r="I5961" t="inlineStr">
        <is>
          <t>Swiss-Prot</t>
        </is>
      </c>
      <c r="J5961" t="inlineStr">
        <is>
          <t>pol</t>
        </is>
      </c>
      <c r="K5961" t="inlineStr">
        <is>
          <t>RTJK_DROME</t>
        </is>
      </c>
      <c r="L5961" t="inlineStr">
        <is>
          <t>sp|P21328|RTJK_DROME RNA-directed DNA polymerase from mobile element jockey OS=Drosophila melanogaster OX=7227 GN=pol PE=1 SV=1</t>
        </is>
      </c>
      <c r="M5961" t="n">
        <v>916</v>
      </c>
      <c r="N5961" t="inlineStr">
        <is>
          <t>Drosophila melanogaster</t>
        </is>
      </c>
      <c r="O5961" t="inlineStr">
        <is>
          <t>RNA-directed DNA polymerase from mobile element jockey</t>
        </is>
      </c>
    </row>
    <row r="5962">
      <c r="A5962" t="inlineStr"/>
      <c r="B5962" t="inlineStr"/>
      <c r="C5962" t="inlineStr"/>
      <c r="D5962" t="inlineStr"/>
      <c r="E5962">
        <f>HYPERLINK("https://www.uniprot.org/uniprotkb/A0A3Q1BKU0/entry", "A0A3Q1BKU0")</f>
        <v/>
      </c>
      <c r="F5962" t="n">
        <v>29</v>
      </c>
      <c r="G5962" t="n">
        <v>131</v>
      </c>
      <c r="H5962" t="n">
        <v>9.05e-09</v>
      </c>
      <c r="I5962" t="inlineStr">
        <is>
          <t>TrEMBL</t>
        </is>
      </c>
      <c r="J5962" t="inlineStr"/>
      <c r="K5962" t="inlineStr">
        <is>
          <t>A0A3Q1BKU0_AMPOC</t>
        </is>
      </c>
      <c r="L5962" t="inlineStr">
        <is>
          <t>tr|A0A3Q1BKU0|A0A3Q1BKU0_AMPOC Maturase K OS=Amphiprion ocellaris OX=80972 PE=4 SV=1</t>
        </is>
      </c>
      <c r="M5962" t="n">
        <v>317</v>
      </c>
      <c r="N5962" t="inlineStr">
        <is>
          <t>Amphiprion ocellaris</t>
        </is>
      </c>
      <c r="O5962" t="inlineStr">
        <is>
          <t>Maturase K</t>
        </is>
      </c>
    </row>
    <row r="5963">
      <c r="A5963" t="inlineStr"/>
      <c r="B5963" t="inlineStr"/>
      <c r="C5963" t="inlineStr"/>
      <c r="D5963" t="inlineStr"/>
      <c r="E5963">
        <f>HYPERLINK("https://www.uniprot.org/uniprotkb/Q03279/entry", "Q03279")</f>
        <v/>
      </c>
      <c r="F5963" t="n">
        <v>23.2</v>
      </c>
      <c r="G5963" t="n">
        <v>444</v>
      </c>
      <c r="H5963" t="n">
        <v>1.39e-08</v>
      </c>
      <c r="I5963" t="inlineStr">
        <is>
          <t>Swiss-Prot</t>
        </is>
      </c>
      <c r="J5963" t="inlineStr"/>
      <c r="K5963" t="inlineStr">
        <is>
          <t>PO21_BRACO</t>
        </is>
      </c>
      <c r="L5963" t="inlineStr">
        <is>
          <t>sp|Q03279|PO21_BRACO Retrovirus-related Pol polyprotein from type-1 retrotransposable element R2 (Fragment) OS=Bradysia coprophila OX=38358 PE=4 SV=1</t>
        </is>
      </c>
      <c r="M5963" t="n">
        <v>869</v>
      </c>
      <c r="N5963" t="inlineStr">
        <is>
          <t>Bradysia coprophila</t>
        </is>
      </c>
      <c r="O5963" t="inlineStr">
        <is>
          <t>Retrovirus-related Pol polyprotein from type-1 retrotransposable element R2 (Fragment)</t>
        </is>
      </c>
    </row>
    <row r="5964">
      <c r="A5964" t="inlineStr"/>
      <c r="B5964" t="inlineStr"/>
      <c r="C5964" t="inlineStr"/>
      <c r="D5964" t="inlineStr"/>
      <c r="E5964">
        <f>HYPERLINK("https://www.ncbi.nlm.nih.gov/gene/?term=PIO40484.1", "PIO40484.1")</f>
        <v/>
      </c>
      <c r="F5964" t="n">
        <v>26.8</v>
      </c>
      <c r="G5964" t="n">
        <v>142</v>
      </c>
      <c r="H5964" t="n">
        <v>2.04e-08</v>
      </c>
      <c r="I5964" t="inlineStr">
        <is>
          <t>Nr</t>
        </is>
      </c>
      <c r="J5964" t="inlineStr"/>
      <c r="K5964" t="inlineStr"/>
      <c r="L5964" t="inlineStr">
        <is>
          <t>PIO40484.1 hypothetical protein AB205_0190240 [Lithobates catesbeianus]</t>
        </is>
      </c>
      <c r="M5964" t="n">
        <v>385</v>
      </c>
      <c r="N5964" t="inlineStr">
        <is>
          <t>Lithobates catesbeianus</t>
        </is>
      </c>
      <c r="O5964" t="inlineStr">
        <is>
          <t>hypothetical protein AB205_0190240</t>
        </is>
      </c>
    </row>
    <row r="5965">
      <c r="A5965" t="inlineStr"/>
      <c r="B5965" t="inlineStr"/>
      <c r="C5965" t="inlineStr"/>
      <c r="D5965" t="inlineStr"/>
      <c r="E5965">
        <f>HYPERLINK("https://www.uniprot.org/uniprotkb/A0A2G9QBU9/entry", "A0A2G9QBU9")</f>
        <v/>
      </c>
      <c r="F5965" t="n">
        <v>25.4</v>
      </c>
      <c r="G5965" t="n">
        <v>134</v>
      </c>
      <c r="H5965" t="n">
        <v>9.450000000000001e-08</v>
      </c>
      <c r="I5965" t="inlineStr">
        <is>
          <t>TrEMBL</t>
        </is>
      </c>
      <c r="J5965" t="inlineStr">
        <is>
          <t>AB205_0019550</t>
        </is>
      </c>
      <c r="K5965" t="inlineStr">
        <is>
          <t>A0A2G9QBU9_LITCT</t>
        </is>
      </c>
      <c r="L5965" t="inlineStr">
        <is>
          <t>tr|A0A2G9QBU9|A0A2G9QBU9_LITCT Zf-RVT domain-containing protein (Fragment) OS=Lithobates catesbeianus OX=8400 GN=AB205_0019550 PE=4 SV=1</t>
        </is>
      </c>
      <c r="M5965" t="n">
        <v>380</v>
      </c>
      <c r="N5965" t="inlineStr">
        <is>
          <t>Lithobates catesbeianus</t>
        </is>
      </c>
      <c r="O5965" t="inlineStr">
        <is>
          <t>Zf-RVT domain-containing protein (Fragment)</t>
        </is>
      </c>
    </row>
    <row r="5966">
      <c r="A5966" t="inlineStr"/>
      <c r="B5966" t="inlineStr"/>
      <c r="C5966" t="inlineStr"/>
      <c r="D5966" t="inlineStr"/>
      <c r="E5966">
        <f>HYPERLINK("https://www.uniprot.org/uniprotkb/Q9UN81/entry", "Q9UN81")</f>
        <v/>
      </c>
      <c r="F5966" t="n">
        <v>28.8</v>
      </c>
      <c r="G5966" t="n">
        <v>139</v>
      </c>
      <c r="H5966" t="n">
        <v>1.41e-07</v>
      </c>
      <c r="I5966" t="inlineStr">
        <is>
          <t>Swiss-Prot</t>
        </is>
      </c>
      <c r="J5966" t="inlineStr">
        <is>
          <t>L1RE1</t>
        </is>
      </c>
      <c r="K5966" t="inlineStr">
        <is>
          <t>LORF1_HUMAN</t>
        </is>
      </c>
      <c r="L5966" t="inlineStr">
        <is>
          <t>sp|Q9UN81|LORF1_HUMAN LINE-1 retrotransposable element ORF1 protein OS=Homo sapiens OX=9606 GN=L1RE1 PE=1 SV=1</t>
        </is>
      </c>
      <c r="M5966" t="n">
        <v>338</v>
      </c>
      <c r="N5966" t="inlineStr">
        <is>
          <t>Homo sapiens</t>
        </is>
      </c>
      <c r="O5966" t="inlineStr">
        <is>
          <t>LINE-1 retrotransposable element ORF1 protein</t>
        </is>
      </c>
    </row>
    <row r="5967">
      <c r="A5967" t="inlineStr"/>
      <c r="B5967" t="inlineStr"/>
      <c r="C5967" t="inlineStr"/>
      <c r="D5967" t="inlineStr"/>
      <c r="E5967">
        <f>HYPERLINK("https://www.ncbi.nlm.nih.gov/gene/?term=PIO13089.1", "PIO13089.1")</f>
        <v/>
      </c>
      <c r="F5967" t="n">
        <v>25.4</v>
      </c>
      <c r="G5967" t="n">
        <v>134</v>
      </c>
      <c r="H5967" t="n">
        <v>2.43e-07</v>
      </c>
      <c r="I5967" t="inlineStr">
        <is>
          <t>Nr</t>
        </is>
      </c>
      <c r="J5967" t="inlineStr"/>
      <c r="K5967" t="inlineStr"/>
      <c r="L5967" t="inlineStr">
        <is>
          <t>PIO13089.1 hypothetical protein AB205_0019550, partial [Lithobates catesbeianus]</t>
        </is>
      </c>
      <c r="M5967" t="n">
        <v>380</v>
      </c>
      <c r="N5967" t="inlineStr">
        <is>
          <t>Lithobates catesbeianus</t>
        </is>
      </c>
      <c r="O5967" t="inlineStr">
        <is>
          <t>hypothetical protein AB205_0019550, partial</t>
        </is>
      </c>
    </row>
    <row r="5968">
      <c r="A5968" t="inlineStr"/>
      <c r="B5968" t="inlineStr"/>
      <c r="C5968" t="inlineStr"/>
      <c r="D5968" t="inlineStr"/>
      <c r="E5968">
        <f>HYPERLINK("https://www.uniprot.org/uniprotkb/A0A803JUS9/entry", "A0A803JUS9")</f>
        <v/>
      </c>
      <c r="F5968" t="n">
        <v>32.5</v>
      </c>
      <c r="G5968" t="n">
        <v>114</v>
      </c>
      <c r="H5968" t="n">
        <v>2.9e-07</v>
      </c>
      <c r="I5968" t="inlineStr">
        <is>
          <t>TrEMBL</t>
        </is>
      </c>
      <c r="J5968" t="inlineStr"/>
      <c r="K5968" t="inlineStr">
        <is>
          <t>A0A803JUS9_XENTR</t>
        </is>
      </c>
      <c r="L5968" t="inlineStr">
        <is>
          <t>tr|A0A803JUS9|A0A803JUS9_XENTR Reverse transcriptase domain-containing protein OS=Xenopus tropicalis OX=8364 PE=4 SV=1</t>
        </is>
      </c>
      <c r="M5968" t="n">
        <v>1298</v>
      </c>
      <c r="N5968" t="inlineStr">
        <is>
          <t>Xenopus tropicalis</t>
        </is>
      </c>
      <c r="O5968" t="inlineStr">
        <is>
          <t>Reverse transcriptase domain-containing protein</t>
        </is>
      </c>
    </row>
    <row r="5969">
      <c r="A5969" t="inlineStr"/>
      <c r="B5969" t="inlineStr"/>
      <c r="C5969" t="inlineStr"/>
      <c r="D5969" t="inlineStr"/>
      <c r="E5969">
        <f>HYPERLINK("https://www.uniprot.org/uniprotkb/A0A803JAB7/entry", "A0A803JAB7")</f>
        <v/>
      </c>
      <c r="F5969" t="n">
        <v>31.6</v>
      </c>
      <c r="G5969" t="n">
        <v>114</v>
      </c>
      <c r="H5969" t="n">
        <v>9.900000000000001e-07</v>
      </c>
      <c r="I5969" t="inlineStr">
        <is>
          <t>TrEMBL</t>
        </is>
      </c>
      <c r="J5969" t="inlineStr"/>
      <c r="K5969" t="inlineStr">
        <is>
          <t>A0A803JAB7_XENTR</t>
        </is>
      </c>
      <c r="L5969" t="inlineStr">
        <is>
          <t>tr|A0A803JAB7|A0A803JAB7_XENTR Reverse transcriptase domain-containing protein OS=Xenopus tropicalis OX=8364 PE=4 SV=1</t>
        </is>
      </c>
      <c r="M5969" t="n">
        <v>1216</v>
      </c>
      <c r="N5969" t="inlineStr">
        <is>
          <t>Xenopus tropicalis</t>
        </is>
      </c>
      <c r="O5969" t="inlineStr">
        <is>
          <t>Reverse transcriptase domain-containing protein</t>
        </is>
      </c>
    </row>
    <row r="5970">
      <c r="A5970" t="inlineStr"/>
      <c r="B5970" t="inlineStr"/>
      <c r="C5970" t="inlineStr"/>
      <c r="D5970" t="inlineStr"/>
      <c r="E5970">
        <f>HYPERLINK("https://www.ncbi.nlm.nih.gov/gene/?term=XP_040189976.1", "XP_040189976.1")</f>
        <v/>
      </c>
      <c r="F5970" t="n">
        <v>26.6</v>
      </c>
      <c r="G5970" t="n">
        <v>109</v>
      </c>
      <c r="H5970" t="n">
        <v>3.59e-06</v>
      </c>
      <c r="I5970" t="inlineStr">
        <is>
          <t>Nr</t>
        </is>
      </c>
      <c r="J5970" t="inlineStr"/>
      <c r="K5970" t="inlineStr"/>
      <c r="L5970" t="inlineStr">
        <is>
          <t>XP_040189976.1 LOW QUALITY PROTEIN: uncharacterized protein LOC120921543 [Rana temporaria]</t>
        </is>
      </c>
      <c r="M5970" t="n">
        <v>2537</v>
      </c>
      <c r="N5970" t="inlineStr">
        <is>
          <t>Rana temporaria</t>
        </is>
      </c>
      <c r="O5970" t="inlineStr">
        <is>
          <t>LOW QUALITY PROTEIN: uncharacterized protein LOC120921543</t>
        </is>
      </c>
    </row>
    <row r="5971">
      <c r="A5971" t="inlineStr"/>
      <c r="B5971" t="inlineStr"/>
      <c r="C5971" t="inlineStr"/>
      <c r="D5971" t="inlineStr"/>
      <c r="E5971">
        <f>HYPERLINK("https://www.uniprot.org/uniprotkb/Q587J6/entry", "Q587J6")</f>
        <v/>
      </c>
      <c r="F5971" t="n">
        <v>27.5</v>
      </c>
      <c r="G5971" t="n">
        <v>149</v>
      </c>
      <c r="H5971" t="n">
        <v>4.16e-06</v>
      </c>
      <c r="I5971" t="inlineStr">
        <is>
          <t>Swiss-Prot</t>
        </is>
      </c>
      <c r="J5971" t="inlineStr">
        <is>
          <t>L1td1</t>
        </is>
      </c>
      <c r="K5971" t="inlineStr">
        <is>
          <t>LITD1_MOUSE</t>
        </is>
      </c>
      <c r="L5971" t="inlineStr">
        <is>
          <t>sp|Q587J6|LITD1_MOUSE LINE-1 type transposase domain-containing protein 1 OS=Mus musculus OX=10090 GN=L1td1 PE=2 SV=1</t>
        </is>
      </c>
      <c r="M5971" t="n">
        <v>782</v>
      </c>
      <c r="N5971" t="inlineStr">
        <is>
          <t>Mus musculus</t>
        </is>
      </c>
      <c r="O5971" t="inlineStr">
        <is>
          <t>LINE-1 type transposase domain-containing protein 1</t>
        </is>
      </c>
    </row>
    <row r="5972">
      <c r="A5972" t="inlineStr"/>
      <c r="B5972" t="inlineStr"/>
      <c r="C5972" t="inlineStr"/>
      <c r="D5972" t="inlineStr"/>
      <c r="E5972">
        <f>HYPERLINK("https://www.uniprot.org/uniprotkb/A0A3P9HXK2/entry", "A0A3P9HXK2")</f>
        <v/>
      </c>
      <c r="F5972" t="n">
        <v>24</v>
      </c>
      <c r="G5972" t="n">
        <v>104</v>
      </c>
      <c r="H5972" t="n">
        <v>5.21e-06</v>
      </c>
      <c r="I5972" t="inlineStr">
        <is>
          <t>TrEMBL</t>
        </is>
      </c>
      <c r="J5972" t="inlineStr"/>
      <c r="K5972" t="inlineStr">
        <is>
          <t>A0A3P9HXK2_ORYLA</t>
        </is>
      </c>
      <c r="L5972" t="inlineStr">
        <is>
          <t>tr|A0A3P9HXK2|A0A3P9HXK2_ORYLA Zf-RVT domain-containing protein OS=Oryzias latipes OX=8090 PE=4 SV=1</t>
        </is>
      </c>
      <c r="M5972" t="n">
        <v>368</v>
      </c>
      <c r="N5972" t="inlineStr">
        <is>
          <t>Oryzias latipes</t>
        </is>
      </c>
      <c r="O5972" t="inlineStr">
        <is>
          <t>Zf-RVT domain-containing protein</t>
        </is>
      </c>
    </row>
    <row r="5973">
      <c r="A5973" t="inlineStr"/>
      <c r="B5973" t="inlineStr"/>
      <c r="C5973" t="inlineStr"/>
      <c r="D5973" t="inlineStr"/>
      <c r="E5973">
        <f>HYPERLINK("https://www.uniprot.org/uniprotkb/A0A671TE01/entry", "A0A671TE01")</f>
        <v/>
      </c>
      <c r="F5973" t="n">
        <v>35.8</v>
      </c>
      <c r="G5973" t="n">
        <v>120</v>
      </c>
      <c r="H5973" t="n">
        <v>6.3e-06</v>
      </c>
      <c r="I5973" t="inlineStr">
        <is>
          <t>TrEMBL</t>
        </is>
      </c>
      <c r="J5973" t="inlineStr"/>
      <c r="K5973" t="inlineStr">
        <is>
          <t>A0A671TE01_SPAAU</t>
        </is>
      </c>
      <c r="L5973" t="inlineStr">
        <is>
          <t>tr|A0A671TE01|A0A671TE01_SPAAU Reverse transcriptase domain-containing protein OS=Sparus aurata OX=8175 PE=4 SV=1</t>
        </is>
      </c>
      <c r="M5973" t="n">
        <v>1258</v>
      </c>
      <c r="N5973" t="inlineStr">
        <is>
          <t>Sparus aurata</t>
        </is>
      </c>
      <c r="O5973" t="inlineStr">
        <is>
          <t>Reverse transcriptase domain-containing protein</t>
        </is>
      </c>
    </row>
    <row r="5974">
      <c r="A5974" t="inlineStr"/>
      <c r="B5974" t="inlineStr"/>
      <c r="C5974" t="inlineStr"/>
      <c r="D5974" t="inlineStr"/>
      <c r="E5974">
        <f>HYPERLINK("https://www.uniprot.org/uniprotkb/P16425/entry", "P16425")</f>
        <v/>
      </c>
      <c r="F5974" t="n">
        <v>26.1</v>
      </c>
      <c r="G5974" t="n">
        <v>272</v>
      </c>
      <c r="H5974" t="n">
        <v>7.58e-06</v>
      </c>
      <c r="I5974" t="inlineStr">
        <is>
          <t>Swiss-Prot</t>
        </is>
      </c>
      <c r="J5974" t="inlineStr">
        <is>
          <t>R1A1-element\ORF2</t>
        </is>
      </c>
      <c r="K5974" t="inlineStr">
        <is>
          <t>Y2R2_DROME</t>
        </is>
      </c>
      <c r="L5974" t="inlineStr">
        <is>
          <t>sp|P16425|Y2R2_DROME Putative 115 kDa protein in type-1 retrotransposable element R1DM OS=Drosophila melanogaster OX=7227 GN=R1A1-element\ORF2 PE=4 SV=1</t>
        </is>
      </c>
      <c r="M5974" t="n">
        <v>1021</v>
      </c>
      <c r="N5974" t="inlineStr">
        <is>
          <t>Drosophila melanogaster</t>
        </is>
      </c>
      <c r="O5974" t="inlineStr">
        <is>
          <t>Putative 115 kDa protein in type-1 retrotransposable element R1DM</t>
        </is>
      </c>
    </row>
    <row r="5975">
      <c r="A5975" t="inlineStr"/>
      <c r="B5975" t="inlineStr"/>
      <c r="C5975" t="inlineStr"/>
      <c r="D5975" t="inlineStr"/>
      <c r="E5975">
        <f>HYPERLINK("https://www.uniprot.org/uniprotkb/A0A8P4KRJ8/entry", "A0A8P4KRJ8")</f>
        <v/>
      </c>
      <c r="F5975" t="n">
        <v>28.4</v>
      </c>
      <c r="G5975" t="n">
        <v>109</v>
      </c>
      <c r="H5975" t="n">
        <v>8.32e-06</v>
      </c>
      <c r="I5975" t="inlineStr">
        <is>
          <t>TrEMBL</t>
        </is>
      </c>
      <c r="J5975" t="inlineStr"/>
      <c r="K5975" t="inlineStr">
        <is>
          <t>A0A8P4KRJ8_DICLA</t>
        </is>
      </c>
      <c r="L5975" t="inlineStr">
        <is>
          <t>tr|A0A8P4KRJ8|A0A8P4KRJ8_DICLA Reverse transcriptase domain-containing protein OS=Dicentrarchus labrax OX=13489 PE=4 SV=1</t>
        </is>
      </c>
      <c r="M5975" t="n">
        <v>875</v>
      </c>
      <c r="N5975" t="inlineStr">
        <is>
          <t>Dicentrarchus labrax</t>
        </is>
      </c>
      <c r="O5975" t="inlineStr">
        <is>
          <t>Reverse transcriptase domain-containing protein</t>
        </is>
      </c>
    </row>
    <row r="5976">
      <c r="A5976" t="inlineStr"/>
      <c r="B5976" t="inlineStr"/>
      <c r="C5976" t="inlineStr"/>
      <c r="D5976" t="inlineStr"/>
      <c r="E5976">
        <f>HYPERLINK("https://www.uniprot.org/uniprotkb/A0A3Q1EXS2/entry", "A0A3Q1EXS2")</f>
        <v/>
      </c>
      <c r="F5976" t="n">
        <v>29.4</v>
      </c>
      <c r="G5976" t="n">
        <v>109</v>
      </c>
      <c r="H5976" t="n">
        <v>8.51e-06</v>
      </c>
      <c r="I5976" t="inlineStr">
        <is>
          <t>TrEMBL</t>
        </is>
      </c>
      <c r="J5976" t="inlineStr"/>
      <c r="K5976" t="inlineStr">
        <is>
          <t>A0A3Q1EXS2_9TELE</t>
        </is>
      </c>
      <c r="L5976" t="inlineStr">
        <is>
          <t>tr|A0A3Q1EXS2|A0A3Q1EXS2_9TELE Reverse transcriptase domain-containing protein OS=Acanthochromis polyacanthus OX=80966 PE=4 SV=1</t>
        </is>
      </c>
      <c r="M5976" t="n">
        <v>1132</v>
      </c>
      <c r="N5976" t="inlineStr">
        <is>
          <t>Acanthochromis polyacanthus</t>
        </is>
      </c>
      <c r="O5976" t="inlineStr">
        <is>
          <t>Reverse transcriptase domain-containing protein</t>
        </is>
      </c>
    </row>
    <row r="5977">
      <c r="A5977" t="inlineStr"/>
      <c r="B5977" t="inlineStr"/>
      <c r="C5977" t="inlineStr"/>
      <c r="D5977" t="inlineStr"/>
      <c r="E5977">
        <f>HYPERLINK("https://www.uniprot.org/uniprotkb/A0A669D2I8/entry", "A0A669D2I8")</f>
        <v/>
      </c>
      <c r="F5977" t="n">
        <v>25.4</v>
      </c>
      <c r="G5977" t="n">
        <v>118</v>
      </c>
      <c r="H5977" t="n">
        <v>1.17e-05</v>
      </c>
      <c r="I5977" t="inlineStr">
        <is>
          <t>TrEMBL</t>
        </is>
      </c>
      <c r="J5977" t="inlineStr"/>
      <c r="K5977" t="inlineStr">
        <is>
          <t>A0A669D2I8_ORENI</t>
        </is>
      </c>
      <c r="L5977" t="inlineStr">
        <is>
          <t>tr|A0A669D2I8|A0A669D2I8_ORENI Reverse transcriptase domain-containing protein OS=Oreochromis niloticus OX=8128 PE=4 SV=1</t>
        </is>
      </c>
      <c r="M5977" t="n">
        <v>1278</v>
      </c>
      <c r="N5977" t="inlineStr">
        <is>
          <t>Oreochromis niloticus</t>
        </is>
      </c>
      <c r="O5977" t="inlineStr">
        <is>
          <t>Reverse transcriptase domain-containing protein</t>
        </is>
      </c>
    </row>
    <row r="5978">
      <c r="A5978" t="inlineStr"/>
      <c r="B5978" t="inlineStr"/>
      <c r="C5978" t="inlineStr"/>
      <c r="D5978" t="inlineStr"/>
      <c r="E5978">
        <f>HYPERLINK("https://www.uniprot.org/uniprotkb/A0A8C7X4Z6/entry", "A0A8C7X4Z6")</f>
        <v/>
      </c>
      <c r="F5978" t="n">
        <v>24</v>
      </c>
      <c r="G5978" t="n">
        <v>104</v>
      </c>
      <c r="H5978" t="n">
        <v>1.31e-05</v>
      </c>
      <c r="I5978" t="inlineStr">
        <is>
          <t>TrEMBL</t>
        </is>
      </c>
      <c r="J5978" t="inlineStr"/>
      <c r="K5978" t="inlineStr">
        <is>
          <t>A0A8C7X4Z6_9TELE</t>
        </is>
      </c>
      <c r="L5978" t="inlineStr">
        <is>
          <t>tr|A0A8C7X4Z6|A0A8C7X4Z6_9TELE Zf-RVT domain-containing protein OS=Oryzias sinensis OX=183150 PE=4 SV=1</t>
        </is>
      </c>
      <c r="M5978" t="n">
        <v>368</v>
      </c>
      <c r="N5978" t="inlineStr">
        <is>
          <t>Oryzias sinensis</t>
        </is>
      </c>
      <c r="O5978" t="inlineStr">
        <is>
          <t>Zf-RVT domain-containing protein</t>
        </is>
      </c>
    </row>
    <row r="5979">
      <c r="A5979" t="inlineStr"/>
      <c r="B5979" t="inlineStr"/>
      <c r="C5979" t="inlineStr"/>
      <c r="D5979" t="inlineStr"/>
      <c r="E5979">
        <f>HYPERLINK("https://www.uniprot.org/uniprotkb/A0A3P9J0J1/entry", "A0A3P9J0J1")</f>
        <v/>
      </c>
      <c r="F5979" t="n">
        <v>24</v>
      </c>
      <c r="G5979" t="n">
        <v>104</v>
      </c>
      <c r="H5979" t="n">
        <v>1.32e-05</v>
      </c>
      <c r="I5979" t="inlineStr">
        <is>
          <t>TrEMBL</t>
        </is>
      </c>
      <c r="J5979" t="inlineStr"/>
      <c r="K5979" t="inlineStr">
        <is>
          <t>A0A3P9J0J1_ORYLA</t>
        </is>
      </c>
      <c r="L5979" t="inlineStr">
        <is>
          <t>tr|A0A3P9J0J1|A0A3P9J0J1_ORYLA Zf-RVT domain-containing protein OS=Oryzias latipes OX=8090 PE=4 SV=1</t>
        </is>
      </c>
      <c r="M5979" t="n">
        <v>371</v>
      </c>
      <c r="N5979" t="inlineStr">
        <is>
          <t>Oryzias latipes</t>
        </is>
      </c>
      <c r="O5979" t="inlineStr">
        <is>
          <t>Zf-RVT domain-containing protein</t>
        </is>
      </c>
    </row>
    <row r="5980">
      <c r="A5980" t="inlineStr"/>
      <c r="B5980" t="inlineStr"/>
      <c r="C5980" t="inlineStr"/>
      <c r="D5980" t="inlineStr"/>
      <c r="E5980">
        <f>HYPERLINK("https://www.uniprot.org/uniprotkb/A0A3P8R0S3/entry", "A0A3P8R0S3")</f>
        <v/>
      </c>
      <c r="F5980" t="n">
        <v>26.3</v>
      </c>
      <c r="G5980" t="n">
        <v>114</v>
      </c>
      <c r="H5980" t="n">
        <v>1.59e-05</v>
      </c>
      <c r="I5980" t="inlineStr">
        <is>
          <t>TrEMBL</t>
        </is>
      </c>
      <c r="J5980" t="inlineStr"/>
      <c r="K5980" t="inlineStr">
        <is>
          <t>A0A3P8R0S3_ASTCA</t>
        </is>
      </c>
      <c r="L5980" t="inlineStr">
        <is>
          <t>tr|A0A3P8R0S3|A0A3P8R0S3_ASTCA Reverse transcriptase domain-containing protein OS=Astatotilapia calliptera OX=8154 PE=4 SV=1</t>
        </is>
      </c>
      <c r="M5980" t="n">
        <v>1278</v>
      </c>
      <c r="N5980" t="inlineStr">
        <is>
          <t>Astatotilapia calliptera</t>
        </is>
      </c>
      <c r="O5980" t="inlineStr">
        <is>
          <t>Reverse transcriptase domain-containing protein</t>
        </is>
      </c>
    </row>
    <row r="5981">
      <c r="A5981" t="inlineStr"/>
      <c r="B5981" t="inlineStr"/>
      <c r="C5981" t="inlineStr"/>
      <c r="D5981" t="inlineStr"/>
      <c r="E5981">
        <f>HYPERLINK("https://www.uniprot.org/uniprotkb/A0A6P8QS04/entry", "A0A6P8QS04")</f>
        <v/>
      </c>
      <c r="F5981" t="n">
        <v>30.9</v>
      </c>
      <c r="G5981" t="n">
        <v>110</v>
      </c>
      <c r="H5981" t="n">
        <v>1.61e-05</v>
      </c>
      <c r="I5981" t="inlineStr">
        <is>
          <t>TrEMBL</t>
        </is>
      </c>
      <c r="J5981" t="inlineStr">
        <is>
          <t>LOC117360383</t>
        </is>
      </c>
      <c r="K5981" t="inlineStr">
        <is>
          <t>A0A6P8QS04_GEOSA</t>
        </is>
      </c>
      <c r="L5981" t="inlineStr">
        <is>
          <t>tr|A0A6P8QS04|A0A6P8QS04_GEOSA ribonuclease H OS=Geotrypetes seraphini OX=260995 GN=LOC117360383 PE=3 SV=1</t>
        </is>
      </c>
      <c r="M5981" t="n">
        <v>1623</v>
      </c>
      <c r="N5981" t="inlineStr">
        <is>
          <t>Geotrypetes seraphini</t>
        </is>
      </c>
      <c r="O5981" t="inlineStr">
        <is>
          <t>ribonuclease H</t>
        </is>
      </c>
    </row>
    <row r="5982">
      <c r="A5982" t="inlineStr"/>
      <c r="B5982" t="inlineStr"/>
      <c r="C5982" t="inlineStr"/>
      <c r="D5982" t="inlineStr"/>
      <c r="E5982">
        <f>HYPERLINK("https://www.uniprot.org/uniprotkb/A0A672FFJ4/entry", "A0A672FFJ4")</f>
        <v/>
      </c>
      <c r="F5982" t="n">
        <v>24.5</v>
      </c>
      <c r="G5982" t="n">
        <v>106</v>
      </c>
      <c r="H5982" t="n">
        <v>1.76e-05</v>
      </c>
      <c r="I5982" t="inlineStr">
        <is>
          <t>TrEMBL</t>
        </is>
      </c>
      <c r="J5982" t="inlineStr"/>
      <c r="K5982" t="inlineStr">
        <is>
          <t>A0A672FFJ4_SALFA</t>
        </is>
      </c>
      <c r="L5982" t="inlineStr">
        <is>
          <t>tr|A0A672FFJ4|A0A672FFJ4_SALFA Zf-RVT domain-containing protein OS=Salarias fasciatus OX=181472 PE=4 SV=1</t>
        </is>
      </c>
      <c r="M5982" t="n">
        <v>351</v>
      </c>
      <c r="N5982" t="inlineStr">
        <is>
          <t>Salarias fasciatus</t>
        </is>
      </c>
      <c r="O5982" t="inlineStr">
        <is>
          <t>Zf-RVT domain-containing protein</t>
        </is>
      </c>
    </row>
    <row r="5983">
      <c r="A5983" t="inlineStr"/>
      <c r="B5983" t="inlineStr"/>
      <c r="C5983" t="inlineStr"/>
      <c r="D5983" t="inlineStr"/>
      <c r="E5983">
        <f>HYPERLINK("https://www.uniprot.org/uniprotkb/A0A672J408/entry", "A0A672J408")</f>
        <v/>
      </c>
      <c r="F5983" t="n">
        <v>24.5</v>
      </c>
      <c r="G5983" t="n">
        <v>106</v>
      </c>
      <c r="H5983" t="n">
        <v>1.76e-05</v>
      </c>
      <c r="I5983" t="inlineStr">
        <is>
          <t>TrEMBL</t>
        </is>
      </c>
      <c r="J5983" t="inlineStr"/>
      <c r="K5983" t="inlineStr">
        <is>
          <t>A0A672J408_SALFA</t>
        </is>
      </c>
      <c r="L5983" t="inlineStr">
        <is>
          <t>tr|A0A672J408|A0A672J408_SALFA Zf-RVT domain-containing protein OS=Salarias fasciatus OX=181472 PE=4 SV=1</t>
        </is>
      </c>
      <c r="M5983" t="n">
        <v>351</v>
      </c>
      <c r="N5983" t="inlineStr">
        <is>
          <t>Salarias fasciatus</t>
        </is>
      </c>
      <c r="O5983" t="inlineStr">
        <is>
          <t>Zf-RVT domain-containing protein</t>
        </is>
      </c>
    </row>
    <row r="5984">
      <c r="A5984" t="inlineStr"/>
      <c r="B5984" t="inlineStr"/>
      <c r="C5984" t="inlineStr"/>
      <c r="D5984" t="inlineStr"/>
      <c r="E5984">
        <f>HYPERLINK("https://www.uniprot.org/uniprotkb/A0A672IS14/entry", "A0A672IS14")</f>
        <v/>
      </c>
      <c r="F5984" t="n">
        <v>24.5</v>
      </c>
      <c r="G5984" t="n">
        <v>106</v>
      </c>
      <c r="H5984" t="n">
        <v>1.8e-05</v>
      </c>
      <c r="I5984" t="inlineStr">
        <is>
          <t>TrEMBL</t>
        </is>
      </c>
      <c r="J5984" t="inlineStr"/>
      <c r="K5984" t="inlineStr">
        <is>
          <t>A0A672IS14_SALFA</t>
        </is>
      </c>
      <c r="L5984" t="inlineStr">
        <is>
          <t>tr|A0A672IS14|A0A672IS14_SALFA Zf-RVT domain-containing protein OS=Salarias fasciatus OX=181472 PE=4 SV=1</t>
        </is>
      </c>
      <c r="M5984" t="n">
        <v>371</v>
      </c>
      <c r="N5984" t="inlineStr">
        <is>
          <t>Salarias fasciatus</t>
        </is>
      </c>
      <c r="O5984" t="inlineStr">
        <is>
          <t>Zf-RVT domain-containing protein</t>
        </is>
      </c>
    </row>
    <row r="5985">
      <c r="A5985" t="inlineStr"/>
      <c r="B5985" t="inlineStr"/>
      <c r="C5985" t="inlineStr"/>
      <c r="D5985" t="inlineStr"/>
      <c r="E5985">
        <f>HYPERLINK("https://www.uniprot.org/uniprotkb/A0A672JAJ3/entry", "A0A672JAJ3")</f>
        <v/>
      </c>
      <c r="F5985" t="n">
        <v>24.5</v>
      </c>
      <c r="G5985" t="n">
        <v>106</v>
      </c>
      <c r="H5985" t="n">
        <v>1.82e-05</v>
      </c>
      <c r="I5985" t="inlineStr">
        <is>
          <t>TrEMBL</t>
        </is>
      </c>
      <c r="J5985" t="inlineStr"/>
      <c r="K5985" t="inlineStr">
        <is>
          <t>A0A672JAJ3_SALFA</t>
        </is>
      </c>
      <c r="L5985" t="inlineStr">
        <is>
          <t>tr|A0A672JAJ3|A0A672JAJ3_SALFA Zf-RVT domain-containing protein OS=Salarias fasciatus OX=181472 PE=4 SV=1</t>
        </is>
      </c>
      <c r="M5985" t="n">
        <v>390</v>
      </c>
      <c r="N5985" t="inlineStr">
        <is>
          <t>Salarias fasciatus</t>
        </is>
      </c>
      <c r="O5985" t="inlineStr">
        <is>
          <t>Zf-RVT domain-containing protein</t>
        </is>
      </c>
    </row>
    <row r="5986">
      <c r="A5986" t="inlineStr"/>
      <c r="B5986" t="inlineStr"/>
      <c r="C5986" t="inlineStr"/>
      <c r="D5986" t="inlineStr"/>
      <c r="E5986">
        <f>HYPERLINK("https://www.uniprot.org/uniprotkb/A0A3B3IPI3/entry", "A0A3B3IPI3")</f>
        <v/>
      </c>
      <c r="F5986" t="n">
        <v>24</v>
      </c>
      <c r="G5986" t="n">
        <v>104</v>
      </c>
      <c r="H5986" t="n">
        <v>1.84e-05</v>
      </c>
      <c r="I5986" t="inlineStr">
        <is>
          <t>TrEMBL</t>
        </is>
      </c>
      <c r="J5986" t="inlineStr"/>
      <c r="K5986" t="inlineStr">
        <is>
          <t>A0A3B3IPI3_ORYLA</t>
        </is>
      </c>
      <c r="L5986" t="inlineStr">
        <is>
          <t>tr|A0A3B3IPI3|A0A3B3IPI3_ORYLA Zf-RVT domain-containing protein OS=Oryzias latipes OX=8090 PE=4 SV=1</t>
        </is>
      </c>
      <c r="M5986" t="n">
        <v>400</v>
      </c>
      <c r="N5986" t="inlineStr">
        <is>
          <t>Oryzias latipes</t>
        </is>
      </c>
      <c r="O5986" t="inlineStr">
        <is>
          <t>Zf-RVT domain-containing protein</t>
        </is>
      </c>
    </row>
    <row r="5987">
      <c r="A5987" t="inlineStr"/>
      <c r="B5987" t="inlineStr"/>
      <c r="C5987" t="inlineStr"/>
      <c r="D5987" t="inlineStr"/>
      <c r="E5987">
        <f>HYPERLINK("https://www.uniprot.org/uniprotkb/A0A3P9MNG4/entry", "A0A3P9MNG4")</f>
        <v/>
      </c>
      <c r="F5987" t="n">
        <v>24</v>
      </c>
      <c r="G5987" t="n">
        <v>104</v>
      </c>
      <c r="H5987" t="n">
        <v>2.41e-05</v>
      </c>
      <c r="I5987" t="inlineStr">
        <is>
          <t>TrEMBL</t>
        </is>
      </c>
      <c r="J5987" t="inlineStr"/>
      <c r="K5987" t="inlineStr">
        <is>
          <t>A0A3P9MNG4_ORYLA</t>
        </is>
      </c>
      <c r="L5987" t="inlineStr">
        <is>
          <t>tr|A0A3P9MNG4|A0A3P9MNG4_ORYLA Zf-RVT domain-containing protein OS=Oryzias latipes OX=8090 PE=4 SV=1</t>
        </is>
      </c>
      <c r="M5987" t="n">
        <v>359</v>
      </c>
      <c r="N5987" t="inlineStr">
        <is>
          <t>Oryzias latipes</t>
        </is>
      </c>
      <c r="O5987" t="inlineStr">
        <is>
          <t>Zf-RVT domain-containing protein</t>
        </is>
      </c>
    </row>
    <row r="5988">
      <c r="A5988" t="inlineStr"/>
      <c r="B5988" t="inlineStr"/>
      <c r="C5988" t="inlineStr"/>
      <c r="D5988" t="inlineStr"/>
      <c r="E5988">
        <f>HYPERLINK("https://www.uniprot.org/uniprotkb/A0A3P9KB41/entry", "A0A3P9KB41")</f>
        <v/>
      </c>
      <c r="F5988" t="n">
        <v>24</v>
      </c>
      <c r="G5988" t="n">
        <v>104</v>
      </c>
      <c r="H5988" t="n">
        <v>2.47e-05</v>
      </c>
      <c r="I5988" t="inlineStr">
        <is>
          <t>TrEMBL</t>
        </is>
      </c>
      <c r="J5988" t="inlineStr"/>
      <c r="K5988" t="inlineStr">
        <is>
          <t>A0A3P9KB41_ORYLA</t>
        </is>
      </c>
      <c r="L5988" t="inlineStr">
        <is>
          <t>tr|A0A3P9KB41|A0A3P9KB41_ORYLA Zf-RVT domain-containing protein OS=Oryzias latipes OX=8090 PE=4 SV=1</t>
        </is>
      </c>
      <c r="M5988" t="n">
        <v>384</v>
      </c>
      <c r="N5988" t="inlineStr">
        <is>
          <t>Oryzias latipes</t>
        </is>
      </c>
      <c r="O5988" t="inlineStr">
        <is>
          <t>Zf-RVT domain-containing protein</t>
        </is>
      </c>
    </row>
    <row r="5989">
      <c r="A5989" t="inlineStr"/>
      <c r="B5989" t="inlineStr"/>
      <c r="C5989" t="inlineStr"/>
      <c r="D5989" t="inlineStr"/>
      <c r="E5989">
        <f>HYPERLINK("https://www.uniprot.org/uniprotkb/A0A3P8QMW2/entry", "A0A3P8QMW2")</f>
        <v/>
      </c>
      <c r="F5989" t="n">
        <v>26.3</v>
      </c>
      <c r="G5989" t="n">
        <v>118</v>
      </c>
      <c r="H5989" t="n">
        <v>2.57e-05</v>
      </c>
      <c r="I5989" t="inlineStr">
        <is>
          <t>TrEMBL</t>
        </is>
      </c>
      <c r="J5989" t="inlineStr"/>
      <c r="K5989" t="inlineStr">
        <is>
          <t>A0A3P8QMW2_ASTCA</t>
        </is>
      </c>
      <c r="L5989" t="inlineStr">
        <is>
          <t>tr|A0A3P8QMW2|A0A3P8QMW2_ASTCA Zf-RVT domain-containing protein OS=Astatotilapia calliptera OX=8154 PE=4 SV=1</t>
        </is>
      </c>
      <c r="M5989" t="n">
        <v>449</v>
      </c>
      <c r="N5989" t="inlineStr">
        <is>
          <t>Astatotilapia calliptera</t>
        </is>
      </c>
      <c r="O5989" t="inlineStr">
        <is>
          <t>Zf-RVT domain-containing protein</t>
        </is>
      </c>
    </row>
    <row r="5990">
      <c r="A5990" t="inlineStr"/>
      <c r="B5990" t="inlineStr"/>
      <c r="C5990" t="inlineStr"/>
      <c r="D5990" t="inlineStr"/>
      <c r="E5990">
        <f>HYPERLINK("https://www.uniprot.org/uniprotkb/A0A3P9K0P8/entry", "A0A3P9K0P8")</f>
        <v/>
      </c>
      <c r="F5990" t="n">
        <v>24</v>
      </c>
      <c r="G5990" t="n">
        <v>104</v>
      </c>
      <c r="H5990" t="n">
        <v>2.88e-05</v>
      </c>
      <c r="I5990" t="inlineStr">
        <is>
          <t>TrEMBL</t>
        </is>
      </c>
      <c r="J5990" t="inlineStr"/>
      <c r="K5990" t="inlineStr">
        <is>
          <t>A0A3P9K0P8_ORYLA</t>
        </is>
      </c>
      <c r="L5990" t="inlineStr">
        <is>
          <t>tr|A0A3P9K0P8|A0A3P9K0P8_ORYLA Reverse transcriptase domain-containing protein OS=Oryzias latipes OX=8090 PE=4 SV=1</t>
        </is>
      </c>
      <c r="M5990" t="n">
        <v>989</v>
      </c>
      <c r="N5990" t="inlineStr">
        <is>
          <t>Oryzias latipes</t>
        </is>
      </c>
      <c r="O5990" t="inlineStr">
        <is>
          <t>Reverse transcriptase domain-containing protein</t>
        </is>
      </c>
    </row>
    <row r="5991">
      <c r="A5991" t="inlineStr"/>
      <c r="B5991" t="inlineStr"/>
      <c r="C5991" t="inlineStr"/>
      <c r="D5991" t="inlineStr"/>
      <c r="E5991">
        <f>HYPERLINK("https://www.uniprot.org/uniprotkb/A0A3B3YM34/entry", "A0A3B3YM34")</f>
        <v/>
      </c>
      <c r="F5991" t="n">
        <v>30.3</v>
      </c>
      <c r="G5991" t="n">
        <v>99</v>
      </c>
      <c r="H5991" t="n">
        <v>3.9e-05</v>
      </c>
      <c r="I5991" t="inlineStr">
        <is>
          <t>TrEMBL</t>
        </is>
      </c>
      <c r="J5991" t="inlineStr"/>
      <c r="K5991" t="inlineStr">
        <is>
          <t>A0A3B3YM34_9TELE</t>
        </is>
      </c>
      <c r="L5991" t="inlineStr">
        <is>
          <t>tr|A0A3B3YM34|A0A3B3YM34_9TELE Reverse transcriptase domain-containing protein OS=Poecilia mexicana OX=48701 PE=4 SV=1</t>
        </is>
      </c>
      <c r="M5991" t="n">
        <v>927</v>
      </c>
      <c r="N5991" t="inlineStr">
        <is>
          <t>Poecilia mexicana</t>
        </is>
      </c>
      <c r="O5991" t="inlineStr">
        <is>
          <t>Reverse transcriptase domain-containing protein</t>
        </is>
      </c>
    </row>
    <row r="5992">
      <c r="A5992" t="inlineStr"/>
      <c r="B5992" t="inlineStr"/>
      <c r="C5992" t="inlineStr"/>
      <c r="D5992" t="inlineStr"/>
      <c r="E5992">
        <f>HYPERLINK("https://www.uniprot.org/uniprotkb/A0A0S7J8U1/entry", "A0A0S7J8U1")</f>
        <v/>
      </c>
      <c r="F5992" t="n">
        <v>31.3</v>
      </c>
      <c r="G5992" t="n">
        <v>99</v>
      </c>
      <c r="H5992" t="n">
        <v>3.99e-05</v>
      </c>
      <c r="I5992" t="inlineStr">
        <is>
          <t>TrEMBL</t>
        </is>
      </c>
      <c r="J5992" t="inlineStr">
        <is>
          <t>POL2</t>
        </is>
      </c>
      <c r="K5992" t="inlineStr">
        <is>
          <t>A0A0S7J8U1_9TELE</t>
        </is>
      </c>
      <c r="L5992" t="inlineStr">
        <is>
          <t>tr|A0A0S7J8U1|A0A0S7J8U1_9TELE POL2 OS=Poeciliopsis prolifica OX=188132 GN=POL2 PE=4 SV=1</t>
        </is>
      </c>
      <c r="M5992" t="n">
        <v>1253</v>
      </c>
      <c r="N5992" t="inlineStr">
        <is>
          <t>Poeciliopsis prolifica</t>
        </is>
      </c>
      <c r="O5992" t="inlineStr">
        <is>
          <t>POL2</t>
        </is>
      </c>
    </row>
    <row r="5993">
      <c r="A5993" t="inlineStr"/>
      <c r="B5993" t="inlineStr"/>
      <c r="C5993" t="inlineStr"/>
      <c r="D5993" t="inlineStr"/>
      <c r="E5993">
        <f>HYPERLINK("https://www.ncbi.nlm.nih.gov/gene/?term=XP_033799979.1", "XP_033799979.1")</f>
        <v/>
      </c>
      <c r="F5993" t="n">
        <v>30.9</v>
      </c>
      <c r="G5993" t="n">
        <v>110</v>
      </c>
      <c r="H5993" t="n">
        <v>4.14e-05</v>
      </c>
      <c r="I5993" t="inlineStr">
        <is>
          <t>Nr</t>
        </is>
      </c>
      <c r="J5993" t="inlineStr"/>
      <c r="K5993" t="inlineStr"/>
      <c r="L5993" t="inlineStr">
        <is>
          <t>XP_033799979.1 LOW QUALITY PROTEIN: uncharacterized protein LOC117360383 [Geotrypetes seraphini]</t>
        </is>
      </c>
      <c r="M5993" t="n">
        <v>1623</v>
      </c>
      <c r="N5993" t="inlineStr">
        <is>
          <t>Geotrypetes seraphini</t>
        </is>
      </c>
      <c r="O5993" t="inlineStr">
        <is>
          <t>LOW QUALITY PROTEIN: uncharacterized protein LOC117360383</t>
        </is>
      </c>
    </row>
    <row r="5994">
      <c r="A5994" t="inlineStr"/>
      <c r="B5994" t="inlineStr"/>
      <c r="C5994" t="inlineStr"/>
      <c r="D5994" t="inlineStr"/>
      <c r="E5994">
        <f>HYPERLINK("https://www.ncbi.nlm.nih.gov/gene/?term=XP_033771791.1", "XP_033771791.1")</f>
        <v/>
      </c>
      <c r="F5994" t="n">
        <v>28.4</v>
      </c>
      <c r="G5994" t="n">
        <v>109</v>
      </c>
      <c r="H5994" t="n">
        <v>0.000103</v>
      </c>
      <c r="I5994" t="inlineStr">
        <is>
          <t>Nr</t>
        </is>
      </c>
      <c r="J5994" t="inlineStr"/>
      <c r="K5994" t="inlineStr"/>
      <c r="L5994" t="inlineStr">
        <is>
          <t>XP_033771791.1 coiled-coil domain-containing protein 17 isoform X6 [Geotrypetes seraphini]</t>
        </is>
      </c>
      <c r="M5994" t="n">
        <v>1374</v>
      </c>
      <c r="N5994" t="inlineStr">
        <is>
          <t>Geotrypetes seraphini</t>
        </is>
      </c>
      <c r="O5994" t="inlineStr">
        <is>
          <t>coiled-coil domain-containing protein 17 isoform X6</t>
        </is>
      </c>
    </row>
    <row r="5995">
      <c r="A5995" t="inlineStr"/>
      <c r="B5995" t="inlineStr"/>
      <c r="C5995" t="inlineStr"/>
      <c r="D5995" t="inlineStr"/>
      <c r="E5995">
        <f>HYPERLINK("https://www.ncbi.nlm.nih.gov/gene/?term=XP_033771788.1", "XP_033771788.1")</f>
        <v/>
      </c>
      <c r="F5995" t="n">
        <v>28.4</v>
      </c>
      <c r="G5995" t="n">
        <v>109</v>
      </c>
      <c r="H5995" t="n">
        <v>0.000104</v>
      </c>
      <c r="I5995" t="inlineStr">
        <is>
          <t>Nr</t>
        </is>
      </c>
      <c r="J5995" t="inlineStr"/>
      <c r="K5995" t="inlineStr"/>
      <c r="L5995" t="inlineStr">
        <is>
          <t>XP_033771788.1 coiled-coil domain-containing protein 17 isoform X4 [Geotrypetes seraphini]</t>
        </is>
      </c>
      <c r="M5995" t="n">
        <v>1459</v>
      </c>
      <c r="N5995" t="inlineStr">
        <is>
          <t>Geotrypetes seraphini</t>
        </is>
      </c>
      <c r="O5995" t="inlineStr">
        <is>
          <t>coiled-coil domain-containing protein 17 isoform X4</t>
        </is>
      </c>
    </row>
    <row r="5996">
      <c r="A5996" t="inlineStr"/>
      <c r="B5996" t="inlineStr"/>
      <c r="C5996" t="inlineStr"/>
      <c r="D5996" t="inlineStr"/>
      <c r="E5996">
        <f>HYPERLINK("https://www.ncbi.nlm.nih.gov/gene/?term=XP_033771786.1", "XP_033771786.1")</f>
        <v/>
      </c>
      <c r="F5996" t="n">
        <v>28.4</v>
      </c>
      <c r="G5996" t="n">
        <v>109</v>
      </c>
      <c r="H5996" t="n">
        <v>0.000104</v>
      </c>
      <c r="I5996" t="inlineStr">
        <is>
          <t>Nr</t>
        </is>
      </c>
      <c r="J5996" t="inlineStr"/>
      <c r="K5996" t="inlineStr"/>
      <c r="L5996" t="inlineStr">
        <is>
          <t>XP_033771786.1 coiled-coil domain-containing protein 17 isoform X2 [Geotrypetes seraphini]</t>
        </is>
      </c>
      <c r="M5996" t="n">
        <v>1541</v>
      </c>
      <c r="N5996" t="inlineStr">
        <is>
          <t>Geotrypetes seraphini</t>
        </is>
      </c>
      <c r="O5996" t="inlineStr">
        <is>
          <t>coiled-coil domain-containing protein 17 isoform X2</t>
        </is>
      </c>
    </row>
    <row r="5997">
      <c r="A5997" t="inlineStr"/>
      <c r="B5997" t="inlineStr"/>
      <c r="C5997" t="inlineStr"/>
      <c r="D5997" t="inlineStr"/>
      <c r="E5997">
        <f>HYPERLINK("https://www.ncbi.nlm.nih.gov/gene/?term=XP_033771785.1", "XP_033771785.1")</f>
        <v/>
      </c>
      <c r="F5997" t="n">
        <v>28.4</v>
      </c>
      <c r="G5997" t="n">
        <v>109</v>
      </c>
      <c r="H5997" t="n">
        <v>0.000104</v>
      </c>
      <c r="I5997" t="inlineStr">
        <is>
          <t>Nr</t>
        </is>
      </c>
      <c r="J5997" t="inlineStr"/>
      <c r="K5997" t="inlineStr"/>
      <c r="L5997" t="inlineStr">
        <is>
          <t>XP_033771785.1 coiled-coil domain-containing protein 17 isoform X1 [Geotrypetes seraphini]</t>
        </is>
      </c>
      <c r="M5997" t="n">
        <v>1564</v>
      </c>
      <c r="N5997" t="inlineStr">
        <is>
          <t>Geotrypetes seraphini</t>
        </is>
      </c>
      <c r="O5997" t="inlineStr">
        <is>
          <t>coiled-coil domain-containing protein 17 isoform X1</t>
        </is>
      </c>
    </row>
    <row r="5998">
      <c r="A5998" t="inlineStr"/>
      <c r="B5998" t="inlineStr"/>
      <c r="C5998" t="inlineStr"/>
      <c r="D5998" t="inlineStr"/>
      <c r="E5998">
        <f>HYPERLINK("https://www.ncbi.nlm.nih.gov/gene/?term=XP_033797147.1", "XP_033797147.1")</f>
        <v/>
      </c>
      <c r="F5998" t="n">
        <v>28.4</v>
      </c>
      <c r="G5998" t="n">
        <v>109</v>
      </c>
      <c r="H5998" t="n">
        <v>0.000174</v>
      </c>
      <c r="I5998" t="inlineStr">
        <is>
          <t>Nr</t>
        </is>
      </c>
      <c r="J5998" t="inlineStr"/>
      <c r="K5998" t="inlineStr"/>
      <c r="L5998" t="inlineStr">
        <is>
          <t>XP_033797147.1 uncharacterized protein LOC117359083 [Geotrypetes seraphini]</t>
        </is>
      </c>
      <c r="M5998" t="n">
        <v>563</v>
      </c>
      <c r="N5998" t="inlineStr">
        <is>
          <t>Geotrypetes seraphini</t>
        </is>
      </c>
      <c r="O5998" t="inlineStr">
        <is>
          <t>uncharacterized protein LOC117359083</t>
        </is>
      </c>
    </row>
    <row r="5999">
      <c r="A5999" t="inlineStr"/>
      <c r="B5999" t="inlineStr"/>
      <c r="C5999" t="inlineStr"/>
      <c r="D5999" t="inlineStr"/>
      <c r="E5999">
        <f>HYPERLINK("https://www.ncbi.nlm.nih.gov/gene/?term=CAI5678023.1", "CAI5678023.1")</f>
        <v/>
      </c>
      <c r="F5999" t="n">
        <v>27.2</v>
      </c>
      <c r="G5999" t="n">
        <v>103</v>
      </c>
      <c r="H5999" t="n">
        <v>0.00086</v>
      </c>
      <c r="I5999" t="inlineStr">
        <is>
          <t>Nr</t>
        </is>
      </c>
      <c r="J5999" t="inlineStr"/>
      <c r="K5999" t="inlineStr"/>
      <c r="L5999" t="inlineStr">
        <is>
          <t>CAI5678023.1 unnamed protein product [Mustela putorius furo]</t>
        </is>
      </c>
      <c r="M5999" t="n">
        <v>909</v>
      </c>
      <c r="N5999" t="inlineStr">
        <is>
          <t>Mustela putorius furo</t>
        </is>
      </c>
      <c r="O5999" t="inlineStr">
        <is>
          <t>unnamed protein product</t>
        </is>
      </c>
    </row>
    <row r="6000">
      <c r="A6000" t="inlineStr">
        <is>
          <t>NODE_37120_length_3581_cov_13.060330_g12552_i1</t>
        </is>
      </c>
      <c r="B6000" t="inlineStr">
        <is>
          <t>bombina_pachypus_blastx</t>
        </is>
      </c>
      <c r="C6000" t="n">
        <v>4.48149310070983</v>
      </c>
      <c r="D6000" t="n">
        <v>0.0052303312834313</v>
      </c>
      <c r="E6000">
        <f>HYPERLINK("https://www.uniprot.org/uniprotkb/A0A8J1M8F0/entry", "A0A8J1M8F0")</f>
        <v/>
      </c>
      <c r="F6000" t="n">
        <v>42.1</v>
      </c>
      <c r="G6000" t="n">
        <v>261</v>
      </c>
      <c r="H6000" t="n">
        <v>4.45e-60</v>
      </c>
      <c r="I6000" t="inlineStr">
        <is>
          <t>TrEMBL</t>
        </is>
      </c>
      <c r="J6000" t="inlineStr">
        <is>
          <t>pfkfb2.L</t>
        </is>
      </c>
      <c r="K6000" t="inlineStr">
        <is>
          <t>A0A8J1M8F0_XENLA</t>
        </is>
      </c>
      <c r="L6000" t="inlineStr">
        <is>
          <t>tr|A0A8J1M8F0|A0A8J1M8F0_XENLA ribonuclease H OS=Xenopus laevis OX=8355 GN=pfkfb2.L PE=3 SV=1</t>
        </is>
      </c>
      <c r="M6000" t="n">
        <v>615</v>
      </c>
      <c r="N6000" t="inlineStr">
        <is>
          <t>Xenopus laevis</t>
        </is>
      </c>
      <c r="O6000" t="inlineStr">
        <is>
          <t>ribonuclease H</t>
        </is>
      </c>
    </row>
    <row r="6001">
      <c r="A6001" t="inlineStr"/>
      <c r="B6001" t="inlineStr"/>
      <c r="C6001" t="inlineStr"/>
      <c r="D6001" t="inlineStr"/>
      <c r="E6001">
        <f>HYPERLINK("https://www.ncbi.nlm.nih.gov/gene/?term=XP_041437982.1", "XP_041437982.1")</f>
        <v/>
      </c>
      <c r="F6001" t="n">
        <v>42.1</v>
      </c>
      <c r="G6001" t="n">
        <v>261</v>
      </c>
      <c r="H6001" t="n">
        <v>1.14e-59</v>
      </c>
      <c r="I6001" t="inlineStr">
        <is>
          <t>Nr</t>
        </is>
      </c>
      <c r="J6001" t="inlineStr"/>
      <c r="K6001" t="inlineStr"/>
      <c r="L6001" t="inlineStr">
        <is>
          <t>XP_041437982.1 uncharacterized protein pfkfb2.L isoform X1 [Xenopus laevis]</t>
        </is>
      </c>
      <c r="M6001" t="n">
        <v>615</v>
      </c>
      <c r="N6001" t="inlineStr">
        <is>
          <t>Xenopus laevis</t>
        </is>
      </c>
      <c r="O6001" t="inlineStr">
        <is>
          <t>uncharacterized protein pfkfb2.L isoform X1</t>
        </is>
      </c>
    </row>
    <row r="6002">
      <c r="A6002" t="inlineStr"/>
      <c r="B6002" t="inlineStr"/>
      <c r="C6002" t="inlineStr"/>
      <c r="D6002" t="inlineStr"/>
      <c r="E6002">
        <f>HYPERLINK("https://www.ncbi.nlm.nih.gov/gene/?term=XP_044151545.1", "XP_044151545.1")</f>
        <v/>
      </c>
      <c r="F6002" t="n">
        <v>42</v>
      </c>
      <c r="G6002" t="n">
        <v>274</v>
      </c>
      <c r="H6002" t="n">
        <v>5.77e-59</v>
      </c>
      <c r="I6002" t="inlineStr">
        <is>
          <t>Nr</t>
        </is>
      </c>
      <c r="J6002" t="inlineStr"/>
      <c r="K6002" t="inlineStr"/>
      <c r="L6002" t="inlineStr">
        <is>
          <t>XP_044151545.1 nuclear pore complex protein Nup155 [Bufo gargarizans]</t>
        </is>
      </c>
      <c r="M6002" t="n">
        <v>1594</v>
      </c>
      <c r="N6002" t="inlineStr">
        <is>
          <t>Bufo gargarizans</t>
        </is>
      </c>
      <c r="O6002" t="inlineStr">
        <is>
          <t>nuclear pore complex protein Nup155</t>
        </is>
      </c>
    </row>
    <row r="6003">
      <c r="A6003" t="inlineStr"/>
      <c r="B6003" t="inlineStr"/>
      <c r="C6003" t="inlineStr"/>
      <c r="D6003" t="inlineStr"/>
      <c r="E6003">
        <f>HYPERLINK("https://www.uniprot.org/uniprotkb/A0A8J1MZ44/entry", "A0A8J1MZ44")</f>
        <v/>
      </c>
      <c r="F6003" t="n">
        <v>41.3</v>
      </c>
      <c r="G6003" t="n">
        <v>271</v>
      </c>
      <c r="H6003" t="n">
        <v>3.75e-58</v>
      </c>
      <c r="I6003" t="inlineStr">
        <is>
          <t>TrEMBL</t>
        </is>
      </c>
      <c r="J6003" t="inlineStr">
        <is>
          <t>LOC121403038</t>
        </is>
      </c>
      <c r="K6003" t="inlineStr">
        <is>
          <t>A0A8J1MZ44_XENLA</t>
        </is>
      </c>
      <c r="L6003" t="inlineStr">
        <is>
          <t>tr|A0A8J1MZ44|A0A8J1MZ44_XENLA ribonuclease H OS=Xenopus laevis OX=8355 GN=LOC121403038 PE=3 SV=1</t>
        </is>
      </c>
      <c r="M6003" t="n">
        <v>852</v>
      </c>
      <c r="N6003" t="inlineStr">
        <is>
          <t>Xenopus laevis</t>
        </is>
      </c>
      <c r="O6003" t="inlineStr">
        <is>
          <t>ribonuclease H</t>
        </is>
      </c>
    </row>
    <row r="6004">
      <c r="A6004" t="inlineStr"/>
      <c r="B6004" t="inlineStr"/>
      <c r="C6004" t="inlineStr"/>
      <c r="D6004" t="inlineStr"/>
      <c r="E6004">
        <f>HYPERLINK("https://www.ncbi.nlm.nih.gov/gene/?term=KAE8618780.1", "KAE8618780.1")</f>
        <v/>
      </c>
      <c r="F6004" t="n">
        <v>43.3</v>
      </c>
      <c r="G6004" t="n">
        <v>254</v>
      </c>
      <c r="H6004" t="n">
        <v>7.22e-58</v>
      </c>
      <c r="I6004" t="inlineStr">
        <is>
          <t>Nr</t>
        </is>
      </c>
      <c r="J6004" t="inlineStr"/>
      <c r="K6004" t="inlineStr"/>
      <c r="L6004" t="inlineStr">
        <is>
          <t>KAE8618780.1 hypothetical protein XENTR_v10009500 [Xenopus tropicalis]</t>
        </is>
      </c>
      <c r="M6004" t="n">
        <v>709</v>
      </c>
      <c r="N6004" t="inlineStr">
        <is>
          <t>Xenopus tropicalis</t>
        </is>
      </c>
      <c r="O6004" t="inlineStr">
        <is>
          <t>hypothetical protein XENTR_v10009500</t>
        </is>
      </c>
    </row>
    <row r="6005">
      <c r="A6005" t="inlineStr"/>
      <c r="B6005" t="inlineStr"/>
      <c r="C6005" t="inlineStr"/>
      <c r="D6005" t="inlineStr"/>
      <c r="E6005">
        <f>HYPERLINK("https://www.ncbi.nlm.nih.gov/gene/?term=XP_041446270.1", "XP_041446270.1")</f>
        <v/>
      </c>
      <c r="F6005" t="n">
        <v>41.3</v>
      </c>
      <c r="G6005" t="n">
        <v>271</v>
      </c>
      <c r="H6005" t="n">
        <v>9.64e-58</v>
      </c>
      <c r="I6005" t="inlineStr">
        <is>
          <t>Nr</t>
        </is>
      </c>
      <c r="J6005" t="inlineStr"/>
      <c r="K6005" t="inlineStr"/>
      <c r="L6005" t="inlineStr">
        <is>
          <t>XP_041446270.1 uncharacterized protein LOC121403038 [Xenopus laevis]</t>
        </is>
      </c>
      <c r="M6005" t="n">
        <v>852</v>
      </c>
      <c r="N6005" t="inlineStr">
        <is>
          <t>Xenopus laevis</t>
        </is>
      </c>
      <c r="O6005" t="inlineStr">
        <is>
          <t>uncharacterized protein LOC121403038</t>
        </is>
      </c>
    </row>
    <row r="6006">
      <c r="A6006" t="inlineStr"/>
      <c r="B6006" t="inlineStr"/>
      <c r="C6006" t="inlineStr"/>
      <c r="D6006" t="inlineStr"/>
      <c r="E6006">
        <f>HYPERLINK("https://www.ncbi.nlm.nih.gov/gene/?term=XP_018432223.1", "XP_018432223.1")</f>
        <v/>
      </c>
      <c r="F6006" t="n">
        <v>42.4</v>
      </c>
      <c r="G6006" t="n">
        <v>269</v>
      </c>
      <c r="H6006" t="n">
        <v>1.6e-54</v>
      </c>
      <c r="I6006" t="inlineStr">
        <is>
          <t>Nr</t>
        </is>
      </c>
      <c r="J6006" t="inlineStr"/>
      <c r="K6006" t="inlineStr"/>
      <c r="L6006" t="inlineStr">
        <is>
          <t>XP_018432223.1 PREDICTED: gamma-tubulin complex component 6 [Nanorana parkeri]</t>
        </is>
      </c>
      <c r="M6006" t="n">
        <v>2620</v>
      </c>
      <c r="N6006" t="inlineStr">
        <is>
          <t>Nanorana parkeri</t>
        </is>
      </c>
      <c r="O6006" t="inlineStr">
        <is>
          <t>PREDICTED: gamma-tubulin complex component 6</t>
        </is>
      </c>
    </row>
    <row r="6007">
      <c r="A6007" t="inlineStr"/>
      <c r="B6007" t="inlineStr"/>
      <c r="C6007" t="inlineStr"/>
      <c r="D6007" t="inlineStr"/>
      <c r="E6007">
        <f>HYPERLINK("https://www.ncbi.nlm.nih.gov/gene/?term=XP_044130116.1", "XP_044130116.1")</f>
        <v/>
      </c>
      <c r="F6007" t="n">
        <v>43.5</v>
      </c>
      <c r="G6007" t="n">
        <v>260</v>
      </c>
      <c r="H6007" t="n">
        <v>1.14e-53</v>
      </c>
      <c r="I6007" t="inlineStr">
        <is>
          <t>Nr</t>
        </is>
      </c>
      <c r="J6007" t="inlineStr"/>
      <c r="K6007" t="inlineStr"/>
      <c r="L6007" t="inlineStr">
        <is>
          <t>XP_044130116.1 solute carrier family 35 member F5 [Bufo gargarizans]</t>
        </is>
      </c>
      <c r="M6007" t="n">
        <v>1106</v>
      </c>
      <c r="N6007" t="inlineStr">
        <is>
          <t>Bufo gargarizans</t>
        </is>
      </c>
      <c r="O6007" t="inlineStr">
        <is>
          <t>solute carrier family 35 member F5</t>
        </is>
      </c>
    </row>
    <row r="6008">
      <c r="A6008" t="inlineStr"/>
      <c r="B6008" t="inlineStr"/>
      <c r="C6008" t="inlineStr"/>
      <c r="D6008" t="inlineStr"/>
      <c r="E6008">
        <f>HYPERLINK("https://www.ncbi.nlm.nih.gov/gene/?term=XP_029441229.1", "XP_029441229.1")</f>
        <v/>
      </c>
      <c r="F6008" t="n">
        <v>40.2</v>
      </c>
      <c r="G6008" t="n">
        <v>271</v>
      </c>
      <c r="H6008" t="n">
        <v>3.62e-53</v>
      </c>
      <c r="I6008" t="inlineStr">
        <is>
          <t>Nr</t>
        </is>
      </c>
      <c r="J6008" t="inlineStr"/>
      <c r="K6008" t="inlineStr"/>
      <c r="L6008" t="inlineStr">
        <is>
          <t>XP_029441229.1 uncharacterized protein LOC115080906 [Rhinatrema bivittatum]</t>
        </is>
      </c>
      <c r="M6008" t="n">
        <v>654</v>
      </c>
      <c r="N6008" t="inlineStr">
        <is>
          <t>Rhinatrema bivittatum</t>
        </is>
      </c>
      <c r="O6008" t="inlineStr">
        <is>
          <t>uncharacterized protein LOC115080906</t>
        </is>
      </c>
    </row>
    <row r="6009">
      <c r="A6009" t="inlineStr"/>
      <c r="B6009" t="inlineStr"/>
      <c r="C6009" t="inlineStr"/>
      <c r="D6009" t="inlineStr"/>
      <c r="E6009">
        <f>HYPERLINK("https://www.ncbi.nlm.nih.gov/gene/?term=XP_029455053.1", "XP_029455053.1")</f>
        <v/>
      </c>
      <c r="F6009" t="n">
        <v>40.2</v>
      </c>
      <c r="G6009" t="n">
        <v>271</v>
      </c>
      <c r="H6009" t="n">
        <v>3.62e-53</v>
      </c>
      <c r="I6009" t="inlineStr">
        <is>
          <t>Nr</t>
        </is>
      </c>
      <c r="J6009" t="inlineStr"/>
      <c r="K6009" t="inlineStr"/>
      <c r="L6009" t="inlineStr">
        <is>
          <t>XP_029455053.1 uncharacterized protein LOC115090287 [Rhinatrema bivittatum]</t>
        </is>
      </c>
      <c r="M6009" t="n">
        <v>654</v>
      </c>
      <c r="N6009" t="inlineStr">
        <is>
          <t>Rhinatrema bivittatum</t>
        </is>
      </c>
      <c r="O6009" t="inlineStr">
        <is>
          <t>uncharacterized protein LOC115090287</t>
        </is>
      </c>
    </row>
    <row r="6010">
      <c r="A6010" t="inlineStr"/>
      <c r="B6010" t="inlineStr"/>
      <c r="C6010" t="inlineStr"/>
      <c r="D6010" t="inlineStr"/>
      <c r="E6010">
        <f>HYPERLINK("https://www.uniprot.org/uniprotkb/A0A8J1KMD2/entry", "A0A8J1KMD2")</f>
        <v/>
      </c>
      <c r="F6010" t="n">
        <v>39.9</v>
      </c>
      <c r="G6010" t="n">
        <v>271</v>
      </c>
      <c r="H6010" t="n">
        <v>2.25e-49</v>
      </c>
      <c r="I6010" t="inlineStr">
        <is>
          <t>TrEMBL</t>
        </is>
      </c>
      <c r="J6010" t="inlineStr">
        <is>
          <t>LOC121393601</t>
        </is>
      </c>
      <c r="K6010" t="inlineStr">
        <is>
          <t>A0A8J1KMD2_XENLA</t>
        </is>
      </c>
      <c r="L6010" t="inlineStr">
        <is>
          <t>tr|A0A8J1KMD2|A0A8J1KMD2_XENLA ribonuclease H OS=Xenopus laevis OX=8355 GN=LOC121393601 PE=3 SV=1</t>
        </is>
      </c>
      <c r="M6010" t="n">
        <v>1091</v>
      </c>
      <c r="N6010" t="inlineStr">
        <is>
          <t>Xenopus laevis</t>
        </is>
      </c>
      <c r="O6010" t="inlineStr">
        <is>
          <t>ribonuclease H</t>
        </is>
      </c>
    </row>
    <row r="6011">
      <c r="A6011" t="inlineStr"/>
      <c r="B6011" t="inlineStr"/>
      <c r="C6011" t="inlineStr"/>
      <c r="D6011" t="inlineStr"/>
      <c r="E6011">
        <f>HYPERLINK("https://www.ncbi.nlm.nih.gov/gene/?term=XP_041418470.1", "XP_041418470.1")</f>
        <v/>
      </c>
      <c r="F6011" t="n">
        <v>39.9</v>
      </c>
      <c r="G6011" t="n">
        <v>271</v>
      </c>
      <c r="H6011" t="n">
        <v>5.78e-49</v>
      </c>
      <c r="I6011" t="inlineStr">
        <is>
          <t>Nr</t>
        </is>
      </c>
      <c r="J6011" t="inlineStr"/>
      <c r="K6011" t="inlineStr"/>
      <c r="L6011" t="inlineStr">
        <is>
          <t>XP_041418470.1 uncharacterized protein LOC121393601 [Xenopus laevis]</t>
        </is>
      </c>
      <c r="M6011" t="n">
        <v>1091</v>
      </c>
      <c r="N6011" t="inlineStr">
        <is>
          <t>Xenopus laevis</t>
        </is>
      </c>
      <c r="O6011" t="inlineStr">
        <is>
          <t>uncharacterized protein LOC121393601</t>
        </is>
      </c>
    </row>
    <row r="6012">
      <c r="A6012" t="inlineStr"/>
      <c r="B6012" t="inlineStr"/>
      <c r="C6012" t="inlineStr"/>
      <c r="D6012" t="inlineStr"/>
      <c r="E6012">
        <f>HYPERLINK("https://www.uniprot.org/uniprotkb/A0A6I8SBU0/entry", "A0A6I8SBU0")</f>
        <v/>
      </c>
      <c r="F6012" t="n">
        <v>46.2</v>
      </c>
      <c r="G6012" t="n">
        <v>223</v>
      </c>
      <c r="H6012" t="n">
        <v>2.32e-48</v>
      </c>
      <c r="I6012" t="inlineStr">
        <is>
          <t>TrEMBL</t>
        </is>
      </c>
      <c r="J6012" t="inlineStr"/>
      <c r="K6012" t="inlineStr">
        <is>
          <t>A0A6I8SBU0_XENTR</t>
        </is>
      </c>
      <c r="L6012" t="inlineStr">
        <is>
          <t>tr|A0A6I8SBU0|A0A6I8SBU0_XENTR Core-binding (CB) domain-containing protein OS=Xenopus tropicalis OX=8364 PE=4 SV=2</t>
        </is>
      </c>
      <c r="M6012" t="n">
        <v>674</v>
      </c>
      <c r="N6012" t="inlineStr">
        <is>
          <t>Xenopus tropicalis</t>
        </is>
      </c>
      <c r="O6012" t="inlineStr">
        <is>
          <t>Core-binding (CB) domain-containing protein</t>
        </is>
      </c>
    </row>
    <row r="6013">
      <c r="A6013" t="inlineStr"/>
      <c r="B6013" t="inlineStr"/>
      <c r="C6013" t="inlineStr"/>
      <c r="D6013" t="inlineStr"/>
      <c r="E6013">
        <f>HYPERLINK("https://www.ncbi.nlm.nih.gov/gene/?term=XP_040188033.1", "XP_040188033.1")</f>
        <v/>
      </c>
      <c r="F6013" t="n">
        <v>40</v>
      </c>
      <c r="G6013" t="n">
        <v>275</v>
      </c>
      <c r="H6013" t="n">
        <v>3.3e-48</v>
      </c>
      <c r="I6013" t="inlineStr">
        <is>
          <t>Nr</t>
        </is>
      </c>
      <c r="J6013" t="inlineStr"/>
      <c r="K6013" t="inlineStr"/>
      <c r="L6013" t="inlineStr">
        <is>
          <t>XP_040188033.1 uncharacterized protein LOC120920173 [Rana temporaria]</t>
        </is>
      </c>
      <c r="M6013" t="n">
        <v>513</v>
      </c>
      <c r="N6013" t="inlineStr">
        <is>
          <t>Rana temporaria</t>
        </is>
      </c>
      <c r="O6013" t="inlineStr">
        <is>
          <t>uncharacterized protein LOC120920173</t>
        </is>
      </c>
    </row>
    <row r="6014">
      <c r="A6014" t="inlineStr"/>
      <c r="B6014" t="inlineStr"/>
      <c r="C6014" t="inlineStr"/>
      <c r="D6014" t="inlineStr"/>
      <c r="E6014">
        <f>HYPERLINK("https://www.ncbi.nlm.nih.gov/gene/?term=KAE8576050.1", "KAE8576050.1")</f>
        <v/>
      </c>
      <c r="F6014" t="n">
        <v>46.2</v>
      </c>
      <c r="G6014" t="n">
        <v>223</v>
      </c>
      <c r="H6014" t="n">
        <v>5.58e-48</v>
      </c>
      <c r="I6014" t="inlineStr">
        <is>
          <t>Nr</t>
        </is>
      </c>
      <c r="J6014" t="inlineStr"/>
      <c r="K6014" t="inlineStr"/>
      <c r="L6014" t="inlineStr">
        <is>
          <t>KAE8576050.1 hypothetical protein XENTR_v10004031 [Xenopus tropicalis]</t>
        </is>
      </c>
      <c r="M6014" t="n">
        <v>668</v>
      </c>
      <c r="N6014" t="inlineStr">
        <is>
          <t>Xenopus tropicalis</t>
        </is>
      </c>
      <c r="O6014" t="inlineStr">
        <is>
          <t>hypothetical protein XENTR_v10004031</t>
        </is>
      </c>
    </row>
    <row r="6015">
      <c r="A6015" t="inlineStr"/>
      <c r="B6015" t="inlineStr"/>
      <c r="C6015" t="inlineStr"/>
      <c r="D6015" t="inlineStr"/>
      <c r="E6015">
        <f>HYPERLINK("https://www.ncbi.nlm.nih.gov/gene/?term=XP_040286209.1", "XP_040286209.1")</f>
        <v/>
      </c>
      <c r="F6015" t="n">
        <v>50</v>
      </c>
      <c r="G6015" t="n">
        <v>198</v>
      </c>
      <c r="H6015" t="n">
        <v>6.849999999999999e-48</v>
      </c>
      <c r="I6015" t="inlineStr">
        <is>
          <t>Nr</t>
        </is>
      </c>
      <c r="J6015" t="inlineStr"/>
      <c r="K6015" t="inlineStr"/>
      <c r="L6015" t="inlineStr">
        <is>
          <t>XP_040286209.1 dynein heavy chain 8, axonemal [Bufo bufo]</t>
        </is>
      </c>
      <c r="M6015" t="n">
        <v>5444</v>
      </c>
      <c r="N6015" t="inlineStr">
        <is>
          <t>Bufo bufo</t>
        </is>
      </c>
      <c r="O6015" t="inlineStr">
        <is>
          <t>dynein heavy chain 8, axonemal</t>
        </is>
      </c>
    </row>
    <row r="6016">
      <c r="A6016" t="inlineStr"/>
      <c r="B6016" t="inlineStr"/>
      <c r="C6016" t="inlineStr"/>
      <c r="D6016" t="inlineStr"/>
      <c r="E6016">
        <f>HYPERLINK("https://www.ncbi.nlm.nih.gov/gene/?term=KAJ1155940.1", "KAJ1155940.1")</f>
        <v/>
      </c>
      <c r="F6016" t="n">
        <v>38.6</v>
      </c>
      <c r="G6016" t="n">
        <v>277</v>
      </c>
      <c r="H6016" t="n">
        <v>9.99e-48</v>
      </c>
      <c r="I6016" t="inlineStr">
        <is>
          <t>Nr</t>
        </is>
      </c>
      <c r="J6016" t="inlineStr"/>
      <c r="K6016" t="inlineStr"/>
      <c r="L6016" t="inlineStr">
        <is>
          <t>KAJ1155940.1 hypothetical protein NDU88_008665 [Pleurodeles waltl]</t>
        </is>
      </c>
      <c r="M6016" t="n">
        <v>500</v>
      </c>
      <c r="N6016" t="inlineStr">
        <is>
          <t>Pleurodeles waltl</t>
        </is>
      </c>
      <c r="O6016" t="inlineStr">
        <is>
          <t>hypothetical protein NDU88_008665</t>
        </is>
      </c>
    </row>
    <row r="6017">
      <c r="A6017" t="inlineStr"/>
      <c r="B6017" t="inlineStr"/>
      <c r="C6017" t="inlineStr"/>
      <c r="D6017" t="inlineStr"/>
      <c r="E6017">
        <f>HYPERLINK("https://www.ncbi.nlm.nih.gov/gene/?term=KAJ1116793.1", "KAJ1116793.1")</f>
        <v/>
      </c>
      <c r="F6017" t="n">
        <v>38.6</v>
      </c>
      <c r="G6017" t="n">
        <v>277</v>
      </c>
      <c r="H6017" t="n">
        <v>2.81e-47</v>
      </c>
      <c r="I6017" t="inlineStr">
        <is>
          <t>Nr</t>
        </is>
      </c>
      <c r="J6017" t="inlineStr"/>
      <c r="K6017" t="inlineStr"/>
      <c r="L6017" t="inlineStr">
        <is>
          <t>KAJ1116793.1 hypothetical protein NDU88_004998 [Pleurodeles waltl]</t>
        </is>
      </c>
      <c r="M6017" t="n">
        <v>561</v>
      </c>
      <c r="N6017" t="inlineStr">
        <is>
          <t>Pleurodeles waltl</t>
        </is>
      </c>
      <c r="O6017" t="inlineStr">
        <is>
          <t>hypothetical protein NDU88_004998</t>
        </is>
      </c>
    </row>
    <row r="6018">
      <c r="A6018" t="inlineStr"/>
      <c r="B6018" t="inlineStr"/>
      <c r="C6018" t="inlineStr"/>
      <c r="D6018" t="inlineStr"/>
      <c r="E6018">
        <f>HYPERLINK("https://www.ncbi.nlm.nih.gov/gene/?term=KAJ1165465.1", "KAJ1165465.1")</f>
        <v/>
      </c>
      <c r="F6018" t="n">
        <v>40.2</v>
      </c>
      <c r="G6018" t="n">
        <v>261</v>
      </c>
      <c r="H6018" t="n">
        <v>4.28e-47</v>
      </c>
      <c r="I6018" t="inlineStr">
        <is>
          <t>Nr</t>
        </is>
      </c>
      <c r="J6018" t="inlineStr"/>
      <c r="K6018" t="inlineStr"/>
      <c r="L6018" t="inlineStr">
        <is>
          <t>KAJ1165465.1 hypothetical protein NDU88_005893 [Pleurodeles waltl]</t>
        </is>
      </c>
      <c r="M6018" t="n">
        <v>453</v>
      </c>
      <c r="N6018" t="inlineStr">
        <is>
          <t>Pleurodeles waltl</t>
        </is>
      </c>
      <c r="O6018" t="inlineStr">
        <is>
          <t>hypothetical protein NDU88_005893</t>
        </is>
      </c>
    </row>
    <row r="6019">
      <c r="A6019" t="inlineStr"/>
      <c r="B6019" t="inlineStr"/>
      <c r="C6019" t="inlineStr"/>
      <c r="D6019" t="inlineStr"/>
      <c r="E6019">
        <f>HYPERLINK("https://www.uniprot.org/uniprotkb/A0A2G8L1M7/entry", "A0A2G8L1M7")</f>
        <v/>
      </c>
      <c r="F6019" t="n">
        <v>38.2</v>
      </c>
      <c r="G6019" t="n">
        <v>272</v>
      </c>
      <c r="H6019" t="n">
        <v>9.53e-47</v>
      </c>
      <c r="I6019" t="inlineStr">
        <is>
          <t>TrEMBL</t>
        </is>
      </c>
      <c r="J6019" t="inlineStr">
        <is>
          <t>BSL78_08953</t>
        </is>
      </c>
      <c r="K6019" t="inlineStr">
        <is>
          <t>A0A2G8L1M7_STIJA</t>
        </is>
      </c>
      <c r="L6019" t="inlineStr">
        <is>
          <t>tr|A0A2G8L1M7|A0A2G8L1M7_STIJA Putative TBC1 domain family member 2A OS=Stichopus japonicus OX=307972 GN=BSL78_08953 PE=4 SV=1</t>
        </is>
      </c>
      <c r="M6019" t="n">
        <v>439</v>
      </c>
      <c r="N6019" t="inlineStr">
        <is>
          <t>Stichopus japonicus</t>
        </is>
      </c>
      <c r="O6019" t="inlineStr">
        <is>
          <t>Putative TBC1 domain family member 2A</t>
        </is>
      </c>
    </row>
    <row r="6020">
      <c r="A6020" t="inlineStr"/>
      <c r="B6020" t="inlineStr"/>
      <c r="C6020" t="inlineStr"/>
      <c r="D6020" t="inlineStr"/>
      <c r="E6020">
        <f>HYPERLINK("https://www.ncbi.nlm.nih.gov/gene/?term=KAJ1137758.1", "KAJ1137758.1")</f>
        <v/>
      </c>
      <c r="F6020" t="n">
        <v>37.2</v>
      </c>
      <c r="G6020" t="n">
        <v>277</v>
      </c>
      <c r="H6020" t="n">
        <v>1.37e-46</v>
      </c>
      <c r="I6020" t="inlineStr">
        <is>
          <t>Nr</t>
        </is>
      </c>
      <c r="J6020" t="inlineStr"/>
      <c r="K6020" t="inlineStr"/>
      <c r="L6020" t="inlineStr">
        <is>
          <t>KAJ1137758.1 hypothetical protein NDU88_004154 [Pleurodeles waltl]</t>
        </is>
      </c>
      <c r="M6020" t="n">
        <v>325</v>
      </c>
      <c r="N6020" t="inlineStr">
        <is>
          <t>Pleurodeles waltl</t>
        </is>
      </c>
      <c r="O6020" t="inlineStr">
        <is>
          <t>hypothetical protein NDU88_004154</t>
        </is>
      </c>
    </row>
    <row r="6021">
      <c r="A6021" t="inlineStr"/>
      <c r="B6021" t="inlineStr"/>
      <c r="C6021" t="inlineStr"/>
      <c r="D6021" t="inlineStr"/>
      <c r="E6021">
        <f>HYPERLINK("https://www.ncbi.nlm.nih.gov/gene/?term=KAJ1135528.1", "KAJ1135528.1")</f>
        <v/>
      </c>
      <c r="F6021" t="n">
        <v>39.4</v>
      </c>
      <c r="G6021" t="n">
        <v>277</v>
      </c>
      <c r="H6021" t="n">
        <v>1.55e-46</v>
      </c>
      <c r="I6021" t="inlineStr">
        <is>
          <t>Nr</t>
        </is>
      </c>
      <c r="J6021" t="inlineStr"/>
      <c r="K6021" t="inlineStr"/>
      <c r="L6021" t="inlineStr">
        <is>
          <t>KAJ1135528.1 hypothetical protein NDU88_001967 [Pleurodeles waltl]</t>
        </is>
      </c>
      <c r="M6021" t="n">
        <v>564</v>
      </c>
      <c r="N6021" t="inlineStr">
        <is>
          <t>Pleurodeles waltl</t>
        </is>
      </c>
      <c r="O6021" t="inlineStr">
        <is>
          <t>hypothetical protein NDU88_001967</t>
        </is>
      </c>
    </row>
    <row r="6022">
      <c r="A6022" t="inlineStr"/>
      <c r="B6022" t="inlineStr"/>
      <c r="C6022" t="inlineStr"/>
      <c r="D6022" t="inlineStr"/>
      <c r="E6022">
        <f>HYPERLINK("https://www.ncbi.nlm.nih.gov/gene/?term=PIK54168.1", "PIK54168.1")</f>
        <v/>
      </c>
      <c r="F6022" t="n">
        <v>38.2</v>
      </c>
      <c r="G6022" t="n">
        <v>272</v>
      </c>
      <c r="H6022" t="n">
        <v>2.45e-46</v>
      </c>
      <c r="I6022" t="inlineStr">
        <is>
          <t>Nr</t>
        </is>
      </c>
      <c r="J6022" t="inlineStr"/>
      <c r="K6022" t="inlineStr"/>
      <c r="L6022" t="inlineStr">
        <is>
          <t>PIK54168.1 putative TBC1 domain family member 2A [Apostichopus japonicus]</t>
        </is>
      </c>
      <c r="M6022" t="n">
        <v>439</v>
      </c>
      <c r="N6022" t="inlineStr">
        <is>
          <t>Apostichopus japonicus</t>
        </is>
      </c>
      <c r="O6022" t="inlineStr">
        <is>
          <t>putative TBC1 domain family member 2A</t>
        </is>
      </c>
    </row>
    <row r="6023">
      <c r="A6023" t="inlineStr"/>
      <c r="B6023" t="inlineStr"/>
      <c r="C6023" t="inlineStr"/>
      <c r="D6023" t="inlineStr"/>
      <c r="E6023">
        <f>HYPERLINK("https://www.ncbi.nlm.nih.gov/gene/?term=KAJ1217780.1", "KAJ1217780.1")</f>
        <v/>
      </c>
      <c r="F6023" t="n">
        <v>40.1</v>
      </c>
      <c r="G6023" t="n">
        <v>262</v>
      </c>
      <c r="H6023" t="n">
        <v>2.87e-46</v>
      </c>
      <c r="I6023" t="inlineStr">
        <is>
          <t>Nr</t>
        </is>
      </c>
      <c r="J6023" t="inlineStr"/>
      <c r="K6023" t="inlineStr"/>
      <c r="L6023" t="inlineStr">
        <is>
          <t>KAJ1217780.1 hypothetical protein NDU88_005370 [Pleurodeles waltl]</t>
        </is>
      </c>
      <c r="M6023" t="n">
        <v>500</v>
      </c>
      <c r="N6023" t="inlineStr">
        <is>
          <t>Pleurodeles waltl</t>
        </is>
      </c>
      <c r="O6023" t="inlineStr">
        <is>
          <t>hypothetical protein NDU88_005370</t>
        </is>
      </c>
    </row>
    <row r="6024">
      <c r="A6024" t="inlineStr"/>
      <c r="B6024" t="inlineStr"/>
      <c r="C6024" t="inlineStr"/>
      <c r="D6024" t="inlineStr"/>
      <c r="E6024">
        <f>HYPERLINK("https://www.ncbi.nlm.nih.gov/gene/?term=KAJ1217778.1", "KAJ1217778.1")</f>
        <v/>
      </c>
      <c r="F6024" t="n">
        <v>40.1</v>
      </c>
      <c r="G6024" t="n">
        <v>262</v>
      </c>
      <c r="H6024" t="n">
        <v>2.87e-46</v>
      </c>
      <c r="I6024" t="inlineStr">
        <is>
          <t>Nr</t>
        </is>
      </c>
      <c r="J6024" t="inlineStr"/>
      <c r="K6024" t="inlineStr"/>
      <c r="L6024" t="inlineStr">
        <is>
          <t>KAJ1217778.1 hypothetical protein NDU88_005368 [Pleurodeles waltl]</t>
        </is>
      </c>
      <c r="M6024" t="n">
        <v>500</v>
      </c>
      <c r="N6024" t="inlineStr">
        <is>
          <t>Pleurodeles waltl</t>
        </is>
      </c>
      <c r="O6024" t="inlineStr">
        <is>
          <t>hypothetical protein NDU88_005368</t>
        </is>
      </c>
    </row>
    <row r="6025">
      <c r="A6025" t="inlineStr"/>
      <c r="B6025" t="inlineStr"/>
      <c r="C6025" t="inlineStr"/>
      <c r="D6025" t="inlineStr"/>
      <c r="E6025">
        <f>HYPERLINK("https://www.ncbi.nlm.nih.gov/gene/?term=XP_044134874.1", "XP_044134874.1")</f>
        <v/>
      </c>
      <c r="F6025" t="n">
        <v>42.7</v>
      </c>
      <c r="G6025" t="n">
        <v>239</v>
      </c>
      <c r="H6025" t="n">
        <v>3.2e-46</v>
      </c>
      <c r="I6025" t="inlineStr">
        <is>
          <t>Nr</t>
        </is>
      </c>
      <c r="J6025" t="inlineStr"/>
      <c r="K6025" t="inlineStr"/>
      <c r="L6025" t="inlineStr">
        <is>
          <t>XP_044134874.1 F-box/WD repeat-containing protein 9 isoform X1 [Bufo gargarizans]</t>
        </is>
      </c>
      <c r="M6025" t="n">
        <v>787</v>
      </c>
      <c r="N6025" t="inlineStr">
        <is>
          <t>Bufo gargarizans</t>
        </is>
      </c>
      <c r="O6025" t="inlineStr">
        <is>
          <t>F-box/WD repeat-containing protein 9 isoform X1</t>
        </is>
      </c>
    </row>
    <row r="6026">
      <c r="A6026" t="inlineStr"/>
      <c r="B6026" t="inlineStr"/>
      <c r="C6026" t="inlineStr"/>
      <c r="D6026" t="inlineStr"/>
      <c r="E6026">
        <f>HYPERLINK("https://www.ncbi.nlm.nih.gov/gene/?term=KAJ1125029.1", "KAJ1125029.1")</f>
        <v/>
      </c>
      <c r="F6026" t="n">
        <v>38.6</v>
      </c>
      <c r="G6026" t="n">
        <v>277</v>
      </c>
      <c r="H6026" t="n">
        <v>3.82e-46</v>
      </c>
      <c r="I6026" t="inlineStr">
        <is>
          <t>Nr</t>
        </is>
      </c>
      <c r="J6026" t="inlineStr"/>
      <c r="K6026" t="inlineStr"/>
      <c r="L6026" t="inlineStr">
        <is>
          <t>KAJ1125029.1 hypothetical protein NDU88_003468 [Pleurodeles waltl]</t>
        </is>
      </c>
      <c r="M6026" t="n">
        <v>1100</v>
      </c>
      <c r="N6026" t="inlineStr">
        <is>
          <t>Pleurodeles waltl</t>
        </is>
      </c>
      <c r="O6026" t="inlineStr">
        <is>
          <t>hypothetical protein NDU88_003468</t>
        </is>
      </c>
    </row>
    <row r="6027">
      <c r="A6027" t="inlineStr"/>
      <c r="B6027" t="inlineStr"/>
      <c r="C6027" t="inlineStr"/>
      <c r="D6027" t="inlineStr"/>
      <c r="E6027">
        <f>HYPERLINK("https://www.uniprot.org/uniprotkb/A0A8C5PV42/entry", "A0A8C5PV42")</f>
        <v/>
      </c>
      <c r="F6027" t="n">
        <v>41.5</v>
      </c>
      <c r="G6027" t="n">
        <v>275</v>
      </c>
      <c r="H6027" t="n">
        <v>3.84e-46</v>
      </c>
      <c r="I6027" t="inlineStr">
        <is>
          <t>TrEMBL</t>
        </is>
      </c>
      <c r="J6027" t="inlineStr"/>
      <c r="K6027" t="inlineStr">
        <is>
          <t>A0A8C5PV42_9ANUR</t>
        </is>
      </c>
      <c r="L6027" t="inlineStr">
        <is>
          <t>tr|A0A8C5PV42|A0A8C5PV42_9ANUR ribonuclease H OS=Leptobrachium leishanense OX=445787 PE=3 SV=1</t>
        </is>
      </c>
      <c r="M6027" t="n">
        <v>577</v>
      </c>
      <c r="N6027" t="inlineStr">
        <is>
          <t>Leptobrachium leishanense</t>
        </is>
      </c>
      <c r="O6027" t="inlineStr">
        <is>
          <t>ribonuclease H</t>
        </is>
      </c>
    </row>
    <row r="6028">
      <c r="A6028" t="inlineStr"/>
      <c r="B6028" t="inlineStr"/>
      <c r="C6028" t="inlineStr"/>
      <c r="D6028" t="inlineStr"/>
      <c r="E6028">
        <f>HYPERLINK("https://www.ncbi.nlm.nih.gov/gene/?term=KAJ1125086.1", "KAJ1125086.1")</f>
        <v/>
      </c>
      <c r="F6028" t="n">
        <v>36.8</v>
      </c>
      <c r="G6028" t="n">
        <v>277</v>
      </c>
      <c r="H6028" t="n">
        <v>5.439999999999999e-46</v>
      </c>
      <c r="I6028" t="inlineStr">
        <is>
          <t>Nr</t>
        </is>
      </c>
      <c r="J6028" t="inlineStr"/>
      <c r="K6028" t="inlineStr"/>
      <c r="L6028" t="inlineStr">
        <is>
          <t>KAJ1125086.1 hypothetical protein NDU88_003524 [Pleurodeles waltl]</t>
        </is>
      </c>
      <c r="M6028" t="n">
        <v>339</v>
      </c>
      <c r="N6028" t="inlineStr">
        <is>
          <t>Pleurodeles waltl</t>
        </is>
      </c>
      <c r="O6028" t="inlineStr">
        <is>
          <t>hypothetical protein NDU88_003524</t>
        </is>
      </c>
    </row>
    <row r="6029">
      <c r="A6029" t="inlineStr"/>
      <c r="B6029" t="inlineStr"/>
      <c r="C6029" t="inlineStr"/>
      <c r="D6029" t="inlineStr"/>
      <c r="E6029">
        <f>HYPERLINK("https://www.ncbi.nlm.nih.gov/gene/?term=KAJ1172764.1", "KAJ1172764.1")</f>
        <v/>
      </c>
      <c r="F6029" t="n">
        <v>39.7</v>
      </c>
      <c r="G6029" t="n">
        <v>262</v>
      </c>
      <c r="H6029" t="n">
        <v>5.61e-46</v>
      </c>
      <c r="I6029" t="inlineStr">
        <is>
          <t>Nr</t>
        </is>
      </c>
      <c r="J6029" t="inlineStr"/>
      <c r="K6029" t="inlineStr"/>
      <c r="L6029" t="inlineStr">
        <is>
          <t>KAJ1172764.1 hypothetical protein NDU88_004606 [Pleurodeles waltl]</t>
        </is>
      </c>
      <c r="M6029" t="n">
        <v>500</v>
      </c>
      <c r="N6029" t="inlineStr">
        <is>
          <t>Pleurodeles waltl</t>
        </is>
      </c>
      <c r="O6029" t="inlineStr">
        <is>
          <t>hypothetical protein NDU88_004606</t>
        </is>
      </c>
    </row>
    <row r="6030">
      <c r="A6030" t="inlineStr"/>
      <c r="B6030" t="inlineStr"/>
      <c r="C6030" t="inlineStr"/>
      <c r="D6030" t="inlineStr"/>
      <c r="E6030">
        <f>HYPERLINK("https://www.ncbi.nlm.nih.gov/gene/?term=KAJ1089356.1", "KAJ1089356.1")</f>
        <v/>
      </c>
      <c r="F6030" t="n">
        <v>38.6</v>
      </c>
      <c r="G6030" t="n">
        <v>277</v>
      </c>
      <c r="H6030" t="n">
        <v>5.75e-46</v>
      </c>
      <c r="I6030" t="inlineStr">
        <is>
          <t>Nr</t>
        </is>
      </c>
      <c r="J6030" t="inlineStr"/>
      <c r="K6030" t="inlineStr"/>
      <c r="L6030" t="inlineStr">
        <is>
          <t>KAJ1089356.1 hypothetical protein NDU88_002507 [Pleurodeles waltl]</t>
        </is>
      </c>
      <c r="M6030" t="n">
        <v>610</v>
      </c>
      <c r="N6030" t="inlineStr">
        <is>
          <t>Pleurodeles waltl</t>
        </is>
      </c>
      <c r="O6030" t="inlineStr">
        <is>
          <t>hypothetical protein NDU88_002507</t>
        </is>
      </c>
    </row>
    <row r="6031">
      <c r="A6031" t="inlineStr"/>
      <c r="B6031" t="inlineStr"/>
      <c r="C6031" t="inlineStr"/>
      <c r="D6031" t="inlineStr"/>
      <c r="E6031">
        <f>HYPERLINK("https://www.ncbi.nlm.nih.gov/gene/?term=KAJ1177488.1", "KAJ1177488.1")</f>
        <v/>
      </c>
      <c r="F6031" t="n">
        <v>38.6</v>
      </c>
      <c r="G6031" t="n">
        <v>277</v>
      </c>
      <c r="H6031" t="n">
        <v>6.56e-46</v>
      </c>
      <c r="I6031" t="inlineStr">
        <is>
          <t>Nr</t>
        </is>
      </c>
      <c r="J6031" t="inlineStr"/>
      <c r="K6031" t="inlineStr"/>
      <c r="L6031" t="inlineStr">
        <is>
          <t>KAJ1177488.1 hypothetical protein NDU88_002743 [Pleurodeles waltl]</t>
        </is>
      </c>
      <c r="M6031" t="n">
        <v>678</v>
      </c>
      <c r="N6031" t="inlineStr">
        <is>
          <t>Pleurodeles waltl</t>
        </is>
      </c>
      <c r="O6031" t="inlineStr">
        <is>
          <t>hypothetical protein NDU88_002743</t>
        </is>
      </c>
    </row>
    <row r="6032">
      <c r="A6032" t="inlineStr"/>
      <c r="B6032" t="inlineStr"/>
      <c r="C6032" t="inlineStr"/>
      <c r="D6032" t="inlineStr"/>
      <c r="E6032">
        <f>HYPERLINK("https://www.ncbi.nlm.nih.gov/gene/?term=KAJ1187808.1", "KAJ1187808.1")</f>
        <v/>
      </c>
      <c r="F6032" t="n">
        <v>39.7</v>
      </c>
      <c r="G6032" t="n">
        <v>262</v>
      </c>
      <c r="H6032" t="n">
        <v>7.17e-46</v>
      </c>
      <c r="I6032" t="inlineStr">
        <is>
          <t>Nr</t>
        </is>
      </c>
      <c r="J6032" t="inlineStr"/>
      <c r="K6032" t="inlineStr"/>
      <c r="L6032" t="inlineStr">
        <is>
          <t>KAJ1187808.1 hypothetical protein NDU88_004578 [Pleurodeles waltl]</t>
        </is>
      </c>
      <c r="M6032" t="n">
        <v>495</v>
      </c>
      <c r="N6032" t="inlineStr">
        <is>
          <t>Pleurodeles waltl</t>
        </is>
      </c>
      <c r="O6032" t="inlineStr">
        <is>
          <t>hypothetical protein NDU88_004578</t>
        </is>
      </c>
    </row>
    <row r="6033">
      <c r="A6033" t="inlineStr"/>
      <c r="B6033" t="inlineStr"/>
      <c r="C6033" t="inlineStr"/>
      <c r="D6033" t="inlineStr"/>
      <c r="E6033">
        <f>HYPERLINK("https://www.uniprot.org/uniprotkb/A0A2G8JJ26/entry", "A0A2G8JJ26")</f>
        <v/>
      </c>
      <c r="F6033" t="n">
        <v>38.2</v>
      </c>
      <c r="G6033" t="n">
        <v>272</v>
      </c>
      <c r="H6033" t="n">
        <v>1.1e-45</v>
      </c>
      <c r="I6033" t="inlineStr">
        <is>
          <t>TrEMBL</t>
        </is>
      </c>
      <c r="J6033" t="inlineStr">
        <is>
          <t>BSL78_27439</t>
        </is>
      </c>
      <c r="K6033" t="inlineStr">
        <is>
          <t>A0A2G8JJ26_STIJA</t>
        </is>
      </c>
      <c r="L6033" t="inlineStr">
        <is>
          <t>tr|A0A2G8JJ26|A0A2G8JJ26_STIJA Reverse transcriptase domain-containing protein OS=Stichopus japonicus OX=307972 GN=BSL78_27439 PE=4 SV=1</t>
        </is>
      </c>
      <c r="M6033" t="n">
        <v>581</v>
      </c>
      <c r="N6033" t="inlineStr">
        <is>
          <t>Stichopus japonicus</t>
        </is>
      </c>
      <c r="O6033" t="inlineStr">
        <is>
          <t>Reverse transcriptase domain-containing protein</t>
        </is>
      </c>
    </row>
    <row r="6034">
      <c r="A6034" t="inlineStr"/>
      <c r="B6034" t="inlineStr"/>
      <c r="C6034" t="inlineStr"/>
      <c r="D6034" t="inlineStr"/>
      <c r="E6034">
        <f>HYPERLINK("https://www.uniprot.org/uniprotkb/A0A2D4EJC9/entry", "A0A2D4EJC9")</f>
        <v/>
      </c>
      <c r="F6034" t="n">
        <v>38.4</v>
      </c>
      <c r="G6034" t="n">
        <v>271</v>
      </c>
      <c r="H6034" t="n">
        <v>1.5e-45</v>
      </c>
      <c r="I6034" t="inlineStr">
        <is>
          <t>TrEMBL</t>
        </is>
      </c>
      <c r="J6034" t="inlineStr"/>
      <c r="K6034" t="inlineStr">
        <is>
          <t>A0A2D4EJC9_MICCO</t>
        </is>
      </c>
      <c r="L6034" t="inlineStr">
        <is>
          <t>tr|A0A2D4EJC9|A0A2D4EJC9_MICCO ribonuclease H (Fragment) OS=Micrurus corallinus OX=54390 PE=3 SV=1</t>
        </is>
      </c>
      <c r="M6034" t="n">
        <v>580</v>
      </c>
      <c r="N6034" t="inlineStr">
        <is>
          <t>Micrurus corallinus</t>
        </is>
      </c>
      <c r="O6034" t="inlineStr">
        <is>
          <t>ribonuclease H (Fragment)</t>
        </is>
      </c>
    </row>
    <row r="6035">
      <c r="A6035" t="inlineStr"/>
      <c r="B6035" t="inlineStr"/>
      <c r="C6035" t="inlineStr"/>
      <c r="D6035" t="inlineStr"/>
      <c r="E6035">
        <f>HYPERLINK("https://www.uniprot.org/uniprotkb/A0A8J1MWG0/entry", "A0A8J1MWG0")</f>
        <v/>
      </c>
      <c r="F6035" t="n">
        <v>36.1</v>
      </c>
      <c r="G6035" t="n">
        <v>274</v>
      </c>
      <c r="H6035" t="n">
        <v>1.62e-45</v>
      </c>
      <c r="I6035" t="inlineStr">
        <is>
          <t>TrEMBL</t>
        </is>
      </c>
      <c r="J6035" t="inlineStr">
        <is>
          <t>adgrg1.L</t>
        </is>
      </c>
      <c r="K6035" t="inlineStr">
        <is>
          <t>A0A8J1MWG0_XENLA</t>
        </is>
      </c>
      <c r="L6035" t="inlineStr">
        <is>
          <t>tr|A0A8J1MWG0|A0A8J1MWG0_XENLA ribonuclease H OS=Xenopus laevis OX=8355 GN=adgrg1.L PE=3 SV=1</t>
        </is>
      </c>
      <c r="M6035" t="n">
        <v>540</v>
      </c>
      <c r="N6035" t="inlineStr">
        <is>
          <t>Xenopus laevis</t>
        </is>
      </c>
      <c r="O6035" t="inlineStr">
        <is>
          <t>ribonuclease H</t>
        </is>
      </c>
    </row>
    <row r="6036">
      <c r="A6036" t="inlineStr"/>
      <c r="B6036" t="inlineStr"/>
      <c r="C6036" t="inlineStr"/>
      <c r="D6036" t="inlineStr"/>
      <c r="E6036">
        <f>HYPERLINK("https://www.uniprot.org/uniprotkb/A0A8J1N0T7/entry", "A0A8J1N0T7")</f>
        <v/>
      </c>
      <c r="F6036" t="n">
        <v>39.4</v>
      </c>
      <c r="G6036" t="n">
        <v>274</v>
      </c>
      <c r="H6036" t="n">
        <v>3.08e-45</v>
      </c>
      <c r="I6036" t="inlineStr">
        <is>
          <t>TrEMBL</t>
        </is>
      </c>
      <c r="J6036" t="inlineStr">
        <is>
          <t>LOC121403130</t>
        </is>
      </c>
      <c r="K6036" t="inlineStr">
        <is>
          <t>A0A8J1N0T7_XENLA</t>
        </is>
      </c>
      <c r="L6036" t="inlineStr">
        <is>
          <t>tr|A0A8J1N0T7|A0A8J1N0T7_XENLA ribonuclease H OS=Xenopus laevis OX=8355 GN=LOC121403130 PE=3 SV=1</t>
        </is>
      </c>
      <c r="M6036" t="n">
        <v>1010</v>
      </c>
      <c r="N6036" t="inlineStr">
        <is>
          <t>Xenopus laevis</t>
        </is>
      </c>
      <c r="O6036" t="inlineStr">
        <is>
          <t>ribonuclease H</t>
        </is>
      </c>
    </row>
    <row r="6037">
      <c r="A6037" t="inlineStr"/>
      <c r="B6037" t="inlineStr"/>
      <c r="C6037" t="inlineStr"/>
      <c r="D6037" t="inlineStr"/>
      <c r="E6037">
        <f>HYPERLINK("https://www.uniprot.org/uniprotkb/A0A8J1MMH3/entry", "A0A8J1MMH3")</f>
        <v/>
      </c>
      <c r="F6037" t="n">
        <v>37</v>
      </c>
      <c r="G6037" t="n">
        <v>270</v>
      </c>
      <c r="H6037" t="n">
        <v>4.49e-45</v>
      </c>
      <c r="I6037" t="inlineStr">
        <is>
          <t>TrEMBL</t>
        </is>
      </c>
      <c r="J6037" t="inlineStr">
        <is>
          <t>LOC121401493</t>
        </is>
      </c>
      <c r="K6037" t="inlineStr">
        <is>
          <t>A0A8J1MMH3_XENLA</t>
        </is>
      </c>
      <c r="L6037" t="inlineStr">
        <is>
          <t>tr|A0A8J1MMH3|A0A8J1MMH3_XENLA ribonuclease H OS=Xenopus laevis OX=8355 GN=LOC121401493 PE=3 SV=1</t>
        </is>
      </c>
      <c r="M6037" t="n">
        <v>641</v>
      </c>
      <c r="N6037" t="inlineStr">
        <is>
          <t>Xenopus laevis</t>
        </is>
      </c>
      <c r="O6037" t="inlineStr">
        <is>
          <t>ribonuclease H</t>
        </is>
      </c>
    </row>
    <row r="6038">
      <c r="A6038" t="inlineStr"/>
      <c r="B6038" t="inlineStr"/>
      <c r="C6038" t="inlineStr"/>
      <c r="D6038" t="inlineStr"/>
      <c r="E6038">
        <f>HYPERLINK("https://www.uniprot.org/uniprotkb/A0A803J9S3/entry", "A0A803J9S3")</f>
        <v/>
      </c>
      <c r="F6038" t="n">
        <v>41.9</v>
      </c>
      <c r="G6038" t="n">
        <v>222</v>
      </c>
      <c r="H6038" t="n">
        <v>1.42e-44</v>
      </c>
      <c r="I6038" t="inlineStr">
        <is>
          <t>TrEMBL</t>
        </is>
      </c>
      <c r="J6038" t="inlineStr"/>
      <c r="K6038" t="inlineStr">
        <is>
          <t>A0A803J9S3_XENTR</t>
        </is>
      </c>
      <c r="L6038" t="inlineStr">
        <is>
          <t>tr|A0A803J9S3|A0A803J9S3_XENTR Integrase catalytic domain-containing protein OS=Xenopus tropicalis OX=8364 PE=4 SV=1</t>
        </is>
      </c>
      <c r="M6038" t="n">
        <v>358</v>
      </c>
      <c r="N6038" t="inlineStr">
        <is>
          <t>Xenopus tropicalis</t>
        </is>
      </c>
      <c r="O6038" t="inlineStr">
        <is>
          <t>Integrase catalytic domain-containing protein</t>
        </is>
      </c>
    </row>
    <row r="6039">
      <c r="A6039" t="inlineStr"/>
      <c r="B6039" t="inlineStr"/>
      <c r="C6039" t="inlineStr"/>
      <c r="D6039" t="inlineStr"/>
      <c r="E6039">
        <f>HYPERLINK("https://www.uniprot.org/uniprotkb/A0A2D4IZ19/entry", "A0A2D4IZ19")</f>
        <v/>
      </c>
      <c r="F6039" t="n">
        <v>37.8</v>
      </c>
      <c r="G6039" t="n">
        <v>259</v>
      </c>
      <c r="H6039" t="n">
        <v>1.85e-44</v>
      </c>
      <c r="I6039" t="inlineStr">
        <is>
          <t>TrEMBL</t>
        </is>
      </c>
      <c r="J6039" t="inlineStr"/>
      <c r="K6039" t="inlineStr">
        <is>
          <t>A0A2D4IZ19_MICLE</t>
        </is>
      </c>
      <c r="L6039" t="inlineStr">
        <is>
          <t>tr|A0A2D4IZ19|A0A2D4IZ19_MICLE ribonuclease H (Fragment) OS=Micrurus lemniscatus lemniscatus OX=129467 PE=3 SV=1</t>
        </is>
      </c>
      <c r="M6039" t="n">
        <v>286</v>
      </c>
      <c r="N6039" t="inlineStr">
        <is>
          <t>Micrurus lemniscatus lemniscatus</t>
        </is>
      </c>
      <c r="O6039" t="inlineStr">
        <is>
          <t>ribonuclease H (Fragment)</t>
        </is>
      </c>
    </row>
    <row r="6040">
      <c r="A6040" t="inlineStr"/>
      <c r="B6040" t="inlineStr"/>
      <c r="C6040" t="inlineStr"/>
      <c r="D6040" t="inlineStr"/>
      <c r="E6040">
        <f>HYPERLINK("https://www.uniprot.org/uniprotkb/A0A1W7RDQ0/entry", "A0A1W7RDQ0")</f>
        <v/>
      </c>
      <c r="F6040" t="n">
        <v>36.5</v>
      </c>
      <c r="G6040" t="n">
        <v>271</v>
      </c>
      <c r="H6040" t="n">
        <v>2.46e-44</v>
      </c>
      <c r="I6040" t="inlineStr">
        <is>
          <t>TrEMBL</t>
        </is>
      </c>
      <c r="J6040" t="inlineStr"/>
      <c r="K6040" t="inlineStr">
        <is>
          <t>A0A1W7RDQ0_AGKCO</t>
        </is>
      </c>
      <c r="L6040" t="inlineStr">
        <is>
          <t>tr|A0A1W7RDQ0|A0A1W7RDQ0_AGKCO ribonuclease H OS=Agkistrodon contortrix contortrix OX=8713 PE=3 SV=1</t>
        </is>
      </c>
      <c r="M6040" t="n">
        <v>567</v>
      </c>
      <c r="N6040" t="inlineStr">
        <is>
          <t>Agkistrodon contortrix contortrix</t>
        </is>
      </c>
      <c r="O6040" t="inlineStr">
        <is>
          <t>ribonuclease H</t>
        </is>
      </c>
    </row>
    <row r="6041">
      <c r="A6041" t="inlineStr"/>
      <c r="B6041" t="inlineStr"/>
      <c r="C6041" t="inlineStr"/>
      <c r="D6041" t="inlineStr"/>
      <c r="E6041">
        <f>HYPERLINK("https://www.uniprot.org/uniprotkb/A0A2D4J0A8/entry", "A0A2D4J0A8")</f>
        <v/>
      </c>
      <c r="F6041" t="n">
        <v>37</v>
      </c>
      <c r="G6041" t="n">
        <v>276</v>
      </c>
      <c r="H6041" t="n">
        <v>2.91e-44</v>
      </c>
      <c r="I6041" t="inlineStr">
        <is>
          <t>TrEMBL</t>
        </is>
      </c>
      <c r="J6041" t="inlineStr"/>
      <c r="K6041" t="inlineStr">
        <is>
          <t>A0A2D4J0A8_MICLE</t>
        </is>
      </c>
      <c r="L6041" t="inlineStr">
        <is>
          <t>tr|A0A2D4J0A8|A0A2D4J0A8_MICLE ribonuclease H OS=Micrurus lemniscatus lemniscatus OX=129467 PE=3 SV=1</t>
        </is>
      </c>
      <c r="M6041" t="n">
        <v>664</v>
      </c>
      <c r="N6041" t="inlineStr">
        <is>
          <t>Micrurus lemniscatus lemniscatus</t>
        </is>
      </c>
      <c r="O6041" t="inlineStr">
        <is>
          <t>ribonuclease H</t>
        </is>
      </c>
    </row>
    <row r="6042">
      <c r="A6042" t="inlineStr"/>
      <c r="B6042" t="inlineStr"/>
      <c r="C6042" t="inlineStr"/>
      <c r="D6042" t="inlineStr"/>
      <c r="E6042">
        <f>HYPERLINK("https://www.uniprot.org/uniprotkb/A0A8J1MS43/entry", "A0A8J1MS43")</f>
        <v/>
      </c>
      <c r="F6042" t="n">
        <v>37.8</v>
      </c>
      <c r="G6042" t="n">
        <v>270</v>
      </c>
      <c r="H6042" t="n">
        <v>3.78e-44</v>
      </c>
      <c r="I6042" t="inlineStr">
        <is>
          <t>TrEMBL</t>
        </is>
      </c>
      <c r="J6042" t="inlineStr">
        <is>
          <t>LOC121402168</t>
        </is>
      </c>
      <c r="K6042" t="inlineStr">
        <is>
          <t>A0A8J1MS43_XENLA</t>
        </is>
      </c>
      <c r="L6042" t="inlineStr">
        <is>
          <t>tr|A0A8J1MS43|A0A8J1MS43_XENLA ribonuclease H OS=Xenopus laevis OX=8355 GN=LOC121402168 PE=3 SV=1</t>
        </is>
      </c>
      <c r="M6042" t="n">
        <v>1068</v>
      </c>
      <c r="N6042" t="inlineStr">
        <is>
          <t>Xenopus laevis</t>
        </is>
      </c>
      <c r="O6042" t="inlineStr">
        <is>
          <t>ribonuclease H</t>
        </is>
      </c>
    </row>
    <row r="6043">
      <c r="A6043" t="inlineStr"/>
      <c r="B6043" t="inlineStr"/>
      <c r="C6043" t="inlineStr"/>
      <c r="D6043" t="inlineStr"/>
      <c r="E6043">
        <f>HYPERLINK("https://www.ncbi.nlm.nih.gov/gene/?term=XP_018432223.1", "XP_018432223.1")</f>
        <v/>
      </c>
      <c r="F6043" t="n">
        <v>45.8</v>
      </c>
      <c r="G6043" t="n">
        <v>212</v>
      </c>
      <c r="H6043" t="n">
        <v>2.07e-42</v>
      </c>
      <c r="I6043" t="inlineStr">
        <is>
          <t>Nr</t>
        </is>
      </c>
      <c r="J6043" t="inlineStr"/>
      <c r="K6043" t="inlineStr"/>
      <c r="L6043" t="inlineStr">
        <is>
          <t>XP_018432223.1 PREDICTED: gamma-tubulin complex component 6 [Nanorana parkeri]</t>
        </is>
      </c>
      <c r="M6043" t="n">
        <v>2620</v>
      </c>
      <c r="N6043" t="inlineStr">
        <is>
          <t>Nanorana parkeri</t>
        </is>
      </c>
      <c r="O6043" t="inlineStr">
        <is>
          <t>PREDICTED: gamma-tubulin complex component 6</t>
        </is>
      </c>
    </row>
    <row r="6044">
      <c r="A6044" t="inlineStr"/>
      <c r="B6044" t="inlineStr"/>
      <c r="C6044" t="inlineStr"/>
      <c r="D6044" t="inlineStr"/>
      <c r="E6044">
        <f>HYPERLINK("https://www.uniprot.org/uniprotkb/A0A8J1KQ25/entry", "A0A8J1KQ25")</f>
        <v/>
      </c>
      <c r="F6044" t="n">
        <v>36.2</v>
      </c>
      <c r="G6044" t="n">
        <v>271</v>
      </c>
      <c r="H6044" t="n">
        <v>3.55e-42</v>
      </c>
      <c r="I6044" t="inlineStr">
        <is>
          <t>TrEMBL</t>
        </is>
      </c>
      <c r="J6044" t="inlineStr">
        <is>
          <t>LOC121393829</t>
        </is>
      </c>
      <c r="K6044" t="inlineStr">
        <is>
          <t>A0A8J1KQ25_XENLA</t>
        </is>
      </c>
      <c r="L6044" t="inlineStr">
        <is>
          <t>tr|A0A8J1KQ25|A0A8J1KQ25_XENLA ribonuclease H OS=Xenopus laevis OX=8355 GN=LOC121393829 PE=3 SV=1</t>
        </is>
      </c>
      <c r="M6044" t="n">
        <v>569</v>
      </c>
      <c r="N6044" t="inlineStr">
        <is>
          <t>Xenopus laevis</t>
        </is>
      </c>
      <c r="O6044" t="inlineStr">
        <is>
          <t>ribonuclease H</t>
        </is>
      </c>
    </row>
    <row r="6045">
      <c r="A6045" t="inlineStr"/>
      <c r="B6045" t="inlineStr"/>
      <c r="C6045" t="inlineStr"/>
      <c r="D6045" t="inlineStr"/>
      <c r="E6045">
        <f>HYPERLINK("https://www.uniprot.org/uniprotkb/A0A2G8JQS3/entry", "A0A2G8JQS3")</f>
        <v/>
      </c>
      <c r="F6045" t="n">
        <v>38.6</v>
      </c>
      <c r="G6045" t="n">
        <v>254</v>
      </c>
      <c r="H6045" t="n">
        <v>5.059999999999999e-42</v>
      </c>
      <c r="I6045" t="inlineStr">
        <is>
          <t>TrEMBL</t>
        </is>
      </c>
      <c r="J6045" t="inlineStr">
        <is>
          <t>BSL78_25033</t>
        </is>
      </c>
      <c r="K6045" t="inlineStr">
        <is>
          <t>A0A2G8JQS3_STIJA</t>
        </is>
      </c>
      <c r="L6045" t="inlineStr">
        <is>
          <t>tr|A0A2G8JQS3|A0A2G8JQS3_STIJA Reverse transcriptase domain-containing protein OS=Stichopus japonicus OX=307972 GN=BSL78_25033 PE=4 SV=1</t>
        </is>
      </c>
      <c r="M6045" t="n">
        <v>598</v>
      </c>
      <c r="N6045" t="inlineStr">
        <is>
          <t>Stichopus japonicus</t>
        </is>
      </c>
      <c r="O6045" t="inlineStr">
        <is>
          <t>Reverse transcriptase domain-containing protein</t>
        </is>
      </c>
    </row>
    <row r="6046">
      <c r="A6046" t="inlineStr"/>
      <c r="B6046" t="inlineStr"/>
      <c r="C6046" t="inlineStr"/>
      <c r="D6046" t="inlineStr"/>
      <c r="E6046">
        <f>HYPERLINK("https://www.uniprot.org/uniprotkb/A0A6P9CZS6/entry", "A0A6P9CZS6")</f>
        <v/>
      </c>
      <c r="F6046" t="n">
        <v>36.2</v>
      </c>
      <c r="G6046" t="n">
        <v>271</v>
      </c>
      <c r="H6046" t="n">
        <v>1.18e-41</v>
      </c>
      <c r="I6046" t="inlineStr">
        <is>
          <t>TrEMBL</t>
        </is>
      </c>
      <c r="J6046" t="inlineStr">
        <is>
          <t>TMEM128</t>
        </is>
      </c>
      <c r="K6046" t="inlineStr">
        <is>
          <t>A0A6P9CZS6_PANGU</t>
        </is>
      </c>
      <c r="L6046" t="inlineStr">
        <is>
          <t>tr|A0A6P9CZS6|A0A6P9CZS6_PANGU ribonuclease H OS=Pantherophis guttatus OX=94885 GN=TMEM128 PE=3 SV=1</t>
        </is>
      </c>
      <c r="M6046" t="n">
        <v>369</v>
      </c>
      <c r="N6046" t="inlineStr">
        <is>
          <t>Pantherophis guttatus</t>
        </is>
      </c>
      <c r="O6046" t="inlineStr">
        <is>
          <t>ribonuclease H</t>
        </is>
      </c>
    </row>
    <row r="6047">
      <c r="A6047" t="inlineStr"/>
      <c r="B6047" t="inlineStr"/>
      <c r="C6047" t="inlineStr"/>
      <c r="D6047" t="inlineStr"/>
      <c r="E6047">
        <f>HYPERLINK("https://www.uniprot.org/uniprotkb/A0A8J1KLR0/entry", "A0A8J1KLR0")</f>
        <v/>
      </c>
      <c r="F6047" t="n">
        <v>39.9</v>
      </c>
      <c r="G6047" t="n">
        <v>243</v>
      </c>
      <c r="H6047" t="n">
        <v>2.82e-41</v>
      </c>
      <c r="I6047" t="inlineStr">
        <is>
          <t>TrEMBL</t>
        </is>
      </c>
      <c r="J6047" t="inlineStr">
        <is>
          <t>LOC121393288</t>
        </is>
      </c>
      <c r="K6047" t="inlineStr">
        <is>
          <t>A0A8J1KLR0_XENLA</t>
        </is>
      </c>
      <c r="L6047" t="inlineStr">
        <is>
          <t>tr|A0A8J1KLR0|A0A8J1KLR0_XENLA ribonuclease H OS=Xenopus laevis OX=8355 GN=LOC121393288 PE=3 SV=1</t>
        </is>
      </c>
      <c r="M6047" t="n">
        <v>718</v>
      </c>
      <c r="N6047" t="inlineStr">
        <is>
          <t>Xenopus laevis</t>
        </is>
      </c>
      <c r="O6047" t="inlineStr">
        <is>
          <t>ribonuclease H</t>
        </is>
      </c>
    </row>
    <row r="6048">
      <c r="A6048" t="inlineStr"/>
      <c r="B6048" t="inlineStr"/>
      <c r="C6048" t="inlineStr"/>
      <c r="D6048" t="inlineStr"/>
      <c r="E6048">
        <f>HYPERLINK("https://www.uniprot.org/uniprotkb/A0A6I9X478/entry", "A0A6I9X478")</f>
        <v/>
      </c>
      <c r="F6048" t="n">
        <v>36.4</v>
      </c>
      <c r="G6048" t="n">
        <v>269</v>
      </c>
      <c r="H6048" t="n">
        <v>3.55e-41</v>
      </c>
      <c r="I6048" t="inlineStr">
        <is>
          <t>TrEMBL</t>
        </is>
      </c>
      <c r="J6048" t="inlineStr">
        <is>
          <t>LOC106538964</t>
        </is>
      </c>
      <c r="K6048" t="inlineStr">
        <is>
          <t>A0A6I9X478_9SAUR</t>
        </is>
      </c>
      <c r="L6048" t="inlineStr">
        <is>
          <t>tr|A0A6I9X478|A0A6I9X478_9SAUR ubiquitin carboxyl-terminal hydrolase 7-like OS=Thamnophis sirtalis OX=35019 GN=LOC106538964 PE=3 SV=1</t>
        </is>
      </c>
      <c r="M6048" t="n">
        <v>1509</v>
      </c>
      <c r="N6048" t="inlineStr">
        <is>
          <t>Thamnophis sirtalis</t>
        </is>
      </c>
      <c r="O6048" t="inlineStr">
        <is>
          <t>ubiquitin carboxyl-terminal hydrolase 7-like</t>
        </is>
      </c>
    </row>
    <row r="6049">
      <c r="A6049" t="inlineStr"/>
      <c r="B6049" t="inlineStr"/>
      <c r="C6049" t="inlineStr"/>
      <c r="D6049" t="inlineStr"/>
      <c r="E6049">
        <f>HYPERLINK("https://www.uniprot.org/uniprotkb/A0A2G8KTZ3/entry", "A0A2G8KTZ3")</f>
        <v/>
      </c>
      <c r="F6049" t="n">
        <v>35.1</v>
      </c>
      <c r="G6049" t="n">
        <v>271</v>
      </c>
      <c r="H6049" t="n">
        <v>2.67e-40</v>
      </c>
      <c r="I6049" t="inlineStr">
        <is>
          <t>TrEMBL</t>
        </is>
      </c>
      <c r="J6049" t="inlineStr">
        <is>
          <t>BSL78_11617</t>
        </is>
      </c>
      <c r="K6049" t="inlineStr">
        <is>
          <t>A0A2G8KTZ3_STIJA</t>
        </is>
      </c>
      <c r="L6049" t="inlineStr">
        <is>
          <t>tr|A0A2G8KTZ3|A0A2G8KTZ3_STIJA Reverse transcriptase domain-containing protein OS=Stichopus japonicus OX=307972 GN=BSL78_11617 PE=4 SV=1</t>
        </is>
      </c>
      <c r="M6049" t="n">
        <v>936</v>
      </c>
      <c r="N6049" t="inlineStr">
        <is>
          <t>Stichopus japonicus</t>
        </is>
      </c>
      <c r="O6049" t="inlineStr">
        <is>
          <t>Reverse transcriptase domain-containing protein</t>
        </is>
      </c>
    </row>
    <row r="6050">
      <c r="A6050" t="inlineStr"/>
      <c r="B6050" t="inlineStr"/>
      <c r="C6050" t="inlineStr"/>
      <c r="D6050" t="inlineStr"/>
      <c r="E6050">
        <f>HYPERLINK("https://www.uniprot.org/uniprotkb/A0A803JVJ8/entry", "A0A803JVJ8")</f>
        <v/>
      </c>
      <c r="F6050" t="n">
        <v>35.6</v>
      </c>
      <c r="G6050" t="n">
        <v>270</v>
      </c>
      <c r="H6050" t="n">
        <v>7.26e-40</v>
      </c>
      <c r="I6050" t="inlineStr">
        <is>
          <t>TrEMBL</t>
        </is>
      </c>
      <c r="J6050" t="inlineStr"/>
      <c r="K6050" t="inlineStr">
        <is>
          <t>A0A803JVJ8_XENTR</t>
        </is>
      </c>
      <c r="L6050" t="inlineStr">
        <is>
          <t>tr|A0A803JVJ8|A0A803JVJ8_XENTR ribonuclease H OS=Xenopus tropicalis OX=8364 PE=3 SV=1</t>
        </is>
      </c>
      <c r="M6050" t="n">
        <v>805</v>
      </c>
      <c r="N6050" t="inlineStr">
        <is>
          <t>Xenopus tropicalis</t>
        </is>
      </c>
      <c r="O6050" t="inlineStr">
        <is>
          <t>ribonuclease H</t>
        </is>
      </c>
    </row>
    <row r="6051">
      <c r="A6051" t="inlineStr"/>
      <c r="B6051" t="inlineStr"/>
      <c r="C6051" t="inlineStr"/>
      <c r="D6051" t="inlineStr"/>
      <c r="E6051">
        <f>HYPERLINK("https://www.uniprot.org/uniprotkb/A0A8T1TGG7/entry", "A0A8T1TGG7")</f>
        <v/>
      </c>
      <c r="F6051" t="n">
        <v>34.2</v>
      </c>
      <c r="G6051" t="n">
        <v>272</v>
      </c>
      <c r="H6051" t="n">
        <v>9.409999999999999e-40</v>
      </c>
      <c r="I6051" t="inlineStr">
        <is>
          <t>TrEMBL</t>
        </is>
      </c>
      <c r="J6051" t="inlineStr">
        <is>
          <t>G0U57_018701</t>
        </is>
      </c>
      <c r="K6051" t="inlineStr">
        <is>
          <t>A0A8T1TGG7_CHESE</t>
        </is>
      </c>
      <c r="L6051" t="inlineStr">
        <is>
          <t>tr|A0A8T1TGG7|A0A8T1TGG7_CHESE ribonuclease H (Fragment) OS=Chelydra serpentina OX=8475 GN=G0U57_018701 PE=3 SV=1</t>
        </is>
      </c>
      <c r="M6051" t="n">
        <v>455</v>
      </c>
      <c r="N6051" t="inlineStr">
        <is>
          <t>Chelydra serpentina</t>
        </is>
      </c>
      <c r="O6051" t="inlineStr">
        <is>
          <t>ribonuclease H (Fragment)</t>
        </is>
      </c>
    </row>
    <row r="6052">
      <c r="A6052" t="inlineStr"/>
      <c r="B6052" t="inlineStr"/>
      <c r="C6052" t="inlineStr"/>
      <c r="D6052" t="inlineStr"/>
      <c r="E6052">
        <f>HYPERLINK("https://www.uniprot.org/uniprotkb/A0A8T1TFL3/entry", "A0A8T1TFL3")</f>
        <v/>
      </c>
      <c r="F6052" t="n">
        <v>34.2</v>
      </c>
      <c r="G6052" t="n">
        <v>272</v>
      </c>
      <c r="H6052" t="n">
        <v>1.43e-39</v>
      </c>
      <c r="I6052" t="inlineStr">
        <is>
          <t>TrEMBL</t>
        </is>
      </c>
      <c r="J6052" t="inlineStr">
        <is>
          <t>G0U57_000749</t>
        </is>
      </c>
      <c r="K6052" t="inlineStr">
        <is>
          <t>A0A8T1TFL3_CHESE</t>
        </is>
      </c>
      <c r="L6052" t="inlineStr">
        <is>
          <t>tr|A0A8T1TFL3|A0A8T1TFL3_CHESE ribonuclease H OS=Chelydra serpentina OX=8475 GN=G0U57_000749 PE=3 SV=1</t>
        </is>
      </c>
      <c r="M6052" t="n">
        <v>684</v>
      </c>
      <c r="N6052" t="inlineStr">
        <is>
          <t>Chelydra serpentina</t>
        </is>
      </c>
      <c r="O6052" t="inlineStr">
        <is>
          <t>ribonuclease H</t>
        </is>
      </c>
    </row>
    <row r="6053">
      <c r="A6053" t="inlineStr"/>
      <c r="B6053" t="inlineStr"/>
      <c r="C6053" t="inlineStr"/>
      <c r="D6053" t="inlineStr"/>
      <c r="E6053">
        <f>HYPERLINK("https://www.uniprot.org/uniprotkb/A0A6P9D0P1/entry", "A0A6P9D0P1")</f>
        <v/>
      </c>
      <c r="F6053" t="n">
        <v>35.8</v>
      </c>
      <c r="G6053" t="n">
        <v>271</v>
      </c>
      <c r="H6053" t="n">
        <v>3.44e-39</v>
      </c>
      <c r="I6053" t="inlineStr">
        <is>
          <t>TrEMBL</t>
        </is>
      </c>
      <c r="J6053" t="inlineStr">
        <is>
          <t>LOC117675085</t>
        </is>
      </c>
      <c r="K6053" t="inlineStr">
        <is>
          <t>A0A6P9D0P1_PANGU</t>
        </is>
      </c>
      <c r="L6053" t="inlineStr">
        <is>
          <t>tr|A0A6P9D0P1|A0A6P9D0P1_PANGU ribonuclease H OS=Pantherophis guttatus OX=94885 GN=LOC117675085 PE=3 SV=1</t>
        </is>
      </c>
      <c r="M6053" t="n">
        <v>1211</v>
      </c>
      <c r="N6053" t="inlineStr">
        <is>
          <t>Pantherophis guttatus</t>
        </is>
      </c>
      <c r="O6053" t="inlineStr">
        <is>
          <t>ribonuclease H</t>
        </is>
      </c>
    </row>
    <row r="6054">
      <c r="A6054" t="inlineStr"/>
      <c r="B6054" t="inlineStr"/>
      <c r="C6054" t="inlineStr"/>
      <c r="D6054" t="inlineStr"/>
      <c r="E6054">
        <f>HYPERLINK("https://www.uniprot.org/uniprotkb/A0A2D4LBJ6/entry", "A0A2D4LBJ6")</f>
        <v/>
      </c>
      <c r="F6054" t="n">
        <v>34.8</v>
      </c>
      <c r="G6054" t="n">
        <v>276</v>
      </c>
      <c r="H6054" t="n">
        <v>4.54e-39</v>
      </c>
      <c r="I6054" t="inlineStr">
        <is>
          <t>TrEMBL</t>
        </is>
      </c>
      <c r="J6054" t="inlineStr"/>
      <c r="K6054" t="inlineStr">
        <is>
          <t>A0A2D4LBJ6_9SAUR</t>
        </is>
      </c>
      <c r="L6054" t="inlineStr">
        <is>
          <t>tr|A0A2D4LBJ6|A0A2D4LBJ6_9SAUR ribonuclease H OS=Micrurus spixii OX=129469 PE=3 SV=1</t>
        </is>
      </c>
      <c r="M6054" t="n">
        <v>303</v>
      </c>
      <c r="N6054" t="inlineStr">
        <is>
          <t>Micrurus spixii</t>
        </is>
      </c>
      <c r="O6054" t="inlineStr">
        <is>
          <t>ribonuclease H</t>
        </is>
      </c>
    </row>
    <row r="6055">
      <c r="A6055" t="inlineStr"/>
      <c r="B6055" t="inlineStr"/>
      <c r="C6055" t="inlineStr"/>
      <c r="D6055" t="inlineStr"/>
      <c r="E6055">
        <f>HYPERLINK("https://www.ncbi.nlm.nih.gov/gene/?term=XP_044151545.1", "XP_044151545.1")</f>
        <v/>
      </c>
      <c r="F6055" t="n">
        <v>60.2</v>
      </c>
      <c r="G6055" t="n">
        <v>123</v>
      </c>
      <c r="H6055" t="n">
        <v>3.83e-38</v>
      </c>
      <c r="I6055" t="inlineStr">
        <is>
          <t>Nr</t>
        </is>
      </c>
      <c r="J6055" t="inlineStr"/>
      <c r="K6055" t="inlineStr"/>
      <c r="L6055" t="inlineStr">
        <is>
          <t>XP_044151545.1 nuclear pore complex protein Nup155 [Bufo gargarizans]</t>
        </is>
      </c>
      <c r="M6055" t="n">
        <v>1594</v>
      </c>
      <c r="N6055" t="inlineStr">
        <is>
          <t>Bufo gargarizans</t>
        </is>
      </c>
      <c r="O6055" t="inlineStr">
        <is>
          <t>nuclear pore complex protein Nup155</t>
        </is>
      </c>
    </row>
    <row r="6056">
      <c r="A6056" t="inlineStr"/>
      <c r="B6056" t="inlineStr"/>
      <c r="C6056" t="inlineStr"/>
      <c r="D6056" t="inlineStr"/>
      <c r="E6056">
        <f>HYPERLINK("https://www.uniprot.org/uniprotkb/A0A8J1M3F4/entry", "A0A8J1M3F4")</f>
        <v/>
      </c>
      <c r="F6056" t="n">
        <v>55.7</v>
      </c>
      <c r="G6056" t="n">
        <v>122</v>
      </c>
      <c r="H6056" t="n">
        <v>6.07e-34</v>
      </c>
      <c r="I6056" t="inlineStr">
        <is>
          <t>TrEMBL</t>
        </is>
      </c>
      <c r="J6056" t="inlineStr">
        <is>
          <t>LOC121399363</t>
        </is>
      </c>
      <c r="K6056" t="inlineStr">
        <is>
          <t>A0A8J1M3F4_XENLA</t>
        </is>
      </c>
      <c r="L6056" t="inlineStr">
        <is>
          <t>tr|A0A8J1M3F4|A0A8J1M3F4_XENLA uncharacterized protein LOC121399363 OS=Xenopus laevis OX=8355 GN=LOC121399363 PE=4 SV=1</t>
        </is>
      </c>
      <c r="M6056" t="n">
        <v>682</v>
      </c>
      <c r="N6056" t="inlineStr">
        <is>
          <t>Xenopus laevis</t>
        </is>
      </c>
      <c r="O6056" t="inlineStr">
        <is>
          <t>uncharacterized protein LOC121399363</t>
        </is>
      </c>
    </row>
    <row r="6057">
      <c r="A6057" t="inlineStr"/>
      <c r="B6057" t="inlineStr"/>
      <c r="C6057" t="inlineStr"/>
      <c r="D6057" t="inlineStr"/>
      <c r="E6057">
        <f>HYPERLINK("https://www.ncbi.nlm.nih.gov/gene/?term=XP_041435826.1", "XP_041435826.1")</f>
        <v/>
      </c>
      <c r="F6057" t="n">
        <v>55.7</v>
      </c>
      <c r="G6057" t="n">
        <v>122</v>
      </c>
      <c r="H6057" t="n">
        <v>1.56e-33</v>
      </c>
      <c r="I6057" t="inlineStr">
        <is>
          <t>Nr</t>
        </is>
      </c>
      <c r="J6057" t="inlineStr"/>
      <c r="K6057" t="inlineStr"/>
      <c r="L6057" t="inlineStr">
        <is>
          <t>XP_041435826.1 uncharacterized protein LOC121399363 [Xenopus laevis]</t>
        </is>
      </c>
      <c r="M6057" t="n">
        <v>682</v>
      </c>
      <c r="N6057" t="inlineStr">
        <is>
          <t>Xenopus laevis</t>
        </is>
      </c>
      <c r="O6057" t="inlineStr">
        <is>
          <t>uncharacterized protein LOC121399363</t>
        </is>
      </c>
    </row>
    <row r="6058">
      <c r="A6058" t="inlineStr"/>
      <c r="B6058" t="inlineStr"/>
      <c r="C6058" t="inlineStr"/>
      <c r="D6058" t="inlineStr"/>
      <c r="E6058">
        <f>HYPERLINK("https://www.ncbi.nlm.nih.gov/gene/?term=XP_040270849.1", "XP_040270849.1")</f>
        <v/>
      </c>
      <c r="F6058" t="n">
        <v>55.6</v>
      </c>
      <c r="G6058" t="n">
        <v>126</v>
      </c>
      <c r="H6058" t="n">
        <v>1.61e-33</v>
      </c>
      <c r="I6058" t="inlineStr">
        <is>
          <t>Nr</t>
        </is>
      </c>
      <c r="J6058" t="inlineStr"/>
      <c r="K6058" t="inlineStr"/>
      <c r="L6058" t="inlineStr">
        <is>
          <t>XP_040270849.1 uncharacterized protein LOC120986377 [Bufo bufo]</t>
        </is>
      </c>
      <c r="M6058" t="n">
        <v>328</v>
      </c>
      <c r="N6058" t="inlineStr">
        <is>
          <t>Bufo bufo</t>
        </is>
      </c>
      <c r="O6058" t="inlineStr">
        <is>
          <t>uncharacterized protein LOC120986377</t>
        </is>
      </c>
    </row>
    <row r="6059">
      <c r="A6059" t="inlineStr"/>
      <c r="B6059" t="inlineStr"/>
      <c r="C6059" t="inlineStr"/>
      <c r="D6059" t="inlineStr"/>
      <c r="E6059">
        <f>HYPERLINK("https://www.ncbi.nlm.nih.gov/gene/?term=XP_044130116.1", "XP_044130116.1")</f>
        <v/>
      </c>
      <c r="F6059" t="n">
        <v>55</v>
      </c>
      <c r="G6059" t="n">
        <v>129</v>
      </c>
      <c r="H6059" t="n">
        <v>1.75e-33</v>
      </c>
      <c r="I6059" t="inlineStr">
        <is>
          <t>Nr</t>
        </is>
      </c>
      <c r="J6059" t="inlineStr"/>
      <c r="K6059" t="inlineStr"/>
      <c r="L6059" t="inlineStr">
        <is>
          <t>XP_044130116.1 solute carrier family 35 member F5 [Bufo gargarizans]</t>
        </is>
      </c>
      <c r="M6059" t="n">
        <v>1106</v>
      </c>
      <c r="N6059" t="inlineStr">
        <is>
          <t>Bufo gargarizans</t>
        </is>
      </c>
      <c r="O6059" t="inlineStr">
        <is>
          <t>solute carrier family 35 member F5</t>
        </is>
      </c>
    </row>
    <row r="6060">
      <c r="A6060" t="inlineStr"/>
      <c r="B6060" t="inlineStr"/>
      <c r="C6060" t="inlineStr"/>
      <c r="D6060" t="inlineStr"/>
      <c r="E6060">
        <f>HYPERLINK("https://www.uniprot.org/uniprotkb/A0A8J1LAE2/entry", "A0A8J1LAE2")</f>
        <v/>
      </c>
      <c r="F6060" t="n">
        <v>38.7</v>
      </c>
      <c r="G6060" t="n">
        <v>204</v>
      </c>
      <c r="H6060" t="n">
        <v>4.28e-33</v>
      </c>
      <c r="I6060" t="inlineStr">
        <is>
          <t>TrEMBL</t>
        </is>
      </c>
      <c r="J6060" t="inlineStr">
        <is>
          <t>MGC115313</t>
        </is>
      </c>
      <c r="K6060" t="inlineStr">
        <is>
          <t>A0A8J1LAE2_XENLA</t>
        </is>
      </c>
      <c r="L6060" t="inlineStr">
        <is>
          <t>tr|A0A8J1LAE2|A0A8J1LAE2_XENLA uncharacterized protein LOC734383 isoform X1 OS=Xenopus laevis OX=8355 GN=MGC115313 PE=4 SV=1</t>
        </is>
      </c>
      <c r="M6060" t="n">
        <v>393</v>
      </c>
      <c r="N6060" t="inlineStr">
        <is>
          <t>Xenopus laevis</t>
        </is>
      </c>
      <c r="O6060" t="inlineStr">
        <is>
          <t>uncharacterized protein LOC734383 isoform X1</t>
        </is>
      </c>
    </row>
    <row r="6061">
      <c r="A6061" t="inlineStr"/>
      <c r="B6061" t="inlineStr"/>
      <c r="C6061" t="inlineStr"/>
      <c r="D6061" t="inlineStr"/>
      <c r="E6061">
        <f>HYPERLINK("https://www.ncbi.nlm.nih.gov/gene/?term=XP_041426492.1", "XP_041426492.1")</f>
        <v/>
      </c>
      <c r="F6061" t="n">
        <v>38.7</v>
      </c>
      <c r="G6061" t="n">
        <v>204</v>
      </c>
      <c r="H6061" t="n">
        <v>1.1e-32</v>
      </c>
      <c r="I6061" t="inlineStr">
        <is>
          <t>Nr</t>
        </is>
      </c>
      <c r="J6061" t="inlineStr"/>
      <c r="K6061" t="inlineStr"/>
      <c r="L6061" t="inlineStr">
        <is>
          <t>XP_041426492.1 uncharacterized protein LOC734383 isoform X1 [Xenopus laevis]</t>
        </is>
      </c>
      <c r="M6061" t="n">
        <v>393</v>
      </c>
      <c r="N6061" t="inlineStr">
        <is>
          <t>Xenopus laevis</t>
        </is>
      </c>
      <c r="O6061" t="inlineStr">
        <is>
          <t>uncharacterized protein LOC734383 isoform X1</t>
        </is>
      </c>
    </row>
    <row r="6062">
      <c r="A6062" t="inlineStr"/>
      <c r="B6062" t="inlineStr"/>
      <c r="C6062" t="inlineStr"/>
      <c r="D6062" t="inlineStr"/>
      <c r="E6062">
        <f>HYPERLINK("https://www.uniprot.org/uniprotkb/A0A8J1KMD2/entry", "A0A8J1KMD2")</f>
        <v/>
      </c>
      <c r="F6062" t="n">
        <v>52.5</v>
      </c>
      <c r="G6062" t="n">
        <v>122</v>
      </c>
      <c r="H6062" t="n">
        <v>3.75e-30</v>
      </c>
      <c r="I6062" t="inlineStr">
        <is>
          <t>TrEMBL</t>
        </is>
      </c>
      <c r="J6062" t="inlineStr">
        <is>
          <t>LOC121393601</t>
        </is>
      </c>
      <c r="K6062" t="inlineStr">
        <is>
          <t>A0A8J1KMD2_XENLA</t>
        </is>
      </c>
      <c r="L6062" t="inlineStr">
        <is>
          <t>tr|A0A8J1KMD2|A0A8J1KMD2_XENLA ribonuclease H OS=Xenopus laevis OX=8355 GN=LOC121393601 PE=3 SV=1</t>
        </is>
      </c>
      <c r="M6062" t="n">
        <v>1091</v>
      </c>
      <c r="N6062" t="inlineStr">
        <is>
          <t>Xenopus laevis</t>
        </is>
      </c>
      <c r="O6062" t="inlineStr">
        <is>
          <t>ribonuclease H</t>
        </is>
      </c>
    </row>
    <row r="6063">
      <c r="A6063" t="inlineStr"/>
      <c r="B6063" t="inlineStr"/>
      <c r="C6063" t="inlineStr"/>
      <c r="D6063" t="inlineStr"/>
      <c r="E6063">
        <f>HYPERLINK("https://www.uniprot.org/uniprotkb/A0A8J1LVD3/entry", "A0A8J1LVD3")</f>
        <v/>
      </c>
      <c r="F6063" t="n">
        <v>50.8</v>
      </c>
      <c r="G6063" t="n">
        <v>122</v>
      </c>
      <c r="H6063" t="n">
        <v>8.08e-30</v>
      </c>
      <c r="I6063" t="inlineStr">
        <is>
          <t>TrEMBL</t>
        </is>
      </c>
      <c r="J6063" t="inlineStr">
        <is>
          <t>LOC121398305</t>
        </is>
      </c>
      <c r="K6063" t="inlineStr">
        <is>
          <t>A0A8J1LVD3_XENLA</t>
        </is>
      </c>
      <c r="L6063" t="inlineStr">
        <is>
          <t>tr|A0A8J1LVD3|A0A8J1LVD3_XENLA uncharacterized protein LOC121398305 OS=Xenopus laevis OX=8355 GN=LOC121398305 PE=4 SV=1</t>
        </is>
      </c>
      <c r="M6063" t="n">
        <v>485</v>
      </c>
      <c r="N6063" t="inlineStr">
        <is>
          <t>Xenopus laevis</t>
        </is>
      </c>
      <c r="O6063" t="inlineStr">
        <is>
          <t>uncharacterized protein LOC121398305</t>
        </is>
      </c>
    </row>
    <row r="6064">
      <c r="A6064" t="inlineStr"/>
      <c r="B6064" t="inlineStr"/>
      <c r="C6064" t="inlineStr"/>
      <c r="D6064" t="inlineStr"/>
      <c r="E6064">
        <f>HYPERLINK("https://www.ncbi.nlm.nih.gov/gene/?term=XP_041418470.1", "XP_041418470.1")</f>
        <v/>
      </c>
      <c r="F6064" t="n">
        <v>52.5</v>
      </c>
      <c r="G6064" t="n">
        <v>122</v>
      </c>
      <c r="H6064" t="n">
        <v>9.639999999999999e-30</v>
      </c>
      <c r="I6064" t="inlineStr">
        <is>
          <t>Nr</t>
        </is>
      </c>
      <c r="J6064" t="inlineStr"/>
      <c r="K6064" t="inlineStr"/>
      <c r="L6064" t="inlineStr">
        <is>
          <t>XP_041418470.1 uncharacterized protein LOC121393601 [Xenopus laevis]</t>
        </is>
      </c>
      <c r="M6064" t="n">
        <v>1091</v>
      </c>
      <c r="N6064" t="inlineStr">
        <is>
          <t>Xenopus laevis</t>
        </is>
      </c>
      <c r="O6064" t="inlineStr">
        <is>
          <t>uncharacterized protein LOC121393601</t>
        </is>
      </c>
    </row>
    <row r="6065">
      <c r="A6065" t="inlineStr"/>
      <c r="B6065" t="inlineStr"/>
      <c r="C6065" t="inlineStr"/>
      <c r="D6065" t="inlineStr"/>
      <c r="E6065">
        <f>HYPERLINK("https://www.ncbi.nlm.nih.gov/gene/?term=XP_041433304.1", "XP_041433304.1")</f>
        <v/>
      </c>
      <c r="F6065" t="n">
        <v>50.8</v>
      </c>
      <c r="G6065" t="n">
        <v>122</v>
      </c>
      <c r="H6065" t="n">
        <v>2.08e-29</v>
      </c>
      <c r="I6065" t="inlineStr">
        <is>
          <t>Nr</t>
        </is>
      </c>
      <c r="J6065" t="inlineStr"/>
      <c r="K6065" t="inlineStr"/>
      <c r="L6065" t="inlineStr">
        <is>
          <t>XP_041433304.1 uncharacterized protein LOC121398305 [Xenopus laevis]</t>
        </is>
      </c>
      <c r="M6065" t="n">
        <v>485</v>
      </c>
      <c r="N6065" t="inlineStr">
        <is>
          <t>Xenopus laevis</t>
        </is>
      </c>
      <c r="O6065" t="inlineStr">
        <is>
          <t>uncharacterized protein LOC121398305</t>
        </is>
      </c>
    </row>
    <row r="6066">
      <c r="A6066" t="inlineStr"/>
      <c r="B6066" t="inlineStr"/>
      <c r="C6066" t="inlineStr"/>
      <c r="D6066" t="inlineStr"/>
      <c r="E6066">
        <f>HYPERLINK("https://www.uniprot.org/uniprotkb/A0A803JXE6/entry", "A0A803JXE6")</f>
        <v/>
      </c>
      <c r="F6066" t="n">
        <v>42.4</v>
      </c>
      <c r="G6066" t="n">
        <v>165</v>
      </c>
      <c r="H6066" t="n">
        <v>5.23e-27</v>
      </c>
      <c r="I6066" t="inlineStr">
        <is>
          <t>TrEMBL</t>
        </is>
      </c>
      <c r="J6066" t="inlineStr"/>
      <c r="K6066" t="inlineStr">
        <is>
          <t>A0A803JXE6_XENTR</t>
        </is>
      </c>
      <c r="L6066" t="inlineStr">
        <is>
          <t>tr|A0A803JXE6|A0A803JXE6_XENTR LAP2alpha domain-containing protein OS=Xenopus tropicalis OX=8364 PE=4 SV=1</t>
        </is>
      </c>
      <c r="M6066" t="n">
        <v>460</v>
      </c>
      <c r="N6066" t="inlineStr">
        <is>
          <t>Xenopus tropicalis</t>
        </is>
      </c>
      <c r="O6066" t="inlineStr">
        <is>
          <t>LAP2alpha domain-containing protein</t>
        </is>
      </c>
    </row>
    <row r="6067">
      <c r="A6067" t="inlineStr"/>
      <c r="B6067" t="inlineStr"/>
      <c r="C6067" t="inlineStr"/>
      <c r="D6067" t="inlineStr"/>
      <c r="E6067">
        <f>HYPERLINK("https://www.ncbi.nlm.nih.gov/gene/?term=XP_014344483.1", "XP_014344483.1")</f>
        <v/>
      </c>
      <c r="F6067" t="n">
        <v>34.5</v>
      </c>
      <c r="G6067" t="n">
        <v>220</v>
      </c>
      <c r="H6067" t="n">
        <v>1.15e-26</v>
      </c>
      <c r="I6067" t="inlineStr">
        <is>
          <t>Nr</t>
        </is>
      </c>
      <c r="J6067" t="inlineStr"/>
      <c r="K6067" t="inlineStr"/>
      <c r="L6067" t="inlineStr">
        <is>
          <t>XP_014344483.1 PREDICTED: uncharacterized protein LOC106703684 [Latimeria chalumnae]</t>
        </is>
      </c>
      <c r="M6067" t="n">
        <v>259</v>
      </c>
      <c r="N6067" t="inlineStr">
        <is>
          <t>Latimeria chalumnae</t>
        </is>
      </c>
      <c r="O6067" t="inlineStr">
        <is>
          <t>PREDICTED: uncharacterized protein LOC106703684</t>
        </is>
      </c>
    </row>
    <row r="6068">
      <c r="A6068" t="inlineStr"/>
      <c r="B6068" t="inlineStr"/>
      <c r="C6068" t="inlineStr"/>
      <c r="D6068" t="inlineStr"/>
      <c r="E6068">
        <f>HYPERLINK("https://www.uniprot.org/uniprotkb/A0A8J1MZ44/entry", "A0A8J1MZ44")</f>
        <v/>
      </c>
      <c r="F6068" t="n">
        <v>50</v>
      </c>
      <c r="G6068" t="n">
        <v>122</v>
      </c>
      <c r="H6068" t="n">
        <v>2.64e-26</v>
      </c>
      <c r="I6068" t="inlineStr">
        <is>
          <t>TrEMBL</t>
        </is>
      </c>
      <c r="J6068" t="inlineStr">
        <is>
          <t>LOC121403038</t>
        </is>
      </c>
      <c r="K6068" t="inlineStr">
        <is>
          <t>A0A8J1MZ44_XENLA</t>
        </is>
      </c>
      <c r="L6068" t="inlineStr">
        <is>
          <t>tr|A0A8J1MZ44|A0A8J1MZ44_XENLA ribonuclease H OS=Xenopus laevis OX=8355 GN=LOC121403038 PE=3 SV=1</t>
        </is>
      </c>
      <c r="M6068" t="n">
        <v>852</v>
      </c>
      <c r="N6068" t="inlineStr">
        <is>
          <t>Xenopus laevis</t>
        </is>
      </c>
      <c r="O6068" t="inlineStr">
        <is>
          <t>ribonuclease H</t>
        </is>
      </c>
    </row>
    <row r="6069">
      <c r="A6069" t="inlineStr"/>
      <c r="B6069" t="inlineStr"/>
      <c r="C6069" t="inlineStr"/>
      <c r="D6069" t="inlineStr"/>
      <c r="E6069">
        <f>HYPERLINK("https://www.ncbi.nlm.nih.gov/gene/?term=XP_041446270.1", "XP_041446270.1")</f>
        <v/>
      </c>
      <c r="F6069" t="n">
        <v>50</v>
      </c>
      <c r="G6069" t="n">
        <v>122</v>
      </c>
      <c r="H6069" t="n">
        <v>6.78e-26</v>
      </c>
      <c r="I6069" t="inlineStr">
        <is>
          <t>Nr</t>
        </is>
      </c>
      <c r="J6069" t="inlineStr"/>
      <c r="K6069" t="inlineStr"/>
      <c r="L6069" t="inlineStr">
        <is>
          <t>XP_041446270.1 uncharacterized protein LOC121403038 [Xenopus laevis]</t>
        </is>
      </c>
      <c r="M6069" t="n">
        <v>852</v>
      </c>
      <c r="N6069" t="inlineStr">
        <is>
          <t>Xenopus laevis</t>
        </is>
      </c>
      <c r="O6069" t="inlineStr">
        <is>
          <t>uncharacterized protein LOC121403038</t>
        </is>
      </c>
    </row>
    <row r="6070">
      <c r="A6070" t="inlineStr"/>
      <c r="B6070" t="inlineStr"/>
      <c r="C6070" t="inlineStr"/>
      <c r="D6070" t="inlineStr"/>
      <c r="E6070">
        <f>HYPERLINK("https://www.uniprot.org/uniprotkb/A0A8J0T7W0/entry", "A0A8J0T7W0")</f>
        <v/>
      </c>
      <c r="F6070" t="n">
        <v>39.3</v>
      </c>
      <c r="G6070" t="n">
        <v>163</v>
      </c>
      <c r="H6070" t="n">
        <v>1.11e-25</v>
      </c>
      <c r="I6070" t="inlineStr">
        <is>
          <t>TrEMBL</t>
        </is>
      </c>
      <c r="J6070" t="inlineStr">
        <is>
          <t>LOC108697988</t>
        </is>
      </c>
      <c r="K6070" t="inlineStr">
        <is>
          <t>A0A8J0T7W0_XENLA</t>
        </is>
      </c>
      <c r="L6070" t="inlineStr">
        <is>
          <t>tr|A0A8J0T7W0|A0A8J0T7W0_XENLA lamina-associated polypeptide 2-like OS=Xenopus laevis OX=8355 GN=LOC108697988 PE=4 SV=1</t>
        </is>
      </c>
      <c r="M6070" t="n">
        <v>476</v>
      </c>
      <c r="N6070" t="inlineStr">
        <is>
          <t>Xenopus laevis</t>
        </is>
      </c>
      <c r="O6070" t="inlineStr">
        <is>
          <t>lamina-associated polypeptide 2-like</t>
        </is>
      </c>
    </row>
    <row r="6071">
      <c r="A6071" t="inlineStr"/>
      <c r="B6071" t="inlineStr"/>
      <c r="C6071" t="inlineStr"/>
      <c r="D6071" t="inlineStr"/>
      <c r="E6071">
        <f>HYPERLINK("https://www.uniprot.org/uniprotkb/A0A8J1M8F0/entry", "A0A8J1M8F0")</f>
        <v/>
      </c>
      <c r="F6071" t="n">
        <v>50.8</v>
      </c>
      <c r="G6071" t="n">
        <v>122</v>
      </c>
      <c r="H6071" t="n">
        <v>1.33e-25</v>
      </c>
      <c r="I6071" t="inlineStr">
        <is>
          <t>TrEMBL</t>
        </is>
      </c>
      <c r="J6071" t="inlineStr">
        <is>
          <t>pfkfb2.L</t>
        </is>
      </c>
      <c r="K6071" t="inlineStr">
        <is>
          <t>A0A8J1M8F0_XENLA</t>
        </is>
      </c>
      <c r="L6071" t="inlineStr">
        <is>
          <t>tr|A0A8J1M8F0|A0A8J1M8F0_XENLA ribonuclease H OS=Xenopus laevis OX=8355 GN=pfkfb2.L PE=3 SV=1</t>
        </is>
      </c>
      <c r="M6071" t="n">
        <v>615</v>
      </c>
      <c r="N6071" t="inlineStr">
        <is>
          <t>Xenopus laevis</t>
        </is>
      </c>
      <c r="O6071" t="inlineStr">
        <is>
          <t>ribonuclease H</t>
        </is>
      </c>
    </row>
    <row r="6072">
      <c r="A6072" t="inlineStr"/>
      <c r="B6072" t="inlineStr"/>
      <c r="C6072" t="inlineStr"/>
      <c r="D6072" t="inlineStr"/>
      <c r="E6072">
        <f>HYPERLINK("https://www.ncbi.nlm.nih.gov/gene/?term=XP_018083934.2", "XP_018083934.2")</f>
        <v/>
      </c>
      <c r="F6072" t="n">
        <v>39.3</v>
      </c>
      <c r="G6072" t="n">
        <v>163</v>
      </c>
      <c r="H6072" t="n">
        <v>2.85e-25</v>
      </c>
      <c r="I6072" t="inlineStr">
        <is>
          <t>Nr</t>
        </is>
      </c>
      <c r="J6072" t="inlineStr"/>
      <c r="K6072" t="inlineStr"/>
      <c r="L6072" t="inlineStr">
        <is>
          <t>XP_018083934.2 lamina-associated polypeptide 2-like [Xenopus laevis]</t>
        </is>
      </c>
      <c r="M6072" t="n">
        <v>476</v>
      </c>
      <c r="N6072" t="inlineStr">
        <is>
          <t>Xenopus laevis</t>
        </is>
      </c>
      <c r="O6072" t="inlineStr">
        <is>
          <t>lamina-associated polypeptide 2-like</t>
        </is>
      </c>
    </row>
    <row r="6073">
      <c r="A6073" t="inlineStr"/>
      <c r="B6073" t="inlineStr"/>
      <c r="C6073" t="inlineStr"/>
      <c r="D6073" t="inlineStr"/>
      <c r="E6073">
        <f>HYPERLINK("https://www.ncbi.nlm.nih.gov/gene/?term=XP_041437982.1", "XP_041437982.1")</f>
        <v/>
      </c>
      <c r="F6073" t="n">
        <v>50.8</v>
      </c>
      <c r="G6073" t="n">
        <v>122</v>
      </c>
      <c r="H6073" t="n">
        <v>3.42e-25</v>
      </c>
      <c r="I6073" t="inlineStr">
        <is>
          <t>Nr</t>
        </is>
      </c>
      <c r="J6073" t="inlineStr"/>
      <c r="K6073" t="inlineStr"/>
      <c r="L6073" t="inlineStr">
        <is>
          <t>XP_041437982.1 uncharacterized protein pfkfb2.L isoform X1 [Xenopus laevis]</t>
        </is>
      </c>
      <c r="M6073" t="n">
        <v>615</v>
      </c>
      <c r="N6073" t="inlineStr">
        <is>
          <t>Xenopus laevis</t>
        </is>
      </c>
      <c r="O6073" t="inlineStr">
        <is>
          <t>uncharacterized protein pfkfb2.L isoform X1</t>
        </is>
      </c>
    </row>
    <row r="6074">
      <c r="A6074" t="inlineStr"/>
      <c r="B6074" t="inlineStr"/>
      <c r="C6074" t="inlineStr"/>
      <c r="D6074" t="inlineStr"/>
      <c r="E6074">
        <f>HYPERLINK("https://www.uniprot.org/uniprotkb/A0A8J1L557/entry", "A0A8J1L557")</f>
        <v/>
      </c>
      <c r="F6074" t="n">
        <v>43.2</v>
      </c>
      <c r="G6074" t="n">
        <v>148</v>
      </c>
      <c r="H6074" t="n">
        <v>1.29e-24</v>
      </c>
      <c r="I6074" t="inlineStr">
        <is>
          <t>TrEMBL</t>
        </is>
      </c>
      <c r="J6074" t="inlineStr">
        <is>
          <t>LOC121395370</t>
        </is>
      </c>
      <c r="K6074" t="inlineStr">
        <is>
          <t>A0A8J1L557_XENLA</t>
        </is>
      </c>
      <c r="L6074" t="inlineStr">
        <is>
          <t>tr|A0A8J1L557|A0A8J1L557_XENLA lamina-associated polypeptide 2, isoforms alpha/zeta-like OS=Xenopus laevis OX=8355 GN=LOC121395370 PE=4 SV=1</t>
        </is>
      </c>
      <c r="M6074" t="n">
        <v>506</v>
      </c>
      <c r="N6074" t="inlineStr">
        <is>
          <t>Xenopus laevis</t>
        </is>
      </c>
      <c r="O6074" t="inlineStr">
        <is>
          <t>lamina-associated polypeptide 2, isoforms alpha/zeta-like</t>
        </is>
      </c>
    </row>
    <row r="6075">
      <c r="A6075" t="inlineStr"/>
      <c r="B6075" t="inlineStr"/>
      <c r="C6075" t="inlineStr"/>
      <c r="D6075" t="inlineStr"/>
      <c r="E6075">
        <f>HYPERLINK("https://www.ncbi.nlm.nih.gov/gene/?term=XP_041424692.1", "XP_041424692.1")</f>
        <v/>
      </c>
      <c r="F6075" t="n">
        <v>43.2</v>
      </c>
      <c r="G6075" t="n">
        <v>148</v>
      </c>
      <c r="H6075" t="n">
        <v>3.33e-24</v>
      </c>
      <c r="I6075" t="inlineStr">
        <is>
          <t>Nr</t>
        </is>
      </c>
      <c r="J6075" t="inlineStr"/>
      <c r="K6075" t="inlineStr"/>
      <c r="L6075" t="inlineStr">
        <is>
          <t>XP_041424692.1 lamina-associated polypeptide 2, isoforms alpha/zeta-like [Xenopus laevis]</t>
        </is>
      </c>
      <c r="M6075" t="n">
        <v>506</v>
      </c>
      <c r="N6075" t="inlineStr">
        <is>
          <t>Xenopus laevis</t>
        </is>
      </c>
      <c r="O6075" t="inlineStr">
        <is>
          <t>lamina-associated polypeptide 2, isoforms alpha/zeta-like</t>
        </is>
      </c>
    </row>
    <row r="6076">
      <c r="A6076" t="inlineStr"/>
      <c r="B6076" t="inlineStr"/>
      <c r="C6076" t="inlineStr"/>
      <c r="D6076" t="inlineStr"/>
      <c r="E6076">
        <f>HYPERLINK("https://www.uniprot.org/uniprotkb/A0A8J1M3D4/entry", "A0A8J1M3D4")</f>
        <v/>
      </c>
      <c r="F6076" t="n">
        <v>37.9</v>
      </c>
      <c r="G6076" t="n">
        <v>145</v>
      </c>
      <c r="H6076" t="n">
        <v>5.87e-24</v>
      </c>
      <c r="I6076" t="inlineStr">
        <is>
          <t>TrEMBL</t>
        </is>
      </c>
      <c r="J6076" t="inlineStr">
        <is>
          <t>LOC121399479</t>
        </is>
      </c>
      <c r="K6076" t="inlineStr">
        <is>
          <t>A0A8J1M3D4_XENLA</t>
        </is>
      </c>
      <c r="L6076" t="inlineStr">
        <is>
          <t>tr|A0A8J1M3D4|A0A8J1M3D4_XENLA lamina-associated polypeptide 2-like OS=Xenopus laevis OX=8355 GN=LOC121399479 PE=4 SV=1</t>
        </is>
      </c>
      <c r="M6076" t="n">
        <v>342</v>
      </c>
      <c r="N6076" t="inlineStr">
        <is>
          <t>Xenopus laevis</t>
        </is>
      </c>
      <c r="O6076" t="inlineStr">
        <is>
          <t>lamina-associated polypeptide 2-like</t>
        </is>
      </c>
    </row>
    <row r="6077">
      <c r="A6077" t="inlineStr"/>
      <c r="B6077" t="inlineStr"/>
      <c r="C6077" t="inlineStr"/>
      <c r="D6077" t="inlineStr"/>
      <c r="E6077">
        <f>HYPERLINK("https://www.ncbi.nlm.nih.gov/gene/?term=XP_029446932.1", "XP_029446932.1")</f>
        <v/>
      </c>
      <c r="F6077" t="n">
        <v>34.4</v>
      </c>
      <c r="G6077" t="n">
        <v>221</v>
      </c>
      <c r="H6077" t="n">
        <v>1.23e-23</v>
      </c>
      <c r="I6077" t="inlineStr">
        <is>
          <t>Nr</t>
        </is>
      </c>
      <c r="J6077" t="inlineStr"/>
      <c r="K6077" t="inlineStr"/>
      <c r="L6077" t="inlineStr">
        <is>
          <t>XP_029446932.1 uncharacterized protein LOC115085256 [Rhinatrema bivittatum]</t>
        </is>
      </c>
      <c r="M6077" t="n">
        <v>455</v>
      </c>
      <c r="N6077" t="inlineStr">
        <is>
          <t>Rhinatrema bivittatum</t>
        </is>
      </c>
      <c r="O6077" t="inlineStr">
        <is>
          <t>uncharacterized protein LOC115085256</t>
        </is>
      </c>
    </row>
    <row r="6078">
      <c r="A6078" t="inlineStr"/>
      <c r="B6078" t="inlineStr"/>
      <c r="C6078" t="inlineStr"/>
      <c r="D6078" t="inlineStr"/>
      <c r="E6078">
        <f>HYPERLINK("https://www.ncbi.nlm.nih.gov/gene/?term=XP_040266363.1", "XP_040266363.1")</f>
        <v/>
      </c>
      <c r="F6078" t="n">
        <v>43.9</v>
      </c>
      <c r="G6078" t="n">
        <v>123</v>
      </c>
      <c r="H6078" t="n">
        <v>1.47e-23</v>
      </c>
      <c r="I6078" t="inlineStr">
        <is>
          <t>Nr</t>
        </is>
      </c>
      <c r="J6078" t="inlineStr"/>
      <c r="K6078" t="inlineStr"/>
      <c r="L6078" t="inlineStr">
        <is>
          <t>XP_040266363.1 uncharacterized protein LOC120980993 [Bufo bufo]</t>
        </is>
      </c>
      <c r="M6078" t="n">
        <v>246</v>
      </c>
      <c r="N6078" t="inlineStr">
        <is>
          <t>Bufo bufo</t>
        </is>
      </c>
      <c r="O6078" t="inlineStr">
        <is>
          <t>uncharacterized protein LOC120980993</t>
        </is>
      </c>
    </row>
    <row r="6079">
      <c r="A6079" t="inlineStr"/>
      <c r="B6079" t="inlineStr"/>
      <c r="C6079" t="inlineStr"/>
      <c r="D6079" t="inlineStr"/>
      <c r="E6079">
        <f>HYPERLINK("https://www.ncbi.nlm.nih.gov/gene/?term=XP_041436207.1", "XP_041436207.1")</f>
        <v/>
      </c>
      <c r="F6079" t="n">
        <v>37.9</v>
      </c>
      <c r="G6079" t="n">
        <v>145</v>
      </c>
      <c r="H6079" t="n">
        <v>1.51e-23</v>
      </c>
      <c r="I6079" t="inlineStr">
        <is>
          <t>Nr</t>
        </is>
      </c>
      <c r="J6079" t="inlineStr"/>
      <c r="K6079" t="inlineStr"/>
      <c r="L6079" t="inlineStr">
        <is>
          <t>XP_041436207.1 lamina-associated polypeptide 2-like [Xenopus laevis]</t>
        </is>
      </c>
      <c r="M6079" t="n">
        <v>342</v>
      </c>
      <c r="N6079" t="inlineStr">
        <is>
          <t>Xenopus laevis</t>
        </is>
      </c>
      <c r="O6079" t="inlineStr">
        <is>
          <t>lamina-associated polypeptide 2-like</t>
        </is>
      </c>
    </row>
    <row r="6080">
      <c r="A6080" t="inlineStr"/>
      <c r="B6080" t="inlineStr"/>
      <c r="C6080" t="inlineStr"/>
      <c r="D6080" t="inlineStr"/>
      <c r="E6080">
        <f>HYPERLINK("https://www.uniprot.org/uniprotkb/A0A2D4MBB0/entry", "A0A2D4MBB0")</f>
        <v/>
      </c>
      <c r="F6080" t="n">
        <v>44.3</v>
      </c>
      <c r="G6080" t="n">
        <v>122</v>
      </c>
      <c r="H6080" t="n">
        <v>3.29e-23</v>
      </c>
      <c r="I6080" t="inlineStr">
        <is>
          <t>TrEMBL</t>
        </is>
      </c>
      <c r="J6080" t="inlineStr"/>
      <c r="K6080" t="inlineStr">
        <is>
          <t>A0A2D4MBB0_9SAUR</t>
        </is>
      </c>
      <c r="L6080" t="inlineStr">
        <is>
          <t>tr|A0A2D4MBB0|A0A2D4MBB0_9SAUR XRE family transcriptional regulator (Fragment) OS=Micrurus spixii OX=129469 PE=4 SV=1</t>
        </is>
      </c>
      <c r="M6080" t="n">
        <v>126</v>
      </c>
      <c r="N6080" t="inlineStr">
        <is>
          <t>Micrurus spixii</t>
        </is>
      </c>
      <c r="O6080" t="inlineStr">
        <is>
          <t>XRE family transcriptional regulator (Fragment)</t>
        </is>
      </c>
    </row>
    <row r="6081">
      <c r="A6081" t="inlineStr"/>
      <c r="B6081" t="inlineStr"/>
      <c r="C6081" t="inlineStr"/>
      <c r="D6081" t="inlineStr"/>
      <c r="E6081">
        <f>HYPERLINK("https://www.uniprot.org/uniprotkb/A0A2D4MCD5/entry", "A0A2D4MCD5")</f>
        <v/>
      </c>
      <c r="F6081" t="n">
        <v>43.4</v>
      </c>
      <c r="G6081" t="n">
        <v>122</v>
      </c>
      <c r="H6081" t="n">
        <v>1.06e-22</v>
      </c>
      <c r="I6081" t="inlineStr">
        <is>
          <t>TrEMBL</t>
        </is>
      </c>
      <c r="J6081" t="inlineStr"/>
      <c r="K6081" t="inlineStr">
        <is>
          <t>A0A2D4MCD5_9SAUR</t>
        </is>
      </c>
      <c r="L6081" t="inlineStr">
        <is>
          <t>tr|A0A2D4MCD5|A0A2D4MCD5_9SAUR Photolyase/cryptochrome alpha/beta domain-containing protein (Fragment) OS=Micrurus spixii OX=129469 PE=4 SV=1</t>
        </is>
      </c>
      <c r="M6081" t="n">
        <v>131</v>
      </c>
      <c r="N6081" t="inlineStr">
        <is>
          <t>Micrurus spixii</t>
        </is>
      </c>
      <c r="O6081" t="inlineStr">
        <is>
          <t>Photolyase/cryptochrome alpha/beta domain-containing protein (Fragment)</t>
        </is>
      </c>
    </row>
    <row r="6082">
      <c r="A6082" t="inlineStr"/>
      <c r="B6082" t="inlineStr"/>
      <c r="C6082" t="inlineStr"/>
      <c r="D6082" t="inlineStr"/>
      <c r="E6082">
        <f>HYPERLINK("https://www.uniprot.org/uniprotkb/A0A803JZ17/entry", "A0A803JZ17")</f>
        <v/>
      </c>
      <c r="F6082" t="n">
        <v>37.5</v>
      </c>
      <c r="G6082" t="n">
        <v>168</v>
      </c>
      <c r="H6082" t="n">
        <v>1.3e-22</v>
      </c>
      <c r="I6082" t="inlineStr">
        <is>
          <t>TrEMBL</t>
        </is>
      </c>
      <c r="J6082" t="inlineStr"/>
      <c r="K6082" t="inlineStr">
        <is>
          <t>A0A803JZ17_XENTR</t>
        </is>
      </c>
      <c r="L6082" t="inlineStr">
        <is>
          <t>tr|A0A803JZ17|A0A803JZ17_XENTR LAP2alpha domain-containing protein OS=Xenopus tropicalis OX=8364 PE=4 SV=1</t>
        </is>
      </c>
      <c r="M6082" t="n">
        <v>481</v>
      </c>
      <c r="N6082" t="inlineStr">
        <is>
          <t>Xenopus tropicalis</t>
        </is>
      </c>
      <c r="O6082" t="inlineStr">
        <is>
          <t>LAP2alpha domain-containing protein</t>
        </is>
      </c>
    </row>
    <row r="6083">
      <c r="A6083" t="inlineStr"/>
      <c r="B6083" t="inlineStr"/>
      <c r="C6083" t="inlineStr"/>
      <c r="D6083" t="inlineStr"/>
      <c r="E6083">
        <f>HYPERLINK("https://www.uniprot.org/uniprotkb/A0A1B8YAA6/entry", "A0A1B8YAA6")</f>
        <v/>
      </c>
      <c r="F6083" t="n">
        <v>37.8</v>
      </c>
      <c r="G6083" t="n">
        <v>156</v>
      </c>
      <c r="H6083" t="n">
        <v>1.49e-22</v>
      </c>
      <c r="I6083" t="inlineStr">
        <is>
          <t>TrEMBL</t>
        </is>
      </c>
      <c r="J6083" t="inlineStr">
        <is>
          <t>XENTR_v90026799mg</t>
        </is>
      </c>
      <c r="K6083" t="inlineStr">
        <is>
          <t>A0A1B8YAA6_XENTR</t>
        </is>
      </c>
      <c r="L6083" t="inlineStr">
        <is>
          <t>tr|A0A1B8YAA6|A0A1B8YAA6_XENTR LAP2alpha domain-containing protein OS=Xenopus tropicalis OX=8364 GN=XENTR_v90026799mg PE=4 SV=1</t>
        </is>
      </c>
      <c r="M6083" t="n">
        <v>278</v>
      </c>
      <c r="N6083" t="inlineStr">
        <is>
          <t>Xenopus tropicalis</t>
        </is>
      </c>
      <c r="O6083" t="inlineStr">
        <is>
          <t>LAP2alpha domain-containing protein</t>
        </is>
      </c>
    </row>
    <row r="6084">
      <c r="A6084" t="inlineStr"/>
      <c r="B6084" t="inlineStr"/>
      <c r="C6084" t="inlineStr"/>
      <c r="D6084" t="inlineStr"/>
      <c r="E6084">
        <f>HYPERLINK("https://www.uniprot.org/uniprotkb/A0A2D4LGH1/entry", "A0A2D4LGH1")</f>
        <v/>
      </c>
      <c r="F6084" t="n">
        <v>44.3</v>
      </c>
      <c r="G6084" t="n">
        <v>122</v>
      </c>
      <c r="H6084" t="n">
        <v>3.42e-22</v>
      </c>
      <c r="I6084" t="inlineStr">
        <is>
          <t>TrEMBL</t>
        </is>
      </c>
      <c r="J6084" t="inlineStr"/>
      <c r="K6084" t="inlineStr">
        <is>
          <t>A0A2D4LGH1_9SAUR</t>
        </is>
      </c>
      <c r="L6084" t="inlineStr">
        <is>
          <t>tr|A0A2D4LGH1|A0A2D4LGH1_9SAUR Tick transposon (Fragment) OS=Micrurus spixii OX=129469 PE=4 SV=1</t>
        </is>
      </c>
      <c r="M6084" t="n">
        <v>149</v>
      </c>
      <c r="N6084" t="inlineStr">
        <is>
          <t>Micrurus spixii</t>
        </is>
      </c>
      <c r="O6084" t="inlineStr">
        <is>
          <t>Tick transposon (Fragment)</t>
        </is>
      </c>
    </row>
    <row r="6085">
      <c r="A6085" t="inlineStr"/>
      <c r="B6085" t="inlineStr"/>
      <c r="C6085" t="inlineStr"/>
      <c r="D6085" t="inlineStr"/>
      <c r="E6085">
        <f>HYPERLINK("https://www.uniprot.org/uniprotkb/A0A8J1M324/entry", "A0A8J1M324")</f>
        <v/>
      </c>
      <c r="F6085" t="n">
        <v>35.1</v>
      </c>
      <c r="G6085" t="n">
        <v>148</v>
      </c>
      <c r="H6085" t="n">
        <v>1.33e-21</v>
      </c>
      <c r="I6085" t="inlineStr">
        <is>
          <t>TrEMBL</t>
        </is>
      </c>
      <c r="J6085" t="inlineStr">
        <is>
          <t>LOC121399443</t>
        </is>
      </c>
      <c r="K6085" t="inlineStr">
        <is>
          <t>A0A8J1M324_XENLA</t>
        </is>
      </c>
      <c r="L6085" t="inlineStr">
        <is>
          <t>tr|A0A8J1M324|A0A8J1M324_XENLA lamina-associated polypeptide 2-like OS=Xenopus laevis OX=8355 GN=LOC121399443 PE=4 SV=1</t>
        </is>
      </c>
      <c r="M6085" t="n">
        <v>449</v>
      </c>
      <c r="N6085" t="inlineStr">
        <is>
          <t>Xenopus laevis</t>
        </is>
      </c>
      <c r="O6085" t="inlineStr">
        <is>
          <t>lamina-associated polypeptide 2-like</t>
        </is>
      </c>
    </row>
    <row r="6086">
      <c r="A6086" t="inlineStr"/>
      <c r="B6086" t="inlineStr"/>
      <c r="C6086" t="inlineStr"/>
      <c r="D6086" t="inlineStr"/>
      <c r="E6086">
        <f>HYPERLINK("https://www.uniprot.org/uniprotkb/A0A8J1KRW9/entry", "A0A8J1KRW9")</f>
        <v/>
      </c>
      <c r="F6086" t="n">
        <v>35.1</v>
      </c>
      <c r="G6086" t="n">
        <v>148</v>
      </c>
      <c r="H6086" t="n">
        <v>1.33e-21</v>
      </c>
      <c r="I6086" t="inlineStr">
        <is>
          <t>TrEMBL</t>
        </is>
      </c>
      <c r="J6086" t="inlineStr">
        <is>
          <t>LOC121394105</t>
        </is>
      </c>
      <c r="K6086" t="inlineStr">
        <is>
          <t>A0A8J1KRW9_XENLA</t>
        </is>
      </c>
      <c r="L6086" t="inlineStr">
        <is>
          <t>tr|A0A8J1KRW9|A0A8J1KRW9_XENLA lamina-associated polypeptide 2-like OS=Xenopus laevis OX=8355 GN=LOC121394105 PE=4 SV=1</t>
        </is>
      </c>
      <c r="M6086" t="n">
        <v>449</v>
      </c>
      <c r="N6086" t="inlineStr">
        <is>
          <t>Xenopus laevis</t>
        </is>
      </c>
      <c r="O6086" t="inlineStr">
        <is>
          <t>lamina-associated polypeptide 2-like</t>
        </is>
      </c>
    </row>
    <row r="6087">
      <c r="A6087" t="inlineStr"/>
      <c r="B6087" t="inlineStr"/>
      <c r="C6087" t="inlineStr"/>
      <c r="D6087" t="inlineStr"/>
      <c r="E6087">
        <f>HYPERLINK("https://www.uniprot.org/uniprotkb/A0A8J1LRH6/entry", "A0A8J1LRH6")</f>
        <v/>
      </c>
      <c r="F6087" t="n">
        <v>35.1</v>
      </c>
      <c r="G6087" t="n">
        <v>148</v>
      </c>
      <c r="H6087" t="n">
        <v>1.33e-21</v>
      </c>
      <c r="I6087" t="inlineStr">
        <is>
          <t>TrEMBL</t>
        </is>
      </c>
      <c r="J6087" t="inlineStr">
        <is>
          <t>LOC121397925</t>
        </is>
      </c>
      <c r="K6087" t="inlineStr">
        <is>
          <t>A0A8J1LRH6_XENLA</t>
        </is>
      </c>
      <c r="L6087" t="inlineStr">
        <is>
          <t>tr|A0A8J1LRH6|A0A8J1LRH6_XENLA lamina-associated polypeptide 2-like isoform X2 OS=Xenopus laevis OX=8355 GN=LOC121397925 PE=4 SV=1</t>
        </is>
      </c>
      <c r="M6087" t="n">
        <v>449</v>
      </c>
      <c r="N6087" t="inlineStr">
        <is>
          <t>Xenopus laevis</t>
        </is>
      </c>
      <c r="O6087" t="inlineStr">
        <is>
          <t>lamina-associated polypeptide 2-like isoform X2</t>
        </is>
      </c>
    </row>
    <row r="6088">
      <c r="A6088" t="inlineStr"/>
      <c r="B6088" t="inlineStr"/>
      <c r="C6088" t="inlineStr"/>
      <c r="D6088" t="inlineStr"/>
      <c r="E6088">
        <f>HYPERLINK("https://www.uniprot.org/uniprotkb/A0A8J1MEF7/entry", "A0A8J1MEF7")</f>
        <v/>
      </c>
      <c r="F6088" t="n">
        <v>33.6</v>
      </c>
      <c r="G6088" t="n">
        <v>149</v>
      </c>
      <c r="H6088" t="n">
        <v>1.84e-21</v>
      </c>
      <c r="I6088" t="inlineStr">
        <is>
          <t>TrEMBL</t>
        </is>
      </c>
      <c r="J6088" t="inlineStr">
        <is>
          <t>LOC121400600</t>
        </is>
      </c>
      <c r="K6088" t="inlineStr">
        <is>
          <t>A0A8J1MEF7_XENLA</t>
        </is>
      </c>
      <c r="L6088" t="inlineStr">
        <is>
          <t>tr|A0A8J1MEF7|A0A8J1MEF7_XENLA uncharacterized protein LOC121399189 OS=Xenopus laevis OX=8355 GN=LOC121400600 PE=4 SV=1</t>
        </is>
      </c>
      <c r="M6088" t="n">
        <v>450</v>
      </c>
      <c r="N6088" t="inlineStr">
        <is>
          <t>Xenopus laevis</t>
        </is>
      </c>
      <c r="O6088" t="inlineStr">
        <is>
          <t>uncharacterized protein LOC121399189</t>
        </is>
      </c>
    </row>
    <row r="6089">
      <c r="A6089" t="inlineStr"/>
      <c r="B6089" t="inlineStr"/>
      <c r="C6089" t="inlineStr"/>
      <c r="D6089" t="inlineStr"/>
      <c r="E6089">
        <f>HYPERLINK("https://www.uniprot.org/uniprotkb/A0A6I8R3T5/entry", "A0A6I8R3T5")</f>
        <v/>
      </c>
      <c r="F6089" t="n">
        <v>36</v>
      </c>
      <c r="G6089" t="n">
        <v>178</v>
      </c>
      <c r="H6089" t="n">
        <v>1.88e-21</v>
      </c>
      <c r="I6089" t="inlineStr">
        <is>
          <t>TrEMBL</t>
        </is>
      </c>
      <c r="J6089" t="inlineStr"/>
      <c r="K6089" t="inlineStr">
        <is>
          <t>A0A6I8R3T5_XENTR</t>
        </is>
      </c>
      <c r="L6089" t="inlineStr">
        <is>
          <t>tr|A0A6I8R3T5|A0A6I8R3T5_XENTR Ig-like domain-containing protein OS=Xenopus tropicalis OX=8364 PE=4 SV=2</t>
        </is>
      </c>
      <c r="M6089" t="n">
        <v>453</v>
      </c>
      <c r="N6089" t="inlineStr">
        <is>
          <t>Xenopus tropicalis</t>
        </is>
      </c>
      <c r="O6089" t="inlineStr">
        <is>
          <t>Ig-like domain-containing protein</t>
        </is>
      </c>
    </row>
    <row r="6090">
      <c r="A6090" t="inlineStr"/>
      <c r="B6090" t="inlineStr"/>
      <c r="C6090" t="inlineStr"/>
      <c r="D6090" t="inlineStr"/>
      <c r="E6090">
        <f>HYPERLINK("https://www.uniprot.org/uniprotkb/A0A8J1LMM9/entry", "A0A8J1LMM9")</f>
        <v/>
      </c>
      <c r="F6090" t="n">
        <v>33.6</v>
      </c>
      <c r="G6090" t="n">
        <v>149</v>
      </c>
      <c r="H6090" t="n">
        <v>2.02e-21</v>
      </c>
      <c r="I6090" t="inlineStr">
        <is>
          <t>TrEMBL</t>
        </is>
      </c>
      <c r="J6090" t="inlineStr">
        <is>
          <t>LOC121397579</t>
        </is>
      </c>
      <c r="K6090" t="inlineStr">
        <is>
          <t>A0A8J1LMM9_XENLA</t>
        </is>
      </c>
      <c r="L6090" t="inlineStr">
        <is>
          <t>tr|A0A8J1LMM9|A0A8J1LMM9_XENLA uncharacterized protein LOC121397579 isoform X2 OS=Xenopus laevis OX=8355 GN=LOC121397579 PE=4 SV=1</t>
        </is>
      </c>
      <c r="M6090" t="n">
        <v>464</v>
      </c>
      <c r="N6090" t="inlineStr">
        <is>
          <t>Xenopus laevis</t>
        </is>
      </c>
      <c r="O6090" t="inlineStr">
        <is>
          <t>uncharacterized protein LOC121397579 isoform X2</t>
        </is>
      </c>
    </row>
    <row r="6091">
      <c r="A6091" t="inlineStr"/>
      <c r="B6091" t="inlineStr"/>
      <c r="C6091" t="inlineStr"/>
      <c r="D6091" t="inlineStr"/>
      <c r="E6091">
        <f>HYPERLINK("https://www.uniprot.org/uniprotkb/A0A8J1KT47/entry", "A0A8J1KT47")</f>
        <v/>
      </c>
      <c r="F6091" t="n">
        <v>33.6</v>
      </c>
      <c r="G6091" t="n">
        <v>149</v>
      </c>
      <c r="H6091" t="n">
        <v>2.02e-21</v>
      </c>
      <c r="I6091" t="inlineStr">
        <is>
          <t>TrEMBL</t>
        </is>
      </c>
      <c r="J6091" t="inlineStr">
        <is>
          <t>LOC121394217</t>
        </is>
      </c>
      <c r="K6091" t="inlineStr">
        <is>
          <t>A0A8J1KT47_XENLA</t>
        </is>
      </c>
      <c r="L6091" t="inlineStr">
        <is>
          <t>tr|A0A8J1KT47|A0A8J1KT47_XENLA uncharacterized protein LOC121394217 isoform X2 OS=Xenopus laevis OX=8355 GN=LOC121394217 PE=4 SV=1</t>
        </is>
      </c>
      <c r="M6091" t="n">
        <v>464</v>
      </c>
      <c r="N6091" t="inlineStr">
        <is>
          <t>Xenopus laevis</t>
        </is>
      </c>
      <c r="O6091" t="inlineStr">
        <is>
          <t>uncharacterized protein LOC121394217 isoform X2</t>
        </is>
      </c>
    </row>
    <row r="6092">
      <c r="A6092" t="inlineStr"/>
      <c r="B6092" t="inlineStr"/>
      <c r="C6092" t="inlineStr"/>
      <c r="D6092" t="inlineStr"/>
      <c r="E6092">
        <f>HYPERLINK("https://www.uniprot.org/uniprotkb/A0A8J1KTA1/entry", "A0A8J1KTA1")</f>
        <v/>
      </c>
      <c r="F6092" t="n">
        <v>33.6</v>
      </c>
      <c r="G6092" t="n">
        <v>149</v>
      </c>
      <c r="H6092" t="n">
        <v>2.02e-21</v>
      </c>
      <c r="I6092" t="inlineStr">
        <is>
          <t>TrEMBL</t>
        </is>
      </c>
      <c r="J6092" t="inlineStr">
        <is>
          <t>LOC121394228</t>
        </is>
      </c>
      <c r="K6092" t="inlineStr">
        <is>
          <t>A0A8J1KTA1_XENLA</t>
        </is>
      </c>
      <c r="L6092" t="inlineStr">
        <is>
          <t>tr|A0A8J1KTA1|A0A8J1KTA1_XENLA uncharacterized protein LOC121394228 isoform X2 OS=Xenopus laevis OX=8355 GN=LOC121394228 PE=4 SV=1</t>
        </is>
      </c>
      <c r="M6092" t="n">
        <v>464</v>
      </c>
      <c r="N6092" t="inlineStr">
        <is>
          <t>Xenopus laevis</t>
        </is>
      </c>
      <c r="O6092" t="inlineStr">
        <is>
          <t>uncharacterized protein LOC121394228 isoform X2</t>
        </is>
      </c>
    </row>
    <row r="6093">
      <c r="A6093" t="inlineStr"/>
      <c r="B6093" t="inlineStr"/>
      <c r="C6093" t="inlineStr"/>
      <c r="D6093" t="inlineStr"/>
      <c r="E6093">
        <f>HYPERLINK("https://www.uniprot.org/uniprotkb/A0A803JSN6/entry", "A0A803JSN6")</f>
        <v/>
      </c>
      <c r="F6093" t="n">
        <v>35.8</v>
      </c>
      <c r="G6093" t="n">
        <v>173</v>
      </c>
      <c r="H6093" t="n">
        <v>2.29e-21</v>
      </c>
      <c r="I6093" t="inlineStr">
        <is>
          <t>TrEMBL</t>
        </is>
      </c>
      <c r="J6093" t="inlineStr"/>
      <c r="K6093" t="inlineStr">
        <is>
          <t>A0A803JSN6_XENTR</t>
        </is>
      </c>
      <c r="L6093" t="inlineStr">
        <is>
          <t>tr|A0A803JSN6|A0A803JSN6_XENTR LAP2alpha domain-containing protein OS=Xenopus tropicalis OX=8364 PE=4 SV=1</t>
        </is>
      </c>
      <c r="M6093" t="n">
        <v>486</v>
      </c>
      <c r="N6093" t="inlineStr">
        <is>
          <t>Xenopus tropicalis</t>
        </is>
      </c>
      <c r="O6093" t="inlineStr">
        <is>
          <t>LAP2alpha domain-containing protein</t>
        </is>
      </c>
    </row>
    <row r="6094">
      <c r="A6094" t="inlineStr"/>
      <c r="B6094" t="inlineStr"/>
      <c r="C6094" t="inlineStr"/>
      <c r="D6094" t="inlineStr"/>
      <c r="E6094">
        <f>HYPERLINK("https://www.uniprot.org/uniprotkb/A0A8J1MEG2/entry", "A0A8J1MEG2")</f>
        <v/>
      </c>
      <c r="F6094" t="n">
        <v>33.6</v>
      </c>
      <c r="G6094" t="n">
        <v>149</v>
      </c>
      <c r="H6094" t="n">
        <v>2.34e-21</v>
      </c>
      <c r="I6094" t="inlineStr">
        <is>
          <t>TrEMBL</t>
        </is>
      </c>
      <c r="J6094" t="inlineStr">
        <is>
          <t>LOC121400601</t>
        </is>
      </c>
      <c r="K6094" t="inlineStr">
        <is>
          <t>A0A8J1MEG2_XENLA</t>
        </is>
      </c>
      <c r="L6094" t="inlineStr">
        <is>
          <t>tr|A0A8J1MEG2|A0A8J1MEG2_XENLA uncharacterized protein LOC121397579 isoform X1 OS=Xenopus laevis OX=8355 GN=LOC121400601 PE=4 SV=1</t>
        </is>
      </c>
      <c r="M6094" t="n">
        <v>490</v>
      </c>
      <c r="N6094" t="inlineStr">
        <is>
          <t>Xenopus laevis</t>
        </is>
      </c>
      <c r="O6094" t="inlineStr">
        <is>
          <t>uncharacterized protein LOC121397579 isoform X1</t>
        </is>
      </c>
    </row>
    <row r="6095">
      <c r="A6095" t="inlineStr"/>
      <c r="B6095" t="inlineStr"/>
      <c r="C6095" t="inlineStr"/>
      <c r="D6095" t="inlineStr"/>
      <c r="E6095">
        <f>HYPERLINK("https://www.uniprot.org/uniprotkb/A0A8J1KT66/entry", "A0A8J1KT66")</f>
        <v/>
      </c>
      <c r="F6095" t="n">
        <v>33.6</v>
      </c>
      <c r="G6095" t="n">
        <v>149</v>
      </c>
      <c r="H6095" t="n">
        <v>2.34e-21</v>
      </c>
      <c r="I6095" t="inlineStr">
        <is>
          <t>TrEMBL</t>
        </is>
      </c>
      <c r="J6095" t="inlineStr">
        <is>
          <t>LOC121394217</t>
        </is>
      </c>
      <c r="K6095" t="inlineStr">
        <is>
          <t>A0A8J1KT66_XENLA</t>
        </is>
      </c>
      <c r="L6095" t="inlineStr">
        <is>
          <t>tr|A0A8J1KT66|A0A8J1KT66_XENLA uncharacterized protein LOC121394217 isoform X1 OS=Xenopus laevis OX=8355 GN=LOC121394217 PE=4 SV=1</t>
        </is>
      </c>
      <c r="M6095" t="n">
        <v>490</v>
      </c>
      <c r="N6095" t="inlineStr">
        <is>
          <t>Xenopus laevis</t>
        </is>
      </c>
      <c r="O6095" t="inlineStr">
        <is>
          <t>uncharacterized protein LOC121394217 isoform X1</t>
        </is>
      </c>
    </row>
    <row r="6096">
      <c r="A6096" t="inlineStr"/>
      <c r="B6096" t="inlineStr"/>
      <c r="C6096" t="inlineStr"/>
      <c r="D6096" t="inlineStr"/>
      <c r="E6096">
        <f>HYPERLINK("https://www.uniprot.org/uniprotkb/A0A8J1KT93/entry", "A0A8J1KT93")</f>
        <v/>
      </c>
      <c r="F6096" t="n">
        <v>33.6</v>
      </c>
      <c r="G6096" t="n">
        <v>149</v>
      </c>
      <c r="H6096" t="n">
        <v>2.34e-21</v>
      </c>
      <c r="I6096" t="inlineStr">
        <is>
          <t>TrEMBL</t>
        </is>
      </c>
      <c r="J6096" t="inlineStr">
        <is>
          <t>LOC121394228</t>
        </is>
      </c>
      <c r="K6096" t="inlineStr">
        <is>
          <t>A0A8J1KT93_XENLA</t>
        </is>
      </c>
      <c r="L6096" t="inlineStr">
        <is>
          <t>tr|A0A8J1KT93|A0A8J1KT93_XENLA uncharacterized protein LOC121394228 isoform X1 OS=Xenopus laevis OX=8355 GN=LOC121394228 PE=4 SV=1</t>
        </is>
      </c>
      <c r="M6096" t="n">
        <v>490</v>
      </c>
      <c r="N6096" t="inlineStr">
        <is>
          <t>Xenopus laevis</t>
        </is>
      </c>
      <c r="O6096" t="inlineStr">
        <is>
          <t>uncharacterized protein LOC121394228 isoform X1</t>
        </is>
      </c>
    </row>
    <row r="6097">
      <c r="A6097" t="inlineStr"/>
      <c r="B6097" t="inlineStr"/>
      <c r="C6097" t="inlineStr"/>
      <c r="D6097" t="inlineStr"/>
      <c r="E6097">
        <f>HYPERLINK("https://www.ncbi.nlm.nih.gov/gene/?term=XP_040277784.1", "XP_040277784.1")</f>
        <v/>
      </c>
      <c r="F6097" t="n">
        <v>36.4</v>
      </c>
      <c r="G6097" t="n">
        <v>162</v>
      </c>
      <c r="H6097" t="n">
        <v>2.43e-21</v>
      </c>
      <c r="I6097" t="inlineStr">
        <is>
          <t>Nr</t>
        </is>
      </c>
      <c r="J6097" t="inlineStr"/>
      <c r="K6097" t="inlineStr"/>
      <c r="L6097" t="inlineStr">
        <is>
          <t>XP_040277784.1 lamina-associated polypeptide 2, isoforms alpha/zeta-like [Bufo bufo]</t>
        </is>
      </c>
      <c r="M6097" t="n">
        <v>409</v>
      </c>
      <c r="N6097" t="inlineStr">
        <is>
          <t>Bufo bufo</t>
        </is>
      </c>
      <c r="O6097" t="inlineStr">
        <is>
          <t>lamina-associated polypeptide 2, isoforms alpha/zeta-like</t>
        </is>
      </c>
    </row>
    <row r="6098">
      <c r="A6098" t="inlineStr"/>
      <c r="B6098" t="inlineStr"/>
      <c r="C6098" t="inlineStr"/>
      <c r="D6098" t="inlineStr"/>
      <c r="E6098">
        <f>HYPERLINK("https://www.ncbi.nlm.nih.gov/gene/?term=XP_040279486.1", "XP_040279486.1")</f>
        <v/>
      </c>
      <c r="F6098" t="n">
        <v>36.4</v>
      </c>
      <c r="G6098" t="n">
        <v>162</v>
      </c>
      <c r="H6098" t="n">
        <v>2.43e-21</v>
      </c>
      <c r="I6098" t="inlineStr">
        <is>
          <t>Nr</t>
        </is>
      </c>
      <c r="J6098" t="inlineStr"/>
      <c r="K6098" t="inlineStr"/>
      <c r="L6098" t="inlineStr">
        <is>
          <t>XP_040279486.1 lamina-associated polypeptide 2, isoforms alpha/zeta-like [Bufo bufo]</t>
        </is>
      </c>
      <c r="M6098" t="n">
        <v>409</v>
      </c>
      <c r="N6098" t="inlineStr">
        <is>
          <t>Bufo bufo</t>
        </is>
      </c>
      <c r="O6098" t="inlineStr">
        <is>
          <t>lamina-associated polypeptide 2, isoforms alpha/zeta-like</t>
        </is>
      </c>
    </row>
    <row r="6099">
      <c r="A6099" t="inlineStr"/>
      <c r="B6099" t="inlineStr"/>
      <c r="C6099" t="inlineStr"/>
      <c r="D6099" t="inlineStr"/>
      <c r="E6099">
        <f>HYPERLINK("https://www.uniprot.org/uniprotkb/A0A8J1MT70/entry", "A0A8J1MT70")</f>
        <v/>
      </c>
      <c r="F6099" t="n">
        <v>35.1</v>
      </c>
      <c r="G6099" t="n">
        <v>148</v>
      </c>
      <c r="H6099" t="n">
        <v>2.51e-21</v>
      </c>
      <c r="I6099" t="inlineStr">
        <is>
          <t>TrEMBL</t>
        </is>
      </c>
      <c r="J6099" t="inlineStr">
        <is>
          <t>LOC121402196</t>
        </is>
      </c>
      <c r="K6099" t="inlineStr">
        <is>
          <t>A0A8J1MT70_XENLA</t>
        </is>
      </c>
      <c r="L6099" t="inlineStr">
        <is>
          <t>tr|A0A8J1MT70|A0A8J1MT70_XENLA lamina-associated polypeptide 2-like OS=Xenopus laevis OX=8355 GN=LOC121402196 PE=4 SV=1</t>
        </is>
      </c>
      <c r="M6099" t="n">
        <v>449</v>
      </c>
      <c r="N6099" t="inlineStr">
        <is>
          <t>Xenopus laevis</t>
        </is>
      </c>
      <c r="O6099" t="inlineStr">
        <is>
          <t>lamina-associated polypeptide 2-like</t>
        </is>
      </c>
    </row>
    <row r="6100">
      <c r="A6100" t="inlineStr"/>
      <c r="B6100" t="inlineStr"/>
      <c r="C6100" t="inlineStr"/>
      <c r="D6100" t="inlineStr"/>
      <c r="E6100">
        <f>HYPERLINK("https://www.ncbi.nlm.nih.gov/gene/?term=KAE8575668.1", "KAE8575668.1")</f>
        <v/>
      </c>
      <c r="F6100" t="n">
        <v>37.6</v>
      </c>
      <c r="G6100" t="n">
        <v>181</v>
      </c>
      <c r="H6100" t="n">
        <v>2.98e-21</v>
      </c>
      <c r="I6100" t="inlineStr">
        <is>
          <t>Nr</t>
        </is>
      </c>
      <c r="J6100" t="inlineStr"/>
      <c r="K6100" t="inlineStr"/>
      <c r="L6100" t="inlineStr">
        <is>
          <t>KAE8575668.1 hypothetical protein XENTR_v10003901 [Xenopus tropicalis]</t>
        </is>
      </c>
      <c r="M6100" t="n">
        <v>397</v>
      </c>
      <c r="N6100" t="inlineStr">
        <is>
          <t>Xenopus tropicalis</t>
        </is>
      </c>
      <c r="O6100" t="inlineStr">
        <is>
          <t>hypothetical protein XENTR_v10003901</t>
        </is>
      </c>
    </row>
    <row r="6101">
      <c r="A6101" t="inlineStr"/>
      <c r="B6101" t="inlineStr"/>
      <c r="C6101" t="inlineStr"/>
      <c r="D6101" t="inlineStr"/>
      <c r="E6101">
        <f>HYPERLINK("https://www.uniprot.org/uniprotkb/A0A8J1MHQ8/entry", "A0A8J1MHQ8")</f>
        <v/>
      </c>
      <c r="F6101" t="n">
        <v>33.7</v>
      </c>
      <c r="G6101" t="n">
        <v>187</v>
      </c>
      <c r="H6101" t="n">
        <v>3.14e-21</v>
      </c>
      <c r="I6101" t="inlineStr">
        <is>
          <t>TrEMBL</t>
        </is>
      </c>
      <c r="J6101" t="inlineStr">
        <is>
          <t>LOC121400964</t>
        </is>
      </c>
      <c r="K6101" t="inlineStr">
        <is>
          <t>A0A8J1MHQ8_XENLA</t>
        </is>
      </c>
      <c r="L6101" t="inlineStr">
        <is>
          <t>tr|A0A8J1MHQ8|A0A8J1MHQ8_XENLA lamina-associated polypeptide 2-like OS=Xenopus laevis OX=8355 GN=LOC121400964 PE=4 SV=1</t>
        </is>
      </c>
      <c r="M6101" t="n">
        <v>486</v>
      </c>
      <c r="N6101" t="inlineStr">
        <is>
          <t>Xenopus laevis</t>
        </is>
      </c>
      <c r="O6101" t="inlineStr">
        <is>
          <t>lamina-associated polypeptide 2-like</t>
        </is>
      </c>
    </row>
    <row r="6102">
      <c r="A6102" t="inlineStr"/>
      <c r="B6102" t="inlineStr"/>
      <c r="C6102" t="inlineStr"/>
      <c r="D6102" t="inlineStr"/>
      <c r="E6102">
        <f>HYPERLINK("https://www.uniprot.org/uniprotkb/A0A8J1M684/entry", "A0A8J1M684")</f>
        <v/>
      </c>
      <c r="F6102" t="n">
        <v>36.6</v>
      </c>
      <c r="G6102" t="n">
        <v>164</v>
      </c>
      <c r="H6102" t="n">
        <v>3.16e-21</v>
      </c>
      <c r="I6102" t="inlineStr">
        <is>
          <t>TrEMBL</t>
        </is>
      </c>
      <c r="J6102" t="inlineStr">
        <is>
          <t>LOC121399716</t>
        </is>
      </c>
      <c r="K6102" t="inlineStr">
        <is>
          <t>A0A8J1M684_XENLA</t>
        </is>
      </c>
      <c r="L6102" t="inlineStr">
        <is>
          <t>tr|A0A8J1M684|A0A8J1M684_XENLA lamina-associated polypeptide 2, isoforms alpha/zeta-like OS=Xenopus laevis OX=8355 GN=LOC121399716 PE=4 SV=1</t>
        </is>
      </c>
      <c r="M6102" t="n">
        <v>437</v>
      </c>
      <c r="N6102" t="inlineStr">
        <is>
          <t>Xenopus laevis</t>
        </is>
      </c>
      <c r="O6102" t="inlineStr">
        <is>
          <t>lamina-associated polypeptide 2, isoforms alpha/zeta-like</t>
        </is>
      </c>
    </row>
    <row r="6103">
      <c r="A6103" t="inlineStr"/>
      <c r="B6103" t="inlineStr"/>
      <c r="C6103" t="inlineStr"/>
      <c r="D6103" t="inlineStr"/>
      <c r="E6103">
        <f>HYPERLINK("https://www.uniprot.org/uniprotkb/A0A8J1L3S5/entry", "A0A8J1L3S5")</f>
        <v/>
      </c>
      <c r="F6103" t="n">
        <v>36.6</v>
      </c>
      <c r="G6103" t="n">
        <v>164</v>
      </c>
      <c r="H6103" t="n">
        <v>3.16e-21</v>
      </c>
      <c r="I6103" t="inlineStr">
        <is>
          <t>TrEMBL</t>
        </is>
      </c>
      <c r="J6103" t="inlineStr">
        <is>
          <t>LOC121395214</t>
        </is>
      </c>
      <c r="K6103" t="inlineStr">
        <is>
          <t>A0A8J1L3S5_XENLA</t>
        </is>
      </c>
      <c r="L6103" t="inlineStr">
        <is>
          <t>tr|A0A8J1L3S5|A0A8J1L3S5_XENLA lamina-associated polypeptide 2, isoforms alpha/zeta-like isoform X2 OS=Xenopus laevis OX=8355 GN=LOC121395214 PE=4 SV=1</t>
        </is>
      </c>
      <c r="M6103" t="n">
        <v>437</v>
      </c>
      <c r="N6103" t="inlineStr">
        <is>
          <t>Xenopus laevis</t>
        </is>
      </c>
      <c r="O6103" t="inlineStr">
        <is>
          <t>lamina-associated polypeptide 2, isoforms alpha/zeta-like isoform X2</t>
        </is>
      </c>
    </row>
    <row r="6104">
      <c r="A6104" t="inlineStr"/>
      <c r="B6104" t="inlineStr"/>
      <c r="C6104" t="inlineStr"/>
      <c r="D6104" t="inlineStr"/>
      <c r="E6104">
        <f>HYPERLINK("https://www.uniprot.org/uniprotkb/A0A8J1M6Q5/entry", "A0A8J1M6Q5")</f>
        <v/>
      </c>
      <c r="F6104" t="n">
        <v>36.6</v>
      </c>
      <c r="G6104" t="n">
        <v>164</v>
      </c>
      <c r="H6104" t="n">
        <v>3.16e-21</v>
      </c>
      <c r="I6104" t="inlineStr">
        <is>
          <t>TrEMBL</t>
        </is>
      </c>
      <c r="J6104" t="inlineStr">
        <is>
          <t>LOC121399792</t>
        </is>
      </c>
      <c r="K6104" t="inlineStr">
        <is>
          <t>A0A8J1M6Q5_XENLA</t>
        </is>
      </c>
      <c r="L6104" t="inlineStr">
        <is>
          <t>tr|A0A8J1M6Q5|A0A8J1M6Q5_XENLA lamina-associated polypeptide 2, isoforms alpha/zeta-like isoform X2 OS=Xenopus laevis OX=8355 GN=LOC121399792 PE=4 SV=1</t>
        </is>
      </c>
      <c r="M6104" t="n">
        <v>437</v>
      </c>
      <c r="N6104" t="inlineStr">
        <is>
          <t>Xenopus laevis</t>
        </is>
      </c>
      <c r="O6104" t="inlineStr">
        <is>
          <t>lamina-associated polypeptide 2, isoforms alpha/zeta-like isoform X2</t>
        </is>
      </c>
    </row>
    <row r="6105">
      <c r="A6105" t="inlineStr"/>
      <c r="B6105" t="inlineStr"/>
      <c r="C6105" t="inlineStr"/>
      <c r="D6105" t="inlineStr"/>
      <c r="E6105">
        <f>HYPERLINK("https://www.ncbi.nlm.nih.gov/gene/?term=XP_040264286.1", "XP_040264286.1")</f>
        <v/>
      </c>
      <c r="F6105" t="n">
        <v>36.4</v>
      </c>
      <c r="G6105" t="n">
        <v>162</v>
      </c>
      <c r="H6105" t="n">
        <v>3.33e-21</v>
      </c>
      <c r="I6105" t="inlineStr">
        <is>
          <t>Nr</t>
        </is>
      </c>
      <c r="J6105" t="inlineStr"/>
      <c r="K6105" t="inlineStr"/>
      <c r="L6105" t="inlineStr">
        <is>
          <t>XP_040264286.1 lamina-associated polypeptide 2, isoforms alpha/zeta-like [Bufo bufo]</t>
        </is>
      </c>
      <c r="M6105" t="n">
        <v>446</v>
      </c>
      <c r="N6105" t="inlineStr">
        <is>
          <t>Bufo bufo</t>
        </is>
      </c>
      <c r="O6105" t="inlineStr">
        <is>
          <t>lamina-associated polypeptide 2, isoforms alpha/zeta-like</t>
        </is>
      </c>
    </row>
    <row r="6106">
      <c r="A6106" t="inlineStr"/>
      <c r="B6106" t="inlineStr"/>
      <c r="C6106" t="inlineStr"/>
      <c r="D6106" t="inlineStr"/>
      <c r="E6106">
        <f>HYPERLINK("https://www.ncbi.nlm.nih.gov/gene/?term=XP_040266410.1", "XP_040266410.1")</f>
        <v/>
      </c>
      <c r="F6106" t="n">
        <v>36.4</v>
      </c>
      <c r="G6106" t="n">
        <v>162</v>
      </c>
      <c r="H6106" t="n">
        <v>3.33e-21</v>
      </c>
      <c r="I6106" t="inlineStr">
        <is>
          <t>Nr</t>
        </is>
      </c>
      <c r="J6106" t="inlineStr"/>
      <c r="K6106" t="inlineStr"/>
      <c r="L6106" t="inlineStr">
        <is>
          <t>XP_040266410.1 lamina-associated polypeptide 2, isoforms alpha/zeta-like [Bufo bufo]</t>
        </is>
      </c>
      <c r="M6106" t="n">
        <v>446</v>
      </c>
      <c r="N6106" t="inlineStr">
        <is>
          <t>Bufo bufo</t>
        </is>
      </c>
      <c r="O6106" t="inlineStr">
        <is>
          <t>lamina-associated polypeptide 2, isoforms alpha/zeta-like</t>
        </is>
      </c>
    </row>
    <row r="6107">
      <c r="A6107" t="inlineStr"/>
      <c r="B6107" t="inlineStr"/>
      <c r="C6107" t="inlineStr"/>
      <c r="D6107" t="inlineStr"/>
      <c r="E6107">
        <f>HYPERLINK("https://www.uniprot.org/uniprotkb/A0A8J1M871/entry", "A0A8J1M871")</f>
        <v/>
      </c>
      <c r="F6107" t="n">
        <v>36.6</v>
      </c>
      <c r="G6107" t="n">
        <v>164</v>
      </c>
      <c r="H6107" t="n">
        <v>3.4e-21</v>
      </c>
      <c r="I6107" t="inlineStr">
        <is>
          <t>TrEMBL</t>
        </is>
      </c>
      <c r="J6107" t="inlineStr">
        <is>
          <t>LOC121399949</t>
        </is>
      </c>
      <c r="K6107" t="inlineStr">
        <is>
          <t>A0A8J1M871_XENLA</t>
        </is>
      </c>
      <c r="L6107" t="inlineStr">
        <is>
          <t>tr|A0A8J1M871|A0A8J1M871_XENLA uncharacterized protein LOC121396568 isoform X2 OS=Xenopus laevis OX=8355 GN=LOC121399949 PE=4 SV=1</t>
        </is>
      </c>
      <c r="M6107" t="n">
        <v>447</v>
      </c>
      <c r="N6107" t="inlineStr">
        <is>
          <t>Xenopus laevis</t>
        </is>
      </c>
      <c r="O6107" t="inlineStr">
        <is>
          <t>uncharacterized protein LOC121396568 isoform X2</t>
        </is>
      </c>
    </row>
    <row r="6108">
      <c r="A6108" t="inlineStr"/>
      <c r="B6108" t="inlineStr"/>
      <c r="C6108" t="inlineStr"/>
      <c r="D6108" t="inlineStr"/>
      <c r="E6108">
        <f>HYPERLINK("https://www.uniprot.org/uniprotkb/A0A8J1M6M3/entry", "A0A8J1M6M3")</f>
        <v/>
      </c>
      <c r="F6108" t="n">
        <v>36.6</v>
      </c>
      <c r="G6108" t="n">
        <v>164</v>
      </c>
      <c r="H6108" t="n">
        <v>3.4e-21</v>
      </c>
      <c r="I6108" t="inlineStr">
        <is>
          <t>TrEMBL</t>
        </is>
      </c>
      <c r="J6108" t="inlineStr">
        <is>
          <t>LOC121399792</t>
        </is>
      </c>
      <c r="K6108" t="inlineStr">
        <is>
          <t>A0A8J1M6M3_XENLA</t>
        </is>
      </c>
      <c r="L6108" t="inlineStr">
        <is>
          <t>tr|A0A8J1M6M3|A0A8J1M6M3_XENLA uncharacterized protein LOC121399792 isoform X1 OS=Xenopus laevis OX=8355 GN=LOC121399792 PE=4 SV=1</t>
        </is>
      </c>
      <c r="M6108" t="n">
        <v>447</v>
      </c>
      <c r="N6108" t="inlineStr">
        <is>
          <t>Xenopus laevis</t>
        </is>
      </c>
      <c r="O6108" t="inlineStr">
        <is>
          <t>uncharacterized protein LOC121399792 isoform X1</t>
        </is>
      </c>
    </row>
    <row r="6109">
      <c r="A6109" t="inlineStr"/>
      <c r="B6109" t="inlineStr"/>
      <c r="C6109" t="inlineStr"/>
      <c r="D6109" t="inlineStr"/>
      <c r="E6109">
        <f>HYPERLINK("https://www.ncbi.nlm.nih.gov/gene/?term=XP_041420040.1", "XP_041420040.1")</f>
        <v/>
      </c>
      <c r="F6109" t="n">
        <v>35.1</v>
      </c>
      <c r="G6109" t="n">
        <v>148</v>
      </c>
      <c r="H6109" t="n">
        <v>3.410000000000001e-21</v>
      </c>
      <c r="I6109" t="inlineStr">
        <is>
          <t>Nr</t>
        </is>
      </c>
      <c r="J6109" t="inlineStr"/>
      <c r="K6109" t="inlineStr"/>
      <c r="L6109" t="inlineStr">
        <is>
          <t>XP_041420040.1 lamina-associated polypeptide 2-like [Xenopus laevis]</t>
        </is>
      </c>
      <c r="M6109" t="n">
        <v>449</v>
      </c>
      <c r="N6109" t="inlineStr">
        <is>
          <t>Xenopus laevis</t>
        </is>
      </c>
      <c r="O6109" t="inlineStr">
        <is>
          <t>lamina-associated polypeptide 2-like</t>
        </is>
      </c>
    </row>
    <row r="6110">
      <c r="A6110" t="inlineStr"/>
      <c r="B6110" t="inlineStr"/>
      <c r="C6110" t="inlineStr"/>
      <c r="D6110" t="inlineStr"/>
      <c r="E6110">
        <f>HYPERLINK("https://www.ncbi.nlm.nih.gov/gene/?term=XP_041432127.1", "XP_041432127.1")</f>
        <v/>
      </c>
      <c r="F6110" t="n">
        <v>35.1</v>
      </c>
      <c r="G6110" t="n">
        <v>148</v>
      </c>
      <c r="H6110" t="n">
        <v>3.410000000000001e-21</v>
      </c>
      <c r="I6110" t="inlineStr">
        <is>
          <t>Nr</t>
        </is>
      </c>
      <c r="J6110" t="inlineStr"/>
      <c r="K6110" t="inlineStr"/>
      <c r="L6110" t="inlineStr">
        <is>
          <t>XP_041432127.1 lamina-associated polypeptide 2-like isoform X2 [Xenopus laevis]</t>
        </is>
      </c>
      <c r="M6110" t="n">
        <v>449</v>
      </c>
      <c r="N6110" t="inlineStr">
        <is>
          <t>Xenopus laevis</t>
        </is>
      </c>
      <c r="O6110" t="inlineStr">
        <is>
          <t>lamina-associated polypeptide 2-like isoform X2</t>
        </is>
      </c>
    </row>
    <row r="6111">
      <c r="A6111" t="inlineStr"/>
      <c r="B6111" t="inlineStr"/>
      <c r="C6111" t="inlineStr"/>
      <c r="D6111" t="inlineStr"/>
      <c r="E6111">
        <f>HYPERLINK("https://www.ncbi.nlm.nih.gov/gene/?term=XP_041436098.1", "XP_041436098.1")</f>
        <v/>
      </c>
      <c r="F6111" t="n">
        <v>35.1</v>
      </c>
      <c r="G6111" t="n">
        <v>148</v>
      </c>
      <c r="H6111" t="n">
        <v>3.410000000000001e-21</v>
      </c>
      <c r="I6111" t="inlineStr">
        <is>
          <t>Nr</t>
        </is>
      </c>
      <c r="J6111" t="inlineStr"/>
      <c r="K6111" t="inlineStr"/>
      <c r="L6111" t="inlineStr">
        <is>
          <t>XP_041436098.1 lamina-associated polypeptide 2-like [Xenopus laevis]</t>
        </is>
      </c>
      <c r="M6111" t="n">
        <v>449</v>
      </c>
      <c r="N6111" t="inlineStr">
        <is>
          <t>Xenopus laevis</t>
        </is>
      </c>
      <c r="O6111" t="inlineStr">
        <is>
          <t>lamina-associated polypeptide 2-like</t>
        </is>
      </c>
    </row>
    <row r="6112">
      <c r="A6112" t="inlineStr"/>
      <c r="B6112" t="inlineStr"/>
      <c r="C6112" t="inlineStr"/>
      <c r="D6112" t="inlineStr"/>
      <c r="E6112">
        <f>HYPERLINK("https://www.ncbi.nlm.nih.gov/gene/?term=KAE8597474.1", "KAE8597474.1")</f>
        <v/>
      </c>
      <c r="F6112" t="n">
        <v>36.4</v>
      </c>
      <c r="G6112" t="n">
        <v>176</v>
      </c>
      <c r="H6112" t="n">
        <v>4.37e-21</v>
      </c>
      <c r="I6112" t="inlineStr">
        <is>
          <t>Nr</t>
        </is>
      </c>
      <c r="J6112" t="inlineStr"/>
      <c r="K6112" t="inlineStr"/>
      <c r="L6112" t="inlineStr">
        <is>
          <t>KAE8597474.1 hypothetical protein XENTR_v10016480 [Xenopus tropicalis]</t>
        </is>
      </c>
      <c r="M6112" t="n">
        <v>347</v>
      </c>
      <c r="N6112" t="inlineStr">
        <is>
          <t>Xenopus tropicalis</t>
        </is>
      </c>
      <c r="O6112" t="inlineStr">
        <is>
          <t>hypothetical protein XENTR_v10016480</t>
        </is>
      </c>
    </row>
    <row r="6113">
      <c r="A6113" t="inlineStr"/>
      <c r="B6113" t="inlineStr"/>
      <c r="C6113" t="inlineStr"/>
      <c r="D6113" t="inlineStr"/>
      <c r="E6113">
        <f>HYPERLINK("https://www.ncbi.nlm.nih.gov/gene/?term=XP_041435114.1", "XP_041435114.1")</f>
        <v/>
      </c>
      <c r="F6113" t="n">
        <v>33.6</v>
      </c>
      <c r="G6113" t="n">
        <v>149</v>
      </c>
      <c r="H6113" t="n">
        <v>4.72e-21</v>
      </c>
      <c r="I6113" t="inlineStr">
        <is>
          <t>Nr</t>
        </is>
      </c>
      <c r="J6113" t="inlineStr"/>
      <c r="K6113" t="inlineStr"/>
      <c r="L6113" t="inlineStr">
        <is>
          <t>XP_041435114.1 uncharacterized protein LOC121399189 [Xenopus laevis]</t>
        </is>
      </c>
      <c r="M6113" t="n">
        <v>450</v>
      </c>
      <c r="N6113" t="inlineStr">
        <is>
          <t>Xenopus laevis</t>
        </is>
      </c>
      <c r="O6113" t="inlineStr">
        <is>
          <t>uncharacterized protein LOC121399189</t>
        </is>
      </c>
    </row>
    <row r="6114">
      <c r="A6114" t="inlineStr"/>
      <c r="B6114" t="inlineStr"/>
      <c r="C6114" t="inlineStr"/>
      <c r="D6114" t="inlineStr"/>
      <c r="E6114">
        <f>HYPERLINK("https://www.uniprot.org/uniprotkb/A0A2D4I4R5/entry", "A0A2D4I4R5")</f>
        <v/>
      </c>
      <c r="F6114" t="n">
        <v>42.6</v>
      </c>
      <c r="G6114" t="n">
        <v>122</v>
      </c>
      <c r="H6114" t="n">
        <v>4.72e-21</v>
      </c>
      <c r="I6114" t="inlineStr">
        <is>
          <t>TrEMBL</t>
        </is>
      </c>
      <c r="J6114" t="inlineStr"/>
      <c r="K6114" t="inlineStr">
        <is>
          <t>A0A2D4I4R5_MICLE</t>
        </is>
      </c>
      <c r="L6114" t="inlineStr">
        <is>
          <t>tr|A0A2D4I4R5|A0A2D4I4R5_MICLE Tick transposon (Fragment) OS=Micrurus lemniscatus lemniscatus OX=129467 PE=4 SV=1</t>
        </is>
      </c>
      <c r="M6114" t="n">
        <v>185</v>
      </c>
      <c r="N6114" t="inlineStr">
        <is>
          <t>Micrurus lemniscatus lemniscatus</t>
        </is>
      </c>
      <c r="O6114" t="inlineStr">
        <is>
          <t>Tick transposon (Fragment)</t>
        </is>
      </c>
    </row>
    <row r="6115">
      <c r="A6115" t="inlineStr"/>
      <c r="B6115" t="inlineStr"/>
      <c r="C6115" t="inlineStr"/>
      <c r="D6115" t="inlineStr"/>
      <c r="E6115">
        <f>HYPERLINK("https://www.ncbi.nlm.nih.gov/gene/?term=XP_041430451.1", "XP_041430451.1")</f>
        <v/>
      </c>
      <c r="F6115" t="n">
        <v>33.6</v>
      </c>
      <c r="G6115" t="n">
        <v>149</v>
      </c>
      <c r="H6115" t="n">
        <v>5.19e-21</v>
      </c>
      <c r="I6115" t="inlineStr">
        <is>
          <t>Nr</t>
        </is>
      </c>
      <c r="J6115" t="inlineStr"/>
      <c r="K6115" t="inlineStr"/>
      <c r="L6115" t="inlineStr">
        <is>
          <t>XP_041430451.1 uncharacterized protein LOC121397579 isoform X2 [Xenopus laevis]</t>
        </is>
      </c>
      <c r="M6115" t="n">
        <v>464</v>
      </c>
      <c r="N6115" t="inlineStr">
        <is>
          <t>Xenopus laevis</t>
        </is>
      </c>
      <c r="O6115" t="inlineStr">
        <is>
          <t>uncharacterized protein LOC121397579 isoform X2</t>
        </is>
      </c>
    </row>
    <row r="6116">
      <c r="A6116" t="inlineStr"/>
      <c r="B6116" t="inlineStr"/>
      <c r="C6116" t="inlineStr"/>
      <c r="D6116" t="inlineStr"/>
      <c r="E6116">
        <f>HYPERLINK("https://www.ncbi.nlm.nih.gov/gene/?term=XP_041420536.1", "XP_041420536.1")</f>
        <v/>
      </c>
      <c r="F6116" t="n">
        <v>33.6</v>
      </c>
      <c r="G6116" t="n">
        <v>149</v>
      </c>
      <c r="H6116" t="n">
        <v>5.19e-21</v>
      </c>
      <c r="I6116" t="inlineStr">
        <is>
          <t>Nr</t>
        </is>
      </c>
      <c r="J6116" t="inlineStr"/>
      <c r="K6116" t="inlineStr"/>
      <c r="L6116" t="inlineStr">
        <is>
          <t>XP_041420536.1 uncharacterized protein LOC121394228 isoform X2 [Xenopus laevis]</t>
        </is>
      </c>
      <c r="M6116" t="n">
        <v>464</v>
      </c>
      <c r="N6116" t="inlineStr">
        <is>
          <t>Xenopus laevis</t>
        </is>
      </c>
      <c r="O6116" t="inlineStr">
        <is>
          <t>uncharacterized protein LOC121394228 isoform X2</t>
        </is>
      </c>
    </row>
    <row r="6117">
      <c r="A6117" t="inlineStr"/>
      <c r="B6117" t="inlineStr"/>
      <c r="C6117" t="inlineStr"/>
      <c r="D6117" t="inlineStr"/>
      <c r="E6117">
        <f>HYPERLINK("https://www.ncbi.nlm.nih.gov/gene/?term=XP_041420502.1", "XP_041420502.1")</f>
        <v/>
      </c>
      <c r="F6117" t="n">
        <v>33.6</v>
      </c>
      <c r="G6117" t="n">
        <v>149</v>
      </c>
      <c r="H6117" t="n">
        <v>5.19e-21</v>
      </c>
      <c r="I6117" t="inlineStr">
        <is>
          <t>Nr</t>
        </is>
      </c>
      <c r="J6117" t="inlineStr"/>
      <c r="K6117" t="inlineStr"/>
      <c r="L6117" t="inlineStr">
        <is>
          <t>XP_041420502.1 uncharacterized protein LOC121394217 isoform X2 [Xenopus laevis]</t>
        </is>
      </c>
      <c r="M6117" t="n">
        <v>464</v>
      </c>
      <c r="N6117" t="inlineStr">
        <is>
          <t>Xenopus laevis</t>
        </is>
      </c>
      <c r="O6117" t="inlineStr">
        <is>
          <t>uncharacterized protein LOC121394217 isoform X2</t>
        </is>
      </c>
    </row>
    <row r="6118">
      <c r="A6118" t="inlineStr"/>
      <c r="B6118" t="inlineStr"/>
      <c r="C6118" t="inlineStr"/>
      <c r="D6118" t="inlineStr"/>
      <c r="E6118">
        <f>HYPERLINK("https://www.uniprot.org/uniprotkb/A0A2D4MJQ0/entry", "A0A2D4MJQ0")</f>
        <v/>
      </c>
      <c r="F6118" t="n">
        <v>45.4</v>
      </c>
      <c r="G6118" t="n">
        <v>108</v>
      </c>
      <c r="H6118" t="n">
        <v>5.940000000000001e-21</v>
      </c>
      <c r="I6118" t="inlineStr">
        <is>
          <t>TrEMBL</t>
        </is>
      </c>
      <c r="J6118" t="inlineStr"/>
      <c r="K6118" t="inlineStr">
        <is>
          <t>A0A2D4MJQ0_9SAUR</t>
        </is>
      </c>
      <c r="L6118" t="inlineStr">
        <is>
          <t>tr|A0A2D4MJQ0|A0A2D4MJQ0_9SAUR Integrase_SAM-like_N domain-containing protein (Fragment) OS=Micrurus spixii OX=129469 PE=4 SV=1</t>
        </is>
      </c>
      <c r="M6118" t="n">
        <v>116</v>
      </c>
      <c r="N6118" t="inlineStr">
        <is>
          <t>Micrurus spixii</t>
        </is>
      </c>
      <c r="O6118" t="inlineStr">
        <is>
          <t>Integrase_SAM-like_N domain-containing protein (Fragment)</t>
        </is>
      </c>
    </row>
    <row r="6119">
      <c r="A6119" t="inlineStr"/>
      <c r="B6119" t="inlineStr"/>
      <c r="C6119" t="inlineStr"/>
      <c r="D6119" t="inlineStr"/>
      <c r="E6119">
        <f>HYPERLINK("https://www.ncbi.nlm.nih.gov/gene/?term=XP_041420535.1", "XP_041420535.1")</f>
        <v/>
      </c>
      <c r="F6119" t="n">
        <v>33.6</v>
      </c>
      <c r="G6119" t="n">
        <v>149</v>
      </c>
      <c r="H6119" t="n">
        <v>6.02e-21</v>
      </c>
      <c r="I6119" t="inlineStr">
        <is>
          <t>Nr</t>
        </is>
      </c>
      <c r="J6119" t="inlineStr"/>
      <c r="K6119" t="inlineStr"/>
      <c r="L6119" t="inlineStr">
        <is>
          <t>XP_041420535.1 uncharacterized protein LOC121394228 isoform X1 [Xenopus laevis]</t>
        </is>
      </c>
      <c r="M6119" t="n">
        <v>490</v>
      </c>
      <c r="N6119" t="inlineStr">
        <is>
          <t>Xenopus laevis</t>
        </is>
      </c>
      <c r="O6119" t="inlineStr">
        <is>
          <t>uncharacterized protein LOC121394228 isoform X1</t>
        </is>
      </c>
    </row>
    <row r="6120">
      <c r="A6120" t="inlineStr"/>
      <c r="B6120" t="inlineStr"/>
      <c r="C6120" t="inlineStr"/>
      <c r="D6120" t="inlineStr"/>
      <c r="E6120">
        <f>HYPERLINK("https://www.ncbi.nlm.nih.gov/gene/?term=XP_041430450.1", "XP_041430450.1")</f>
        <v/>
      </c>
      <c r="F6120" t="n">
        <v>33.6</v>
      </c>
      <c r="G6120" t="n">
        <v>149</v>
      </c>
      <c r="H6120" t="n">
        <v>6.02e-21</v>
      </c>
      <c r="I6120" t="inlineStr">
        <is>
          <t>Nr</t>
        </is>
      </c>
      <c r="J6120" t="inlineStr"/>
      <c r="K6120" t="inlineStr"/>
      <c r="L6120" t="inlineStr">
        <is>
          <t>XP_041430450.1 uncharacterized protein LOC121397579 isoform X1 [Xenopus laevis]</t>
        </is>
      </c>
      <c r="M6120" t="n">
        <v>490</v>
      </c>
      <c r="N6120" t="inlineStr">
        <is>
          <t>Xenopus laevis</t>
        </is>
      </c>
      <c r="O6120" t="inlineStr">
        <is>
          <t>uncharacterized protein LOC121397579 isoform X1</t>
        </is>
      </c>
    </row>
    <row r="6121">
      <c r="A6121" t="inlineStr"/>
      <c r="B6121" t="inlineStr"/>
      <c r="C6121" t="inlineStr"/>
      <c r="D6121" t="inlineStr"/>
      <c r="E6121">
        <f>HYPERLINK("https://www.ncbi.nlm.nih.gov/gene/?term=XP_041420501.1", "XP_041420501.1")</f>
        <v/>
      </c>
      <c r="F6121" t="n">
        <v>33.6</v>
      </c>
      <c r="G6121" t="n">
        <v>149</v>
      </c>
      <c r="H6121" t="n">
        <v>6.02e-21</v>
      </c>
      <c r="I6121" t="inlineStr">
        <is>
          <t>Nr</t>
        </is>
      </c>
      <c r="J6121" t="inlineStr"/>
      <c r="K6121" t="inlineStr"/>
      <c r="L6121" t="inlineStr">
        <is>
          <t>XP_041420501.1 uncharacterized protein LOC121394217 isoform X1 [Xenopus laevis]</t>
        </is>
      </c>
      <c r="M6121" t="n">
        <v>490</v>
      </c>
      <c r="N6121" t="inlineStr">
        <is>
          <t>Xenopus laevis</t>
        </is>
      </c>
      <c r="O6121" t="inlineStr">
        <is>
          <t>uncharacterized protein LOC121394217 isoform X1</t>
        </is>
      </c>
    </row>
    <row r="6122">
      <c r="A6122" t="inlineStr"/>
      <c r="B6122" t="inlineStr"/>
      <c r="C6122" t="inlineStr"/>
      <c r="D6122" t="inlineStr"/>
      <c r="E6122">
        <f>HYPERLINK("https://www.uniprot.org/uniprotkb/A0A2D4EJC9/entry", "A0A2D4EJC9")</f>
        <v/>
      </c>
      <c r="F6122" t="n">
        <v>43.8</v>
      </c>
      <c r="G6122" t="n">
        <v>121</v>
      </c>
      <c r="H6122" t="n">
        <v>6.350000000000001e-21</v>
      </c>
      <c r="I6122" t="inlineStr">
        <is>
          <t>TrEMBL</t>
        </is>
      </c>
      <c r="J6122" t="inlineStr"/>
      <c r="K6122" t="inlineStr">
        <is>
          <t>A0A2D4EJC9_MICCO</t>
        </is>
      </c>
      <c r="L6122" t="inlineStr">
        <is>
          <t>tr|A0A2D4EJC9|A0A2D4EJC9_MICCO ribonuclease H (Fragment) OS=Micrurus corallinus OX=54390 PE=3 SV=1</t>
        </is>
      </c>
      <c r="M6122" t="n">
        <v>580</v>
      </c>
      <c r="N6122" t="inlineStr">
        <is>
          <t>Micrurus corallinus</t>
        </is>
      </c>
      <c r="O6122" t="inlineStr">
        <is>
          <t>ribonuclease H (Fragment)</t>
        </is>
      </c>
    </row>
    <row r="6123">
      <c r="A6123" t="inlineStr"/>
      <c r="B6123" t="inlineStr"/>
      <c r="C6123" t="inlineStr"/>
      <c r="D6123" t="inlineStr"/>
      <c r="E6123">
        <f>HYPERLINK("https://www.ncbi.nlm.nih.gov/gene/?term=XP_041444543.1", "XP_041444543.1")</f>
        <v/>
      </c>
      <c r="F6123" t="n">
        <v>35.1</v>
      </c>
      <c r="G6123" t="n">
        <v>148</v>
      </c>
      <c r="H6123" t="n">
        <v>6.440000000000001e-21</v>
      </c>
      <c r="I6123" t="inlineStr">
        <is>
          <t>Nr</t>
        </is>
      </c>
      <c r="J6123" t="inlineStr"/>
      <c r="K6123" t="inlineStr"/>
      <c r="L6123" t="inlineStr">
        <is>
          <t>XP_041444543.1 lamina-associated polypeptide 2-like [Xenopus laevis]</t>
        </is>
      </c>
      <c r="M6123" t="n">
        <v>449</v>
      </c>
      <c r="N6123" t="inlineStr">
        <is>
          <t>Xenopus laevis</t>
        </is>
      </c>
      <c r="O6123" t="inlineStr">
        <is>
          <t>lamina-associated polypeptide 2-like</t>
        </is>
      </c>
    </row>
    <row r="6124">
      <c r="A6124" t="inlineStr"/>
      <c r="B6124" t="inlineStr"/>
      <c r="C6124" t="inlineStr"/>
      <c r="D6124" t="inlineStr"/>
      <c r="E6124">
        <f>HYPERLINK("https://www.uniprot.org/uniprotkb/A0A2D4LGD3/entry", "A0A2D4LGD3")</f>
        <v/>
      </c>
      <c r="F6124" t="n">
        <v>41.8</v>
      </c>
      <c r="G6124" t="n">
        <v>122</v>
      </c>
      <c r="H6124" t="n">
        <v>6.480000000000001e-21</v>
      </c>
      <c r="I6124" t="inlineStr">
        <is>
          <t>TrEMBL</t>
        </is>
      </c>
      <c r="J6124" t="inlineStr"/>
      <c r="K6124" t="inlineStr">
        <is>
          <t>A0A2D4LGD3_9SAUR</t>
        </is>
      </c>
      <c r="L6124" t="inlineStr">
        <is>
          <t>tr|A0A2D4LGD3|A0A2D4LGD3_9SAUR RNase H domain-containing protein (Fragment) OS=Micrurus spixii OX=129469 PE=4 SV=1</t>
        </is>
      </c>
      <c r="M6124" t="n">
        <v>213</v>
      </c>
      <c r="N6124" t="inlineStr">
        <is>
          <t>Micrurus spixii</t>
        </is>
      </c>
      <c r="O6124" t="inlineStr">
        <is>
          <t>RNase H domain-containing protein (Fragment)</t>
        </is>
      </c>
    </row>
    <row r="6125">
      <c r="A6125" t="inlineStr"/>
      <c r="B6125" t="inlineStr"/>
      <c r="C6125" t="inlineStr"/>
      <c r="D6125" t="inlineStr"/>
      <c r="E6125">
        <f>HYPERLINK("https://www.uniprot.org/uniprotkb/A0A2D4J0A8/entry", "A0A2D4J0A8")</f>
        <v/>
      </c>
      <c r="F6125" t="n">
        <v>42.6</v>
      </c>
      <c r="G6125" t="n">
        <v>122</v>
      </c>
      <c r="H6125" t="n">
        <v>7.010000000000001e-21</v>
      </c>
      <c r="I6125" t="inlineStr">
        <is>
          <t>TrEMBL</t>
        </is>
      </c>
      <c r="J6125" t="inlineStr"/>
      <c r="K6125" t="inlineStr">
        <is>
          <t>A0A2D4J0A8_MICLE</t>
        </is>
      </c>
      <c r="L6125" t="inlineStr">
        <is>
          <t>tr|A0A2D4J0A8|A0A2D4J0A8_MICLE ribonuclease H OS=Micrurus lemniscatus lemniscatus OX=129467 PE=3 SV=1</t>
        </is>
      </c>
      <c r="M6125" t="n">
        <v>664</v>
      </c>
      <c r="N6125" t="inlineStr">
        <is>
          <t>Micrurus lemniscatus lemniscatus</t>
        </is>
      </c>
      <c r="O6125" t="inlineStr">
        <is>
          <t>ribonuclease H</t>
        </is>
      </c>
    </row>
    <row r="6126">
      <c r="A6126" t="inlineStr"/>
      <c r="B6126" t="inlineStr"/>
      <c r="C6126" t="inlineStr"/>
      <c r="D6126" t="inlineStr"/>
      <c r="E6126">
        <f>HYPERLINK("https://www.ncbi.nlm.nih.gov/gene/?term=XP_041441257.1", "XP_041441257.1")</f>
        <v/>
      </c>
      <c r="F6126" t="n">
        <v>33.7</v>
      </c>
      <c r="G6126" t="n">
        <v>187</v>
      </c>
      <c r="H6126" t="n">
        <v>8.080000000000001e-21</v>
      </c>
      <c r="I6126" t="inlineStr">
        <is>
          <t>Nr</t>
        </is>
      </c>
      <c r="J6126" t="inlineStr"/>
      <c r="K6126" t="inlineStr"/>
      <c r="L6126" t="inlineStr">
        <is>
          <t>XP_041441257.1 lamina-associated polypeptide 2-like [Xenopus laevis]</t>
        </is>
      </c>
      <c r="M6126" t="n">
        <v>486</v>
      </c>
      <c r="N6126" t="inlineStr">
        <is>
          <t>Xenopus laevis</t>
        </is>
      </c>
      <c r="O6126" t="inlineStr">
        <is>
          <t>lamina-associated polypeptide 2-like</t>
        </is>
      </c>
    </row>
    <row r="6127">
      <c r="A6127" t="inlineStr"/>
      <c r="B6127" t="inlineStr"/>
      <c r="C6127" t="inlineStr"/>
      <c r="D6127" t="inlineStr"/>
      <c r="E6127">
        <f>HYPERLINK("https://www.ncbi.nlm.nih.gov/gene/?term=XP_041427578.1", "XP_041427578.1")</f>
        <v/>
      </c>
      <c r="F6127" t="n">
        <v>36.6</v>
      </c>
      <c r="G6127" t="n">
        <v>164</v>
      </c>
      <c r="H6127" t="n">
        <v>8.11e-21</v>
      </c>
      <c r="I6127" t="inlineStr">
        <is>
          <t>Nr</t>
        </is>
      </c>
      <c r="J6127" t="inlineStr"/>
      <c r="K6127" t="inlineStr"/>
      <c r="L6127" t="inlineStr">
        <is>
          <t>XP_041427578.1 lamina-associated polypeptide 2, isoforms alpha/zeta-like isoform X3 [Xenopus laevis]</t>
        </is>
      </c>
      <c r="M6127" t="n">
        <v>437</v>
      </c>
      <c r="N6127" t="inlineStr">
        <is>
          <t>Xenopus laevis</t>
        </is>
      </c>
      <c r="O6127" t="inlineStr">
        <is>
          <t>lamina-associated polypeptide 2, isoforms alpha/zeta-like isoform X3</t>
        </is>
      </c>
    </row>
    <row r="6128">
      <c r="A6128" t="inlineStr"/>
      <c r="B6128" t="inlineStr"/>
      <c r="C6128" t="inlineStr"/>
      <c r="D6128" t="inlineStr"/>
      <c r="E6128">
        <f>HYPERLINK("https://www.ncbi.nlm.nih.gov/gene/?term=XP_041437348.1", "XP_041437348.1")</f>
        <v/>
      </c>
      <c r="F6128" t="n">
        <v>36.6</v>
      </c>
      <c r="G6128" t="n">
        <v>164</v>
      </c>
      <c r="H6128" t="n">
        <v>8.11e-21</v>
      </c>
      <c r="I6128" t="inlineStr">
        <is>
          <t>Nr</t>
        </is>
      </c>
      <c r="J6128" t="inlineStr"/>
      <c r="K6128" t="inlineStr"/>
      <c r="L6128" t="inlineStr">
        <is>
          <t>XP_041437348.1 lamina-associated polypeptide 2, isoforms alpha/zeta-like isoform X2 [Xenopus laevis]</t>
        </is>
      </c>
      <c r="M6128" t="n">
        <v>437</v>
      </c>
      <c r="N6128" t="inlineStr">
        <is>
          <t>Xenopus laevis</t>
        </is>
      </c>
      <c r="O6128" t="inlineStr">
        <is>
          <t>lamina-associated polypeptide 2, isoforms alpha/zeta-like isoform X2</t>
        </is>
      </c>
    </row>
    <row r="6129">
      <c r="A6129" t="inlineStr"/>
      <c r="B6129" t="inlineStr"/>
      <c r="C6129" t="inlineStr"/>
      <c r="D6129" t="inlineStr"/>
      <c r="E6129">
        <f>HYPERLINK("https://www.ncbi.nlm.nih.gov/gene/?term=XP_041424178.1", "XP_041424178.1")</f>
        <v/>
      </c>
      <c r="F6129" t="n">
        <v>36.6</v>
      </c>
      <c r="G6129" t="n">
        <v>164</v>
      </c>
      <c r="H6129" t="n">
        <v>8.11e-21</v>
      </c>
      <c r="I6129" t="inlineStr">
        <is>
          <t>Nr</t>
        </is>
      </c>
      <c r="J6129" t="inlineStr"/>
      <c r="K6129" t="inlineStr"/>
      <c r="L6129" t="inlineStr">
        <is>
          <t>XP_041424178.1 lamina-associated polypeptide 2, isoforms alpha/zeta-like isoform X2 [Xenopus laevis]</t>
        </is>
      </c>
      <c r="M6129" t="n">
        <v>437</v>
      </c>
      <c r="N6129" t="inlineStr">
        <is>
          <t>Xenopus laevis</t>
        </is>
      </c>
      <c r="O6129" t="inlineStr">
        <is>
          <t>lamina-associated polypeptide 2, isoforms alpha/zeta-like isoform X2</t>
        </is>
      </c>
    </row>
    <row r="6130">
      <c r="A6130" t="inlineStr"/>
      <c r="B6130" t="inlineStr"/>
      <c r="C6130" t="inlineStr"/>
      <c r="D6130" t="inlineStr"/>
      <c r="E6130">
        <f>HYPERLINK("https://www.ncbi.nlm.nih.gov/gene/?term=XP_041424177.1", "XP_041424177.1")</f>
        <v/>
      </c>
      <c r="F6130" t="n">
        <v>36.6</v>
      </c>
      <c r="G6130" t="n">
        <v>164</v>
      </c>
      <c r="H6130" t="n">
        <v>8.73e-21</v>
      </c>
      <c r="I6130" t="inlineStr">
        <is>
          <t>Nr</t>
        </is>
      </c>
      <c r="J6130" t="inlineStr"/>
      <c r="K6130" t="inlineStr"/>
      <c r="L6130" t="inlineStr">
        <is>
          <t>XP_041424177.1 uncharacterized protein LOC121395214 isoform X1 [Xenopus laevis]</t>
        </is>
      </c>
      <c r="M6130" t="n">
        <v>447</v>
      </c>
      <c r="N6130" t="inlineStr">
        <is>
          <t>Xenopus laevis</t>
        </is>
      </c>
      <c r="O6130" t="inlineStr">
        <is>
          <t>uncharacterized protein LOC121395214 isoform X1</t>
        </is>
      </c>
    </row>
    <row r="6131">
      <c r="A6131" t="inlineStr"/>
      <c r="B6131" t="inlineStr"/>
      <c r="C6131" t="inlineStr"/>
      <c r="D6131" t="inlineStr"/>
      <c r="E6131">
        <f>HYPERLINK("https://www.ncbi.nlm.nih.gov/gene/?term=XP_042329170.1", "XP_042329170.1")</f>
        <v/>
      </c>
      <c r="F6131" t="n">
        <v>31.4</v>
      </c>
      <c r="G6131" t="n">
        <v>220</v>
      </c>
      <c r="H6131" t="n">
        <v>1.28e-20</v>
      </c>
      <c r="I6131" t="inlineStr">
        <is>
          <t>Nr</t>
        </is>
      </c>
      <c r="J6131" t="inlineStr"/>
      <c r="K6131" t="inlineStr"/>
      <c r="L6131" t="inlineStr">
        <is>
          <t>XP_042329170.1 uncharacterized protein LOC121933463 [Sceloporus undulatus]</t>
        </is>
      </c>
      <c r="M6131" t="n">
        <v>303</v>
      </c>
      <c r="N6131" t="inlineStr">
        <is>
          <t>Sceloporus undulatus</t>
        </is>
      </c>
      <c r="O6131" t="inlineStr">
        <is>
          <t>uncharacterized protein LOC121933463</t>
        </is>
      </c>
    </row>
    <row r="6132">
      <c r="A6132" t="inlineStr"/>
      <c r="B6132" t="inlineStr"/>
      <c r="C6132" t="inlineStr"/>
      <c r="D6132" t="inlineStr"/>
      <c r="E6132">
        <f>HYPERLINK("https://www.uniprot.org/uniprotkb/A0A2D4LGB9/entry", "A0A2D4LGB9")</f>
        <v/>
      </c>
      <c r="F6132" t="n">
        <v>42.6</v>
      </c>
      <c r="G6132" t="n">
        <v>122</v>
      </c>
      <c r="H6132" t="n">
        <v>1.62e-20</v>
      </c>
      <c r="I6132" t="inlineStr">
        <is>
          <t>TrEMBL</t>
        </is>
      </c>
      <c r="J6132" t="inlineStr"/>
      <c r="K6132" t="inlineStr">
        <is>
          <t>A0A2D4LGB9_9SAUR</t>
        </is>
      </c>
      <c r="L6132" t="inlineStr">
        <is>
          <t>tr|A0A2D4LGB9|A0A2D4LGB9_9SAUR RT_RNaseH domain-containing protein (Fragment) OS=Micrurus spixii OX=129469 PE=4 SV=1</t>
        </is>
      </c>
      <c r="M6132" t="n">
        <v>180</v>
      </c>
      <c r="N6132" t="inlineStr">
        <is>
          <t>Micrurus spixii</t>
        </is>
      </c>
      <c r="O6132" t="inlineStr">
        <is>
          <t>RT_RNaseH domain-containing protein (Fragment)</t>
        </is>
      </c>
    </row>
    <row r="6133">
      <c r="A6133" t="inlineStr"/>
      <c r="B6133" t="inlineStr"/>
      <c r="C6133" t="inlineStr"/>
      <c r="D6133" t="inlineStr"/>
      <c r="E6133">
        <f>HYPERLINK("https://www.ncbi.nlm.nih.gov/gene/?term=XP_015274387.1", "XP_015274387.1")</f>
        <v/>
      </c>
      <c r="F6133" t="n">
        <v>33.3</v>
      </c>
      <c r="G6133" t="n">
        <v>222</v>
      </c>
      <c r="H6133" t="n">
        <v>1.63e-20</v>
      </c>
      <c r="I6133" t="inlineStr">
        <is>
          <t>Nr</t>
        </is>
      </c>
      <c r="J6133" t="inlineStr"/>
      <c r="K6133" t="inlineStr"/>
      <c r="L6133" t="inlineStr">
        <is>
          <t>XP_015274387.1 PREDICTED: uncharacterized protein KIAA0232 homolog [Gekko japonicus]</t>
        </is>
      </c>
      <c r="M6133" t="n">
        <v>2010</v>
      </c>
      <c r="N6133" t="inlineStr">
        <is>
          <t>Gekko japonicus</t>
        </is>
      </c>
      <c r="O6133" t="inlineStr">
        <is>
          <t>PREDICTED: uncharacterized protein KIAA0232 homolog</t>
        </is>
      </c>
    </row>
    <row r="6134">
      <c r="A6134" t="inlineStr"/>
      <c r="B6134" t="inlineStr"/>
      <c r="C6134" t="inlineStr"/>
      <c r="D6134" t="inlineStr"/>
      <c r="E6134">
        <f>HYPERLINK("https://www.uniprot.org/uniprotkb/A0A1W7RDQ0/entry", "A0A1W7RDQ0")</f>
        <v/>
      </c>
      <c r="F6134" t="n">
        <v>45.1</v>
      </c>
      <c r="G6134" t="n">
        <v>122</v>
      </c>
      <c r="H6134" t="n">
        <v>2.13e-20</v>
      </c>
      <c r="I6134" t="inlineStr">
        <is>
          <t>TrEMBL</t>
        </is>
      </c>
      <c r="J6134" t="inlineStr"/>
      <c r="K6134" t="inlineStr">
        <is>
          <t>A0A1W7RDQ0_AGKCO</t>
        </is>
      </c>
      <c r="L6134" t="inlineStr">
        <is>
          <t>tr|A0A1W7RDQ0|A0A1W7RDQ0_AGKCO ribonuclease H OS=Agkistrodon contortrix contortrix OX=8713 PE=3 SV=1</t>
        </is>
      </c>
      <c r="M6134" t="n">
        <v>567</v>
      </c>
      <c r="N6134" t="inlineStr">
        <is>
          <t>Agkistrodon contortrix contortrix</t>
        </is>
      </c>
      <c r="O6134" t="inlineStr">
        <is>
          <t>ribonuclease H</t>
        </is>
      </c>
    </row>
    <row r="6135">
      <c r="A6135" t="inlineStr"/>
      <c r="B6135" t="inlineStr"/>
      <c r="C6135" t="inlineStr"/>
      <c r="D6135" t="inlineStr"/>
      <c r="E6135">
        <f>HYPERLINK("https://www.uniprot.org/uniprotkb/A0A6P9D0P1/entry", "A0A6P9D0P1")</f>
        <v/>
      </c>
      <c r="F6135" t="n">
        <v>43.4</v>
      </c>
      <c r="G6135" t="n">
        <v>122</v>
      </c>
      <c r="H6135" t="n">
        <v>5.08e-20</v>
      </c>
      <c r="I6135" t="inlineStr">
        <is>
          <t>TrEMBL</t>
        </is>
      </c>
      <c r="J6135" t="inlineStr">
        <is>
          <t>LOC117675085</t>
        </is>
      </c>
      <c r="K6135" t="inlineStr">
        <is>
          <t>A0A6P9D0P1_PANGU</t>
        </is>
      </c>
      <c r="L6135" t="inlineStr">
        <is>
          <t>tr|A0A6P9D0P1|A0A6P9D0P1_PANGU ribonuclease H OS=Pantherophis guttatus OX=94885 GN=LOC117675085 PE=3 SV=1</t>
        </is>
      </c>
      <c r="M6135" t="n">
        <v>1211</v>
      </c>
      <c r="N6135" t="inlineStr">
        <is>
          <t>Pantherophis guttatus</t>
        </is>
      </c>
      <c r="O6135" t="inlineStr">
        <is>
          <t>ribonuclease H</t>
        </is>
      </c>
    </row>
    <row r="6136">
      <c r="A6136" t="inlineStr"/>
      <c r="B6136" t="inlineStr"/>
      <c r="C6136" t="inlineStr"/>
      <c r="D6136" t="inlineStr"/>
      <c r="E6136">
        <f>HYPERLINK("https://www.ncbi.nlm.nih.gov/gene/?term=XP_014353257.1", "XP_014353257.1")</f>
        <v/>
      </c>
      <c r="F6136" t="n">
        <v>41.8</v>
      </c>
      <c r="G6136" t="n">
        <v>122</v>
      </c>
      <c r="H6136" t="n">
        <v>5.18e-20</v>
      </c>
      <c r="I6136" t="inlineStr">
        <is>
          <t>Nr</t>
        </is>
      </c>
      <c r="J6136" t="inlineStr"/>
      <c r="K6136" t="inlineStr"/>
      <c r="L6136" t="inlineStr">
        <is>
          <t>XP_014353257.1 PREDICTED: uncharacterized protein LOC106706602 [Latimeria chalumnae]</t>
        </is>
      </c>
      <c r="M6136" t="n">
        <v>308</v>
      </c>
      <c r="N6136" t="inlineStr">
        <is>
          <t>Latimeria chalumnae</t>
        </is>
      </c>
      <c r="O6136" t="inlineStr">
        <is>
          <t>PREDICTED: uncharacterized protein LOC106706602</t>
        </is>
      </c>
    </row>
    <row r="6137">
      <c r="A6137" t="inlineStr"/>
      <c r="B6137" t="inlineStr"/>
      <c r="C6137" t="inlineStr"/>
      <c r="D6137" t="inlineStr"/>
      <c r="E6137">
        <f>HYPERLINK("https://www.ncbi.nlm.nih.gov/gene/?term=XP_048352202.1", "XP_048352202.1")</f>
        <v/>
      </c>
      <c r="F6137" t="n">
        <v>29.6</v>
      </c>
      <c r="G6137" t="n">
        <v>223</v>
      </c>
      <c r="H6137" t="n">
        <v>9.34e-20</v>
      </c>
      <c r="I6137" t="inlineStr">
        <is>
          <t>Nr</t>
        </is>
      </c>
      <c r="J6137" t="inlineStr"/>
      <c r="K6137" t="inlineStr"/>
      <c r="L6137" t="inlineStr">
        <is>
          <t>XP_048352202.1 uncharacterized protein LOC125432571 [Sphaerodactylus townsendi]</t>
        </is>
      </c>
      <c r="M6137" t="n">
        <v>379</v>
      </c>
      <c r="N6137" t="inlineStr">
        <is>
          <t>Sphaerodactylus townsendi</t>
        </is>
      </c>
      <c r="O6137" t="inlineStr">
        <is>
          <t>uncharacterized protein LOC125432571</t>
        </is>
      </c>
    </row>
    <row r="6138">
      <c r="A6138" t="inlineStr"/>
      <c r="B6138" t="inlineStr"/>
      <c r="C6138" t="inlineStr"/>
      <c r="D6138" t="inlineStr"/>
      <c r="E6138">
        <f>HYPERLINK("https://www.ncbi.nlm.nih.gov/gene/?term=XP_034289304.1", "XP_034289304.1")</f>
        <v/>
      </c>
      <c r="F6138" t="n">
        <v>43.4</v>
      </c>
      <c r="G6138" t="n">
        <v>122</v>
      </c>
      <c r="H6138" t="n">
        <v>1.3e-19</v>
      </c>
      <c r="I6138" t="inlineStr">
        <is>
          <t>Nr</t>
        </is>
      </c>
      <c r="J6138" t="inlineStr"/>
      <c r="K6138" t="inlineStr"/>
      <c r="L6138" t="inlineStr">
        <is>
          <t>XP_034289304.1 uncharacterized protein LOC117675085 [Pantherophis guttatus]</t>
        </is>
      </c>
      <c r="M6138" t="n">
        <v>1211</v>
      </c>
      <c r="N6138" t="inlineStr">
        <is>
          <t>Pantherophis guttatus</t>
        </is>
      </c>
      <c r="O6138" t="inlineStr">
        <is>
          <t>uncharacterized protein LOC117675085</t>
        </is>
      </c>
    </row>
    <row r="6139">
      <c r="A6139" t="inlineStr"/>
      <c r="B6139" t="inlineStr"/>
      <c r="C6139" t="inlineStr"/>
      <c r="D6139" t="inlineStr"/>
      <c r="E6139">
        <f>HYPERLINK("https://www.ncbi.nlm.nih.gov/gene/?term=XP_040275510.1", "XP_040275510.1")</f>
        <v/>
      </c>
      <c r="F6139" t="n">
        <v>58.5</v>
      </c>
      <c r="G6139" t="n">
        <v>82</v>
      </c>
      <c r="H6139" t="n">
        <v>1.34e-19</v>
      </c>
      <c r="I6139" t="inlineStr">
        <is>
          <t>Nr</t>
        </is>
      </c>
      <c r="J6139" t="inlineStr"/>
      <c r="K6139" t="inlineStr"/>
      <c r="L6139" t="inlineStr">
        <is>
          <t>XP_040275510.1 oocyte zinc finger protein XlCOF6.1-like [Bufo bufo]</t>
        </is>
      </c>
      <c r="M6139" t="n">
        <v>418</v>
      </c>
      <c r="N6139" t="inlineStr">
        <is>
          <t>Bufo bufo</t>
        </is>
      </c>
      <c r="O6139" t="inlineStr">
        <is>
          <t>oocyte zinc finger protein XlCOF6.1-like</t>
        </is>
      </c>
    </row>
    <row r="6140">
      <c r="A6140" t="inlineStr"/>
      <c r="B6140" t="inlineStr"/>
      <c r="C6140" t="inlineStr"/>
      <c r="D6140" t="inlineStr"/>
      <c r="E6140">
        <f>HYPERLINK("https://www.ncbi.nlm.nih.gov/gene/?term=KAG8573945.1", "KAG8573945.1")</f>
        <v/>
      </c>
      <c r="F6140" t="n">
        <v>42.7</v>
      </c>
      <c r="G6140" t="n">
        <v>124</v>
      </c>
      <c r="H6140" t="n">
        <v>1.66e-19</v>
      </c>
      <c r="I6140" t="inlineStr">
        <is>
          <t>Nr</t>
        </is>
      </c>
      <c r="J6140" t="inlineStr"/>
      <c r="K6140" t="inlineStr"/>
      <c r="L6140" t="inlineStr">
        <is>
          <t>KAG8573945.1 hypothetical protein GDO81_008956 [Engystomops pustulosus]</t>
        </is>
      </c>
      <c r="M6140" t="n">
        <v>226</v>
      </c>
      <c r="N6140" t="inlineStr">
        <is>
          <t>Engystomops pustulosus</t>
        </is>
      </c>
      <c r="O6140" t="inlineStr">
        <is>
          <t>hypothetical protein GDO81_008956</t>
        </is>
      </c>
    </row>
    <row r="6141">
      <c r="A6141" t="inlineStr"/>
      <c r="B6141" t="inlineStr"/>
      <c r="C6141" t="inlineStr"/>
      <c r="D6141" t="inlineStr"/>
      <c r="E6141">
        <f>HYPERLINK("https://www.ncbi.nlm.nih.gov/gene/?term=KAG8583453.1", "KAG8583453.1")</f>
        <v/>
      </c>
      <c r="F6141" t="n">
        <v>41</v>
      </c>
      <c r="G6141" t="n">
        <v>122</v>
      </c>
      <c r="H6141" t="n">
        <v>1.87e-19</v>
      </c>
      <c r="I6141" t="inlineStr">
        <is>
          <t>Nr</t>
        </is>
      </c>
      <c r="J6141" t="inlineStr"/>
      <c r="K6141" t="inlineStr"/>
      <c r="L6141" t="inlineStr">
        <is>
          <t>KAG8583453.1 hypothetical protein GDO81_008420 [Engystomops pustulosus]</t>
        </is>
      </c>
      <c r="M6141" t="n">
        <v>563</v>
      </c>
      <c r="N6141" t="inlineStr">
        <is>
          <t>Engystomops pustulosus</t>
        </is>
      </c>
      <c r="O6141" t="inlineStr">
        <is>
          <t>hypothetical protein GDO81_008420</t>
        </is>
      </c>
    </row>
    <row r="6142">
      <c r="A6142" t="inlineStr"/>
      <c r="B6142" t="inlineStr"/>
      <c r="C6142" t="inlineStr"/>
      <c r="D6142" t="inlineStr"/>
      <c r="E6142">
        <f>HYPERLINK("https://www.uniprot.org/uniprotkb/A0A8J1J4M0/entry", "A0A8J1J4M0")</f>
        <v/>
      </c>
      <c r="F6142" t="n">
        <v>44.3</v>
      </c>
      <c r="G6142" t="n">
        <v>122</v>
      </c>
      <c r="H6142" t="n">
        <v>2.42e-19</v>
      </c>
      <c r="I6142" t="inlineStr">
        <is>
          <t>TrEMBL</t>
        </is>
      </c>
      <c r="J6142" t="inlineStr">
        <is>
          <t>LOC101731022</t>
        </is>
      </c>
      <c r="K6142" t="inlineStr">
        <is>
          <t>A0A8J1J4M0_XENTR</t>
        </is>
      </c>
      <c r="L6142" t="inlineStr">
        <is>
          <t>tr|A0A8J1J4M0|A0A8J1J4M0_XENTR uncharacterized protein LOC101731022 isoform X4 OS=Xenopus tropicalis OX=8364 GN=LOC101731022 PE=4 SV=1</t>
        </is>
      </c>
      <c r="M6142" t="n">
        <v>375</v>
      </c>
      <c r="N6142" t="inlineStr">
        <is>
          <t>Xenopus tropicalis</t>
        </is>
      </c>
      <c r="O6142" t="inlineStr">
        <is>
          <t>uncharacterized protein LOC101731022 isoform X4</t>
        </is>
      </c>
    </row>
    <row r="6143">
      <c r="A6143" t="inlineStr"/>
      <c r="B6143" t="inlineStr"/>
      <c r="C6143" t="inlineStr"/>
      <c r="D6143" t="inlineStr"/>
      <c r="E6143">
        <f>HYPERLINK("https://www.ncbi.nlm.nih.gov/gene/?term=XP_040203676.1", "XP_040203676.1")</f>
        <v/>
      </c>
      <c r="F6143" t="n">
        <v>33.2</v>
      </c>
      <c r="G6143" t="n">
        <v>217</v>
      </c>
      <c r="H6143" t="n">
        <v>3e-19</v>
      </c>
      <c r="I6143" t="inlineStr">
        <is>
          <t>Nr</t>
        </is>
      </c>
      <c r="J6143" t="inlineStr"/>
      <c r="K6143" t="inlineStr"/>
      <c r="L6143" t="inlineStr">
        <is>
          <t>XP_040203676.1 uncharacterized protein LOC120935688 [Rana temporaria]</t>
        </is>
      </c>
      <c r="M6143" t="n">
        <v>797</v>
      </c>
      <c r="N6143" t="inlineStr">
        <is>
          <t>Rana temporaria</t>
        </is>
      </c>
      <c r="O6143" t="inlineStr">
        <is>
          <t>uncharacterized protein LOC120935688</t>
        </is>
      </c>
    </row>
    <row r="6144">
      <c r="A6144" t="inlineStr"/>
      <c r="B6144" t="inlineStr"/>
      <c r="C6144" t="inlineStr"/>
      <c r="D6144" t="inlineStr"/>
      <c r="E6144">
        <f>HYPERLINK("https://www.uniprot.org/uniprotkb/A0A3S5BVB7/entry", "A0A3S5BVB7")</f>
        <v/>
      </c>
      <c r="F6144" t="n">
        <v>34.4</v>
      </c>
      <c r="G6144" t="n">
        <v>218</v>
      </c>
      <c r="H6144" t="n">
        <v>3.85e-19</v>
      </c>
      <c r="I6144" t="inlineStr">
        <is>
          <t>TrEMBL</t>
        </is>
      </c>
      <c r="J6144" t="inlineStr">
        <is>
          <t>PXEA_LOCUS35194</t>
        </is>
      </c>
      <c r="K6144" t="inlineStr">
        <is>
          <t>A0A3S5BVB7_9PLAT</t>
        </is>
      </c>
      <c r="L6144" t="inlineStr">
        <is>
          <t>tr|A0A3S5BVB7|A0A3S5BVB7_9PLAT ANK_REP_REGION domain-containing protein OS=Protopolystoma xenopodis OX=117903 GN=PXEA_LOCUS35194 PE=4 SV=1</t>
        </is>
      </c>
      <c r="M6144" t="n">
        <v>431</v>
      </c>
      <c r="N6144" t="inlineStr">
        <is>
          <t>Protopolystoma xenopodis</t>
        </is>
      </c>
      <c r="O6144" t="inlineStr">
        <is>
          <t>ANK_REP_REGION domain-containing protein</t>
        </is>
      </c>
    </row>
    <row r="6145">
      <c r="A6145" t="inlineStr"/>
      <c r="B6145" t="inlineStr"/>
      <c r="C6145" t="inlineStr"/>
      <c r="D6145" t="inlineStr"/>
      <c r="E6145">
        <f>HYPERLINK("https://www.ncbi.nlm.nih.gov/gene/?term=XP_039190879.1", "XP_039190879.1")</f>
        <v/>
      </c>
      <c r="F6145" t="n">
        <v>31.1</v>
      </c>
      <c r="G6145" t="n">
        <v>222</v>
      </c>
      <c r="H6145" t="n">
        <v>4.16e-19</v>
      </c>
      <c r="I6145" t="inlineStr">
        <is>
          <t>Nr</t>
        </is>
      </c>
      <c r="J6145" t="inlineStr"/>
      <c r="K6145" t="inlineStr"/>
      <c r="L6145" t="inlineStr">
        <is>
          <t>XP_039190879.1 uncharacterized protein LOC120304425 [Crotalus tigris]</t>
        </is>
      </c>
      <c r="M6145" t="n">
        <v>870</v>
      </c>
      <c r="N6145" t="inlineStr">
        <is>
          <t>Crotalus tigris</t>
        </is>
      </c>
      <c r="O6145" t="inlineStr">
        <is>
          <t>uncharacterized protein LOC120304425</t>
        </is>
      </c>
    </row>
    <row r="6146">
      <c r="A6146" t="inlineStr"/>
      <c r="B6146" t="inlineStr"/>
      <c r="C6146" t="inlineStr"/>
      <c r="D6146" t="inlineStr"/>
      <c r="E6146">
        <f>HYPERLINK("https://www.uniprot.org/uniprotkb/A0A2D4KIP0/entry", "A0A2D4KIP0")</f>
        <v/>
      </c>
      <c r="F6146" t="n">
        <v>40.2</v>
      </c>
      <c r="G6146" t="n">
        <v>122</v>
      </c>
      <c r="H6146" t="n">
        <v>6.03e-19</v>
      </c>
      <c r="I6146" t="inlineStr">
        <is>
          <t>TrEMBL</t>
        </is>
      </c>
      <c r="J6146" t="inlineStr"/>
      <c r="K6146" t="inlineStr">
        <is>
          <t>A0A2D4KIP0_9SAUR</t>
        </is>
      </c>
      <c r="L6146" t="inlineStr">
        <is>
          <t>tr|A0A2D4KIP0|A0A2D4KIP0_9SAUR Endonuclease (Fragment) OS=Micrurus paraensis OX=1970185 PE=4 SV=1</t>
        </is>
      </c>
      <c r="M6146" t="n">
        <v>190</v>
      </c>
      <c r="N6146" t="inlineStr">
        <is>
          <t>Micrurus paraensis</t>
        </is>
      </c>
      <c r="O6146" t="inlineStr">
        <is>
          <t>Endonuclease (Fragment)</t>
        </is>
      </c>
    </row>
    <row r="6147">
      <c r="A6147" t="inlineStr"/>
      <c r="B6147" t="inlineStr"/>
      <c r="C6147" t="inlineStr"/>
      <c r="D6147" t="inlineStr"/>
      <c r="E6147">
        <f>HYPERLINK("https://www.uniprot.org/uniprotkb/A0A6P9ANZ3/entry", "A0A6P9ANZ3")</f>
        <v/>
      </c>
      <c r="F6147" t="n">
        <v>43.9</v>
      </c>
      <c r="G6147" t="n">
        <v>123</v>
      </c>
      <c r="H6147" t="n">
        <v>6.39e-19</v>
      </c>
      <c r="I6147" t="inlineStr">
        <is>
          <t>TrEMBL</t>
        </is>
      </c>
      <c r="J6147" t="inlineStr">
        <is>
          <t>LOC117655422</t>
        </is>
      </c>
      <c r="K6147" t="inlineStr">
        <is>
          <t>A0A6P9ANZ3_PANGU</t>
        </is>
      </c>
      <c r="L6147" t="inlineStr">
        <is>
          <t>tr|A0A6P9ANZ3|A0A6P9ANZ3_PANGU uncharacterized protein LOC117655422 OS=Pantherophis guttatus OX=94885 GN=LOC117655422 PE=4 SV=1</t>
        </is>
      </c>
      <c r="M6147" t="n">
        <v>413</v>
      </c>
      <c r="N6147" t="inlineStr">
        <is>
          <t>Pantherophis guttatus</t>
        </is>
      </c>
      <c r="O6147" t="inlineStr">
        <is>
          <t>uncharacterized protein LOC117655422</t>
        </is>
      </c>
    </row>
    <row r="6148">
      <c r="A6148" t="inlineStr"/>
      <c r="B6148" t="inlineStr"/>
      <c r="C6148" t="inlineStr"/>
      <c r="D6148" t="inlineStr"/>
      <c r="E6148">
        <f>HYPERLINK("https://www.uniprot.org/uniprotkb/A0A8J1MS43/entry", "A0A8J1MS43")</f>
        <v/>
      </c>
      <c r="F6148" t="n">
        <v>41.9</v>
      </c>
      <c r="G6148" t="n">
        <v>124</v>
      </c>
      <c r="H6148" t="n">
        <v>1.43e-18</v>
      </c>
      <c r="I6148" t="inlineStr">
        <is>
          <t>TrEMBL</t>
        </is>
      </c>
      <c r="J6148" t="inlineStr">
        <is>
          <t>LOC121402168</t>
        </is>
      </c>
      <c r="K6148" t="inlineStr">
        <is>
          <t>A0A8J1MS43_XENLA</t>
        </is>
      </c>
      <c r="L6148" t="inlineStr">
        <is>
          <t>tr|A0A8J1MS43|A0A8J1MS43_XENLA ribonuclease H OS=Xenopus laevis OX=8355 GN=LOC121402168 PE=3 SV=1</t>
        </is>
      </c>
      <c r="M6148" t="n">
        <v>1068</v>
      </c>
      <c r="N6148" t="inlineStr">
        <is>
          <t>Xenopus laevis</t>
        </is>
      </c>
      <c r="O6148" t="inlineStr">
        <is>
          <t>ribonuclease H</t>
        </is>
      </c>
    </row>
    <row r="6149">
      <c r="A6149" t="inlineStr"/>
      <c r="B6149" t="inlineStr"/>
      <c r="C6149" t="inlineStr"/>
      <c r="D6149" t="inlineStr"/>
      <c r="E6149">
        <f>HYPERLINK("https://www.uniprot.org/uniprotkb/A0A8J1JBZ2/entry", "A0A8J1JBZ2")</f>
        <v/>
      </c>
      <c r="F6149" t="n">
        <v>40.2</v>
      </c>
      <c r="G6149" t="n">
        <v>122</v>
      </c>
      <c r="H6149" t="n">
        <v>3.19e-18</v>
      </c>
      <c r="I6149" t="inlineStr">
        <is>
          <t>TrEMBL</t>
        </is>
      </c>
      <c r="J6149" t="inlineStr">
        <is>
          <t>LOC116409839</t>
        </is>
      </c>
      <c r="K6149" t="inlineStr">
        <is>
          <t>A0A8J1JBZ2_XENTR</t>
        </is>
      </c>
      <c r="L6149" t="inlineStr">
        <is>
          <t>tr|A0A8J1JBZ2|A0A8J1JBZ2_XENTR uncharacterized protein LOC116409839 OS=Xenopus tropicalis OX=8364 GN=LOC116409839 PE=4 SV=1</t>
        </is>
      </c>
      <c r="M6149" t="n">
        <v>666</v>
      </c>
      <c r="N6149" t="inlineStr">
        <is>
          <t>Xenopus tropicalis</t>
        </is>
      </c>
      <c r="O6149" t="inlineStr">
        <is>
          <t>uncharacterized protein LOC116409839</t>
        </is>
      </c>
    </row>
    <row r="6150">
      <c r="A6150" t="inlineStr"/>
      <c r="B6150" t="inlineStr"/>
      <c r="C6150" t="inlineStr"/>
      <c r="D6150" t="inlineStr"/>
      <c r="E6150">
        <f>HYPERLINK("https://www.uniprot.org/uniprotkb/A0A8J1MZ44/entry", "A0A8J1MZ44")</f>
        <v/>
      </c>
      <c r="F6150" t="n">
        <v>42.6</v>
      </c>
      <c r="G6150" t="n">
        <v>108</v>
      </c>
      <c r="H6150" t="n">
        <v>1.11e-17</v>
      </c>
      <c r="I6150" t="inlineStr">
        <is>
          <t>TrEMBL</t>
        </is>
      </c>
      <c r="J6150" t="inlineStr">
        <is>
          <t>LOC121403038</t>
        </is>
      </c>
      <c r="K6150" t="inlineStr">
        <is>
          <t>A0A8J1MZ44_XENLA</t>
        </is>
      </c>
      <c r="L6150" t="inlineStr">
        <is>
          <t>tr|A0A8J1MZ44|A0A8J1MZ44_XENLA ribonuclease H OS=Xenopus laevis OX=8355 GN=LOC121403038 PE=3 SV=1</t>
        </is>
      </c>
      <c r="M6150" t="n">
        <v>852</v>
      </c>
      <c r="N6150" t="inlineStr">
        <is>
          <t>Xenopus laevis</t>
        </is>
      </c>
      <c r="O6150" t="inlineStr">
        <is>
          <t>ribonuclease H</t>
        </is>
      </c>
    </row>
    <row r="6151">
      <c r="A6151" t="inlineStr"/>
      <c r="B6151" t="inlineStr"/>
      <c r="C6151" t="inlineStr"/>
      <c r="D6151" t="inlineStr"/>
      <c r="E6151">
        <f>HYPERLINK("https://www.ncbi.nlm.nih.gov/gene/?term=XP_041446270.1", "XP_041446270.1")</f>
        <v/>
      </c>
      <c r="F6151" t="n">
        <v>42.6</v>
      </c>
      <c r="G6151" t="n">
        <v>108</v>
      </c>
      <c r="H6151" t="n">
        <v>2.85e-17</v>
      </c>
      <c r="I6151" t="inlineStr">
        <is>
          <t>Nr</t>
        </is>
      </c>
      <c r="J6151" t="inlineStr"/>
      <c r="K6151" t="inlineStr"/>
      <c r="L6151" t="inlineStr">
        <is>
          <t>XP_041446270.1 uncharacterized protein LOC121403038 [Xenopus laevis]</t>
        </is>
      </c>
      <c r="M6151" t="n">
        <v>852</v>
      </c>
      <c r="N6151" t="inlineStr">
        <is>
          <t>Xenopus laevis</t>
        </is>
      </c>
      <c r="O6151" t="inlineStr">
        <is>
          <t>uncharacterized protein LOC121403038</t>
        </is>
      </c>
    </row>
    <row r="6152">
      <c r="A6152" t="inlineStr"/>
      <c r="B6152" t="inlineStr"/>
      <c r="C6152" t="inlineStr"/>
      <c r="D6152" t="inlineStr"/>
      <c r="E6152">
        <f>HYPERLINK("https://www.uniprot.org/uniprotkb/A0A8J1KMD2/entry", "A0A8J1KMD2")</f>
        <v/>
      </c>
      <c r="F6152" t="n">
        <v>42.1</v>
      </c>
      <c r="G6152" t="n">
        <v>107</v>
      </c>
      <c r="H6152" t="n">
        <v>6.37e-16</v>
      </c>
      <c r="I6152" t="inlineStr">
        <is>
          <t>TrEMBL</t>
        </is>
      </c>
      <c r="J6152" t="inlineStr">
        <is>
          <t>LOC121393601</t>
        </is>
      </c>
      <c r="K6152" t="inlineStr">
        <is>
          <t>A0A8J1KMD2_XENLA</t>
        </is>
      </c>
      <c r="L6152" t="inlineStr">
        <is>
          <t>tr|A0A8J1KMD2|A0A8J1KMD2_XENLA ribonuclease H OS=Xenopus laevis OX=8355 GN=LOC121393601 PE=3 SV=1</t>
        </is>
      </c>
      <c r="M6152" t="n">
        <v>1091</v>
      </c>
      <c r="N6152" t="inlineStr">
        <is>
          <t>Xenopus laevis</t>
        </is>
      </c>
      <c r="O6152" t="inlineStr">
        <is>
          <t>ribonuclease H</t>
        </is>
      </c>
    </row>
    <row r="6153">
      <c r="A6153" t="inlineStr"/>
      <c r="B6153" t="inlineStr"/>
      <c r="C6153" t="inlineStr"/>
      <c r="D6153" t="inlineStr"/>
      <c r="E6153">
        <f>HYPERLINK("https://www.ncbi.nlm.nih.gov/gene/?term=XP_041418470.1", "XP_041418470.1")</f>
        <v/>
      </c>
      <c r="F6153" t="n">
        <v>42.1</v>
      </c>
      <c r="G6153" t="n">
        <v>107</v>
      </c>
      <c r="H6153" t="n">
        <v>1.64e-15</v>
      </c>
      <c r="I6153" t="inlineStr">
        <is>
          <t>Nr</t>
        </is>
      </c>
      <c r="J6153" t="inlineStr"/>
      <c r="K6153" t="inlineStr"/>
      <c r="L6153" t="inlineStr">
        <is>
          <t>XP_041418470.1 uncharacterized protein LOC121393601 [Xenopus laevis]</t>
        </is>
      </c>
      <c r="M6153" t="n">
        <v>1091</v>
      </c>
      <c r="N6153" t="inlineStr">
        <is>
          <t>Xenopus laevis</t>
        </is>
      </c>
      <c r="O6153" t="inlineStr">
        <is>
          <t>uncharacterized protein LOC121393601</t>
        </is>
      </c>
    </row>
    <row r="6154">
      <c r="A6154" t="inlineStr"/>
      <c r="B6154" t="inlineStr"/>
      <c r="C6154" t="inlineStr"/>
      <c r="D6154" t="inlineStr"/>
      <c r="E6154">
        <f>HYPERLINK("https://www.uniprot.org/uniprotkb/A0A8J1L4C2/entry", "A0A8J1L4C2")</f>
        <v/>
      </c>
      <c r="F6154" t="n">
        <v>38.2</v>
      </c>
      <c r="G6154" t="n">
        <v>110</v>
      </c>
      <c r="H6154" t="n">
        <v>1.22e-12</v>
      </c>
      <c r="I6154" t="inlineStr">
        <is>
          <t>TrEMBL</t>
        </is>
      </c>
      <c r="J6154" t="inlineStr">
        <is>
          <t>LOC108717852</t>
        </is>
      </c>
      <c r="K6154" t="inlineStr">
        <is>
          <t>A0A8J1L4C2_XENLA</t>
        </is>
      </c>
      <c r="L6154" t="inlineStr">
        <is>
          <t>tr|A0A8J1L4C2|A0A8J1L4C2_XENLA uncharacterized protein LOC108717852 OS=Xenopus laevis OX=8355 GN=LOC108717852 PE=4 SV=1</t>
        </is>
      </c>
      <c r="M6154" t="n">
        <v>428</v>
      </c>
      <c r="N6154" t="inlineStr">
        <is>
          <t>Xenopus laevis</t>
        </is>
      </c>
      <c r="O6154" t="inlineStr">
        <is>
          <t>uncharacterized protein LOC108717852</t>
        </is>
      </c>
    </row>
    <row r="6155">
      <c r="A6155" t="inlineStr"/>
      <c r="B6155" t="inlineStr"/>
      <c r="C6155" t="inlineStr"/>
      <c r="D6155" t="inlineStr"/>
      <c r="E6155">
        <f>HYPERLINK("https://www.ncbi.nlm.nih.gov/gene/?term=XP_029451018.1", "XP_029451018.1")</f>
        <v/>
      </c>
      <c r="F6155" t="n">
        <v>42.6</v>
      </c>
      <c r="G6155" t="n">
        <v>108</v>
      </c>
      <c r="H6155" t="n">
        <v>1.6e-12</v>
      </c>
      <c r="I6155" t="inlineStr">
        <is>
          <t>Nr</t>
        </is>
      </c>
      <c r="J6155" t="inlineStr"/>
      <c r="K6155" t="inlineStr"/>
      <c r="L6155" t="inlineStr">
        <is>
          <t>XP_029451018.1 heterogeneous nuclear ribonucleoprotein A1 isoform X2 [Rhinatrema bivittatum]</t>
        </is>
      </c>
      <c r="M6155" t="n">
        <v>407</v>
      </c>
      <c r="N6155" t="inlineStr">
        <is>
          <t>Rhinatrema bivittatum</t>
        </is>
      </c>
      <c r="O6155" t="inlineStr">
        <is>
          <t>heterogeneous nuclear ribonucleoprotein A1 isoform X2</t>
        </is>
      </c>
    </row>
    <row r="6156">
      <c r="A6156" t="inlineStr"/>
      <c r="B6156" t="inlineStr"/>
      <c r="C6156" t="inlineStr"/>
      <c r="D6156" t="inlineStr"/>
      <c r="E6156">
        <f>HYPERLINK("https://www.ncbi.nlm.nih.gov/gene/?term=XP_041423435.1", "XP_041423435.1")</f>
        <v/>
      </c>
      <c r="F6156" t="n">
        <v>38.2</v>
      </c>
      <c r="G6156" t="n">
        <v>110</v>
      </c>
      <c r="H6156" t="n">
        <v>3.14e-12</v>
      </c>
      <c r="I6156" t="inlineStr">
        <is>
          <t>Nr</t>
        </is>
      </c>
      <c r="J6156" t="inlineStr"/>
      <c r="K6156" t="inlineStr"/>
      <c r="L6156" t="inlineStr">
        <is>
          <t>XP_041423435.1 uncharacterized protein LOC108717852 [Xenopus laevis]</t>
        </is>
      </c>
      <c r="M6156" t="n">
        <v>428</v>
      </c>
      <c r="N6156" t="inlineStr">
        <is>
          <t>Xenopus laevis</t>
        </is>
      </c>
      <c r="O6156" t="inlineStr">
        <is>
          <t>uncharacterized protein LOC108717852</t>
        </is>
      </c>
    </row>
    <row r="6157">
      <c r="A6157" t="inlineStr"/>
      <c r="B6157" t="inlineStr"/>
      <c r="C6157" t="inlineStr"/>
      <c r="D6157" t="inlineStr"/>
      <c r="E6157">
        <f>HYPERLINK("https://www.ncbi.nlm.nih.gov/gene/?term=XP_044130116.1", "XP_044130116.1")</f>
        <v/>
      </c>
      <c r="F6157" t="n">
        <v>42.1</v>
      </c>
      <c r="G6157" t="n">
        <v>95</v>
      </c>
      <c r="H6157" t="n">
        <v>9.56e-12</v>
      </c>
      <c r="I6157" t="inlineStr">
        <is>
          <t>Nr</t>
        </is>
      </c>
      <c r="J6157" t="inlineStr"/>
      <c r="K6157" t="inlineStr"/>
      <c r="L6157" t="inlineStr">
        <is>
          <t>XP_044130116.1 solute carrier family 35 member F5 [Bufo gargarizans]</t>
        </is>
      </c>
      <c r="M6157" t="n">
        <v>1106</v>
      </c>
      <c r="N6157" t="inlineStr">
        <is>
          <t>Bufo gargarizans</t>
        </is>
      </c>
      <c r="O6157" t="inlineStr">
        <is>
          <t>solute carrier family 35 member F5</t>
        </is>
      </c>
    </row>
    <row r="6158">
      <c r="A6158" t="inlineStr"/>
      <c r="B6158" t="inlineStr"/>
      <c r="C6158" t="inlineStr"/>
      <c r="D6158" t="inlineStr"/>
      <c r="E6158">
        <f>HYPERLINK("https://www.uniprot.org/uniprotkb/A0A8J1LBW5/entry", "A0A8J1LBW5")</f>
        <v/>
      </c>
      <c r="F6158" t="n">
        <v>41.5</v>
      </c>
      <c r="G6158" t="n">
        <v>94</v>
      </c>
      <c r="H6158" t="n">
        <v>2.39e-11</v>
      </c>
      <c r="I6158" t="inlineStr">
        <is>
          <t>TrEMBL</t>
        </is>
      </c>
      <c r="J6158" t="inlineStr">
        <is>
          <t>LOC121396278</t>
        </is>
      </c>
      <c r="K6158" t="inlineStr">
        <is>
          <t>A0A8J1LBW5_XENLA</t>
        </is>
      </c>
      <c r="L6158" t="inlineStr">
        <is>
          <t>tr|A0A8J1LBW5|A0A8J1LBW5_XENLA uncharacterized protein LOC121396278 OS=Xenopus laevis OX=8355 GN=LOC121396278 PE=4 SV=1</t>
        </is>
      </c>
      <c r="M6158" t="n">
        <v>239</v>
      </c>
      <c r="N6158" t="inlineStr">
        <is>
          <t>Xenopus laevis</t>
        </is>
      </c>
      <c r="O6158" t="inlineStr">
        <is>
          <t>uncharacterized protein LOC121396278</t>
        </is>
      </c>
    </row>
    <row r="6159">
      <c r="A6159" t="inlineStr"/>
      <c r="B6159" t="inlineStr"/>
      <c r="C6159" t="inlineStr"/>
      <c r="D6159" t="inlineStr"/>
      <c r="E6159">
        <f>HYPERLINK("https://www.uniprot.org/uniprotkb/A0A8J1LR62/entry", "A0A8J1LR62")</f>
        <v/>
      </c>
      <c r="F6159" t="n">
        <v>39</v>
      </c>
      <c r="G6159" t="n">
        <v>100</v>
      </c>
      <c r="H6159" t="n">
        <v>2.95e-11</v>
      </c>
      <c r="I6159" t="inlineStr">
        <is>
          <t>TrEMBL</t>
        </is>
      </c>
      <c r="J6159" t="inlineStr">
        <is>
          <t>LOC121397903</t>
        </is>
      </c>
      <c r="K6159" t="inlineStr">
        <is>
          <t>A0A8J1LR62_XENLA</t>
        </is>
      </c>
      <c r="L6159" t="inlineStr">
        <is>
          <t>tr|A0A8J1LR62|A0A8J1LR62_XENLA ribonuclease H OS=Xenopus laevis OX=8355 GN=LOC121397903 PE=3 SV=1</t>
        </is>
      </c>
      <c r="M6159" t="n">
        <v>513</v>
      </c>
      <c r="N6159" t="inlineStr">
        <is>
          <t>Xenopus laevis</t>
        </is>
      </c>
      <c r="O6159" t="inlineStr">
        <is>
          <t>ribonuclease H</t>
        </is>
      </c>
    </row>
    <row r="6160">
      <c r="A6160" t="inlineStr"/>
      <c r="B6160" t="inlineStr"/>
      <c r="C6160" t="inlineStr"/>
      <c r="D6160" t="inlineStr"/>
      <c r="E6160">
        <f>HYPERLINK("https://www.ncbi.nlm.nih.gov/gene/?term=XP_029455053.1", "XP_029455053.1")</f>
        <v/>
      </c>
      <c r="F6160" t="n">
        <v>39.8</v>
      </c>
      <c r="G6160" t="n">
        <v>108</v>
      </c>
      <c r="H6160" t="n">
        <v>3.12e-11</v>
      </c>
      <c r="I6160" t="inlineStr">
        <is>
          <t>Nr</t>
        </is>
      </c>
      <c r="J6160" t="inlineStr"/>
      <c r="K6160" t="inlineStr"/>
      <c r="L6160" t="inlineStr">
        <is>
          <t>XP_029455053.1 uncharacterized protein LOC115090287 [Rhinatrema bivittatum]</t>
        </is>
      </c>
      <c r="M6160" t="n">
        <v>654</v>
      </c>
      <c r="N6160" t="inlineStr">
        <is>
          <t>Rhinatrema bivittatum</t>
        </is>
      </c>
      <c r="O6160" t="inlineStr">
        <is>
          <t>uncharacterized protein LOC115090287</t>
        </is>
      </c>
    </row>
    <row r="6161">
      <c r="A6161" t="inlineStr"/>
      <c r="B6161" t="inlineStr"/>
      <c r="C6161" t="inlineStr"/>
      <c r="D6161" t="inlineStr"/>
      <c r="E6161">
        <f>HYPERLINK("https://www.uniprot.org/uniprotkb/A0A8J1LK19/entry", "A0A8J1LK19")</f>
        <v/>
      </c>
      <c r="F6161" t="n">
        <v>42.1</v>
      </c>
      <c r="G6161" t="n">
        <v>95</v>
      </c>
      <c r="H6161" t="n">
        <v>3.17e-11</v>
      </c>
      <c r="I6161" t="inlineStr">
        <is>
          <t>TrEMBL</t>
        </is>
      </c>
      <c r="J6161" t="inlineStr">
        <is>
          <t>LOC121397309</t>
        </is>
      </c>
      <c r="K6161" t="inlineStr">
        <is>
          <t>A0A8J1LK19_XENLA</t>
        </is>
      </c>
      <c r="L6161" t="inlineStr">
        <is>
          <t>tr|A0A8J1LK19|A0A8J1LK19_XENLA ribonuclease H OS=Xenopus laevis OX=8355 GN=LOC121397309 PE=3 SV=1</t>
        </is>
      </c>
      <c r="M6161" t="n">
        <v>856</v>
      </c>
      <c r="N6161" t="inlineStr">
        <is>
          <t>Xenopus laevis</t>
        </is>
      </c>
      <c r="O6161" t="inlineStr">
        <is>
          <t>ribonuclease H</t>
        </is>
      </c>
    </row>
    <row r="6162">
      <c r="A6162" t="inlineStr"/>
      <c r="B6162" t="inlineStr"/>
      <c r="C6162" t="inlineStr"/>
      <c r="D6162" t="inlineStr"/>
      <c r="E6162">
        <f>HYPERLINK("https://www.uniprot.org/uniprotkb/A0A8J1N0T7/entry", "A0A8J1N0T7")</f>
        <v/>
      </c>
      <c r="F6162" t="n">
        <v>42.1</v>
      </c>
      <c r="G6162" t="n">
        <v>95</v>
      </c>
      <c r="H6162" t="n">
        <v>4.39e-11</v>
      </c>
      <c r="I6162" t="inlineStr">
        <is>
          <t>TrEMBL</t>
        </is>
      </c>
      <c r="J6162" t="inlineStr">
        <is>
          <t>LOC121403130</t>
        </is>
      </c>
      <c r="K6162" t="inlineStr">
        <is>
          <t>A0A8J1N0T7_XENLA</t>
        </is>
      </c>
      <c r="L6162" t="inlineStr">
        <is>
          <t>tr|A0A8J1N0T7|A0A8J1N0T7_XENLA ribonuclease H OS=Xenopus laevis OX=8355 GN=LOC121403130 PE=3 SV=1</t>
        </is>
      </c>
      <c r="M6162" t="n">
        <v>1010</v>
      </c>
      <c r="N6162" t="inlineStr">
        <is>
          <t>Xenopus laevis</t>
        </is>
      </c>
      <c r="O6162" t="inlineStr">
        <is>
          <t>ribonuclease H</t>
        </is>
      </c>
    </row>
    <row r="6163">
      <c r="A6163" t="inlineStr"/>
      <c r="B6163" t="inlineStr"/>
      <c r="C6163" t="inlineStr"/>
      <c r="D6163" t="inlineStr"/>
      <c r="E6163">
        <f>HYPERLINK("https://www.ncbi.nlm.nih.gov/gene/?term=XP_029441229.1", "XP_029441229.1")</f>
        <v/>
      </c>
      <c r="F6163" t="n">
        <v>38.8</v>
      </c>
      <c r="G6163" t="n">
        <v>116</v>
      </c>
      <c r="H6163" t="n">
        <v>5.79e-11</v>
      </c>
      <c r="I6163" t="inlineStr">
        <is>
          <t>Nr</t>
        </is>
      </c>
      <c r="J6163" t="inlineStr"/>
      <c r="K6163" t="inlineStr"/>
      <c r="L6163" t="inlineStr">
        <is>
          <t>XP_029441229.1 uncharacterized protein LOC115080906 [Rhinatrema bivittatum]</t>
        </is>
      </c>
      <c r="M6163" t="n">
        <v>654</v>
      </c>
      <c r="N6163" t="inlineStr">
        <is>
          <t>Rhinatrema bivittatum</t>
        </is>
      </c>
      <c r="O6163" t="inlineStr">
        <is>
          <t>uncharacterized protein LOC115080906</t>
        </is>
      </c>
    </row>
    <row r="6164">
      <c r="A6164" t="inlineStr"/>
      <c r="B6164" t="inlineStr"/>
      <c r="C6164" t="inlineStr"/>
      <c r="D6164" t="inlineStr"/>
      <c r="E6164">
        <f>HYPERLINK("https://www.ncbi.nlm.nih.gov/gene/?term=XP_041427028.1", "XP_041427028.1")</f>
        <v/>
      </c>
      <c r="F6164" t="n">
        <v>41.5</v>
      </c>
      <c r="G6164" t="n">
        <v>94</v>
      </c>
      <c r="H6164" t="n">
        <v>6.149999999999999e-11</v>
      </c>
      <c r="I6164" t="inlineStr">
        <is>
          <t>Nr</t>
        </is>
      </c>
      <c r="J6164" t="inlineStr"/>
      <c r="K6164" t="inlineStr"/>
      <c r="L6164" t="inlineStr">
        <is>
          <t>XP_041427028.1 uncharacterized protein LOC121396278 [Xenopus laevis]</t>
        </is>
      </c>
      <c r="M6164" t="n">
        <v>239</v>
      </c>
      <c r="N6164" t="inlineStr">
        <is>
          <t>Xenopus laevis</t>
        </is>
      </c>
      <c r="O6164" t="inlineStr">
        <is>
          <t>uncharacterized protein LOC121396278</t>
        </is>
      </c>
    </row>
    <row r="6165">
      <c r="A6165" t="inlineStr"/>
      <c r="B6165" t="inlineStr"/>
      <c r="C6165" t="inlineStr"/>
      <c r="D6165" t="inlineStr"/>
      <c r="E6165">
        <f>HYPERLINK("https://www.ncbi.nlm.nih.gov/gene/?term=XP_041432012.1", "XP_041432012.1")</f>
        <v/>
      </c>
      <c r="F6165" t="n">
        <v>39</v>
      </c>
      <c r="G6165" t="n">
        <v>100</v>
      </c>
      <c r="H6165" t="n">
        <v>7.569999999999999e-11</v>
      </c>
      <c r="I6165" t="inlineStr">
        <is>
          <t>Nr</t>
        </is>
      </c>
      <c r="J6165" t="inlineStr"/>
      <c r="K6165" t="inlineStr"/>
      <c r="L6165" t="inlineStr">
        <is>
          <t>XP_041432012.1 uncharacterized protein LOC121397903 isoform X2 [Xenopus laevis]</t>
        </is>
      </c>
      <c r="M6165" t="n">
        <v>513</v>
      </c>
      <c r="N6165" t="inlineStr">
        <is>
          <t>Xenopus laevis</t>
        </is>
      </c>
      <c r="O6165" t="inlineStr">
        <is>
          <t>uncharacterized protein LOC121397903 isoform X2</t>
        </is>
      </c>
    </row>
    <row r="6166">
      <c r="A6166" t="inlineStr"/>
      <c r="B6166" t="inlineStr"/>
      <c r="C6166" t="inlineStr"/>
      <c r="D6166" t="inlineStr"/>
      <c r="E6166">
        <f>HYPERLINK("https://www.ncbi.nlm.nih.gov/gene/?term=XP_041429862.1", "XP_041429862.1")</f>
        <v/>
      </c>
      <c r="F6166" t="n">
        <v>42.1</v>
      </c>
      <c r="G6166" t="n">
        <v>95</v>
      </c>
      <c r="H6166" t="n">
        <v>8.15e-11</v>
      </c>
      <c r="I6166" t="inlineStr">
        <is>
          <t>Nr</t>
        </is>
      </c>
      <c r="J6166" t="inlineStr"/>
      <c r="K6166" t="inlineStr"/>
      <c r="L6166" t="inlineStr">
        <is>
          <t>XP_041429862.1 uncharacterized protein LOC121397309 [Xenopus laevis]</t>
        </is>
      </c>
      <c r="M6166" t="n">
        <v>856</v>
      </c>
      <c r="N6166" t="inlineStr">
        <is>
          <t>Xenopus laevis</t>
        </is>
      </c>
      <c r="O6166" t="inlineStr">
        <is>
          <t>uncharacterized protein LOC121397309</t>
        </is>
      </c>
    </row>
    <row r="6167">
      <c r="A6167" t="inlineStr"/>
      <c r="B6167" t="inlineStr"/>
      <c r="C6167" t="inlineStr"/>
      <c r="D6167" t="inlineStr"/>
      <c r="E6167">
        <f>HYPERLINK("https://www.ncbi.nlm.nih.gov/gene/?term=XP_041446855.1", "XP_041446855.1")</f>
        <v/>
      </c>
      <c r="F6167" t="n">
        <v>42.1</v>
      </c>
      <c r="G6167" t="n">
        <v>95</v>
      </c>
      <c r="H6167" t="n">
        <v>1.13e-10</v>
      </c>
      <c r="I6167" t="inlineStr">
        <is>
          <t>Nr</t>
        </is>
      </c>
      <c r="J6167" t="inlineStr"/>
      <c r="K6167" t="inlineStr"/>
      <c r="L6167" t="inlineStr">
        <is>
          <t>XP_041446855.1 uncharacterized protein LOC121403130 [Xenopus laevis]</t>
        </is>
      </c>
      <c r="M6167" t="n">
        <v>1010</v>
      </c>
      <c r="N6167" t="inlineStr">
        <is>
          <t>Xenopus laevis</t>
        </is>
      </c>
      <c r="O6167" t="inlineStr">
        <is>
          <t>uncharacterized protein LOC121403130</t>
        </is>
      </c>
    </row>
    <row r="6168">
      <c r="A6168" t="inlineStr"/>
      <c r="B6168" t="inlineStr"/>
      <c r="C6168" t="inlineStr"/>
      <c r="D6168" t="inlineStr"/>
      <c r="E6168">
        <f>HYPERLINK("https://www.uniprot.org/uniprotkb/A0A8J1M778/entry", "A0A8J1M778")</f>
        <v/>
      </c>
      <c r="F6168" t="n">
        <v>40.8</v>
      </c>
      <c r="G6168" t="n">
        <v>98</v>
      </c>
      <c r="H6168" t="n">
        <v>1.25e-10</v>
      </c>
      <c r="I6168" t="inlineStr">
        <is>
          <t>TrEMBL</t>
        </is>
      </c>
      <c r="J6168" t="inlineStr">
        <is>
          <t>LOC121399818</t>
        </is>
      </c>
      <c r="K6168" t="inlineStr">
        <is>
          <t>A0A8J1M778_XENLA</t>
        </is>
      </c>
      <c r="L6168" t="inlineStr">
        <is>
          <t>tr|A0A8J1M778|A0A8J1M778_XENLA uncharacterized protein LOC121399818 OS=Xenopus laevis OX=8355 GN=LOC121399818 PE=4 SV=1</t>
        </is>
      </c>
      <c r="M6168" t="n">
        <v>239</v>
      </c>
      <c r="N6168" t="inlineStr">
        <is>
          <t>Xenopus laevis</t>
        </is>
      </c>
      <c r="O6168" t="inlineStr">
        <is>
          <t>uncharacterized protein LOC121399818</t>
        </is>
      </c>
    </row>
    <row r="6169">
      <c r="A6169" t="inlineStr"/>
      <c r="B6169" t="inlineStr"/>
      <c r="C6169" t="inlineStr"/>
      <c r="D6169" t="inlineStr"/>
      <c r="E6169">
        <f>HYPERLINK("https://www.ncbi.nlm.nih.gov/gene/?term=XP_053138354.1", "XP_053138354.1")</f>
        <v/>
      </c>
      <c r="F6169" t="n">
        <v>39.1</v>
      </c>
      <c r="G6169" t="n">
        <v>110</v>
      </c>
      <c r="H6169" t="n">
        <v>2.91e-10</v>
      </c>
      <c r="I6169" t="inlineStr">
        <is>
          <t>Nr</t>
        </is>
      </c>
      <c r="J6169" t="inlineStr"/>
      <c r="K6169" t="inlineStr"/>
      <c r="L6169" t="inlineStr">
        <is>
          <t>XP_053138354.1 uncharacterized protein LOC128339002 [Hemicordylus capensis]</t>
        </is>
      </c>
      <c r="M6169" t="n">
        <v>1282</v>
      </c>
      <c r="N6169" t="inlineStr">
        <is>
          <t>Hemicordylus capensis</t>
        </is>
      </c>
      <c r="O6169" t="inlineStr">
        <is>
          <t>uncharacterized protein LOC128339002</t>
        </is>
      </c>
    </row>
    <row r="6170">
      <c r="A6170" t="inlineStr"/>
      <c r="B6170" t="inlineStr"/>
      <c r="C6170" t="inlineStr"/>
      <c r="D6170" t="inlineStr"/>
      <c r="E6170">
        <f>HYPERLINK("https://www.ncbi.nlm.nih.gov/gene/?term=OCT76275.1", "OCT76275.1")</f>
        <v/>
      </c>
      <c r="F6170" t="n">
        <v>39.4</v>
      </c>
      <c r="G6170" t="n">
        <v>99</v>
      </c>
      <c r="H6170" t="n">
        <v>3.01e-10</v>
      </c>
      <c r="I6170" t="inlineStr">
        <is>
          <t>Nr</t>
        </is>
      </c>
      <c r="J6170" t="inlineStr"/>
      <c r="K6170" t="inlineStr"/>
      <c r="L6170" t="inlineStr">
        <is>
          <t>OCT76275.1 hypothetical protein XELAEV_18031470mg [Xenopus laevis]</t>
        </is>
      </c>
      <c r="M6170" t="n">
        <v>2740</v>
      </c>
      <c r="N6170" t="inlineStr">
        <is>
          <t>Xenopus laevis</t>
        </is>
      </c>
      <c r="O6170" t="inlineStr">
        <is>
          <t>hypothetical protein XELAEV_18031470mg</t>
        </is>
      </c>
    </row>
    <row r="6171">
      <c r="A6171" t="inlineStr"/>
      <c r="B6171" t="inlineStr"/>
      <c r="C6171" t="inlineStr"/>
      <c r="D6171" t="inlineStr"/>
      <c r="E6171">
        <f>HYPERLINK("https://www.ncbi.nlm.nih.gov/gene/?term=XP_041437518.1", "XP_041437518.1")</f>
        <v/>
      </c>
      <c r="F6171" t="n">
        <v>40.8</v>
      </c>
      <c r="G6171" t="n">
        <v>98</v>
      </c>
      <c r="H6171" t="n">
        <v>3.21e-10</v>
      </c>
      <c r="I6171" t="inlineStr">
        <is>
          <t>Nr</t>
        </is>
      </c>
      <c r="J6171" t="inlineStr"/>
      <c r="K6171" t="inlineStr"/>
      <c r="L6171" t="inlineStr">
        <is>
          <t>XP_041437518.1 uncharacterized protein LOC121399818 [Xenopus laevis]</t>
        </is>
      </c>
      <c r="M6171" t="n">
        <v>239</v>
      </c>
      <c r="N6171" t="inlineStr">
        <is>
          <t>Xenopus laevis</t>
        </is>
      </c>
      <c r="O6171" t="inlineStr">
        <is>
          <t>uncharacterized protein LOC121399818</t>
        </is>
      </c>
    </row>
    <row r="6172">
      <c r="A6172" t="inlineStr"/>
      <c r="B6172" t="inlineStr"/>
      <c r="C6172" t="inlineStr"/>
      <c r="D6172" t="inlineStr"/>
      <c r="E6172">
        <f>HYPERLINK("https://www.ncbi.nlm.nih.gov/gene/?term=XP_053149582.1", "XP_053149582.1")</f>
        <v/>
      </c>
      <c r="F6172" t="n">
        <v>41.4</v>
      </c>
      <c r="G6172" t="n">
        <v>99</v>
      </c>
      <c r="H6172" t="n">
        <v>3.82e-10</v>
      </c>
      <c r="I6172" t="inlineStr">
        <is>
          <t>Nr</t>
        </is>
      </c>
      <c r="J6172" t="inlineStr"/>
      <c r="K6172" t="inlineStr"/>
      <c r="L6172" t="inlineStr">
        <is>
          <t>XP_053149582.1 uncharacterized protein LOC128344105 [Hemicordylus capensis]</t>
        </is>
      </c>
      <c r="M6172" t="n">
        <v>834</v>
      </c>
      <c r="N6172" t="inlineStr">
        <is>
          <t>Hemicordylus capensis</t>
        </is>
      </c>
      <c r="O6172" t="inlineStr">
        <is>
          <t>uncharacterized protein LOC128344105</t>
        </is>
      </c>
    </row>
    <row r="6173">
      <c r="A6173" t="inlineStr"/>
      <c r="B6173" t="inlineStr"/>
      <c r="C6173" t="inlineStr"/>
      <c r="D6173" t="inlineStr"/>
      <c r="E6173">
        <f>HYPERLINK("https://www.uniprot.org/uniprotkb/A0A8D0H863/entry", "A0A8D0H863")</f>
        <v/>
      </c>
      <c r="F6173" t="n">
        <v>40</v>
      </c>
      <c r="G6173" t="n">
        <v>95</v>
      </c>
      <c r="H6173" t="n">
        <v>9.18e-10</v>
      </c>
      <c r="I6173" t="inlineStr">
        <is>
          <t>TrEMBL</t>
        </is>
      </c>
      <c r="J6173" t="inlineStr"/>
      <c r="K6173" t="inlineStr">
        <is>
          <t>A0A8D0H863_SPHPU</t>
        </is>
      </c>
      <c r="L6173" t="inlineStr">
        <is>
          <t>tr|A0A8D0H863|A0A8D0H863_SPHPU LAP2alpha domain-containing protein OS=Sphenodon punctatus OX=8508 PE=4 SV=1</t>
        </is>
      </c>
      <c r="M6173" t="n">
        <v>630</v>
      </c>
      <c r="N6173" t="inlineStr">
        <is>
          <t>Sphenodon punctatus</t>
        </is>
      </c>
      <c r="O6173" t="inlineStr">
        <is>
          <t>LAP2alpha domain-containing protein</t>
        </is>
      </c>
    </row>
    <row r="6174">
      <c r="A6174" t="inlineStr"/>
      <c r="B6174" t="inlineStr"/>
      <c r="C6174" t="inlineStr"/>
      <c r="D6174" t="inlineStr"/>
      <c r="E6174">
        <f>HYPERLINK("https://www.ncbi.nlm.nih.gov/gene/?term=XP_040178142.1", "XP_040178142.1")</f>
        <v/>
      </c>
      <c r="F6174" t="n">
        <v>42.3</v>
      </c>
      <c r="G6174" t="n">
        <v>97</v>
      </c>
      <c r="H6174" t="n">
        <v>1.25e-09</v>
      </c>
      <c r="I6174" t="inlineStr">
        <is>
          <t>Nr</t>
        </is>
      </c>
      <c r="J6174" t="inlineStr"/>
      <c r="K6174" t="inlineStr"/>
      <c r="L6174" t="inlineStr">
        <is>
          <t>XP_040178142.1 uncharacterized protein LOC120910452 [Rana temporaria]</t>
        </is>
      </c>
      <c r="M6174" t="n">
        <v>561</v>
      </c>
      <c r="N6174" t="inlineStr">
        <is>
          <t>Rana temporaria</t>
        </is>
      </c>
      <c r="O6174" t="inlineStr">
        <is>
          <t>uncharacterized protein LOC120910452</t>
        </is>
      </c>
    </row>
    <row r="6175">
      <c r="A6175" t="inlineStr"/>
      <c r="B6175" t="inlineStr"/>
      <c r="C6175" t="inlineStr"/>
      <c r="D6175" t="inlineStr"/>
      <c r="E6175">
        <f>HYPERLINK("https://www.uniprot.org/uniprotkb/A0A2D4J0A8/entry", "A0A2D4J0A8")</f>
        <v/>
      </c>
      <c r="F6175" t="n">
        <v>40.2</v>
      </c>
      <c r="G6175" t="n">
        <v>97</v>
      </c>
      <c r="H6175" t="n">
        <v>1.72e-09</v>
      </c>
      <c r="I6175" t="inlineStr">
        <is>
          <t>TrEMBL</t>
        </is>
      </c>
      <c r="J6175" t="inlineStr"/>
      <c r="K6175" t="inlineStr">
        <is>
          <t>A0A2D4J0A8_MICLE</t>
        </is>
      </c>
      <c r="L6175" t="inlineStr">
        <is>
          <t>tr|A0A2D4J0A8|A0A2D4J0A8_MICLE ribonuclease H OS=Micrurus lemniscatus lemniscatus OX=129467 PE=3 SV=1</t>
        </is>
      </c>
      <c r="M6175" t="n">
        <v>664</v>
      </c>
      <c r="N6175" t="inlineStr">
        <is>
          <t>Micrurus lemniscatus lemniscatus</t>
        </is>
      </c>
      <c r="O6175" t="inlineStr">
        <is>
          <t>ribonuclease H</t>
        </is>
      </c>
    </row>
    <row r="6176">
      <c r="A6176" t="inlineStr"/>
      <c r="B6176" t="inlineStr"/>
      <c r="C6176" t="inlineStr"/>
      <c r="D6176" t="inlineStr"/>
      <c r="E6176">
        <f>HYPERLINK("https://www.ncbi.nlm.nih.gov/gene/?term=XP_040199449.1", "XP_040199449.1")</f>
        <v/>
      </c>
      <c r="F6176" t="n">
        <v>33.3</v>
      </c>
      <c r="G6176" t="n">
        <v>96</v>
      </c>
      <c r="H6176" t="n">
        <v>2.86e-08</v>
      </c>
      <c r="I6176" t="inlineStr">
        <is>
          <t>Nr</t>
        </is>
      </c>
      <c r="J6176" t="inlineStr"/>
      <c r="K6176" t="inlineStr"/>
      <c r="L6176" t="inlineStr">
        <is>
          <t>XP_040199449.1 uncharacterized protein LOC120931762 [Rana temporaria]</t>
        </is>
      </c>
      <c r="M6176" t="n">
        <v>737</v>
      </c>
      <c r="N6176" t="inlineStr">
        <is>
          <t>Rana temporaria</t>
        </is>
      </c>
      <c r="O6176" t="inlineStr">
        <is>
          <t>uncharacterized protein LOC120931762</t>
        </is>
      </c>
    </row>
    <row r="6177">
      <c r="A6177" t="inlineStr"/>
      <c r="B6177" t="inlineStr"/>
      <c r="C6177" t="inlineStr"/>
      <c r="D6177" t="inlineStr"/>
      <c r="E6177">
        <f>HYPERLINK("https://www.ncbi.nlm.nih.gov/gene/?term=XP_044159938.1", "XP_044159938.1")</f>
        <v/>
      </c>
      <c r="F6177" t="n">
        <v>36.6</v>
      </c>
      <c r="G6177" t="n">
        <v>93</v>
      </c>
      <c r="H6177" t="n">
        <v>3.55e-08</v>
      </c>
      <c r="I6177" t="inlineStr">
        <is>
          <t>Nr</t>
        </is>
      </c>
      <c r="J6177" t="inlineStr"/>
      <c r="K6177" t="inlineStr"/>
      <c r="L6177" t="inlineStr">
        <is>
          <t>XP_044159938.1 uncharacterized protein LOC122945122 isoform X1 [Bufo gargarizans]</t>
        </is>
      </c>
      <c r="M6177" t="n">
        <v>436</v>
      </c>
      <c r="N6177" t="inlineStr">
        <is>
          <t>Bufo gargarizans</t>
        </is>
      </c>
      <c r="O6177" t="inlineStr">
        <is>
          <t>uncharacterized protein LOC122945122 isoform X1</t>
        </is>
      </c>
    </row>
    <row r="6178">
      <c r="A6178" t="inlineStr"/>
      <c r="B6178" t="inlineStr"/>
      <c r="C6178" t="inlineStr"/>
      <c r="D6178" t="inlineStr"/>
      <c r="E6178">
        <f>HYPERLINK("https://www.uniprot.org/uniprotkb/A0A803J3K6/entry", "A0A803J3K6")</f>
        <v/>
      </c>
      <c r="F6178" t="n">
        <v>37.9</v>
      </c>
      <c r="G6178" t="n">
        <v>95</v>
      </c>
      <c r="H6178" t="n">
        <v>3.91e-08</v>
      </c>
      <c r="I6178" t="inlineStr">
        <is>
          <t>TrEMBL</t>
        </is>
      </c>
      <c r="J6178" t="inlineStr"/>
      <c r="K6178" t="inlineStr">
        <is>
          <t>A0A803J3K6_XENTR</t>
        </is>
      </c>
      <c r="L6178" t="inlineStr">
        <is>
          <t>tr|A0A803J3K6|A0A803J3K6_XENTR Reverse transcriptase domain-containing protein OS=Xenopus tropicalis OX=8364 PE=4 SV=1</t>
        </is>
      </c>
      <c r="M6178" t="n">
        <v>895</v>
      </c>
      <c r="N6178" t="inlineStr">
        <is>
          <t>Xenopus tropicalis</t>
        </is>
      </c>
      <c r="O6178" t="inlineStr">
        <is>
          <t>Reverse transcriptase domain-containing protein</t>
        </is>
      </c>
    </row>
    <row r="6179">
      <c r="A6179" t="inlineStr"/>
      <c r="B6179" t="inlineStr"/>
      <c r="C6179" t="inlineStr"/>
      <c r="D6179" t="inlineStr"/>
      <c r="E6179">
        <f>HYPERLINK("https://www.ncbi.nlm.nih.gov/gene/?term=XP_044153533.1", "XP_044153533.1")</f>
        <v/>
      </c>
      <c r="F6179" t="n">
        <v>35</v>
      </c>
      <c r="G6179" t="n">
        <v>100</v>
      </c>
      <c r="H6179" t="n">
        <v>5.04e-08</v>
      </c>
      <c r="I6179" t="inlineStr">
        <is>
          <t>Nr</t>
        </is>
      </c>
      <c r="J6179" t="inlineStr"/>
      <c r="K6179" t="inlineStr"/>
      <c r="L6179" t="inlineStr">
        <is>
          <t>XP_044153533.1 uncharacterized protein LOC122940815 [Bufo gargarizans]</t>
        </is>
      </c>
      <c r="M6179" t="n">
        <v>528</v>
      </c>
      <c r="N6179" t="inlineStr">
        <is>
          <t>Bufo gargarizans</t>
        </is>
      </c>
      <c r="O6179" t="inlineStr">
        <is>
          <t>uncharacterized protein LOC122940815</t>
        </is>
      </c>
    </row>
    <row r="6180">
      <c r="A6180" t="inlineStr"/>
      <c r="B6180" t="inlineStr"/>
      <c r="C6180" t="inlineStr"/>
      <c r="D6180" t="inlineStr"/>
      <c r="E6180">
        <f>HYPERLINK("https://www.ncbi.nlm.nih.gov/gene/?term=XP_042320541.1", "XP_042320541.1")</f>
        <v/>
      </c>
      <c r="F6180" t="n">
        <v>33.6</v>
      </c>
      <c r="G6180" t="n">
        <v>110</v>
      </c>
      <c r="H6180" t="n">
        <v>6.809999999999999e-08</v>
      </c>
      <c r="I6180" t="inlineStr">
        <is>
          <t>Nr</t>
        </is>
      </c>
      <c r="J6180" t="inlineStr"/>
      <c r="K6180" t="inlineStr"/>
      <c r="L6180" t="inlineStr">
        <is>
          <t>XP_042320541.1 uncharacterized protein LOC121929246 [Sceloporus undulatus]</t>
        </is>
      </c>
      <c r="M6180" t="n">
        <v>300</v>
      </c>
      <c r="N6180" t="inlineStr">
        <is>
          <t>Sceloporus undulatus</t>
        </is>
      </c>
      <c r="O6180" t="inlineStr">
        <is>
          <t>uncharacterized protein LOC121929246</t>
        </is>
      </c>
    </row>
    <row r="6181">
      <c r="A6181" t="inlineStr"/>
      <c r="B6181" t="inlineStr"/>
      <c r="C6181" t="inlineStr"/>
      <c r="D6181" t="inlineStr"/>
      <c r="E6181">
        <f>HYPERLINK("https://www.uniprot.org/uniprotkb/A0A803JK98/entry", "A0A803JK98")</f>
        <v/>
      </c>
      <c r="F6181" t="n">
        <v>50.9</v>
      </c>
      <c r="G6181" t="n">
        <v>53</v>
      </c>
      <c r="H6181" t="n">
        <v>9.909999999999999e-08</v>
      </c>
      <c r="I6181" t="inlineStr">
        <is>
          <t>TrEMBL</t>
        </is>
      </c>
      <c r="J6181" t="inlineStr"/>
      <c r="K6181" t="inlineStr">
        <is>
          <t>A0A803JK98_XENTR</t>
        </is>
      </c>
      <c r="L6181" t="inlineStr">
        <is>
          <t>tr|A0A803JK98|A0A803JK98_XENTR Reverse transcriptase domain-containing protein OS=Xenopus tropicalis OX=8364 PE=4 SV=1</t>
        </is>
      </c>
      <c r="M6181" t="n">
        <v>925</v>
      </c>
      <c r="N6181" t="inlineStr">
        <is>
          <t>Xenopus tropicalis</t>
        </is>
      </c>
      <c r="O6181" t="inlineStr">
        <is>
          <t>Reverse transcriptase domain-containing protein</t>
        </is>
      </c>
    </row>
    <row r="6182">
      <c r="A6182" t="inlineStr"/>
      <c r="B6182" t="inlineStr"/>
      <c r="C6182" t="inlineStr"/>
      <c r="D6182" t="inlineStr"/>
      <c r="E6182">
        <f>HYPERLINK("https://www.uniprot.org/uniprotkb/A0A2D4KEZ9/entry", "A0A2D4KEZ9")</f>
        <v/>
      </c>
      <c r="F6182" t="n">
        <v>31.9</v>
      </c>
      <c r="G6182" t="n">
        <v>94</v>
      </c>
      <c r="H6182" t="n">
        <v>3.18e-07</v>
      </c>
      <c r="I6182" t="inlineStr">
        <is>
          <t>TrEMBL</t>
        </is>
      </c>
      <c r="J6182" t="inlineStr"/>
      <c r="K6182" t="inlineStr">
        <is>
          <t>A0A2D4KEZ9_9SAUR</t>
        </is>
      </c>
      <c r="L6182" t="inlineStr">
        <is>
          <t>tr|A0A2D4KEZ9|A0A2D4KEZ9_9SAUR Reverse transcriptase (Fragment) OS=Micrurus paraensis OX=1970185 PE=4 SV=1</t>
        </is>
      </c>
      <c r="M6182" t="n">
        <v>142</v>
      </c>
      <c r="N6182" t="inlineStr">
        <is>
          <t>Micrurus paraensis</t>
        </is>
      </c>
      <c r="O6182" t="inlineStr">
        <is>
          <t>Reverse transcriptase (Fragment)</t>
        </is>
      </c>
    </row>
    <row r="6183">
      <c r="A6183" t="inlineStr"/>
      <c r="B6183" t="inlineStr"/>
      <c r="C6183" t="inlineStr"/>
      <c r="D6183" t="inlineStr"/>
      <c r="E6183">
        <f>HYPERLINK("https://www.uniprot.org/uniprotkb/A0A6P9D0P1/entry", "A0A6P9D0P1")</f>
        <v/>
      </c>
      <c r="F6183" t="n">
        <v>37.2</v>
      </c>
      <c r="G6183" t="n">
        <v>94</v>
      </c>
      <c r="H6183" t="n">
        <v>3.48e-07</v>
      </c>
      <c r="I6183" t="inlineStr">
        <is>
          <t>TrEMBL</t>
        </is>
      </c>
      <c r="J6183" t="inlineStr">
        <is>
          <t>LOC117675085</t>
        </is>
      </c>
      <c r="K6183" t="inlineStr">
        <is>
          <t>A0A6P9D0P1_PANGU</t>
        </is>
      </c>
      <c r="L6183" t="inlineStr">
        <is>
          <t>tr|A0A6P9D0P1|A0A6P9D0P1_PANGU ribonuclease H OS=Pantherophis guttatus OX=94885 GN=LOC117675085 PE=3 SV=1</t>
        </is>
      </c>
      <c r="M6183" t="n">
        <v>1211</v>
      </c>
      <c r="N6183" t="inlineStr">
        <is>
          <t>Pantherophis guttatus</t>
        </is>
      </c>
      <c r="O6183" t="inlineStr">
        <is>
          <t>ribonuclease H</t>
        </is>
      </c>
    </row>
    <row r="6184">
      <c r="A6184" t="inlineStr"/>
      <c r="B6184" t="inlineStr"/>
      <c r="C6184" t="inlineStr"/>
      <c r="D6184" t="inlineStr"/>
      <c r="E6184">
        <f>HYPERLINK("https://www.ncbi.nlm.nih.gov/gene/?term=KAG8539134.1", "KAG8539134.1")</f>
        <v/>
      </c>
      <c r="F6184" t="n">
        <v>35.8</v>
      </c>
      <c r="G6184" t="n">
        <v>95</v>
      </c>
      <c r="H6184" t="n">
        <v>6.01e-07</v>
      </c>
      <c r="I6184" t="inlineStr">
        <is>
          <t>Nr</t>
        </is>
      </c>
      <c r="J6184" t="inlineStr"/>
      <c r="K6184" t="inlineStr"/>
      <c r="L6184" t="inlineStr">
        <is>
          <t>KAG8539134.1 hypothetical protein GDO81_021365 [Engystomops pustulosus]</t>
        </is>
      </c>
      <c r="M6184" t="n">
        <v>548</v>
      </c>
      <c r="N6184" t="inlineStr">
        <is>
          <t>Engystomops pustulosus</t>
        </is>
      </c>
      <c r="O6184" t="inlineStr">
        <is>
          <t>hypothetical protein GDO81_021365</t>
        </is>
      </c>
    </row>
    <row r="6185">
      <c r="A6185" t="inlineStr"/>
      <c r="B6185" t="inlineStr"/>
      <c r="C6185" t="inlineStr"/>
      <c r="D6185" t="inlineStr"/>
      <c r="E6185">
        <f>HYPERLINK("https://www.uniprot.org/uniprotkb/A0A8J1MUG6/entry", "A0A8J1MUG6")</f>
        <v/>
      </c>
      <c r="F6185" t="n">
        <v>31.3</v>
      </c>
      <c r="G6185" t="n">
        <v>96</v>
      </c>
      <c r="H6185" t="n">
        <v>8.69e-07</v>
      </c>
      <c r="I6185" t="inlineStr">
        <is>
          <t>TrEMBL</t>
        </is>
      </c>
      <c r="J6185" t="inlineStr">
        <is>
          <t>LOC121402804</t>
        </is>
      </c>
      <c r="K6185" t="inlineStr">
        <is>
          <t>A0A8J1MUG6_XENLA</t>
        </is>
      </c>
      <c r="L6185" t="inlineStr">
        <is>
          <t>tr|A0A8J1MUG6|A0A8J1MUG6_XENLA ribonuclease H OS=Xenopus laevis OX=8355 GN=LOC121402804 PE=3 SV=1</t>
        </is>
      </c>
      <c r="M6185" t="n">
        <v>1044</v>
      </c>
      <c r="N6185" t="inlineStr">
        <is>
          <t>Xenopus laevis</t>
        </is>
      </c>
      <c r="O6185" t="inlineStr">
        <is>
          <t>ribonuclease H</t>
        </is>
      </c>
    </row>
    <row r="6186">
      <c r="A6186" t="inlineStr"/>
      <c r="B6186" t="inlineStr"/>
      <c r="C6186" t="inlineStr"/>
      <c r="D6186" t="inlineStr"/>
      <c r="E6186">
        <f>HYPERLINK("https://www.ncbi.nlm.nih.gov/gene/?term=XP_034289304.1", "XP_034289304.1")</f>
        <v/>
      </c>
      <c r="F6186" t="n">
        <v>37.2</v>
      </c>
      <c r="G6186" t="n">
        <v>94</v>
      </c>
      <c r="H6186" t="n">
        <v>8.94e-07</v>
      </c>
      <c r="I6186" t="inlineStr">
        <is>
          <t>Nr</t>
        </is>
      </c>
      <c r="J6186" t="inlineStr"/>
      <c r="K6186" t="inlineStr"/>
      <c r="L6186" t="inlineStr">
        <is>
          <t>XP_034289304.1 uncharacterized protein LOC117675085 [Pantherophis guttatus]</t>
        </is>
      </c>
      <c r="M6186" t="n">
        <v>1211</v>
      </c>
      <c r="N6186" t="inlineStr">
        <is>
          <t>Pantherophis guttatus</t>
        </is>
      </c>
      <c r="O6186" t="inlineStr">
        <is>
          <t>uncharacterized protein LOC117675085</t>
        </is>
      </c>
    </row>
    <row r="6187">
      <c r="A6187" t="inlineStr"/>
      <c r="B6187" t="inlineStr"/>
      <c r="C6187" t="inlineStr"/>
      <c r="D6187" t="inlineStr"/>
      <c r="E6187">
        <f>HYPERLINK("https://www.uniprot.org/uniprotkb/A0A8J1MIB1/entry", "A0A8J1MIB1")</f>
        <v/>
      </c>
      <c r="F6187" t="n">
        <v>36.8</v>
      </c>
      <c r="G6187" t="n">
        <v>106</v>
      </c>
      <c r="H6187" t="n">
        <v>2.14e-06</v>
      </c>
      <c r="I6187" t="inlineStr">
        <is>
          <t>TrEMBL</t>
        </is>
      </c>
      <c r="J6187" t="inlineStr">
        <is>
          <t>LOC121401203</t>
        </is>
      </c>
      <c r="K6187" t="inlineStr">
        <is>
          <t>A0A8J1MIB1_XENLA</t>
        </is>
      </c>
      <c r="L6187" t="inlineStr">
        <is>
          <t>tr|A0A8J1MIB1|A0A8J1MIB1_XENLA ribonuclease H OS=Xenopus laevis OX=8355 GN=LOC121401203 PE=3 SV=1</t>
        </is>
      </c>
      <c r="M6187" t="n">
        <v>804</v>
      </c>
      <c r="N6187" t="inlineStr">
        <is>
          <t>Xenopus laevis</t>
        </is>
      </c>
      <c r="O6187" t="inlineStr">
        <is>
          <t>ribonuclease H</t>
        </is>
      </c>
    </row>
    <row r="6188">
      <c r="A6188" t="inlineStr"/>
      <c r="B6188" t="inlineStr"/>
      <c r="C6188" t="inlineStr"/>
      <c r="D6188" t="inlineStr"/>
      <c r="E6188">
        <f>HYPERLINK("https://www.ncbi.nlm.nih.gov/gene/?term=XP_041445392.1", "XP_041445392.1")</f>
        <v/>
      </c>
      <c r="F6188" t="n">
        <v>31.3</v>
      </c>
      <c r="G6188" t="n">
        <v>96</v>
      </c>
      <c r="H6188" t="n">
        <v>2.23e-06</v>
      </c>
      <c r="I6188" t="inlineStr">
        <is>
          <t>Nr</t>
        </is>
      </c>
      <c r="J6188" t="inlineStr"/>
      <c r="K6188" t="inlineStr"/>
      <c r="L6188" t="inlineStr">
        <is>
          <t>XP_041445392.1 uncharacterized protein LOC121402804 [Xenopus laevis]</t>
        </is>
      </c>
      <c r="M6188" t="n">
        <v>1044</v>
      </c>
      <c r="N6188" t="inlineStr">
        <is>
          <t>Xenopus laevis</t>
        </is>
      </c>
      <c r="O6188" t="inlineStr">
        <is>
          <t>uncharacterized protein LOC121402804</t>
        </is>
      </c>
    </row>
    <row r="6189">
      <c r="A6189" t="inlineStr"/>
      <c r="B6189" t="inlineStr"/>
      <c r="C6189" t="inlineStr"/>
      <c r="D6189" t="inlineStr"/>
      <c r="E6189">
        <f>HYPERLINK("https://www.uniprot.org/uniprotkb/A0A803JUN8/entry", "A0A803JUN8")</f>
        <v/>
      </c>
      <c r="F6189" t="n">
        <v>35.1</v>
      </c>
      <c r="G6189" t="n">
        <v>97</v>
      </c>
      <c r="H6189" t="n">
        <v>2.23e-06</v>
      </c>
      <c r="I6189" t="inlineStr">
        <is>
          <t>TrEMBL</t>
        </is>
      </c>
      <c r="J6189" t="inlineStr"/>
      <c r="K6189" t="inlineStr">
        <is>
          <t>A0A803JUN8_XENTR</t>
        </is>
      </c>
      <c r="L6189" t="inlineStr">
        <is>
          <t>tr|A0A803JUN8|A0A803JUN8_XENTR ribonuclease H OS=Xenopus tropicalis OX=8364 PE=3 SV=1</t>
        </is>
      </c>
      <c r="M6189" t="n">
        <v>1308</v>
      </c>
      <c r="N6189" t="inlineStr">
        <is>
          <t>Xenopus tropicalis</t>
        </is>
      </c>
      <c r="O6189" t="inlineStr">
        <is>
          <t>ribonuclease H</t>
        </is>
      </c>
    </row>
    <row r="6190">
      <c r="A6190" t="inlineStr"/>
      <c r="B6190" t="inlineStr"/>
      <c r="C6190" t="inlineStr"/>
      <c r="D6190" t="inlineStr"/>
      <c r="E6190">
        <f>HYPERLINK("https://www.ncbi.nlm.nih.gov/gene/?term=KAJ1109638.1", "KAJ1109638.1")</f>
        <v/>
      </c>
      <c r="F6190" t="n">
        <v>35.7</v>
      </c>
      <c r="G6190" t="n">
        <v>98</v>
      </c>
      <c r="H6190" t="n">
        <v>2.27e-06</v>
      </c>
      <c r="I6190" t="inlineStr">
        <is>
          <t>Nr</t>
        </is>
      </c>
      <c r="J6190" t="inlineStr"/>
      <c r="K6190" t="inlineStr"/>
      <c r="L6190" t="inlineStr">
        <is>
          <t>KAJ1109638.1 hypothetical protein NDU88_006998 [Pleurodeles waltl]</t>
        </is>
      </c>
      <c r="M6190" t="n">
        <v>1312</v>
      </c>
      <c r="N6190" t="inlineStr">
        <is>
          <t>Pleurodeles waltl</t>
        </is>
      </c>
      <c r="O6190" t="inlineStr">
        <is>
          <t>hypothetical protein NDU88_006998</t>
        </is>
      </c>
    </row>
    <row r="6191">
      <c r="A6191" t="inlineStr"/>
      <c r="B6191" t="inlineStr"/>
      <c r="C6191" t="inlineStr"/>
      <c r="D6191" t="inlineStr"/>
      <c r="E6191">
        <f>HYPERLINK("https://www.uniprot.org/uniprotkb/A0A2D4KEU4/entry", "A0A2D4KEU4")</f>
        <v/>
      </c>
      <c r="F6191" t="n">
        <v>33</v>
      </c>
      <c r="G6191" t="n">
        <v>94</v>
      </c>
      <c r="H6191" t="n">
        <v>2.8e-06</v>
      </c>
      <c r="I6191" t="inlineStr">
        <is>
          <t>TrEMBL</t>
        </is>
      </c>
      <c r="J6191" t="inlineStr"/>
      <c r="K6191" t="inlineStr">
        <is>
          <t>A0A2D4KEU4_9SAUR</t>
        </is>
      </c>
      <c r="L6191" t="inlineStr">
        <is>
          <t>tr|A0A2D4KEU4|A0A2D4KEU4_9SAUR Reverse transcriptase domain-containing protein (Fragment) OS=Micrurus paraensis OX=1970185 PE=4 SV=1</t>
        </is>
      </c>
      <c r="M6191" t="n">
        <v>172</v>
      </c>
      <c r="N6191" t="inlineStr">
        <is>
          <t>Micrurus paraensis</t>
        </is>
      </c>
      <c r="O6191" t="inlineStr">
        <is>
          <t>Reverse transcriptase domain-containing protein (Fragment)</t>
        </is>
      </c>
    </row>
    <row r="6192">
      <c r="A6192" t="inlineStr"/>
      <c r="B6192" t="inlineStr"/>
      <c r="C6192" t="inlineStr"/>
      <c r="D6192" t="inlineStr"/>
      <c r="E6192">
        <f>HYPERLINK("https://www.uniprot.org/uniprotkb/A0A8J1MS43/entry", "A0A8J1MS43")</f>
        <v/>
      </c>
      <c r="F6192" t="n">
        <v>31.6</v>
      </c>
      <c r="G6192" t="n">
        <v>95</v>
      </c>
      <c r="H6192" t="n">
        <v>2.99e-06</v>
      </c>
      <c r="I6192" t="inlineStr">
        <is>
          <t>TrEMBL</t>
        </is>
      </c>
      <c r="J6192" t="inlineStr">
        <is>
          <t>LOC121402168</t>
        </is>
      </c>
      <c r="K6192" t="inlineStr">
        <is>
          <t>A0A8J1MS43_XENLA</t>
        </is>
      </c>
      <c r="L6192" t="inlineStr">
        <is>
          <t>tr|A0A8J1MS43|A0A8J1MS43_XENLA ribonuclease H OS=Xenopus laevis OX=8355 GN=LOC121402168 PE=3 SV=1</t>
        </is>
      </c>
      <c r="M6192" t="n">
        <v>1068</v>
      </c>
      <c r="N6192" t="inlineStr">
        <is>
          <t>Xenopus laevis</t>
        </is>
      </c>
      <c r="O6192" t="inlineStr">
        <is>
          <t>ribonuclease H</t>
        </is>
      </c>
    </row>
    <row r="6193">
      <c r="A6193" t="inlineStr"/>
      <c r="B6193" t="inlineStr"/>
      <c r="C6193" t="inlineStr"/>
      <c r="D6193" t="inlineStr"/>
      <c r="E6193">
        <f>HYPERLINK("https://www.uniprot.org/uniprotkb/A0A2D4KEV5/entry", "A0A2D4KEV5")</f>
        <v/>
      </c>
      <c r="F6193" t="n">
        <v>33</v>
      </c>
      <c r="G6193" t="n">
        <v>94</v>
      </c>
      <c r="H6193" t="n">
        <v>2.99e-06</v>
      </c>
      <c r="I6193" t="inlineStr">
        <is>
          <t>TrEMBL</t>
        </is>
      </c>
      <c r="J6193" t="inlineStr"/>
      <c r="K6193" t="inlineStr">
        <is>
          <t>A0A2D4KEV5_9SAUR</t>
        </is>
      </c>
      <c r="L6193" t="inlineStr">
        <is>
          <t>tr|A0A2D4KEV5|A0A2D4KEV5_9SAUR Reverse transcriptase domain-containing protein (Fragment) OS=Micrurus paraensis OX=1970185 PE=4 SV=1</t>
        </is>
      </c>
      <c r="M6193" t="n">
        <v>203</v>
      </c>
      <c r="N6193" t="inlineStr">
        <is>
          <t>Micrurus paraensis</t>
        </is>
      </c>
      <c r="O6193" t="inlineStr">
        <is>
          <t>Reverse transcriptase domain-containing protein (Fragment)</t>
        </is>
      </c>
    </row>
    <row r="6194">
      <c r="A6194" t="inlineStr"/>
      <c r="B6194" t="inlineStr"/>
      <c r="C6194" t="inlineStr"/>
      <c r="D6194" t="inlineStr"/>
      <c r="E6194">
        <f>HYPERLINK("https://www.uniprot.org/uniprotkb/A0A8J1JBZ2/entry", "A0A8J1JBZ2")</f>
        <v/>
      </c>
      <c r="F6194" t="n">
        <v>31.9</v>
      </c>
      <c r="G6194" t="n">
        <v>94</v>
      </c>
      <c r="H6194" t="n">
        <v>3.88e-06</v>
      </c>
      <c r="I6194" t="inlineStr">
        <is>
          <t>TrEMBL</t>
        </is>
      </c>
      <c r="J6194" t="inlineStr">
        <is>
          <t>LOC116409839</t>
        </is>
      </c>
      <c r="K6194" t="inlineStr">
        <is>
          <t>A0A8J1JBZ2_XENTR</t>
        </is>
      </c>
      <c r="L6194" t="inlineStr">
        <is>
          <t>tr|A0A8J1JBZ2|A0A8J1JBZ2_XENTR uncharacterized protein LOC116409839 OS=Xenopus tropicalis OX=8364 GN=LOC116409839 PE=4 SV=1</t>
        </is>
      </c>
      <c r="M6194" t="n">
        <v>666</v>
      </c>
      <c r="N6194" t="inlineStr">
        <is>
          <t>Xenopus tropicalis</t>
        </is>
      </c>
      <c r="O6194" t="inlineStr">
        <is>
          <t>uncharacterized protein LOC116409839</t>
        </is>
      </c>
    </row>
    <row r="6195">
      <c r="A6195" t="inlineStr"/>
      <c r="B6195" t="inlineStr"/>
      <c r="C6195" t="inlineStr"/>
      <c r="D6195" t="inlineStr"/>
      <c r="E6195">
        <f>HYPERLINK("https://www.uniprot.org/uniprotkb/A0A8J1L8U5/entry", "A0A8J1L8U5")</f>
        <v/>
      </c>
      <c r="F6195" t="n">
        <v>49.1</v>
      </c>
      <c r="G6195" t="n">
        <v>53</v>
      </c>
      <c r="H6195" t="n">
        <v>4.02e-06</v>
      </c>
      <c r="I6195" t="inlineStr">
        <is>
          <t>TrEMBL</t>
        </is>
      </c>
      <c r="J6195" t="inlineStr">
        <is>
          <t>LOC121395599</t>
        </is>
      </c>
      <c r="K6195" t="inlineStr">
        <is>
          <t>A0A8J1L8U5_XENLA</t>
        </is>
      </c>
      <c r="L6195" t="inlineStr">
        <is>
          <t>tr|A0A8J1L8U5|A0A8J1L8U5_XENLA ribonuclease H OS=Xenopus laevis OX=8355 GN=LOC121395599 PE=3 SV=1</t>
        </is>
      </c>
      <c r="M6195" t="n">
        <v>910</v>
      </c>
      <c r="N6195" t="inlineStr">
        <is>
          <t>Xenopus laevis</t>
        </is>
      </c>
      <c r="O6195" t="inlineStr">
        <is>
          <t>ribonuclease H</t>
        </is>
      </c>
    </row>
    <row r="6196">
      <c r="A6196" t="inlineStr"/>
      <c r="B6196" t="inlineStr"/>
      <c r="C6196" t="inlineStr"/>
      <c r="D6196" t="inlineStr"/>
      <c r="E6196">
        <f>HYPERLINK("https://www.uniprot.org/uniprotkb/A0A2D4M3Y6/entry", "A0A2D4M3Y6")</f>
        <v/>
      </c>
      <c r="F6196" t="n">
        <v>34</v>
      </c>
      <c r="G6196" t="n">
        <v>94</v>
      </c>
      <c r="H6196" t="n">
        <v>4.69e-06</v>
      </c>
      <c r="I6196" t="inlineStr">
        <is>
          <t>TrEMBL</t>
        </is>
      </c>
      <c r="J6196" t="inlineStr"/>
      <c r="K6196" t="inlineStr">
        <is>
          <t>A0A2D4M3Y6_9SAUR</t>
        </is>
      </c>
      <c r="L6196" t="inlineStr">
        <is>
          <t>tr|A0A2D4M3Y6|A0A2D4M3Y6_9SAUR ribonuclease H (Fragment) OS=Micrurus spixii OX=129469 PE=3 SV=1</t>
        </is>
      </c>
      <c r="M6196" t="n">
        <v>372</v>
      </c>
      <c r="N6196" t="inlineStr">
        <is>
          <t>Micrurus spixii</t>
        </is>
      </c>
      <c r="O6196" t="inlineStr">
        <is>
          <t>ribonuclease H (Fragment)</t>
        </is>
      </c>
    </row>
    <row r="6197">
      <c r="A6197" t="inlineStr"/>
      <c r="B6197" t="inlineStr"/>
      <c r="C6197" t="inlineStr"/>
      <c r="D6197" t="inlineStr"/>
      <c r="E6197">
        <f>HYPERLINK("https://www.ncbi.nlm.nih.gov/gene/?term=XP_040266934.1", "XP_040266934.1")</f>
        <v/>
      </c>
      <c r="F6197" t="n">
        <v>35.1</v>
      </c>
      <c r="G6197" t="n">
        <v>94</v>
      </c>
      <c r="H6197" t="n">
        <v>5.4e-06</v>
      </c>
      <c r="I6197" t="inlineStr">
        <is>
          <t>Nr</t>
        </is>
      </c>
      <c r="J6197" t="inlineStr"/>
      <c r="K6197" t="inlineStr"/>
      <c r="L6197" t="inlineStr">
        <is>
          <t>XP_040266934.1 cochlin [Bufo bufo]</t>
        </is>
      </c>
      <c r="M6197" t="n">
        <v>690</v>
      </c>
      <c r="N6197" t="inlineStr">
        <is>
          <t>Bufo bufo</t>
        </is>
      </c>
      <c r="O6197" t="inlineStr">
        <is>
          <t>cochlin</t>
        </is>
      </c>
    </row>
    <row r="6198">
      <c r="A6198" t="inlineStr"/>
      <c r="B6198" t="inlineStr"/>
      <c r="C6198" t="inlineStr"/>
      <c r="D6198" t="inlineStr"/>
      <c r="E6198">
        <f>HYPERLINK("https://www.uniprot.org/uniprotkb/A0A803K510/entry", "A0A803K510")</f>
        <v/>
      </c>
      <c r="F6198" t="n">
        <v>30.9</v>
      </c>
      <c r="G6198" t="n">
        <v>94</v>
      </c>
      <c r="H6198" t="n">
        <v>5.41e-06</v>
      </c>
      <c r="I6198" t="inlineStr">
        <is>
          <t>TrEMBL</t>
        </is>
      </c>
      <c r="J6198" t="inlineStr"/>
      <c r="K6198" t="inlineStr">
        <is>
          <t>A0A803K510_XENTR</t>
        </is>
      </c>
      <c r="L6198" t="inlineStr">
        <is>
          <t>tr|A0A803K510|A0A803K510_XENTR ribonuclease H OS=Xenopus tropicalis OX=8364 PE=3 SV=1</t>
        </is>
      </c>
      <c r="M6198" t="n">
        <v>820</v>
      </c>
      <c r="N6198" t="inlineStr">
        <is>
          <t>Xenopus tropicalis</t>
        </is>
      </c>
      <c r="O6198" t="inlineStr">
        <is>
          <t>ribonuclease H</t>
        </is>
      </c>
    </row>
    <row r="6199">
      <c r="A6199" t="inlineStr"/>
      <c r="B6199" t="inlineStr"/>
      <c r="C6199" t="inlineStr"/>
      <c r="D6199" t="inlineStr"/>
      <c r="E6199">
        <f>HYPERLINK("https://www.uniprot.org/uniprotkb/A0A2D4KEW8/entry", "A0A2D4KEW8")</f>
        <v/>
      </c>
      <c r="F6199" t="n">
        <v>33</v>
      </c>
      <c r="G6199" t="n">
        <v>94</v>
      </c>
      <c r="H6199" t="n">
        <v>5.41e-06</v>
      </c>
      <c r="I6199" t="inlineStr">
        <is>
          <t>TrEMBL</t>
        </is>
      </c>
      <c r="J6199" t="inlineStr"/>
      <c r="K6199" t="inlineStr">
        <is>
          <t>A0A2D4KEW8_9SAUR</t>
        </is>
      </c>
      <c r="L6199" t="inlineStr">
        <is>
          <t>tr|A0A2D4KEW8|A0A2D4KEW8_9SAUR ribonuclease H (Fragment) OS=Micrurus paraensis OX=1970185 PE=3 SV=1</t>
        </is>
      </c>
      <c r="M6199" t="n">
        <v>288</v>
      </c>
      <c r="N6199" t="inlineStr">
        <is>
          <t>Micrurus paraensis</t>
        </is>
      </c>
      <c r="O6199" t="inlineStr">
        <is>
          <t>ribonuclease H (Fragment)</t>
        </is>
      </c>
    </row>
    <row r="6200">
      <c r="A6200" t="inlineStr"/>
      <c r="B6200" t="inlineStr"/>
      <c r="C6200" t="inlineStr"/>
      <c r="D6200" t="inlineStr"/>
      <c r="E6200">
        <f>HYPERLINK("https://www.uniprot.org/uniprotkb/Q8I7P9/entry", "Q8I7P9")</f>
        <v/>
      </c>
      <c r="F6200" t="n">
        <v>26.4</v>
      </c>
      <c r="G6200" t="n">
        <v>140</v>
      </c>
      <c r="H6200" t="n">
        <v>1.44e-05</v>
      </c>
      <c r="I6200" t="inlineStr">
        <is>
          <t>Swiss-Prot</t>
        </is>
      </c>
      <c r="J6200" t="inlineStr">
        <is>
          <t>pol</t>
        </is>
      </c>
      <c r="K6200" t="inlineStr">
        <is>
          <t>POL5_DROME</t>
        </is>
      </c>
      <c r="L6200" t="inlineStr">
        <is>
          <t>sp|Q8I7P9|POL5_DROME Retrovirus-related Pol polyprotein from transposon opus OS=Drosophila melanogaster OX=7227 GN=pol PE=4 SV=1</t>
        </is>
      </c>
      <c r="M6200" t="n">
        <v>1003</v>
      </c>
      <c r="N6200" t="inlineStr">
        <is>
          <t>Drosophila melanogaster</t>
        </is>
      </c>
      <c r="O6200" t="inlineStr">
        <is>
          <t>Retrovirus-related Pol polyprotein from transposon opus</t>
        </is>
      </c>
    </row>
    <row r="6201">
      <c r="A6201" t="inlineStr"/>
      <c r="B6201" t="inlineStr"/>
      <c r="C6201" t="inlineStr"/>
      <c r="D6201" t="inlineStr"/>
      <c r="E6201">
        <f>HYPERLINK("https://www.uniprot.org/uniprotkb/Q91DM0/entry", "Q91DM0")</f>
        <v/>
      </c>
      <c r="F6201" t="n">
        <v>26.8</v>
      </c>
      <c r="G6201" t="n">
        <v>127</v>
      </c>
      <c r="H6201" t="n">
        <v>1.57e-05</v>
      </c>
      <c r="I6201" t="inlineStr">
        <is>
          <t>Swiss-Prot</t>
        </is>
      </c>
      <c r="J6201" t="inlineStr"/>
      <c r="K6201" t="inlineStr">
        <is>
          <t>POLG_PVCV1</t>
        </is>
      </c>
      <c r="L6201" t="inlineStr">
        <is>
          <t>sp|Q91DM0|POLG_PVCV1 Genome polyprotein OS=Petunia vein clearing virus (isolate Shepherd) OX=492094 PE=3 SV=1</t>
        </is>
      </c>
      <c r="M6201" t="n">
        <v>2179</v>
      </c>
      <c r="N6201" t="inlineStr">
        <is>
          <t>Petunia vein clearing virus (isolate Shepherd)</t>
        </is>
      </c>
      <c r="O6201" t="inlineStr">
        <is>
          <t>Genome polyprotein</t>
        </is>
      </c>
    </row>
    <row r="6202">
      <c r="A6202" t="inlineStr"/>
      <c r="B6202" t="inlineStr"/>
      <c r="C6202" t="inlineStr"/>
      <c r="D6202" t="inlineStr"/>
      <c r="E6202">
        <f>HYPERLINK("https://www.uniprot.org/uniprotkb/Q6XKE6/entry", "Q6XKE6")</f>
        <v/>
      </c>
      <c r="F6202" t="n">
        <v>26.8</v>
      </c>
      <c r="G6202" t="n">
        <v>127</v>
      </c>
      <c r="H6202" t="n">
        <v>1.57e-05</v>
      </c>
      <c r="I6202" t="inlineStr">
        <is>
          <t>Swiss-Prot</t>
        </is>
      </c>
      <c r="J6202" t="inlineStr"/>
      <c r="K6202" t="inlineStr">
        <is>
          <t>POLG_PVCV2</t>
        </is>
      </c>
      <c r="L6202" t="inlineStr">
        <is>
          <t>sp|Q6XKE6|POLG_PVCV2 Genome polyprotein OS=Petunia vein clearing virus (isolate Hohn) OX=492095 PE=3 SV=1</t>
        </is>
      </c>
      <c r="M6202" t="n">
        <v>2180</v>
      </c>
      <c r="N6202" t="inlineStr">
        <is>
          <t>Petunia vein clearing virus (isolate Hohn)</t>
        </is>
      </c>
      <c r="O6202" t="inlineStr">
        <is>
          <t>Genome polyprotein</t>
        </is>
      </c>
    </row>
    <row r="6203">
      <c r="A6203" t="inlineStr"/>
      <c r="B6203" t="inlineStr"/>
      <c r="C6203" t="inlineStr"/>
      <c r="D6203" t="inlineStr"/>
      <c r="E6203">
        <f>HYPERLINK("https://www.uniprot.org/uniprotkb/Q09575/entry", "Q09575")</f>
        <v/>
      </c>
      <c r="F6203" t="n">
        <v>32.3</v>
      </c>
      <c r="G6203" t="n">
        <v>127</v>
      </c>
      <c r="H6203" t="n">
        <v>8.41e-05</v>
      </c>
      <c r="I6203" t="inlineStr">
        <is>
          <t>Swiss-Prot</t>
        </is>
      </c>
      <c r="J6203" t="inlineStr">
        <is>
          <t>K02A2.6</t>
        </is>
      </c>
      <c r="K6203" t="inlineStr">
        <is>
          <t>YRD6_CAEEL</t>
        </is>
      </c>
      <c r="L6203" t="inlineStr">
        <is>
          <t>sp|Q09575|YRD6_CAEEL Uncharacterized protein K02A2.6 OS=Caenorhabditis elegans OX=6239 GN=K02A2.6 PE=4 SV=1</t>
        </is>
      </c>
      <c r="M6203" t="n">
        <v>1268</v>
      </c>
      <c r="N6203" t="inlineStr">
        <is>
          <t>Caenorhabditis elegans</t>
        </is>
      </c>
      <c r="O6203" t="inlineStr">
        <is>
          <t>Uncharacterized protein K02A2.6</t>
        </is>
      </c>
    </row>
    <row r="6204">
      <c r="A6204" t="inlineStr"/>
      <c r="B6204" t="inlineStr"/>
      <c r="C6204" t="inlineStr"/>
      <c r="D6204" t="inlineStr"/>
      <c r="E6204">
        <f>HYPERLINK("https://www.uniprot.org/uniprotkb/P19199/entry", "P19199")</f>
        <v/>
      </c>
      <c r="F6204" t="n">
        <v>23.3</v>
      </c>
      <c r="G6204" t="n">
        <v>270</v>
      </c>
      <c r="H6204" t="n">
        <v>8.75e-05</v>
      </c>
      <c r="I6204" t="inlineStr">
        <is>
          <t>Swiss-Prot</t>
        </is>
      </c>
      <c r="J6204" t="inlineStr"/>
      <c r="K6204" t="inlineStr">
        <is>
          <t>POL_COYMV</t>
        </is>
      </c>
      <c r="L6204" t="inlineStr">
        <is>
          <t>sp|P19199|POL_COYMV Polyprotein P3 OS=Commelina yellow mottle virus OX=10653 PE=3 SV=2</t>
        </is>
      </c>
      <c r="M6204" t="n">
        <v>1886</v>
      </c>
      <c r="N6204" t="inlineStr">
        <is>
          <t>Commelina yellow mottle virus</t>
        </is>
      </c>
      <c r="O6204" t="inlineStr">
        <is>
          <t>Polyprotein P3</t>
        </is>
      </c>
    </row>
    <row r="6205">
      <c r="A6205" t="inlineStr"/>
      <c r="B6205" t="inlineStr"/>
      <c r="C6205" t="inlineStr"/>
      <c r="D6205" t="inlineStr"/>
      <c r="E6205">
        <f>HYPERLINK("https://www.uniprot.org/uniprotkb/P03162/entry", "P03162")</f>
        <v/>
      </c>
      <c r="F6205" t="n">
        <v>27.2</v>
      </c>
      <c r="G6205" t="n">
        <v>147</v>
      </c>
      <c r="H6205" t="n">
        <v>0.00014</v>
      </c>
      <c r="I6205" t="inlineStr">
        <is>
          <t>Swiss-Prot</t>
        </is>
      </c>
      <c r="J6205" t="inlineStr">
        <is>
          <t>P</t>
        </is>
      </c>
      <c r="K6205" t="inlineStr">
        <is>
          <t>DPOL_DHBV1</t>
        </is>
      </c>
      <c r="L6205" t="inlineStr">
        <is>
          <t>sp|P03162|DPOL_DHBV1 Protein P OS=Duck hepatitis B virus (strain United States/DHBV-16) OX=489543 GN=P PE=3 SV=2</t>
        </is>
      </c>
      <c r="M6205" t="n">
        <v>836</v>
      </c>
      <c r="N6205" t="inlineStr">
        <is>
          <t>Duck hepatitis B virus (strain United States/DHBV-16)</t>
        </is>
      </c>
      <c r="O6205" t="inlineStr">
        <is>
          <t>Protein P</t>
        </is>
      </c>
    </row>
    <row r="6206">
      <c r="A6206" t="inlineStr"/>
      <c r="B6206" t="inlineStr"/>
      <c r="C6206" t="inlineStr"/>
      <c r="D6206" t="inlineStr"/>
      <c r="E6206">
        <f>HYPERLINK("https://www.uniprot.org/uniprotkb/P0CT41/entry", "P0CT41")</f>
        <v/>
      </c>
      <c r="F6206" t="n">
        <v>27.5</v>
      </c>
      <c r="G6206" t="n">
        <v>131</v>
      </c>
      <c r="H6206" t="n">
        <v>0.0002</v>
      </c>
      <c r="I6206" t="inlineStr">
        <is>
          <t>Swiss-Prot</t>
        </is>
      </c>
      <c r="J6206" t="inlineStr">
        <is>
          <t>Tf2-12</t>
        </is>
      </c>
      <c r="K6206" t="inlineStr">
        <is>
          <t>TF212_SCHPO</t>
        </is>
      </c>
      <c r="L6206" t="inlineStr">
        <is>
          <t>sp|P0CT41|TF212_SCHPO Transposon Tf2-12 polyprotein OS=Schizosaccharomyces pombe (strain 972 / ATCC 24843) OX=284812 GN=Tf2-12 PE=3 SV=1</t>
        </is>
      </c>
      <c r="M6206" t="n">
        <v>1333</v>
      </c>
      <c r="N6206" t="inlineStr">
        <is>
          <t>Schizosaccharomyces pombe (strain 972 / ATCC 24843)</t>
        </is>
      </c>
      <c r="O6206" t="inlineStr">
        <is>
          <t>Transposon Tf2-12 polyprotein</t>
        </is>
      </c>
    </row>
    <row r="6207">
      <c r="A6207" t="inlineStr"/>
      <c r="B6207" t="inlineStr"/>
      <c r="C6207" t="inlineStr"/>
      <c r="D6207" t="inlineStr"/>
      <c r="E6207">
        <f>HYPERLINK("https://www.uniprot.org/uniprotkb/P0CT34/entry", "P0CT34")</f>
        <v/>
      </c>
      <c r="F6207" t="n">
        <v>27.5</v>
      </c>
      <c r="G6207" t="n">
        <v>131</v>
      </c>
      <c r="H6207" t="n">
        <v>0.0002</v>
      </c>
      <c r="I6207" t="inlineStr">
        <is>
          <t>Swiss-Prot</t>
        </is>
      </c>
      <c r="J6207" t="inlineStr">
        <is>
          <t>Tf2-1</t>
        </is>
      </c>
      <c r="K6207" t="inlineStr">
        <is>
          <t>TF21_SCHPO</t>
        </is>
      </c>
      <c r="L6207" t="inlineStr">
        <is>
          <t>sp|P0CT34|TF21_SCHPO Transposon Tf2-1 polyprotein OS=Schizosaccharomyces pombe (strain 972 / ATCC 24843) OX=284812 GN=Tf2-1 PE=3 SV=1</t>
        </is>
      </c>
      <c r="M6207" t="n">
        <v>1333</v>
      </c>
      <c r="N6207" t="inlineStr">
        <is>
          <t>Schizosaccharomyces pombe (strain 972 / ATCC 24843)</t>
        </is>
      </c>
      <c r="O6207" t="inlineStr">
        <is>
          <t>Transposon Tf2-1 polyprotein</t>
        </is>
      </c>
    </row>
    <row r="6208">
      <c r="A6208" t="inlineStr"/>
      <c r="B6208" t="inlineStr"/>
      <c r="C6208" t="inlineStr"/>
      <c r="D6208" t="inlineStr"/>
      <c r="E6208">
        <f>HYPERLINK("https://www.uniprot.org/uniprotkb/P0CT35/entry", "P0CT35")</f>
        <v/>
      </c>
      <c r="F6208" t="n">
        <v>27.5</v>
      </c>
      <c r="G6208" t="n">
        <v>131</v>
      </c>
      <c r="H6208" t="n">
        <v>0.0002</v>
      </c>
      <c r="I6208" t="inlineStr">
        <is>
          <t>Swiss-Prot</t>
        </is>
      </c>
      <c r="J6208" t="inlineStr">
        <is>
          <t>Tf2-2</t>
        </is>
      </c>
      <c r="K6208" t="inlineStr">
        <is>
          <t>TF22_SCHPO</t>
        </is>
      </c>
      <c r="L6208" t="inlineStr">
        <is>
          <t>sp|P0CT35|TF22_SCHPO Transposon Tf2-2 polyprotein OS=Schizosaccharomyces pombe (strain 972 / ATCC 24843) OX=284812 GN=Tf2-2 PE=3 SV=1</t>
        </is>
      </c>
      <c r="M6208" t="n">
        <v>1333</v>
      </c>
      <c r="N6208" t="inlineStr">
        <is>
          <t>Schizosaccharomyces pombe (strain 972 / ATCC 24843)</t>
        </is>
      </c>
      <c r="O6208" t="inlineStr">
        <is>
          <t>Transposon Tf2-2 polyprotein</t>
        </is>
      </c>
    </row>
    <row r="6209">
      <c r="A6209" t="inlineStr"/>
      <c r="B6209" t="inlineStr"/>
      <c r="C6209" t="inlineStr"/>
      <c r="D6209" t="inlineStr"/>
      <c r="E6209">
        <f>HYPERLINK("https://www.uniprot.org/uniprotkb/P0CT36/entry", "P0CT36")</f>
        <v/>
      </c>
      <c r="F6209" t="n">
        <v>27.5</v>
      </c>
      <c r="G6209" t="n">
        <v>131</v>
      </c>
      <c r="H6209" t="n">
        <v>0.0002</v>
      </c>
      <c r="I6209" t="inlineStr">
        <is>
          <t>Swiss-Prot</t>
        </is>
      </c>
      <c r="J6209" t="inlineStr">
        <is>
          <t>Tf2-3</t>
        </is>
      </c>
      <c r="K6209" t="inlineStr">
        <is>
          <t>TF23_SCHPO</t>
        </is>
      </c>
      <c r="L6209" t="inlineStr">
        <is>
          <t>sp|P0CT36|TF23_SCHPO Transposon Tf2-3 polyprotein OS=Schizosaccharomyces pombe (strain 972 / ATCC 24843) OX=284812 GN=Tf2-3 PE=1 SV=1</t>
        </is>
      </c>
      <c r="M6209" t="n">
        <v>1333</v>
      </c>
      <c r="N6209" t="inlineStr">
        <is>
          <t>Schizosaccharomyces pombe (strain 972 / ATCC 24843)</t>
        </is>
      </c>
      <c r="O6209" t="inlineStr">
        <is>
          <t>Transposon Tf2-3 polyprotein</t>
        </is>
      </c>
    </row>
    <row r="6210">
      <c r="A6210" t="inlineStr"/>
      <c r="B6210" t="inlineStr"/>
      <c r="C6210" t="inlineStr"/>
      <c r="D6210" t="inlineStr"/>
      <c r="E6210">
        <f>HYPERLINK("https://www.uniprot.org/uniprotkb/P0CT37/entry", "P0CT37")</f>
        <v/>
      </c>
      <c r="F6210" t="n">
        <v>27.5</v>
      </c>
      <c r="G6210" t="n">
        <v>131</v>
      </c>
      <c r="H6210" t="n">
        <v>0.0002</v>
      </c>
      <c r="I6210" t="inlineStr">
        <is>
          <t>Swiss-Prot</t>
        </is>
      </c>
      <c r="J6210" t="inlineStr">
        <is>
          <t>Tf2-4</t>
        </is>
      </c>
      <c r="K6210" t="inlineStr">
        <is>
          <t>TF24_SCHPO</t>
        </is>
      </c>
      <c r="L6210" t="inlineStr">
        <is>
          <t>sp|P0CT37|TF24_SCHPO Transposon Tf2-4 polyprotein OS=Schizosaccharomyces pombe (strain 972 / ATCC 24843) OX=284812 GN=Tf2-4 PE=3 SV=1</t>
        </is>
      </c>
      <c r="M6210" t="n">
        <v>1333</v>
      </c>
      <c r="N6210" t="inlineStr">
        <is>
          <t>Schizosaccharomyces pombe (strain 972 / ATCC 24843)</t>
        </is>
      </c>
      <c r="O6210" t="inlineStr">
        <is>
          <t>Transposon Tf2-4 polyprotein</t>
        </is>
      </c>
    </row>
    <row r="6211">
      <c r="A6211" t="inlineStr"/>
      <c r="B6211" t="inlineStr"/>
      <c r="C6211" t="inlineStr"/>
      <c r="D6211" t="inlineStr"/>
      <c r="E6211">
        <f>HYPERLINK("https://www.uniprot.org/uniprotkb/P0CT38/entry", "P0CT38")</f>
        <v/>
      </c>
      <c r="F6211" t="n">
        <v>27.5</v>
      </c>
      <c r="G6211" t="n">
        <v>131</v>
      </c>
      <c r="H6211" t="n">
        <v>0.0002</v>
      </c>
      <c r="I6211" t="inlineStr">
        <is>
          <t>Swiss-Prot</t>
        </is>
      </c>
      <c r="J6211" t="inlineStr">
        <is>
          <t>Tf2-5</t>
        </is>
      </c>
      <c r="K6211" t="inlineStr">
        <is>
          <t>TF25_SCHPO</t>
        </is>
      </c>
      <c r="L6211" t="inlineStr">
        <is>
          <t>sp|P0CT38|TF25_SCHPO Transposon Tf2-5 polyprotein OS=Schizosaccharomyces pombe (strain 972 / ATCC 24843) OX=284812 GN=Tf2-5 PE=3 SV=1</t>
        </is>
      </c>
      <c r="M6211" t="n">
        <v>1333</v>
      </c>
      <c r="N6211" t="inlineStr">
        <is>
          <t>Schizosaccharomyces pombe (strain 972 / ATCC 24843)</t>
        </is>
      </c>
      <c r="O6211" t="inlineStr">
        <is>
          <t>Transposon Tf2-5 polyprotein</t>
        </is>
      </c>
    </row>
    <row r="6212">
      <c r="A6212" t="inlineStr"/>
      <c r="B6212" t="inlineStr"/>
      <c r="C6212" t="inlineStr"/>
      <c r="D6212" t="inlineStr"/>
      <c r="E6212">
        <f>HYPERLINK("https://www.uniprot.org/uniprotkb/P0CT39/entry", "P0CT39")</f>
        <v/>
      </c>
      <c r="F6212" t="n">
        <v>27.5</v>
      </c>
      <c r="G6212" t="n">
        <v>131</v>
      </c>
      <c r="H6212" t="n">
        <v>0.0002</v>
      </c>
      <c r="I6212" t="inlineStr">
        <is>
          <t>Swiss-Prot</t>
        </is>
      </c>
      <c r="J6212" t="inlineStr">
        <is>
          <t>Tf2-6</t>
        </is>
      </c>
      <c r="K6212" t="inlineStr">
        <is>
          <t>TF26_SCHPO</t>
        </is>
      </c>
      <c r="L6212" t="inlineStr">
        <is>
          <t>sp|P0CT39|TF26_SCHPO Transposon Tf2-6 polyprotein OS=Schizosaccharomyces pombe (strain 972 / ATCC 24843) OX=284812 GN=Tf2-6 PE=3 SV=1</t>
        </is>
      </c>
      <c r="M6212" t="n">
        <v>1333</v>
      </c>
      <c r="N6212" t="inlineStr">
        <is>
          <t>Schizosaccharomyces pombe (strain 972 / ATCC 24843)</t>
        </is>
      </c>
      <c r="O6212" t="inlineStr">
        <is>
          <t>Transposon Tf2-6 polyprotein</t>
        </is>
      </c>
    </row>
    <row r="6213">
      <c r="A6213" t="inlineStr"/>
      <c r="B6213" t="inlineStr"/>
      <c r="C6213" t="inlineStr"/>
      <c r="D6213" t="inlineStr"/>
      <c r="E6213">
        <f>HYPERLINK("https://www.uniprot.org/uniprotkb/P0CT40/entry", "P0CT40")</f>
        <v/>
      </c>
      <c r="F6213" t="n">
        <v>27.5</v>
      </c>
      <c r="G6213" t="n">
        <v>131</v>
      </c>
      <c r="H6213" t="n">
        <v>0.0002</v>
      </c>
      <c r="I6213" t="inlineStr">
        <is>
          <t>Swiss-Prot</t>
        </is>
      </c>
      <c r="J6213" t="inlineStr">
        <is>
          <t>Tf2-9</t>
        </is>
      </c>
      <c r="K6213" t="inlineStr">
        <is>
          <t>TF29_SCHPO</t>
        </is>
      </c>
      <c r="L6213" t="inlineStr">
        <is>
          <t>sp|P0CT40|TF29_SCHPO Transposon Tf2-9 polyprotein OS=Schizosaccharomyces pombe (strain 972 / ATCC 24843) OX=284812 GN=Tf2-9 PE=3 SV=1</t>
        </is>
      </c>
      <c r="M6213" t="n">
        <v>1333</v>
      </c>
      <c r="N6213" t="inlineStr">
        <is>
          <t>Schizosaccharomyces pombe (strain 972 / ATCC 24843)</t>
        </is>
      </c>
      <c r="O6213" t="inlineStr">
        <is>
          <t>Transposon Tf2-9 polyprotein</t>
        </is>
      </c>
    </row>
    <row r="6214">
      <c r="A6214" t="inlineStr"/>
      <c r="B6214" t="inlineStr"/>
      <c r="C6214" t="inlineStr"/>
      <c r="D6214" t="inlineStr"/>
      <c r="E6214">
        <f>HYPERLINK("https://www.uniprot.org/uniprotkb/P17192/entry", "P17192")</f>
        <v/>
      </c>
      <c r="F6214" t="n">
        <v>28.6</v>
      </c>
      <c r="G6214" t="n">
        <v>147</v>
      </c>
      <c r="H6214" t="n">
        <v>0.000327</v>
      </c>
      <c r="I6214" t="inlineStr">
        <is>
          <t>Swiss-Prot</t>
        </is>
      </c>
      <c r="J6214" t="inlineStr">
        <is>
          <t>P</t>
        </is>
      </c>
      <c r="K6214" t="inlineStr">
        <is>
          <t>DPOL_HPBDB</t>
        </is>
      </c>
      <c r="L6214" t="inlineStr">
        <is>
          <t>sp|P17192|DPOL_HPBDB Protein P OS=Duck hepatitis B virus (isolate brown Shanghai duck S5) OX=10439 GN=P PE=3 SV=1</t>
        </is>
      </c>
      <c r="M6214" t="n">
        <v>788</v>
      </c>
      <c r="N6214" t="inlineStr">
        <is>
          <t>Duck hepatitis B virus (isolate brown Shanghai duck S5)</t>
        </is>
      </c>
      <c r="O6214" t="inlineStr">
        <is>
          <t>Protein P</t>
        </is>
      </c>
    </row>
    <row r="6215">
      <c r="A6215" t="inlineStr"/>
      <c r="B6215" t="inlineStr"/>
      <c r="C6215" t="inlineStr"/>
      <c r="D6215" t="inlineStr"/>
      <c r="E6215">
        <f>HYPERLINK("https://www.uniprot.org/uniprotkb/Q66403/entry", "Q66403")</f>
        <v/>
      </c>
      <c r="F6215" t="n">
        <v>27.9</v>
      </c>
      <c r="G6215" t="n">
        <v>147</v>
      </c>
      <c r="H6215" t="n">
        <v>0.000436</v>
      </c>
      <c r="I6215" t="inlineStr">
        <is>
          <t>Swiss-Prot</t>
        </is>
      </c>
      <c r="J6215" t="inlineStr">
        <is>
          <t>P</t>
        </is>
      </c>
      <c r="K6215" t="inlineStr">
        <is>
          <t>DPOL_DHBVQ</t>
        </is>
      </c>
      <c r="L6215" t="inlineStr">
        <is>
          <t>sp|Q66403|DPOL_DHBVQ Protein P OS=Duck hepatitis B virus (isolate Shanghai/DHBVQCA34) OX=644639 GN=P PE=3 SV=1</t>
        </is>
      </c>
      <c r="M6215" t="n">
        <v>788</v>
      </c>
      <c r="N6215" t="inlineStr">
        <is>
          <t>Duck hepatitis B virus (isolate Shanghai/DHBVQCA34)</t>
        </is>
      </c>
      <c r="O6215" t="inlineStr">
        <is>
          <t>Protein P</t>
        </is>
      </c>
    </row>
    <row r="6216">
      <c r="A6216" t="inlineStr"/>
      <c r="B6216" t="inlineStr"/>
      <c r="C6216" t="inlineStr"/>
      <c r="D6216" t="inlineStr"/>
      <c r="E6216">
        <f>HYPERLINK("https://www.uniprot.org/uniprotkb/O92815/entry", "O92815")</f>
        <v/>
      </c>
      <c r="F6216" t="n">
        <v>27.8</v>
      </c>
      <c r="G6216" t="n">
        <v>126</v>
      </c>
      <c r="H6216" t="n">
        <v>0.000486</v>
      </c>
      <c r="I6216" t="inlineStr">
        <is>
          <t>Swiss-Prot</t>
        </is>
      </c>
      <c r="J6216" t="inlineStr">
        <is>
          <t>gag-pol</t>
        </is>
      </c>
      <c r="K6216" t="inlineStr">
        <is>
          <t>POL_WDSV</t>
        </is>
      </c>
      <c r="L6216" t="inlineStr">
        <is>
          <t>sp|O92815|POL_WDSV Gag-Pol polyprotein OS=Walleye dermal sarcoma virus OX=39720 GN=gag-pol PE=1 SV=2</t>
        </is>
      </c>
      <c r="M6216" t="n">
        <v>1752</v>
      </c>
      <c r="N6216" t="inlineStr">
        <is>
          <t>Walleye dermal sarcoma virus</t>
        </is>
      </c>
      <c r="O6216" t="inlineStr">
        <is>
          <t>Gag-Pol polyprotein</t>
        </is>
      </c>
    </row>
    <row r="6217">
      <c r="A6217" t="inlineStr"/>
      <c r="B6217" t="inlineStr"/>
      <c r="C6217" t="inlineStr"/>
      <c r="D6217" t="inlineStr"/>
      <c r="E6217">
        <f>HYPERLINK("https://www.uniprot.org/uniprotkb/Q61033/entry", "Q61033")</f>
        <v/>
      </c>
      <c r="F6217" t="n">
        <v>25.7</v>
      </c>
      <c r="G6217" t="n">
        <v>136</v>
      </c>
      <c r="H6217" t="n">
        <v>0.000517</v>
      </c>
      <c r="I6217" t="inlineStr">
        <is>
          <t>Swiss-Prot</t>
        </is>
      </c>
      <c r="J6217" t="inlineStr">
        <is>
          <t>Tmpo</t>
        </is>
      </c>
      <c r="K6217" t="inlineStr">
        <is>
          <t>LAP2A_MOUSE</t>
        </is>
      </c>
      <c r="L6217" t="inlineStr">
        <is>
          <t>sp|Q61033|LAP2A_MOUSE Lamina-associated polypeptide 2, isoforms alpha/zeta OS=Mus musculus OX=10090 GN=Tmpo PE=1 SV=4</t>
        </is>
      </c>
      <c r="M6217" t="n">
        <v>693</v>
      </c>
      <c r="N6217" t="inlineStr">
        <is>
          <t>Mus musculus</t>
        </is>
      </c>
      <c r="O6217" t="inlineStr">
        <is>
          <t>Lamina-associated polypeptide 2, isoforms alpha/zeta</t>
        </is>
      </c>
    </row>
    <row r="6218">
      <c r="A6218" t="inlineStr"/>
      <c r="B6218" t="inlineStr"/>
      <c r="C6218" t="inlineStr"/>
      <c r="D6218" t="inlineStr"/>
      <c r="E6218">
        <f>HYPERLINK("https://www.uniprot.org/uniprotkb/P30028/entry", "P30028")</f>
        <v/>
      </c>
      <c r="F6218" t="n">
        <v>26.5</v>
      </c>
      <c r="G6218" t="n">
        <v>147</v>
      </c>
      <c r="H6218" t="n">
        <v>0.0007739999999999999</v>
      </c>
      <c r="I6218" t="inlineStr">
        <is>
          <t>Swiss-Prot</t>
        </is>
      </c>
      <c r="J6218" t="inlineStr">
        <is>
          <t>P</t>
        </is>
      </c>
      <c r="K6218" t="inlineStr">
        <is>
          <t>DPOL_HPBDC</t>
        </is>
      </c>
      <c r="L6218" t="inlineStr">
        <is>
          <t>sp|P30028|DPOL_HPBDC Protein P OS=Duck hepatitis B virus (strain China) OX=31510 GN=P PE=3 SV=1</t>
        </is>
      </c>
      <c r="M6218" t="n">
        <v>787</v>
      </c>
      <c r="N6218" t="inlineStr">
        <is>
          <t>Duck hepatitis B virus (strain China)</t>
        </is>
      </c>
      <c r="O6218" t="inlineStr">
        <is>
          <t>Protein P</t>
        </is>
      </c>
    </row>
    <row r="6219">
      <c r="A6219" t="inlineStr"/>
      <c r="B6219" t="inlineStr"/>
      <c r="C6219" t="inlineStr"/>
      <c r="D6219" t="inlineStr"/>
      <c r="E6219">
        <f>HYPERLINK("https://www.uniprot.org/uniprotkb/P17193/entry", "P17193")</f>
        <v/>
      </c>
      <c r="F6219" t="n">
        <v>26.5</v>
      </c>
      <c r="G6219" t="n">
        <v>147</v>
      </c>
      <c r="H6219" t="n">
        <v>0.0007739999999999999</v>
      </c>
      <c r="I6219" t="inlineStr">
        <is>
          <t>Swiss-Prot</t>
        </is>
      </c>
      <c r="J6219" t="inlineStr">
        <is>
          <t>P</t>
        </is>
      </c>
      <c r="K6219" t="inlineStr">
        <is>
          <t>DPOL_HPBDW</t>
        </is>
      </c>
      <c r="L6219" t="inlineStr">
        <is>
          <t>sp|P17193|DPOL_HPBDW Protein P OS=Duck hepatitis B virus (isolate white Shanghai duck S31) OX=10440 GN=P PE=3 SV=1</t>
        </is>
      </c>
      <c r="M6219" t="n">
        <v>788</v>
      </c>
      <c r="N6219" t="inlineStr">
        <is>
          <t>Duck hepatitis B virus (isolate white Shanghai duck S31)</t>
        </is>
      </c>
      <c r="O6219" t="inlineStr">
        <is>
          <t>Protein P</t>
        </is>
      </c>
    </row>
    <row r="6220">
      <c r="A6220" t="inlineStr">
        <is>
          <t>NODE_37953_length_3535_cov_27.084487_g820_i6</t>
        </is>
      </c>
      <c r="B6220" t="inlineStr">
        <is>
          <t>bombina_pachypus_blastx</t>
        </is>
      </c>
      <c r="C6220" t="n">
        <v>2.79736733235582</v>
      </c>
      <c r="D6220" t="n">
        <v>0.0070838732888625</v>
      </c>
      <c r="E6220">
        <f>HYPERLINK("https://www.uniprot.org/uniprotkb/A0A8J1MVR7/entry", "A0A8J1MVR7")</f>
        <v/>
      </c>
      <c r="F6220" t="n">
        <v>69.8</v>
      </c>
      <c r="G6220" t="n">
        <v>636</v>
      </c>
      <c r="H6220" t="n">
        <v>5.55e-284</v>
      </c>
      <c r="I6220" t="inlineStr">
        <is>
          <t>TrEMBL</t>
        </is>
      </c>
      <c r="J6220" t="inlineStr">
        <is>
          <t>LOC108713950</t>
        </is>
      </c>
      <c r="K6220" t="inlineStr">
        <is>
          <t>A0A8J1MVR7_XENLA</t>
        </is>
      </c>
      <c r="L6220" t="inlineStr">
        <is>
          <t>tr|A0A8J1MVR7|A0A8J1MVR7_XENLA ras and Rab interactor 1 OS=Xenopus laevis OX=8355 GN=LOC108713950 PE=3 SV=1</t>
        </is>
      </c>
      <c r="M6220" t="n">
        <v>787</v>
      </c>
      <c r="N6220" t="inlineStr">
        <is>
          <t>Xenopus laevis</t>
        </is>
      </c>
      <c r="O6220" t="inlineStr">
        <is>
          <t>ras and Rab interactor 1</t>
        </is>
      </c>
    </row>
    <row r="6221">
      <c r="A6221" t="inlineStr"/>
      <c r="B6221" t="inlineStr"/>
      <c r="C6221" t="inlineStr"/>
      <c r="D6221" t="inlineStr"/>
      <c r="E6221">
        <f>HYPERLINK("https://www.ncbi.nlm.nih.gov/gene/?term=XP_018113189.1", "XP_018113189.1")</f>
        <v/>
      </c>
      <c r="F6221" t="n">
        <v>69.8</v>
      </c>
      <c r="G6221" t="n">
        <v>636</v>
      </c>
      <c r="H6221" t="n">
        <v>1.43e-283</v>
      </c>
      <c r="I6221" t="inlineStr">
        <is>
          <t>Nr</t>
        </is>
      </c>
      <c r="J6221" t="inlineStr"/>
      <c r="K6221" t="inlineStr"/>
      <c r="L6221" t="inlineStr">
        <is>
          <t>XP_018113189.1 ras and Rab interactor 1 [Xenopus laevis]</t>
        </is>
      </c>
      <c r="M6221" t="n">
        <v>787</v>
      </c>
      <c r="N6221" t="inlineStr">
        <is>
          <t>Xenopus laevis</t>
        </is>
      </c>
      <c r="O6221" t="inlineStr">
        <is>
          <t>ras and Rab interactor 1</t>
        </is>
      </c>
    </row>
    <row r="6222">
      <c r="A6222" t="inlineStr"/>
      <c r="B6222" t="inlineStr"/>
      <c r="C6222" t="inlineStr"/>
      <c r="D6222" t="inlineStr"/>
      <c r="E6222">
        <f>HYPERLINK("https://www.ncbi.nlm.nih.gov/gene/?term=OCT84154.1", "OCT84154.1")</f>
        <v/>
      </c>
      <c r="F6222" t="n">
        <v>69.8</v>
      </c>
      <c r="G6222" t="n">
        <v>636</v>
      </c>
      <c r="H6222" t="n">
        <v>2.85e-283</v>
      </c>
      <c r="I6222" t="inlineStr">
        <is>
          <t>Nr</t>
        </is>
      </c>
      <c r="J6222" t="inlineStr"/>
      <c r="K6222" t="inlineStr"/>
      <c r="L6222" t="inlineStr">
        <is>
          <t>OCT84154.1 hypothetical protein XELAEV_18022296mg [Xenopus laevis]</t>
        </is>
      </c>
      <c r="M6222" t="n">
        <v>807</v>
      </c>
      <c r="N6222" t="inlineStr">
        <is>
          <t>Xenopus laevis</t>
        </is>
      </c>
      <c r="O6222" t="inlineStr">
        <is>
          <t>hypothetical protein XELAEV_18022296mg</t>
        </is>
      </c>
    </row>
    <row r="6223">
      <c r="A6223" t="inlineStr"/>
      <c r="B6223" t="inlineStr"/>
      <c r="C6223" t="inlineStr"/>
      <c r="D6223" t="inlineStr"/>
      <c r="E6223">
        <f>HYPERLINK("https://www.uniprot.org/uniprotkb/A0A822HIQ7/entry", "A0A822HIQ7")</f>
        <v/>
      </c>
      <c r="F6223" t="n">
        <v>67.59999999999999</v>
      </c>
      <c r="G6223" t="n">
        <v>642</v>
      </c>
      <c r="H6223" t="n">
        <v>9.04e-281</v>
      </c>
      <c r="I6223" t="inlineStr">
        <is>
          <t>TrEMBL</t>
        </is>
      </c>
      <c r="J6223" t="inlineStr">
        <is>
          <t>RIMITATOR_LOCUS12932205</t>
        </is>
      </c>
      <c r="K6223" t="inlineStr">
        <is>
          <t>A0A822HIQ7_9NEOB</t>
        </is>
      </c>
      <c r="L6223" t="inlineStr">
        <is>
          <t>tr|A0A822HIQ7|A0A822HIQ7_9NEOB (mimic poison frog) hypothetical protein OS=Ranitomeya imitator OX=111125 GN=RIMITATOR_LOCUS12932205 PE=3 SV=1</t>
        </is>
      </c>
      <c r="M6223" t="n">
        <v>809</v>
      </c>
      <c r="N6223" t="inlineStr">
        <is>
          <t>Ranitomeya imitator</t>
        </is>
      </c>
      <c r="O6223" t="inlineStr">
        <is>
          <t>(mimic poison frog) hypothetical protein</t>
        </is>
      </c>
    </row>
    <row r="6224">
      <c r="A6224" t="inlineStr"/>
      <c r="B6224" t="inlineStr"/>
      <c r="C6224" t="inlineStr"/>
      <c r="D6224" t="inlineStr"/>
      <c r="E6224">
        <f>HYPERLINK("https://www.uniprot.org/uniprotkb/A0A8J6K1D6/entry", "A0A8J6K1D6")</f>
        <v/>
      </c>
      <c r="F6224" t="n">
        <v>67.3</v>
      </c>
      <c r="G6224" t="n">
        <v>639</v>
      </c>
      <c r="H6224" t="n">
        <v>2.23e-280</v>
      </c>
      <c r="I6224" t="inlineStr">
        <is>
          <t>TrEMBL</t>
        </is>
      </c>
      <c r="J6224" t="inlineStr">
        <is>
          <t>GDO78_003618</t>
        </is>
      </c>
      <c r="K6224" t="inlineStr">
        <is>
          <t>A0A8J6K1D6_ELECQ</t>
        </is>
      </c>
      <c r="L6224" t="inlineStr">
        <is>
          <t>tr|A0A8J6K1D6|A0A8J6K1D6_ELECQ Ras and Rab interactor 2 OS=Eleutherodactylus coqui OX=57060 GN=GDO78_003618 PE=3 SV=1</t>
        </is>
      </c>
      <c r="M6224" t="n">
        <v>715</v>
      </c>
      <c r="N6224" t="inlineStr">
        <is>
          <t>Eleutherodactylus coqui</t>
        </is>
      </c>
      <c r="O6224" t="inlineStr">
        <is>
          <t>Ras and Rab interactor 2</t>
        </is>
      </c>
    </row>
    <row r="6225">
      <c r="A6225" t="inlineStr"/>
      <c r="B6225" t="inlineStr"/>
      <c r="C6225" t="inlineStr"/>
      <c r="D6225" t="inlineStr"/>
      <c r="E6225">
        <f>HYPERLINK("https://www.ncbi.nlm.nih.gov/gene/?term=KAG9475265.1", "KAG9475265.1")</f>
        <v/>
      </c>
      <c r="F6225" t="n">
        <v>67.3</v>
      </c>
      <c r="G6225" t="n">
        <v>639</v>
      </c>
      <c r="H6225" t="n">
        <v>5.74e-280</v>
      </c>
      <c r="I6225" t="inlineStr">
        <is>
          <t>Nr</t>
        </is>
      </c>
      <c r="J6225" t="inlineStr"/>
      <c r="K6225" t="inlineStr"/>
      <c r="L6225" t="inlineStr">
        <is>
          <t>KAG9475265.1 hypothetical protein GDO78_003618 [Eleutherodactylus coqui]</t>
        </is>
      </c>
      <c r="M6225" t="n">
        <v>715</v>
      </c>
      <c r="N6225" t="inlineStr">
        <is>
          <t>Eleutherodactylus coqui</t>
        </is>
      </c>
      <c r="O6225" t="inlineStr">
        <is>
          <t>hypothetical protein GDO78_003618</t>
        </is>
      </c>
    </row>
    <row r="6226">
      <c r="A6226" t="inlineStr"/>
      <c r="B6226" t="inlineStr"/>
      <c r="C6226" t="inlineStr"/>
      <c r="D6226" t="inlineStr"/>
      <c r="E6226">
        <f>HYPERLINK("https://www.uniprot.org/uniprotkb/A0A8J6K4Q9/entry", "A0A8J6K4Q9")</f>
        <v/>
      </c>
      <c r="F6226" t="n">
        <v>67.2</v>
      </c>
      <c r="G6226" t="n">
        <v>640</v>
      </c>
      <c r="H6226" t="n">
        <v>1.53e-278</v>
      </c>
      <c r="I6226" t="inlineStr">
        <is>
          <t>TrEMBL</t>
        </is>
      </c>
      <c r="J6226" t="inlineStr">
        <is>
          <t>GDO78_003618</t>
        </is>
      </c>
      <c r="K6226" t="inlineStr">
        <is>
          <t>A0A8J6K4Q9_ELECQ</t>
        </is>
      </c>
      <c r="L6226" t="inlineStr">
        <is>
          <t>tr|A0A8J6K4Q9|A0A8J6K4Q9_ELECQ Ras and Rab interactor 2 OS=Eleutherodactylus coqui OX=57060 GN=GDO78_003618 PE=3 SV=1</t>
        </is>
      </c>
      <c r="M6226" t="n">
        <v>716</v>
      </c>
      <c r="N6226" t="inlineStr">
        <is>
          <t>Eleutherodactylus coqui</t>
        </is>
      </c>
      <c r="O6226" t="inlineStr">
        <is>
          <t>Ras and Rab interactor 2</t>
        </is>
      </c>
    </row>
    <row r="6227">
      <c r="A6227" t="inlineStr"/>
      <c r="B6227" t="inlineStr"/>
      <c r="C6227" t="inlineStr"/>
      <c r="D6227" t="inlineStr"/>
      <c r="E6227">
        <f>HYPERLINK("https://www.ncbi.nlm.nih.gov/gene/?term=KAG9475264.1", "KAG9475264.1")</f>
        <v/>
      </c>
      <c r="F6227" t="n">
        <v>67.2</v>
      </c>
      <c r="G6227" t="n">
        <v>640</v>
      </c>
      <c r="H6227" t="n">
        <v>3.94e-278</v>
      </c>
      <c r="I6227" t="inlineStr">
        <is>
          <t>Nr</t>
        </is>
      </c>
      <c r="J6227" t="inlineStr"/>
      <c r="K6227" t="inlineStr"/>
      <c r="L6227" t="inlineStr">
        <is>
          <t>KAG9475264.1 hypothetical protein GDO78_003618 [Eleutherodactylus coqui]</t>
        </is>
      </c>
      <c r="M6227" t="n">
        <v>716</v>
      </c>
      <c r="N6227" t="inlineStr">
        <is>
          <t>Eleutherodactylus coqui</t>
        </is>
      </c>
      <c r="O6227" t="inlineStr">
        <is>
          <t>hypothetical protein GDO78_003618</t>
        </is>
      </c>
    </row>
    <row r="6228">
      <c r="A6228" t="inlineStr"/>
      <c r="B6228" t="inlineStr"/>
      <c r="C6228" t="inlineStr"/>
      <c r="D6228" t="inlineStr"/>
      <c r="E6228">
        <f>HYPERLINK("https://www.uniprot.org/uniprotkb/A0A1L8GD82/entry", "A0A1L8GD82")</f>
        <v/>
      </c>
      <c r="F6228" t="n">
        <v>68.7</v>
      </c>
      <c r="G6228" t="n">
        <v>645</v>
      </c>
      <c r="H6228" t="n">
        <v>8.51e-278</v>
      </c>
      <c r="I6228" t="inlineStr">
        <is>
          <t>TrEMBL</t>
        </is>
      </c>
      <c r="J6228" t="inlineStr">
        <is>
          <t>rin1.S</t>
        </is>
      </c>
      <c r="K6228" t="inlineStr">
        <is>
          <t>A0A1L8GD82_XENLA</t>
        </is>
      </c>
      <c r="L6228" t="inlineStr">
        <is>
          <t>tr|A0A1L8GD82|A0A1L8GD82_XENLA ras and Rab interactor 1 isoform X1 OS=Xenopus laevis OX=8355 GN=rin1.S PE=3 SV=1</t>
        </is>
      </c>
      <c r="M6228" t="n">
        <v>795</v>
      </c>
      <c r="N6228" t="inlineStr">
        <is>
          <t>Xenopus laevis</t>
        </is>
      </c>
      <c r="O6228" t="inlineStr">
        <is>
          <t>ras and Rab interactor 1 isoform X1</t>
        </is>
      </c>
    </row>
    <row r="6229">
      <c r="A6229" t="inlineStr"/>
      <c r="B6229" t="inlineStr"/>
      <c r="C6229" t="inlineStr"/>
      <c r="D6229" t="inlineStr"/>
      <c r="E6229">
        <f>HYPERLINK("https://www.ncbi.nlm.nih.gov/gene/?term=XP_041416604.1", "XP_041416604.1")</f>
        <v/>
      </c>
      <c r="F6229" t="n">
        <v>68.7</v>
      </c>
      <c r="G6229" t="n">
        <v>645</v>
      </c>
      <c r="H6229" t="n">
        <v>2.18e-277</v>
      </c>
      <c r="I6229" t="inlineStr">
        <is>
          <t>Nr</t>
        </is>
      </c>
      <c r="J6229" t="inlineStr"/>
      <c r="K6229" t="inlineStr"/>
      <c r="L6229" t="inlineStr">
        <is>
          <t>XP_041416604.1 ras and Rab interactor 1 isoform X1 [Xenopus laevis]</t>
        </is>
      </c>
      <c r="M6229" t="n">
        <v>795</v>
      </c>
      <c r="N6229" t="inlineStr">
        <is>
          <t>Xenopus laevis</t>
        </is>
      </c>
      <c r="O6229" t="inlineStr">
        <is>
          <t>ras and Rab interactor 1 isoform X1</t>
        </is>
      </c>
    </row>
    <row r="6230">
      <c r="A6230" t="inlineStr"/>
      <c r="B6230" t="inlineStr"/>
      <c r="C6230" t="inlineStr"/>
      <c r="D6230" t="inlineStr"/>
      <c r="E6230">
        <f>HYPERLINK("https://www.ncbi.nlm.nih.gov/gene/?term=KAE8607724.1", "KAE8607724.1")</f>
        <v/>
      </c>
      <c r="F6230" t="n">
        <v>67.5</v>
      </c>
      <c r="G6230" t="n">
        <v>653</v>
      </c>
      <c r="H6230" t="n">
        <v>4.549999999999999e-277</v>
      </c>
      <c r="I6230" t="inlineStr">
        <is>
          <t>Nr</t>
        </is>
      </c>
      <c r="J6230" t="inlineStr"/>
      <c r="K6230" t="inlineStr"/>
      <c r="L6230" t="inlineStr">
        <is>
          <t>KAE8607724.1 hypothetical protein XENTR_v10011262 [Xenopus tropicalis]</t>
        </is>
      </c>
      <c r="M6230" t="n">
        <v>796</v>
      </c>
      <c r="N6230" t="inlineStr">
        <is>
          <t>Xenopus tropicalis</t>
        </is>
      </c>
      <c r="O6230" t="inlineStr">
        <is>
          <t>hypothetical protein XENTR_v10011262</t>
        </is>
      </c>
    </row>
    <row r="6231">
      <c r="A6231" t="inlineStr"/>
      <c r="B6231" t="inlineStr"/>
      <c r="C6231" t="inlineStr"/>
      <c r="D6231" t="inlineStr"/>
      <c r="E6231">
        <f>HYPERLINK("https://www.uniprot.org/uniprotkb/A0A7D9NK16/entry", "A0A7D9NK16")</f>
        <v/>
      </c>
      <c r="F6231" t="n">
        <v>67.5</v>
      </c>
      <c r="G6231" t="n">
        <v>653</v>
      </c>
      <c r="H6231" t="n">
        <v>3.81e-276</v>
      </c>
      <c r="I6231" t="inlineStr">
        <is>
          <t>TrEMBL</t>
        </is>
      </c>
      <c r="J6231" t="inlineStr">
        <is>
          <t>rin1</t>
        </is>
      </c>
      <c r="K6231" t="inlineStr">
        <is>
          <t>A0A7D9NK16_XENTR</t>
        </is>
      </c>
      <c r="L6231" t="inlineStr">
        <is>
          <t>tr|A0A7D9NK16|A0A7D9NK16_XENTR Ras and Rab interactor 1 OS=Xenopus tropicalis OX=8364 GN=rin1 PE=3 SV=2</t>
        </is>
      </c>
      <c r="M6231" t="n">
        <v>886</v>
      </c>
      <c r="N6231" t="inlineStr">
        <is>
          <t>Xenopus tropicalis</t>
        </is>
      </c>
      <c r="O6231" t="inlineStr">
        <is>
          <t>Ras and Rab interactor 1</t>
        </is>
      </c>
    </row>
    <row r="6232">
      <c r="A6232" t="inlineStr"/>
      <c r="B6232" t="inlineStr"/>
      <c r="C6232" t="inlineStr"/>
      <c r="D6232" t="inlineStr"/>
      <c r="E6232">
        <f>HYPERLINK("https://www.ncbi.nlm.nih.gov/gene/?term=XP_031756551.1", "XP_031756551.1")</f>
        <v/>
      </c>
      <c r="F6232" t="n">
        <v>67.5</v>
      </c>
      <c r="G6232" t="n">
        <v>653</v>
      </c>
      <c r="H6232" t="n">
        <v>9.780000000000001e-276</v>
      </c>
      <c r="I6232" t="inlineStr">
        <is>
          <t>Nr</t>
        </is>
      </c>
      <c r="J6232" t="inlineStr"/>
      <c r="K6232" t="inlineStr"/>
      <c r="L6232" t="inlineStr">
        <is>
          <t>XP_031756551.1 ras and Rab interactor 1 [Xenopus tropicalis]</t>
        </is>
      </c>
      <c r="M6232" t="n">
        <v>886</v>
      </c>
      <c r="N6232" t="inlineStr">
        <is>
          <t>Xenopus tropicalis</t>
        </is>
      </c>
      <c r="O6232" t="inlineStr">
        <is>
          <t>ras and Rab interactor 1</t>
        </is>
      </c>
    </row>
    <row r="6233">
      <c r="A6233" t="inlineStr"/>
      <c r="B6233" t="inlineStr"/>
      <c r="C6233" t="inlineStr"/>
      <c r="D6233" t="inlineStr"/>
      <c r="E6233">
        <f>HYPERLINK("https://www.ncbi.nlm.nih.gov/gene/?term=KAG8563598.1", "KAG8563598.1")</f>
        <v/>
      </c>
      <c r="F6233" t="n">
        <v>67.40000000000001</v>
      </c>
      <c r="G6233" t="n">
        <v>639</v>
      </c>
      <c r="H6233" t="n">
        <v>1.91e-275</v>
      </c>
      <c r="I6233" t="inlineStr">
        <is>
          <t>Nr</t>
        </is>
      </c>
      <c r="J6233" t="inlineStr"/>
      <c r="K6233" t="inlineStr"/>
      <c r="L6233" t="inlineStr">
        <is>
          <t>KAG8563598.1 hypothetical protein GDO81_016149 [Engystomops pustulosus]</t>
        </is>
      </c>
      <c r="M6233" t="n">
        <v>793</v>
      </c>
      <c r="N6233" t="inlineStr">
        <is>
          <t>Engystomops pustulosus</t>
        </is>
      </c>
      <c r="O6233" t="inlineStr">
        <is>
          <t>hypothetical protein GDO81_016149</t>
        </is>
      </c>
    </row>
    <row r="6234">
      <c r="A6234" t="inlineStr"/>
      <c r="B6234" t="inlineStr"/>
      <c r="C6234" t="inlineStr"/>
      <c r="D6234" t="inlineStr"/>
      <c r="E6234">
        <f>HYPERLINK("https://www.ncbi.nlm.nih.gov/gene/?term=XP_053304353.1", "XP_053304353.1")</f>
        <v/>
      </c>
      <c r="F6234" t="n">
        <v>67.7</v>
      </c>
      <c r="G6234" t="n">
        <v>626</v>
      </c>
      <c r="H6234" t="n">
        <v>6.02e-271</v>
      </c>
      <c r="I6234" t="inlineStr">
        <is>
          <t>Nr</t>
        </is>
      </c>
      <c r="J6234" t="inlineStr"/>
      <c r="K6234" t="inlineStr"/>
      <c r="L6234" t="inlineStr">
        <is>
          <t>XP_053304353.1 ras and Rab interactor 1 [Spea bombifrons]</t>
        </is>
      </c>
      <c r="M6234" t="n">
        <v>800</v>
      </c>
      <c r="N6234" t="inlineStr">
        <is>
          <t>Spea bombifrons</t>
        </is>
      </c>
      <c r="O6234" t="inlineStr">
        <is>
          <t>ras and Rab interactor 1</t>
        </is>
      </c>
    </row>
    <row r="6235">
      <c r="A6235" t="inlineStr"/>
      <c r="B6235" t="inlineStr"/>
      <c r="C6235" t="inlineStr"/>
      <c r="D6235" t="inlineStr"/>
      <c r="E6235">
        <f>HYPERLINK("https://www.ncbi.nlm.nih.gov/gene/?term=XP_018408375.1", "XP_018408375.1")</f>
        <v/>
      </c>
      <c r="F6235" t="n">
        <v>67.59999999999999</v>
      </c>
      <c r="G6235" t="n">
        <v>626</v>
      </c>
      <c r="H6235" t="n">
        <v>3.45e-270</v>
      </c>
      <c r="I6235" t="inlineStr">
        <is>
          <t>Nr</t>
        </is>
      </c>
      <c r="J6235" t="inlineStr"/>
      <c r="K6235" t="inlineStr"/>
      <c r="L6235" t="inlineStr">
        <is>
          <t>XP_018408375.1 PREDICTED: ras and Rab interactor 1 [Nanorana parkeri]</t>
        </is>
      </c>
      <c r="M6235" t="n">
        <v>800</v>
      </c>
      <c r="N6235" t="inlineStr">
        <is>
          <t>Nanorana parkeri</t>
        </is>
      </c>
      <c r="O6235" t="inlineStr">
        <is>
          <t>PREDICTED: ras and Rab interactor 1</t>
        </is>
      </c>
    </row>
    <row r="6236">
      <c r="A6236" t="inlineStr"/>
      <c r="B6236" t="inlineStr"/>
      <c r="C6236" t="inlineStr"/>
      <c r="D6236" t="inlineStr"/>
      <c r="E6236">
        <f>HYPERLINK("https://www.ncbi.nlm.nih.gov/gene/?term=XP_040184810.1", "XP_040184810.1")</f>
        <v/>
      </c>
      <c r="F6236" t="n">
        <v>67</v>
      </c>
      <c r="G6236" t="n">
        <v>628</v>
      </c>
      <c r="H6236" t="n">
        <v>4.97e-270</v>
      </c>
      <c r="I6236" t="inlineStr">
        <is>
          <t>Nr</t>
        </is>
      </c>
      <c r="J6236" t="inlineStr"/>
      <c r="K6236" t="inlineStr"/>
      <c r="L6236" t="inlineStr">
        <is>
          <t>XP_040184810.1 ras and Rab interactor 1 isoform X2 [Rana temporaria]</t>
        </is>
      </c>
      <c r="M6236" t="n">
        <v>750</v>
      </c>
      <c r="N6236" t="inlineStr">
        <is>
          <t>Rana temporaria</t>
        </is>
      </c>
      <c r="O6236" t="inlineStr">
        <is>
          <t>ras and Rab interactor 1 isoform X2</t>
        </is>
      </c>
    </row>
    <row r="6237">
      <c r="A6237" t="inlineStr"/>
      <c r="B6237" t="inlineStr"/>
      <c r="C6237" t="inlineStr"/>
      <c r="D6237" t="inlineStr"/>
      <c r="E6237">
        <f>HYPERLINK("https://www.ncbi.nlm.nih.gov/gene/?term=XP_040184808.1", "XP_040184808.1")</f>
        <v/>
      </c>
      <c r="F6237" t="n">
        <v>67</v>
      </c>
      <c r="G6237" t="n">
        <v>628</v>
      </c>
      <c r="H6237" t="n">
        <v>3.1e-269</v>
      </c>
      <c r="I6237" t="inlineStr">
        <is>
          <t>Nr</t>
        </is>
      </c>
      <c r="J6237" t="inlineStr"/>
      <c r="K6237" t="inlineStr"/>
      <c r="L6237" t="inlineStr">
        <is>
          <t>XP_040184808.1 ras and Rab interactor 1 isoform X1 [Rana temporaria]</t>
        </is>
      </c>
      <c r="M6237" t="n">
        <v>803</v>
      </c>
      <c r="N6237" t="inlineStr">
        <is>
          <t>Rana temporaria</t>
        </is>
      </c>
      <c r="O6237" t="inlineStr">
        <is>
          <t>ras and Rab interactor 1 isoform X1</t>
        </is>
      </c>
    </row>
    <row r="6238">
      <c r="A6238" t="inlineStr"/>
      <c r="B6238" t="inlineStr"/>
      <c r="C6238" t="inlineStr"/>
      <c r="D6238" t="inlineStr"/>
      <c r="E6238">
        <f>HYPERLINK("https://www.uniprot.org/uniprotkb/A0A8C5MRF8/entry", "A0A8C5MRF8")</f>
        <v/>
      </c>
      <c r="F6238" t="n">
        <v>67.09999999999999</v>
      </c>
      <c r="G6238" t="n">
        <v>629</v>
      </c>
      <c r="H6238" t="n">
        <v>4.1e-267</v>
      </c>
      <c r="I6238" t="inlineStr">
        <is>
          <t>TrEMBL</t>
        </is>
      </c>
      <c r="J6238" t="inlineStr">
        <is>
          <t>RIN1</t>
        </is>
      </c>
      <c r="K6238" t="inlineStr">
        <is>
          <t>A0A8C5MRF8_9ANUR</t>
        </is>
      </c>
      <c r="L6238" t="inlineStr">
        <is>
          <t>tr|A0A8C5MRF8|A0A8C5MRF8_9ANUR Ras and Rab interactor 1 OS=Leptobrachium leishanense OX=445787 GN=RIN1 PE=3 SV=1</t>
        </is>
      </c>
      <c r="M6238" t="n">
        <v>800</v>
      </c>
      <c r="N6238" t="inlineStr">
        <is>
          <t>Leptobrachium leishanense</t>
        </is>
      </c>
      <c r="O6238" t="inlineStr">
        <is>
          <t>Ras and Rab interactor 1</t>
        </is>
      </c>
    </row>
    <row r="6239">
      <c r="A6239" t="inlineStr"/>
      <c r="B6239" t="inlineStr"/>
      <c r="C6239" t="inlineStr"/>
      <c r="D6239" t="inlineStr"/>
      <c r="E6239">
        <f>HYPERLINK("https://www.uniprot.org/uniprotkb/A0A8T2J649/entry", "A0A8T2J649")</f>
        <v/>
      </c>
      <c r="F6239" t="n">
        <v>66</v>
      </c>
      <c r="G6239" t="n">
        <v>641</v>
      </c>
      <c r="H6239" t="n">
        <v>6.21e-261</v>
      </c>
      <c r="I6239" t="inlineStr">
        <is>
          <t>TrEMBL</t>
        </is>
      </c>
      <c r="J6239" t="inlineStr">
        <is>
          <t>GDO86_008532</t>
        </is>
      </c>
      <c r="K6239" t="inlineStr">
        <is>
          <t>A0A8T2J649_9PIPI</t>
        </is>
      </c>
      <c r="L6239" t="inlineStr">
        <is>
          <t>tr|A0A8T2J649|A0A8T2J649_9PIPI Ras and Rab interactor 1 OS=Hymenochirus boettgeri OX=247094 GN=GDO86_008532 PE=3 SV=1</t>
        </is>
      </c>
      <c r="M6239" t="n">
        <v>798</v>
      </c>
      <c r="N6239" t="inlineStr">
        <is>
          <t>Hymenochirus boettgeri</t>
        </is>
      </c>
      <c r="O6239" t="inlineStr">
        <is>
          <t>Ras and Rab interactor 1</t>
        </is>
      </c>
    </row>
    <row r="6240">
      <c r="A6240" t="inlineStr"/>
      <c r="B6240" t="inlineStr"/>
      <c r="C6240" t="inlineStr"/>
      <c r="D6240" t="inlineStr"/>
      <c r="E6240">
        <f>HYPERLINK("https://www.ncbi.nlm.nih.gov/gene/?term=KAG8437866.1", "KAG8437866.1")</f>
        <v/>
      </c>
      <c r="F6240" t="n">
        <v>66</v>
      </c>
      <c r="G6240" t="n">
        <v>641</v>
      </c>
      <c r="H6240" t="n">
        <v>1.6e-260</v>
      </c>
      <c r="I6240" t="inlineStr">
        <is>
          <t>Nr</t>
        </is>
      </c>
      <c r="J6240" t="inlineStr"/>
      <c r="K6240" t="inlineStr"/>
      <c r="L6240" t="inlineStr">
        <is>
          <t>KAG8437866.1 hypothetical protein GDO86_008532 [Hymenochirus boettgeri]</t>
        </is>
      </c>
      <c r="M6240" t="n">
        <v>798</v>
      </c>
      <c r="N6240" t="inlineStr">
        <is>
          <t>Hymenochirus boettgeri</t>
        </is>
      </c>
      <c r="O6240" t="inlineStr">
        <is>
          <t>hypothetical protein GDO86_008532</t>
        </is>
      </c>
    </row>
    <row r="6241">
      <c r="A6241" t="inlineStr"/>
      <c r="B6241" t="inlineStr"/>
      <c r="C6241" t="inlineStr"/>
      <c r="D6241" t="inlineStr"/>
      <c r="E6241">
        <f>HYPERLINK("https://www.uniprot.org/uniprotkb/A0A8J1KGU1/entry", "A0A8J1KGU1")</f>
        <v/>
      </c>
      <c r="F6241" t="n">
        <v>65.09999999999999</v>
      </c>
      <c r="G6241" t="n">
        <v>645</v>
      </c>
      <c r="H6241" t="n">
        <v>8.94e-254</v>
      </c>
      <c r="I6241" t="inlineStr">
        <is>
          <t>TrEMBL</t>
        </is>
      </c>
      <c r="J6241" t="inlineStr">
        <is>
          <t>rin1.S</t>
        </is>
      </c>
      <c r="K6241" t="inlineStr">
        <is>
          <t>A0A8J1KGU1_XENLA</t>
        </is>
      </c>
      <c r="L6241" t="inlineStr">
        <is>
          <t>tr|A0A8J1KGU1|A0A8J1KGU1_XENLA ras and Rab interactor 1 isoform X2 OS=Xenopus laevis OX=8355 GN=rin1.S PE=3 SV=1</t>
        </is>
      </c>
      <c r="M6241" t="n">
        <v>770</v>
      </c>
      <c r="N6241" t="inlineStr">
        <is>
          <t>Xenopus laevis</t>
        </is>
      </c>
      <c r="O6241" t="inlineStr">
        <is>
          <t>ras and Rab interactor 1 isoform X2</t>
        </is>
      </c>
    </row>
    <row r="6242">
      <c r="A6242" t="inlineStr"/>
      <c r="B6242" t="inlineStr"/>
      <c r="C6242" t="inlineStr"/>
      <c r="D6242" t="inlineStr"/>
      <c r="E6242">
        <f>HYPERLINK("https://www.ncbi.nlm.nih.gov/gene/?term=XP_041416607.1", "XP_041416607.1")</f>
        <v/>
      </c>
      <c r="F6242" t="n">
        <v>65.09999999999999</v>
      </c>
      <c r="G6242" t="n">
        <v>645</v>
      </c>
      <c r="H6242" t="n">
        <v>2.3e-253</v>
      </c>
      <c r="I6242" t="inlineStr">
        <is>
          <t>Nr</t>
        </is>
      </c>
      <c r="J6242" t="inlineStr"/>
      <c r="K6242" t="inlineStr"/>
      <c r="L6242" t="inlineStr">
        <is>
          <t>XP_041416607.1 ras and Rab interactor 1 isoform X2 [Xenopus laevis]</t>
        </is>
      </c>
      <c r="M6242" t="n">
        <v>770</v>
      </c>
      <c r="N6242" t="inlineStr">
        <is>
          <t>Xenopus laevis</t>
        </is>
      </c>
      <c r="O6242" t="inlineStr">
        <is>
          <t>ras and Rab interactor 1 isoform X2</t>
        </is>
      </c>
    </row>
    <row r="6243">
      <c r="A6243" t="inlineStr"/>
      <c r="B6243" t="inlineStr"/>
      <c r="C6243" t="inlineStr"/>
      <c r="D6243" t="inlineStr"/>
      <c r="E6243">
        <f>HYPERLINK("https://www.ncbi.nlm.nih.gov/gene/?term=XP_029468874.1", "XP_029468874.1")</f>
        <v/>
      </c>
      <c r="F6243" t="n">
        <v>43.6</v>
      </c>
      <c r="G6243" t="n">
        <v>679</v>
      </c>
      <c r="H6243" t="n">
        <v>2.41e-143</v>
      </c>
      <c r="I6243" t="inlineStr">
        <is>
          <t>Nr</t>
        </is>
      </c>
      <c r="J6243" t="inlineStr"/>
      <c r="K6243" t="inlineStr"/>
      <c r="L6243" t="inlineStr">
        <is>
          <t>XP_029468874.1 ras and Rab interactor 1 isoform X2 [Rhinatrema bivittatum]</t>
        </is>
      </c>
      <c r="M6243" t="n">
        <v>777</v>
      </c>
      <c r="N6243" t="inlineStr">
        <is>
          <t>Rhinatrema bivittatum</t>
        </is>
      </c>
      <c r="O6243" t="inlineStr">
        <is>
          <t>ras and Rab interactor 1 isoform X2</t>
        </is>
      </c>
    </row>
    <row r="6244">
      <c r="A6244" t="inlineStr"/>
      <c r="B6244" t="inlineStr"/>
      <c r="C6244" t="inlineStr"/>
      <c r="D6244" t="inlineStr"/>
      <c r="E6244">
        <f>HYPERLINK("https://www.ncbi.nlm.nih.gov/gene/?term=XP_029468873.1", "XP_029468873.1")</f>
        <v/>
      </c>
      <c r="F6244" t="n">
        <v>43.6</v>
      </c>
      <c r="G6244" t="n">
        <v>679</v>
      </c>
      <c r="H6244" t="n">
        <v>2.46e-142</v>
      </c>
      <c r="I6244" t="inlineStr">
        <is>
          <t>Nr</t>
        </is>
      </c>
      <c r="J6244" t="inlineStr"/>
      <c r="K6244" t="inlineStr"/>
      <c r="L6244" t="inlineStr">
        <is>
          <t>XP_029468873.1 ras and Rab interactor 1 isoform X1 [Rhinatrema bivittatum]</t>
        </is>
      </c>
      <c r="M6244" t="n">
        <v>862</v>
      </c>
      <c r="N6244" t="inlineStr">
        <is>
          <t>Rhinatrema bivittatum</t>
        </is>
      </c>
      <c r="O6244" t="inlineStr">
        <is>
          <t>ras and Rab interactor 1 isoform X1</t>
        </is>
      </c>
    </row>
    <row r="6245">
      <c r="A6245" t="inlineStr"/>
      <c r="B6245" t="inlineStr"/>
      <c r="C6245" t="inlineStr"/>
      <c r="D6245" t="inlineStr"/>
      <c r="E6245">
        <f>HYPERLINK("https://www.uniprot.org/uniprotkb/A0A6P7ZF43/entry", "A0A6P7ZF43")</f>
        <v/>
      </c>
      <c r="F6245" t="n">
        <v>43.8</v>
      </c>
      <c r="G6245" t="n">
        <v>678</v>
      </c>
      <c r="H6245" t="n">
        <v>9.54e-142</v>
      </c>
      <c r="I6245" t="inlineStr">
        <is>
          <t>TrEMBL</t>
        </is>
      </c>
      <c r="J6245" t="inlineStr">
        <is>
          <t>RIN1</t>
        </is>
      </c>
      <c r="K6245" t="inlineStr">
        <is>
          <t>A0A6P7ZF43_9AMPH</t>
        </is>
      </c>
      <c r="L6245" t="inlineStr">
        <is>
          <t>tr|A0A6P7ZF43|A0A6P7ZF43_9AMPH ras and Rab interactor 1 isoform X1 OS=Microcaecilia unicolor OX=1415580 GN=RIN1 PE=3 SV=1</t>
        </is>
      </c>
      <c r="M6245" t="n">
        <v>911</v>
      </c>
      <c r="N6245" t="inlineStr">
        <is>
          <t>Microcaecilia unicolor</t>
        </is>
      </c>
      <c r="O6245" t="inlineStr">
        <is>
          <t>ras and Rab interactor 1 isoform X1</t>
        </is>
      </c>
    </row>
    <row r="6246">
      <c r="A6246" t="inlineStr"/>
      <c r="B6246" t="inlineStr"/>
      <c r="C6246" t="inlineStr"/>
      <c r="D6246" t="inlineStr"/>
      <c r="E6246">
        <f>HYPERLINK("https://www.uniprot.org/uniprotkb/A0A6P8S9S9/entry", "A0A6P8S9S9")</f>
        <v/>
      </c>
      <c r="F6246" t="n">
        <v>43.7</v>
      </c>
      <c r="G6246" t="n">
        <v>678</v>
      </c>
      <c r="H6246" t="n">
        <v>1.63e-141</v>
      </c>
      <c r="I6246" t="inlineStr">
        <is>
          <t>TrEMBL</t>
        </is>
      </c>
      <c r="J6246" t="inlineStr">
        <is>
          <t>RIN1</t>
        </is>
      </c>
      <c r="K6246" t="inlineStr">
        <is>
          <t>A0A6P8S9S9_GEOSA</t>
        </is>
      </c>
      <c r="L6246" t="inlineStr">
        <is>
          <t>tr|A0A6P8S9S9|A0A6P8S9S9_GEOSA ras and Rab interactor 1 isoform X3 OS=Geotrypetes seraphini OX=260995 GN=RIN1 PE=3 SV=1</t>
        </is>
      </c>
      <c r="M6246" t="n">
        <v>840</v>
      </c>
      <c r="N6246" t="inlineStr">
        <is>
          <t>Geotrypetes seraphini</t>
        </is>
      </c>
      <c r="O6246" t="inlineStr">
        <is>
          <t>ras and Rab interactor 1 isoform X3</t>
        </is>
      </c>
    </row>
    <row r="6247">
      <c r="A6247" t="inlineStr"/>
      <c r="B6247" t="inlineStr"/>
      <c r="C6247" t="inlineStr"/>
      <c r="D6247" t="inlineStr"/>
      <c r="E6247">
        <f>HYPERLINK("https://www.ncbi.nlm.nih.gov/gene/?term=XP_030075051.1", "XP_030075051.1")</f>
        <v/>
      </c>
      <c r="F6247" t="n">
        <v>43.8</v>
      </c>
      <c r="G6247" t="n">
        <v>678</v>
      </c>
      <c r="H6247" t="n">
        <v>2.45e-141</v>
      </c>
      <c r="I6247" t="inlineStr">
        <is>
          <t>Nr</t>
        </is>
      </c>
      <c r="J6247" t="inlineStr"/>
      <c r="K6247" t="inlineStr"/>
      <c r="L6247" t="inlineStr">
        <is>
          <t>XP_030075051.1 ras and Rab interactor 1 isoform X1 [Microcaecilia unicolor]</t>
        </is>
      </c>
      <c r="M6247" t="n">
        <v>911</v>
      </c>
      <c r="N6247" t="inlineStr">
        <is>
          <t>Microcaecilia unicolor</t>
        </is>
      </c>
      <c r="O6247" t="inlineStr">
        <is>
          <t>ras and Rab interactor 1 isoform X1</t>
        </is>
      </c>
    </row>
    <row r="6248">
      <c r="A6248" t="inlineStr"/>
      <c r="B6248" t="inlineStr"/>
      <c r="C6248" t="inlineStr"/>
      <c r="D6248" t="inlineStr"/>
      <c r="E6248">
        <f>HYPERLINK("https://www.ncbi.nlm.nih.gov/gene/?term=XP_033813136.1", "XP_033813136.1")</f>
        <v/>
      </c>
      <c r="F6248" t="n">
        <v>43.7</v>
      </c>
      <c r="G6248" t="n">
        <v>678</v>
      </c>
      <c r="H6248" t="n">
        <v>4.19e-141</v>
      </c>
      <c r="I6248" t="inlineStr">
        <is>
          <t>Nr</t>
        </is>
      </c>
      <c r="J6248" t="inlineStr"/>
      <c r="K6248" t="inlineStr"/>
      <c r="L6248" t="inlineStr">
        <is>
          <t>XP_033813136.1 ras and Rab interactor 1 isoform X3 [Geotrypetes seraphini]</t>
        </is>
      </c>
      <c r="M6248" t="n">
        <v>840</v>
      </c>
      <c r="N6248" t="inlineStr">
        <is>
          <t>Geotrypetes seraphini</t>
        </is>
      </c>
      <c r="O6248" t="inlineStr">
        <is>
          <t>ras and Rab interactor 1 isoform X3</t>
        </is>
      </c>
    </row>
    <row r="6249">
      <c r="A6249" t="inlineStr"/>
      <c r="B6249" t="inlineStr"/>
      <c r="C6249" t="inlineStr"/>
      <c r="D6249" t="inlineStr"/>
      <c r="E6249">
        <f>HYPERLINK("https://www.uniprot.org/uniprotkb/A0A6P8S539/entry", "A0A6P8S539")</f>
        <v/>
      </c>
      <c r="F6249" t="n">
        <v>43.7</v>
      </c>
      <c r="G6249" t="n">
        <v>678</v>
      </c>
      <c r="H6249" t="n">
        <v>8.94e-141</v>
      </c>
      <c r="I6249" t="inlineStr">
        <is>
          <t>TrEMBL</t>
        </is>
      </c>
      <c r="J6249" t="inlineStr">
        <is>
          <t>RIN1</t>
        </is>
      </c>
      <c r="K6249" t="inlineStr">
        <is>
          <t>A0A6P8S539_GEOSA</t>
        </is>
      </c>
      <c r="L6249" t="inlineStr">
        <is>
          <t>tr|A0A6P8S539|A0A6P8S539_GEOSA ras and Rab interactor 1 isoform X1 OS=Geotrypetes seraphini OX=260995 GN=RIN1 PE=3 SV=1</t>
        </is>
      </c>
      <c r="M6249" t="n">
        <v>905</v>
      </c>
      <c r="N6249" t="inlineStr">
        <is>
          <t>Geotrypetes seraphini</t>
        </is>
      </c>
      <c r="O6249" t="inlineStr">
        <is>
          <t>ras and Rab interactor 1 isoform X1</t>
        </is>
      </c>
    </row>
    <row r="6250">
      <c r="A6250" t="inlineStr"/>
      <c r="B6250" t="inlineStr"/>
      <c r="C6250" t="inlineStr"/>
      <c r="D6250" t="inlineStr"/>
      <c r="E6250">
        <f>HYPERLINK("https://www.ncbi.nlm.nih.gov/gene/?term=XP_033813134.1", "XP_033813134.1")</f>
        <v/>
      </c>
      <c r="F6250" t="n">
        <v>43.7</v>
      </c>
      <c r="G6250" t="n">
        <v>678</v>
      </c>
      <c r="H6250" t="n">
        <v>2.3e-140</v>
      </c>
      <c r="I6250" t="inlineStr">
        <is>
          <t>Nr</t>
        </is>
      </c>
      <c r="J6250" t="inlineStr"/>
      <c r="K6250" t="inlineStr"/>
      <c r="L6250" t="inlineStr">
        <is>
          <t>XP_033813134.1 ras and Rab interactor 1 isoform X1 [Geotrypetes seraphini]</t>
        </is>
      </c>
      <c r="M6250" t="n">
        <v>905</v>
      </c>
      <c r="N6250" t="inlineStr">
        <is>
          <t>Geotrypetes seraphini</t>
        </is>
      </c>
      <c r="O6250" t="inlineStr">
        <is>
          <t>ras and Rab interactor 1 isoform X1</t>
        </is>
      </c>
    </row>
    <row r="6251">
      <c r="A6251" t="inlineStr"/>
      <c r="B6251" t="inlineStr"/>
      <c r="C6251" t="inlineStr"/>
      <c r="D6251" t="inlineStr"/>
      <c r="E6251">
        <f>HYPERLINK("https://www.uniprot.org/uniprotkb/A0A6P7Z6S4/entry", "A0A6P7Z6S4")</f>
        <v/>
      </c>
      <c r="F6251" t="n">
        <v>43.7</v>
      </c>
      <c r="G6251" t="n">
        <v>678</v>
      </c>
      <c r="H6251" t="n">
        <v>4.23e-139</v>
      </c>
      <c r="I6251" t="inlineStr">
        <is>
          <t>TrEMBL</t>
        </is>
      </c>
      <c r="J6251" t="inlineStr">
        <is>
          <t>RIN1</t>
        </is>
      </c>
      <c r="K6251" t="inlineStr">
        <is>
          <t>A0A6P7Z6S4_9AMPH</t>
        </is>
      </c>
      <c r="L6251" t="inlineStr">
        <is>
          <t>tr|A0A6P7Z6S4|A0A6P7Z6S4_9AMPH ras and Rab interactor 1 isoform X2 OS=Microcaecilia unicolor OX=1415580 GN=RIN1 PE=3 SV=1</t>
        </is>
      </c>
      <c r="M6251" t="n">
        <v>909</v>
      </c>
      <c r="N6251" t="inlineStr">
        <is>
          <t>Microcaecilia unicolor</t>
        </is>
      </c>
      <c r="O6251" t="inlineStr">
        <is>
          <t>ras and Rab interactor 1 isoform X2</t>
        </is>
      </c>
    </row>
    <row r="6252">
      <c r="A6252" t="inlineStr"/>
      <c r="B6252" t="inlineStr"/>
      <c r="C6252" t="inlineStr"/>
      <c r="D6252" t="inlineStr"/>
      <c r="E6252">
        <f>HYPERLINK("https://www.ncbi.nlm.nih.gov/gene/?term=XP_030075052.1", "XP_030075052.1")</f>
        <v/>
      </c>
      <c r="F6252" t="n">
        <v>43.7</v>
      </c>
      <c r="G6252" t="n">
        <v>678</v>
      </c>
      <c r="H6252" t="n">
        <v>1.09e-138</v>
      </c>
      <c r="I6252" t="inlineStr">
        <is>
          <t>Nr</t>
        </is>
      </c>
      <c r="J6252" t="inlineStr"/>
      <c r="K6252" t="inlineStr"/>
      <c r="L6252" t="inlineStr">
        <is>
          <t>XP_030075052.1 ras and Rab interactor 1 isoform X2 [Microcaecilia unicolor]</t>
        </is>
      </c>
      <c r="M6252" t="n">
        <v>909</v>
      </c>
      <c r="N6252" t="inlineStr">
        <is>
          <t>Microcaecilia unicolor</t>
        </is>
      </c>
      <c r="O6252" t="inlineStr">
        <is>
          <t>ras and Rab interactor 1 isoform X2</t>
        </is>
      </c>
    </row>
    <row r="6253">
      <c r="A6253" t="inlineStr"/>
      <c r="B6253" t="inlineStr"/>
      <c r="C6253" t="inlineStr"/>
      <c r="D6253" t="inlineStr"/>
      <c r="E6253">
        <f>HYPERLINK("https://www.uniprot.org/uniprotkb/A0A6P8S4K3/entry", "A0A6P8S4K3")</f>
        <v/>
      </c>
      <c r="F6253" t="n">
        <v>43.5</v>
      </c>
      <c r="G6253" t="n">
        <v>678</v>
      </c>
      <c r="H6253" t="n">
        <v>5.569999999999999e-138</v>
      </c>
      <c r="I6253" t="inlineStr">
        <is>
          <t>TrEMBL</t>
        </is>
      </c>
      <c r="J6253" t="inlineStr">
        <is>
          <t>RIN1</t>
        </is>
      </c>
      <c r="K6253" t="inlineStr">
        <is>
          <t>A0A6P8S4K3_GEOSA</t>
        </is>
      </c>
      <c r="L6253" t="inlineStr">
        <is>
          <t>tr|A0A6P8S4K3|A0A6P8S4K3_GEOSA ras and Rab interactor 1 isoform X2 OS=Geotrypetes seraphini OX=260995 GN=RIN1 PE=3 SV=1</t>
        </is>
      </c>
      <c r="M6253" t="n">
        <v>903</v>
      </c>
      <c r="N6253" t="inlineStr">
        <is>
          <t>Geotrypetes seraphini</t>
        </is>
      </c>
      <c r="O6253" t="inlineStr">
        <is>
          <t>ras and Rab interactor 1 isoform X2</t>
        </is>
      </c>
    </row>
    <row r="6254">
      <c r="A6254" t="inlineStr"/>
      <c r="B6254" t="inlineStr"/>
      <c r="C6254" t="inlineStr"/>
      <c r="D6254" t="inlineStr"/>
      <c r="E6254">
        <f>HYPERLINK("https://www.ncbi.nlm.nih.gov/gene/?term=XP_033813135.1", "XP_033813135.1")</f>
        <v/>
      </c>
      <c r="F6254" t="n">
        <v>43.5</v>
      </c>
      <c r="G6254" t="n">
        <v>678</v>
      </c>
      <c r="H6254" t="n">
        <v>1.43e-137</v>
      </c>
      <c r="I6254" t="inlineStr">
        <is>
          <t>Nr</t>
        </is>
      </c>
      <c r="J6254" t="inlineStr"/>
      <c r="K6254" t="inlineStr"/>
      <c r="L6254" t="inlineStr">
        <is>
          <t>XP_033813135.1 ras and Rab interactor 1 isoform X2 [Geotrypetes seraphini]</t>
        </is>
      </c>
      <c r="M6254" t="n">
        <v>903</v>
      </c>
      <c r="N6254" t="inlineStr">
        <is>
          <t>Geotrypetes seraphini</t>
        </is>
      </c>
      <c r="O6254" t="inlineStr">
        <is>
          <t>ras and Rab interactor 1 isoform X2</t>
        </is>
      </c>
    </row>
    <row r="6255">
      <c r="A6255" t="inlineStr"/>
      <c r="B6255" t="inlineStr"/>
      <c r="C6255" t="inlineStr"/>
      <c r="D6255" t="inlineStr"/>
      <c r="E6255">
        <f>HYPERLINK("https://www.ncbi.nlm.nih.gov/gene/?term=KAJ1105987.1", "KAJ1105987.1")</f>
        <v/>
      </c>
      <c r="F6255" t="n">
        <v>41.8</v>
      </c>
      <c r="G6255" t="n">
        <v>670</v>
      </c>
      <c r="H6255" t="n">
        <v>2.75e-128</v>
      </c>
      <c r="I6255" t="inlineStr">
        <is>
          <t>Nr</t>
        </is>
      </c>
      <c r="J6255" t="inlineStr"/>
      <c r="K6255" t="inlineStr"/>
      <c r="L6255" t="inlineStr">
        <is>
          <t>KAJ1105987.1 hypothetical protein NDU88_003390 [Pleurodeles waltl]</t>
        </is>
      </c>
      <c r="M6255" t="n">
        <v>872</v>
      </c>
      <c r="N6255" t="inlineStr">
        <is>
          <t>Pleurodeles waltl</t>
        </is>
      </c>
      <c r="O6255" t="inlineStr">
        <is>
          <t>hypothetical protein NDU88_003390</t>
        </is>
      </c>
    </row>
    <row r="6256">
      <c r="A6256" t="inlineStr"/>
      <c r="B6256" t="inlineStr"/>
      <c r="C6256" t="inlineStr"/>
      <c r="D6256" t="inlineStr"/>
      <c r="E6256">
        <f>HYPERLINK("https://www.ncbi.nlm.nih.gov/gene/?term=XP_043931614.1", "XP_043931614.1")</f>
        <v/>
      </c>
      <c r="F6256" t="n">
        <v>35</v>
      </c>
      <c r="G6256" t="n">
        <v>688</v>
      </c>
      <c r="H6256" t="n">
        <v>1.33e-100</v>
      </c>
      <c r="I6256" t="inlineStr">
        <is>
          <t>Nr</t>
        </is>
      </c>
      <c r="J6256" t="inlineStr"/>
      <c r="K6256" t="inlineStr"/>
      <c r="L6256" t="inlineStr">
        <is>
          <t>XP_043931614.1 ras and Rab interactor 2-like [Protopterus annectens]</t>
        </is>
      </c>
      <c r="M6256" t="n">
        <v>850</v>
      </c>
      <c r="N6256" t="inlineStr">
        <is>
          <t>Protopterus annectens</t>
        </is>
      </c>
      <c r="O6256" t="inlineStr">
        <is>
          <t>ras and Rab interactor 2-like</t>
        </is>
      </c>
    </row>
    <row r="6257">
      <c r="A6257" t="inlineStr"/>
      <c r="B6257" t="inlineStr"/>
      <c r="C6257" t="inlineStr"/>
      <c r="D6257" t="inlineStr"/>
      <c r="E6257">
        <f>HYPERLINK("https://www.ncbi.nlm.nih.gov/gene/?term=XP_038643243.1", "XP_038643243.1")</f>
        <v/>
      </c>
      <c r="F6257" t="n">
        <v>36</v>
      </c>
      <c r="G6257" t="n">
        <v>700</v>
      </c>
      <c r="H6257" t="n">
        <v>8.2e-98</v>
      </c>
      <c r="I6257" t="inlineStr">
        <is>
          <t>Nr</t>
        </is>
      </c>
      <c r="J6257" t="inlineStr"/>
      <c r="K6257" t="inlineStr"/>
      <c r="L6257" t="inlineStr">
        <is>
          <t>XP_038643243.1 ras and Rab interactor 2 [Scyliorhinus canicula]</t>
        </is>
      </c>
      <c r="M6257" t="n">
        <v>821</v>
      </c>
      <c r="N6257" t="inlineStr">
        <is>
          <t>Scyliorhinus canicula</t>
        </is>
      </c>
      <c r="O6257" t="inlineStr">
        <is>
          <t>ras and Rab interactor 2</t>
        </is>
      </c>
    </row>
    <row r="6258">
      <c r="A6258" t="inlineStr"/>
      <c r="B6258" t="inlineStr"/>
      <c r="C6258" t="inlineStr"/>
      <c r="D6258" t="inlineStr"/>
      <c r="E6258">
        <f>HYPERLINK("https://www.ncbi.nlm.nih.gov/gene/?term=XP_051900908.1", "XP_051900908.1")</f>
        <v/>
      </c>
      <c r="F6258" t="n">
        <v>35.6</v>
      </c>
      <c r="G6258" t="n">
        <v>671</v>
      </c>
      <c r="H6258" t="n">
        <v>1.98e-87</v>
      </c>
      <c r="I6258" t="inlineStr">
        <is>
          <t>Nr</t>
        </is>
      </c>
      <c r="J6258" t="inlineStr"/>
      <c r="K6258" t="inlineStr"/>
      <c r="L6258" t="inlineStr">
        <is>
          <t>XP_051900908.1 ras and Rab interactor 2-like [Pristis pectinata]</t>
        </is>
      </c>
      <c r="M6258" t="n">
        <v>831</v>
      </c>
      <c r="N6258" t="inlineStr">
        <is>
          <t>Pristis pectinata</t>
        </is>
      </c>
      <c r="O6258" t="inlineStr">
        <is>
          <t>ras and Rab interactor 2-like</t>
        </is>
      </c>
    </row>
    <row r="6259">
      <c r="A6259" t="inlineStr"/>
      <c r="B6259" t="inlineStr"/>
      <c r="C6259" t="inlineStr"/>
      <c r="D6259" t="inlineStr"/>
      <c r="E6259">
        <f>HYPERLINK("https://www.uniprot.org/uniprotkb/A0A5N4BY14/entry", "A0A5N4BY14")</f>
        <v/>
      </c>
      <c r="F6259" t="n">
        <v>36.4</v>
      </c>
      <c r="G6259" t="n">
        <v>646</v>
      </c>
      <c r="H6259" t="n">
        <v>2.51e-84</v>
      </c>
      <c r="I6259" t="inlineStr">
        <is>
          <t>TrEMBL</t>
        </is>
      </c>
      <c r="J6259" t="inlineStr">
        <is>
          <t>Cadr_000030341</t>
        </is>
      </c>
      <c r="K6259" t="inlineStr">
        <is>
          <t>A0A5N4BY14_CAMDR</t>
        </is>
      </c>
      <c r="L6259" t="inlineStr">
        <is>
          <t>tr|A0A5N4BY14|A0A5N4BY14_CAMDR Ras and Rab interactor 1 OS=Camelus dromedarius OX=9838 GN=Cadr_000030341 PE=3 SV=1</t>
        </is>
      </c>
      <c r="M6259" t="n">
        <v>786</v>
      </c>
      <c r="N6259" t="inlineStr">
        <is>
          <t>Camelus dromedarius</t>
        </is>
      </c>
      <c r="O6259" t="inlineStr">
        <is>
          <t>Ras and Rab interactor 1</t>
        </is>
      </c>
    </row>
    <row r="6260">
      <c r="A6260" t="inlineStr"/>
      <c r="B6260" t="inlineStr"/>
      <c r="C6260" t="inlineStr"/>
      <c r="D6260" t="inlineStr"/>
      <c r="E6260">
        <f>HYPERLINK("https://www.uniprot.org/uniprotkb/A0A8B6YAR8/entry", "A0A8B6YAR8")</f>
        <v/>
      </c>
      <c r="F6260" t="n">
        <v>36.4</v>
      </c>
      <c r="G6260" t="n">
        <v>646</v>
      </c>
      <c r="H6260" t="n">
        <v>4.88e-84</v>
      </c>
      <c r="I6260" t="inlineStr">
        <is>
          <t>TrEMBL</t>
        </is>
      </c>
      <c r="J6260" t="inlineStr">
        <is>
          <t>RIN1</t>
        </is>
      </c>
      <c r="K6260" t="inlineStr">
        <is>
          <t>A0A8B6YAR8_CAMFR</t>
        </is>
      </c>
      <c r="L6260" t="inlineStr">
        <is>
          <t>tr|A0A8B6YAR8|A0A8B6YAR8_CAMFR ras and Rab interactor 1 OS=Camelus ferus OX=419612 GN=RIN1 PE=3 SV=1</t>
        </is>
      </c>
      <c r="M6260" t="n">
        <v>786</v>
      </c>
      <c r="N6260" t="inlineStr">
        <is>
          <t>Camelus ferus</t>
        </is>
      </c>
      <c r="O6260" t="inlineStr">
        <is>
          <t>ras and Rab interactor 1</t>
        </is>
      </c>
    </row>
    <row r="6261">
      <c r="A6261" t="inlineStr"/>
      <c r="B6261" t="inlineStr"/>
      <c r="C6261" t="inlineStr"/>
      <c r="D6261" t="inlineStr"/>
      <c r="E6261">
        <f>HYPERLINK("https://www.uniprot.org/uniprotkb/A0A8C6RES4/entry", "A0A8C6RES4")</f>
        <v/>
      </c>
      <c r="F6261" t="n">
        <v>37</v>
      </c>
      <c r="G6261" t="n">
        <v>595</v>
      </c>
      <c r="H6261" t="n">
        <v>5.75e-84</v>
      </c>
      <c r="I6261" t="inlineStr">
        <is>
          <t>TrEMBL</t>
        </is>
      </c>
      <c r="J6261" t="inlineStr">
        <is>
          <t>Rin1</t>
        </is>
      </c>
      <c r="K6261" t="inlineStr">
        <is>
          <t>A0A8C6RES4_NANGA</t>
        </is>
      </c>
      <c r="L6261" t="inlineStr">
        <is>
          <t>tr|A0A8C6RES4|A0A8C6RES4_NANGA Ras and Rab interactor 1 OS=Nannospalax galili OX=1026970 GN=Rin1 PE=3 SV=1</t>
        </is>
      </c>
      <c r="M6261" t="n">
        <v>761</v>
      </c>
      <c r="N6261" t="inlineStr">
        <is>
          <t>Nannospalax galili</t>
        </is>
      </c>
      <c r="O6261" t="inlineStr">
        <is>
          <t>Ras and Rab interactor 1</t>
        </is>
      </c>
    </row>
    <row r="6262">
      <c r="A6262" t="inlineStr"/>
      <c r="B6262" t="inlineStr"/>
      <c r="C6262" t="inlineStr"/>
      <c r="D6262" t="inlineStr"/>
      <c r="E6262">
        <f>HYPERLINK("https://www.uniprot.org/uniprotkb/A0A6I9IHM7/entry", "A0A6I9IHM7")</f>
        <v/>
      </c>
      <c r="F6262" t="n">
        <v>36.4</v>
      </c>
      <c r="G6262" t="n">
        <v>646</v>
      </c>
      <c r="H6262" t="n">
        <v>6.8e-84</v>
      </c>
      <c r="I6262" t="inlineStr">
        <is>
          <t>TrEMBL</t>
        </is>
      </c>
      <c r="J6262" t="inlineStr">
        <is>
          <t>RIN1</t>
        </is>
      </c>
      <c r="K6262" t="inlineStr">
        <is>
          <t>A0A6I9IHM7_VICPA</t>
        </is>
      </c>
      <c r="L6262" t="inlineStr">
        <is>
          <t>tr|A0A6I9IHM7|A0A6I9IHM7_VICPA LOW QUALITY PROTEIN: ras and Rab interactor 1 OS=Vicugna pacos OX=30538 GN=RIN1 PE=3 SV=1</t>
        </is>
      </c>
      <c r="M6262" t="n">
        <v>786</v>
      </c>
      <c r="N6262" t="inlineStr">
        <is>
          <t>Vicugna pacos</t>
        </is>
      </c>
      <c r="O6262" t="inlineStr">
        <is>
          <t>LOW QUALITY PROTEIN: ras and Rab interactor 1</t>
        </is>
      </c>
    </row>
    <row r="6263">
      <c r="A6263" t="inlineStr"/>
      <c r="B6263" t="inlineStr"/>
      <c r="C6263" t="inlineStr"/>
      <c r="D6263" t="inlineStr"/>
      <c r="E6263">
        <f>HYPERLINK("https://www.uniprot.org/uniprotkb/A0A383Z7A1/entry", "A0A383Z7A1")</f>
        <v/>
      </c>
      <c r="F6263" t="n">
        <v>37.5</v>
      </c>
      <c r="G6263" t="n">
        <v>634</v>
      </c>
      <c r="H6263" t="n">
        <v>9.48e-84</v>
      </c>
      <c r="I6263" t="inlineStr">
        <is>
          <t>TrEMBL</t>
        </is>
      </c>
      <c r="J6263" t="inlineStr">
        <is>
          <t>RIN1</t>
        </is>
      </c>
      <c r="K6263" t="inlineStr">
        <is>
          <t>A0A383Z7A1_BALAS</t>
        </is>
      </c>
      <c r="L6263" t="inlineStr">
        <is>
          <t>tr|A0A383Z7A1|A0A383Z7A1_BALAS ras and Rab interactor 1 OS=Balaenoptera acutorostrata scammoni OX=310752 GN=RIN1 PE=3 SV=1</t>
        </is>
      </c>
      <c r="M6263" t="n">
        <v>786</v>
      </c>
      <c r="N6263" t="inlineStr">
        <is>
          <t>Balaenoptera acutorostrata scammoni</t>
        </is>
      </c>
      <c r="O6263" t="inlineStr">
        <is>
          <t>ras and Rab interactor 1</t>
        </is>
      </c>
    </row>
    <row r="6264">
      <c r="A6264" t="inlineStr"/>
      <c r="B6264" t="inlineStr"/>
      <c r="C6264" t="inlineStr"/>
      <c r="D6264" t="inlineStr"/>
      <c r="E6264">
        <f>HYPERLINK("https://www.uniprot.org/uniprotkb/Q921Q7/entry", "Q921Q7")</f>
        <v/>
      </c>
      <c r="F6264" t="n">
        <v>35.8</v>
      </c>
      <c r="G6264" t="n">
        <v>631</v>
      </c>
      <c r="H6264" t="n">
        <v>1.17e-83</v>
      </c>
      <c r="I6264" t="inlineStr">
        <is>
          <t>Swiss-Prot</t>
        </is>
      </c>
      <c r="J6264" t="inlineStr">
        <is>
          <t>Rin1</t>
        </is>
      </c>
      <c r="K6264" t="inlineStr">
        <is>
          <t>RIN1_MOUSE</t>
        </is>
      </c>
      <c r="L6264" t="inlineStr">
        <is>
          <t>sp|Q921Q7|RIN1_MOUSE Ras and Rab interactor 1 OS=Mus musculus OX=10090 GN=Rin1 PE=1 SV=1</t>
        </is>
      </c>
      <c r="M6264" t="n">
        <v>763</v>
      </c>
      <c r="N6264" t="inlineStr">
        <is>
          <t>Mus musculus</t>
        </is>
      </c>
      <c r="O6264" t="inlineStr">
        <is>
          <t>Ras and Rab interactor 1</t>
        </is>
      </c>
    </row>
    <row r="6265">
      <c r="A6265" t="inlineStr"/>
      <c r="B6265" t="inlineStr"/>
      <c r="C6265" t="inlineStr"/>
      <c r="D6265" t="inlineStr"/>
      <c r="E6265">
        <f>HYPERLINK("https://www.uniprot.org/uniprotkb/A0A8B7FVN4/entry", "A0A8B7FVN4")</f>
        <v/>
      </c>
      <c r="F6265" t="n">
        <v>38</v>
      </c>
      <c r="G6265" t="n">
        <v>598</v>
      </c>
      <c r="H6265" t="n">
        <v>2.37e-83</v>
      </c>
      <c r="I6265" t="inlineStr">
        <is>
          <t>TrEMBL</t>
        </is>
      </c>
      <c r="J6265" t="inlineStr">
        <is>
          <t>RIN1</t>
        </is>
      </c>
      <c r="K6265" t="inlineStr">
        <is>
          <t>A0A8B7FVN4_MICMU</t>
        </is>
      </c>
      <c r="L6265" t="inlineStr">
        <is>
          <t>tr|A0A8B7FVN4|A0A8B7FVN4_MICMU Ras and Rab interactor 1 OS=Microcebus murinus OX=30608 GN=RIN1 PE=3 SV=1</t>
        </is>
      </c>
      <c r="M6265" t="n">
        <v>782</v>
      </c>
      <c r="N6265" t="inlineStr">
        <is>
          <t>Microcebus murinus</t>
        </is>
      </c>
      <c r="O6265" t="inlineStr">
        <is>
          <t>Ras and Rab interactor 1</t>
        </is>
      </c>
    </row>
    <row r="6266">
      <c r="A6266" t="inlineStr"/>
      <c r="B6266" t="inlineStr"/>
      <c r="C6266" t="inlineStr"/>
      <c r="D6266" t="inlineStr"/>
      <c r="E6266">
        <f>HYPERLINK("https://www.uniprot.org/uniprotkb/P97680/entry", "P97680")</f>
        <v/>
      </c>
      <c r="F6266" t="n">
        <v>35.8</v>
      </c>
      <c r="G6266" t="n">
        <v>631</v>
      </c>
      <c r="H6266" t="n">
        <v>2.81e-83</v>
      </c>
      <c r="I6266" t="inlineStr">
        <is>
          <t>Swiss-Prot</t>
        </is>
      </c>
      <c r="J6266" t="inlineStr">
        <is>
          <t>Rin1</t>
        </is>
      </c>
      <c r="K6266" t="inlineStr">
        <is>
          <t>RIN1_RAT</t>
        </is>
      </c>
      <c r="L6266" t="inlineStr">
        <is>
          <t>sp|P97680|RIN1_RAT Ras and Rab interactor 1 OS=Rattus norvegicus OX=10116 GN=Rin1 PE=2 SV=2</t>
        </is>
      </c>
      <c r="M6266" t="n">
        <v>774</v>
      </c>
      <c r="N6266" t="inlineStr">
        <is>
          <t>Rattus norvegicus</t>
        </is>
      </c>
      <c r="O6266" t="inlineStr">
        <is>
          <t>Ras and Rab interactor 1</t>
        </is>
      </c>
    </row>
    <row r="6267">
      <c r="A6267" t="inlineStr"/>
      <c r="B6267" t="inlineStr"/>
      <c r="C6267" t="inlineStr"/>
      <c r="D6267" t="inlineStr"/>
      <c r="E6267">
        <f>HYPERLINK("https://www.uniprot.org/uniprotkb/A0A455AU15/entry", "A0A455AU15")</f>
        <v/>
      </c>
      <c r="F6267" t="n">
        <v>36.9</v>
      </c>
      <c r="G6267" t="n">
        <v>635</v>
      </c>
      <c r="H6267" t="n">
        <v>3.81e-83</v>
      </c>
      <c r="I6267" t="inlineStr">
        <is>
          <t>TrEMBL</t>
        </is>
      </c>
      <c r="J6267" t="inlineStr">
        <is>
          <t>RIN1</t>
        </is>
      </c>
      <c r="K6267" t="inlineStr">
        <is>
          <t>A0A455AU15_PHYMC</t>
        </is>
      </c>
      <c r="L6267" t="inlineStr">
        <is>
          <t>tr|A0A455AU15|A0A455AU15_PHYMC ras and Rab interactor 1 isoform X4 OS=Physeter macrocephalus OX=9755 GN=RIN1 PE=3 SV=1</t>
        </is>
      </c>
      <c r="M6267" t="n">
        <v>678</v>
      </c>
      <c r="N6267" t="inlineStr">
        <is>
          <t>Physeter macrocephalus</t>
        </is>
      </c>
      <c r="O6267" t="inlineStr">
        <is>
          <t>ras and Rab interactor 1 isoform X4</t>
        </is>
      </c>
    </row>
    <row r="6268">
      <c r="A6268" t="inlineStr"/>
      <c r="B6268" t="inlineStr"/>
      <c r="C6268" t="inlineStr"/>
      <c r="D6268" t="inlineStr"/>
      <c r="E6268">
        <f>HYPERLINK("https://www.uniprot.org/uniprotkb/A0A8B8Y9P5/entry", "A0A8B8Y9P5")</f>
        <v/>
      </c>
      <c r="F6268" t="n">
        <v>36.9</v>
      </c>
      <c r="G6268" t="n">
        <v>634</v>
      </c>
      <c r="H6268" t="n">
        <v>4.09e-83</v>
      </c>
      <c r="I6268" t="inlineStr">
        <is>
          <t>TrEMBL</t>
        </is>
      </c>
      <c r="J6268" t="inlineStr">
        <is>
          <t>RIN1</t>
        </is>
      </c>
      <c r="K6268" t="inlineStr">
        <is>
          <t>A0A8B8Y9P5_BALMU</t>
        </is>
      </c>
      <c r="L6268" t="inlineStr">
        <is>
          <t>tr|A0A8B8Y9P5|A0A8B8Y9P5_BALMU ras and Rab interactor 1 isoform X1 OS=Balaenoptera musculus OX=9771 GN=RIN1 PE=3 SV=1</t>
        </is>
      </c>
      <c r="M6268" t="n">
        <v>793</v>
      </c>
      <c r="N6268" t="inlineStr">
        <is>
          <t>Balaenoptera musculus</t>
        </is>
      </c>
      <c r="O6268" t="inlineStr">
        <is>
          <t>ras and Rab interactor 1 isoform X1</t>
        </is>
      </c>
    </row>
    <row r="6269">
      <c r="A6269" t="inlineStr"/>
      <c r="B6269" t="inlineStr"/>
      <c r="C6269" t="inlineStr"/>
      <c r="D6269" t="inlineStr"/>
      <c r="E6269">
        <f>HYPERLINK("https://www.uniprot.org/uniprotkb/A0A8C0D0U0/entry", "A0A8C0D0U0")</f>
        <v/>
      </c>
      <c r="F6269" t="n">
        <v>36.9</v>
      </c>
      <c r="G6269" t="n">
        <v>634</v>
      </c>
      <c r="H6269" t="n">
        <v>5.66e-83</v>
      </c>
      <c r="I6269" t="inlineStr">
        <is>
          <t>TrEMBL</t>
        </is>
      </c>
      <c r="J6269" t="inlineStr">
        <is>
          <t>RIN1</t>
        </is>
      </c>
      <c r="K6269" t="inlineStr">
        <is>
          <t>A0A8C0D0U0_BALMU</t>
        </is>
      </c>
      <c r="L6269" t="inlineStr">
        <is>
          <t>tr|A0A8C0D0U0|A0A8C0D0U0_BALMU Ras and Rab interactor 1 OS=Balaenoptera musculus OX=9771 GN=RIN1 PE=3 SV=1</t>
        </is>
      </c>
      <c r="M6269" t="n">
        <v>810</v>
      </c>
      <c r="N6269" t="inlineStr">
        <is>
          <t>Balaenoptera musculus</t>
        </is>
      </c>
      <c r="O6269" t="inlineStr">
        <is>
          <t>Ras and Rab interactor 1</t>
        </is>
      </c>
    </row>
    <row r="6270">
      <c r="A6270" t="inlineStr"/>
      <c r="B6270" t="inlineStr"/>
      <c r="C6270" t="inlineStr"/>
      <c r="D6270" t="inlineStr"/>
      <c r="E6270">
        <f>HYPERLINK("https://www.uniprot.org/uniprotkb/A0A485NZN6/entry", "A0A485NZN6")</f>
        <v/>
      </c>
      <c r="F6270" t="n">
        <v>36.5</v>
      </c>
      <c r="G6270" t="n">
        <v>595</v>
      </c>
      <c r="H6270" t="n">
        <v>1.09e-82</v>
      </c>
      <c r="I6270" t="inlineStr">
        <is>
          <t>TrEMBL</t>
        </is>
      </c>
      <c r="J6270" t="inlineStr">
        <is>
          <t>LYPA_23C000157</t>
        </is>
      </c>
      <c r="K6270" t="inlineStr">
        <is>
          <t>A0A485NZN6_LYNPA</t>
        </is>
      </c>
      <c r="L6270" t="inlineStr">
        <is>
          <t>tr|A0A485NZN6|A0A485NZN6_LYNPA Low quality protein: ras and rab OS=Lynx pardinus OX=191816 GN=LYPA_23C000157 PE=3 SV=1</t>
        </is>
      </c>
      <c r="M6270" t="n">
        <v>792</v>
      </c>
      <c r="N6270" t="inlineStr">
        <is>
          <t>Lynx pardinus</t>
        </is>
      </c>
      <c r="O6270" t="inlineStr">
        <is>
          <t>Low quality protein: ras and rab</t>
        </is>
      </c>
    </row>
    <row r="6271">
      <c r="A6271" t="inlineStr"/>
      <c r="B6271" t="inlineStr"/>
      <c r="C6271" t="inlineStr"/>
      <c r="D6271" t="inlineStr"/>
      <c r="E6271">
        <f>HYPERLINK("https://www.uniprot.org/uniprotkb/A0A667GVG4/entry", "A0A667GVG4")</f>
        <v/>
      </c>
      <c r="F6271" t="n">
        <v>36.5</v>
      </c>
      <c r="G6271" t="n">
        <v>595</v>
      </c>
      <c r="H6271" t="n">
        <v>1.48e-82</v>
      </c>
      <c r="I6271" t="inlineStr">
        <is>
          <t>TrEMBL</t>
        </is>
      </c>
      <c r="J6271" t="inlineStr">
        <is>
          <t>RIN1</t>
        </is>
      </c>
      <c r="K6271" t="inlineStr">
        <is>
          <t>A0A667GVG4_LYNCA</t>
        </is>
      </c>
      <c r="L6271" t="inlineStr">
        <is>
          <t>tr|A0A667GVG4|A0A667GVG4_LYNCA Ras and Rab interactor 1 OS=Lynx canadensis OX=61383 GN=RIN1 PE=3 SV=1</t>
        </is>
      </c>
      <c r="M6271" t="n">
        <v>791</v>
      </c>
      <c r="N6271" t="inlineStr">
        <is>
          <t>Lynx canadensis</t>
        </is>
      </c>
      <c r="O6271" t="inlineStr">
        <is>
          <t>Ras and Rab interactor 1</t>
        </is>
      </c>
    </row>
    <row r="6272">
      <c r="A6272" t="inlineStr"/>
      <c r="B6272" t="inlineStr"/>
      <c r="C6272" t="inlineStr"/>
      <c r="D6272" t="inlineStr"/>
      <c r="E6272">
        <f>HYPERLINK("https://www.uniprot.org/uniprotkb/Q13671/entry", "Q13671")</f>
        <v/>
      </c>
      <c r="F6272" t="n">
        <v>36.3</v>
      </c>
      <c r="G6272" t="n">
        <v>598</v>
      </c>
      <c r="H6272" t="n">
        <v>2.45e-81</v>
      </c>
      <c r="I6272" t="inlineStr">
        <is>
          <t>Swiss-Prot</t>
        </is>
      </c>
      <c r="J6272" t="inlineStr">
        <is>
          <t>RIN1</t>
        </is>
      </c>
      <c r="K6272" t="inlineStr">
        <is>
          <t>RIN1_HUMAN</t>
        </is>
      </c>
      <c r="L6272" t="inlineStr">
        <is>
          <t>sp|Q13671|RIN1_HUMAN Ras and Rab interactor 1 OS=Homo sapiens OX=9606 GN=RIN1 PE=1 SV=4</t>
        </is>
      </c>
      <c r="M6272" t="n">
        <v>783</v>
      </c>
      <c r="N6272" t="inlineStr">
        <is>
          <t>Homo sapiens</t>
        </is>
      </c>
      <c r="O6272" t="inlineStr">
        <is>
          <t>Ras and Rab interactor 1</t>
        </is>
      </c>
    </row>
    <row r="6273">
      <c r="A6273" t="inlineStr"/>
      <c r="B6273" t="inlineStr"/>
      <c r="C6273" t="inlineStr"/>
      <c r="D6273" t="inlineStr"/>
      <c r="E6273">
        <f>HYPERLINK("https://www.uniprot.org/uniprotkb/Q9D684/entry", "Q9D684")</f>
        <v/>
      </c>
      <c r="F6273" t="n">
        <v>39.4</v>
      </c>
      <c r="G6273" t="n">
        <v>396</v>
      </c>
      <c r="H6273" t="n">
        <v>9.45e-72</v>
      </c>
      <c r="I6273" t="inlineStr">
        <is>
          <t>Swiss-Prot</t>
        </is>
      </c>
      <c r="J6273" t="inlineStr">
        <is>
          <t>Rin2</t>
        </is>
      </c>
      <c r="K6273" t="inlineStr">
        <is>
          <t>RIN2_MOUSE</t>
        </is>
      </c>
      <c r="L6273" t="inlineStr">
        <is>
          <t>sp|Q9D684|RIN2_MOUSE Ras and Rab interactor 2 OS=Mus musculus OX=10090 GN=Rin2 PE=1 SV=3</t>
        </is>
      </c>
      <c r="M6273" t="n">
        <v>903</v>
      </c>
      <c r="N6273" t="inlineStr">
        <is>
          <t>Mus musculus</t>
        </is>
      </c>
      <c r="O6273" t="inlineStr">
        <is>
          <t>Ras and Rab interactor 2</t>
        </is>
      </c>
    </row>
    <row r="6274">
      <c r="A6274" t="inlineStr"/>
      <c r="B6274" t="inlineStr"/>
      <c r="C6274" t="inlineStr"/>
      <c r="D6274" t="inlineStr"/>
      <c r="E6274">
        <f>HYPERLINK("https://www.uniprot.org/uniprotkb/Q8WYP3/entry", "Q8WYP3")</f>
        <v/>
      </c>
      <c r="F6274" t="n">
        <v>31.6</v>
      </c>
      <c r="G6274" t="n">
        <v>690</v>
      </c>
      <c r="H6274" t="n">
        <v>1.53e-70</v>
      </c>
      <c r="I6274" t="inlineStr">
        <is>
          <t>Swiss-Prot</t>
        </is>
      </c>
      <c r="J6274" t="inlineStr">
        <is>
          <t>RIN2</t>
        </is>
      </c>
      <c r="K6274" t="inlineStr">
        <is>
          <t>RIN2_HUMAN</t>
        </is>
      </c>
      <c r="L6274" t="inlineStr">
        <is>
          <t>sp|Q8WYP3|RIN2_HUMAN Ras and Rab interactor 2 OS=Homo sapiens OX=9606 GN=RIN2 PE=1 SV=1</t>
        </is>
      </c>
      <c r="M6274" t="n">
        <v>895</v>
      </c>
      <c r="N6274" t="inlineStr">
        <is>
          <t>Homo sapiens</t>
        </is>
      </c>
      <c r="O6274" t="inlineStr">
        <is>
          <t>Ras and Rab interactor 2</t>
        </is>
      </c>
    </row>
    <row r="6275">
      <c r="A6275" t="inlineStr"/>
      <c r="B6275" t="inlineStr"/>
      <c r="C6275" t="inlineStr"/>
      <c r="D6275" t="inlineStr"/>
      <c r="E6275">
        <f>HYPERLINK("https://www.uniprot.org/uniprotkb/P59729/entry", "P59729")</f>
        <v/>
      </c>
      <c r="F6275" t="n">
        <v>30.3</v>
      </c>
      <c r="G6275" t="n">
        <v>396</v>
      </c>
      <c r="H6275" t="n">
        <v>9.46e-38</v>
      </c>
      <c r="I6275" t="inlineStr">
        <is>
          <t>Swiss-Prot</t>
        </is>
      </c>
      <c r="J6275" t="inlineStr">
        <is>
          <t>Rin3</t>
        </is>
      </c>
      <c r="K6275" t="inlineStr">
        <is>
          <t>RIN3_MOUSE</t>
        </is>
      </c>
      <c r="L6275" t="inlineStr">
        <is>
          <t>sp|P59729|RIN3_MOUSE Ras and Rab interactor 3 OS=Mus musculus OX=10090 GN=Rin3 PE=1 SV=2</t>
        </is>
      </c>
      <c r="M6275" t="n">
        <v>980</v>
      </c>
      <c r="N6275" t="inlineStr">
        <is>
          <t>Mus musculus</t>
        </is>
      </c>
      <c r="O6275" t="inlineStr">
        <is>
          <t>Ras and Rab interactor 3</t>
        </is>
      </c>
    </row>
    <row r="6276">
      <c r="A6276" t="inlineStr"/>
      <c r="B6276" t="inlineStr"/>
      <c r="C6276" t="inlineStr"/>
      <c r="D6276" t="inlineStr"/>
      <c r="E6276">
        <f>HYPERLINK("https://www.uniprot.org/uniprotkb/Q8TB24/entry", "Q8TB24")</f>
        <v/>
      </c>
      <c r="F6276" t="n">
        <v>30.2</v>
      </c>
      <c r="G6276" t="n">
        <v>398</v>
      </c>
      <c r="H6276" t="n">
        <v>3.06e-36</v>
      </c>
      <c r="I6276" t="inlineStr">
        <is>
          <t>Swiss-Prot</t>
        </is>
      </c>
      <c r="J6276" t="inlineStr">
        <is>
          <t>RIN3</t>
        </is>
      </c>
      <c r="K6276" t="inlineStr">
        <is>
          <t>RIN3_HUMAN</t>
        </is>
      </c>
      <c r="L6276" t="inlineStr">
        <is>
          <t>sp|Q8TB24|RIN3_HUMAN Ras and Rab interactor 3 OS=Homo sapiens OX=9606 GN=RIN3 PE=1 SV=4</t>
        </is>
      </c>
      <c r="M6276" t="n">
        <v>985</v>
      </c>
      <c r="N6276" t="inlineStr">
        <is>
          <t>Homo sapiens</t>
        </is>
      </c>
      <c r="O6276" t="inlineStr">
        <is>
          <t>Ras and Rab interactor 3</t>
        </is>
      </c>
    </row>
    <row r="6277">
      <c r="A6277" t="inlineStr"/>
      <c r="B6277" t="inlineStr"/>
      <c r="C6277" t="inlineStr"/>
      <c r="D6277" t="inlineStr"/>
      <c r="E6277">
        <f>HYPERLINK("https://www.uniprot.org/uniprotkb/Q8MQW8/entry", "Q8MQW8")</f>
        <v/>
      </c>
      <c r="F6277" t="n">
        <v>27.8</v>
      </c>
      <c r="G6277" t="n">
        <v>327</v>
      </c>
      <c r="H6277" t="n">
        <v>2.47e-25</v>
      </c>
      <c r="I6277" t="inlineStr">
        <is>
          <t>Swiss-Prot</t>
        </is>
      </c>
      <c r="J6277" t="inlineStr">
        <is>
          <t>spri</t>
        </is>
      </c>
      <c r="K6277" t="inlineStr">
        <is>
          <t>SPRI_DROME</t>
        </is>
      </c>
      <c r="L6277" t="inlineStr">
        <is>
          <t>sp|Q8MQW8|SPRI_DROME Protein sprint OS=Drosophila melanogaster OX=7227 GN=spri PE=2 SV=3</t>
        </is>
      </c>
      <c r="M6277" t="n">
        <v>1789</v>
      </c>
      <c r="N6277" t="inlineStr">
        <is>
          <t>Drosophila melanogaster</t>
        </is>
      </c>
      <c r="O6277" t="inlineStr">
        <is>
          <t>Protein sprint</t>
        </is>
      </c>
    </row>
    <row r="6278">
      <c r="A6278" t="inlineStr"/>
      <c r="B6278" t="inlineStr"/>
      <c r="C6278" t="inlineStr"/>
      <c r="D6278" t="inlineStr"/>
      <c r="E6278">
        <f>HYPERLINK("https://www.uniprot.org/uniprotkb/Q80UW3/entry", "Q80UW3")</f>
        <v/>
      </c>
      <c r="F6278" t="n">
        <v>29.7</v>
      </c>
      <c r="G6278" t="n">
        <v>249</v>
      </c>
      <c r="H6278" t="n">
        <v>9.389999999999999e-12</v>
      </c>
      <c r="I6278" t="inlineStr">
        <is>
          <t>Swiss-Prot</t>
        </is>
      </c>
      <c r="J6278" t="inlineStr">
        <is>
          <t>Rinl</t>
        </is>
      </c>
      <c r="K6278" t="inlineStr">
        <is>
          <t>RINL_MOUSE</t>
        </is>
      </c>
      <c r="L6278" t="inlineStr">
        <is>
          <t>sp|Q80UW3|RINL_MOUSE Ras and Rab interactor-like protein OS=Mus musculus OX=10090 GN=Rinl PE=1 SV=1</t>
        </is>
      </c>
      <c r="M6278" t="n">
        <v>563</v>
      </c>
      <c r="N6278" t="inlineStr">
        <is>
          <t>Mus musculus</t>
        </is>
      </c>
      <c r="O6278" t="inlineStr">
        <is>
          <t>Ras and Rab interactor-like protein</t>
        </is>
      </c>
    </row>
    <row r="6279">
      <c r="A6279" t="inlineStr"/>
      <c r="B6279" t="inlineStr"/>
      <c r="C6279" t="inlineStr"/>
      <c r="D6279" t="inlineStr"/>
      <c r="E6279">
        <f>HYPERLINK("https://www.uniprot.org/uniprotkb/Q6ZS11/entry", "Q6ZS11")</f>
        <v/>
      </c>
      <c r="F6279" t="n">
        <v>31.2</v>
      </c>
      <c r="G6279" t="n">
        <v>199</v>
      </c>
      <c r="H6279" t="n">
        <v>5.02e-11</v>
      </c>
      <c r="I6279" t="inlineStr">
        <is>
          <t>Swiss-Prot</t>
        </is>
      </c>
      <c r="J6279" t="inlineStr">
        <is>
          <t>RINL</t>
        </is>
      </c>
      <c r="K6279" t="inlineStr">
        <is>
          <t>RINL_HUMAN</t>
        </is>
      </c>
      <c r="L6279" t="inlineStr">
        <is>
          <t>sp|Q6ZS11|RINL_HUMAN Ras and Rab interactor-like protein OS=Homo sapiens OX=9606 GN=RINL PE=2 SV=2</t>
        </is>
      </c>
      <c r="M6279" t="n">
        <v>566</v>
      </c>
      <c r="N6279" t="inlineStr">
        <is>
          <t>Homo sapiens</t>
        </is>
      </c>
      <c r="O6279" t="inlineStr">
        <is>
          <t>Ras and Rab interactor-like protein</t>
        </is>
      </c>
    </row>
    <row r="6280">
      <c r="A6280" t="inlineStr"/>
      <c r="B6280" t="inlineStr"/>
      <c r="C6280" t="inlineStr"/>
      <c r="D6280" t="inlineStr"/>
      <c r="E6280">
        <f>HYPERLINK("https://www.uniprot.org/uniprotkb/Q10NQ3/entry", "Q10NQ3")</f>
        <v/>
      </c>
      <c r="F6280" t="n">
        <v>25.2</v>
      </c>
      <c r="G6280" t="n">
        <v>210</v>
      </c>
      <c r="H6280" t="n">
        <v>7.34e-07</v>
      </c>
      <c r="I6280" t="inlineStr">
        <is>
          <t>Swiss-Prot</t>
        </is>
      </c>
      <c r="J6280" t="inlineStr">
        <is>
          <t>VPS9A</t>
        </is>
      </c>
      <c r="K6280" t="inlineStr">
        <is>
          <t>VPS9A_ORYSJ</t>
        </is>
      </c>
      <c r="L6280" t="inlineStr">
        <is>
          <t>sp|Q10NQ3|VPS9A_ORYSJ Vacuolar protein sorting-associated protein 9A OS=Oryza sativa subsp. japonica OX=39947 GN=VPS9A PE=1 SV=1</t>
        </is>
      </c>
      <c r="M6280" t="n">
        <v>480</v>
      </c>
      <c r="N6280" t="inlineStr">
        <is>
          <t>Oryza sativa subsp. japonica</t>
        </is>
      </c>
      <c r="O6280" t="inlineStr">
        <is>
          <t>Vacuolar protein sorting-associated protein 9A</t>
        </is>
      </c>
    </row>
    <row r="6281">
      <c r="A6281" t="inlineStr"/>
      <c r="B6281" t="inlineStr"/>
      <c r="C6281" t="inlineStr"/>
      <c r="D6281" t="inlineStr"/>
      <c r="E6281">
        <f>HYPERLINK("https://www.uniprot.org/uniprotkb/Q9LT31/entry", "Q9LT31")</f>
        <v/>
      </c>
      <c r="F6281" t="n">
        <v>24</v>
      </c>
      <c r="G6281" t="n">
        <v>246</v>
      </c>
      <c r="H6281" t="n">
        <v>5.42e-06</v>
      </c>
      <c r="I6281" t="inlineStr">
        <is>
          <t>Swiss-Prot</t>
        </is>
      </c>
      <c r="J6281" t="inlineStr">
        <is>
          <t>VPS9A</t>
        </is>
      </c>
      <c r="K6281" t="inlineStr">
        <is>
          <t>VPS9A_ARATH</t>
        </is>
      </c>
      <c r="L6281" t="inlineStr">
        <is>
          <t>sp|Q9LT31|VPS9A_ARATH Vacuolar protein sorting-associated protein 9A OS=Arabidopsis thaliana OX=3702 GN=VPS9A PE=1 SV=1</t>
        </is>
      </c>
      <c r="M6281" t="n">
        <v>520</v>
      </c>
      <c r="N6281" t="inlineStr">
        <is>
          <t>Arabidopsis thaliana</t>
        </is>
      </c>
      <c r="O6281" t="inlineStr">
        <is>
          <t>Vacuolar protein sorting-associated protein 9A</t>
        </is>
      </c>
    </row>
    <row r="6282">
      <c r="A6282" t="inlineStr"/>
      <c r="B6282" t="inlineStr"/>
      <c r="C6282" t="inlineStr"/>
      <c r="D6282" t="inlineStr"/>
      <c r="E6282">
        <f>HYPERLINK("https://www.uniprot.org/uniprotkb/P54787/entry", "P54787")</f>
        <v/>
      </c>
      <c r="F6282" t="n">
        <v>25.3</v>
      </c>
      <c r="G6282" t="n">
        <v>166</v>
      </c>
      <c r="H6282" t="n">
        <v>2.6e-05</v>
      </c>
      <c r="I6282" t="inlineStr">
        <is>
          <t>Swiss-Prot</t>
        </is>
      </c>
      <c r="J6282" t="inlineStr">
        <is>
          <t>VPS9</t>
        </is>
      </c>
      <c r="K6282" t="inlineStr">
        <is>
          <t>VPS9_YEAST</t>
        </is>
      </c>
      <c r="L6282" t="inlineStr">
        <is>
          <t>sp|P54787|VPS9_YEAST Vacuolar protein sorting-associated protein 9 OS=Saccharomyces cerevisiae (strain ATCC 204508 / S288c) OX=559292 GN=VPS9 PE=1 SV=2</t>
        </is>
      </c>
      <c r="M6282" t="n">
        <v>451</v>
      </c>
      <c r="N6282" t="inlineStr">
        <is>
          <t>Saccharomyces cerevisiae (strain ATCC 204508 / S288c)</t>
        </is>
      </c>
      <c r="O6282" t="inlineStr">
        <is>
          <t>Vacuolar protein sorting-associated protein 9</t>
        </is>
      </c>
    </row>
    <row r="6283">
      <c r="A6283" t="inlineStr"/>
      <c r="B6283" t="inlineStr"/>
      <c r="C6283" t="inlineStr"/>
      <c r="D6283" t="inlineStr"/>
      <c r="E6283">
        <f>HYPERLINK("https://www.uniprot.org/uniprotkb/O74396/entry", "O74396")</f>
        <v/>
      </c>
      <c r="F6283" t="n">
        <v>20.9</v>
      </c>
      <c r="G6283" t="n">
        <v>234</v>
      </c>
      <c r="H6283" t="n">
        <v>5.22e-05</v>
      </c>
      <c r="I6283" t="inlineStr">
        <is>
          <t>Swiss-Prot</t>
        </is>
      </c>
      <c r="J6283" t="inlineStr">
        <is>
          <t>vps901</t>
        </is>
      </c>
      <c r="K6283" t="inlineStr">
        <is>
          <t>VPS91_SCHPO</t>
        </is>
      </c>
      <c r="L6283" t="inlineStr">
        <is>
          <t>sp|O74396|VPS91_SCHPO Vacuolar protein sorting-associated protein 9a OS=Schizosaccharomyces pombe (strain 972 / ATCC 24843) OX=284812 GN=vps901 PE=1 SV=3</t>
        </is>
      </c>
      <c r="M6283" t="n">
        <v>572</v>
      </c>
      <c r="N6283" t="inlineStr">
        <is>
          <t>Schizosaccharomyces pombe (strain 972 / ATCC 24843)</t>
        </is>
      </c>
      <c r="O6283" t="inlineStr">
        <is>
          <t>Vacuolar protein sorting-associated protein 9a</t>
        </is>
      </c>
    </row>
    <row r="6284">
      <c r="A6284" t="inlineStr"/>
      <c r="B6284" t="inlineStr"/>
      <c r="C6284" t="inlineStr"/>
      <c r="D6284" t="inlineStr"/>
      <c r="E6284">
        <f>HYPERLINK("https://www.uniprot.org/uniprotkb/Q9JM13/entry", "Q9JM13")</f>
        <v/>
      </c>
      <c r="F6284" t="n">
        <v>24.6</v>
      </c>
      <c r="G6284" t="n">
        <v>118</v>
      </c>
      <c r="H6284" t="n">
        <v>0.00011</v>
      </c>
      <c r="I6284" t="inlineStr">
        <is>
          <t>Swiss-Prot</t>
        </is>
      </c>
      <c r="J6284" t="inlineStr">
        <is>
          <t>Rabgef1</t>
        </is>
      </c>
      <c r="K6284" t="inlineStr">
        <is>
          <t>RABX5_MOUSE</t>
        </is>
      </c>
      <c r="L6284" t="inlineStr">
        <is>
          <t>sp|Q9JM13|RABX5_MOUSE Rab5 GDP/GTP exchange factor OS=Mus musculus OX=10090 GN=Rabgef1 PE=1 SV=1</t>
        </is>
      </c>
      <c r="M6284" t="n">
        <v>491</v>
      </c>
      <c r="N6284" t="inlineStr">
        <is>
          <t>Mus musculus</t>
        </is>
      </c>
      <c r="O6284" t="inlineStr">
        <is>
          <t>Rab5 GDP/GTP exchange factor</t>
        </is>
      </c>
    </row>
    <row r="6285">
      <c r="A6285" t="inlineStr"/>
      <c r="B6285" t="inlineStr"/>
      <c r="C6285" t="inlineStr"/>
      <c r="D6285" t="inlineStr"/>
      <c r="E6285">
        <f>HYPERLINK("https://www.uniprot.org/uniprotkb/Q9UJ41/entry", "Q9UJ41")</f>
        <v/>
      </c>
      <c r="F6285" t="n">
        <v>24.6</v>
      </c>
      <c r="G6285" t="n">
        <v>118</v>
      </c>
      <c r="H6285" t="n">
        <v>0.000145</v>
      </c>
      <c r="I6285" t="inlineStr">
        <is>
          <t>Swiss-Prot</t>
        </is>
      </c>
      <c r="J6285" t="inlineStr">
        <is>
          <t>RABGEF1</t>
        </is>
      </c>
      <c r="K6285" t="inlineStr">
        <is>
          <t>RABX5_HUMAN</t>
        </is>
      </c>
      <c r="L6285" t="inlineStr">
        <is>
          <t>sp|Q9UJ41|RABX5_HUMAN Rab5 GDP/GTP exchange factor OS=Homo sapiens OX=9606 GN=RABGEF1 PE=1 SV=3</t>
        </is>
      </c>
      <c r="M6285" t="n">
        <v>491</v>
      </c>
      <c r="N6285" t="inlineStr">
        <is>
          <t>Homo sapiens</t>
        </is>
      </c>
      <c r="O6285" t="inlineStr">
        <is>
          <t>Rab5 GDP/GTP exchange factor</t>
        </is>
      </c>
    </row>
    <row r="6286">
      <c r="A6286" t="inlineStr"/>
      <c r="B6286" t="inlineStr"/>
      <c r="C6286" t="inlineStr"/>
      <c r="D6286" t="inlineStr"/>
      <c r="E6286">
        <f>HYPERLINK("https://www.uniprot.org/uniprotkb/O18973/entry", "O18973")</f>
        <v/>
      </c>
      <c r="F6286" t="n">
        <v>24.6</v>
      </c>
      <c r="G6286" t="n">
        <v>118</v>
      </c>
      <c r="H6286" t="n">
        <v>0.000145</v>
      </c>
      <c r="I6286" t="inlineStr">
        <is>
          <t>Swiss-Prot</t>
        </is>
      </c>
      <c r="J6286" t="inlineStr">
        <is>
          <t>RABGEF1</t>
        </is>
      </c>
      <c r="K6286" t="inlineStr">
        <is>
          <t>RABX5_BOVIN</t>
        </is>
      </c>
      <c r="L6286" t="inlineStr">
        <is>
          <t>sp|O18973|RABX5_BOVIN Rab5 GDP/GTP exchange factor OS=Bos taurus OX=9913 GN=RABGEF1 PE=1 SV=1</t>
        </is>
      </c>
      <c r="M6286" t="n">
        <v>492</v>
      </c>
      <c r="N6286" t="inlineStr">
        <is>
          <t>Bos taurus</t>
        </is>
      </c>
      <c r="O6286" t="inlineStr">
        <is>
          <t>Rab5 GDP/GTP exchange factor</t>
        </is>
      </c>
    </row>
    <row r="6287">
      <c r="A6287" t="inlineStr">
        <is>
          <t>NODE_38234_length_3521_cov_94.963231_g9791_i2</t>
        </is>
      </c>
      <c r="B6287" t="inlineStr">
        <is>
          <t>bombina_pachypus_blastx</t>
        </is>
      </c>
      <c r="C6287" t="n">
        <v>1.96972488615833</v>
      </c>
      <c r="D6287" t="n">
        <v>0.0152193789705951</v>
      </c>
      <c r="E6287">
        <f>HYPERLINK("https://www.ncbi.nlm.nih.gov/gene/?term=XP_044152613.1", "XP_044152613.1")</f>
        <v/>
      </c>
      <c r="F6287" t="n">
        <v>71.2</v>
      </c>
      <c r="G6287" t="n">
        <v>423</v>
      </c>
      <c r="H6287" t="n">
        <v>4.369999999999999e-216</v>
      </c>
      <c r="I6287" t="inlineStr">
        <is>
          <t>Nr</t>
        </is>
      </c>
      <c r="J6287" t="inlineStr"/>
      <c r="K6287" t="inlineStr"/>
      <c r="L6287" t="inlineStr">
        <is>
          <t>XP_044152613.1 secernin-2 isoform X1 [Bufo gargarizans]</t>
        </is>
      </c>
      <c r="M6287" t="n">
        <v>423</v>
      </c>
      <c r="N6287" t="inlineStr">
        <is>
          <t>Bufo gargarizans</t>
        </is>
      </c>
      <c r="O6287" t="inlineStr">
        <is>
          <t>secernin-2 isoform X1</t>
        </is>
      </c>
    </row>
    <row r="6288">
      <c r="A6288" t="inlineStr"/>
      <c r="B6288" t="inlineStr"/>
      <c r="C6288" t="inlineStr"/>
      <c r="D6288" t="inlineStr"/>
      <c r="E6288">
        <f>HYPERLINK("https://www.ncbi.nlm.nih.gov/gene/?term=XP_053309143.1", "XP_053309143.1")</f>
        <v/>
      </c>
      <c r="F6288" t="n">
        <v>72.90000000000001</v>
      </c>
      <c r="G6288" t="n">
        <v>420</v>
      </c>
      <c r="H6288" t="n">
        <v>5.46e-215</v>
      </c>
      <c r="I6288" t="inlineStr">
        <is>
          <t>Nr</t>
        </is>
      </c>
      <c r="J6288" t="inlineStr"/>
      <c r="K6288" t="inlineStr"/>
      <c r="L6288" t="inlineStr">
        <is>
          <t>XP_053309143.1 secernin-2 [Spea bombifrons]</t>
        </is>
      </c>
      <c r="M6288" t="n">
        <v>425</v>
      </c>
      <c r="N6288" t="inlineStr">
        <is>
          <t>Spea bombifrons</t>
        </is>
      </c>
      <c r="O6288" t="inlineStr">
        <is>
          <t>secernin-2</t>
        </is>
      </c>
    </row>
    <row r="6289">
      <c r="A6289" t="inlineStr"/>
      <c r="B6289" t="inlineStr"/>
      <c r="C6289" t="inlineStr"/>
      <c r="D6289" t="inlineStr"/>
      <c r="E6289">
        <f>HYPERLINK("https://www.ncbi.nlm.nih.gov/gene/?term=XP_040291217.1", "XP_040291217.1")</f>
        <v/>
      </c>
      <c r="F6289" t="n">
        <v>70.7</v>
      </c>
      <c r="G6289" t="n">
        <v>423</v>
      </c>
      <c r="H6289" t="n">
        <v>1.02e-214</v>
      </c>
      <c r="I6289" t="inlineStr">
        <is>
          <t>Nr</t>
        </is>
      </c>
      <c r="J6289" t="inlineStr"/>
      <c r="K6289" t="inlineStr"/>
      <c r="L6289" t="inlineStr">
        <is>
          <t>XP_040291217.1 secernin-2 isoform X1 [Bufo bufo]</t>
        </is>
      </c>
      <c r="M6289" t="n">
        <v>423</v>
      </c>
      <c r="N6289" t="inlineStr">
        <is>
          <t>Bufo bufo</t>
        </is>
      </c>
      <c r="O6289" t="inlineStr">
        <is>
          <t>secernin-2 isoform X1</t>
        </is>
      </c>
    </row>
    <row r="6290">
      <c r="A6290" t="inlineStr"/>
      <c r="B6290" t="inlineStr"/>
      <c r="C6290" t="inlineStr"/>
      <c r="D6290" t="inlineStr"/>
      <c r="E6290">
        <f>HYPERLINK("https://www.uniprot.org/uniprotkb/Q5XH17/entry", "Q5XH17")</f>
        <v/>
      </c>
      <c r="F6290" t="n">
        <v>68.8</v>
      </c>
      <c r="G6290" t="n">
        <v>423</v>
      </c>
      <c r="H6290" t="n">
        <v>1.71e-210</v>
      </c>
      <c r="I6290" t="inlineStr">
        <is>
          <t>Swiss-Prot</t>
        </is>
      </c>
      <c r="J6290" t="inlineStr">
        <is>
          <t>scrn2</t>
        </is>
      </c>
      <c r="K6290" t="inlineStr">
        <is>
          <t>SCRN2_XENLA</t>
        </is>
      </c>
      <c r="L6290" t="inlineStr">
        <is>
          <t>sp|Q5XH17|SCRN2_XENLA Secernin-2 OS=Xenopus laevis OX=8355 GN=scrn2 PE=2 SV=1</t>
        </is>
      </c>
      <c r="M6290" t="n">
        <v>428</v>
      </c>
      <c r="N6290" t="inlineStr">
        <is>
          <t>Xenopus laevis</t>
        </is>
      </c>
      <c r="O6290" t="inlineStr">
        <is>
          <t>Secernin-2</t>
        </is>
      </c>
    </row>
    <row r="6291">
      <c r="A6291" t="inlineStr"/>
      <c r="B6291" t="inlineStr"/>
      <c r="C6291" t="inlineStr"/>
      <c r="D6291" t="inlineStr"/>
      <c r="E6291">
        <f>HYPERLINK("https://www.ncbi.nlm.nih.gov/gene/?term=XP_040187176.1", "XP_040187176.1")</f>
        <v/>
      </c>
      <c r="F6291" t="n">
        <v>69.3</v>
      </c>
      <c r="G6291" t="n">
        <v>417</v>
      </c>
      <c r="H6291" t="n">
        <v>2.39e-210</v>
      </c>
      <c r="I6291" t="inlineStr">
        <is>
          <t>Nr</t>
        </is>
      </c>
      <c r="J6291" t="inlineStr"/>
      <c r="K6291" t="inlineStr"/>
      <c r="L6291" t="inlineStr">
        <is>
          <t>XP_040187176.1 secernin-2 [Rana temporaria]</t>
        </is>
      </c>
      <c r="M6291" t="n">
        <v>430</v>
      </c>
      <c r="N6291" t="inlineStr">
        <is>
          <t>Rana temporaria</t>
        </is>
      </c>
      <c r="O6291" t="inlineStr">
        <is>
          <t>secernin-2</t>
        </is>
      </c>
    </row>
    <row r="6292">
      <c r="A6292" t="inlineStr"/>
      <c r="B6292" t="inlineStr"/>
      <c r="C6292" t="inlineStr"/>
      <c r="D6292" t="inlineStr"/>
      <c r="E6292">
        <f>HYPERLINK("https://www.uniprot.org/uniprotkb/A0A8T2JRG6/entry", "A0A8T2JRG6")</f>
        <v/>
      </c>
      <c r="F6292" t="n">
        <v>68.90000000000001</v>
      </c>
      <c r="G6292" t="n">
        <v>418</v>
      </c>
      <c r="H6292" t="n">
        <v>6.12e-210</v>
      </c>
      <c r="I6292" t="inlineStr">
        <is>
          <t>TrEMBL</t>
        </is>
      </c>
      <c r="J6292" t="inlineStr">
        <is>
          <t>GDO86_014360</t>
        </is>
      </c>
      <c r="K6292" t="inlineStr">
        <is>
          <t>A0A8T2JRG6_9PIPI</t>
        </is>
      </c>
      <c r="L6292" t="inlineStr">
        <is>
          <t>tr|A0A8T2JRG6|A0A8T2JRG6_9PIPI Secernin 2 OS=Hymenochirus boettgeri OX=247094 GN=GDO86_014360 PE=3 SV=1</t>
        </is>
      </c>
      <c r="M6292" t="n">
        <v>424</v>
      </c>
      <c r="N6292" t="inlineStr">
        <is>
          <t>Hymenochirus boettgeri</t>
        </is>
      </c>
      <c r="O6292" t="inlineStr">
        <is>
          <t>Secernin 2</t>
        </is>
      </c>
    </row>
    <row r="6293">
      <c r="A6293" t="inlineStr"/>
      <c r="B6293" t="inlineStr"/>
      <c r="C6293" t="inlineStr"/>
      <c r="D6293" t="inlineStr"/>
      <c r="E6293">
        <f>HYPERLINK("https://www.uniprot.org/uniprotkb/A0A8T2JWR8/entry", "A0A8T2JWR8")</f>
        <v/>
      </c>
      <c r="F6293" t="n">
        <v>68.90000000000001</v>
      </c>
      <c r="G6293" t="n">
        <v>418</v>
      </c>
      <c r="H6293" t="n">
        <v>7.610000000000001e-210</v>
      </c>
      <c r="I6293" t="inlineStr">
        <is>
          <t>TrEMBL</t>
        </is>
      </c>
      <c r="J6293" t="inlineStr">
        <is>
          <t>GDO86_014360</t>
        </is>
      </c>
      <c r="K6293" t="inlineStr">
        <is>
          <t>A0A8T2JWR8_9PIPI</t>
        </is>
      </c>
      <c r="L6293" t="inlineStr">
        <is>
          <t>tr|A0A8T2JWR8|A0A8T2JWR8_9PIPI Secernin 2 OS=Hymenochirus boettgeri OX=247094 GN=GDO86_014360 PE=3 SV=1</t>
        </is>
      </c>
      <c r="M6293" t="n">
        <v>430</v>
      </c>
      <c r="N6293" t="inlineStr">
        <is>
          <t>Hymenochirus boettgeri</t>
        </is>
      </c>
      <c r="O6293" t="inlineStr">
        <is>
          <t>Secernin 2</t>
        </is>
      </c>
    </row>
    <row r="6294">
      <c r="A6294" t="inlineStr"/>
      <c r="B6294" t="inlineStr"/>
      <c r="C6294" t="inlineStr"/>
      <c r="D6294" t="inlineStr"/>
      <c r="E6294">
        <f>HYPERLINK("https://www.uniprot.org/uniprotkb/A0A822H2K5/entry", "A0A822H2K5")</f>
        <v/>
      </c>
      <c r="F6294" t="n">
        <v>69.3</v>
      </c>
      <c r="G6294" t="n">
        <v>423</v>
      </c>
      <c r="H6294" t="n">
        <v>1.28e-209</v>
      </c>
      <c r="I6294" t="inlineStr">
        <is>
          <t>TrEMBL</t>
        </is>
      </c>
      <c r="J6294" t="inlineStr">
        <is>
          <t>RIMITATOR_LOCUS11355501</t>
        </is>
      </c>
      <c r="K6294" t="inlineStr">
        <is>
          <t>A0A822H2K5_9NEOB</t>
        </is>
      </c>
      <c r="L6294" t="inlineStr">
        <is>
          <t>tr|A0A822H2K5|A0A822H2K5_9NEOB (mimic poison frog) hypothetical protein OS=Ranitomeya imitator OX=111125 GN=RIMITATOR_LOCUS11355501 PE=3 SV=1</t>
        </is>
      </c>
      <c r="M6294" t="n">
        <v>425</v>
      </c>
      <c r="N6294" t="inlineStr">
        <is>
          <t>Ranitomeya imitator</t>
        </is>
      </c>
      <c r="O6294" t="inlineStr">
        <is>
          <t>(mimic poison frog) hypothetical protein</t>
        </is>
      </c>
    </row>
    <row r="6295">
      <c r="A6295" t="inlineStr"/>
      <c r="B6295" t="inlineStr"/>
      <c r="C6295" t="inlineStr"/>
      <c r="D6295" t="inlineStr"/>
      <c r="E6295">
        <f>HYPERLINK("https://www.ncbi.nlm.nih.gov/gene/?term=KAG8446872.1", "KAG8446872.1")</f>
        <v/>
      </c>
      <c r="F6295" t="n">
        <v>68.90000000000001</v>
      </c>
      <c r="G6295" t="n">
        <v>418</v>
      </c>
      <c r="H6295" t="n">
        <v>1.57e-209</v>
      </c>
      <c r="I6295" t="inlineStr">
        <is>
          <t>Nr</t>
        </is>
      </c>
      <c r="J6295" t="inlineStr"/>
      <c r="K6295" t="inlineStr"/>
      <c r="L6295" t="inlineStr">
        <is>
          <t>KAG8446872.1 hypothetical protein GDO86_014360 [Hymenochirus boettgeri]</t>
        </is>
      </c>
      <c r="M6295" t="n">
        <v>424</v>
      </c>
      <c r="N6295" t="inlineStr">
        <is>
          <t>Hymenochirus boettgeri</t>
        </is>
      </c>
      <c r="O6295" t="inlineStr">
        <is>
          <t>hypothetical protein GDO86_014360</t>
        </is>
      </c>
    </row>
    <row r="6296">
      <c r="A6296" t="inlineStr"/>
      <c r="B6296" t="inlineStr"/>
      <c r="C6296" t="inlineStr"/>
      <c r="D6296" t="inlineStr"/>
      <c r="E6296">
        <f>HYPERLINK("https://www.ncbi.nlm.nih.gov/gene/?term=KAG8446871.1", "KAG8446871.1")</f>
        <v/>
      </c>
      <c r="F6296" t="n">
        <v>68.90000000000001</v>
      </c>
      <c r="G6296" t="n">
        <v>418</v>
      </c>
      <c r="H6296" t="n">
        <v>1.95e-209</v>
      </c>
      <c r="I6296" t="inlineStr">
        <is>
          <t>Nr</t>
        </is>
      </c>
      <c r="J6296" t="inlineStr"/>
      <c r="K6296" t="inlineStr"/>
      <c r="L6296" t="inlineStr">
        <is>
          <t>KAG8446871.1 hypothetical protein GDO86_014360 [Hymenochirus boettgeri]</t>
        </is>
      </c>
      <c r="M6296" t="n">
        <v>430</v>
      </c>
      <c r="N6296" t="inlineStr">
        <is>
          <t>Hymenochirus boettgeri</t>
        </is>
      </c>
      <c r="O6296" t="inlineStr">
        <is>
          <t>hypothetical protein GDO86_014360</t>
        </is>
      </c>
    </row>
    <row r="6297">
      <c r="A6297" t="inlineStr"/>
      <c r="B6297" t="inlineStr"/>
      <c r="C6297" t="inlineStr"/>
      <c r="D6297" t="inlineStr"/>
      <c r="E6297">
        <f>HYPERLINK("https://www.uniprot.org/uniprotkb/A0A1L8EKV8/entry", "A0A1L8EKV8")</f>
        <v/>
      </c>
      <c r="F6297" t="n">
        <v>69</v>
      </c>
      <c r="G6297" t="n">
        <v>423</v>
      </c>
      <c r="H6297" t="n">
        <v>4.07e-209</v>
      </c>
      <c r="I6297" t="inlineStr">
        <is>
          <t>TrEMBL</t>
        </is>
      </c>
      <c r="J6297" t="inlineStr">
        <is>
          <t>scrn2.S</t>
        </is>
      </c>
      <c r="K6297" t="inlineStr">
        <is>
          <t>A0A1L8EKV8_XENLA</t>
        </is>
      </c>
      <c r="L6297" t="inlineStr">
        <is>
          <t>tr|A0A1L8EKV8|A0A1L8EKV8_XENLA secernin-2 isoform X1 OS=Xenopus laevis OX=8355 GN=scrn2.S PE=3 SV=1</t>
        </is>
      </c>
      <c r="M6297" t="n">
        <v>428</v>
      </c>
      <c r="N6297" t="inlineStr">
        <is>
          <t>Xenopus laevis</t>
        </is>
      </c>
      <c r="O6297" t="inlineStr">
        <is>
          <t>secernin-2 isoform X1</t>
        </is>
      </c>
    </row>
    <row r="6298">
      <c r="A6298" t="inlineStr"/>
      <c r="B6298" t="inlineStr"/>
      <c r="C6298" t="inlineStr"/>
      <c r="D6298" t="inlineStr"/>
      <c r="E6298">
        <f>HYPERLINK("https://www.ncbi.nlm.nih.gov/gene/?term=XP_041433765.1", "XP_041433765.1")</f>
        <v/>
      </c>
      <c r="F6298" t="n">
        <v>69</v>
      </c>
      <c r="G6298" t="n">
        <v>423</v>
      </c>
      <c r="H6298" t="n">
        <v>1.05e-208</v>
      </c>
      <c r="I6298" t="inlineStr">
        <is>
          <t>Nr</t>
        </is>
      </c>
      <c r="J6298" t="inlineStr"/>
      <c r="K6298" t="inlineStr"/>
      <c r="L6298" t="inlineStr">
        <is>
          <t>XP_041433765.1 secernin-2 isoform X1 [Xenopus laevis]</t>
        </is>
      </c>
      <c r="M6298" t="n">
        <v>428</v>
      </c>
      <c r="N6298" t="inlineStr">
        <is>
          <t>Xenopus laevis</t>
        </is>
      </c>
      <c r="O6298" t="inlineStr">
        <is>
          <t>secernin-2 isoform X1</t>
        </is>
      </c>
    </row>
    <row r="6299">
      <c r="A6299" t="inlineStr"/>
      <c r="B6299" t="inlineStr"/>
      <c r="C6299" t="inlineStr"/>
      <c r="D6299" t="inlineStr"/>
      <c r="E6299">
        <f>HYPERLINK("https://www.ncbi.nlm.nih.gov/gene/?term=OCT59950.1", "OCT59950.1")</f>
        <v/>
      </c>
      <c r="F6299" t="n">
        <v>69</v>
      </c>
      <c r="G6299" t="n">
        <v>423</v>
      </c>
      <c r="H6299" t="n">
        <v>1.67e-208</v>
      </c>
      <c r="I6299" t="inlineStr">
        <is>
          <t>Nr</t>
        </is>
      </c>
      <c r="J6299" t="inlineStr"/>
      <c r="K6299" t="inlineStr"/>
      <c r="L6299" t="inlineStr">
        <is>
          <t>OCT59950.1 hypothetical protein XELAEV_18045969mg [Xenopus laevis]</t>
        </is>
      </c>
      <c r="M6299" t="n">
        <v>441</v>
      </c>
      <c r="N6299" t="inlineStr">
        <is>
          <t>Xenopus laevis</t>
        </is>
      </c>
      <c r="O6299" t="inlineStr">
        <is>
          <t>hypothetical protein XELAEV_18045969mg</t>
        </is>
      </c>
    </row>
    <row r="6300">
      <c r="A6300" t="inlineStr"/>
      <c r="B6300" t="inlineStr"/>
      <c r="C6300" t="inlineStr"/>
      <c r="D6300" t="inlineStr"/>
      <c r="E6300">
        <f>HYPERLINK("https://www.ncbi.nlm.nih.gov/gene/?term=NP_001088260.1", "NP_001088260.1")</f>
        <v/>
      </c>
      <c r="F6300" t="n">
        <v>68.8</v>
      </c>
      <c r="G6300" t="n">
        <v>423</v>
      </c>
      <c r="H6300" t="n">
        <v>1.72e-207</v>
      </c>
      <c r="I6300" t="inlineStr">
        <is>
          <t>Nr</t>
        </is>
      </c>
      <c r="J6300" t="inlineStr"/>
      <c r="K6300" t="inlineStr"/>
      <c r="L6300" t="inlineStr">
        <is>
          <t>NP_001088260.1 secernin-2 [Xenopus laevis]</t>
        </is>
      </c>
      <c r="M6300" t="n">
        <v>428</v>
      </c>
      <c r="N6300" t="inlineStr">
        <is>
          <t>Xenopus laevis</t>
        </is>
      </c>
      <c r="O6300" t="inlineStr">
        <is>
          <t>secernin-2</t>
        </is>
      </c>
    </row>
    <row r="6301">
      <c r="A6301" t="inlineStr"/>
      <c r="B6301" t="inlineStr"/>
      <c r="C6301" t="inlineStr"/>
      <c r="D6301" t="inlineStr"/>
      <c r="E6301">
        <f>HYPERLINK("https://www.ncbi.nlm.nih.gov/gene/?term=XP_018421089.1", "XP_018421089.1")</f>
        <v/>
      </c>
      <c r="F6301" t="n">
        <v>68.3</v>
      </c>
      <c r="G6301" t="n">
        <v>417</v>
      </c>
      <c r="H6301" t="n">
        <v>2.37e-202</v>
      </c>
      <c r="I6301" t="inlineStr">
        <is>
          <t>Nr</t>
        </is>
      </c>
      <c r="J6301" t="inlineStr"/>
      <c r="K6301" t="inlineStr"/>
      <c r="L6301" t="inlineStr">
        <is>
          <t>XP_018421089.1 PREDICTED: secernin-2 [Nanorana parkeri]</t>
        </is>
      </c>
      <c r="M6301" t="n">
        <v>426</v>
      </c>
      <c r="N6301" t="inlineStr">
        <is>
          <t>Nanorana parkeri</t>
        </is>
      </c>
      <c r="O6301" t="inlineStr">
        <is>
          <t>PREDICTED: secernin-2</t>
        </is>
      </c>
    </row>
    <row r="6302">
      <c r="A6302" t="inlineStr"/>
      <c r="B6302" t="inlineStr"/>
      <c r="C6302" t="inlineStr"/>
      <c r="D6302" t="inlineStr"/>
      <c r="E6302">
        <f>HYPERLINK("https://www.uniprot.org/uniprotkb/F6QJA0/entry", "F6QJA0")</f>
        <v/>
      </c>
      <c r="F6302" t="n">
        <v>68</v>
      </c>
      <c r="G6302" t="n">
        <v>416</v>
      </c>
      <c r="H6302" t="n">
        <v>5.22e-202</v>
      </c>
      <c r="I6302" t="inlineStr">
        <is>
          <t>TrEMBL</t>
        </is>
      </c>
      <c r="J6302" t="inlineStr">
        <is>
          <t>scrn2</t>
        </is>
      </c>
      <c r="K6302" t="inlineStr">
        <is>
          <t>F6QJA0_XENTR</t>
        </is>
      </c>
      <c r="L6302" t="inlineStr">
        <is>
          <t>tr|F6QJA0|F6QJA0_XENTR Secernin-2 OS=Xenopus tropicalis OX=8364 GN=scrn2 PE=3 SV=4</t>
        </is>
      </c>
      <c r="M6302" t="n">
        <v>445</v>
      </c>
      <c r="N6302" t="inlineStr">
        <is>
          <t>Xenopus tropicalis</t>
        </is>
      </c>
      <c r="O6302" t="inlineStr">
        <is>
          <t>Secernin-2</t>
        </is>
      </c>
    </row>
    <row r="6303">
      <c r="A6303" t="inlineStr"/>
      <c r="B6303" t="inlineStr"/>
      <c r="C6303" t="inlineStr"/>
      <c r="D6303" t="inlineStr"/>
      <c r="E6303">
        <f>HYPERLINK("https://www.ncbi.nlm.nih.gov/gene/?term=XP_012808013.2", "XP_012808013.2")</f>
        <v/>
      </c>
      <c r="F6303" t="n">
        <v>68</v>
      </c>
      <c r="G6303" t="n">
        <v>416</v>
      </c>
      <c r="H6303" t="n">
        <v>1.34e-201</v>
      </c>
      <c r="I6303" t="inlineStr">
        <is>
          <t>Nr</t>
        </is>
      </c>
      <c r="J6303" t="inlineStr"/>
      <c r="K6303" t="inlineStr"/>
      <c r="L6303" t="inlineStr">
        <is>
          <t>XP_012808013.2 secernin-2 isoform X2 [Xenopus tropicalis]</t>
        </is>
      </c>
      <c r="M6303" t="n">
        <v>445</v>
      </c>
      <c r="N6303" t="inlineStr">
        <is>
          <t>Xenopus tropicalis</t>
        </is>
      </c>
      <c r="O6303" t="inlineStr">
        <is>
          <t>secernin-2 isoform X2</t>
        </is>
      </c>
    </row>
    <row r="6304">
      <c r="A6304" t="inlineStr"/>
      <c r="B6304" t="inlineStr"/>
      <c r="C6304" t="inlineStr"/>
      <c r="D6304" t="inlineStr"/>
      <c r="E6304">
        <f>HYPERLINK("https://www.uniprot.org/uniprotkb/Q0V984/entry", "Q0V984")</f>
        <v/>
      </c>
      <c r="F6304" t="n">
        <v>66</v>
      </c>
      <c r="G6304" t="n">
        <v>435</v>
      </c>
      <c r="H6304" t="n">
        <v>1.51e-201</v>
      </c>
      <c r="I6304" t="inlineStr">
        <is>
          <t>Swiss-Prot</t>
        </is>
      </c>
      <c r="J6304" t="inlineStr">
        <is>
          <t>scrn2</t>
        </is>
      </c>
      <c r="K6304" t="inlineStr">
        <is>
          <t>SCRN2_XENTR</t>
        </is>
      </c>
      <c r="L6304" t="inlineStr">
        <is>
          <t>sp|Q0V984|SCRN2_XENTR Secernin-2 OS=Xenopus tropicalis OX=8364 GN=scrn2 PE=2 SV=1</t>
        </is>
      </c>
      <c r="M6304" t="n">
        <v>446</v>
      </c>
      <c r="N6304" t="inlineStr">
        <is>
          <t>Xenopus tropicalis</t>
        </is>
      </c>
      <c r="O6304" t="inlineStr">
        <is>
          <t>Secernin-2</t>
        </is>
      </c>
    </row>
    <row r="6305">
      <c r="A6305" t="inlineStr"/>
      <c r="B6305" t="inlineStr"/>
      <c r="C6305" t="inlineStr"/>
      <c r="D6305" t="inlineStr"/>
      <c r="E6305">
        <f>HYPERLINK("https://www.ncbi.nlm.nih.gov/gene/?term=KAG8566144.1", "KAG8566144.1")</f>
        <v/>
      </c>
      <c r="F6305" t="n">
        <v>66.40000000000001</v>
      </c>
      <c r="G6305" t="n">
        <v>429</v>
      </c>
      <c r="H6305" t="n">
        <v>1.93e-201</v>
      </c>
      <c r="I6305" t="inlineStr">
        <is>
          <t>Nr</t>
        </is>
      </c>
      <c r="J6305" t="inlineStr"/>
      <c r="K6305" t="inlineStr"/>
      <c r="L6305" t="inlineStr">
        <is>
          <t>KAG8566144.1 hypothetical protein GDO81_013122 [Engystomops pustulosus]</t>
        </is>
      </c>
      <c r="M6305" t="n">
        <v>426</v>
      </c>
      <c r="N6305" t="inlineStr">
        <is>
          <t>Engystomops pustulosus</t>
        </is>
      </c>
      <c r="O6305" t="inlineStr">
        <is>
          <t>hypothetical protein GDO81_013122</t>
        </is>
      </c>
    </row>
    <row r="6306">
      <c r="A6306" t="inlineStr"/>
      <c r="B6306" t="inlineStr"/>
      <c r="C6306" t="inlineStr"/>
      <c r="D6306" t="inlineStr"/>
      <c r="E6306">
        <f>HYPERLINK("https://www.uniprot.org/uniprotkb/A0A8J0S9H4/entry", "A0A8J0S9H4")</f>
        <v/>
      </c>
      <c r="F6306" t="n">
        <v>67.90000000000001</v>
      </c>
      <c r="G6306" t="n">
        <v>417</v>
      </c>
      <c r="H6306" t="n">
        <v>3.6e-200</v>
      </c>
      <c r="I6306" t="inlineStr">
        <is>
          <t>TrEMBL</t>
        </is>
      </c>
      <c r="J6306" t="inlineStr">
        <is>
          <t>scrn2</t>
        </is>
      </c>
      <c r="K6306" t="inlineStr">
        <is>
          <t>A0A8J0S9H4_XENTR</t>
        </is>
      </c>
      <c r="L6306" t="inlineStr">
        <is>
          <t>tr|A0A8J0S9H4|A0A8J0S9H4_XENTR secernin-2 isoform X1 OS=Xenopus tropicalis OX=8364 GN=scrn2 PE=3 SV=1</t>
        </is>
      </c>
      <c r="M6306" t="n">
        <v>446</v>
      </c>
      <c r="N6306" t="inlineStr">
        <is>
          <t>Xenopus tropicalis</t>
        </is>
      </c>
      <c r="O6306" t="inlineStr">
        <is>
          <t>secernin-2 isoform X1</t>
        </is>
      </c>
    </row>
    <row r="6307">
      <c r="A6307" t="inlineStr"/>
      <c r="B6307" t="inlineStr"/>
      <c r="C6307" t="inlineStr"/>
      <c r="D6307" t="inlineStr"/>
      <c r="E6307">
        <f>HYPERLINK("https://www.ncbi.nlm.nih.gov/gene/?term=XP_012808012.2", "XP_012808012.2")</f>
        <v/>
      </c>
      <c r="F6307" t="n">
        <v>67.90000000000001</v>
      </c>
      <c r="G6307" t="n">
        <v>417</v>
      </c>
      <c r="H6307" t="n">
        <v>9.250000000000001e-200</v>
      </c>
      <c r="I6307" t="inlineStr">
        <is>
          <t>Nr</t>
        </is>
      </c>
      <c r="J6307" t="inlineStr"/>
      <c r="K6307" t="inlineStr"/>
      <c r="L6307" t="inlineStr">
        <is>
          <t>XP_012808012.2 secernin-2 isoform X1 [Xenopus tropicalis]</t>
        </is>
      </c>
      <c r="M6307" t="n">
        <v>446</v>
      </c>
      <c r="N6307" t="inlineStr">
        <is>
          <t>Xenopus tropicalis</t>
        </is>
      </c>
      <c r="O6307" t="inlineStr">
        <is>
          <t>secernin-2 isoform X1</t>
        </is>
      </c>
    </row>
    <row r="6308">
      <c r="A6308" t="inlineStr"/>
      <c r="B6308" t="inlineStr"/>
      <c r="C6308" t="inlineStr"/>
      <c r="D6308" t="inlineStr"/>
      <c r="E6308">
        <f>HYPERLINK("https://www.uniprot.org/uniprotkb/A0A8C5Q6W3/entry", "A0A8C5Q6W3")</f>
        <v/>
      </c>
      <c r="F6308" t="n">
        <v>67.5</v>
      </c>
      <c r="G6308" t="n">
        <v>424</v>
      </c>
      <c r="H6308" t="n">
        <v>1.44e-199</v>
      </c>
      <c r="I6308" t="inlineStr">
        <is>
          <t>TrEMBL</t>
        </is>
      </c>
      <c r="J6308" t="inlineStr">
        <is>
          <t>SCRN2</t>
        </is>
      </c>
      <c r="K6308" t="inlineStr">
        <is>
          <t>A0A8C5Q6W3_9ANUR</t>
        </is>
      </c>
      <c r="L6308" t="inlineStr">
        <is>
          <t>tr|A0A8C5Q6W3|A0A8C5Q6W3_9ANUR Secernin 2 OS=Leptobrachium leishanense OX=445787 GN=SCRN2 PE=3 SV=1</t>
        </is>
      </c>
      <c r="M6308" t="n">
        <v>426</v>
      </c>
      <c r="N6308" t="inlineStr">
        <is>
          <t>Leptobrachium leishanense</t>
        </is>
      </c>
      <c r="O6308" t="inlineStr">
        <is>
          <t>Secernin 2</t>
        </is>
      </c>
    </row>
    <row r="6309">
      <c r="A6309" t="inlineStr"/>
      <c r="B6309" t="inlineStr"/>
      <c r="C6309" t="inlineStr"/>
      <c r="D6309" t="inlineStr"/>
      <c r="E6309">
        <f>HYPERLINK("https://www.ncbi.nlm.nih.gov/gene/?term=NP_001072449.1", "NP_001072449.1")</f>
        <v/>
      </c>
      <c r="F6309" t="n">
        <v>66</v>
      </c>
      <c r="G6309" t="n">
        <v>435</v>
      </c>
      <c r="H6309" t="n">
        <v>1.52e-198</v>
      </c>
      <c r="I6309" t="inlineStr">
        <is>
          <t>Nr</t>
        </is>
      </c>
      <c r="J6309" t="inlineStr"/>
      <c r="K6309" t="inlineStr"/>
      <c r="L6309" t="inlineStr">
        <is>
          <t>NP_001072449.1 secernin-2 [Xenopus tropicalis]</t>
        </is>
      </c>
      <c r="M6309" t="n">
        <v>446</v>
      </c>
      <c r="N6309" t="inlineStr">
        <is>
          <t>Xenopus tropicalis</t>
        </is>
      </c>
      <c r="O6309" t="inlineStr">
        <is>
          <t>secernin-2</t>
        </is>
      </c>
    </row>
    <row r="6310">
      <c r="A6310" t="inlineStr"/>
      <c r="B6310" t="inlineStr"/>
      <c r="C6310" t="inlineStr"/>
      <c r="D6310" t="inlineStr"/>
      <c r="E6310">
        <f>HYPERLINK("https://www.uniprot.org/uniprotkb/A0A8T2JTG6/entry", "A0A8T2JTG6")</f>
        <v/>
      </c>
      <c r="F6310" t="n">
        <v>72.40000000000001</v>
      </c>
      <c r="G6310" t="n">
        <v>366</v>
      </c>
      <c r="H6310" t="n">
        <v>2.8e-195</v>
      </c>
      <c r="I6310" t="inlineStr">
        <is>
          <t>TrEMBL</t>
        </is>
      </c>
      <c r="J6310" t="inlineStr">
        <is>
          <t>GDO86_014360</t>
        </is>
      </c>
      <c r="K6310" t="inlineStr">
        <is>
          <t>A0A8T2JTG6_9PIPI</t>
        </is>
      </c>
      <c r="L6310" t="inlineStr">
        <is>
          <t>tr|A0A8T2JTG6|A0A8T2JTG6_9PIPI Secernin 2 OS=Hymenochirus boettgeri OX=247094 GN=GDO86_014360 PE=3 SV=1</t>
        </is>
      </c>
      <c r="M6310" t="n">
        <v>370</v>
      </c>
      <c r="N6310" t="inlineStr">
        <is>
          <t>Hymenochirus boettgeri</t>
        </is>
      </c>
      <c r="O6310" t="inlineStr">
        <is>
          <t>Secernin 2</t>
        </is>
      </c>
    </row>
    <row r="6311">
      <c r="A6311" t="inlineStr"/>
      <c r="B6311" t="inlineStr"/>
      <c r="C6311" t="inlineStr"/>
      <c r="D6311" t="inlineStr"/>
      <c r="E6311">
        <f>HYPERLINK("https://www.ncbi.nlm.nih.gov/gene/?term=KAG8446873.1", "KAG8446873.1")</f>
        <v/>
      </c>
      <c r="F6311" t="n">
        <v>72.40000000000001</v>
      </c>
      <c r="G6311" t="n">
        <v>366</v>
      </c>
      <c r="H6311" t="n">
        <v>7.18e-195</v>
      </c>
      <c r="I6311" t="inlineStr">
        <is>
          <t>Nr</t>
        </is>
      </c>
      <c r="J6311" t="inlineStr"/>
      <c r="K6311" t="inlineStr"/>
      <c r="L6311" t="inlineStr">
        <is>
          <t>KAG8446873.1 hypothetical protein GDO86_014360 [Hymenochirus boettgeri]</t>
        </is>
      </c>
      <c r="M6311" t="n">
        <v>370</v>
      </c>
      <c r="N6311" t="inlineStr">
        <is>
          <t>Hymenochirus boettgeri</t>
        </is>
      </c>
      <c r="O6311" t="inlineStr">
        <is>
          <t>hypothetical protein GDO86_014360</t>
        </is>
      </c>
    </row>
    <row r="6312">
      <c r="A6312" t="inlineStr"/>
      <c r="B6312" t="inlineStr"/>
      <c r="C6312" t="inlineStr"/>
      <c r="D6312" t="inlineStr"/>
      <c r="E6312">
        <f>HYPERLINK("https://www.uniprot.org/uniprotkb/A0A8J6K3K3/entry", "A0A8J6K3K3")</f>
        <v/>
      </c>
      <c r="F6312" t="n">
        <v>72.90000000000001</v>
      </c>
      <c r="G6312" t="n">
        <v>365</v>
      </c>
      <c r="H6312" t="n">
        <v>7.030000000000001e-194</v>
      </c>
      <c r="I6312" t="inlineStr">
        <is>
          <t>TrEMBL</t>
        </is>
      </c>
      <c r="J6312" t="inlineStr">
        <is>
          <t>GDO78_004367</t>
        </is>
      </c>
      <c r="K6312" t="inlineStr">
        <is>
          <t>A0A8J6K3K3_ELECQ</t>
        </is>
      </c>
      <c r="L6312" t="inlineStr">
        <is>
          <t>tr|A0A8J6K3K3|A0A8J6K3K3_ELECQ Secernin-2 OS=Eleutherodactylus coqui OX=57060 GN=GDO78_004367 PE=3 SV=1</t>
        </is>
      </c>
      <c r="M6312" t="n">
        <v>372</v>
      </c>
      <c r="N6312" t="inlineStr">
        <is>
          <t>Eleutherodactylus coqui</t>
        </is>
      </c>
      <c r="O6312" t="inlineStr">
        <is>
          <t>Secernin-2</t>
        </is>
      </c>
    </row>
    <row r="6313">
      <c r="A6313" t="inlineStr"/>
      <c r="B6313" t="inlineStr"/>
      <c r="C6313" t="inlineStr"/>
      <c r="D6313" t="inlineStr"/>
      <c r="E6313">
        <f>HYPERLINK("https://www.uniprot.org/uniprotkb/A0A8J6JXZ8/entry", "A0A8J6JXZ8")</f>
        <v/>
      </c>
      <c r="F6313" t="n">
        <v>72.90000000000001</v>
      </c>
      <c r="G6313" t="n">
        <v>365</v>
      </c>
      <c r="H6313" t="n">
        <v>8.430000000000001e-194</v>
      </c>
      <c r="I6313" t="inlineStr">
        <is>
          <t>TrEMBL</t>
        </is>
      </c>
      <c r="J6313" t="inlineStr">
        <is>
          <t>GDO78_004367</t>
        </is>
      </c>
      <c r="K6313" t="inlineStr">
        <is>
          <t>A0A8J6JXZ8_ELECQ</t>
        </is>
      </c>
      <c r="L6313" t="inlineStr">
        <is>
          <t>tr|A0A8J6JXZ8|A0A8J6JXZ8_ELECQ Secernin-2 OS=Eleutherodactylus coqui OX=57060 GN=GDO78_004367 PE=3 SV=1</t>
        </is>
      </c>
      <c r="M6313" t="n">
        <v>377</v>
      </c>
      <c r="N6313" t="inlineStr">
        <is>
          <t>Eleutherodactylus coqui</t>
        </is>
      </c>
      <c r="O6313" t="inlineStr">
        <is>
          <t>Secernin-2</t>
        </is>
      </c>
    </row>
    <row r="6314">
      <c r="A6314" t="inlineStr"/>
      <c r="B6314" t="inlineStr"/>
      <c r="C6314" t="inlineStr"/>
      <c r="D6314" t="inlineStr"/>
      <c r="E6314">
        <f>HYPERLINK("https://www.ncbi.nlm.nih.gov/gene/?term=KAG9474034.1", "KAG9474034.1")</f>
        <v/>
      </c>
      <c r="F6314" t="n">
        <v>72.90000000000001</v>
      </c>
      <c r="G6314" t="n">
        <v>365</v>
      </c>
      <c r="H6314" t="n">
        <v>1.81e-193</v>
      </c>
      <c r="I6314" t="inlineStr">
        <is>
          <t>Nr</t>
        </is>
      </c>
      <c r="J6314" t="inlineStr"/>
      <c r="K6314" t="inlineStr"/>
      <c r="L6314" t="inlineStr">
        <is>
          <t>KAG9474034.1 hypothetical protein GDO78_004367 [Eleutherodactylus coqui]</t>
        </is>
      </c>
      <c r="M6314" t="n">
        <v>372</v>
      </c>
      <c r="N6314" t="inlineStr">
        <is>
          <t>Eleutherodactylus coqui</t>
        </is>
      </c>
      <c r="O6314" t="inlineStr">
        <is>
          <t>hypothetical protein GDO78_004367</t>
        </is>
      </c>
    </row>
    <row r="6315">
      <c r="A6315" t="inlineStr"/>
      <c r="B6315" t="inlineStr"/>
      <c r="C6315" t="inlineStr"/>
      <c r="D6315" t="inlineStr"/>
      <c r="E6315">
        <f>HYPERLINK("https://www.ncbi.nlm.nih.gov/gene/?term=KAG9474033.1", "KAG9474033.1")</f>
        <v/>
      </c>
      <c r="F6315" t="n">
        <v>72.90000000000001</v>
      </c>
      <c r="G6315" t="n">
        <v>365</v>
      </c>
      <c r="H6315" t="n">
        <v>2.16e-193</v>
      </c>
      <c r="I6315" t="inlineStr">
        <is>
          <t>Nr</t>
        </is>
      </c>
      <c r="J6315" t="inlineStr"/>
      <c r="K6315" t="inlineStr"/>
      <c r="L6315" t="inlineStr">
        <is>
          <t>KAG9474033.1 hypothetical protein GDO78_004367 [Eleutherodactylus coqui]</t>
        </is>
      </c>
      <c r="M6315" t="n">
        <v>377</v>
      </c>
      <c r="N6315" t="inlineStr">
        <is>
          <t>Eleutherodactylus coqui</t>
        </is>
      </c>
      <c r="O6315" t="inlineStr">
        <is>
          <t>hypothetical protein GDO78_004367</t>
        </is>
      </c>
    </row>
    <row r="6316">
      <c r="A6316" t="inlineStr"/>
      <c r="B6316" t="inlineStr"/>
      <c r="C6316" t="inlineStr"/>
      <c r="D6316" t="inlineStr"/>
      <c r="E6316">
        <f>HYPERLINK("https://www.ncbi.nlm.nih.gov/gene/?term=KAG8566145.1", "KAG8566145.1")</f>
        <v/>
      </c>
      <c r="F6316" t="n">
        <v>70.09999999999999</v>
      </c>
      <c r="G6316" t="n">
        <v>364</v>
      </c>
      <c r="H6316" t="n">
        <v>4.150000000000001e-185</v>
      </c>
      <c r="I6316" t="inlineStr">
        <is>
          <t>Nr</t>
        </is>
      </c>
      <c r="J6316" t="inlineStr"/>
      <c r="K6316" t="inlineStr"/>
      <c r="L6316" t="inlineStr">
        <is>
          <t>KAG8566145.1 hypothetical protein GDO81_013122 [Engystomops pustulosus]</t>
        </is>
      </c>
      <c r="M6316" t="n">
        <v>372</v>
      </c>
      <c r="N6316" t="inlineStr">
        <is>
          <t>Engystomops pustulosus</t>
        </is>
      </c>
      <c r="O6316" t="inlineStr">
        <is>
          <t>hypothetical protein GDO81_013122</t>
        </is>
      </c>
    </row>
    <row r="6317">
      <c r="A6317" t="inlineStr"/>
      <c r="B6317" t="inlineStr"/>
      <c r="C6317" t="inlineStr"/>
      <c r="D6317" t="inlineStr"/>
      <c r="E6317">
        <f>HYPERLINK("https://www.uniprot.org/uniprotkb/H0WTM9/entry", "H0WTM9")</f>
        <v/>
      </c>
      <c r="F6317" t="n">
        <v>60.8</v>
      </c>
      <c r="G6317" t="n">
        <v>416</v>
      </c>
      <c r="H6317" t="n">
        <v>3.36e-181</v>
      </c>
      <c r="I6317" t="inlineStr">
        <is>
          <t>TrEMBL</t>
        </is>
      </c>
      <c r="J6317" t="inlineStr">
        <is>
          <t>SCRN2</t>
        </is>
      </c>
      <c r="K6317" t="inlineStr">
        <is>
          <t>H0WTM9_OTOGA</t>
        </is>
      </c>
      <c r="L6317" t="inlineStr">
        <is>
          <t>tr|H0WTM9|H0WTM9_OTOGA Secernin 2 OS=Otolemur garnettii OX=30611 GN=SCRN2 PE=3 SV=1</t>
        </is>
      </c>
      <c r="M6317" t="n">
        <v>425</v>
      </c>
      <c r="N6317" t="inlineStr">
        <is>
          <t>Otolemur garnettii</t>
        </is>
      </c>
      <c r="O6317" t="inlineStr">
        <is>
          <t>Secernin 2</t>
        </is>
      </c>
    </row>
    <row r="6318">
      <c r="A6318" t="inlineStr"/>
      <c r="B6318" t="inlineStr"/>
      <c r="C6318" t="inlineStr"/>
      <c r="D6318" t="inlineStr"/>
      <c r="E6318">
        <f>HYPERLINK("https://www.uniprot.org/uniprotkb/A0A6P7ZDH6/entry", "A0A6P7ZDH6")</f>
        <v/>
      </c>
      <c r="F6318" t="n">
        <v>60.4</v>
      </c>
      <c r="G6318" t="n">
        <v>417</v>
      </c>
      <c r="H6318" t="n">
        <v>3.36e-181</v>
      </c>
      <c r="I6318" t="inlineStr">
        <is>
          <t>TrEMBL</t>
        </is>
      </c>
      <c r="J6318" t="inlineStr">
        <is>
          <t>SCRN2</t>
        </is>
      </c>
      <c r="K6318" t="inlineStr">
        <is>
          <t>A0A6P7ZDH6_9AMPH</t>
        </is>
      </c>
      <c r="L6318" t="inlineStr">
        <is>
          <t>tr|A0A6P7ZDH6|A0A6P7ZDH6_9AMPH secernin-2 isoform X2 OS=Microcaecilia unicolor OX=1415580 GN=SCRN2 PE=3 SV=1</t>
        </is>
      </c>
      <c r="M6318" t="n">
        <v>425</v>
      </c>
      <c r="N6318" t="inlineStr">
        <is>
          <t>Microcaecilia unicolor</t>
        </is>
      </c>
      <c r="O6318" t="inlineStr">
        <is>
          <t>secernin-2 isoform X2</t>
        </is>
      </c>
    </row>
    <row r="6319">
      <c r="A6319" t="inlineStr"/>
      <c r="B6319" t="inlineStr"/>
      <c r="C6319" t="inlineStr"/>
      <c r="D6319" t="inlineStr"/>
      <c r="E6319">
        <f>HYPERLINK("https://www.uniprot.org/uniprotkb/A0A6P7ZT92/entry", "A0A6P7ZT92")</f>
        <v/>
      </c>
      <c r="F6319" t="n">
        <v>60.4</v>
      </c>
      <c r="G6319" t="n">
        <v>417</v>
      </c>
      <c r="H6319" t="n">
        <v>4.46e-181</v>
      </c>
      <c r="I6319" t="inlineStr">
        <is>
          <t>TrEMBL</t>
        </is>
      </c>
      <c r="J6319" t="inlineStr">
        <is>
          <t>SCRN2</t>
        </is>
      </c>
      <c r="K6319" t="inlineStr">
        <is>
          <t>A0A6P7ZT92_9AMPH</t>
        </is>
      </c>
      <c r="L6319" t="inlineStr">
        <is>
          <t>tr|A0A6P7ZT92|A0A6P7ZT92_9AMPH secernin-2 isoform X1 OS=Microcaecilia unicolor OX=1415580 GN=SCRN2 PE=3 SV=1</t>
        </is>
      </c>
      <c r="M6319" t="n">
        <v>433</v>
      </c>
      <c r="N6319" t="inlineStr">
        <is>
          <t>Microcaecilia unicolor</t>
        </is>
      </c>
      <c r="O6319" t="inlineStr">
        <is>
          <t>secernin-2 isoform X1</t>
        </is>
      </c>
    </row>
    <row r="6320">
      <c r="A6320" t="inlineStr"/>
      <c r="B6320" t="inlineStr"/>
      <c r="C6320" t="inlineStr"/>
      <c r="D6320" t="inlineStr"/>
      <c r="E6320">
        <f>HYPERLINK("https://www.uniprot.org/uniprotkb/Q96FV2/entry", "Q96FV2")</f>
        <v/>
      </c>
      <c r="F6320" t="n">
        <v>60.6</v>
      </c>
      <c r="G6320" t="n">
        <v>416</v>
      </c>
      <c r="H6320" t="n">
        <v>4.63e-181</v>
      </c>
      <c r="I6320" t="inlineStr">
        <is>
          <t>Swiss-Prot</t>
        </is>
      </c>
      <c r="J6320" t="inlineStr">
        <is>
          <t>SCRN2</t>
        </is>
      </c>
      <c r="K6320" t="inlineStr">
        <is>
          <t>SCRN2_HUMAN</t>
        </is>
      </c>
      <c r="L6320" t="inlineStr">
        <is>
          <t>sp|Q96FV2|SCRN2_HUMAN Secernin-2 OS=Homo sapiens OX=9606 GN=SCRN2 PE=1 SV=3</t>
        </is>
      </c>
      <c r="M6320" t="n">
        <v>425</v>
      </c>
      <c r="N6320" t="inlineStr">
        <is>
          <t>Homo sapiens</t>
        </is>
      </c>
      <c r="O6320" t="inlineStr">
        <is>
          <t>Secernin-2</t>
        </is>
      </c>
    </row>
    <row r="6321">
      <c r="A6321" t="inlineStr"/>
      <c r="B6321" t="inlineStr"/>
      <c r="C6321" t="inlineStr"/>
      <c r="D6321" t="inlineStr"/>
      <c r="E6321">
        <f>HYPERLINK("https://www.uniprot.org/uniprotkb/G1QNC7/entry", "G1QNC7")</f>
        <v/>
      </c>
      <c r="F6321" t="n">
        <v>61.3</v>
      </c>
      <c r="G6321" t="n">
        <v>416</v>
      </c>
      <c r="H6321" t="n">
        <v>5.09e-181</v>
      </c>
      <c r="I6321" t="inlineStr">
        <is>
          <t>TrEMBL</t>
        </is>
      </c>
      <c r="J6321" t="inlineStr">
        <is>
          <t>SCRN2</t>
        </is>
      </c>
      <c r="K6321" t="inlineStr">
        <is>
          <t>G1QNC7_NOMLE</t>
        </is>
      </c>
      <c r="L6321" t="inlineStr">
        <is>
          <t>tr|G1QNC7|G1QNC7_NOMLE Secernin 2 OS=Nomascus leucogenys OX=61853 GN=SCRN2 PE=3 SV=3</t>
        </is>
      </c>
      <c r="M6321" t="n">
        <v>417</v>
      </c>
      <c r="N6321" t="inlineStr">
        <is>
          <t>Nomascus leucogenys</t>
        </is>
      </c>
      <c r="O6321" t="inlineStr">
        <is>
          <t>Secernin 2</t>
        </is>
      </c>
    </row>
    <row r="6322">
      <c r="A6322" t="inlineStr"/>
      <c r="B6322" t="inlineStr"/>
      <c r="C6322" t="inlineStr"/>
      <c r="D6322" t="inlineStr"/>
      <c r="E6322">
        <f>HYPERLINK("https://www.ncbi.nlm.nih.gov/gene/?term=XP_023366913.1", "XP_023366913.1")</f>
        <v/>
      </c>
      <c r="F6322" t="n">
        <v>60.8</v>
      </c>
      <c r="G6322" t="n">
        <v>416</v>
      </c>
      <c r="H6322" t="n">
        <v>8.63e-181</v>
      </c>
      <c r="I6322" t="inlineStr">
        <is>
          <t>Nr</t>
        </is>
      </c>
      <c r="J6322" t="inlineStr"/>
      <c r="K6322" t="inlineStr"/>
      <c r="L6322" t="inlineStr">
        <is>
          <t>XP_023366913.1 secernin-2 isoform X2 [Otolemur garnettii]</t>
        </is>
      </c>
      <c r="M6322" t="n">
        <v>425</v>
      </c>
      <c r="N6322" t="inlineStr">
        <is>
          <t>Otolemur garnettii</t>
        </is>
      </c>
      <c r="O6322" t="inlineStr">
        <is>
          <t>secernin-2 isoform X2</t>
        </is>
      </c>
    </row>
    <row r="6323">
      <c r="A6323" t="inlineStr"/>
      <c r="B6323" t="inlineStr"/>
      <c r="C6323" t="inlineStr"/>
      <c r="D6323" t="inlineStr"/>
      <c r="E6323">
        <f>HYPERLINK("https://www.ncbi.nlm.nih.gov/gene/?term=XP_030077412.1", "XP_030077412.1")</f>
        <v/>
      </c>
      <c r="F6323" t="n">
        <v>60.4</v>
      </c>
      <c r="G6323" t="n">
        <v>417</v>
      </c>
      <c r="H6323" t="n">
        <v>8.63e-181</v>
      </c>
      <c r="I6323" t="inlineStr">
        <is>
          <t>Nr</t>
        </is>
      </c>
      <c r="J6323" t="inlineStr"/>
      <c r="K6323" t="inlineStr"/>
      <c r="L6323" t="inlineStr">
        <is>
          <t>XP_030077412.1 secernin-2 isoform X2 [Microcaecilia unicolor]</t>
        </is>
      </c>
      <c r="M6323" t="n">
        <v>425</v>
      </c>
      <c r="N6323" t="inlineStr">
        <is>
          <t>Microcaecilia unicolor</t>
        </is>
      </c>
      <c r="O6323" t="inlineStr">
        <is>
          <t>secernin-2 isoform X2</t>
        </is>
      </c>
    </row>
    <row r="6324">
      <c r="A6324" t="inlineStr"/>
      <c r="B6324" t="inlineStr"/>
      <c r="C6324" t="inlineStr"/>
      <c r="D6324" t="inlineStr"/>
      <c r="E6324">
        <f>HYPERLINK("https://www.ncbi.nlm.nih.gov/gene/?term=XP_030077411.1", "XP_030077411.1")</f>
        <v/>
      </c>
      <c r="F6324" t="n">
        <v>60.4</v>
      </c>
      <c r="G6324" t="n">
        <v>417</v>
      </c>
      <c r="H6324" t="n">
        <v>1.15e-180</v>
      </c>
      <c r="I6324" t="inlineStr">
        <is>
          <t>Nr</t>
        </is>
      </c>
      <c r="J6324" t="inlineStr"/>
      <c r="K6324" t="inlineStr"/>
      <c r="L6324" t="inlineStr">
        <is>
          <t>XP_030077411.1 secernin-2 isoform X1 [Microcaecilia unicolor]</t>
        </is>
      </c>
      <c r="M6324" t="n">
        <v>433</v>
      </c>
      <c r="N6324" t="inlineStr">
        <is>
          <t>Microcaecilia unicolor</t>
        </is>
      </c>
      <c r="O6324" t="inlineStr">
        <is>
          <t>secernin-2 isoform X1</t>
        </is>
      </c>
    </row>
    <row r="6325">
      <c r="A6325" t="inlineStr"/>
      <c r="B6325" t="inlineStr"/>
      <c r="C6325" t="inlineStr"/>
      <c r="D6325" t="inlineStr"/>
      <c r="E6325">
        <f>HYPERLINK("https://www.ncbi.nlm.nih.gov/gene/?term=XP_030663848.1", "XP_030663848.1")</f>
        <v/>
      </c>
      <c r="F6325" t="n">
        <v>61.3</v>
      </c>
      <c r="G6325" t="n">
        <v>416</v>
      </c>
      <c r="H6325" t="n">
        <v>1.74e-180</v>
      </c>
      <c r="I6325" t="inlineStr">
        <is>
          <t>Nr</t>
        </is>
      </c>
      <c r="J6325" t="inlineStr"/>
      <c r="K6325" t="inlineStr"/>
      <c r="L6325" t="inlineStr">
        <is>
          <t>XP_030663848.1 secernin-2 isoform X1 [Nomascus leucogenys]</t>
        </is>
      </c>
      <c r="M6325" t="n">
        <v>425</v>
      </c>
      <c r="N6325" t="inlineStr">
        <is>
          <t>Nomascus leucogenys</t>
        </is>
      </c>
      <c r="O6325" t="inlineStr">
        <is>
          <t>secernin-2 isoform X1</t>
        </is>
      </c>
    </row>
    <row r="6326">
      <c r="A6326" t="inlineStr"/>
      <c r="B6326" t="inlineStr"/>
      <c r="C6326" t="inlineStr"/>
      <c r="D6326" t="inlineStr"/>
      <c r="E6326">
        <f>HYPERLINK("https://www.ncbi.nlm.nih.gov/gene/?term=XP_037349622.1", "XP_037349622.1")</f>
        <v/>
      </c>
      <c r="F6326" t="n">
        <v>60.8</v>
      </c>
      <c r="G6326" t="n">
        <v>416</v>
      </c>
      <c r="H6326" t="n">
        <v>1.74e-180</v>
      </c>
      <c r="I6326" t="inlineStr">
        <is>
          <t>Nr</t>
        </is>
      </c>
      <c r="J6326" t="inlineStr"/>
      <c r="K6326" t="inlineStr"/>
      <c r="L6326" t="inlineStr">
        <is>
          <t>XP_037349622.1 secernin-2 [Talpa occidentalis]</t>
        </is>
      </c>
      <c r="M6326" t="n">
        <v>425</v>
      </c>
      <c r="N6326" t="inlineStr">
        <is>
          <t>Talpa occidentalis</t>
        </is>
      </c>
      <c r="O6326" t="inlineStr">
        <is>
          <t>secernin-2</t>
        </is>
      </c>
    </row>
    <row r="6327">
      <c r="A6327" t="inlineStr"/>
      <c r="B6327" t="inlineStr"/>
      <c r="C6327" t="inlineStr"/>
      <c r="D6327" t="inlineStr"/>
      <c r="E6327">
        <f>HYPERLINK("https://www.uniprot.org/uniprotkb/A0A1S3A6A2/entry", "A0A1S3A6A2")</f>
        <v/>
      </c>
      <c r="F6327" t="n">
        <v>60.6</v>
      </c>
      <c r="G6327" t="n">
        <v>416</v>
      </c>
      <c r="H6327" t="n">
        <v>5.509999999999999e-180</v>
      </c>
      <c r="I6327" t="inlineStr">
        <is>
          <t>TrEMBL</t>
        </is>
      </c>
      <c r="J6327" t="inlineStr">
        <is>
          <t>SCRN2</t>
        </is>
      </c>
      <c r="K6327" t="inlineStr">
        <is>
          <t>A0A1S3A6A2_ERIEU</t>
        </is>
      </c>
      <c r="L6327" t="inlineStr">
        <is>
          <t>tr|A0A1S3A6A2|A0A1S3A6A2_ERIEU secernin-2 isoform X2 OS=Erinaceus europaeus OX=9365 GN=SCRN2 PE=3 SV=1</t>
        </is>
      </c>
      <c r="M6327" t="n">
        <v>425</v>
      </c>
      <c r="N6327" t="inlineStr">
        <is>
          <t>Erinaceus europaeus</t>
        </is>
      </c>
      <c r="O6327" t="inlineStr">
        <is>
          <t>secernin-2 isoform X2</t>
        </is>
      </c>
    </row>
    <row r="6328">
      <c r="A6328" t="inlineStr"/>
      <c r="B6328" t="inlineStr"/>
      <c r="C6328" t="inlineStr"/>
      <c r="D6328" t="inlineStr"/>
      <c r="E6328">
        <f>HYPERLINK("https://www.uniprot.org/uniprotkb/A0A1U7S2L3/entry", "A0A1U7S2L3")</f>
        <v/>
      </c>
      <c r="F6328" t="n">
        <v>59.4</v>
      </c>
      <c r="G6328" t="n">
        <v>419</v>
      </c>
      <c r="H6328" t="n">
        <v>7.819999999999999e-180</v>
      </c>
      <c r="I6328" t="inlineStr">
        <is>
          <t>TrEMBL</t>
        </is>
      </c>
      <c r="J6328" t="inlineStr">
        <is>
          <t>SCRN2</t>
        </is>
      </c>
      <c r="K6328" t="inlineStr">
        <is>
          <t>A0A1U7S2L3_ALLSI</t>
        </is>
      </c>
      <c r="L6328" t="inlineStr">
        <is>
          <t>tr|A0A1U7S2L3|A0A1U7S2L3_ALLSI secernin-2 isoform X2 OS=Alligator sinensis OX=38654 GN=SCRN2 PE=3 SV=1</t>
        </is>
      </c>
      <c r="M6328" t="n">
        <v>425</v>
      </c>
      <c r="N6328" t="inlineStr">
        <is>
          <t>Alligator sinensis</t>
        </is>
      </c>
      <c r="O6328" t="inlineStr">
        <is>
          <t>secernin-2 isoform X2</t>
        </is>
      </c>
    </row>
    <row r="6329">
      <c r="A6329" t="inlineStr"/>
      <c r="B6329" t="inlineStr"/>
      <c r="C6329" t="inlineStr"/>
      <c r="D6329" t="inlineStr"/>
      <c r="E6329">
        <f>HYPERLINK("https://www.ncbi.nlm.nih.gov/gene/?term=XP_004684337.1", "XP_004684337.1")</f>
        <v/>
      </c>
      <c r="F6329" t="n">
        <v>60.3</v>
      </c>
      <c r="G6329" t="n">
        <v>416</v>
      </c>
      <c r="H6329" t="n">
        <v>9.98e-180</v>
      </c>
      <c r="I6329" t="inlineStr">
        <is>
          <t>Nr</t>
        </is>
      </c>
      <c r="J6329" t="inlineStr"/>
      <c r="K6329" t="inlineStr"/>
      <c r="L6329" t="inlineStr">
        <is>
          <t>XP_004684337.1 PREDICTED: secernin-2 [Condylura cristata]</t>
        </is>
      </c>
      <c r="M6329" t="n">
        <v>425</v>
      </c>
      <c r="N6329" t="inlineStr">
        <is>
          <t>Condylura cristata</t>
        </is>
      </c>
      <c r="O6329" t="inlineStr">
        <is>
          <t>PREDICTED: secernin-2</t>
        </is>
      </c>
    </row>
    <row r="6330">
      <c r="A6330" t="inlineStr"/>
      <c r="B6330" t="inlineStr"/>
      <c r="C6330" t="inlineStr"/>
      <c r="D6330" t="inlineStr"/>
      <c r="E6330">
        <f>HYPERLINK("https://www.uniprot.org/uniprotkb/A0A8B7GFE3/entry", "A0A8B7GFE3")</f>
        <v/>
      </c>
      <c r="F6330" t="n">
        <v>60.8</v>
      </c>
      <c r="G6330" t="n">
        <v>416</v>
      </c>
      <c r="H6330" t="n">
        <v>1.11e-179</v>
      </c>
      <c r="I6330" t="inlineStr">
        <is>
          <t>TrEMBL</t>
        </is>
      </c>
      <c r="J6330" t="inlineStr">
        <is>
          <t>SCRN2</t>
        </is>
      </c>
      <c r="K6330" t="inlineStr">
        <is>
          <t>A0A8B7GFE3_MICMU</t>
        </is>
      </c>
      <c r="L6330" t="inlineStr">
        <is>
          <t>tr|A0A8B7GFE3|A0A8B7GFE3_MICMU Secernin 2 OS=Microcebus murinus OX=30608 GN=SCRN2 PE=3 SV=1</t>
        </is>
      </c>
      <c r="M6330" t="n">
        <v>425</v>
      </c>
      <c r="N6330" t="inlineStr">
        <is>
          <t>Microcebus murinus</t>
        </is>
      </c>
      <c r="O6330" t="inlineStr">
        <is>
          <t>Secernin 2</t>
        </is>
      </c>
    </row>
    <row r="6331">
      <c r="A6331" t="inlineStr"/>
      <c r="B6331" t="inlineStr"/>
      <c r="C6331" t="inlineStr"/>
      <c r="D6331" t="inlineStr"/>
      <c r="E6331">
        <f>HYPERLINK("https://www.uniprot.org/uniprotkb/A0A6P6EPH8/entry", "A0A6P6EPH8")</f>
        <v/>
      </c>
      <c r="F6331" t="n">
        <v>61.4</v>
      </c>
      <c r="G6331" t="n">
        <v>417</v>
      </c>
      <c r="H6331" t="n">
        <v>1.15e-179</v>
      </c>
      <c r="I6331" t="inlineStr">
        <is>
          <t>TrEMBL</t>
        </is>
      </c>
      <c r="J6331" t="inlineStr">
        <is>
          <t>Scrn2</t>
        </is>
      </c>
      <c r="K6331" t="inlineStr">
        <is>
          <t>A0A6P6EPH8_OCTDE</t>
        </is>
      </c>
      <c r="L6331" t="inlineStr">
        <is>
          <t>tr|A0A6P6EPH8|A0A6P6EPH8_OCTDE secernin-2 isoform X1 OS=Octodon degus OX=10160 GN=Scrn2 PE=3 SV=1</t>
        </is>
      </c>
      <c r="M6331" t="n">
        <v>426</v>
      </c>
      <c r="N6331" t="inlineStr">
        <is>
          <t>Octodon degus</t>
        </is>
      </c>
      <c r="O6331" t="inlineStr">
        <is>
          <t>secernin-2 isoform X1</t>
        </is>
      </c>
    </row>
    <row r="6332">
      <c r="A6332" t="inlineStr"/>
      <c r="B6332" t="inlineStr"/>
      <c r="C6332" t="inlineStr"/>
      <c r="D6332" t="inlineStr"/>
      <c r="E6332">
        <f>HYPERLINK("https://www.uniprot.org/uniprotkb/A0A1U7S048/entry", "A0A1U7S048")</f>
        <v/>
      </c>
      <c r="F6332" t="n">
        <v>59.4</v>
      </c>
      <c r="G6332" t="n">
        <v>419</v>
      </c>
      <c r="H6332" t="n">
        <v>1.28e-179</v>
      </c>
      <c r="I6332" t="inlineStr">
        <is>
          <t>TrEMBL</t>
        </is>
      </c>
      <c r="J6332" t="inlineStr">
        <is>
          <t>SCRN2</t>
        </is>
      </c>
      <c r="K6332" t="inlineStr">
        <is>
          <t>A0A1U7S048_ALLSI</t>
        </is>
      </c>
      <c r="L6332" t="inlineStr">
        <is>
          <t>tr|A0A1U7S048|A0A1U7S048_ALLSI secernin-2 isoform X1 OS=Alligator sinensis OX=38654 GN=SCRN2 PE=3 SV=1</t>
        </is>
      </c>
      <c r="M6332" t="n">
        <v>439</v>
      </c>
      <c r="N6332" t="inlineStr">
        <is>
          <t>Alligator sinensis</t>
        </is>
      </c>
      <c r="O6332" t="inlineStr">
        <is>
          <t>secernin-2 isoform X1</t>
        </is>
      </c>
    </row>
    <row r="6333">
      <c r="A6333" t="inlineStr"/>
      <c r="B6333" t="inlineStr"/>
      <c r="C6333" t="inlineStr"/>
      <c r="D6333" t="inlineStr"/>
      <c r="E6333">
        <f>HYPERLINK("https://www.ncbi.nlm.nih.gov/gene/?term=XP_045382263.1", "XP_045382263.1")</f>
        <v/>
      </c>
      <c r="F6333" t="n">
        <v>61.1</v>
      </c>
      <c r="G6333" t="n">
        <v>416</v>
      </c>
      <c r="H6333" t="n">
        <v>1.42e-179</v>
      </c>
      <c r="I6333" t="inlineStr">
        <is>
          <t>Nr</t>
        </is>
      </c>
      <c r="J6333" t="inlineStr"/>
      <c r="K6333" t="inlineStr"/>
      <c r="L6333" t="inlineStr">
        <is>
          <t>XP_045382263.1 secernin-2 isoform X2 [Lemur catta]</t>
        </is>
      </c>
      <c r="M6333" t="n">
        <v>425</v>
      </c>
      <c r="N6333" t="inlineStr">
        <is>
          <t>Lemur catta</t>
        </is>
      </c>
      <c r="O6333" t="inlineStr">
        <is>
          <t>secernin-2 isoform X2</t>
        </is>
      </c>
    </row>
    <row r="6334">
      <c r="A6334" t="inlineStr"/>
      <c r="B6334" t="inlineStr"/>
      <c r="C6334" t="inlineStr"/>
      <c r="D6334" t="inlineStr"/>
      <c r="E6334">
        <f>HYPERLINK("https://www.uniprot.org/uniprotkb/A0A7J7EJF4/entry", "A0A7J7EJF4")</f>
        <v/>
      </c>
      <c r="F6334" t="n">
        <v>60.9</v>
      </c>
      <c r="G6334" t="n">
        <v>417</v>
      </c>
      <c r="H6334" t="n">
        <v>1.57e-179</v>
      </c>
      <c r="I6334" t="inlineStr">
        <is>
          <t>TrEMBL</t>
        </is>
      </c>
      <c r="J6334" t="inlineStr">
        <is>
          <t>HPG69_002982</t>
        </is>
      </c>
      <c r="K6334" t="inlineStr">
        <is>
          <t>A0A7J7EJF4_DICBM</t>
        </is>
      </c>
      <c r="L6334" t="inlineStr">
        <is>
          <t>tr|A0A7J7EJF4|A0A7J7EJF4_DICBM Secernin-2 OS=Diceros bicornis minor OX=77932 GN=HPG69_002982 PE=3 SV=1</t>
        </is>
      </c>
      <c r="M6334" t="n">
        <v>425</v>
      </c>
      <c r="N6334" t="inlineStr">
        <is>
          <t>Diceros bicornis minor</t>
        </is>
      </c>
      <c r="O6334" t="inlineStr">
        <is>
          <t>Secernin-2</t>
        </is>
      </c>
    </row>
    <row r="6335">
      <c r="A6335" t="inlineStr"/>
      <c r="B6335" t="inlineStr"/>
      <c r="C6335" t="inlineStr"/>
      <c r="D6335" t="inlineStr"/>
      <c r="E6335">
        <f>HYPERLINK("https://www.uniprot.org/uniprotkb/K9ISD8/entry", "K9ISD8")</f>
        <v/>
      </c>
      <c r="F6335" t="n">
        <v>60.3</v>
      </c>
      <c r="G6335" t="n">
        <v>416</v>
      </c>
      <c r="H6335" t="n">
        <v>1.94e-179</v>
      </c>
      <c r="I6335" t="inlineStr">
        <is>
          <t>TrEMBL</t>
        </is>
      </c>
      <c r="J6335" t="inlineStr"/>
      <c r="K6335" t="inlineStr">
        <is>
          <t>K9ISD8_DESRO</t>
        </is>
      </c>
      <c r="L6335" t="inlineStr">
        <is>
          <t>tr|K9ISD8|K9ISD8_DESRO Putative dipeptidase amino acid transport and metabolism (Fragment) OS=Desmodus rotundus OX=9430 PE=2 SV=1</t>
        </is>
      </c>
      <c r="M6335" t="n">
        <v>421</v>
      </c>
      <c r="N6335" t="inlineStr">
        <is>
          <t>Desmodus rotundus</t>
        </is>
      </c>
      <c r="O6335" t="inlineStr">
        <is>
          <t>Putative dipeptidase amino acid transport and metabolism (Fragment)</t>
        </is>
      </c>
    </row>
    <row r="6336">
      <c r="A6336" t="inlineStr"/>
      <c r="B6336" t="inlineStr"/>
      <c r="C6336" t="inlineStr"/>
      <c r="D6336" t="inlineStr"/>
      <c r="E6336">
        <f>HYPERLINK("https://www.uniprot.org/uniprotkb/A0A8C8Z4T9/entry", "A0A8C8Z4T9")</f>
        <v/>
      </c>
      <c r="F6336" t="n">
        <v>61.1</v>
      </c>
      <c r="G6336" t="n">
        <v>416</v>
      </c>
      <c r="H6336" t="n">
        <v>1.95e-179</v>
      </c>
      <c r="I6336" t="inlineStr">
        <is>
          <t>TrEMBL</t>
        </is>
      </c>
      <c r="J6336" t="inlineStr">
        <is>
          <t>SCRN2</t>
        </is>
      </c>
      <c r="K6336" t="inlineStr">
        <is>
          <t>A0A8C8Z4T9_PROSS</t>
        </is>
      </c>
      <c r="L6336" t="inlineStr">
        <is>
          <t>tr|A0A8C8Z4T9|A0A8C8Z4T9_PROSS Secernin 2 OS=Prolemur simus OX=1328070 GN=SCRN2 PE=3 SV=1</t>
        </is>
      </c>
      <c r="M6336" t="n">
        <v>441</v>
      </c>
      <c r="N6336" t="inlineStr">
        <is>
          <t>Prolemur simus</t>
        </is>
      </c>
      <c r="O6336" t="inlineStr">
        <is>
          <t>Secernin 2</t>
        </is>
      </c>
    </row>
    <row r="6337">
      <c r="A6337" t="inlineStr"/>
      <c r="B6337" t="inlineStr"/>
      <c r="C6337" t="inlineStr"/>
      <c r="D6337" t="inlineStr"/>
      <c r="E6337">
        <f>HYPERLINK("https://www.uniprot.org/uniprotkb/A0A3Q7S9I9/entry", "A0A3Q7S9I9")</f>
        <v/>
      </c>
      <c r="F6337" t="n">
        <v>60.6</v>
      </c>
      <c r="G6337" t="n">
        <v>416</v>
      </c>
      <c r="H6337" t="n">
        <v>3.17e-179</v>
      </c>
      <c r="I6337" t="inlineStr">
        <is>
          <t>TrEMBL</t>
        </is>
      </c>
      <c r="J6337" t="inlineStr">
        <is>
          <t>SCRN2</t>
        </is>
      </c>
      <c r="K6337" t="inlineStr">
        <is>
          <t>A0A3Q7S9I9_VULVU</t>
        </is>
      </c>
      <c r="L6337" t="inlineStr">
        <is>
          <t>tr|A0A3Q7S9I9|A0A3Q7S9I9_VULVU secernin-2 OS=Vulpes vulpes OX=9627 GN=SCRN2 PE=3 SV=1</t>
        </is>
      </c>
      <c r="M6337" t="n">
        <v>425</v>
      </c>
      <c r="N6337" t="inlineStr">
        <is>
          <t>Vulpes vulpes</t>
        </is>
      </c>
      <c r="O6337" t="inlineStr">
        <is>
          <t>secernin-2</t>
        </is>
      </c>
    </row>
    <row r="6338">
      <c r="A6338" t="inlineStr"/>
      <c r="B6338" t="inlineStr"/>
      <c r="C6338" t="inlineStr"/>
      <c r="D6338" t="inlineStr"/>
      <c r="E6338">
        <f>HYPERLINK("https://www.uniprot.org/uniprotkb/G3QPG3/entry", "G3QPG3")</f>
        <v/>
      </c>
      <c r="F6338" t="n">
        <v>60.8</v>
      </c>
      <c r="G6338" t="n">
        <v>416</v>
      </c>
      <c r="H6338" t="n">
        <v>5.96e-179</v>
      </c>
      <c r="I6338" t="inlineStr">
        <is>
          <t>TrEMBL</t>
        </is>
      </c>
      <c r="J6338" t="inlineStr">
        <is>
          <t>SCRN2</t>
        </is>
      </c>
      <c r="K6338" t="inlineStr">
        <is>
          <t>G3QPG3_GORGO</t>
        </is>
      </c>
      <c r="L6338" t="inlineStr">
        <is>
          <t>tr|G3QPG3|G3QPG3_GORGO Secernin 2 OS=Gorilla gorilla gorilla OX=9595 GN=SCRN2 PE=3 SV=2</t>
        </is>
      </c>
      <c r="M6338" t="n">
        <v>433</v>
      </c>
      <c r="N6338" t="inlineStr">
        <is>
          <t>Gorilla gorilla gorilla</t>
        </is>
      </c>
      <c r="O6338" t="inlineStr">
        <is>
          <t>Secernin 2</t>
        </is>
      </c>
    </row>
    <row r="6339">
      <c r="A6339" t="inlineStr"/>
      <c r="B6339" t="inlineStr"/>
      <c r="C6339" t="inlineStr"/>
      <c r="D6339" t="inlineStr"/>
      <c r="E6339">
        <f>HYPERLINK("https://www.uniprot.org/uniprotkb/A0A7M4EHP9/entry", "A0A7M4EHP9")</f>
        <v/>
      </c>
      <c r="F6339" t="n">
        <v>58.7</v>
      </c>
      <c r="G6339" t="n">
        <v>419</v>
      </c>
      <c r="H6339" t="n">
        <v>6.370000000000001e-179</v>
      </c>
      <c r="I6339" t="inlineStr">
        <is>
          <t>TrEMBL</t>
        </is>
      </c>
      <c r="J6339" t="inlineStr">
        <is>
          <t>SCRN2</t>
        </is>
      </c>
      <c r="K6339" t="inlineStr">
        <is>
          <t>A0A7M4EHP9_CROPO</t>
        </is>
      </c>
      <c r="L6339" t="inlineStr">
        <is>
          <t>tr|A0A7M4EHP9|A0A7M4EHP9_CROPO Secernin 2 OS=Crocodylus porosus OX=8502 GN=SCRN2 PE=3 SV=1</t>
        </is>
      </c>
      <c r="M6339" t="n">
        <v>425</v>
      </c>
      <c r="N6339" t="inlineStr">
        <is>
          <t>Crocodylus porosus</t>
        </is>
      </c>
      <c r="O6339" t="inlineStr">
        <is>
          <t>Secernin 2</t>
        </is>
      </c>
    </row>
    <row r="6340">
      <c r="A6340" t="inlineStr"/>
      <c r="B6340" t="inlineStr"/>
      <c r="C6340" t="inlineStr"/>
      <c r="D6340" t="inlineStr"/>
      <c r="E6340">
        <f>HYPERLINK("https://www.uniprot.org/uniprotkb/Q8VCA8/entry", "Q8VCA8")</f>
        <v/>
      </c>
      <c r="F6340" t="n">
        <v>59.9</v>
      </c>
      <c r="G6340" t="n">
        <v>416</v>
      </c>
      <c r="H6340" t="n">
        <v>6.72e-176</v>
      </c>
      <c r="I6340" t="inlineStr">
        <is>
          <t>Swiss-Prot</t>
        </is>
      </c>
      <c r="J6340" t="inlineStr">
        <is>
          <t>Scrn2</t>
        </is>
      </c>
      <c r="K6340" t="inlineStr">
        <is>
          <t>SCRN2_MOUSE</t>
        </is>
      </c>
      <c r="L6340" t="inlineStr">
        <is>
          <t>sp|Q8VCA8|SCRN2_MOUSE Secernin-2 OS=Mus musculus OX=10090 GN=Scrn2 PE=1 SV=1</t>
        </is>
      </c>
      <c r="M6340" t="n">
        <v>425</v>
      </c>
      <c r="N6340" t="inlineStr">
        <is>
          <t>Mus musculus</t>
        </is>
      </c>
      <c r="O6340" t="inlineStr">
        <is>
          <t>Secernin-2</t>
        </is>
      </c>
    </row>
    <row r="6341">
      <c r="A6341" t="inlineStr"/>
      <c r="B6341" t="inlineStr"/>
      <c r="C6341" t="inlineStr"/>
      <c r="D6341" t="inlineStr"/>
      <c r="E6341">
        <f>HYPERLINK("https://www.uniprot.org/uniprotkb/Q6AYR8/entry", "Q6AYR8")</f>
        <v/>
      </c>
      <c r="F6341" t="n">
        <v>59.9</v>
      </c>
      <c r="G6341" t="n">
        <v>416</v>
      </c>
      <c r="H6341" t="n">
        <v>5.89e-174</v>
      </c>
      <c r="I6341" t="inlineStr">
        <is>
          <t>Swiss-Prot</t>
        </is>
      </c>
      <c r="J6341" t="inlineStr">
        <is>
          <t>Scrn2</t>
        </is>
      </c>
      <c r="K6341" t="inlineStr">
        <is>
          <t>SCRN2_RAT</t>
        </is>
      </c>
      <c r="L6341" t="inlineStr">
        <is>
          <t>sp|Q6AYR8|SCRN2_RAT Secernin-2 OS=Rattus norvegicus OX=10116 GN=Scrn2 PE=2 SV=1</t>
        </is>
      </c>
      <c r="M6341" t="n">
        <v>423</v>
      </c>
      <c r="N6341" t="inlineStr">
        <is>
          <t>Rattus norvegicus</t>
        </is>
      </c>
      <c r="O6341" t="inlineStr">
        <is>
          <t>Secernin-2</t>
        </is>
      </c>
    </row>
    <row r="6342">
      <c r="A6342" t="inlineStr"/>
      <c r="B6342" t="inlineStr"/>
      <c r="C6342" t="inlineStr"/>
      <c r="D6342" t="inlineStr"/>
      <c r="E6342">
        <f>HYPERLINK("https://www.uniprot.org/uniprotkb/Q5TYS5/entry", "Q5TYS5")</f>
        <v/>
      </c>
      <c r="F6342" t="n">
        <v>56</v>
      </c>
      <c r="G6342" t="n">
        <v>418</v>
      </c>
      <c r="H6342" t="n">
        <v>2.48e-161</v>
      </c>
      <c r="I6342" t="inlineStr">
        <is>
          <t>Swiss-Prot</t>
        </is>
      </c>
      <c r="J6342" t="inlineStr">
        <is>
          <t>scrn2</t>
        </is>
      </c>
      <c r="K6342" t="inlineStr">
        <is>
          <t>SCRN2_DANRE</t>
        </is>
      </c>
      <c r="L6342" t="inlineStr">
        <is>
          <t>sp|Q5TYS5|SCRN2_DANRE Secernin-2 OS=Danio rerio OX=7955 GN=scrn2 PE=2 SV=1</t>
        </is>
      </c>
      <c r="M6342" t="n">
        <v>415</v>
      </c>
      <c r="N6342" t="inlineStr">
        <is>
          <t>Danio rerio</t>
        </is>
      </c>
      <c r="O6342" t="inlineStr">
        <is>
          <t>Secernin-2</t>
        </is>
      </c>
    </row>
    <row r="6343">
      <c r="A6343" t="inlineStr"/>
      <c r="B6343" t="inlineStr"/>
      <c r="C6343" t="inlineStr"/>
      <c r="D6343" t="inlineStr"/>
      <c r="E6343">
        <f>HYPERLINK("https://www.uniprot.org/uniprotkb/Q803W1/entry", "Q803W1")</f>
        <v/>
      </c>
      <c r="F6343" t="n">
        <v>52.9</v>
      </c>
      <c r="G6343" t="n">
        <v>420</v>
      </c>
      <c r="H6343" t="n">
        <v>2.49e-144</v>
      </c>
      <c r="I6343" t="inlineStr">
        <is>
          <t>Swiss-Prot</t>
        </is>
      </c>
      <c r="J6343" t="inlineStr">
        <is>
          <t>scrn3</t>
        </is>
      </c>
      <c r="K6343" t="inlineStr">
        <is>
          <t>SCRN3_DANRE</t>
        </is>
      </c>
      <c r="L6343" t="inlineStr">
        <is>
          <t>sp|Q803W1|SCRN3_DANRE Secernin-3 OS=Danio rerio OX=7955 GN=scrn3 PE=2 SV=1</t>
        </is>
      </c>
      <c r="M6343" t="n">
        <v>417</v>
      </c>
      <c r="N6343" t="inlineStr">
        <is>
          <t>Danio rerio</t>
        </is>
      </c>
      <c r="O6343" t="inlineStr">
        <is>
          <t>Secernin-3</t>
        </is>
      </c>
    </row>
    <row r="6344">
      <c r="A6344" t="inlineStr"/>
      <c r="B6344" t="inlineStr"/>
      <c r="C6344" t="inlineStr"/>
      <c r="D6344" t="inlineStr"/>
      <c r="E6344">
        <f>HYPERLINK("https://www.uniprot.org/uniprotkb/Q17QS0/entry", "Q17QS0")</f>
        <v/>
      </c>
      <c r="F6344" t="n">
        <v>50.2</v>
      </c>
      <c r="G6344" t="n">
        <v>424</v>
      </c>
      <c r="H6344" t="n">
        <v>3.6e-140</v>
      </c>
      <c r="I6344" t="inlineStr">
        <is>
          <t>Swiss-Prot</t>
        </is>
      </c>
      <c r="J6344" t="inlineStr">
        <is>
          <t>SCRN3</t>
        </is>
      </c>
      <c r="K6344" t="inlineStr">
        <is>
          <t>SCRN3_BOVIN</t>
        </is>
      </c>
      <c r="L6344" t="inlineStr">
        <is>
          <t>sp|Q17QS0|SCRN3_BOVIN Secernin-3 OS=Bos taurus OX=9913 GN=SCRN3 PE=2 SV=1</t>
        </is>
      </c>
      <c r="M6344" t="n">
        <v>422</v>
      </c>
      <c r="N6344" t="inlineStr">
        <is>
          <t>Bos taurus</t>
        </is>
      </c>
      <c r="O6344" t="inlineStr">
        <is>
          <t>Secernin-3</t>
        </is>
      </c>
    </row>
    <row r="6345">
      <c r="A6345" t="inlineStr"/>
      <c r="B6345" t="inlineStr"/>
      <c r="C6345" t="inlineStr"/>
      <c r="D6345" t="inlineStr"/>
      <c r="E6345">
        <f>HYPERLINK("https://www.uniprot.org/uniprotkb/Q0VDG4/entry", "Q0VDG4")</f>
        <v/>
      </c>
      <c r="F6345" t="n">
        <v>49.4</v>
      </c>
      <c r="G6345" t="n">
        <v>419</v>
      </c>
      <c r="H6345" t="n">
        <v>5.789999999999999e-137</v>
      </c>
      <c r="I6345" t="inlineStr">
        <is>
          <t>Swiss-Prot</t>
        </is>
      </c>
      <c r="J6345" t="inlineStr">
        <is>
          <t>SCRN3</t>
        </is>
      </c>
      <c r="K6345" t="inlineStr">
        <is>
          <t>SCRN3_HUMAN</t>
        </is>
      </c>
      <c r="L6345" t="inlineStr">
        <is>
          <t>sp|Q0VDG4|SCRN3_HUMAN Secernin-3 OS=Homo sapiens OX=9606 GN=SCRN3 PE=1 SV=1</t>
        </is>
      </c>
      <c r="M6345" t="n">
        <v>424</v>
      </c>
      <c r="N6345" t="inlineStr">
        <is>
          <t>Homo sapiens</t>
        </is>
      </c>
      <c r="O6345" t="inlineStr">
        <is>
          <t>Secernin-3</t>
        </is>
      </c>
    </row>
    <row r="6346">
      <c r="A6346" t="inlineStr"/>
      <c r="B6346" t="inlineStr"/>
      <c r="C6346" t="inlineStr"/>
      <c r="D6346" t="inlineStr"/>
      <c r="E6346">
        <f>HYPERLINK("https://www.uniprot.org/uniprotkb/Q3TMH2/entry", "Q3TMH2")</f>
        <v/>
      </c>
      <c r="F6346" t="n">
        <v>50.9</v>
      </c>
      <c r="G6346" t="n">
        <v>424</v>
      </c>
      <c r="H6346" t="n">
        <v>8.8e-135</v>
      </c>
      <c r="I6346" t="inlineStr">
        <is>
          <t>Swiss-Prot</t>
        </is>
      </c>
      <c r="J6346" t="inlineStr">
        <is>
          <t>Scrn3</t>
        </is>
      </c>
      <c r="K6346" t="inlineStr">
        <is>
          <t>SCRN3_MOUSE</t>
        </is>
      </c>
      <c r="L6346" t="inlineStr">
        <is>
          <t>sp|Q3TMH2|SCRN3_MOUSE Secernin-3 OS=Mus musculus OX=10090 GN=Scrn3 PE=1 SV=1</t>
        </is>
      </c>
      <c r="M6346" t="n">
        <v>418</v>
      </c>
      <c r="N6346" t="inlineStr">
        <is>
          <t>Mus musculus</t>
        </is>
      </c>
      <c r="O6346" t="inlineStr">
        <is>
          <t>Secernin-3</t>
        </is>
      </c>
    </row>
    <row r="6347">
      <c r="A6347" t="inlineStr"/>
      <c r="B6347" t="inlineStr"/>
      <c r="C6347" t="inlineStr"/>
      <c r="D6347" t="inlineStr"/>
      <c r="E6347">
        <f>HYPERLINK("https://www.uniprot.org/uniprotkb/P83939/entry", "P83939")</f>
        <v/>
      </c>
      <c r="F6347" t="n">
        <v>48</v>
      </c>
      <c r="G6347" t="n">
        <v>419</v>
      </c>
      <c r="H6347" t="n">
        <v>1.43e-132</v>
      </c>
      <c r="I6347" t="inlineStr">
        <is>
          <t>Swiss-Prot</t>
        </is>
      </c>
      <c r="J6347" t="inlineStr">
        <is>
          <t>SCRN1</t>
        </is>
      </c>
      <c r="K6347" t="inlineStr">
        <is>
          <t>SCRN1_BOVIN</t>
        </is>
      </c>
      <c r="L6347" t="inlineStr">
        <is>
          <t>sp|P83939|SCRN1_BOVIN Secernin-1 OS=Bos taurus OX=9913 GN=SCRN1 PE=1 SV=2</t>
        </is>
      </c>
      <c r="M6347" t="n">
        <v>414</v>
      </c>
      <c r="N6347" t="inlineStr">
        <is>
          <t>Bos taurus</t>
        </is>
      </c>
      <c r="O6347" t="inlineStr">
        <is>
          <t>Secernin-1</t>
        </is>
      </c>
    </row>
    <row r="6348">
      <c r="A6348" t="inlineStr"/>
      <c r="B6348" t="inlineStr"/>
      <c r="C6348" t="inlineStr"/>
      <c r="D6348" t="inlineStr"/>
      <c r="E6348">
        <f>HYPERLINK("https://www.uniprot.org/uniprotkb/Q9CZC8/entry", "Q9CZC8")</f>
        <v/>
      </c>
      <c r="F6348" t="n">
        <v>47.2</v>
      </c>
      <c r="G6348" t="n">
        <v>424</v>
      </c>
      <c r="H6348" t="n">
        <v>8.150000000000001e-132</v>
      </c>
      <c r="I6348" t="inlineStr">
        <is>
          <t>Swiss-Prot</t>
        </is>
      </c>
      <c r="J6348" t="inlineStr">
        <is>
          <t>Scrn1</t>
        </is>
      </c>
      <c r="K6348" t="inlineStr">
        <is>
          <t>SCRN1_MOUSE</t>
        </is>
      </c>
      <c r="L6348" t="inlineStr">
        <is>
          <t>sp|Q9CZC8|SCRN1_MOUSE Secernin-1 OS=Mus musculus OX=10090 GN=Scrn1 PE=1 SV=1</t>
        </is>
      </c>
      <c r="M6348" t="n">
        <v>414</v>
      </c>
      <c r="N6348" t="inlineStr">
        <is>
          <t>Mus musculus</t>
        </is>
      </c>
      <c r="O6348" t="inlineStr">
        <is>
          <t>Secernin-1</t>
        </is>
      </c>
    </row>
    <row r="6349">
      <c r="A6349" t="inlineStr"/>
      <c r="B6349" t="inlineStr"/>
      <c r="C6349" t="inlineStr"/>
      <c r="D6349" t="inlineStr"/>
      <c r="E6349">
        <f>HYPERLINK("https://www.uniprot.org/uniprotkb/Q6AY84/entry", "Q6AY84")</f>
        <v/>
      </c>
      <c r="F6349" t="n">
        <v>46.7</v>
      </c>
      <c r="G6349" t="n">
        <v>424</v>
      </c>
      <c r="H6349" t="n">
        <v>2.32e-131</v>
      </c>
      <c r="I6349" t="inlineStr">
        <is>
          <t>Swiss-Prot</t>
        </is>
      </c>
      <c r="J6349" t="inlineStr">
        <is>
          <t>Scrn1</t>
        </is>
      </c>
      <c r="K6349" t="inlineStr">
        <is>
          <t>SCRN1_RAT</t>
        </is>
      </c>
      <c r="L6349" t="inlineStr">
        <is>
          <t>sp|Q6AY84|SCRN1_RAT Secernin-1 OS=Rattus norvegicus OX=10116 GN=Scrn1 PE=1 SV=1</t>
        </is>
      </c>
      <c r="M6349" t="n">
        <v>414</v>
      </c>
      <c r="N6349" t="inlineStr">
        <is>
          <t>Rattus norvegicus</t>
        </is>
      </c>
      <c r="O6349" t="inlineStr">
        <is>
          <t>Secernin-1</t>
        </is>
      </c>
    </row>
    <row r="6350">
      <c r="A6350" t="inlineStr"/>
      <c r="B6350" t="inlineStr"/>
      <c r="C6350" t="inlineStr"/>
      <c r="D6350" t="inlineStr"/>
      <c r="E6350">
        <f>HYPERLINK("https://www.uniprot.org/uniprotkb/Q12765/entry", "Q12765")</f>
        <v/>
      </c>
      <c r="F6350" t="n">
        <v>48.2</v>
      </c>
      <c r="G6350" t="n">
        <v>419</v>
      </c>
      <c r="H6350" t="n">
        <v>6.58e-131</v>
      </c>
      <c r="I6350" t="inlineStr">
        <is>
          <t>Swiss-Prot</t>
        </is>
      </c>
      <c r="J6350" t="inlineStr">
        <is>
          <t>SCRN1</t>
        </is>
      </c>
      <c r="K6350" t="inlineStr">
        <is>
          <t>SCRN1_HUMAN</t>
        </is>
      </c>
      <c r="L6350" t="inlineStr">
        <is>
          <t>sp|Q12765|SCRN1_HUMAN Secernin-1 OS=Homo sapiens OX=9606 GN=SCRN1 PE=1 SV=2</t>
        </is>
      </c>
      <c r="M6350" t="n">
        <v>414</v>
      </c>
      <c r="N6350" t="inlineStr">
        <is>
          <t>Homo sapiens</t>
        </is>
      </c>
      <c r="O6350" t="inlineStr">
        <is>
          <t>Secernin-1</t>
        </is>
      </c>
    </row>
    <row r="6351">
      <c r="A6351" t="inlineStr"/>
      <c r="B6351" t="inlineStr"/>
      <c r="C6351" t="inlineStr"/>
      <c r="D6351" t="inlineStr"/>
      <c r="E6351">
        <f>HYPERLINK("https://www.ncbi.nlm.nih.gov/gene/?term=XP_044152618.1", "XP_044152618.1")</f>
        <v/>
      </c>
      <c r="F6351" t="n">
        <v>39.7</v>
      </c>
      <c r="G6351" t="n">
        <v>297</v>
      </c>
      <c r="H6351" t="n">
        <v>9.079999999999999e-18</v>
      </c>
      <c r="I6351" t="inlineStr">
        <is>
          <t>Nr</t>
        </is>
      </c>
      <c r="J6351" t="inlineStr"/>
      <c r="K6351" t="inlineStr"/>
      <c r="L6351" t="inlineStr">
        <is>
          <t>XP_044152618.1 leucine-rich repeat-containing protein 46 isoform X2 [Bufo gargarizans]</t>
        </is>
      </c>
      <c r="M6351" t="n">
        <v>352</v>
      </c>
      <c r="N6351" t="inlineStr">
        <is>
          <t>Bufo gargarizans</t>
        </is>
      </c>
      <c r="O6351" t="inlineStr">
        <is>
          <t>leucine-rich repeat-containing protein 46 isoform X2</t>
        </is>
      </c>
    </row>
    <row r="6352">
      <c r="A6352" t="inlineStr"/>
      <c r="B6352" t="inlineStr"/>
      <c r="C6352" t="inlineStr"/>
      <c r="D6352" t="inlineStr"/>
      <c r="E6352">
        <f>HYPERLINK("https://www.ncbi.nlm.nih.gov/gene/?term=XP_040291214.1", "XP_040291214.1")</f>
        <v/>
      </c>
      <c r="F6352" t="n">
        <v>43.6</v>
      </c>
      <c r="G6352" t="n">
        <v>298</v>
      </c>
      <c r="H6352" t="n">
        <v>1.14e-15</v>
      </c>
      <c r="I6352" t="inlineStr">
        <is>
          <t>Nr</t>
        </is>
      </c>
      <c r="J6352" t="inlineStr"/>
      <c r="K6352" t="inlineStr"/>
      <c r="L6352" t="inlineStr">
        <is>
          <t>XP_040291214.1 leucine-rich repeat-containing protein 46 isoform X2 [Bufo bufo]</t>
        </is>
      </c>
      <c r="M6352" t="n">
        <v>405</v>
      </c>
      <c r="N6352" t="inlineStr">
        <is>
          <t>Bufo bufo</t>
        </is>
      </c>
      <c r="O6352" t="inlineStr">
        <is>
          <t>leucine-rich repeat-containing protein 46 isoform X2</t>
        </is>
      </c>
    </row>
    <row r="6353">
      <c r="A6353" t="inlineStr"/>
      <c r="B6353" t="inlineStr"/>
      <c r="C6353" t="inlineStr"/>
      <c r="D6353" t="inlineStr"/>
      <c r="E6353">
        <f>HYPERLINK("https://www.ncbi.nlm.nih.gov/gene/?term=XP_044152617.1", "XP_044152617.1")</f>
        <v/>
      </c>
      <c r="F6353" t="n">
        <v>32</v>
      </c>
      <c r="G6353" t="n">
        <v>231</v>
      </c>
      <c r="H6353" t="n">
        <v>2.63e-12</v>
      </c>
      <c r="I6353" t="inlineStr">
        <is>
          <t>Nr</t>
        </is>
      </c>
      <c r="J6353" t="inlineStr"/>
      <c r="K6353" t="inlineStr"/>
      <c r="L6353" t="inlineStr">
        <is>
          <t>XP_044152617.1 leucine-rich repeat-containing protein 46 isoform X1 [Bufo gargarizans]</t>
        </is>
      </c>
      <c r="M6353" t="n">
        <v>386</v>
      </c>
      <c r="N6353" t="inlineStr">
        <is>
          <t>Bufo gargarizans</t>
        </is>
      </c>
      <c r="O6353" t="inlineStr">
        <is>
          <t>leucine-rich repeat-containing protein 46 isoform X1</t>
        </is>
      </c>
    </row>
    <row r="6354">
      <c r="A6354" t="inlineStr"/>
      <c r="B6354" t="inlineStr"/>
      <c r="C6354" t="inlineStr"/>
      <c r="D6354" t="inlineStr"/>
      <c r="E6354">
        <f>HYPERLINK("https://www.ncbi.nlm.nih.gov/gene/?term=XP_040291213.1", "XP_040291213.1")</f>
        <v/>
      </c>
      <c r="F6354" t="n">
        <v>32.3</v>
      </c>
      <c r="G6354" t="n">
        <v>232</v>
      </c>
      <c r="H6354" t="n">
        <v>2.66e-11</v>
      </c>
      <c r="I6354" t="inlineStr">
        <is>
          <t>Nr</t>
        </is>
      </c>
      <c r="J6354" t="inlineStr"/>
      <c r="K6354" t="inlineStr"/>
      <c r="L6354" t="inlineStr">
        <is>
          <t>XP_040291213.1 leucine-rich repeat-containing protein 46 isoform X1 [Bufo bufo]</t>
        </is>
      </c>
      <c r="M6354" t="n">
        <v>439</v>
      </c>
      <c r="N6354" t="inlineStr">
        <is>
          <t>Bufo bufo</t>
        </is>
      </c>
      <c r="O6354" t="inlineStr">
        <is>
          <t>leucine-rich repeat-containing protein 46 isoform X1</t>
        </is>
      </c>
    </row>
    <row r="6355">
      <c r="A6355" t="inlineStr"/>
      <c r="B6355" t="inlineStr"/>
      <c r="C6355" t="inlineStr"/>
      <c r="D6355" t="inlineStr"/>
      <c r="E6355">
        <f>HYPERLINK("https://www.uniprot.org/uniprotkb/A0A8J1IXG6/entry", "A0A8J1IXG6")</f>
        <v/>
      </c>
      <c r="F6355" t="n">
        <v>36.9</v>
      </c>
      <c r="G6355" t="n">
        <v>141</v>
      </c>
      <c r="H6355" t="n">
        <v>5.27e-09</v>
      </c>
      <c r="I6355" t="inlineStr">
        <is>
          <t>TrEMBL</t>
        </is>
      </c>
      <c r="J6355" t="inlineStr">
        <is>
          <t>lrrc46</t>
        </is>
      </c>
      <c r="K6355" t="inlineStr">
        <is>
          <t>A0A8J1IXG6_XENTR</t>
        </is>
      </c>
      <c r="L6355" t="inlineStr">
        <is>
          <t>tr|A0A8J1IXG6|A0A8J1IXG6_XENTR leucine-rich repeat-containing protein 46 isoform X2 OS=Xenopus tropicalis OX=8364 GN=lrrc46 PE=4 SV=1</t>
        </is>
      </c>
      <c r="M6355" t="n">
        <v>375</v>
      </c>
      <c r="N6355" t="inlineStr">
        <is>
          <t>Xenopus tropicalis</t>
        </is>
      </c>
      <c r="O6355" t="inlineStr">
        <is>
          <t>leucine-rich repeat-containing protein 46 isoform X2</t>
        </is>
      </c>
    </row>
    <row r="6356">
      <c r="A6356" t="inlineStr"/>
      <c r="B6356" t="inlineStr"/>
      <c r="C6356" t="inlineStr"/>
      <c r="D6356" t="inlineStr"/>
      <c r="E6356">
        <f>HYPERLINK("https://www.uniprot.org/uniprotkb/A0A8J1IXA9/entry", "A0A8J1IXA9")</f>
        <v/>
      </c>
      <c r="F6356" t="n">
        <v>36.9</v>
      </c>
      <c r="G6356" t="n">
        <v>141</v>
      </c>
      <c r="H6356" t="n">
        <v>6.24e-09</v>
      </c>
      <c r="I6356" t="inlineStr">
        <is>
          <t>TrEMBL</t>
        </is>
      </c>
      <c r="J6356" t="inlineStr">
        <is>
          <t>lrrc46</t>
        </is>
      </c>
      <c r="K6356" t="inlineStr">
        <is>
          <t>A0A8J1IXA9_XENTR</t>
        </is>
      </c>
      <c r="L6356" t="inlineStr">
        <is>
          <t>tr|A0A8J1IXA9|A0A8J1IXA9_XENTR leucine-rich repeat-containing protein 46 isoform X1 OS=Xenopus tropicalis OX=8364 GN=lrrc46 PE=4 SV=1</t>
        </is>
      </c>
      <c r="M6356" t="n">
        <v>424</v>
      </c>
      <c r="N6356" t="inlineStr">
        <is>
          <t>Xenopus tropicalis</t>
        </is>
      </c>
      <c r="O6356" t="inlineStr">
        <is>
          <t>leucine-rich repeat-containing protein 46 isoform X1</t>
        </is>
      </c>
    </row>
    <row r="6357">
      <c r="A6357" t="inlineStr"/>
      <c r="B6357" t="inlineStr"/>
      <c r="C6357" t="inlineStr"/>
      <c r="D6357" t="inlineStr"/>
      <c r="E6357">
        <f>HYPERLINK("https://www.uniprot.org/uniprotkb/A0A803JCD1/entry", "A0A803JCD1")</f>
        <v/>
      </c>
      <c r="F6357" t="n">
        <v>36.9</v>
      </c>
      <c r="G6357" t="n">
        <v>141</v>
      </c>
      <c r="H6357" t="n">
        <v>6.26e-09</v>
      </c>
      <c r="I6357" t="inlineStr">
        <is>
          <t>TrEMBL</t>
        </is>
      </c>
      <c r="J6357" t="inlineStr">
        <is>
          <t>lrrc46</t>
        </is>
      </c>
      <c r="K6357" t="inlineStr">
        <is>
          <t>A0A803JCD1_XENTR</t>
        </is>
      </c>
      <c r="L6357" t="inlineStr">
        <is>
          <t>tr|A0A803JCD1|A0A803JCD1_XENTR Leucine rich repeat containing 46 OS=Xenopus tropicalis OX=8364 GN=lrrc46 PE=4 SV=1</t>
        </is>
      </c>
      <c r="M6357" t="n">
        <v>425</v>
      </c>
      <c r="N6357" t="inlineStr">
        <is>
          <t>Xenopus tropicalis</t>
        </is>
      </c>
      <c r="O6357" t="inlineStr">
        <is>
          <t>Leucine rich repeat containing 46</t>
        </is>
      </c>
    </row>
    <row r="6358">
      <c r="A6358" t="inlineStr"/>
      <c r="B6358" t="inlineStr"/>
      <c r="C6358" t="inlineStr"/>
      <c r="D6358" t="inlineStr"/>
      <c r="E6358">
        <f>HYPERLINK("https://www.ncbi.nlm.nih.gov/gene/?term=XP_053308761.1", "XP_053308761.1")</f>
        <v/>
      </c>
      <c r="F6358" t="n">
        <v>53.2</v>
      </c>
      <c r="G6358" t="n">
        <v>94</v>
      </c>
      <c r="H6358" t="n">
        <v>8.15e-09</v>
      </c>
      <c r="I6358" t="inlineStr">
        <is>
          <t>Nr</t>
        </is>
      </c>
      <c r="J6358" t="inlineStr"/>
      <c r="K6358" t="inlineStr"/>
      <c r="L6358" t="inlineStr">
        <is>
          <t>XP_053308761.1 leucine-rich repeat-containing protein 46 [Spea bombifrons]</t>
        </is>
      </c>
      <c r="M6358" t="n">
        <v>524</v>
      </c>
      <c r="N6358" t="inlineStr">
        <is>
          <t>Spea bombifrons</t>
        </is>
      </c>
      <c r="O6358" t="inlineStr">
        <is>
          <t>leucine-rich repeat-containing protein 46</t>
        </is>
      </c>
    </row>
    <row r="6359">
      <c r="A6359" t="inlineStr"/>
      <c r="B6359" t="inlineStr"/>
      <c r="C6359" t="inlineStr"/>
      <c r="D6359" t="inlineStr"/>
      <c r="E6359">
        <f>HYPERLINK("https://www.uniprot.org/uniprotkb/A0A8J6B557/entry", "A0A8J6B557")</f>
        <v/>
      </c>
      <c r="F6359" t="n">
        <v>46.3</v>
      </c>
      <c r="G6359" t="n">
        <v>95</v>
      </c>
      <c r="H6359" t="n">
        <v>1.19e-08</v>
      </c>
      <c r="I6359" t="inlineStr">
        <is>
          <t>TrEMBL</t>
        </is>
      </c>
      <c r="J6359" t="inlineStr">
        <is>
          <t>GDO78_016279</t>
        </is>
      </c>
      <c r="K6359" t="inlineStr">
        <is>
          <t>A0A8J6B557_ELECQ</t>
        </is>
      </c>
      <c r="L6359" t="inlineStr">
        <is>
          <t>tr|A0A8J6B557|A0A8J6B557_ELECQ TNIK (Fragment) OS=Eleutherodactylus coqui OX=57060 GN=GDO78_016279 PE=4 SV=1</t>
        </is>
      </c>
      <c r="M6359" t="n">
        <v>113</v>
      </c>
      <c r="N6359" t="inlineStr">
        <is>
          <t>Eleutherodactylus coqui</t>
        </is>
      </c>
      <c r="O6359" t="inlineStr">
        <is>
          <t>TNIK (Fragment)</t>
        </is>
      </c>
    </row>
    <row r="6360">
      <c r="A6360" t="inlineStr"/>
      <c r="B6360" t="inlineStr"/>
      <c r="C6360" t="inlineStr"/>
      <c r="D6360" t="inlineStr"/>
      <c r="E6360">
        <f>HYPERLINK("https://www.ncbi.nlm.nih.gov/gene/?term=XP_031750248.1", "XP_031750248.1")</f>
        <v/>
      </c>
      <c r="F6360" t="n">
        <v>36.9</v>
      </c>
      <c r="G6360" t="n">
        <v>141</v>
      </c>
      <c r="H6360" t="n">
        <v>1.35e-08</v>
      </c>
      <c r="I6360" t="inlineStr">
        <is>
          <t>Nr</t>
        </is>
      </c>
      <c r="J6360" t="inlineStr"/>
      <c r="K6360" t="inlineStr"/>
      <c r="L6360" t="inlineStr">
        <is>
          <t>XP_031750248.1 leucine-rich repeat-containing protein 46 isoform X2 [Xenopus tropicalis]</t>
        </is>
      </c>
      <c r="M6360" t="n">
        <v>375</v>
      </c>
      <c r="N6360" t="inlineStr">
        <is>
          <t>Xenopus tropicalis</t>
        </is>
      </c>
      <c r="O6360" t="inlineStr">
        <is>
          <t>leucine-rich repeat-containing protein 46 isoform X2</t>
        </is>
      </c>
    </row>
    <row r="6361">
      <c r="A6361" t="inlineStr"/>
      <c r="B6361" t="inlineStr"/>
      <c r="C6361" t="inlineStr"/>
      <c r="D6361" t="inlineStr"/>
      <c r="E6361">
        <f>HYPERLINK("https://www.ncbi.nlm.nih.gov/gene/?term=XP_031750247.1", "XP_031750247.1")</f>
        <v/>
      </c>
      <c r="F6361" t="n">
        <v>36.9</v>
      </c>
      <c r="G6361" t="n">
        <v>141</v>
      </c>
      <c r="H6361" t="n">
        <v>1.6e-08</v>
      </c>
      <c r="I6361" t="inlineStr">
        <is>
          <t>Nr</t>
        </is>
      </c>
      <c r="J6361" t="inlineStr"/>
      <c r="K6361" t="inlineStr"/>
      <c r="L6361" t="inlineStr">
        <is>
          <t>XP_031750247.1 leucine-rich repeat-containing protein 46 isoform X1 [Xenopus tropicalis]</t>
        </is>
      </c>
      <c r="M6361" t="n">
        <v>424</v>
      </c>
      <c r="N6361" t="inlineStr">
        <is>
          <t>Xenopus tropicalis</t>
        </is>
      </c>
      <c r="O6361" t="inlineStr">
        <is>
          <t>leucine-rich repeat-containing protein 46 isoform X1</t>
        </is>
      </c>
    </row>
    <row r="6362">
      <c r="A6362" t="inlineStr"/>
      <c r="B6362" t="inlineStr"/>
      <c r="C6362" t="inlineStr"/>
      <c r="D6362" t="inlineStr"/>
      <c r="E6362">
        <f>HYPERLINK("https://www.ncbi.nlm.nih.gov/gene/?term=KAG9461601.1", "KAG9461601.1")</f>
        <v/>
      </c>
      <c r="F6362" t="n">
        <v>46.3</v>
      </c>
      <c r="G6362" t="n">
        <v>95</v>
      </c>
      <c r="H6362" t="n">
        <v>3.06e-08</v>
      </c>
      <c r="I6362" t="inlineStr">
        <is>
          <t>Nr</t>
        </is>
      </c>
      <c r="J6362" t="inlineStr"/>
      <c r="K6362" t="inlineStr"/>
      <c r="L6362" t="inlineStr">
        <is>
          <t>KAG9461601.1 hypothetical protein GDO78_016279, partial [Eleutherodactylus coqui]</t>
        </is>
      </c>
      <c r="M6362" t="n">
        <v>113</v>
      </c>
      <c r="N6362" t="inlineStr">
        <is>
          <t>Eleutherodactylus coqui</t>
        </is>
      </c>
      <c r="O6362" t="inlineStr">
        <is>
          <t>hypothetical protein GDO78_016279, partial</t>
        </is>
      </c>
    </row>
    <row r="6363">
      <c r="A6363" t="inlineStr"/>
      <c r="B6363" t="inlineStr"/>
      <c r="C6363" t="inlineStr"/>
      <c r="D6363" t="inlineStr"/>
      <c r="E6363">
        <f>HYPERLINK("https://www.uniprot.org/uniprotkb/A0A851M5S5/entry", "A0A851M5S5")</f>
        <v/>
      </c>
      <c r="F6363" t="n">
        <v>57.2</v>
      </c>
      <c r="G6363" t="n">
        <v>166</v>
      </c>
      <c r="H6363" t="n">
        <v>3.45e-08</v>
      </c>
      <c r="I6363" t="inlineStr">
        <is>
          <t>TrEMBL</t>
        </is>
      </c>
      <c r="J6363" t="inlineStr">
        <is>
          <t>Lrrc46</t>
        </is>
      </c>
      <c r="K6363" t="inlineStr">
        <is>
          <t>A0A851M5S5_CORCR</t>
        </is>
      </c>
      <c r="L6363" t="inlineStr">
        <is>
          <t>tr|A0A851M5S5|A0A851M5S5_CORCR LRC46 protein (Fragment) OS=Corythaeola cristata OX=103954 GN=Lrrc46 PE=4 SV=1</t>
        </is>
      </c>
      <c r="M6363" t="n">
        <v>177</v>
      </c>
      <c r="N6363" t="inlineStr">
        <is>
          <t>Corythaeola cristata</t>
        </is>
      </c>
      <c r="O6363" t="inlineStr">
        <is>
          <t>LRC46 protein (Fragment)</t>
        </is>
      </c>
    </row>
    <row r="6364">
      <c r="A6364" t="inlineStr"/>
      <c r="B6364" t="inlineStr"/>
      <c r="C6364" t="inlineStr"/>
      <c r="D6364" t="inlineStr"/>
      <c r="E6364">
        <f>HYPERLINK("https://www.uniprot.org/uniprotkb/A0A1L8ES27/entry", "A0A1L8ES27")</f>
        <v/>
      </c>
      <c r="F6364" t="n">
        <v>35</v>
      </c>
      <c r="G6364" t="n">
        <v>180</v>
      </c>
      <c r="H6364" t="n">
        <v>6.17e-08</v>
      </c>
      <c r="I6364" t="inlineStr">
        <is>
          <t>TrEMBL</t>
        </is>
      </c>
      <c r="J6364" t="inlineStr">
        <is>
          <t>LOC108700795</t>
        </is>
      </c>
      <c r="K6364" t="inlineStr">
        <is>
          <t>A0A1L8ES27_XENLA</t>
        </is>
      </c>
      <c r="L6364" t="inlineStr">
        <is>
          <t>tr|A0A1L8ES27|A0A1L8ES27_XENLA leucine-rich repeat-containing protein 46 isoform X1 OS=Xenopus laevis OX=8355 GN=LOC108700795 PE=4 SV=1</t>
        </is>
      </c>
      <c r="M6364" t="n">
        <v>411</v>
      </c>
      <c r="N6364" t="inlineStr">
        <is>
          <t>Xenopus laevis</t>
        </is>
      </c>
      <c r="O6364" t="inlineStr">
        <is>
          <t>leucine-rich repeat-containing protein 46 isoform X1</t>
        </is>
      </c>
    </row>
    <row r="6365">
      <c r="A6365" t="inlineStr"/>
      <c r="B6365" t="inlineStr"/>
      <c r="C6365" t="inlineStr"/>
      <c r="D6365" t="inlineStr"/>
      <c r="E6365">
        <f>HYPERLINK("https://www.ncbi.nlm.nih.gov/gene/?term=NXC22684.1", "NXC22684.1")</f>
        <v/>
      </c>
      <c r="F6365" t="n">
        <v>57.2</v>
      </c>
      <c r="G6365" t="n">
        <v>166</v>
      </c>
      <c r="H6365" t="n">
        <v>8.85e-08</v>
      </c>
      <c r="I6365" t="inlineStr">
        <is>
          <t>Nr</t>
        </is>
      </c>
      <c r="J6365" t="inlineStr"/>
      <c r="K6365" t="inlineStr"/>
      <c r="L6365" t="inlineStr">
        <is>
          <t>NXC22684.1 LRC46 protein [Corythaeola cristata]</t>
        </is>
      </c>
      <c r="M6365" t="n">
        <v>177</v>
      </c>
      <c r="N6365" t="inlineStr">
        <is>
          <t>Corythaeola cristata</t>
        </is>
      </c>
      <c r="O6365" t="inlineStr">
        <is>
          <t>LRC46 protein</t>
        </is>
      </c>
    </row>
    <row r="6366">
      <c r="A6366" t="inlineStr"/>
      <c r="B6366" t="inlineStr"/>
      <c r="C6366" t="inlineStr"/>
      <c r="D6366" t="inlineStr"/>
      <c r="E6366">
        <f>HYPERLINK("https://www.uniprot.org/uniprotkb/A0A822GJX6/entry", "A0A822GJX6")</f>
        <v/>
      </c>
      <c r="F6366" t="n">
        <v>30.9</v>
      </c>
      <c r="G6366" t="n">
        <v>162</v>
      </c>
      <c r="H6366" t="n">
        <v>1.41e-07</v>
      </c>
      <c r="I6366" t="inlineStr">
        <is>
          <t>TrEMBL</t>
        </is>
      </c>
      <c r="J6366" t="inlineStr">
        <is>
          <t>RIMITATOR_LOCUS11355499</t>
        </is>
      </c>
      <c r="K6366" t="inlineStr">
        <is>
          <t>A0A822GJX6_9NEOB</t>
        </is>
      </c>
      <c r="L6366" t="inlineStr">
        <is>
          <t>tr|A0A822GJX6|A0A822GJX6_9NEOB (mimic poison frog) hypothetical protein (Fragment) OS=Ranitomeya imitator OX=111125 GN=RIMITATOR_LOCUS11355499 PE=4 SV=1</t>
        </is>
      </c>
      <c r="M6366" t="n">
        <v>284</v>
      </c>
      <c r="N6366" t="inlineStr">
        <is>
          <t>Ranitomeya imitator</t>
        </is>
      </c>
      <c r="O6366" t="inlineStr">
        <is>
          <t>(mimic poison frog) hypothetical protein (Fragment)</t>
        </is>
      </c>
    </row>
    <row r="6367">
      <c r="A6367" t="inlineStr"/>
      <c r="B6367" t="inlineStr"/>
      <c r="C6367" t="inlineStr"/>
      <c r="D6367" t="inlineStr"/>
      <c r="E6367">
        <f>HYPERLINK("https://www.ncbi.nlm.nih.gov/gene/?term=XP_018090238.1", "XP_018090238.1")</f>
        <v/>
      </c>
      <c r="F6367" t="n">
        <v>35</v>
      </c>
      <c r="G6367" t="n">
        <v>180</v>
      </c>
      <c r="H6367" t="n">
        <v>1.58e-07</v>
      </c>
      <c r="I6367" t="inlineStr">
        <is>
          <t>Nr</t>
        </is>
      </c>
      <c r="J6367" t="inlineStr"/>
      <c r="K6367" t="inlineStr"/>
      <c r="L6367" t="inlineStr">
        <is>
          <t>XP_018090238.1 leucine-rich repeat-containing protein 46 isoform X1 [Xenopus laevis]</t>
        </is>
      </c>
      <c r="M6367" t="n">
        <v>411</v>
      </c>
      <c r="N6367" t="inlineStr">
        <is>
          <t>Xenopus laevis</t>
        </is>
      </c>
      <c r="O6367" t="inlineStr">
        <is>
          <t>leucine-rich repeat-containing protein 46 isoform X1</t>
        </is>
      </c>
    </row>
    <row r="6368">
      <c r="A6368" t="inlineStr"/>
      <c r="B6368" t="inlineStr"/>
      <c r="C6368" t="inlineStr"/>
      <c r="D6368" t="inlineStr"/>
      <c r="E6368">
        <f>HYPERLINK("https://www.uniprot.org/uniprotkb/A0A8D0HEH4/entry", "A0A8D0HEH4")</f>
        <v/>
      </c>
      <c r="F6368" t="n">
        <v>35</v>
      </c>
      <c r="G6368" t="n">
        <v>203</v>
      </c>
      <c r="H6368" t="n">
        <v>2.87e-07</v>
      </c>
      <c r="I6368" t="inlineStr">
        <is>
          <t>TrEMBL</t>
        </is>
      </c>
      <c r="J6368" t="inlineStr">
        <is>
          <t>LRRC46</t>
        </is>
      </c>
      <c r="K6368" t="inlineStr">
        <is>
          <t>A0A8D0HEH4_SPHPU</t>
        </is>
      </c>
      <c r="L6368" t="inlineStr">
        <is>
          <t>tr|A0A8D0HEH4|A0A8D0HEH4_SPHPU Leucine rich repeat containing 46 OS=Sphenodon punctatus OX=8508 GN=LRRC46 PE=4 SV=1</t>
        </is>
      </c>
      <c r="M6368" t="n">
        <v>236</v>
      </c>
      <c r="N6368" t="inlineStr">
        <is>
          <t>Sphenodon punctatus</t>
        </is>
      </c>
      <c r="O6368" t="inlineStr">
        <is>
          <t>Leucine rich repeat containing 46</t>
        </is>
      </c>
    </row>
    <row r="6369">
      <c r="A6369" t="inlineStr"/>
      <c r="B6369" t="inlineStr"/>
      <c r="C6369" t="inlineStr"/>
      <c r="D6369" t="inlineStr"/>
      <c r="E6369">
        <f>HYPERLINK("https://www.ncbi.nlm.nih.gov/gene/?term=KAG8566154.1", "KAG8566154.1")</f>
        <v/>
      </c>
      <c r="F6369" t="n">
        <v>39.4</v>
      </c>
      <c r="G6369" t="n">
        <v>104</v>
      </c>
      <c r="H6369" t="n">
        <v>2.94e-06</v>
      </c>
      <c r="I6369" t="inlineStr">
        <is>
          <t>Nr</t>
        </is>
      </c>
      <c r="J6369" t="inlineStr"/>
      <c r="K6369" t="inlineStr"/>
      <c r="L6369" t="inlineStr">
        <is>
          <t>KAG8566154.1 hypothetical protein GDO81_013123 [Engystomops pustulosus]</t>
        </is>
      </c>
      <c r="M6369" t="n">
        <v>334</v>
      </c>
      <c r="N6369" t="inlineStr">
        <is>
          <t>Engystomops pustulosus</t>
        </is>
      </c>
      <c r="O6369" t="inlineStr">
        <is>
          <t>hypothetical protein GDO81_013123</t>
        </is>
      </c>
    </row>
    <row r="6370">
      <c r="A6370" t="inlineStr"/>
      <c r="B6370" t="inlineStr"/>
      <c r="C6370" t="inlineStr"/>
      <c r="D6370" t="inlineStr"/>
      <c r="E6370">
        <f>HYPERLINK("https://www.ncbi.nlm.nih.gov/gene/?term=KAG8566152.1", "KAG8566152.1")</f>
        <v/>
      </c>
      <c r="F6370" t="n">
        <v>39.4</v>
      </c>
      <c r="G6370" t="n">
        <v>104</v>
      </c>
      <c r="H6370" t="n">
        <v>3.46e-06</v>
      </c>
      <c r="I6370" t="inlineStr">
        <is>
          <t>Nr</t>
        </is>
      </c>
      <c r="J6370" t="inlineStr"/>
      <c r="K6370" t="inlineStr"/>
      <c r="L6370" t="inlineStr">
        <is>
          <t>KAG8566152.1 hypothetical protein GDO81_013123 [Engystomops pustulosus]</t>
        </is>
      </c>
      <c r="M6370" t="n">
        <v>375</v>
      </c>
      <c r="N6370" t="inlineStr">
        <is>
          <t>Engystomops pustulosus</t>
        </is>
      </c>
      <c r="O6370" t="inlineStr">
        <is>
          <t>hypothetical protein GDO81_013123</t>
        </is>
      </c>
    </row>
    <row r="6371">
      <c r="A6371" t="inlineStr"/>
      <c r="B6371" t="inlineStr"/>
      <c r="C6371" t="inlineStr"/>
      <c r="D6371" t="inlineStr"/>
      <c r="E6371">
        <f>HYPERLINK("https://www.ncbi.nlm.nih.gov/gene/?term=KAG8566151.1", "KAG8566151.1")</f>
        <v/>
      </c>
      <c r="F6371" t="n">
        <v>39.4</v>
      </c>
      <c r="G6371" t="n">
        <v>104</v>
      </c>
      <c r="H6371" t="n">
        <v>3.89e-06</v>
      </c>
      <c r="I6371" t="inlineStr">
        <is>
          <t>Nr</t>
        </is>
      </c>
      <c r="J6371" t="inlineStr"/>
      <c r="K6371" t="inlineStr"/>
      <c r="L6371" t="inlineStr">
        <is>
          <t>KAG8566151.1 hypothetical protein GDO81_013123 [Engystomops pustulosus]</t>
        </is>
      </c>
      <c r="M6371" t="n">
        <v>418</v>
      </c>
      <c r="N6371" t="inlineStr">
        <is>
          <t>Engystomops pustulosus</t>
        </is>
      </c>
      <c r="O6371" t="inlineStr">
        <is>
          <t>hypothetical protein GDO81_013123</t>
        </is>
      </c>
    </row>
    <row r="6372">
      <c r="A6372" t="inlineStr"/>
      <c r="B6372" t="inlineStr"/>
      <c r="C6372" t="inlineStr"/>
      <c r="D6372" t="inlineStr"/>
      <c r="E6372">
        <f>HYPERLINK("https://www.ncbi.nlm.nih.gov/gene/?term=KAG8566150.1", "KAG8566150.1")</f>
        <v/>
      </c>
      <c r="F6372" t="n">
        <v>39.4</v>
      </c>
      <c r="G6372" t="n">
        <v>104</v>
      </c>
      <c r="H6372" t="n">
        <v>3.91e-06</v>
      </c>
      <c r="I6372" t="inlineStr">
        <is>
          <t>Nr</t>
        </is>
      </c>
      <c r="J6372" t="inlineStr"/>
      <c r="K6372" t="inlineStr"/>
      <c r="L6372" t="inlineStr">
        <is>
          <t>KAG8566150.1 hypothetical protein GDO81_013123 [Engystomops pustulosus]</t>
        </is>
      </c>
      <c r="M6372" t="n">
        <v>420</v>
      </c>
      <c r="N6372" t="inlineStr">
        <is>
          <t>Engystomops pustulosus</t>
        </is>
      </c>
      <c r="O6372" t="inlineStr">
        <is>
          <t>hypothetical protein GDO81_013123</t>
        </is>
      </c>
    </row>
    <row r="6373">
      <c r="A6373" t="inlineStr"/>
      <c r="B6373" t="inlineStr"/>
      <c r="C6373" t="inlineStr"/>
      <c r="D6373" t="inlineStr"/>
      <c r="E6373">
        <f>HYPERLINK("https://www.ncbi.nlm.nih.gov/gene/?term=KAF4792728.1", "KAF4792728.1")</f>
        <v/>
      </c>
      <c r="F6373" t="n">
        <v>55.6</v>
      </c>
      <c r="G6373" t="n">
        <v>160</v>
      </c>
      <c r="H6373" t="n">
        <v>5.35e-06</v>
      </c>
      <c r="I6373" t="inlineStr">
        <is>
          <t>Nr</t>
        </is>
      </c>
      <c r="J6373" t="inlineStr"/>
      <c r="K6373" t="inlineStr"/>
      <c r="L6373" t="inlineStr">
        <is>
          <t>KAF4792728.1 leucine-rich repeat-containing protein 46 [Turdus rufiventris]</t>
        </is>
      </c>
      <c r="M6373" t="n">
        <v>252</v>
      </c>
      <c r="N6373" t="inlineStr">
        <is>
          <t>Turdus rufiventris</t>
        </is>
      </c>
      <c r="O6373" t="inlineStr">
        <is>
          <t>leucine-rich repeat-containing protein 46</t>
        </is>
      </c>
    </row>
    <row r="6374">
      <c r="A6374" t="inlineStr"/>
      <c r="B6374" t="inlineStr"/>
      <c r="C6374" t="inlineStr"/>
      <c r="D6374" t="inlineStr"/>
      <c r="E6374">
        <f>HYPERLINK("https://www.uniprot.org/uniprotkb/A0A7K4WZU2/entry", "A0A7K4WZU2")</f>
        <v/>
      </c>
      <c r="F6374" t="n">
        <v>47.2</v>
      </c>
      <c r="G6374" t="n">
        <v>163</v>
      </c>
      <c r="H6374" t="n">
        <v>7.42e-06</v>
      </c>
      <c r="I6374" t="inlineStr">
        <is>
          <t>TrEMBL</t>
        </is>
      </c>
      <c r="J6374" t="inlineStr">
        <is>
          <t>Lrrc46</t>
        </is>
      </c>
      <c r="K6374" t="inlineStr">
        <is>
          <t>A0A7K4WZU2_9TYRA</t>
        </is>
      </c>
      <c r="L6374" t="inlineStr">
        <is>
          <t>tr|A0A7K4WZU2|A0A7K4WZU2_9TYRA LRC46 protein (Fragment) OS=Tachuris rubrigastra OX=495162 GN=Lrrc46 PE=4 SV=1</t>
        </is>
      </c>
      <c r="M6374" t="n">
        <v>206</v>
      </c>
      <c r="N6374" t="inlineStr">
        <is>
          <t>Tachuris rubrigastra</t>
        </is>
      </c>
      <c r="O6374" t="inlineStr">
        <is>
          <t>LRC46 protein (Fragment)</t>
        </is>
      </c>
    </row>
    <row r="6375">
      <c r="A6375" t="inlineStr"/>
      <c r="B6375" t="inlineStr"/>
      <c r="C6375" t="inlineStr"/>
      <c r="D6375" t="inlineStr"/>
      <c r="E6375">
        <f>HYPERLINK("https://www.ncbi.nlm.nih.gov/gene/?term=KAJ1135473.1", "KAJ1135473.1")</f>
        <v/>
      </c>
      <c r="F6375" t="n">
        <v>36.4</v>
      </c>
      <c r="G6375" t="n">
        <v>118</v>
      </c>
      <c r="H6375" t="n">
        <v>9.74e-06</v>
      </c>
      <c r="I6375" t="inlineStr">
        <is>
          <t>Nr</t>
        </is>
      </c>
      <c r="J6375" t="inlineStr"/>
      <c r="K6375" t="inlineStr"/>
      <c r="L6375" t="inlineStr">
        <is>
          <t>KAJ1135473.1 hypothetical protein NDU88_001912 [Pleurodeles waltl]</t>
        </is>
      </c>
      <c r="M6375" t="n">
        <v>444</v>
      </c>
      <c r="N6375" t="inlineStr">
        <is>
          <t>Pleurodeles waltl</t>
        </is>
      </c>
      <c r="O6375" t="inlineStr">
        <is>
          <t>hypothetical protein NDU88_001912</t>
        </is>
      </c>
    </row>
    <row r="6376">
      <c r="A6376" t="inlineStr"/>
      <c r="B6376" t="inlineStr"/>
      <c r="C6376" t="inlineStr"/>
      <c r="D6376" t="inlineStr"/>
      <c r="E6376">
        <f>HYPERLINK("https://www.ncbi.nlm.nih.gov/gene/?term=XP_050418182.1", "XP_050418182.1")</f>
        <v/>
      </c>
      <c r="F6376" t="n">
        <v>45.9</v>
      </c>
      <c r="G6376" t="n">
        <v>170</v>
      </c>
      <c r="H6376" t="n">
        <v>1.07e-05</v>
      </c>
      <c r="I6376" t="inlineStr">
        <is>
          <t>Nr</t>
        </is>
      </c>
      <c r="J6376" t="inlineStr"/>
      <c r="K6376" t="inlineStr"/>
      <c r="L6376" t="inlineStr">
        <is>
          <t>XP_050418182.1 leucine-rich repeat-containing protein 46-like [Patella vulgata]</t>
        </is>
      </c>
      <c r="M6376" t="n">
        <v>262</v>
      </c>
      <c r="N6376" t="inlineStr">
        <is>
          <t>Patella vulgata</t>
        </is>
      </c>
      <c r="O6376" t="inlineStr">
        <is>
          <t>leucine-rich repeat-containing protein 46-like</t>
        </is>
      </c>
    </row>
    <row r="6377">
      <c r="A6377" t="inlineStr"/>
      <c r="B6377" t="inlineStr"/>
      <c r="C6377" t="inlineStr"/>
      <c r="D6377" t="inlineStr"/>
      <c r="E6377">
        <f>HYPERLINK("https://www.uniprot.org/uniprotkb/A0A7K9FR74/entry", "A0A7K9FR74")</f>
        <v/>
      </c>
      <c r="F6377" t="n">
        <v>54.2</v>
      </c>
      <c r="G6377" t="n">
        <v>168</v>
      </c>
      <c r="H6377" t="n">
        <v>1.16e-05</v>
      </c>
      <c r="I6377" t="inlineStr">
        <is>
          <t>TrEMBL</t>
        </is>
      </c>
      <c r="J6377" t="inlineStr">
        <is>
          <t>Lrrc46</t>
        </is>
      </c>
      <c r="K6377" t="inlineStr">
        <is>
          <t>A0A7K9FR74_STEPR</t>
        </is>
      </c>
      <c r="L6377" t="inlineStr">
        <is>
          <t>tr|A0A7K9FR74|A0A7K9FR74_STEPR LRC46 protein (Fragment) OS=Stercorarius parasiticus OX=54059 GN=Lrrc46 PE=4 SV=1</t>
        </is>
      </c>
      <c r="M6377" t="n">
        <v>217</v>
      </c>
      <c r="N6377" t="inlineStr">
        <is>
          <t>Stercorarius parasiticus</t>
        </is>
      </c>
      <c r="O6377" t="inlineStr">
        <is>
          <t>LRC46 protein (Fragment)</t>
        </is>
      </c>
    </row>
    <row r="6378">
      <c r="A6378" t="inlineStr"/>
      <c r="B6378" t="inlineStr"/>
      <c r="C6378" t="inlineStr"/>
      <c r="D6378" t="inlineStr"/>
      <c r="E6378">
        <f>HYPERLINK("https://www.ncbi.nlm.nih.gov/gene/?term=NWR40074.1", "NWR40074.1")</f>
        <v/>
      </c>
      <c r="F6378" t="n">
        <v>47.2</v>
      </c>
      <c r="G6378" t="n">
        <v>163</v>
      </c>
      <c r="H6378" t="n">
        <v>1.91e-05</v>
      </c>
      <c r="I6378" t="inlineStr">
        <is>
          <t>Nr</t>
        </is>
      </c>
      <c r="J6378" t="inlineStr"/>
      <c r="K6378" t="inlineStr"/>
      <c r="L6378" t="inlineStr">
        <is>
          <t>NWR40074.1 LRC46 protein [Tachuris rubrigastra]</t>
        </is>
      </c>
      <c r="M6378" t="n">
        <v>206</v>
      </c>
      <c r="N6378" t="inlineStr">
        <is>
          <t>Tachuris rubrigastra</t>
        </is>
      </c>
      <c r="O6378" t="inlineStr">
        <is>
          <t>LRC46 protein</t>
        </is>
      </c>
    </row>
    <row r="6379">
      <c r="A6379" t="inlineStr"/>
      <c r="B6379" t="inlineStr"/>
      <c r="C6379" t="inlineStr"/>
      <c r="D6379" t="inlineStr"/>
      <c r="E6379">
        <f>HYPERLINK("https://www.uniprot.org/uniprotkb/A0A6P7ZH10/entry", "A0A6P7ZH10")</f>
        <v/>
      </c>
      <c r="F6379" t="n">
        <v>39.7</v>
      </c>
      <c r="G6379" t="n">
        <v>116</v>
      </c>
      <c r="H6379" t="n">
        <v>2e-05</v>
      </c>
      <c r="I6379" t="inlineStr">
        <is>
          <t>TrEMBL</t>
        </is>
      </c>
      <c r="J6379" t="inlineStr">
        <is>
          <t>LRRC46</t>
        </is>
      </c>
      <c r="K6379" t="inlineStr">
        <is>
          <t>A0A6P7ZH10_9AMPH</t>
        </is>
      </c>
      <c r="L6379" t="inlineStr">
        <is>
          <t>tr|A0A6P7ZH10|A0A6P7ZH10_9AMPH leucine-rich repeat-containing protein 46 isoform X2 OS=Microcaecilia unicolor OX=1415580 GN=LRRC46 PE=4 SV=1</t>
        </is>
      </c>
      <c r="M6379" t="n">
        <v>322</v>
      </c>
      <c r="N6379" t="inlineStr">
        <is>
          <t>Microcaecilia unicolor</t>
        </is>
      </c>
      <c r="O6379" t="inlineStr">
        <is>
          <t>leucine-rich repeat-containing protein 46 isoform X2</t>
        </is>
      </c>
    </row>
    <row r="6380">
      <c r="A6380" t="inlineStr"/>
      <c r="B6380" t="inlineStr"/>
      <c r="C6380" t="inlineStr"/>
      <c r="D6380" t="inlineStr"/>
      <c r="E6380">
        <f>HYPERLINK("https://www.uniprot.org/uniprotkb/A0A6P7ZCS5/entry", "A0A6P7ZCS5")</f>
        <v/>
      </c>
      <c r="F6380" t="n">
        <v>39.7</v>
      </c>
      <c r="G6380" t="n">
        <v>116</v>
      </c>
      <c r="H6380" t="n">
        <v>2.24e-05</v>
      </c>
      <c r="I6380" t="inlineStr">
        <is>
          <t>TrEMBL</t>
        </is>
      </c>
      <c r="J6380" t="inlineStr">
        <is>
          <t>LRRC46</t>
        </is>
      </c>
      <c r="K6380" t="inlineStr">
        <is>
          <t>A0A6P7ZCS5_9AMPH</t>
        </is>
      </c>
      <c r="L6380" t="inlineStr">
        <is>
          <t>tr|A0A6P7ZCS5|A0A6P7ZCS5_9AMPH leucine-rich repeat-containing protein 46 isoform X1 OS=Microcaecilia unicolor OX=1415580 GN=LRRC46 PE=4 SV=1</t>
        </is>
      </c>
      <c r="M6380" t="n">
        <v>350</v>
      </c>
      <c r="N6380" t="inlineStr">
        <is>
          <t>Microcaecilia unicolor</t>
        </is>
      </c>
      <c r="O6380" t="inlineStr">
        <is>
          <t>leucine-rich repeat-containing protein 46 isoform X1</t>
        </is>
      </c>
    </row>
    <row r="6381">
      <c r="A6381" t="inlineStr"/>
      <c r="B6381" t="inlineStr"/>
      <c r="C6381" t="inlineStr"/>
      <c r="D6381" t="inlineStr"/>
      <c r="E6381">
        <f>HYPERLINK("https://www.ncbi.nlm.nih.gov/gene/?term=NXG91577.1", "NXG91577.1")</f>
        <v/>
      </c>
      <c r="F6381" t="n">
        <v>54.2</v>
      </c>
      <c r="G6381" t="n">
        <v>168</v>
      </c>
      <c r="H6381" t="n">
        <v>2.97e-05</v>
      </c>
      <c r="I6381" t="inlineStr">
        <is>
          <t>Nr</t>
        </is>
      </c>
      <c r="J6381" t="inlineStr"/>
      <c r="K6381" t="inlineStr"/>
      <c r="L6381" t="inlineStr">
        <is>
          <t>NXG91577.1 LRC46 protein [Stercorarius parasiticus]</t>
        </is>
      </c>
      <c r="M6381" t="n">
        <v>217</v>
      </c>
      <c r="N6381" t="inlineStr">
        <is>
          <t>Stercorarius parasiticus</t>
        </is>
      </c>
      <c r="O6381" t="inlineStr">
        <is>
          <t>LRC46 protein</t>
        </is>
      </c>
    </row>
    <row r="6382">
      <c r="A6382" t="inlineStr"/>
      <c r="B6382" t="inlineStr"/>
      <c r="C6382" t="inlineStr"/>
      <c r="D6382" t="inlineStr"/>
      <c r="E6382">
        <f>HYPERLINK("https://www.uniprot.org/uniprotkb/A0A2I0LSD9/entry", "A0A2I0LSD9")</f>
        <v/>
      </c>
      <c r="F6382" t="n">
        <v>47.5</v>
      </c>
      <c r="G6382" t="n">
        <v>160</v>
      </c>
      <c r="H6382" t="n">
        <v>3.63e-05</v>
      </c>
      <c r="I6382" t="inlineStr">
        <is>
          <t>TrEMBL</t>
        </is>
      </c>
      <c r="J6382" t="inlineStr">
        <is>
          <t>LRRC46</t>
        </is>
      </c>
      <c r="K6382" t="inlineStr">
        <is>
          <t>A0A2I0LSD9_COLLI</t>
        </is>
      </c>
      <c r="L6382" t="inlineStr">
        <is>
          <t>tr|A0A2I0LSD9|A0A2I0LSD9_COLLI Leucine rich repeat containing 46 OS=Columba livia OX=8932 GN=LRRC46 PE=4 SV=1</t>
        </is>
      </c>
      <c r="M6382" t="n">
        <v>274</v>
      </c>
      <c r="N6382" t="inlineStr">
        <is>
          <t>Columba livia</t>
        </is>
      </c>
      <c r="O6382" t="inlineStr">
        <is>
          <t>Leucine rich repeat containing 46</t>
        </is>
      </c>
    </row>
    <row r="6383">
      <c r="A6383" t="inlineStr"/>
      <c r="B6383" t="inlineStr"/>
      <c r="C6383" t="inlineStr"/>
      <c r="D6383" t="inlineStr"/>
      <c r="E6383">
        <f>HYPERLINK("https://www.uniprot.org/uniprotkb/A0A7K6RRB1/entry", "A0A7K6RRB1")</f>
        <v/>
      </c>
      <c r="F6383" t="n">
        <v>39.2</v>
      </c>
      <c r="G6383" t="n">
        <v>97</v>
      </c>
      <c r="H6383" t="n">
        <v>4.35e-05</v>
      </c>
      <c r="I6383" t="inlineStr">
        <is>
          <t>TrEMBL</t>
        </is>
      </c>
      <c r="J6383" t="inlineStr">
        <is>
          <t>Lrrc46</t>
        </is>
      </c>
      <c r="K6383" t="inlineStr">
        <is>
          <t>A0A7K6RRB1_9GRUI</t>
        </is>
      </c>
      <c r="L6383" t="inlineStr">
        <is>
          <t>tr|A0A7K6RRB1|A0A7K6RRB1_9GRUI LRC46 protein (Fragment) OS=Rhynochetos jubatus OX=54386 GN=Lrrc46 PE=4 SV=1</t>
        </is>
      </c>
      <c r="M6383" t="n">
        <v>259</v>
      </c>
      <c r="N6383" t="inlineStr">
        <is>
          <t>Rhynochetos jubatus</t>
        </is>
      </c>
      <c r="O6383" t="inlineStr">
        <is>
          <t>LRC46 protein (Fragment)</t>
        </is>
      </c>
    </row>
    <row r="6384">
      <c r="A6384" t="inlineStr"/>
      <c r="B6384" t="inlineStr"/>
      <c r="C6384" t="inlineStr"/>
      <c r="D6384" t="inlineStr"/>
      <c r="E6384">
        <f>HYPERLINK("https://www.ncbi.nlm.nih.gov/gene/?term=XP_030077178.1", "XP_030077178.1")</f>
        <v/>
      </c>
      <c r="F6384" t="n">
        <v>39.7</v>
      </c>
      <c r="G6384" t="n">
        <v>116</v>
      </c>
      <c r="H6384" t="n">
        <v>5.13e-05</v>
      </c>
      <c r="I6384" t="inlineStr">
        <is>
          <t>Nr</t>
        </is>
      </c>
      <c r="J6384" t="inlineStr"/>
      <c r="K6384" t="inlineStr"/>
      <c r="L6384" t="inlineStr">
        <is>
          <t>XP_030077178.1 leucine-rich repeat-containing protein 46 isoform X2 [Microcaecilia unicolor]</t>
        </is>
      </c>
      <c r="M6384" t="n">
        <v>322</v>
      </c>
      <c r="N6384" t="inlineStr">
        <is>
          <t>Microcaecilia unicolor</t>
        </is>
      </c>
      <c r="O6384" t="inlineStr">
        <is>
          <t>leucine-rich repeat-containing protein 46 isoform X2</t>
        </is>
      </c>
    </row>
    <row r="6385">
      <c r="A6385" t="inlineStr"/>
      <c r="B6385" t="inlineStr"/>
      <c r="C6385" t="inlineStr"/>
      <c r="D6385" t="inlineStr"/>
      <c r="E6385">
        <f>HYPERLINK("https://www.ncbi.nlm.nih.gov/gene/?term=XP_030077175.1", "XP_030077175.1")</f>
        <v/>
      </c>
      <c r="F6385" t="n">
        <v>39.7</v>
      </c>
      <c r="G6385" t="n">
        <v>116</v>
      </c>
      <c r="H6385" t="n">
        <v>5.75e-05</v>
      </c>
      <c r="I6385" t="inlineStr">
        <is>
          <t>Nr</t>
        </is>
      </c>
      <c r="J6385" t="inlineStr"/>
      <c r="K6385" t="inlineStr"/>
      <c r="L6385" t="inlineStr">
        <is>
          <t>XP_030077175.1 leucine-rich repeat-containing protein 46 isoform X1 [Microcaecilia unicolor]</t>
        </is>
      </c>
      <c r="M6385" t="n">
        <v>350</v>
      </c>
      <c r="N6385" t="inlineStr">
        <is>
          <t>Microcaecilia unicolor</t>
        </is>
      </c>
      <c r="O6385" t="inlineStr">
        <is>
          <t>leucine-rich repeat-containing protein 46 isoform X1</t>
        </is>
      </c>
    </row>
    <row r="6386">
      <c r="A6386" t="inlineStr"/>
      <c r="B6386" t="inlineStr"/>
      <c r="C6386" t="inlineStr"/>
      <c r="D6386" t="inlineStr"/>
      <c r="E6386">
        <f>HYPERLINK("https://www.ncbi.nlm.nih.gov/gene/?term=XP_040473634.1", "XP_040473634.1")</f>
        <v/>
      </c>
      <c r="F6386" t="n">
        <v>55.1</v>
      </c>
      <c r="G6386" t="n">
        <v>167</v>
      </c>
      <c r="H6386" t="n">
        <v>6.17e-05</v>
      </c>
      <c r="I6386" t="inlineStr">
        <is>
          <t>Nr</t>
        </is>
      </c>
      <c r="J6386" t="inlineStr"/>
      <c r="K6386" t="inlineStr"/>
      <c r="L6386" t="inlineStr">
        <is>
          <t>XP_040473634.1 leucine-rich repeat-containing protein 46, partial [Falco naumanni]</t>
        </is>
      </c>
      <c r="M6386" t="n">
        <v>228</v>
      </c>
      <c r="N6386" t="inlineStr">
        <is>
          <t>Falco naumanni</t>
        </is>
      </c>
      <c r="O6386" t="inlineStr">
        <is>
          <t>leucine-rich repeat-containing protein 46, partial</t>
        </is>
      </c>
    </row>
    <row r="6387">
      <c r="A6387" t="inlineStr"/>
      <c r="B6387" t="inlineStr"/>
      <c r="C6387" t="inlineStr"/>
      <c r="D6387" t="inlineStr"/>
      <c r="E6387">
        <f>HYPERLINK("https://www.uniprot.org/uniprotkb/A0A803W7Y6/entry", "A0A803W7Y6")</f>
        <v/>
      </c>
      <c r="F6387" t="n">
        <v>55.1</v>
      </c>
      <c r="G6387" t="n">
        <v>156</v>
      </c>
      <c r="H6387" t="n">
        <v>6.47e-05</v>
      </c>
      <c r="I6387" t="inlineStr">
        <is>
          <t>TrEMBL</t>
        </is>
      </c>
      <c r="J6387" t="inlineStr"/>
      <c r="K6387" t="inlineStr">
        <is>
          <t>A0A803W7Y6_FICAL</t>
        </is>
      </c>
      <c r="L6387" t="inlineStr">
        <is>
          <t>tr|A0A803W7Y6|A0A803W7Y6_FICAL Leucine rich repeat containing 46 OS=Ficedula albicollis OX=59894 PE=4 SV=1</t>
        </is>
      </c>
      <c r="M6387" t="n">
        <v>237</v>
      </c>
      <c r="N6387" t="inlineStr">
        <is>
          <t>Ficedula albicollis</t>
        </is>
      </c>
      <c r="O6387" t="inlineStr">
        <is>
          <t>Leucine rich repeat containing 46</t>
        </is>
      </c>
    </row>
    <row r="6388">
      <c r="A6388" t="inlineStr"/>
      <c r="B6388" t="inlineStr"/>
      <c r="C6388" t="inlineStr"/>
      <c r="D6388" t="inlineStr"/>
      <c r="E6388">
        <f>HYPERLINK("https://www.uniprot.org/uniprotkb/A0A8D0AXQ2/entry", "A0A8D0AXQ2")</f>
        <v/>
      </c>
      <c r="F6388" t="n">
        <v>37.8</v>
      </c>
      <c r="G6388" t="n">
        <v>98</v>
      </c>
      <c r="H6388" t="n">
        <v>6.47e-05</v>
      </c>
      <c r="I6388" t="inlineStr">
        <is>
          <t>TrEMBL</t>
        </is>
      </c>
      <c r="J6388" t="inlineStr">
        <is>
          <t>LRRC46</t>
        </is>
      </c>
      <c r="K6388" t="inlineStr">
        <is>
          <t>A0A8D0AXQ2_SALMN</t>
        </is>
      </c>
      <c r="L6388" t="inlineStr">
        <is>
          <t>tr|A0A8D0AXQ2|A0A8D0AXQ2_SALMN Leucine rich repeat containing 46 OS=Salvator merianae OX=96440 GN=LRRC46 PE=4 SV=1</t>
        </is>
      </c>
      <c r="M6388" t="n">
        <v>325</v>
      </c>
      <c r="N6388" t="inlineStr">
        <is>
          <t>Salvator merianae</t>
        </is>
      </c>
      <c r="O6388" t="inlineStr">
        <is>
          <t>Leucine rich repeat containing 46</t>
        </is>
      </c>
    </row>
    <row r="6389">
      <c r="A6389" t="inlineStr"/>
      <c r="B6389" t="inlineStr"/>
      <c r="C6389" t="inlineStr"/>
      <c r="D6389" t="inlineStr"/>
      <c r="E6389">
        <f>HYPERLINK("https://www.uniprot.org/uniprotkb/A0A7L0DQD6/entry", "A0A7L0DQD6")</f>
        <v/>
      </c>
      <c r="F6389" t="n">
        <v>53</v>
      </c>
      <c r="G6389" t="n">
        <v>168</v>
      </c>
      <c r="H6389" t="n">
        <v>7.160000000000001e-05</v>
      </c>
      <c r="I6389" t="inlineStr">
        <is>
          <t>TrEMBL</t>
        </is>
      </c>
      <c r="J6389" t="inlineStr">
        <is>
          <t>Lrrc46</t>
        </is>
      </c>
      <c r="K6389" t="inlineStr">
        <is>
          <t>A0A7L0DQD6_9CHAR</t>
        </is>
      </c>
      <c r="L6389" t="inlineStr">
        <is>
          <t>tr|A0A7L0DQD6|A0A7L0DQD6_9CHAR LRC46 protein (Fragment) OS=Rostratula benghalensis OX=118793 GN=Lrrc46 PE=4 SV=1</t>
        </is>
      </c>
      <c r="M6389" t="n">
        <v>248</v>
      </c>
      <c r="N6389" t="inlineStr">
        <is>
          <t>Rostratula benghalensis</t>
        </is>
      </c>
      <c r="O6389" t="inlineStr">
        <is>
          <t>LRC46 protein (Fragment)</t>
        </is>
      </c>
    </row>
    <row r="6390">
      <c r="A6390" t="inlineStr"/>
      <c r="B6390" t="inlineStr"/>
      <c r="C6390" t="inlineStr"/>
      <c r="D6390" t="inlineStr"/>
      <c r="E6390">
        <f>HYPERLINK("https://www.uniprot.org/uniprotkb/A0A6J2FNU0/entry", "A0A6J2FNU0")</f>
        <v/>
      </c>
      <c r="F6390" t="n">
        <v>35.1</v>
      </c>
      <c r="G6390" t="n">
        <v>251</v>
      </c>
      <c r="H6390" t="n">
        <v>7.32e-05</v>
      </c>
      <c r="I6390" t="inlineStr">
        <is>
          <t>TrEMBL</t>
        </is>
      </c>
      <c r="J6390" t="inlineStr">
        <is>
          <t>LRRC46</t>
        </is>
      </c>
      <c r="K6390" t="inlineStr">
        <is>
          <t>A0A6J2FNU0_ZALCA</t>
        </is>
      </c>
      <c r="L6390" t="inlineStr">
        <is>
          <t>tr|A0A6J2FNU0|A0A6J2FNU0_ZALCA leucine-rich repeat-containing protein 46 isoform X1 OS=Zalophus californianus OX=9704 GN=LRRC46 PE=4 SV=1</t>
        </is>
      </c>
      <c r="M6390" t="n">
        <v>359</v>
      </c>
      <c r="N6390" t="inlineStr">
        <is>
          <t>Zalophus californianus</t>
        </is>
      </c>
      <c r="O6390" t="inlineStr">
        <is>
          <t>leucine-rich repeat-containing protein 46 isoform X1</t>
        </is>
      </c>
    </row>
    <row r="6391">
      <c r="A6391" t="inlineStr"/>
      <c r="B6391" t="inlineStr"/>
      <c r="C6391" t="inlineStr"/>
      <c r="D6391" t="inlineStr"/>
      <c r="E6391">
        <f>HYPERLINK("https://www.uniprot.org/uniprotkb/A0A7L3RQV6/entry", "A0A7L3RQV6")</f>
        <v/>
      </c>
      <c r="F6391" t="n">
        <v>53.6</v>
      </c>
      <c r="G6391" t="n">
        <v>168</v>
      </c>
      <c r="H6391" t="n">
        <v>8.110000000000001e-05</v>
      </c>
      <c r="I6391" t="inlineStr">
        <is>
          <t>TrEMBL</t>
        </is>
      </c>
      <c r="J6391" t="inlineStr">
        <is>
          <t>Lrrc46</t>
        </is>
      </c>
      <c r="K6391" t="inlineStr">
        <is>
          <t>A0A7L3RQV6_CEPGR</t>
        </is>
      </c>
      <c r="L6391" t="inlineStr">
        <is>
          <t>tr|A0A7L3RQV6|A0A7L3RQV6_CEPGR LRC46 protein (Fragment) OS=Cepphus grylle OX=28697 GN=Lrrc46 PE=4 SV=1</t>
        </is>
      </c>
      <c r="M6391" t="n">
        <v>263</v>
      </c>
      <c r="N6391" t="inlineStr">
        <is>
          <t>Cepphus grylle</t>
        </is>
      </c>
      <c r="O6391" t="inlineStr">
        <is>
          <t>LRC46 protein (Fragment)</t>
        </is>
      </c>
    </row>
    <row r="6392">
      <c r="A6392" t="inlineStr"/>
      <c r="B6392" t="inlineStr"/>
      <c r="C6392" t="inlineStr"/>
      <c r="D6392" t="inlineStr"/>
      <c r="E6392">
        <f>HYPERLINK("https://www.ncbi.nlm.nih.gov/gene/?term=XP_038183853.1", "XP_038183853.1")</f>
        <v/>
      </c>
      <c r="F6392" t="n">
        <v>40.1</v>
      </c>
      <c r="G6392" t="n">
        <v>167</v>
      </c>
      <c r="H6392" t="n">
        <v>8.720000000000001e-05</v>
      </c>
      <c r="I6392" t="inlineStr">
        <is>
          <t>Nr</t>
        </is>
      </c>
      <c r="J6392" t="inlineStr"/>
      <c r="K6392" t="inlineStr"/>
      <c r="L6392" t="inlineStr">
        <is>
          <t>XP_038183853.1 leucine-rich repeat-containing protein 46 isoform X2 [Arvicola amphibius]</t>
        </is>
      </c>
      <c r="M6392" t="n">
        <v>265</v>
      </c>
      <c r="N6392" t="inlineStr">
        <is>
          <t>Arvicola amphibius</t>
        </is>
      </c>
      <c r="O6392" t="inlineStr">
        <is>
          <t>leucine-rich repeat-containing protein 46 isoform X2</t>
        </is>
      </c>
    </row>
    <row r="6393">
      <c r="A6393" t="inlineStr"/>
      <c r="B6393" t="inlineStr"/>
      <c r="C6393" t="inlineStr"/>
      <c r="D6393" t="inlineStr"/>
      <c r="E6393">
        <f>HYPERLINK("https://www.ncbi.nlm.nih.gov/gene/?term=PKK20347.1", "PKK20347.1")</f>
        <v/>
      </c>
      <c r="F6393" t="n">
        <v>47.5</v>
      </c>
      <c r="G6393" t="n">
        <v>160</v>
      </c>
      <c r="H6393" t="n">
        <v>9.32e-05</v>
      </c>
      <c r="I6393" t="inlineStr">
        <is>
          <t>Nr</t>
        </is>
      </c>
      <c r="J6393" t="inlineStr"/>
      <c r="K6393" t="inlineStr"/>
      <c r="L6393" t="inlineStr">
        <is>
          <t>PKK20347.1 leucine rich repeat containing 46 [Columba livia]</t>
        </is>
      </c>
      <c r="M6393" t="n">
        <v>274</v>
      </c>
      <c r="N6393" t="inlineStr">
        <is>
          <t>Columba livia</t>
        </is>
      </c>
      <c r="O6393" t="inlineStr">
        <is>
          <t>leucine rich repeat containing 46</t>
        </is>
      </c>
    </row>
    <row r="6394">
      <c r="A6394" t="inlineStr"/>
      <c r="B6394" t="inlineStr"/>
      <c r="C6394" t="inlineStr"/>
      <c r="D6394" t="inlineStr"/>
      <c r="E6394">
        <f>HYPERLINK("https://www.ncbi.nlm.nih.gov/gene/?term=XP_048416714.1", "XP_048416714.1")</f>
        <v/>
      </c>
      <c r="F6394" t="n">
        <v>32.3</v>
      </c>
      <c r="G6394" t="n">
        <v>130</v>
      </c>
      <c r="H6394" t="n">
        <v>0.000107</v>
      </c>
      <c r="I6394" t="inlineStr">
        <is>
          <t>Nr</t>
        </is>
      </c>
      <c r="J6394" t="inlineStr"/>
      <c r="K6394" t="inlineStr"/>
      <c r="L6394" t="inlineStr">
        <is>
          <t>XP_048416714.1 leucine-rich repeat-containing protein 46-like [Stegostoma fasciatum]</t>
        </is>
      </c>
      <c r="M6394" t="n">
        <v>296</v>
      </c>
      <c r="N6394" t="inlineStr">
        <is>
          <t>Stegostoma fasciatum</t>
        </is>
      </c>
      <c r="O6394" t="inlineStr">
        <is>
          <t>leucine-rich repeat-containing protein 46-like</t>
        </is>
      </c>
    </row>
    <row r="6395">
      <c r="A6395" t="inlineStr"/>
      <c r="B6395" t="inlineStr"/>
      <c r="C6395" t="inlineStr"/>
      <c r="D6395" t="inlineStr"/>
      <c r="E6395">
        <f>HYPERLINK("https://www.uniprot.org/uniprotkb/A0A7L4FCQ4/entry", "A0A7L4FCQ4")</f>
        <v/>
      </c>
      <c r="F6395" t="n">
        <v>38</v>
      </c>
      <c r="G6395" t="n">
        <v>92</v>
      </c>
      <c r="H6395" t="n">
        <v>0.000123</v>
      </c>
      <c r="I6395" t="inlineStr">
        <is>
          <t>TrEMBL</t>
        </is>
      </c>
      <c r="J6395" t="inlineStr">
        <is>
          <t>Lrrc46</t>
        </is>
      </c>
      <c r="K6395" t="inlineStr">
        <is>
          <t>A0A7L4FCQ4_9COLU</t>
        </is>
      </c>
      <c r="L6395" t="inlineStr">
        <is>
          <t>tr|A0A7L4FCQ4|A0A7L4FCQ4_9COLU LRC46 protein (Fragment) OS=Alopecoenas beccarii OX=262131 GN=Lrrc46 PE=4 SV=1</t>
        </is>
      </c>
      <c r="M6395" t="n">
        <v>213</v>
      </c>
      <c r="N6395" t="inlineStr">
        <is>
          <t>Alopecoenas beccarii</t>
        </is>
      </c>
      <c r="O6395" t="inlineStr">
        <is>
          <t>LRC46 protein (Fragment)</t>
        </is>
      </c>
    </row>
    <row r="6396">
      <c r="A6396" t="inlineStr"/>
      <c r="B6396" t="inlineStr"/>
      <c r="C6396" t="inlineStr"/>
      <c r="D6396" t="inlineStr"/>
      <c r="E6396">
        <f>HYPERLINK("https://www.uniprot.org/uniprotkb/A0A7L3UE74/entry", "A0A7L3UE74")</f>
        <v/>
      </c>
      <c r="F6396" t="n">
        <v>53</v>
      </c>
      <c r="G6396" t="n">
        <v>168</v>
      </c>
      <c r="H6396" t="n">
        <v>0.000196</v>
      </c>
      <c r="I6396" t="inlineStr">
        <is>
          <t>TrEMBL</t>
        </is>
      </c>
      <c r="J6396" t="inlineStr">
        <is>
          <t>Lrrc46</t>
        </is>
      </c>
      <c r="K6396" t="inlineStr">
        <is>
          <t>A0A7L3UE74_URIAL</t>
        </is>
      </c>
      <c r="L6396" t="inlineStr">
        <is>
          <t>tr|A0A7L3UE74|A0A7L3UE74_URIAL LRC46 protein (Fragment) OS=Uria aalge OX=13746 GN=Lrrc46 PE=4 SV=1</t>
        </is>
      </c>
      <c r="M6396" t="n">
        <v>263</v>
      </c>
      <c r="N6396" t="inlineStr">
        <is>
          <t>Uria aalge</t>
        </is>
      </c>
      <c r="O6396" t="inlineStr">
        <is>
          <t>LRC46 protein (Fragment)</t>
        </is>
      </c>
    </row>
    <row r="6397">
      <c r="A6397" t="inlineStr"/>
      <c r="B6397" t="inlineStr"/>
      <c r="C6397" t="inlineStr"/>
      <c r="D6397" t="inlineStr"/>
      <c r="E6397">
        <f>HYPERLINK("https://www.uniprot.org/uniprotkb/A0A7L1A8V5/entry", "A0A7L1A8V5")</f>
        <v/>
      </c>
      <c r="F6397" t="n">
        <v>45.4</v>
      </c>
      <c r="G6397" t="n">
        <v>163</v>
      </c>
      <c r="H6397" t="n">
        <v>0.000212</v>
      </c>
      <c r="I6397" t="inlineStr">
        <is>
          <t>TrEMBL</t>
        </is>
      </c>
      <c r="J6397" t="inlineStr">
        <is>
          <t>Lrrc46</t>
        </is>
      </c>
      <c r="K6397" t="inlineStr">
        <is>
          <t>A0A7L1A8V5_9PASS</t>
        </is>
      </c>
      <c r="L6397" t="inlineStr">
        <is>
          <t>tr|A0A7L1A8V5|A0A7L1A8V5_9PASS LRC46 protein (Fragment) OS=Oxyruncus cristatus OX=114331 GN=Lrrc46 PE=4 SV=1</t>
        </is>
      </c>
      <c r="M6397" t="n">
        <v>274</v>
      </c>
      <c r="N6397" t="inlineStr">
        <is>
          <t>Oxyruncus cristatus</t>
        </is>
      </c>
      <c r="O6397" t="inlineStr">
        <is>
          <t>LRC46 protein (Fragment)</t>
        </is>
      </c>
    </row>
    <row r="6398">
      <c r="A6398" t="inlineStr"/>
      <c r="B6398" t="inlineStr"/>
      <c r="C6398" t="inlineStr"/>
      <c r="D6398" t="inlineStr"/>
      <c r="E6398">
        <f>HYPERLINK("https://www.uniprot.org/uniprotkb/A0A7K5Y041/entry", "A0A7K5Y041")</f>
        <v/>
      </c>
      <c r="F6398" t="n">
        <v>53</v>
      </c>
      <c r="G6398" t="n">
        <v>168</v>
      </c>
      <c r="H6398" t="n">
        <v>0.000235</v>
      </c>
      <c r="I6398" t="inlineStr">
        <is>
          <t>TrEMBL</t>
        </is>
      </c>
      <c r="J6398" t="inlineStr">
        <is>
          <t>Lrrc46</t>
        </is>
      </c>
      <c r="K6398" t="inlineStr">
        <is>
          <t>A0A7K5Y041_9CHAR</t>
        </is>
      </c>
      <c r="L6398" t="inlineStr">
        <is>
          <t>tr|A0A7K5Y041|A0A7K5Y041_9CHAR LRC46 protein (Fragment) OS=Dromas ardeola OX=458190 GN=Lrrc46 PE=4 SV=1</t>
        </is>
      </c>
      <c r="M6398" t="n">
        <v>248</v>
      </c>
      <c r="N6398" t="inlineStr">
        <is>
          <t>Dromas ardeola</t>
        </is>
      </c>
      <c r="O6398" t="inlineStr">
        <is>
          <t>LRC46 protein (Fragment)</t>
        </is>
      </c>
    </row>
    <row r="6399">
      <c r="A6399" t="inlineStr"/>
      <c r="B6399" t="inlineStr"/>
      <c r="C6399" t="inlineStr"/>
      <c r="D6399" t="inlineStr"/>
      <c r="E6399">
        <f>HYPERLINK("https://www.uniprot.org/uniprotkb/A0A643BLX8/entry", "A0A643BLX8")</f>
        <v/>
      </c>
      <c r="F6399" t="n">
        <v>50</v>
      </c>
      <c r="G6399" t="n">
        <v>116</v>
      </c>
      <c r="H6399" t="n">
        <v>0.000261</v>
      </c>
      <c r="I6399" t="inlineStr">
        <is>
          <t>TrEMBL</t>
        </is>
      </c>
      <c r="J6399" t="inlineStr">
        <is>
          <t>E2I00_016592</t>
        </is>
      </c>
      <c r="K6399" t="inlineStr">
        <is>
          <t>A0A643BLX8_BALPH</t>
        </is>
      </c>
      <c r="L6399" t="inlineStr">
        <is>
          <t>tr|A0A643BLX8|A0A643BLX8_BALPH Leucine-rich repeat-containing protein 46 OS=Balaenoptera physalus OX=9770 GN=E2I00_016592 PE=4 SV=1</t>
        </is>
      </c>
      <c r="M6399" t="n">
        <v>407</v>
      </c>
      <c r="N6399" t="inlineStr">
        <is>
          <t>Balaenoptera physalus</t>
        </is>
      </c>
      <c r="O6399" t="inlineStr">
        <is>
          <t>Leucine-rich repeat-containing protein 46</t>
        </is>
      </c>
    </row>
    <row r="6400">
      <c r="A6400" t="inlineStr"/>
      <c r="B6400" t="inlineStr"/>
      <c r="C6400" t="inlineStr"/>
      <c r="D6400" t="inlineStr"/>
      <c r="E6400">
        <f>HYPERLINK("https://www.uniprot.org/uniprotkb/A0A670J8F3/entry", "A0A670J8F3")</f>
        <v/>
      </c>
      <c r="F6400" t="n">
        <v>38.4</v>
      </c>
      <c r="G6400" t="n">
        <v>99</v>
      </c>
      <c r="H6400" t="n">
        <v>0.000273</v>
      </c>
      <c r="I6400" t="inlineStr">
        <is>
          <t>TrEMBL</t>
        </is>
      </c>
      <c r="J6400" t="inlineStr">
        <is>
          <t>LRRC46</t>
        </is>
      </c>
      <c r="K6400" t="inlineStr">
        <is>
          <t>A0A670J8F3_PODMU</t>
        </is>
      </c>
      <c r="L6400" t="inlineStr">
        <is>
          <t>tr|A0A670J8F3|A0A670J8F3_PODMU Leucine rich repeat containing 46 OS=Podarcis muralis OX=64176 GN=LRRC46 PE=4 SV=1</t>
        </is>
      </c>
      <c r="M6400" t="n">
        <v>323</v>
      </c>
      <c r="N6400" t="inlineStr">
        <is>
          <t>Podarcis muralis</t>
        </is>
      </c>
      <c r="O6400" t="inlineStr">
        <is>
          <t>Leucine rich repeat containing 46</t>
        </is>
      </c>
    </row>
    <row r="6401">
      <c r="A6401" t="inlineStr">
        <is>
          <t>NODE_39352_length_3468_cov_10.638636_g13432_i0</t>
        </is>
      </c>
      <c r="B6401" t="inlineStr">
        <is>
          <t>bombina_pachypus_blastx</t>
        </is>
      </c>
      <c r="C6401" t="n">
        <v>-2.23658687315194</v>
      </c>
      <c r="D6401" t="n">
        <v>0.0121248012986732</v>
      </c>
      <c r="E6401">
        <f>HYPERLINK("https://www.uniprot.org/uniprotkb/A0A2J7QS13/entry", "A0A2J7QS13")</f>
        <v/>
      </c>
      <c r="F6401" t="n">
        <v>50.6</v>
      </c>
      <c r="G6401" t="n">
        <v>85</v>
      </c>
      <c r="H6401" t="n">
        <v>2.27e-19</v>
      </c>
      <c r="I6401" t="inlineStr">
        <is>
          <t>TrEMBL</t>
        </is>
      </c>
      <c r="J6401" t="inlineStr">
        <is>
          <t>B7P43_G10057</t>
        </is>
      </c>
      <c r="K6401" t="inlineStr">
        <is>
          <t>A0A2J7QS13_9NEOP</t>
        </is>
      </c>
      <c r="L6401" t="inlineStr">
        <is>
          <t>tr|A0A2J7QS13|A0A2J7QS13_9NEOP THAP-type domain-containing protein OS=Cryptotermes secundus OX=105785 GN=B7P43_G10057 PE=4 SV=1</t>
        </is>
      </c>
      <c r="M6401" t="n">
        <v>733</v>
      </c>
      <c r="N6401" t="inlineStr">
        <is>
          <t>Cryptotermes secundus</t>
        </is>
      </c>
      <c r="O6401" t="inlineStr">
        <is>
          <t>THAP-type domain-containing protein</t>
        </is>
      </c>
    </row>
    <row r="6402">
      <c r="A6402" t="inlineStr"/>
      <c r="B6402" t="inlineStr"/>
      <c r="C6402" t="inlineStr"/>
      <c r="D6402" t="inlineStr"/>
      <c r="E6402">
        <f>HYPERLINK("https://www.ncbi.nlm.nih.gov/gene/?term=PNF31381.1", "PNF31381.1")</f>
        <v/>
      </c>
      <c r="F6402" t="n">
        <v>50.6</v>
      </c>
      <c r="G6402" t="n">
        <v>85</v>
      </c>
      <c r="H6402" t="n">
        <v>5.83e-19</v>
      </c>
      <c r="I6402" t="inlineStr">
        <is>
          <t>Nr</t>
        </is>
      </c>
      <c r="J6402" t="inlineStr"/>
      <c r="K6402" t="inlineStr"/>
      <c r="L6402" t="inlineStr">
        <is>
          <t>PNF31381.1 hypothetical protein B7P43_G10057 [Cryptotermes secundus]</t>
        </is>
      </c>
      <c r="M6402" t="n">
        <v>733</v>
      </c>
      <c r="N6402" t="inlineStr">
        <is>
          <t>Cryptotermes secundus</t>
        </is>
      </c>
      <c r="O6402" t="inlineStr">
        <is>
          <t>hypothetical protein B7P43_G10057</t>
        </is>
      </c>
    </row>
    <row r="6403">
      <c r="A6403" t="inlineStr"/>
      <c r="B6403" t="inlineStr"/>
      <c r="C6403" t="inlineStr"/>
      <c r="D6403" t="inlineStr"/>
      <c r="E6403">
        <f>HYPERLINK("https://www.ncbi.nlm.nih.gov/gene/?term=CAH2088792.1", "CAH2088792.1")</f>
        <v/>
      </c>
      <c r="F6403" t="n">
        <v>47.6</v>
      </c>
      <c r="G6403" t="n">
        <v>82</v>
      </c>
      <c r="H6403" t="n">
        <v>3.58e-18</v>
      </c>
      <c r="I6403" t="inlineStr">
        <is>
          <t>Nr</t>
        </is>
      </c>
      <c r="J6403" t="inlineStr"/>
      <c r="K6403" t="inlineStr"/>
      <c r="L6403" t="inlineStr">
        <is>
          <t>CAH2088792.1 unnamed protein product [Euphydryas editha]</t>
        </is>
      </c>
      <c r="M6403" t="n">
        <v>310</v>
      </c>
      <c r="N6403" t="inlineStr">
        <is>
          <t>Euphydryas editha</t>
        </is>
      </c>
      <c r="O6403" t="inlineStr">
        <is>
          <t>unnamed protein product</t>
        </is>
      </c>
    </row>
    <row r="6404">
      <c r="A6404" t="inlineStr"/>
      <c r="B6404" t="inlineStr"/>
      <c r="C6404" t="inlineStr"/>
      <c r="D6404" t="inlineStr"/>
      <c r="E6404">
        <f>HYPERLINK("https://www.uniprot.org/uniprotkb/A0A8K0P918/entry", "A0A8K0P918")</f>
        <v/>
      </c>
      <c r="F6404" t="n">
        <v>46</v>
      </c>
      <c r="G6404" t="n">
        <v>87</v>
      </c>
      <c r="H6404" t="n">
        <v>1.07e-17</v>
      </c>
      <c r="I6404" t="inlineStr">
        <is>
          <t>TrEMBL</t>
        </is>
      </c>
      <c r="J6404" t="inlineStr">
        <is>
          <t>J437_LFUL013615</t>
        </is>
      </c>
      <c r="K6404" t="inlineStr">
        <is>
          <t>A0A8K0P918_LADFU</t>
        </is>
      </c>
      <c r="L6404" t="inlineStr">
        <is>
          <t>tr|A0A8K0P918|A0A8K0P918_LADFU Uncharacterized protein OS=Ladona fulva OX=123851 GN=J437_LFUL013615 PE=4 SV=1</t>
        </is>
      </c>
      <c r="M6404" t="n">
        <v>207</v>
      </c>
      <c r="N6404" t="inlineStr">
        <is>
          <t>Ladona fulva</t>
        </is>
      </c>
      <c r="O6404" t="inlineStr">
        <is>
          <t>Uncharacterized protein</t>
        </is>
      </c>
    </row>
    <row r="6405">
      <c r="A6405" t="inlineStr"/>
      <c r="B6405" t="inlineStr"/>
      <c r="C6405" t="inlineStr"/>
      <c r="D6405" t="inlineStr"/>
      <c r="E6405">
        <f>HYPERLINK("https://www.ncbi.nlm.nih.gov/gene/?term=KAG8237637.1", "KAG8237637.1")</f>
        <v/>
      </c>
      <c r="F6405" t="n">
        <v>46</v>
      </c>
      <c r="G6405" t="n">
        <v>87</v>
      </c>
      <c r="H6405" t="n">
        <v>2.75e-17</v>
      </c>
      <c r="I6405" t="inlineStr">
        <is>
          <t>Nr</t>
        </is>
      </c>
      <c r="J6405" t="inlineStr"/>
      <c r="K6405" t="inlineStr"/>
      <c r="L6405" t="inlineStr">
        <is>
          <t>KAG8237637.1 hypothetical protein J437_LFUL013615 [Ladona fulva]</t>
        </is>
      </c>
      <c r="M6405" t="n">
        <v>207</v>
      </c>
      <c r="N6405" t="inlineStr">
        <is>
          <t>Ladona fulva</t>
        </is>
      </c>
      <c r="O6405" t="inlineStr">
        <is>
          <t>hypothetical protein J437_LFUL013615</t>
        </is>
      </c>
    </row>
    <row r="6406">
      <c r="A6406" t="inlineStr"/>
      <c r="B6406" t="inlineStr"/>
      <c r="C6406" t="inlineStr"/>
      <c r="D6406" t="inlineStr"/>
      <c r="E6406">
        <f>HYPERLINK("https://www.uniprot.org/uniprotkb/A0A4Y2AD60/entry", "A0A4Y2AD60")</f>
        <v/>
      </c>
      <c r="F6406" t="n">
        <v>49.3</v>
      </c>
      <c r="G6406" t="n">
        <v>73</v>
      </c>
      <c r="H6406" t="n">
        <v>4.47e-17</v>
      </c>
      <c r="I6406" t="inlineStr">
        <is>
          <t>TrEMBL</t>
        </is>
      </c>
      <c r="J6406" t="inlineStr">
        <is>
          <t>AVEN_255961_1</t>
        </is>
      </c>
      <c r="K6406" t="inlineStr">
        <is>
          <t>A0A4Y2AD60_ARAVE</t>
        </is>
      </c>
      <c r="L6406" t="inlineStr">
        <is>
          <t>tr|A0A4Y2AD60|A0A4Y2AD60_ARAVE Integrase catalytic domain-containing protein (Fragment) OS=Araneus ventricosus OX=182803 GN=AVEN_255961_1 PE=4 SV=1</t>
        </is>
      </c>
      <c r="M6406" t="n">
        <v>693</v>
      </c>
      <c r="N6406" t="inlineStr">
        <is>
          <t>Araneus ventricosus</t>
        </is>
      </c>
      <c r="O6406" t="inlineStr">
        <is>
          <t>Integrase catalytic domain-containing protein (Fragment)</t>
        </is>
      </c>
    </row>
    <row r="6407">
      <c r="A6407" t="inlineStr"/>
      <c r="B6407" t="inlineStr"/>
      <c r="C6407" t="inlineStr"/>
      <c r="D6407" t="inlineStr"/>
      <c r="E6407">
        <f>HYPERLINK("https://www.uniprot.org/uniprotkb/A0A8J2WG79/entry", "A0A8J2WG79")</f>
        <v/>
      </c>
      <c r="F6407" t="n">
        <v>47.5</v>
      </c>
      <c r="G6407" t="n">
        <v>80</v>
      </c>
      <c r="H6407" t="n">
        <v>6.17e-17</v>
      </c>
      <c r="I6407" t="inlineStr">
        <is>
          <t>TrEMBL</t>
        </is>
      </c>
      <c r="J6407" t="inlineStr">
        <is>
          <t>DGAL_LOCUS9270</t>
        </is>
      </c>
      <c r="K6407" t="inlineStr">
        <is>
          <t>A0A8J2WG79_9CRUS</t>
        </is>
      </c>
      <c r="L6407" t="inlineStr">
        <is>
          <t>tr|A0A8J2WG79|A0A8J2WG79_9CRUS Cc8L18.2-like protein OS=Daphnia galeata OX=27404 GN=DGAL_LOCUS9270 PE=4 SV=1</t>
        </is>
      </c>
      <c r="M6407" t="n">
        <v>800</v>
      </c>
      <c r="N6407" t="inlineStr">
        <is>
          <t>Daphnia galeata</t>
        </is>
      </c>
      <c r="O6407" t="inlineStr">
        <is>
          <t>Cc8L18.2-like protein</t>
        </is>
      </c>
    </row>
    <row r="6408">
      <c r="A6408" t="inlineStr"/>
      <c r="B6408" t="inlineStr"/>
      <c r="C6408" t="inlineStr"/>
      <c r="D6408" t="inlineStr"/>
      <c r="E6408">
        <f>HYPERLINK("https://www.ncbi.nlm.nih.gov/gene/?term=GBL77698.1", "GBL77698.1")</f>
        <v/>
      </c>
      <c r="F6408" t="n">
        <v>49.3</v>
      </c>
      <c r="G6408" t="n">
        <v>73</v>
      </c>
      <c r="H6408" t="n">
        <v>1.15e-16</v>
      </c>
      <c r="I6408" t="inlineStr">
        <is>
          <t>Nr</t>
        </is>
      </c>
      <c r="J6408" t="inlineStr"/>
      <c r="K6408" t="inlineStr"/>
      <c r="L6408" t="inlineStr">
        <is>
          <t>GBL77698.1 hypothetical protein AVEN_255961-1, partial [Araneus ventricosus]</t>
        </is>
      </c>
      <c r="M6408" t="n">
        <v>693</v>
      </c>
      <c r="N6408" t="inlineStr">
        <is>
          <t>Araneus ventricosus</t>
        </is>
      </c>
      <c r="O6408" t="inlineStr">
        <is>
          <t>hypothetical protein AVEN_255961-1, partial</t>
        </is>
      </c>
    </row>
    <row r="6409">
      <c r="A6409" t="inlineStr"/>
      <c r="B6409" t="inlineStr"/>
      <c r="C6409" t="inlineStr"/>
      <c r="D6409" t="inlineStr"/>
      <c r="E6409">
        <f>HYPERLINK("https://www.uniprot.org/uniprotkb/A0A816YX73/entry", "A0A816YX73")</f>
        <v/>
      </c>
      <c r="F6409" t="n">
        <v>46.9</v>
      </c>
      <c r="G6409" t="n">
        <v>81</v>
      </c>
      <c r="H6409" t="n">
        <v>1.15e-16</v>
      </c>
      <c r="I6409" t="inlineStr">
        <is>
          <t>TrEMBL</t>
        </is>
      </c>
      <c r="J6409" t="inlineStr">
        <is>
          <t>XDN619_LOCUS31386</t>
        </is>
      </c>
      <c r="K6409" t="inlineStr">
        <is>
          <t>A0A816YX73_9BILA</t>
        </is>
      </c>
      <c r="L6409" t="inlineStr">
        <is>
          <t>tr|A0A816YX73|A0A816YX73_9BILA NARG2_C domain-containing protein OS=Rotaria magnacalcarata OX=392030 GN=XDN619_LOCUS31386 PE=4 SV=1</t>
        </is>
      </c>
      <c r="M6409" t="n">
        <v>812</v>
      </c>
      <c r="N6409" t="inlineStr">
        <is>
          <t>Rotaria magnacalcarata</t>
        </is>
      </c>
      <c r="O6409" t="inlineStr">
        <is>
          <t>NARG2_C domain-containing protein</t>
        </is>
      </c>
    </row>
    <row r="6410">
      <c r="A6410" t="inlineStr"/>
      <c r="B6410" t="inlineStr"/>
      <c r="C6410" t="inlineStr"/>
      <c r="D6410" t="inlineStr"/>
      <c r="E6410">
        <f>HYPERLINK("https://www.uniprot.org/uniprotkb/A0A821SU72/entry", "A0A821SU72")</f>
        <v/>
      </c>
      <c r="F6410" t="n">
        <v>46.9</v>
      </c>
      <c r="G6410" t="n">
        <v>81</v>
      </c>
      <c r="H6410" t="n">
        <v>1.15e-16</v>
      </c>
      <c r="I6410" t="inlineStr">
        <is>
          <t>TrEMBL</t>
        </is>
      </c>
      <c r="J6410" t="inlineStr">
        <is>
          <t>TOA249_LOCUS27969</t>
        </is>
      </c>
      <c r="K6410" t="inlineStr">
        <is>
          <t>A0A821SU72_9BILA</t>
        </is>
      </c>
      <c r="L6410" t="inlineStr">
        <is>
          <t>tr|A0A821SU72|A0A821SU72_9BILA NARG2_C domain-containing protein OS=Rotaria socialis OX=392032 GN=TOA249_LOCUS27969 PE=4 SV=1</t>
        </is>
      </c>
      <c r="M6410" t="n">
        <v>812</v>
      </c>
      <c r="N6410" t="inlineStr">
        <is>
          <t>Rotaria socialis</t>
        </is>
      </c>
      <c r="O6410" t="inlineStr">
        <is>
          <t>NARG2_C domain-containing protein</t>
        </is>
      </c>
    </row>
    <row r="6411">
      <c r="A6411" t="inlineStr"/>
      <c r="B6411" t="inlineStr"/>
      <c r="C6411" t="inlineStr"/>
      <c r="D6411" t="inlineStr"/>
      <c r="E6411">
        <f>HYPERLINK("https://www.ncbi.nlm.nih.gov/gene/?term=CAH0106120.1", "CAH0106120.1")</f>
        <v/>
      </c>
      <c r="F6411" t="n">
        <v>47.5</v>
      </c>
      <c r="G6411" t="n">
        <v>80</v>
      </c>
      <c r="H6411" t="n">
        <v>1.58e-16</v>
      </c>
      <c r="I6411" t="inlineStr">
        <is>
          <t>Nr</t>
        </is>
      </c>
      <c r="J6411" t="inlineStr"/>
      <c r="K6411" t="inlineStr"/>
      <c r="L6411" t="inlineStr">
        <is>
          <t>CAH0106120.1 unnamed protein product [Daphnia galeata]</t>
        </is>
      </c>
      <c r="M6411" t="n">
        <v>800</v>
      </c>
      <c r="N6411" t="inlineStr">
        <is>
          <t>Daphnia galeata</t>
        </is>
      </c>
      <c r="O6411" t="inlineStr">
        <is>
          <t>unnamed protein product</t>
        </is>
      </c>
    </row>
    <row r="6412">
      <c r="A6412" t="inlineStr"/>
      <c r="B6412" t="inlineStr"/>
      <c r="C6412" t="inlineStr"/>
      <c r="D6412" t="inlineStr"/>
      <c r="E6412">
        <f>HYPERLINK("https://www.uniprot.org/uniprotkb/A0A162RPL1/entry", "A0A162RPL1")</f>
        <v/>
      </c>
      <c r="F6412" t="n">
        <v>46.3</v>
      </c>
      <c r="G6412" t="n">
        <v>80</v>
      </c>
      <c r="H6412" t="n">
        <v>1.59e-16</v>
      </c>
      <c r="I6412" t="inlineStr">
        <is>
          <t>TrEMBL</t>
        </is>
      </c>
      <c r="J6412" t="inlineStr">
        <is>
          <t>APZ42_012549</t>
        </is>
      </c>
      <c r="K6412" t="inlineStr">
        <is>
          <t>A0A162RPL1_9CRUS</t>
        </is>
      </c>
      <c r="L6412" t="inlineStr">
        <is>
          <t>tr|A0A162RPL1|A0A162RPL1_9CRUS Cc8L18.2-like protein OS=Daphnia magna OX=35525 GN=APZ42_012549 PE=4 SV=1</t>
        </is>
      </c>
      <c r="M6412" t="n">
        <v>1080</v>
      </c>
      <c r="N6412" t="inlineStr">
        <is>
          <t>Daphnia magna</t>
        </is>
      </c>
      <c r="O6412" t="inlineStr">
        <is>
          <t>Cc8L18.2-like protein</t>
        </is>
      </c>
    </row>
    <row r="6413">
      <c r="A6413" t="inlineStr"/>
      <c r="B6413" t="inlineStr"/>
      <c r="C6413" t="inlineStr"/>
      <c r="D6413" t="inlineStr"/>
      <c r="E6413">
        <f>HYPERLINK("https://www.ncbi.nlm.nih.gov/gene/?term=XP_047126601.1", "XP_047126601.1")</f>
        <v/>
      </c>
      <c r="F6413" t="n">
        <v>47.4</v>
      </c>
      <c r="G6413" t="n">
        <v>78</v>
      </c>
      <c r="H6413" t="n">
        <v>1.6e-16</v>
      </c>
      <c r="I6413" t="inlineStr">
        <is>
          <t>Nr</t>
        </is>
      </c>
      <c r="J6413" t="inlineStr"/>
      <c r="K6413" t="inlineStr"/>
      <c r="L6413" t="inlineStr">
        <is>
          <t>XP_047126601.1 uncharacterized protein LOC124807910 isoform X1 [Hydra vulgaris]</t>
        </is>
      </c>
      <c r="M6413" t="n">
        <v>361</v>
      </c>
      <c r="N6413" t="inlineStr">
        <is>
          <t>Hydra vulgaris</t>
        </is>
      </c>
      <c r="O6413" t="inlineStr">
        <is>
          <t>uncharacterized protein LOC124807910 isoform X1</t>
        </is>
      </c>
    </row>
    <row r="6414">
      <c r="A6414" t="inlineStr"/>
      <c r="B6414" t="inlineStr"/>
      <c r="C6414" t="inlineStr"/>
      <c r="D6414" t="inlineStr"/>
      <c r="E6414">
        <f>HYPERLINK("https://www.ncbi.nlm.nih.gov/gene/?term=CAD6241448.1", "CAD6241448.1")</f>
        <v/>
      </c>
      <c r="F6414" t="n">
        <v>49.3</v>
      </c>
      <c r="G6414" t="n">
        <v>73</v>
      </c>
      <c r="H6414" t="n">
        <v>2.29e-16</v>
      </c>
      <c r="I6414" t="inlineStr">
        <is>
          <t>Nr</t>
        </is>
      </c>
      <c r="J6414" t="inlineStr"/>
      <c r="K6414" t="inlineStr"/>
      <c r="L6414" t="inlineStr">
        <is>
          <t>CAD6241448.1 GSCOCG00009257001-RA-CDS, partial [Cotesia congregata]</t>
        </is>
      </c>
      <c r="M6414" t="n">
        <v>229</v>
      </c>
      <c r="N6414" t="inlineStr">
        <is>
          <t>Cotesia congregata</t>
        </is>
      </c>
      <c r="O6414" t="inlineStr">
        <is>
          <t>GSCOCG00009257001-RA-CDS, partial</t>
        </is>
      </c>
    </row>
    <row r="6415">
      <c r="A6415" t="inlineStr"/>
      <c r="B6415" t="inlineStr"/>
      <c r="C6415" t="inlineStr"/>
      <c r="D6415" t="inlineStr"/>
      <c r="E6415">
        <f>HYPERLINK("https://www.uniprot.org/uniprotkb/A0A6P7GVN1/entry", "A0A6P7GVN1")</f>
        <v/>
      </c>
      <c r="F6415" t="n">
        <v>49.3</v>
      </c>
      <c r="G6415" t="n">
        <v>73</v>
      </c>
      <c r="H6415" t="n">
        <v>2.83e-16</v>
      </c>
      <c r="I6415" t="inlineStr">
        <is>
          <t>TrEMBL</t>
        </is>
      </c>
      <c r="J6415" t="inlineStr">
        <is>
          <t>LOC114343446</t>
        </is>
      </c>
      <c r="K6415" t="inlineStr">
        <is>
          <t>A0A6P7GVN1_DIAVI</t>
        </is>
      </c>
      <c r="L6415" t="inlineStr">
        <is>
          <t>tr|A0A6P7GVN1|A0A6P7GVN1_DIAVI uncharacterized protein LOC114343446 OS=Diabrotica virgifera virgifera OX=50390 GN=LOC114343446 PE=4 SV=1</t>
        </is>
      </c>
      <c r="M6415" t="n">
        <v>565</v>
      </c>
      <c r="N6415" t="inlineStr">
        <is>
          <t>Diabrotica virgifera virgifera</t>
        </is>
      </c>
      <c r="O6415" t="inlineStr">
        <is>
          <t>uncharacterized protein LOC114343446</t>
        </is>
      </c>
    </row>
    <row r="6416">
      <c r="A6416" t="inlineStr"/>
      <c r="B6416" t="inlineStr"/>
      <c r="C6416" t="inlineStr"/>
      <c r="D6416" t="inlineStr"/>
      <c r="E6416">
        <f>HYPERLINK("https://www.uniprot.org/uniprotkb/A0A4Y2AJX1/entry", "A0A4Y2AJX1")</f>
        <v/>
      </c>
      <c r="F6416" t="n">
        <v>47.9</v>
      </c>
      <c r="G6416" t="n">
        <v>73</v>
      </c>
      <c r="H6416" t="n">
        <v>2.93e-16</v>
      </c>
      <c r="I6416" t="inlineStr">
        <is>
          <t>TrEMBL</t>
        </is>
      </c>
      <c r="J6416" t="inlineStr">
        <is>
          <t>AVEN_28978_1</t>
        </is>
      </c>
      <c r="K6416" t="inlineStr">
        <is>
          <t>A0A4Y2AJX1_ARAVE</t>
        </is>
      </c>
      <c r="L6416" t="inlineStr">
        <is>
          <t>tr|A0A4Y2AJX1|A0A4Y2AJX1_ARAVE Integrase catalytic domain-containing protein OS=Araneus ventricosus OX=182803 GN=AVEN_28978_1 PE=4 SV=1</t>
        </is>
      </c>
      <c r="M6416" t="n">
        <v>834</v>
      </c>
      <c r="N6416" t="inlineStr">
        <is>
          <t>Araneus ventricosus</t>
        </is>
      </c>
      <c r="O6416" t="inlineStr">
        <is>
          <t>Integrase catalytic domain-containing protein</t>
        </is>
      </c>
    </row>
    <row r="6417">
      <c r="A6417" t="inlineStr"/>
      <c r="B6417" t="inlineStr"/>
      <c r="C6417" t="inlineStr"/>
      <c r="D6417" t="inlineStr"/>
      <c r="E6417">
        <f>HYPERLINK("https://www.ncbi.nlm.nih.gov/gene/?term=CAF2174414.1", "CAF2174414.1")</f>
        <v/>
      </c>
      <c r="F6417" t="n">
        <v>46.9</v>
      </c>
      <c r="G6417" t="n">
        <v>81</v>
      </c>
      <c r="H6417" t="n">
        <v>2.95e-16</v>
      </c>
      <c r="I6417" t="inlineStr">
        <is>
          <t>Nr</t>
        </is>
      </c>
      <c r="J6417" t="inlineStr"/>
      <c r="K6417" t="inlineStr"/>
      <c r="L6417" t="inlineStr">
        <is>
          <t>CAF2174414.1 unnamed protein product [Rotaria magnacalcarata]</t>
        </is>
      </c>
      <c r="M6417" t="n">
        <v>812</v>
      </c>
      <c r="N6417" t="inlineStr">
        <is>
          <t>Rotaria magnacalcarata</t>
        </is>
      </c>
      <c r="O6417" t="inlineStr">
        <is>
          <t>unnamed protein product</t>
        </is>
      </c>
    </row>
    <row r="6418">
      <c r="A6418" t="inlineStr"/>
      <c r="B6418" t="inlineStr"/>
      <c r="C6418" t="inlineStr"/>
      <c r="D6418" t="inlineStr"/>
      <c r="E6418">
        <f>HYPERLINK("https://www.ncbi.nlm.nih.gov/gene/?term=CAH0391660.1", "CAH0391660.1")</f>
        <v/>
      </c>
      <c r="F6418" t="n">
        <v>50</v>
      </c>
      <c r="G6418" t="n">
        <v>80</v>
      </c>
      <c r="H6418" t="n">
        <v>4.02e-16</v>
      </c>
      <c r="I6418" t="inlineStr">
        <is>
          <t>Nr</t>
        </is>
      </c>
      <c r="J6418" t="inlineStr"/>
      <c r="K6418" t="inlineStr"/>
      <c r="L6418" t="inlineStr">
        <is>
          <t>CAH0391660.1 unnamed protein product [Bemisia tabaci]</t>
        </is>
      </c>
      <c r="M6418" t="n">
        <v>780</v>
      </c>
      <c r="N6418" t="inlineStr">
        <is>
          <t>Bemisia tabaci</t>
        </is>
      </c>
      <c r="O6418" t="inlineStr">
        <is>
          <t>unnamed protein product</t>
        </is>
      </c>
    </row>
    <row r="6419">
      <c r="A6419" t="inlineStr"/>
      <c r="B6419" t="inlineStr"/>
      <c r="C6419" t="inlineStr"/>
      <c r="D6419" t="inlineStr"/>
      <c r="E6419">
        <f>HYPERLINK("https://www.ncbi.nlm.nih.gov/gene/?term=KZS20685.1", "KZS20685.1")</f>
        <v/>
      </c>
      <c r="F6419" t="n">
        <v>46.3</v>
      </c>
      <c r="G6419" t="n">
        <v>80</v>
      </c>
      <c r="H6419" t="n">
        <v>4.09e-16</v>
      </c>
      <c r="I6419" t="inlineStr">
        <is>
          <t>Nr</t>
        </is>
      </c>
      <c r="J6419" t="inlineStr"/>
      <c r="K6419" t="inlineStr"/>
      <c r="L6419" t="inlineStr">
        <is>
          <t>KZS20685.1 Cc8L18.2-like protein [Daphnia magna]</t>
        </is>
      </c>
      <c r="M6419" t="n">
        <v>1080</v>
      </c>
      <c r="N6419" t="inlineStr">
        <is>
          <t>Daphnia magna</t>
        </is>
      </c>
      <c r="O6419" t="inlineStr">
        <is>
          <t>Cc8L18.2-like protein</t>
        </is>
      </c>
    </row>
    <row r="6420">
      <c r="A6420" t="inlineStr"/>
      <c r="B6420" t="inlineStr"/>
      <c r="C6420" t="inlineStr"/>
      <c r="D6420" t="inlineStr"/>
      <c r="E6420">
        <f>HYPERLINK("https://www.uniprot.org/uniprotkb/R7TW85/entry", "R7TW85")</f>
        <v/>
      </c>
      <c r="F6420" t="n">
        <v>54.5</v>
      </c>
      <c r="G6420" t="n">
        <v>66</v>
      </c>
      <c r="H6420" t="n">
        <v>4.73e-16</v>
      </c>
      <c r="I6420" t="inlineStr">
        <is>
          <t>TrEMBL</t>
        </is>
      </c>
      <c r="J6420" t="inlineStr">
        <is>
          <t>CAPTEDRAFT_208751</t>
        </is>
      </c>
      <c r="K6420" t="inlineStr">
        <is>
          <t>R7TW85_CAPTE</t>
        </is>
      </c>
      <c r="L6420" t="inlineStr">
        <is>
          <t>tr|R7TW85|R7TW85_CAPTE DUF659 domain-containing protein OS=Capitella teleta OX=283909 GN=CAPTEDRAFT_208751 PE=4 SV=1</t>
        </is>
      </c>
      <c r="M6420" t="n">
        <v>454</v>
      </c>
      <c r="N6420" t="inlineStr">
        <is>
          <t>Capitella teleta</t>
        </is>
      </c>
      <c r="O6420" t="inlineStr">
        <is>
          <t>DUF659 domain-containing protein</t>
        </is>
      </c>
    </row>
    <row r="6421">
      <c r="A6421" t="inlineStr"/>
      <c r="B6421" t="inlineStr"/>
      <c r="C6421" t="inlineStr"/>
      <c r="D6421" t="inlineStr"/>
      <c r="E6421">
        <f>HYPERLINK("https://www.ncbi.nlm.nih.gov/gene/?term=CAH0546678.1", "CAH0546678.1")</f>
        <v/>
      </c>
      <c r="F6421" t="n">
        <v>55.2</v>
      </c>
      <c r="G6421" t="n">
        <v>67</v>
      </c>
      <c r="H6421" t="n">
        <v>5.47e-16</v>
      </c>
      <c r="I6421" t="inlineStr">
        <is>
          <t>Nr</t>
        </is>
      </c>
      <c r="J6421" t="inlineStr"/>
      <c r="K6421" t="inlineStr"/>
      <c r="L6421" t="inlineStr">
        <is>
          <t>CAH0546678.1 unnamed protein product [Brassicogethes aeneus]</t>
        </is>
      </c>
      <c r="M6421" t="n">
        <v>734</v>
      </c>
      <c r="N6421" t="inlineStr">
        <is>
          <t>Brassicogethes aeneus</t>
        </is>
      </c>
      <c r="O6421" t="inlineStr">
        <is>
          <t>unnamed protein product</t>
        </is>
      </c>
    </row>
    <row r="6422">
      <c r="A6422" t="inlineStr"/>
      <c r="B6422" t="inlineStr"/>
      <c r="C6422" t="inlineStr"/>
      <c r="D6422" t="inlineStr"/>
      <c r="E6422">
        <f>HYPERLINK("https://www.ncbi.nlm.nih.gov/gene/?term=CAH0547109.1", "CAH0547109.1")</f>
        <v/>
      </c>
      <c r="F6422" t="n">
        <v>48.7</v>
      </c>
      <c r="G6422" t="n">
        <v>78</v>
      </c>
      <c r="H6422" t="n">
        <v>5.63e-16</v>
      </c>
      <c r="I6422" t="inlineStr">
        <is>
          <t>Nr</t>
        </is>
      </c>
      <c r="J6422" t="inlineStr"/>
      <c r="K6422" t="inlineStr"/>
      <c r="L6422" t="inlineStr">
        <is>
          <t>CAH0547109.1 unnamed protein product [Brassicogethes aeneus]</t>
        </is>
      </c>
      <c r="M6422" t="n">
        <v>1298</v>
      </c>
      <c r="N6422" t="inlineStr">
        <is>
          <t>Brassicogethes aeneus</t>
        </is>
      </c>
      <c r="O6422" t="inlineStr">
        <is>
          <t>unnamed protein product</t>
        </is>
      </c>
    </row>
    <row r="6423">
      <c r="A6423" t="inlineStr"/>
      <c r="B6423" t="inlineStr"/>
      <c r="C6423" t="inlineStr"/>
      <c r="D6423" t="inlineStr"/>
      <c r="E6423">
        <f>HYPERLINK("https://www.uniprot.org/uniprotkb/A0A151WJU8/entry", "A0A151WJU8")</f>
        <v/>
      </c>
      <c r="F6423" t="n">
        <v>45.6</v>
      </c>
      <c r="G6423" t="n">
        <v>79</v>
      </c>
      <c r="H6423" t="n">
        <v>6.2e-16</v>
      </c>
      <c r="I6423" t="inlineStr">
        <is>
          <t>TrEMBL</t>
        </is>
      </c>
      <c r="J6423" t="inlineStr">
        <is>
          <t>ALC60_12815</t>
        </is>
      </c>
      <c r="K6423" t="inlineStr">
        <is>
          <t>A0A151WJU8_9HYME</t>
        </is>
      </c>
      <c r="L6423" t="inlineStr">
        <is>
          <t>tr|A0A151WJU8|A0A151WJU8_9HYME Uncharacterized protein OS=Trachymyrmex zeteki OX=64791 GN=ALC60_12815 PE=4 SV=1</t>
        </is>
      </c>
      <c r="M6423" t="n">
        <v>436</v>
      </c>
      <c r="N6423" t="inlineStr">
        <is>
          <t>Trachymyrmex zeteki</t>
        </is>
      </c>
      <c r="O6423" t="inlineStr">
        <is>
          <t>Uncharacterized protein</t>
        </is>
      </c>
    </row>
    <row r="6424">
      <c r="A6424" t="inlineStr"/>
      <c r="B6424" t="inlineStr"/>
      <c r="C6424" t="inlineStr"/>
      <c r="D6424" t="inlineStr"/>
      <c r="E6424">
        <f>HYPERLINK("https://www.uniprot.org/uniprotkb/A0A151I6E0/entry", "A0A151I6E0")</f>
        <v/>
      </c>
      <c r="F6424" t="n">
        <v>47.5</v>
      </c>
      <c r="G6424" t="n">
        <v>80</v>
      </c>
      <c r="H6424" t="n">
        <v>6.79e-16</v>
      </c>
      <c r="I6424" t="inlineStr">
        <is>
          <t>TrEMBL</t>
        </is>
      </c>
      <c r="J6424" t="inlineStr">
        <is>
          <t>ALC62_16021</t>
        </is>
      </c>
      <c r="K6424" t="inlineStr">
        <is>
          <t>A0A151I6E0_9HYME</t>
        </is>
      </c>
      <c r="L6424" t="inlineStr">
        <is>
          <t>tr|A0A151I6E0|A0A151I6E0_9HYME DUF4806 domain-containing protein OS=Cyphomyrmex costatus OX=456900 GN=ALC62_16021 PE=4 SV=1</t>
        </is>
      </c>
      <c r="M6424" t="n">
        <v>481</v>
      </c>
      <c r="N6424" t="inlineStr">
        <is>
          <t>Cyphomyrmex costatus</t>
        </is>
      </c>
      <c r="O6424" t="inlineStr">
        <is>
          <t>DUF4806 domain-containing protein</t>
        </is>
      </c>
    </row>
    <row r="6425">
      <c r="A6425" t="inlineStr"/>
      <c r="B6425" t="inlineStr"/>
      <c r="C6425" t="inlineStr"/>
      <c r="D6425" t="inlineStr"/>
      <c r="E6425">
        <f>HYPERLINK("https://www.ncbi.nlm.nih.gov/gene/?term=GBL79937.1", "GBL79937.1")</f>
        <v/>
      </c>
      <c r="F6425" t="n">
        <v>47.9</v>
      </c>
      <c r="G6425" t="n">
        <v>73</v>
      </c>
      <c r="H6425" t="n">
        <v>7.52e-16</v>
      </c>
      <c r="I6425" t="inlineStr">
        <is>
          <t>Nr</t>
        </is>
      </c>
      <c r="J6425" t="inlineStr"/>
      <c r="K6425" t="inlineStr"/>
      <c r="L6425" t="inlineStr">
        <is>
          <t>GBL79937.1 hypothetical protein AVEN_28978-1 [Araneus ventricosus]</t>
        </is>
      </c>
      <c r="M6425" t="n">
        <v>834</v>
      </c>
      <c r="N6425" t="inlineStr">
        <is>
          <t>Araneus ventricosus</t>
        </is>
      </c>
      <c r="O6425" t="inlineStr">
        <is>
          <t>hypothetical protein AVEN_28978-1</t>
        </is>
      </c>
    </row>
    <row r="6426">
      <c r="A6426" t="inlineStr"/>
      <c r="B6426" t="inlineStr"/>
      <c r="C6426" t="inlineStr"/>
      <c r="D6426" t="inlineStr"/>
      <c r="E6426">
        <f>HYPERLINK("https://www.uniprot.org/uniprotkb/A0A4Y2QR69/entry", "A0A4Y2QR69")</f>
        <v/>
      </c>
      <c r="F6426" t="n">
        <v>52</v>
      </c>
      <c r="G6426" t="n">
        <v>75</v>
      </c>
      <c r="H6426" t="n">
        <v>8.45e-16</v>
      </c>
      <c r="I6426" t="inlineStr">
        <is>
          <t>TrEMBL</t>
        </is>
      </c>
      <c r="J6426" t="inlineStr">
        <is>
          <t>AVEN_221525_1</t>
        </is>
      </c>
      <c r="K6426" t="inlineStr">
        <is>
          <t>A0A4Y2QR69_ARAVE</t>
        </is>
      </c>
      <c r="L6426" t="inlineStr">
        <is>
          <t>tr|A0A4Y2QR69|A0A4Y2QR69_ARAVE RNase H domain-containing protein OS=Araneus ventricosus OX=182803 GN=AVEN_221525_1 PE=4 SV=1</t>
        </is>
      </c>
      <c r="M6426" t="n">
        <v>242</v>
      </c>
      <c r="N6426" t="inlineStr">
        <is>
          <t>Araneus ventricosus</t>
        </is>
      </c>
      <c r="O6426" t="inlineStr">
        <is>
          <t>RNase H domain-containing protein</t>
        </is>
      </c>
    </row>
    <row r="6427">
      <c r="A6427" t="inlineStr"/>
      <c r="B6427" t="inlineStr"/>
      <c r="C6427" t="inlineStr"/>
      <c r="D6427" t="inlineStr"/>
      <c r="E6427">
        <f>HYPERLINK("https://www.ncbi.nlm.nih.gov/gene/?term=XP_047133729.1", "XP_047133729.1")</f>
        <v/>
      </c>
      <c r="F6427" t="n">
        <v>45.6</v>
      </c>
      <c r="G6427" t="n">
        <v>79</v>
      </c>
      <c r="H6427" t="n">
        <v>8.73e-16</v>
      </c>
      <c r="I6427" t="inlineStr">
        <is>
          <t>Nr</t>
        </is>
      </c>
      <c r="J6427" t="inlineStr"/>
      <c r="K6427" t="inlineStr"/>
      <c r="L6427" t="inlineStr">
        <is>
          <t>XP_047133729.1 uncharacterized protein LOC124811689 [Hydra vulgaris]</t>
        </is>
      </c>
      <c r="M6427" t="n">
        <v>448</v>
      </c>
      <c r="N6427" t="inlineStr">
        <is>
          <t>Hydra vulgaris</t>
        </is>
      </c>
      <c r="O6427" t="inlineStr">
        <is>
          <t>uncharacterized protein LOC124811689</t>
        </is>
      </c>
    </row>
    <row r="6428">
      <c r="A6428" t="inlineStr"/>
      <c r="B6428" t="inlineStr"/>
      <c r="C6428" t="inlineStr"/>
      <c r="D6428" t="inlineStr"/>
      <c r="E6428">
        <f>HYPERLINK("https://www.uniprot.org/uniprotkb/A0A8K0KSH7/entry", "A0A8K0KSH7")</f>
        <v/>
      </c>
      <c r="F6428" t="n">
        <v>46.9</v>
      </c>
      <c r="G6428" t="n">
        <v>81</v>
      </c>
      <c r="H6428" t="n">
        <v>9.69e-16</v>
      </c>
      <c r="I6428" t="inlineStr">
        <is>
          <t>TrEMBL</t>
        </is>
      </c>
      <c r="J6428" t="inlineStr">
        <is>
          <t>J437_LFUL019338</t>
        </is>
      </c>
      <c r="K6428" t="inlineStr">
        <is>
          <t>A0A8K0KSH7_LADFU</t>
        </is>
      </c>
      <c r="L6428" t="inlineStr">
        <is>
          <t>tr|A0A8K0KSH7|A0A8K0KSH7_LADFU DUF659 domain-containing protein OS=Ladona fulva OX=123851 GN=J437_LFUL019338 PE=4 SV=1</t>
        </is>
      </c>
      <c r="M6428" t="n">
        <v>529</v>
      </c>
      <c r="N6428" t="inlineStr">
        <is>
          <t>Ladona fulva</t>
        </is>
      </c>
      <c r="O6428" t="inlineStr">
        <is>
          <t>DUF659 domain-containing protein</t>
        </is>
      </c>
    </row>
    <row r="6429">
      <c r="A6429" t="inlineStr"/>
      <c r="B6429" t="inlineStr"/>
      <c r="C6429" t="inlineStr"/>
      <c r="D6429" t="inlineStr"/>
      <c r="E6429">
        <f>HYPERLINK("https://www.uniprot.org/uniprotkb/A0A151ISL9/entry", "A0A151ISL9")</f>
        <v/>
      </c>
      <c r="F6429" t="n">
        <v>45.6</v>
      </c>
      <c r="G6429" t="n">
        <v>79</v>
      </c>
      <c r="H6429" t="n">
        <v>9.899999999999999e-16</v>
      </c>
      <c r="I6429" t="inlineStr">
        <is>
          <t>TrEMBL</t>
        </is>
      </c>
      <c r="J6429" t="inlineStr">
        <is>
          <t>ALC57_18105</t>
        </is>
      </c>
      <c r="K6429" t="inlineStr">
        <is>
          <t>A0A151ISL9_9HYME</t>
        </is>
      </c>
      <c r="L6429" t="inlineStr">
        <is>
          <t>tr|A0A151ISL9|A0A151ISL9_9HYME SWIM-type domain-containing protein (Fragment) OS=Trachymyrmex cornetzi OX=471704 GN=ALC57_18105 PE=4 SV=1</t>
        </is>
      </c>
      <c r="M6429" t="n">
        <v>589</v>
      </c>
      <c r="N6429" t="inlineStr">
        <is>
          <t>Trachymyrmex cornetzi</t>
        </is>
      </c>
      <c r="O6429" t="inlineStr">
        <is>
          <t>SWIM-type domain-containing protein (Fragment)</t>
        </is>
      </c>
    </row>
    <row r="6430">
      <c r="A6430" t="inlineStr"/>
      <c r="B6430" t="inlineStr"/>
      <c r="C6430" t="inlineStr"/>
      <c r="D6430" t="inlineStr"/>
      <c r="E6430">
        <f>HYPERLINK("https://www.uniprot.org/uniprotkb/A0A151IR13/entry", "A0A151IR13")</f>
        <v/>
      </c>
      <c r="F6430" t="n">
        <v>45.6</v>
      </c>
      <c r="G6430" t="n">
        <v>79</v>
      </c>
      <c r="H6430" t="n">
        <v>1e-15</v>
      </c>
      <c r="I6430" t="inlineStr">
        <is>
          <t>TrEMBL</t>
        </is>
      </c>
      <c r="J6430" t="inlineStr">
        <is>
          <t>ALC57_19051</t>
        </is>
      </c>
      <c r="K6430" t="inlineStr">
        <is>
          <t>A0A151IR13_9HYME</t>
        </is>
      </c>
      <c r="L6430" t="inlineStr">
        <is>
          <t>tr|A0A151IR13|A0A151IR13_9HYME Cc8L18.2-like protein (Fragment) OS=Trachymyrmex cornetzi OX=471704 GN=ALC57_19051 PE=4 SV=1</t>
        </is>
      </c>
      <c r="M6430" t="n">
        <v>668</v>
      </c>
      <c r="N6430" t="inlineStr">
        <is>
          <t>Trachymyrmex cornetzi</t>
        </is>
      </c>
      <c r="O6430" t="inlineStr">
        <is>
          <t>Cc8L18.2-like protein (Fragment)</t>
        </is>
      </c>
    </row>
    <row r="6431">
      <c r="A6431" t="inlineStr"/>
      <c r="B6431" t="inlineStr"/>
      <c r="C6431" t="inlineStr"/>
      <c r="D6431" t="inlineStr"/>
      <c r="E6431">
        <f>HYPERLINK("https://www.ncbi.nlm.nih.gov/gene/?term=XP_047144182.1", "XP_047144182.1")</f>
        <v/>
      </c>
      <c r="F6431" t="n">
        <v>45.6</v>
      </c>
      <c r="G6431" t="n">
        <v>79</v>
      </c>
      <c r="H6431" t="n">
        <v>1.02e-15</v>
      </c>
      <c r="I6431" t="inlineStr">
        <is>
          <t>Nr</t>
        </is>
      </c>
      <c r="J6431" t="inlineStr"/>
      <c r="K6431" t="inlineStr"/>
      <c r="L6431" t="inlineStr">
        <is>
          <t>XP_047144182.1 uncharacterized protein LOC124817802 [Hydra vulgaris]</t>
        </is>
      </c>
      <c r="M6431" t="n">
        <v>744</v>
      </c>
      <c r="N6431" t="inlineStr">
        <is>
          <t>Hydra vulgaris</t>
        </is>
      </c>
      <c r="O6431" t="inlineStr">
        <is>
          <t>uncharacterized protein LOC124817802</t>
        </is>
      </c>
    </row>
    <row r="6432">
      <c r="A6432" t="inlineStr"/>
      <c r="B6432" t="inlineStr"/>
      <c r="C6432" t="inlineStr"/>
      <c r="D6432" t="inlineStr"/>
      <c r="E6432">
        <f>HYPERLINK("https://www.ncbi.nlm.nih.gov/gene/?term=XP_047145049.1", "XP_047145049.1")</f>
        <v/>
      </c>
      <c r="F6432" t="n">
        <v>45.6</v>
      </c>
      <c r="G6432" t="n">
        <v>79</v>
      </c>
      <c r="H6432" t="n">
        <v>1.03e-15</v>
      </c>
      <c r="I6432" t="inlineStr">
        <is>
          <t>Nr</t>
        </is>
      </c>
      <c r="J6432" t="inlineStr"/>
      <c r="K6432" t="inlineStr"/>
      <c r="L6432" t="inlineStr">
        <is>
          <t>XP_047145049.1 uncharacterized protein LOC124818344 [Hydra vulgaris]</t>
        </is>
      </c>
      <c r="M6432" t="n">
        <v>839</v>
      </c>
      <c r="N6432" t="inlineStr">
        <is>
          <t>Hydra vulgaris</t>
        </is>
      </c>
      <c r="O6432" t="inlineStr">
        <is>
          <t>uncharacterized protein LOC124818344</t>
        </is>
      </c>
    </row>
    <row r="6433">
      <c r="A6433" t="inlineStr"/>
      <c r="B6433" t="inlineStr"/>
      <c r="C6433" t="inlineStr"/>
      <c r="D6433" t="inlineStr"/>
      <c r="E6433">
        <f>HYPERLINK("https://www.uniprot.org/uniprotkb/A0A8J4ZFY4/entry", "A0A8J4ZFY4")</f>
        <v/>
      </c>
      <c r="F6433" t="n">
        <v>47.9</v>
      </c>
      <c r="G6433" t="n">
        <v>73</v>
      </c>
      <c r="H6433" t="n">
        <v>1.05e-15</v>
      </c>
      <c r="I6433" t="inlineStr">
        <is>
          <t>TrEMBL</t>
        </is>
      </c>
      <c r="J6433" t="inlineStr">
        <is>
          <t>GQR58_019323</t>
        </is>
      </c>
      <c r="K6433" t="inlineStr">
        <is>
          <t>A0A8J4ZFY4_9CHEL</t>
        </is>
      </c>
      <c r="L6433" t="inlineStr">
        <is>
          <t>tr|A0A8J4ZFY4|A0A8J4ZFY4_9CHEL Bromodomain and WD repeat-containing protein 1 OS=Nymphon striatum OX=424472 GN=GQR58_019323 PE=4 SV=1</t>
        </is>
      </c>
      <c r="M6433" t="n">
        <v>2208</v>
      </c>
      <c r="N6433" t="inlineStr">
        <is>
          <t>Nymphon striatum</t>
        </is>
      </c>
      <c r="O6433" t="inlineStr">
        <is>
          <t>Bromodomain and WD repeat-containing protein 1</t>
        </is>
      </c>
    </row>
    <row r="6434">
      <c r="A6434" t="inlineStr"/>
      <c r="B6434" t="inlineStr"/>
      <c r="C6434" t="inlineStr"/>
      <c r="D6434" t="inlineStr"/>
      <c r="E6434">
        <f>HYPERLINK("https://www.uniprot.org/uniprotkb/A0A8J4Z5R9/entry", "A0A8J4Z5R9")</f>
        <v/>
      </c>
      <c r="F6434" t="n">
        <v>47.9</v>
      </c>
      <c r="G6434" t="n">
        <v>73</v>
      </c>
      <c r="H6434" t="n">
        <v>1.06e-15</v>
      </c>
      <c r="I6434" t="inlineStr">
        <is>
          <t>TrEMBL</t>
        </is>
      </c>
      <c r="J6434" t="inlineStr">
        <is>
          <t>GQR58_019323</t>
        </is>
      </c>
      <c r="K6434" t="inlineStr">
        <is>
          <t>A0A8J4Z5R9_9CHEL</t>
        </is>
      </c>
      <c r="L6434" t="inlineStr">
        <is>
          <t>tr|A0A8J4Z5R9|A0A8J4Z5R9_9CHEL Bromodomain and WD repeat-containing protein 1 OS=Nymphon striatum OX=424472 GN=GQR58_019323 PE=4 SV=1</t>
        </is>
      </c>
      <c r="M6434" t="n">
        <v>2229</v>
      </c>
      <c r="N6434" t="inlineStr">
        <is>
          <t>Nymphon striatum</t>
        </is>
      </c>
      <c r="O6434" t="inlineStr">
        <is>
          <t>Bromodomain and WD repeat-containing protein 1</t>
        </is>
      </c>
    </row>
    <row r="6435">
      <c r="A6435" t="inlineStr"/>
      <c r="B6435" t="inlineStr"/>
      <c r="C6435" t="inlineStr"/>
      <c r="D6435" t="inlineStr"/>
      <c r="E6435">
        <f>HYPERLINK("https://www.uniprot.org/uniprotkb/A0A8J4ZBM6/entry", "A0A8J4ZBM6")</f>
        <v/>
      </c>
      <c r="F6435" t="n">
        <v>47.9</v>
      </c>
      <c r="G6435" t="n">
        <v>73</v>
      </c>
      <c r="H6435" t="n">
        <v>1.06e-15</v>
      </c>
      <c r="I6435" t="inlineStr">
        <is>
          <t>TrEMBL</t>
        </is>
      </c>
      <c r="J6435" t="inlineStr">
        <is>
          <t>GQR58_019323</t>
        </is>
      </c>
      <c r="K6435" t="inlineStr">
        <is>
          <t>A0A8J4ZBM6_9CHEL</t>
        </is>
      </c>
      <c r="L6435" t="inlineStr">
        <is>
          <t>tr|A0A8J4ZBM6|A0A8J4ZBM6_9CHEL PH-interacting protein OS=Nymphon striatum OX=424472 GN=GQR58_019323 PE=4 SV=1</t>
        </is>
      </c>
      <c r="M6435" t="n">
        <v>2235</v>
      </c>
      <c r="N6435" t="inlineStr">
        <is>
          <t>Nymphon striatum</t>
        </is>
      </c>
      <c r="O6435" t="inlineStr">
        <is>
          <t>PH-interacting protein</t>
        </is>
      </c>
    </row>
    <row r="6436">
      <c r="A6436" t="inlineStr"/>
      <c r="B6436" t="inlineStr"/>
      <c r="C6436" t="inlineStr"/>
      <c r="D6436" t="inlineStr"/>
      <c r="E6436">
        <f>HYPERLINK("https://www.uniprot.org/uniprotkb/A0A8J4ZIA1/entry", "A0A8J4ZIA1")</f>
        <v/>
      </c>
      <c r="F6436" t="n">
        <v>47.9</v>
      </c>
      <c r="G6436" t="n">
        <v>73</v>
      </c>
      <c r="H6436" t="n">
        <v>1.06e-15</v>
      </c>
      <c r="I6436" t="inlineStr">
        <is>
          <t>TrEMBL</t>
        </is>
      </c>
      <c r="J6436" t="inlineStr">
        <is>
          <t>GQR58_019323</t>
        </is>
      </c>
      <c r="K6436" t="inlineStr">
        <is>
          <t>A0A8J4ZIA1_9CHEL</t>
        </is>
      </c>
      <c r="L6436" t="inlineStr">
        <is>
          <t>tr|A0A8J4ZIA1|A0A8J4ZIA1_9CHEL Bromodomain and WD repeat-containing protein 1 OS=Nymphon striatum OX=424472 GN=GQR58_019323 PE=4 SV=1</t>
        </is>
      </c>
      <c r="M6436" t="n">
        <v>2247</v>
      </c>
      <c r="N6436" t="inlineStr">
        <is>
          <t>Nymphon striatum</t>
        </is>
      </c>
      <c r="O6436" t="inlineStr">
        <is>
          <t>Bromodomain and WD repeat-containing protein 1</t>
        </is>
      </c>
    </row>
    <row r="6437">
      <c r="A6437" t="inlineStr"/>
      <c r="B6437" t="inlineStr"/>
      <c r="C6437" t="inlineStr"/>
      <c r="D6437" t="inlineStr"/>
      <c r="E6437">
        <f>HYPERLINK("https://www.uniprot.org/uniprotkb/A0A8J4ZNT8/entry", "A0A8J4ZNT8")</f>
        <v/>
      </c>
      <c r="F6437" t="n">
        <v>47.9</v>
      </c>
      <c r="G6437" t="n">
        <v>73</v>
      </c>
      <c r="H6437" t="n">
        <v>1.06e-15</v>
      </c>
      <c r="I6437" t="inlineStr">
        <is>
          <t>TrEMBL</t>
        </is>
      </c>
      <c r="J6437" t="inlineStr">
        <is>
          <t>GQR58_019323</t>
        </is>
      </c>
      <c r="K6437" t="inlineStr">
        <is>
          <t>A0A8J4ZNT8_9CHEL</t>
        </is>
      </c>
      <c r="L6437" t="inlineStr">
        <is>
          <t>tr|A0A8J4ZNT8|A0A8J4ZNT8_9CHEL PH-interacting protein OS=Nymphon striatum OX=424472 GN=GQR58_019323 PE=4 SV=1</t>
        </is>
      </c>
      <c r="M6437" t="n">
        <v>2263</v>
      </c>
      <c r="N6437" t="inlineStr">
        <is>
          <t>Nymphon striatum</t>
        </is>
      </c>
      <c r="O6437" t="inlineStr">
        <is>
          <t>PH-interacting protein</t>
        </is>
      </c>
    </row>
    <row r="6438">
      <c r="A6438" t="inlineStr"/>
      <c r="B6438" t="inlineStr"/>
      <c r="C6438" t="inlineStr"/>
      <c r="D6438" t="inlineStr"/>
      <c r="E6438">
        <f>HYPERLINK("https://www.uniprot.org/uniprotkb/A0A8J5DHV4/entry", "A0A8J5DHV4")</f>
        <v/>
      </c>
      <c r="F6438" t="n">
        <v>47.9</v>
      </c>
      <c r="G6438" t="n">
        <v>73</v>
      </c>
      <c r="H6438" t="n">
        <v>1.06e-15</v>
      </c>
      <c r="I6438" t="inlineStr">
        <is>
          <t>TrEMBL</t>
        </is>
      </c>
      <c r="J6438" t="inlineStr">
        <is>
          <t>GQR58_019323</t>
        </is>
      </c>
      <c r="K6438" t="inlineStr">
        <is>
          <t>A0A8J5DHV4_9CHEL</t>
        </is>
      </c>
      <c r="L6438" t="inlineStr">
        <is>
          <t>tr|A0A8J5DHV4|A0A8J5DHV4_9CHEL PH-interacting protein OS=Nymphon striatum OX=424472 GN=GQR58_019323 PE=4 SV=1</t>
        </is>
      </c>
      <c r="M6438" t="n">
        <v>2263</v>
      </c>
      <c r="N6438" t="inlineStr">
        <is>
          <t>Nymphon striatum</t>
        </is>
      </c>
      <c r="O6438" t="inlineStr">
        <is>
          <t>PH-interacting protein</t>
        </is>
      </c>
    </row>
    <row r="6439">
      <c r="A6439" t="inlineStr"/>
      <c r="B6439" t="inlineStr"/>
      <c r="C6439" t="inlineStr"/>
      <c r="D6439" t="inlineStr"/>
      <c r="E6439">
        <f>HYPERLINK("https://www.uniprot.org/uniprotkb/A0A8J4ZB74/entry", "A0A8J4ZB74")</f>
        <v/>
      </c>
      <c r="F6439" t="n">
        <v>47.9</v>
      </c>
      <c r="G6439" t="n">
        <v>73</v>
      </c>
      <c r="H6439" t="n">
        <v>1.06e-15</v>
      </c>
      <c r="I6439" t="inlineStr">
        <is>
          <t>TrEMBL</t>
        </is>
      </c>
      <c r="J6439" t="inlineStr">
        <is>
          <t>GQR58_019323</t>
        </is>
      </c>
      <c r="K6439" t="inlineStr">
        <is>
          <t>A0A8J4ZB74_9CHEL</t>
        </is>
      </c>
      <c r="L6439" t="inlineStr">
        <is>
          <t>tr|A0A8J4ZB74|A0A8J4ZB74_9CHEL Bromodomain and WD repeat-containing protein 1 OS=Nymphon striatum OX=424472 GN=GQR58_019323 PE=4 SV=1</t>
        </is>
      </c>
      <c r="M6439" t="n">
        <v>2284</v>
      </c>
      <c r="N6439" t="inlineStr">
        <is>
          <t>Nymphon striatum</t>
        </is>
      </c>
      <c r="O6439" t="inlineStr">
        <is>
          <t>Bromodomain and WD repeat-containing protein 1</t>
        </is>
      </c>
    </row>
    <row r="6440">
      <c r="A6440" t="inlineStr"/>
      <c r="B6440" t="inlineStr"/>
      <c r="C6440" t="inlineStr"/>
      <c r="D6440" t="inlineStr"/>
      <c r="E6440">
        <f>HYPERLINK("https://www.uniprot.org/uniprotkb/A0A8J4Z1N7/entry", "A0A8J4Z1N7")</f>
        <v/>
      </c>
      <c r="F6440" t="n">
        <v>45.2</v>
      </c>
      <c r="G6440" t="n">
        <v>73</v>
      </c>
      <c r="H6440" t="n">
        <v>1.08e-15</v>
      </c>
      <c r="I6440" t="inlineStr">
        <is>
          <t>TrEMBL</t>
        </is>
      </c>
      <c r="J6440" t="inlineStr">
        <is>
          <t>supt4h1</t>
        </is>
      </c>
      <c r="K6440" t="inlineStr">
        <is>
          <t>A0A8J4Z1N7_9CHEL</t>
        </is>
      </c>
      <c r="L6440" t="inlineStr">
        <is>
          <t>tr|A0A8J4Z1N7|A0A8J4Z1N7_9CHEL Transcription elongation factor SPT4 OS=Nymphon striatum OX=424472 GN=supt4h1 PE=4 SV=1</t>
        </is>
      </c>
      <c r="M6440" t="n">
        <v>258</v>
      </c>
      <c r="N6440" t="inlineStr">
        <is>
          <t>Nymphon striatum</t>
        </is>
      </c>
      <c r="O6440" t="inlineStr">
        <is>
          <t>Transcription elongation factor SPT4</t>
        </is>
      </c>
    </row>
    <row r="6441">
      <c r="A6441" t="inlineStr"/>
      <c r="B6441" t="inlineStr"/>
      <c r="C6441" t="inlineStr"/>
      <c r="D6441" t="inlineStr"/>
      <c r="E6441">
        <f>HYPERLINK("https://www.ncbi.nlm.nih.gov/gene/?term=ELT97999.1", "ELT97999.1")</f>
        <v/>
      </c>
      <c r="F6441" t="n">
        <v>54.5</v>
      </c>
      <c r="G6441" t="n">
        <v>66</v>
      </c>
      <c r="H6441" t="n">
        <v>1.21e-15</v>
      </c>
      <c r="I6441" t="inlineStr">
        <is>
          <t>Nr</t>
        </is>
      </c>
      <c r="J6441" t="inlineStr"/>
      <c r="K6441" t="inlineStr"/>
      <c r="L6441" t="inlineStr">
        <is>
          <t>ELT97999.1 hypothetical protein CAPTEDRAFT_208751 [Capitella teleta]</t>
        </is>
      </c>
      <c r="M6441" t="n">
        <v>454</v>
      </c>
      <c r="N6441" t="inlineStr">
        <is>
          <t>Capitella teleta</t>
        </is>
      </c>
      <c r="O6441" t="inlineStr">
        <is>
          <t>hypothetical protein CAPTEDRAFT_208751</t>
        </is>
      </c>
    </row>
    <row r="6442">
      <c r="A6442" t="inlineStr"/>
      <c r="B6442" t="inlineStr"/>
      <c r="C6442" t="inlineStr"/>
      <c r="D6442" t="inlineStr"/>
      <c r="E6442">
        <f>HYPERLINK("https://www.uniprot.org/uniprotkb/A0A0J7KCZ0/entry", "A0A0J7KCZ0")</f>
        <v/>
      </c>
      <c r="F6442" t="n">
        <v>46.3</v>
      </c>
      <c r="G6442" t="n">
        <v>80</v>
      </c>
      <c r="H6442" t="n">
        <v>1.32e-15</v>
      </c>
      <c r="I6442" t="inlineStr">
        <is>
          <t>TrEMBL</t>
        </is>
      </c>
      <c r="J6442" t="inlineStr">
        <is>
          <t>RF55_12203</t>
        </is>
      </c>
      <c r="K6442" t="inlineStr">
        <is>
          <t>A0A0J7KCZ0_LASNI</t>
        </is>
      </c>
      <c r="L6442" t="inlineStr">
        <is>
          <t>tr|A0A0J7KCZ0|A0A0J7KCZ0_LASNI Integrase catalytic domain-containing protein OS=Lasius niger OX=67767 GN=RF55_12203 PE=4 SV=1</t>
        </is>
      </c>
      <c r="M6442" t="n">
        <v>228</v>
      </c>
      <c r="N6442" t="inlineStr">
        <is>
          <t>Lasius niger</t>
        </is>
      </c>
      <c r="O6442" t="inlineStr">
        <is>
          <t>Integrase catalytic domain-containing protein</t>
        </is>
      </c>
    </row>
    <row r="6443">
      <c r="A6443" t="inlineStr"/>
      <c r="B6443" t="inlineStr"/>
      <c r="C6443" t="inlineStr"/>
      <c r="D6443" t="inlineStr"/>
      <c r="E6443">
        <f>HYPERLINK("https://www.ncbi.nlm.nih.gov/gene/?term=XP_050527828.1", "XP_050527828.1")</f>
        <v/>
      </c>
      <c r="F6443" t="n">
        <v>53.4</v>
      </c>
      <c r="G6443" t="n">
        <v>73</v>
      </c>
      <c r="H6443" t="n">
        <v>1.33e-15</v>
      </c>
      <c r="I6443" t="inlineStr">
        <is>
          <t>Nr</t>
        </is>
      </c>
      <c r="J6443" t="inlineStr"/>
      <c r="K6443" t="inlineStr"/>
      <c r="L6443" t="inlineStr">
        <is>
          <t>XP_050527828.1 uncharacterized protein LOC126897924 [Daktulosphaira vitifoliae]</t>
        </is>
      </c>
      <c r="M6443" t="n">
        <v>340</v>
      </c>
      <c r="N6443" t="inlineStr">
        <is>
          <t>Daktulosphaira vitifoliae</t>
        </is>
      </c>
      <c r="O6443" t="inlineStr">
        <is>
          <t>uncharacterized protein LOC126897924</t>
        </is>
      </c>
    </row>
    <row r="6444">
      <c r="A6444" t="inlineStr"/>
      <c r="B6444" t="inlineStr"/>
      <c r="C6444" t="inlineStr"/>
      <c r="D6444" t="inlineStr"/>
      <c r="E6444">
        <f>HYPERLINK("https://www.ncbi.nlm.nih.gov/gene/?term=KYQ48149.1", "KYQ48149.1")</f>
        <v/>
      </c>
      <c r="F6444" t="n">
        <v>45.6</v>
      </c>
      <c r="G6444" t="n">
        <v>79</v>
      </c>
      <c r="H6444" t="n">
        <v>1.59e-15</v>
      </c>
      <c r="I6444" t="inlineStr">
        <is>
          <t>Nr</t>
        </is>
      </c>
      <c r="J6444" t="inlineStr"/>
      <c r="K6444" t="inlineStr"/>
      <c r="L6444" t="inlineStr">
        <is>
          <t>KYQ48149.1 hypothetical protein ALC60_12815 [Trachymyrmex zeteki]</t>
        </is>
      </c>
      <c r="M6444" t="n">
        <v>436</v>
      </c>
      <c r="N6444" t="inlineStr">
        <is>
          <t>Trachymyrmex zeteki</t>
        </is>
      </c>
      <c r="O6444" t="inlineStr">
        <is>
          <t>hypothetical protein ALC60_12815</t>
        </is>
      </c>
    </row>
    <row r="6445">
      <c r="A6445" t="inlineStr"/>
      <c r="B6445" t="inlineStr"/>
      <c r="C6445" t="inlineStr"/>
      <c r="D6445" t="inlineStr"/>
      <c r="E6445">
        <f>HYPERLINK("https://www.ncbi.nlm.nih.gov/gene/?term=KYM93379.1", "KYM93379.1")</f>
        <v/>
      </c>
      <c r="F6445" t="n">
        <v>47.5</v>
      </c>
      <c r="G6445" t="n">
        <v>80</v>
      </c>
      <c r="H6445" t="n">
        <v>1.74e-15</v>
      </c>
      <c r="I6445" t="inlineStr">
        <is>
          <t>Nr</t>
        </is>
      </c>
      <c r="J6445" t="inlineStr"/>
      <c r="K6445" t="inlineStr"/>
      <c r="L6445" t="inlineStr">
        <is>
          <t>KYM93379.1 hypothetical protein ALC62_16021 [Cyphomyrmex costatus]</t>
        </is>
      </c>
      <c r="M6445" t="n">
        <v>481</v>
      </c>
      <c r="N6445" t="inlineStr">
        <is>
          <t>Cyphomyrmex costatus</t>
        </is>
      </c>
      <c r="O6445" t="inlineStr">
        <is>
          <t>hypothetical protein ALC62_16021</t>
        </is>
      </c>
    </row>
    <row r="6446">
      <c r="A6446" t="inlineStr"/>
      <c r="B6446" t="inlineStr"/>
      <c r="C6446" t="inlineStr"/>
      <c r="D6446" t="inlineStr"/>
      <c r="E6446">
        <f>HYPERLINK("https://www.ncbi.nlm.nih.gov/gene/?term=GBN65685.1", "GBN65685.1")</f>
        <v/>
      </c>
      <c r="F6446" t="n">
        <v>52</v>
      </c>
      <c r="G6446" t="n">
        <v>75</v>
      </c>
      <c r="H6446" t="n">
        <v>2.17e-15</v>
      </c>
      <c r="I6446" t="inlineStr">
        <is>
          <t>Nr</t>
        </is>
      </c>
      <c r="J6446" t="inlineStr"/>
      <c r="K6446" t="inlineStr"/>
      <c r="L6446" t="inlineStr">
        <is>
          <t>GBN65685.1 hypothetical protein AVEN_221525-1 [Araneus ventricosus]</t>
        </is>
      </c>
      <c r="M6446" t="n">
        <v>242</v>
      </c>
      <c r="N6446" t="inlineStr">
        <is>
          <t>Araneus ventricosus</t>
        </is>
      </c>
      <c r="O6446" t="inlineStr">
        <is>
          <t>hypothetical protein AVEN_221525-1</t>
        </is>
      </c>
    </row>
    <row r="6447">
      <c r="A6447" t="inlineStr"/>
      <c r="B6447" t="inlineStr"/>
      <c r="C6447" t="inlineStr"/>
      <c r="D6447" t="inlineStr"/>
      <c r="E6447">
        <f>HYPERLINK("https://www.ncbi.nlm.nih.gov/gene/?term=XP_047136799.1", "XP_047136799.1")</f>
        <v/>
      </c>
      <c r="F6447" t="n">
        <v>47.4</v>
      </c>
      <c r="G6447" t="n">
        <v>78</v>
      </c>
      <c r="H6447" t="n">
        <v>2.48e-15</v>
      </c>
      <c r="I6447" t="inlineStr">
        <is>
          <t>Nr</t>
        </is>
      </c>
      <c r="J6447" t="inlineStr"/>
      <c r="K6447" t="inlineStr"/>
      <c r="L6447" t="inlineStr">
        <is>
          <t>XP_047136799.1 uncharacterized protein LOC124813582 [Hydra vulgaris]</t>
        </is>
      </c>
      <c r="M6447" t="n">
        <v>523</v>
      </c>
      <c r="N6447" t="inlineStr">
        <is>
          <t>Hydra vulgaris</t>
        </is>
      </c>
      <c r="O6447" t="inlineStr">
        <is>
          <t>uncharacterized protein LOC124813582</t>
        </is>
      </c>
    </row>
    <row r="6448">
      <c r="A6448" t="inlineStr"/>
      <c r="B6448" t="inlineStr"/>
      <c r="C6448" t="inlineStr"/>
      <c r="D6448" t="inlineStr"/>
      <c r="E6448">
        <f>HYPERLINK("https://www.ncbi.nlm.nih.gov/gene/?term=KAG8239654.1", "KAG8239654.1")</f>
        <v/>
      </c>
      <c r="F6448" t="n">
        <v>46.9</v>
      </c>
      <c r="G6448" t="n">
        <v>81</v>
      </c>
      <c r="H6448" t="n">
        <v>2.49e-15</v>
      </c>
      <c r="I6448" t="inlineStr">
        <is>
          <t>Nr</t>
        </is>
      </c>
      <c r="J6448" t="inlineStr"/>
      <c r="K6448" t="inlineStr"/>
      <c r="L6448" t="inlineStr">
        <is>
          <t>KAG8239654.1 hypothetical protein J437_LFUL019338 [Ladona fulva]</t>
        </is>
      </c>
      <c r="M6448" t="n">
        <v>529</v>
      </c>
      <c r="N6448" t="inlineStr">
        <is>
          <t>Ladona fulva</t>
        </is>
      </c>
      <c r="O6448" t="inlineStr">
        <is>
          <t>hypothetical protein J437_LFUL019338</t>
        </is>
      </c>
    </row>
    <row r="6449">
      <c r="A6449" t="inlineStr"/>
      <c r="B6449" t="inlineStr"/>
      <c r="C6449" t="inlineStr"/>
      <c r="D6449" t="inlineStr"/>
      <c r="E6449">
        <f>HYPERLINK("https://www.ncbi.nlm.nih.gov/gene/?term=KYN09771.1", "KYN09771.1")</f>
        <v/>
      </c>
      <c r="F6449" t="n">
        <v>45.6</v>
      </c>
      <c r="G6449" t="n">
        <v>79</v>
      </c>
      <c r="H6449" t="n">
        <v>2.54e-15</v>
      </c>
      <c r="I6449" t="inlineStr">
        <is>
          <t>Nr</t>
        </is>
      </c>
      <c r="J6449" t="inlineStr"/>
      <c r="K6449" t="inlineStr"/>
      <c r="L6449" t="inlineStr">
        <is>
          <t>KYN09771.1 hypothetical protein ALC57_18105, partial [Trachymyrmex cornetzi]</t>
        </is>
      </c>
      <c r="M6449" t="n">
        <v>589</v>
      </c>
      <c r="N6449" t="inlineStr">
        <is>
          <t>Trachymyrmex cornetzi</t>
        </is>
      </c>
      <c r="O6449" t="inlineStr">
        <is>
          <t>hypothetical protein ALC57_18105, partial</t>
        </is>
      </c>
    </row>
    <row r="6450">
      <c r="A6450" t="inlineStr"/>
      <c r="B6450" t="inlineStr"/>
      <c r="C6450" t="inlineStr"/>
      <c r="D6450" t="inlineStr"/>
      <c r="E6450">
        <f>HYPERLINK("https://www.ncbi.nlm.nih.gov/gene/?term=KYN08848.1", "KYN08848.1")</f>
        <v/>
      </c>
      <c r="F6450" t="n">
        <v>45.6</v>
      </c>
      <c r="G6450" t="n">
        <v>79</v>
      </c>
      <c r="H6450" t="n">
        <v>2.57e-15</v>
      </c>
      <c r="I6450" t="inlineStr">
        <is>
          <t>Nr</t>
        </is>
      </c>
      <c r="J6450" t="inlineStr"/>
      <c r="K6450" t="inlineStr"/>
      <c r="L6450" t="inlineStr">
        <is>
          <t>KYN08848.1 hypothetical protein ALC57_19051, partial [Trachymyrmex cornetzi]</t>
        </is>
      </c>
      <c r="M6450" t="n">
        <v>668</v>
      </c>
      <c r="N6450" t="inlineStr">
        <is>
          <t>Trachymyrmex cornetzi</t>
        </is>
      </c>
      <c r="O6450" t="inlineStr">
        <is>
          <t>hypothetical protein ALC57_19051, partial</t>
        </is>
      </c>
    </row>
    <row r="6451">
      <c r="A6451" t="inlineStr"/>
      <c r="B6451" t="inlineStr"/>
      <c r="C6451" t="inlineStr"/>
      <c r="D6451" t="inlineStr"/>
      <c r="E6451">
        <f>HYPERLINK("https://www.uniprot.org/uniprotkb/A0A4Y2LDT4/entry", "A0A4Y2LDT4")</f>
        <v/>
      </c>
      <c r="F6451" t="n">
        <v>44</v>
      </c>
      <c r="G6451" t="n">
        <v>50</v>
      </c>
      <c r="H6451" t="n">
        <v>0.000144</v>
      </c>
      <c r="I6451" t="inlineStr">
        <is>
          <t>TrEMBL</t>
        </is>
      </c>
      <c r="J6451" t="inlineStr">
        <is>
          <t>AVEN_27167_1</t>
        </is>
      </c>
      <c r="K6451" t="inlineStr">
        <is>
          <t>A0A4Y2LDT4_ARAVE</t>
        </is>
      </c>
      <c r="L6451" t="inlineStr">
        <is>
          <t>tr|A0A4Y2LDT4|A0A4Y2LDT4_ARAVE Transposase OS=Araneus ventricosus OX=182803 GN=AVEN_27167_1 PE=4 SV=1</t>
        </is>
      </c>
      <c r="M6451" t="n">
        <v>124</v>
      </c>
      <c r="N6451" t="inlineStr">
        <is>
          <t>Araneus ventricosus</t>
        </is>
      </c>
      <c r="O6451" t="inlineStr">
        <is>
          <t>Transposase</t>
        </is>
      </c>
    </row>
    <row r="6452">
      <c r="A6452" t="inlineStr"/>
      <c r="B6452" t="inlineStr"/>
      <c r="C6452" t="inlineStr"/>
      <c r="D6452" t="inlineStr"/>
      <c r="E6452">
        <f>HYPERLINK("https://www.uniprot.org/uniprotkb/A0A4Y2WW43/entry", "A0A4Y2WW43")</f>
        <v/>
      </c>
      <c r="F6452" t="n">
        <v>44</v>
      </c>
      <c r="G6452" t="n">
        <v>50</v>
      </c>
      <c r="H6452" t="n">
        <v>0.000181</v>
      </c>
      <c r="I6452" t="inlineStr">
        <is>
          <t>TrEMBL</t>
        </is>
      </c>
      <c r="J6452" t="inlineStr">
        <is>
          <t>AVEN_261090_1</t>
        </is>
      </c>
      <c r="K6452" t="inlineStr">
        <is>
          <t>A0A4Y2WW43_ARAVE</t>
        </is>
      </c>
      <c r="L6452" t="inlineStr">
        <is>
          <t>tr|A0A4Y2WW43|A0A4Y2WW43_ARAVE ATP-dependent DNA helicase OS=Araneus ventricosus OX=182803 GN=AVEN_261090_1 PE=4 SV=1</t>
        </is>
      </c>
      <c r="M6452" t="n">
        <v>158</v>
      </c>
      <c r="N6452" t="inlineStr">
        <is>
          <t>Araneus ventricosus</t>
        </is>
      </c>
      <c r="O6452" t="inlineStr">
        <is>
          <t>ATP-dependent DNA helicase</t>
        </is>
      </c>
    </row>
    <row r="6453">
      <c r="A6453" t="inlineStr"/>
      <c r="B6453" t="inlineStr"/>
      <c r="C6453" t="inlineStr"/>
      <c r="D6453" t="inlineStr"/>
      <c r="E6453">
        <f>HYPERLINK("https://www.uniprot.org/uniprotkb/A0A4Y2RX09/entry", "A0A4Y2RX09")</f>
        <v/>
      </c>
      <c r="F6453" t="n">
        <v>42</v>
      </c>
      <c r="G6453" t="n">
        <v>50</v>
      </c>
      <c r="H6453" t="n">
        <v>0.000205</v>
      </c>
      <c r="I6453" t="inlineStr">
        <is>
          <t>TrEMBL</t>
        </is>
      </c>
      <c r="J6453" t="inlineStr">
        <is>
          <t>AVEN_50306_1</t>
        </is>
      </c>
      <c r="K6453" t="inlineStr">
        <is>
          <t>A0A4Y2RX09_ARAVE</t>
        </is>
      </c>
      <c r="L6453" t="inlineStr">
        <is>
          <t>tr|A0A4Y2RX09|A0A4Y2RX09_ARAVE DUF4258 domain-containing protein OS=Araneus ventricosus OX=182803 GN=AVEN_50306_1 PE=4 SV=1</t>
        </is>
      </c>
      <c r="M6453" t="n">
        <v>125</v>
      </c>
      <c r="N6453" t="inlineStr">
        <is>
          <t>Araneus ventricosus</t>
        </is>
      </c>
      <c r="O6453" t="inlineStr">
        <is>
          <t>DUF4258 domain-containing protein</t>
        </is>
      </c>
    </row>
    <row r="6454">
      <c r="A6454" t="inlineStr"/>
      <c r="B6454" t="inlineStr"/>
      <c r="C6454" t="inlineStr"/>
      <c r="D6454" t="inlineStr"/>
      <c r="E6454">
        <f>HYPERLINK("https://www.ncbi.nlm.nih.gov/gene/?term=GBN12093.1", "GBN12093.1")</f>
        <v/>
      </c>
      <c r="F6454" t="n">
        <v>44</v>
      </c>
      <c r="G6454" t="n">
        <v>50</v>
      </c>
      <c r="H6454" t="n">
        <v>0.000371</v>
      </c>
      <c r="I6454" t="inlineStr">
        <is>
          <t>Nr</t>
        </is>
      </c>
      <c r="J6454" t="inlineStr"/>
      <c r="K6454" t="inlineStr"/>
      <c r="L6454" t="inlineStr">
        <is>
          <t>GBN12093.1 hypothetical protein AVEN_27167-1 [Araneus ventricosus]</t>
        </is>
      </c>
      <c r="M6454" t="n">
        <v>124</v>
      </c>
      <c r="N6454" t="inlineStr">
        <is>
          <t>Araneus ventricosus</t>
        </is>
      </c>
      <c r="O6454" t="inlineStr">
        <is>
          <t>hypothetical protein AVEN_27167-1</t>
        </is>
      </c>
    </row>
    <row r="6455">
      <c r="A6455" t="inlineStr"/>
      <c r="B6455" t="inlineStr"/>
      <c r="C6455" t="inlineStr"/>
      <c r="D6455" t="inlineStr"/>
      <c r="E6455">
        <f>HYPERLINK("https://www.ncbi.nlm.nih.gov/gene/?term=GBO40700.1", "GBO40700.1")</f>
        <v/>
      </c>
      <c r="F6455" t="n">
        <v>44</v>
      </c>
      <c r="G6455" t="n">
        <v>50</v>
      </c>
      <c r="H6455" t="n">
        <v>0.000464</v>
      </c>
      <c r="I6455" t="inlineStr">
        <is>
          <t>Nr</t>
        </is>
      </c>
      <c r="J6455" t="inlineStr"/>
      <c r="K6455" t="inlineStr"/>
      <c r="L6455" t="inlineStr">
        <is>
          <t>GBO40700.1 hypothetical protein AVEN_261090-1 [Araneus ventricosus]</t>
        </is>
      </c>
      <c r="M6455" t="n">
        <v>158</v>
      </c>
      <c r="N6455" t="inlineStr">
        <is>
          <t>Araneus ventricosus</t>
        </is>
      </c>
      <c r="O6455" t="inlineStr">
        <is>
          <t>hypothetical protein AVEN_261090-1</t>
        </is>
      </c>
    </row>
    <row r="6456">
      <c r="A6456" t="inlineStr"/>
      <c r="B6456" t="inlineStr"/>
      <c r="C6456" t="inlineStr"/>
      <c r="D6456" t="inlineStr"/>
      <c r="E6456">
        <f>HYPERLINK("https://www.uniprot.org/uniprotkb/A0A4Y2NVL0/entry", "A0A4Y2NVL0")</f>
        <v/>
      </c>
      <c r="F6456" t="n">
        <v>42.3</v>
      </c>
      <c r="G6456" t="n">
        <v>52</v>
      </c>
      <c r="H6456" t="n">
        <v>0.000479</v>
      </c>
      <c r="I6456" t="inlineStr">
        <is>
          <t>TrEMBL</t>
        </is>
      </c>
      <c r="J6456" t="inlineStr">
        <is>
          <t>AVEN_119729_1</t>
        </is>
      </c>
      <c r="K6456" t="inlineStr">
        <is>
          <t>A0A4Y2NVL0_ARAVE</t>
        </is>
      </c>
      <c r="L6456" t="inlineStr">
        <is>
          <t>tr|A0A4Y2NVL0|A0A4Y2NVL0_ARAVE DUF4258 domain-containing protein OS=Araneus ventricosus OX=182803 GN=AVEN_119729_1 PE=4 SV=1</t>
        </is>
      </c>
      <c r="M6456" t="n">
        <v>184</v>
      </c>
      <c r="N6456" t="inlineStr">
        <is>
          <t>Araneus ventricosus</t>
        </is>
      </c>
      <c r="O6456" t="inlineStr">
        <is>
          <t>DUF4258 domain-containing protein</t>
        </is>
      </c>
    </row>
    <row r="6457">
      <c r="A6457" t="inlineStr"/>
      <c r="B6457" t="inlineStr"/>
      <c r="C6457" t="inlineStr"/>
      <c r="D6457" t="inlineStr"/>
      <c r="E6457">
        <f>HYPERLINK("https://www.ncbi.nlm.nih.gov/gene/?term=GBN79500.1", "GBN79500.1")</f>
        <v/>
      </c>
      <c r="F6457" t="n">
        <v>42</v>
      </c>
      <c r="G6457" t="n">
        <v>50</v>
      </c>
      <c r="H6457" t="n">
        <v>0.000528</v>
      </c>
      <c r="I6457" t="inlineStr">
        <is>
          <t>Nr</t>
        </is>
      </c>
      <c r="J6457" t="inlineStr"/>
      <c r="K6457" t="inlineStr"/>
      <c r="L6457" t="inlineStr">
        <is>
          <t>GBN79500.1 hypothetical protein AVEN_50306-1 [Araneus ventricosus]</t>
        </is>
      </c>
      <c r="M6457" t="n">
        <v>125</v>
      </c>
      <c r="N6457" t="inlineStr">
        <is>
          <t>Araneus ventricosus</t>
        </is>
      </c>
      <c r="O6457" t="inlineStr">
        <is>
          <t>hypothetical protein AVEN_50306-1</t>
        </is>
      </c>
    </row>
    <row r="6458">
      <c r="A6458" t="inlineStr"/>
      <c r="B6458" t="inlineStr"/>
      <c r="C6458" t="inlineStr"/>
      <c r="D6458" t="inlineStr"/>
      <c r="E6458">
        <f>HYPERLINK("https://www.uniprot.org/uniprotkb/A0A4Y2NNQ6/entry", "A0A4Y2NNQ6")</f>
        <v/>
      </c>
      <c r="F6458" t="n">
        <v>42</v>
      </c>
      <c r="G6458" t="n">
        <v>50</v>
      </c>
      <c r="H6458" t="n">
        <v>0.000534</v>
      </c>
      <c r="I6458" t="inlineStr">
        <is>
          <t>TrEMBL</t>
        </is>
      </c>
      <c r="J6458" t="inlineStr">
        <is>
          <t>AVEN_13786_1</t>
        </is>
      </c>
      <c r="K6458" t="inlineStr">
        <is>
          <t>A0A4Y2NNQ6_ARAVE</t>
        </is>
      </c>
      <c r="L6458" t="inlineStr">
        <is>
          <t>tr|A0A4Y2NNQ6|A0A4Y2NNQ6_ARAVE Agenet-like domain-containing protein OS=Araneus ventricosus OX=182803 GN=AVEN_13786_1 PE=4 SV=1</t>
        </is>
      </c>
      <c r="M6458" t="n">
        <v>105</v>
      </c>
      <c r="N6458" t="inlineStr">
        <is>
          <t>Araneus ventricosus</t>
        </is>
      </c>
      <c r="O6458" t="inlineStr">
        <is>
          <t>Agenet-like domain-containing protein</t>
        </is>
      </c>
    </row>
    <row r="6459">
      <c r="A6459" t="inlineStr"/>
      <c r="B6459" t="inlineStr"/>
      <c r="C6459" t="inlineStr"/>
      <c r="D6459" t="inlineStr"/>
      <c r="E6459">
        <f>HYPERLINK("https://www.uniprot.org/uniprotkb/A0A4Y2NDY5/entry", "A0A4Y2NDY5")</f>
        <v/>
      </c>
      <c r="F6459" t="n">
        <v>42</v>
      </c>
      <c r="G6459" t="n">
        <v>50</v>
      </c>
      <c r="H6459" t="n">
        <v>0.000534</v>
      </c>
      <c r="I6459" t="inlineStr">
        <is>
          <t>TrEMBL</t>
        </is>
      </c>
      <c r="J6459" t="inlineStr">
        <is>
          <t>AVEN_79364_1</t>
        </is>
      </c>
      <c r="K6459" t="inlineStr">
        <is>
          <t>A0A4Y2NDY5_ARAVE</t>
        </is>
      </c>
      <c r="L6459" t="inlineStr">
        <is>
          <t>tr|A0A4Y2NDY5|A0A4Y2NDY5_ARAVE Agenet-like domain-containing protein OS=Araneus ventricosus OX=182803 GN=AVEN_79364_1 PE=4 SV=1</t>
        </is>
      </c>
      <c r="M6459" t="n">
        <v>105</v>
      </c>
      <c r="N6459" t="inlineStr">
        <is>
          <t>Araneus ventricosus</t>
        </is>
      </c>
      <c r="O6459" t="inlineStr">
        <is>
          <t>Agenet-like domain-containing protein</t>
        </is>
      </c>
    </row>
    <row r="6460">
      <c r="A6460" t="inlineStr"/>
      <c r="B6460" t="inlineStr"/>
      <c r="C6460" t="inlineStr"/>
      <c r="D6460" t="inlineStr"/>
      <c r="E6460">
        <f>HYPERLINK("https://www.uniprot.org/uniprotkb/A0A4Y2K2V9/entry", "A0A4Y2K2V9")</f>
        <v/>
      </c>
      <c r="F6460" t="n">
        <v>40</v>
      </c>
      <c r="G6460" t="n">
        <v>50</v>
      </c>
      <c r="H6460" t="n">
        <v>0.000539</v>
      </c>
      <c r="I6460" t="inlineStr">
        <is>
          <t>TrEMBL</t>
        </is>
      </c>
      <c r="J6460" t="inlineStr">
        <is>
          <t>AVEN_255646_1</t>
        </is>
      </c>
      <c r="K6460" t="inlineStr">
        <is>
          <t>A0A4Y2K2V9_ARAVE</t>
        </is>
      </c>
      <c r="L6460" t="inlineStr">
        <is>
          <t>tr|A0A4Y2K2V9|A0A4Y2K2V9_ARAVE Transposase OS=Araneus ventricosus OX=182803 GN=AVEN_255646_1 PE=4 SV=1</t>
        </is>
      </c>
      <c r="M6460" t="n">
        <v>123</v>
      </c>
      <c r="N6460" t="inlineStr">
        <is>
          <t>Araneus ventricosus</t>
        </is>
      </c>
      <c r="O6460" t="inlineStr">
        <is>
          <t>Transposase</t>
        </is>
      </c>
    </row>
    <row r="6461">
      <c r="A6461" t="inlineStr">
        <is>
          <t>NODE_39536_length_3459_cov_5.675118_g13508_i0</t>
        </is>
      </c>
      <c r="B6461" t="inlineStr">
        <is>
          <t>bombina_pachypus_blastx</t>
        </is>
      </c>
      <c r="C6461" t="n">
        <v>-3.34813577194861</v>
      </c>
      <c r="D6461" t="n">
        <v>0.0032855006515889</v>
      </c>
      <c r="E6461">
        <f>HYPERLINK("https://www.uniprot.org/uniprotkb/A0A667ZXY0/entry", "A0A667ZXY0")</f>
        <v/>
      </c>
      <c r="F6461" t="n">
        <v>38.2</v>
      </c>
      <c r="G6461" t="n">
        <v>186</v>
      </c>
      <c r="H6461" t="n">
        <v>4.59e-38</v>
      </c>
      <c r="I6461" t="inlineStr">
        <is>
          <t>TrEMBL</t>
        </is>
      </c>
      <c r="J6461" t="inlineStr"/>
      <c r="K6461" t="inlineStr">
        <is>
          <t>A0A667ZXY0_9TELE</t>
        </is>
      </c>
      <c r="L6461" t="inlineStr">
        <is>
          <t>tr|A0A667ZXY0|A0A667ZXY0_9TELE Endo/exonuclease/phosphatase domain-containing protein OS=Myripristis murdjan OX=586833 PE=4 SV=1</t>
        </is>
      </c>
      <c r="M6461" t="n">
        <v>204</v>
      </c>
      <c r="N6461" t="inlineStr">
        <is>
          <t>Myripristis murdjan</t>
        </is>
      </c>
      <c r="O6461" t="inlineStr">
        <is>
          <t>Endo/exonuclease/phosphatase domain-containing protein</t>
        </is>
      </c>
    </row>
    <row r="6462">
      <c r="A6462" t="inlineStr"/>
      <c r="B6462" t="inlineStr"/>
      <c r="C6462" t="inlineStr"/>
      <c r="D6462" t="inlineStr"/>
      <c r="E6462">
        <f>HYPERLINK("https://www.uniprot.org/uniprotkb/A0A803J3S5/entry", "A0A803J3S5")</f>
        <v/>
      </c>
      <c r="F6462" t="n">
        <v>38.3</v>
      </c>
      <c r="G6462" t="n">
        <v>188</v>
      </c>
      <c r="H6462" t="n">
        <v>1.2e-35</v>
      </c>
      <c r="I6462" t="inlineStr">
        <is>
          <t>TrEMBL</t>
        </is>
      </c>
      <c r="J6462" t="inlineStr"/>
      <c r="K6462" t="inlineStr">
        <is>
          <t>A0A803J3S5_XENTR</t>
        </is>
      </c>
      <c r="L6462" t="inlineStr">
        <is>
          <t>tr|A0A803J3S5|A0A803J3S5_XENTR Endo/exonuclease/phosphatase domain-containing protein OS=Xenopus tropicalis OX=8364 PE=4 SV=1</t>
        </is>
      </c>
      <c r="M6462" t="n">
        <v>205</v>
      </c>
      <c r="N6462" t="inlineStr">
        <is>
          <t>Xenopus tropicalis</t>
        </is>
      </c>
      <c r="O6462" t="inlineStr">
        <is>
          <t>Endo/exonuclease/phosphatase domain-containing protein</t>
        </is>
      </c>
    </row>
    <row r="6463">
      <c r="A6463" t="inlineStr"/>
      <c r="B6463" t="inlineStr"/>
      <c r="C6463" t="inlineStr"/>
      <c r="D6463" t="inlineStr"/>
      <c r="E6463">
        <f>HYPERLINK("https://www.uniprot.org/uniprotkb/A0A667X9Y1/entry", "A0A667X9Y1")</f>
        <v/>
      </c>
      <c r="F6463" t="n">
        <v>38</v>
      </c>
      <c r="G6463" t="n">
        <v>184</v>
      </c>
      <c r="H6463" t="n">
        <v>8.61e-33</v>
      </c>
      <c r="I6463" t="inlineStr">
        <is>
          <t>TrEMBL</t>
        </is>
      </c>
      <c r="J6463" t="inlineStr"/>
      <c r="K6463" t="inlineStr">
        <is>
          <t>A0A667X9Y1_9TELE</t>
        </is>
      </c>
      <c r="L6463" t="inlineStr">
        <is>
          <t>tr|A0A667X9Y1|A0A667X9Y1_9TELE Endo/exonuclease/phosphatase domain-containing protein OS=Myripristis murdjan OX=586833 PE=4 SV=1</t>
        </is>
      </c>
      <c r="M6463" t="n">
        <v>245</v>
      </c>
      <c r="N6463" t="inlineStr">
        <is>
          <t>Myripristis murdjan</t>
        </is>
      </c>
      <c r="O6463" t="inlineStr">
        <is>
          <t>Endo/exonuclease/phosphatase domain-containing protein</t>
        </is>
      </c>
    </row>
    <row r="6464">
      <c r="A6464" t="inlineStr"/>
      <c r="B6464" t="inlineStr"/>
      <c r="C6464" t="inlineStr"/>
      <c r="D6464" t="inlineStr"/>
      <c r="E6464">
        <f>HYPERLINK("https://www.uniprot.org/uniprotkb/A0A671Y175/entry", "A0A671Y175")</f>
        <v/>
      </c>
      <c r="F6464" t="n">
        <v>38.1</v>
      </c>
      <c r="G6464" t="n">
        <v>189</v>
      </c>
      <c r="H6464" t="n">
        <v>1.18e-31</v>
      </c>
      <c r="I6464" t="inlineStr">
        <is>
          <t>TrEMBL</t>
        </is>
      </c>
      <c r="J6464" t="inlineStr"/>
      <c r="K6464" t="inlineStr">
        <is>
          <t>A0A671Y175_SPAAU</t>
        </is>
      </c>
      <c r="L6464" t="inlineStr">
        <is>
          <t>tr|A0A671Y175|A0A671Y175_SPAAU Reverse transcriptase domain-containing protein OS=Sparus aurata OX=8175 PE=4 SV=1</t>
        </is>
      </c>
      <c r="M6464" t="n">
        <v>1128</v>
      </c>
      <c r="N6464" t="inlineStr">
        <is>
          <t>Sparus aurata</t>
        </is>
      </c>
      <c r="O6464" t="inlineStr">
        <is>
          <t>Reverse transcriptase domain-containing protein</t>
        </is>
      </c>
    </row>
    <row r="6465">
      <c r="A6465" t="inlineStr"/>
      <c r="B6465" t="inlineStr"/>
      <c r="C6465" t="inlineStr"/>
      <c r="D6465" t="inlineStr"/>
      <c r="E6465">
        <f>HYPERLINK("https://www.uniprot.org/uniprotkb/A0A3P8QZP4/entry", "A0A3P8QZP4")</f>
        <v/>
      </c>
      <c r="F6465" t="n">
        <v>39.2</v>
      </c>
      <c r="G6465" t="n">
        <v>186</v>
      </c>
      <c r="H6465" t="n">
        <v>2.6e-31</v>
      </c>
      <c r="I6465" t="inlineStr">
        <is>
          <t>TrEMBL</t>
        </is>
      </c>
      <c r="J6465" t="inlineStr"/>
      <c r="K6465" t="inlineStr">
        <is>
          <t>A0A3P8QZP4_ASTCA</t>
        </is>
      </c>
      <c r="L6465" t="inlineStr">
        <is>
          <t>tr|A0A3P8QZP4|A0A3P8QZP4_ASTCA Endo/exonuclease/phosphatase domain-containing protein OS=Astatotilapia calliptera OX=8154 PE=4 SV=1</t>
        </is>
      </c>
      <c r="M6465" t="n">
        <v>466</v>
      </c>
      <c r="N6465" t="inlineStr">
        <is>
          <t>Astatotilapia calliptera</t>
        </is>
      </c>
      <c r="O6465" t="inlineStr">
        <is>
          <t>Endo/exonuclease/phosphatase domain-containing protein</t>
        </is>
      </c>
    </row>
    <row r="6466">
      <c r="A6466" t="inlineStr"/>
      <c r="B6466" t="inlineStr"/>
      <c r="C6466" t="inlineStr"/>
      <c r="D6466" t="inlineStr"/>
      <c r="E6466">
        <f>HYPERLINK("https://www.uniprot.org/uniprotkb/A0A3Q4I192/entry", "A0A3Q4I192")</f>
        <v/>
      </c>
      <c r="F6466" t="n">
        <v>40.4</v>
      </c>
      <c r="G6466" t="n">
        <v>183</v>
      </c>
      <c r="H6466" t="n">
        <v>3.36e-31</v>
      </c>
      <c r="I6466" t="inlineStr">
        <is>
          <t>TrEMBL</t>
        </is>
      </c>
      <c r="J6466" t="inlineStr"/>
      <c r="K6466" t="inlineStr">
        <is>
          <t>A0A3Q4I192_NEOBR</t>
        </is>
      </c>
      <c r="L6466" t="inlineStr">
        <is>
          <t>tr|A0A3Q4I192|A0A3Q4I192_NEOBR Endo/exonuclease/phosphatase domain-containing protein OS=Neolamprologus brichardi OX=32507 PE=4 SV=1</t>
        </is>
      </c>
      <c r="M6466" t="n">
        <v>333</v>
      </c>
      <c r="N6466" t="inlineStr">
        <is>
          <t>Neolamprologus brichardi</t>
        </is>
      </c>
      <c r="O6466" t="inlineStr">
        <is>
          <t>Endo/exonuclease/phosphatase domain-containing protein</t>
        </is>
      </c>
    </row>
    <row r="6467">
      <c r="A6467" t="inlineStr"/>
      <c r="B6467" t="inlineStr"/>
      <c r="C6467" t="inlineStr"/>
      <c r="D6467" t="inlineStr"/>
      <c r="E6467">
        <f>HYPERLINK("https://www.uniprot.org/uniprotkb/A0A3P9DD43/entry", "A0A3P9DD43")</f>
        <v/>
      </c>
      <c r="F6467" t="n">
        <v>43.2</v>
      </c>
      <c r="G6467" t="n">
        <v>148</v>
      </c>
      <c r="H6467" t="n">
        <v>8.520000000000001e-31</v>
      </c>
      <c r="I6467" t="inlineStr">
        <is>
          <t>TrEMBL</t>
        </is>
      </c>
      <c r="J6467" t="inlineStr"/>
      <c r="K6467" t="inlineStr">
        <is>
          <t>A0A3P9DD43_9CICH</t>
        </is>
      </c>
      <c r="L6467" t="inlineStr">
        <is>
          <t>tr|A0A3P9DD43|A0A3P9DD43_9CICH Endo/exonuclease/phosphatase domain-containing protein OS=Maylandia zebra OX=106582 PE=4 SV=1</t>
        </is>
      </c>
      <c r="M6467" t="n">
        <v>280</v>
      </c>
      <c r="N6467" t="inlineStr">
        <is>
          <t>Maylandia zebra</t>
        </is>
      </c>
      <c r="O6467" t="inlineStr">
        <is>
          <t>Endo/exonuclease/phosphatase domain-containing protein</t>
        </is>
      </c>
    </row>
    <row r="6468">
      <c r="A6468" t="inlineStr"/>
      <c r="B6468" t="inlineStr"/>
      <c r="C6468" t="inlineStr"/>
      <c r="D6468" t="inlineStr"/>
      <c r="E6468">
        <f>HYPERLINK("https://www.uniprot.org/uniprotkb/A0A3P8NSN4/entry", "A0A3P8NSN4")</f>
        <v/>
      </c>
      <c r="F6468" t="n">
        <v>40.4</v>
      </c>
      <c r="G6468" t="n">
        <v>183</v>
      </c>
      <c r="H6468" t="n">
        <v>8.84e-31</v>
      </c>
      <c r="I6468" t="inlineStr">
        <is>
          <t>TrEMBL</t>
        </is>
      </c>
      <c r="J6468" t="inlineStr"/>
      <c r="K6468" t="inlineStr">
        <is>
          <t>A0A3P8NSN4_ASTCA</t>
        </is>
      </c>
      <c r="L6468" t="inlineStr">
        <is>
          <t>tr|A0A3P8NSN4|A0A3P8NSN4_ASTCA Endo/exonuclease/phosphatase domain-containing protein OS=Astatotilapia calliptera OX=8154 PE=4 SV=1</t>
        </is>
      </c>
      <c r="M6468" t="n">
        <v>252</v>
      </c>
      <c r="N6468" t="inlineStr">
        <is>
          <t>Astatotilapia calliptera</t>
        </is>
      </c>
      <c r="O6468" t="inlineStr">
        <is>
          <t>Endo/exonuclease/phosphatase domain-containing protein</t>
        </is>
      </c>
    </row>
    <row r="6469">
      <c r="A6469" t="inlineStr"/>
      <c r="B6469" t="inlineStr"/>
      <c r="C6469" t="inlineStr"/>
      <c r="D6469" t="inlineStr"/>
      <c r="E6469">
        <f>HYPERLINK("https://www.uniprot.org/uniprotkb/A0A3P8NX07/entry", "A0A3P8NX07")</f>
        <v/>
      </c>
      <c r="F6469" t="n">
        <v>42.6</v>
      </c>
      <c r="G6469" t="n">
        <v>148</v>
      </c>
      <c r="H6469" t="n">
        <v>1.69e-30</v>
      </c>
      <c r="I6469" t="inlineStr">
        <is>
          <t>TrEMBL</t>
        </is>
      </c>
      <c r="J6469" t="inlineStr"/>
      <c r="K6469" t="inlineStr">
        <is>
          <t>A0A3P8NX07_ASTCA</t>
        </is>
      </c>
      <c r="L6469" t="inlineStr">
        <is>
          <t>tr|A0A3P8NX07|A0A3P8NX07_ASTCA Endo/exonuclease/phosphatase domain-containing protein OS=Astatotilapia calliptera OX=8154 PE=4 SV=1</t>
        </is>
      </c>
      <c r="M6469" t="n">
        <v>280</v>
      </c>
      <c r="N6469" t="inlineStr">
        <is>
          <t>Astatotilapia calliptera</t>
        </is>
      </c>
      <c r="O6469" t="inlineStr">
        <is>
          <t>Endo/exonuclease/phosphatase domain-containing protein</t>
        </is>
      </c>
    </row>
    <row r="6470">
      <c r="A6470" t="inlineStr"/>
      <c r="B6470" t="inlineStr"/>
      <c r="C6470" t="inlineStr"/>
      <c r="D6470" t="inlineStr"/>
      <c r="E6470">
        <f>HYPERLINK("https://www.uniprot.org/uniprotkb/A0A8C6UT24/entry", "A0A8C6UT24")</f>
        <v/>
      </c>
      <c r="F6470" t="n">
        <v>34.4</v>
      </c>
      <c r="G6470" t="n">
        <v>183</v>
      </c>
      <c r="H6470" t="n">
        <v>1.96e-30</v>
      </c>
      <c r="I6470" t="inlineStr">
        <is>
          <t>TrEMBL</t>
        </is>
      </c>
      <c r="J6470" t="inlineStr"/>
      <c r="K6470" t="inlineStr">
        <is>
          <t>A0A8C6UT24_9GOBI</t>
        </is>
      </c>
      <c r="L6470" t="inlineStr">
        <is>
          <t>tr|A0A8C6UT24|A0A8C6UT24_9GOBI Endo/exonuclease/phosphatase domain-containing protein OS=Neogobius melanostomus OX=47308 PE=4 SV=1</t>
        </is>
      </c>
      <c r="M6470" t="n">
        <v>215</v>
      </c>
      <c r="N6470" t="inlineStr">
        <is>
          <t>Neogobius melanostomus</t>
        </is>
      </c>
      <c r="O6470" t="inlineStr">
        <is>
          <t>Endo/exonuclease/phosphatase domain-containing protein</t>
        </is>
      </c>
    </row>
    <row r="6471">
      <c r="A6471" t="inlineStr"/>
      <c r="B6471" t="inlineStr"/>
      <c r="C6471" t="inlineStr"/>
      <c r="D6471" t="inlineStr"/>
      <c r="E6471">
        <f>HYPERLINK("https://www.uniprot.org/uniprotkb/A0A668SST9/entry", "A0A668SST9")</f>
        <v/>
      </c>
      <c r="F6471" t="n">
        <v>40.1</v>
      </c>
      <c r="G6471" t="n">
        <v>182</v>
      </c>
      <c r="H6471" t="n">
        <v>2.57e-30</v>
      </c>
      <c r="I6471" t="inlineStr">
        <is>
          <t>TrEMBL</t>
        </is>
      </c>
      <c r="J6471" t="inlineStr"/>
      <c r="K6471" t="inlineStr">
        <is>
          <t>A0A668SST9_OREAU</t>
        </is>
      </c>
      <c r="L6471" t="inlineStr">
        <is>
          <t>tr|A0A668SST9|A0A668SST9_OREAU Endo/exonuclease/phosphatase domain-containing protein OS=Oreochromis aureus OX=47969 PE=4 SV=1</t>
        </is>
      </c>
      <c r="M6471" t="n">
        <v>438</v>
      </c>
      <c r="N6471" t="inlineStr">
        <is>
          <t>Oreochromis aureus</t>
        </is>
      </c>
      <c r="O6471" t="inlineStr">
        <is>
          <t>Endo/exonuclease/phosphatase domain-containing protein</t>
        </is>
      </c>
    </row>
    <row r="6472">
      <c r="A6472" t="inlineStr"/>
      <c r="B6472" t="inlineStr"/>
      <c r="C6472" t="inlineStr"/>
      <c r="D6472" t="inlineStr"/>
      <c r="E6472">
        <f>HYPERLINK("https://www.uniprot.org/uniprotkb/A0A3P8NC16/entry", "A0A3P8NC16")</f>
        <v/>
      </c>
      <c r="F6472" t="n">
        <v>39</v>
      </c>
      <c r="G6472" t="n">
        <v>182</v>
      </c>
      <c r="H6472" t="n">
        <v>4.55e-30</v>
      </c>
      <c r="I6472" t="inlineStr">
        <is>
          <t>TrEMBL</t>
        </is>
      </c>
      <c r="J6472" t="inlineStr"/>
      <c r="K6472" t="inlineStr">
        <is>
          <t>A0A3P8NC16_ASTCA</t>
        </is>
      </c>
      <c r="L6472" t="inlineStr">
        <is>
          <t>tr|A0A3P8NC16|A0A3P8NC16_ASTCA Endo/exonuclease/phosphatase domain-containing protein OS=Astatotilapia calliptera OX=8154 PE=4 SV=1</t>
        </is>
      </c>
      <c r="M6472" t="n">
        <v>346</v>
      </c>
      <c r="N6472" t="inlineStr">
        <is>
          <t>Astatotilapia calliptera</t>
        </is>
      </c>
      <c r="O6472" t="inlineStr">
        <is>
          <t>Endo/exonuclease/phosphatase domain-containing protein</t>
        </is>
      </c>
    </row>
    <row r="6473">
      <c r="A6473" t="inlineStr"/>
      <c r="B6473" t="inlineStr"/>
      <c r="C6473" t="inlineStr"/>
      <c r="D6473" t="inlineStr"/>
      <c r="E6473">
        <f>HYPERLINK("https://www.uniprot.org/uniprotkb/A0A8S4BJM1/entry", "A0A8S4BJM1")</f>
        <v/>
      </c>
      <c r="F6473" t="n">
        <v>39.5</v>
      </c>
      <c r="G6473" t="n">
        <v>190</v>
      </c>
      <c r="H6473" t="n">
        <v>1.2e-29</v>
      </c>
      <c r="I6473" t="inlineStr">
        <is>
          <t>TrEMBL</t>
        </is>
      </c>
      <c r="J6473" t="inlineStr">
        <is>
          <t>MMEN_LOCUS14195</t>
        </is>
      </c>
      <c r="K6473" t="inlineStr">
        <is>
          <t>A0A8S4BJM1_9TELE</t>
        </is>
      </c>
      <c r="L6473" t="inlineStr">
        <is>
          <t>tr|A0A8S4BJM1|A0A8S4BJM1_9TELE (Atlantic silverside) hypothetical protein (Fragment) OS=Menidia menidia OX=238744 GN=MMEN_LOCUS14195 PE=4 SV=1</t>
        </is>
      </c>
      <c r="M6473" t="n">
        <v>1059</v>
      </c>
      <c r="N6473" t="inlineStr">
        <is>
          <t>Menidia menidia</t>
        </is>
      </c>
      <c r="O6473" t="inlineStr">
        <is>
          <t>(Atlantic silverside) hypothetical protein (Fragment)</t>
        </is>
      </c>
    </row>
    <row r="6474">
      <c r="A6474" t="inlineStr"/>
      <c r="B6474" t="inlineStr"/>
      <c r="C6474" t="inlineStr"/>
      <c r="D6474" t="inlineStr"/>
      <c r="E6474">
        <f>HYPERLINK("https://www.uniprot.org/uniprotkb/A0A3P9C723/entry", "A0A3P9C723")</f>
        <v/>
      </c>
      <c r="F6474" t="n">
        <v>39</v>
      </c>
      <c r="G6474" t="n">
        <v>182</v>
      </c>
      <c r="H6474" t="n">
        <v>1.35e-29</v>
      </c>
      <c r="I6474" t="inlineStr">
        <is>
          <t>TrEMBL</t>
        </is>
      </c>
      <c r="J6474" t="inlineStr"/>
      <c r="K6474" t="inlineStr">
        <is>
          <t>A0A3P9C723_9CICH</t>
        </is>
      </c>
      <c r="L6474" t="inlineStr">
        <is>
          <t>tr|A0A3P9C723|A0A3P9C723_9CICH Endo/exonuclease/phosphatase domain-containing protein OS=Maylandia zebra OX=106582 PE=4 SV=1</t>
        </is>
      </c>
      <c r="M6474" t="n">
        <v>332</v>
      </c>
      <c r="N6474" t="inlineStr">
        <is>
          <t>Maylandia zebra</t>
        </is>
      </c>
      <c r="O6474" t="inlineStr">
        <is>
          <t>Endo/exonuclease/phosphatase domain-containing protein</t>
        </is>
      </c>
    </row>
    <row r="6475">
      <c r="A6475" t="inlineStr"/>
      <c r="B6475" t="inlineStr"/>
      <c r="C6475" t="inlineStr"/>
      <c r="D6475" t="inlineStr"/>
      <c r="E6475">
        <f>HYPERLINK("https://www.ncbi.nlm.nih.gov/gene/?term=CAG5947255.1", "CAG5947255.1")</f>
        <v/>
      </c>
      <c r="F6475" t="n">
        <v>39.5</v>
      </c>
      <c r="G6475" t="n">
        <v>190</v>
      </c>
      <c r="H6475" t="n">
        <v>3.09e-29</v>
      </c>
      <c r="I6475" t="inlineStr">
        <is>
          <t>Nr</t>
        </is>
      </c>
      <c r="J6475" t="inlineStr"/>
      <c r="K6475" t="inlineStr"/>
      <c r="L6475" t="inlineStr">
        <is>
          <t>CAG5947255.1 unnamed protein product, partial [Menidia menidia]</t>
        </is>
      </c>
      <c r="M6475" t="n">
        <v>1059</v>
      </c>
      <c r="N6475" t="inlineStr">
        <is>
          <t>Menidia menidia</t>
        </is>
      </c>
      <c r="O6475" t="inlineStr">
        <is>
          <t>unnamed protein product, partial</t>
        </is>
      </c>
    </row>
    <row r="6476">
      <c r="A6476" t="inlineStr"/>
      <c r="B6476" t="inlineStr"/>
      <c r="C6476" t="inlineStr"/>
      <c r="D6476" t="inlineStr"/>
      <c r="E6476">
        <f>HYPERLINK("https://www.uniprot.org/uniprotkb/A0A8C5MB06/entry", "A0A8C5MB06")</f>
        <v/>
      </c>
      <c r="F6476" t="n">
        <v>37.9</v>
      </c>
      <c r="G6476" t="n">
        <v>182</v>
      </c>
      <c r="H6476" t="n">
        <v>3.18e-29</v>
      </c>
      <c r="I6476" t="inlineStr">
        <is>
          <t>TrEMBL</t>
        </is>
      </c>
      <c r="J6476" t="inlineStr"/>
      <c r="K6476" t="inlineStr">
        <is>
          <t>A0A8C5MB06_9ANUR</t>
        </is>
      </c>
      <c r="L6476" t="inlineStr">
        <is>
          <t>tr|A0A8C5MB06|A0A8C5MB06_9ANUR Endo/exonuclease/phosphatase domain-containing protein OS=Leptobrachium leishanense OX=445787 PE=4 SV=1</t>
        </is>
      </c>
      <c r="M6476" t="n">
        <v>203</v>
      </c>
      <c r="N6476" t="inlineStr">
        <is>
          <t>Leptobrachium leishanense</t>
        </is>
      </c>
      <c r="O6476" t="inlineStr">
        <is>
          <t>Endo/exonuclease/phosphatase domain-containing protein</t>
        </is>
      </c>
    </row>
    <row r="6477">
      <c r="A6477" t="inlineStr"/>
      <c r="B6477" t="inlineStr"/>
      <c r="C6477" t="inlineStr"/>
      <c r="D6477" t="inlineStr"/>
      <c r="E6477">
        <f>HYPERLINK("https://www.uniprot.org/uniprotkb/A0A3B4EWU5/entry", "A0A3B4EWU5")</f>
        <v/>
      </c>
      <c r="F6477" t="n">
        <v>40.8</v>
      </c>
      <c r="G6477" t="n">
        <v>184</v>
      </c>
      <c r="H6477" t="n">
        <v>3.52e-29</v>
      </c>
      <c r="I6477" t="inlineStr">
        <is>
          <t>TrEMBL</t>
        </is>
      </c>
      <c r="J6477" t="inlineStr"/>
      <c r="K6477" t="inlineStr">
        <is>
          <t>A0A3B4EWU5_9CICH</t>
        </is>
      </c>
      <c r="L6477" t="inlineStr">
        <is>
          <t>tr|A0A3B4EWU5|A0A3B4EWU5_9CICH Endo/exonuclease/phosphatase domain-containing protein OS=Pundamilia nyererei OX=303518 PE=4 SV=1</t>
        </is>
      </c>
      <c r="M6477" t="n">
        <v>329</v>
      </c>
      <c r="N6477" t="inlineStr">
        <is>
          <t>Pundamilia nyererei</t>
        </is>
      </c>
      <c r="O6477" t="inlineStr">
        <is>
          <t>Endo/exonuclease/phosphatase domain-containing protein</t>
        </is>
      </c>
    </row>
    <row r="6478">
      <c r="A6478" t="inlineStr"/>
      <c r="B6478" t="inlineStr"/>
      <c r="C6478" t="inlineStr"/>
      <c r="D6478" t="inlineStr"/>
      <c r="E6478">
        <f>HYPERLINK("https://www.uniprot.org/uniprotkb/A0A673IQH6/entry", "A0A673IQH6")</f>
        <v/>
      </c>
      <c r="F6478" t="n">
        <v>41.6</v>
      </c>
      <c r="G6478" t="n">
        <v>149</v>
      </c>
      <c r="H6478" t="n">
        <v>8.42e-29</v>
      </c>
      <c r="I6478" t="inlineStr">
        <is>
          <t>TrEMBL</t>
        </is>
      </c>
      <c r="J6478" t="inlineStr"/>
      <c r="K6478" t="inlineStr">
        <is>
          <t>A0A673IQH6_9TELE</t>
        </is>
      </c>
      <c r="L6478" t="inlineStr">
        <is>
          <t>tr|A0A673IQH6|A0A673IQH6_9TELE Endo/exonuclease/phosphatase domain-containing protein OS=Sinocyclocheilus rhinocerous OX=307959 PE=4 SV=1</t>
        </is>
      </c>
      <c r="M6478" t="n">
        <v>380</v>
      </c>
      <c r="N6478" t="inlineStr">
        <is>
          <t>Sinocyclocheilus rhinocerous</t>
        </is>
      </c>
      <c r="O6478" t="inlineStr">
        <is>
          <t>Endo/exonuclease/phosphatase domain-containing protein</t>
        </is>
      </c>
    </row>
    <row r="6479">
      <c r="A6479" t="inlineStr"/>
      <c r="B6479" t="inlineStr"/>
      <c r="C6479" t="inlineStr"/>
      <c r="D6479" t="inlineStr"/>
      <c r="E6479">
        <f>HYPERLINK("https://www.uniprot.org/uniprotkb/A0A3P8TGQ6/entry", "A0A3P8TGQ6")</f>
        <v/>
      </c>
      <c r="F6479" t="n">
        <v>38.6</v>
      </c>
      <c r="G6479" t="n">
        <v>184</v>
      </c>
      <c r="H6479" t="n">
        <v>8.680000000000001e-29</v>
      </c>
      <c r="I6479" t="inlineStr">
        <is>
          <t>TrEMBL</t>
        </is>
      </c>
      <c r="J6479" t="inlineStr"/>
      <c r="K6479" t="inlineStr">
        <is>
          <t>A0A3P8TGQ6_AMPPE</t>
        </is>
      </c>
      <c r="L6479" t="inlineStr">
        <is>
          <t>tr|A0A3P8TGQ6|A0A3P8TGQ6_AMPPE Endo/exonuclease/phosphatase domain-containing protein OS=Amphiprion percula OX=161767 PE=4 SV=1</t>
        </is>
      </c>
      <c r="M6479" t="n">
        <v>382</v>
      </c>
      <c r="N6479" t="inlineStr">
        <is>
          <t>Amphiprion percula</t>
        </is>
      </c>
      <c r="O6479" t="inlineStr">
        <is>
          <t>Endo/exonuclease/phosphatase domain-containing protein</t>
        </is>
      </c>
    </row>
    <row r="6480">
      <c r="A6480" t="inlineStr"/>
      <c r="B6480" t="inlineStr"/>
      <c r="C6480" t="inlineStr"/>
      <c r="D6480" t="inlineStr"/>
      <c r="E6480">
        <f>HYPERLINK("https://www.uniprot.org/uniprotkb/A0A8C7XGJ8/entry", "A0A8C7XGJ8")</f>
        <v/>
      </c>
      <c r="F6480" t="n">
        <v>36.1</v>
      </c>
      <c r="G6480" t="n">
        <v>183</v>
      </c>
      <c r="H6480" t="n">
        <v>1.02e-28</v>
      </c>
      <c r="I6480" t="inlineStr">
        <is>
          <t>TrEMBL</t>
        </is>
      </c>
      <c r="J6480" t="inlineStr"/>
      <c r="K6480" t="inlineStr">
        <is>
          <t>A0A8C7XGJ8_9TELE</t>
        </is>
      </c>
      <c r="L6480" t="inlineStr">
        <is>
          <t>tr|A0A8C7XGJ8|A0A8C7XGJ8_9TELE Reverse transcriptase domain-containing protein OS=Oryzias sinensis OX=183150 PE=4 SV=1</t>
        </is>
      </c>
      <c r="M6480" t="n">
        <v>883</v>
      </c>
      <c r="N6480" t="inlineStr">
        <is>
          <t>Oryzias sinensis</t>
        </is>
      </c>
      <c r="O6480" t="inlineStr">
        <is>
          <t>Reverse transcriptase domain-containing protein</t>
        </is>
      </c>
    </row>
    <row r="6481">
      <c r="A6481" t="inlineStr"/>
      <c r="B6481" t="inlineStr"/>
      <c r="C6481" t="inlineStr"/>
      <c r="D6481" t="inlineStr"/>
      <c r="E6481">
        <f>HYPERLINK("https://www.uniprot.org/uniprotkb/A0A3Q3A000/entry", "A0A3Q3A000")</f>
        <v/>
      </c>
      <c r="F6481" t="n">
        <v>37.7</v>
      </c>
      <c r="G6481" t="n">
        <v>183</v>
      </c>
      <c r="H6481" t="n">
        <v>1.98e-28</v>
      </c>
      <c r="I6481" t="inlineStr">
        <is>
          <t>TrEMBL</t>
        </is>
      </c>
      <c r="J6481" t="inlineStr"/>
      <c r="K6481" t="inlineStr">
        <is>
          <t>A0A3Q3A000_KRYMA</t>
        </is>
      </c>
      <c r="L6481" t="inlineStr">
        <is>
          <t>tr|A0A3Q3A000|A0A3Q3A000_KRYMA Reverse transcriptase domain-containing protein OS=Kryptolebias marmoratus OX=37003 PE=4 SV=1</t>
        </is>
      </c>
      <c r="M6481" t="n">
        <v>1270</v>
      </c>
      <c r="N6481" t="inlineStr">
        <is>
          <t>Kryptolebias marmoratus</t>
        </is>
      </c>
      <c r="O6481" t="inlineStr">
        <is>
          <t>Reverse transcriptase domain-containing protein</t>
        </is>
      </c>
    </row>
    <row r="6482">
      <c r="A6482" t="inlineStr"/>
      <c r="B6482" t="inlineStr"/>
      <c r="C6482" t="inlineStr"/>
      <c r="D6482" t="inlineStr"/>
      <c r="E6482">
        <f>HYPERLINK("https://www.uniprot.org/uniprotkb/A0A803JUS9/entry", "A0A803JUS9")</f>
        <v/>
      </c>
      <c r="F6482" t="n">
        <v>42.6</v>
      </c>
      <c r="G6482" t="n">
        <v>141</v>
      </c>
      <c r="H6482" t="n">
        <v>2.71e-28</v>
      </c>
      <c r="I6482" t="inlineStr">
        <is>
          <t>TrEMBL</t>
        </is>
      </c>
      <c r="J6482" t="inlineStr"/>
      <c r="K6482" t="inlineStr">
        <is>
          <t>A0A803JUS9_XENTR</t>
        </is>
      </c>
      <c r="L6482" t="inlineStr">
        <is>
          <t>tr|A0A803JUS9|A0A803JUS9_XENTR Reverse transcriptase domain-containing protein OS=Xenopus tropicalis OX=8364 PE=4 SV=1</t>
        </is>
      </c>
      <c r="M6482" t="n">
        <v>1298</v>
      </c>
      <c r="N6482" t="inlineStr">
        <is>
          <t>Xenopus tropicalis</t>
        </is>
      </c>
      <c r="O6482" t="inlineStr">
        <is>
          <t>Reverse transcriptase domain-containing protein</t>
        </is>
      </c>
    </row>
    <row r="6483">
      <c r="A6483" t="inlineStr"/>
      <c r="B6483" t="inlineStr"/>
      <c r="C6483" t="inlineStr"/>
      <c r="D6483" t="inlineStr"/>
      <c r="E6483">
        <f>HYPERLINK("https://www.uniprot.org/uniprotkb/A0A667ZJD3/entry", "A0A667ZJD3")</f>
        <v/>
      </c>
      <c r="F6483" t="n">
        <v>35</v>
      </c>
      <c r="G6483" t="n">
        <v>183</v>
      </c>
      <c r="H6483" t="n">
        <v>2.96e-28</v>
      </c>
      <c r="I6483" t="inlineStr">
        <is>
          <t>TrEMBL</t>
        </is>
      </c>
      <c r="J6483" t="inlineStr"/>
      <c r="K6483" t="inlineStr">
        <is>
          <t>A0A667ZJD3_9TELE</t>
        </is>
      </c>
      <c r="L6483" t="inlineStr">
        <is>
          <t>tr|A0A667ZJD3|A0A667ZJD3_9TELE Endo/exonuclease/phosphatase domain-containing protein OS=Myripristis murdjan OX=586833 PE=4 SV=1</t>
        </is>
      </c>
      <c r="M6483" t="n">
        <v>252</v>
      </c>
      <c r="N6483" t="inlineStr">
        <is>
          <t>Myripristis murdjan</t>
        </is>
      </c>
      <c r="O6483" t="inlineStr">
        <is>
          <t>Endo/exonuclease/phosphatase domain-containing protein</t>
        </is>
      </c>
    </row>
    <row r="6484">
      <c r="A6484" t="inlineStr"/>
      <c r="B6484" t="inlineStr"/>
      <c r="C6484" t="inlineStr"/>
      <c r="D6484" t="inlineStr"/>
      <c r="E6484">
        <f>HYPERLINK("https://www.ncbi.nlm.nih.gov/gene/?term=KAF7645018.1", "KAF7645018.1")</f>
        <v/>
      </c>
      <c r="F6484" t="n">
        <v>38.9</v>
      </c>
      <c r="G6484" t="n">
        <v>149</v>
      </c>
      <c r="H6484" t="n">
        <v>3.19e-28</v>
      </c>
      <c r="I6484" t="inlineStr">
        <is>
          <t>Nr</t>
        </is>
      </c>
      <c r="J6484" t="inlineStr"/>
      <c r="K6484" t="inlineStr"/>
      <c r="L6484" t="inlineStr">
        <is>
          <t>KAF7645018.1 hypothetical protein LDENG_00211650 [Lucifuga dentata]</t>
        </is>
      </c>
      <c r="M6484" t="n">
        <v>290</v>
      </c>
      <c r="N6484" t="inlineStr">
        <is>
          <t>Lucifuga dentata</t>
        </is>
      </c>
      <c r="O6484" t="inlineStr">
        <is>
          <t>hypothetical protein LDENG_00211650</t>
        </is>
      </c>
    </row>
    <row r="6485">
      <c r="A6485" t="inlineStr"/>
      <c r="B6485" t="inlineStr"/>
      <c r="C6485" t="inlineStr"/>
      <c r="D6485" t="inlineStr"/>
      <c r="E6485">
        <f>HYPERLINK("https://www.ncbi.nlm.nih.gov/gene/?term=OCT56386.1", "OCT56386.1")</f>
        <v/>
      </c>
      <c r="F6485" t="n">
        <v>42</v>
      </c>
      <c r="G6485" t="n">
        <v>157</v>
      </c>
      <c r="H6485" t="n">
        <v>4.51e-28</v>
      </c>
      <c r="I6485" t="inlineStr">
        <is>
          <t>Nr</t>
        </is>
      </c>
      <c r="J6485" t="inlineStr"/>
      <c r="K6485" t="inlineStr"/>
      <c r="L6485" t="inlineStr">
        <is>
          <t>OCT56386.1 hypothetical protein XELAEV_18000164mg [Xenopus laevis]</t>
        </is>
      </c>
      <c r="M6485" t="n">
        <v>701</v>
      </c>
      <c r="N6485" t="inlineStr">
        <is>
          <t>Xenopus laevis</t>
        </is>
      </c>
      <c r="O6485" t="inlineStr">
        <is>
          <t>hypothetical protein XELAEV_18000164mg</t>
        </is>
      </c>
    </row>
    <row r="6486">
      <c r="A6486" t="inlineStr"/>
      <c r="B6486" t="inlineStr"/>
      <c r="C6486" t="inlineStr"/>
      <c r="D6486" t="inlineStr"/>
      <c r="E6486">
        <f>HYPERLINK("https://www.uniprot.org/uniprotkb/A0A8C5A7J9/entry", "A0A8C5A7J9")</f>
        <v/>
      </c>
      <c r="F6486" t="n">
        <v>39.1</v>
      </c>
      <c r="G6486" t="n">
        <v>184</v>
      </c>
      <c r="H6486" t="n">
        <v>5e-28</v>
      </c>
      <c r="I6486" t="inlineStr">
        <is>
          <t>TrEMBL</t>
        </is>
      </c>
      <c r="J6486" t="inlineStr"/>
      <c r="K6486" t="inlineStr">
        <is>
          <t>A0A8C5A7J9_GADMO</t>
        </is>
      </c>
      <c r="L6486" t="inlineStr">
        <is>
          <t>tr|A0A8C5A7J9|A0A8C5A7J9_GADMO Reverse transcriptase domain-containing protein OS=Gadus morhua OX=8049 PE=4 SV=1</t>
        </is>
      </c>
      <c r="M6486" t="n">
        <v>1253</v>
      </c>
      <c r="N6486" t="inlineStr">
        <is>
          <t>Gadus morhua</t>
        </is>
      </c>
      <c r="O6486" t="inlineStr">
        <is>
          <t>Reverse transcriptase domain-containing protein</t>
        </is>
      </c>
    </row>
    <row r="6487">
      <c r="A6487" t="inlineStr"/>
      <c r="B6487" t="inlineStr"/>
      <c r="C6487" t="inlineStr"/>
      <c r="D6487" t="inlineStr"/>
      <c r="E6487">
        <f>HYPERLINK("https://www.uniprot.org/uniprotkb/A0A8C5C030/entry", "A0A8C5C030")</f>
        <v/>
      </c>
      <c r="F6487" t="n">
        <v>39.1</v>
      </c>
      <c r="G6487" t="n">
        <v>184</v>
      </c>
      <c r="H6487" t="n">
        <v>5e-28</v>
      </c>
      <c r="I6487" t="inlineStr">
        <is>
          <t>TrEMBL</t>
        </is>
      </c>
      <c r="J6487" t="inlineStr"/>
      <c r="K6487" t="inlineStr">
        <is>
          <t>A0A8C5C030_GADMO</t>
        </is>
      </c>
      <c r="L6487" t="inlineStr">
        <is>
          <t>tr|A0A8C5C030|A0A8C5C030_GADMO Reverse transcriptase domain-containing protein OS=Gadus morhua OX=8049 PE=4 SV=1</t>
        </is>
      </c>
      <c r="M6487" t="n">
        <v>1253</v>
      </c>
      <c r="N6487" t="inlineStr">
        <is>
          <t>Gadus morhua</t>
        </is>
      </c>
      <c r="O6487" t="inlineStr">
        <is>
          <t>Reverse transcriptase domain-containing protein</t>
        </is>
      </c>
    </row>
    <row r="6488">
      <c r="A6488" t="inlineStr"/>
      <c r="B6488" t="inlineStr"/>
      <c r="C6488" t="inlineStr"/>
      <c r="D6488" t="inlineStr"/>
      <c r="E6488">
        <f>HYPERLINK("https://www.uniprot.org/uniprotkb/A0A1A8AHA6/entry", "A0A1A8AHA6")</f>
        <v/>
      </c>
      <c r="F6488" t="n">
        <v>47.1</v>
      </c>
      <c r="G6488" t="n">
        <v>119</v>
      </c>
      <c r="H6488" t="n">
        <v>5.2e-28</v>
      </c>
      <c r="I6488" t="inlineStr">
        <is>
          <t>TrEMBL</t>
        </is>
      </c>
      <c r="J6488" t="inlineStr">
        <is>
          <t>Nfu_g_1_024473</t>
        </is>
      </c>
      <c r="K6488" t="inlineStr">
        <is>
          <t>A0A1A8AHA6_NOTFU</t>
        </is>
      </c>
      <c r="L6488" t="inlineStr">
        <is>
          <t>tr|A0A1A8AHA6|A0A1A8AHA6_NOTFU Endo/exonuclease/phosphatase domain-containing protein (Fragment) OS=Nothobranchius furzeri OX=105023 GN=Nfu_g_1_024473 PE=4 SV=1</t>
        </is>
      </c>
      <c r="M6488" t="n">
        <v>141</v>
      </c>
      <c r="N6488" t="inlineStr">
        <is>
          <t>Nothobranchius furzeri</t>
        </is>
      </c>
      <c r="O6488" t="inlineStr">
        <is>
          <t>Endo/exonuclease/phosphatase domain-containing protein (Fragment)</t>
        </is>
      </c>
    </row>
    <row r="6489">
      <c r="A6489" t="inlineStr"/>
      <c r="B6489" t="inlineStr"/>
      <c r="C6489" t="inlineStr"/>
      <c r="D6489" t="inlineStr"/>
      <c r="E6489">
        <f>HYPERLINK("https://www.ncbi.nlm.nih.gov/gene/?term=XP_052327179.1", "XP_052327179.1")</f>
        <v/>
      </c>
      <c r="F6489" t="n">
        <v>39.6</v>
      </c>
      <c r="G6489" t="n">
        <v>187</v>
      </c>
      <c r="H6489" t="n">
        <v>8.54e-28</v>
      </c>
      <c r="I6489" t="inlineStr">
        <is>
          <t>Nr</t>
        </is>
      </c>
      <c r="J6489" t="inlineStr"/>
      <c r="K6489" t="inlineStr"/>
      <c r="L6489" t="inlineStr">
        <is>
          <t>XP_052327179.1 protein arginine methyltransferase NDUFAF7, mitochondrial isoform X1 [Oncorhynchus keta]</t>
        </is>
      </c>
      <c r="M6489" t="n">
        <v>751</v>
      </c>
      <c r="N6489" t="inlineStr">
        <is>
          <t>Oncorhynchus keta</t>
        </is>
      </c>
      <c r="O6489" t="inlineStr">
        <is>
          <t>protein arginine methyltransferase NDUFAF7, mitochondrial isoform X1</t>
        </is>
      </c>
    </row>
    <row r="6490">
      <c r="A6490" t="inlineStr"/>
      <c r="B6490" t="inlineStr"/>
      <c r="C6490" t="inlineStr"/>
      <c r="D6490" t="inlineStr"/>
      <c r="E6490">
        <f>HYPERLINK("https://www.ncbi.nlm.nih.gov/gene/?term=XP_040283419.1", "XP_040283419.1")</f>
        <v/>
      </c>
      <c r="F6490" t="n">
        <v>44</v>
      </c>
      <c r="G6490" t="n">
        <v>150</v>
      </c>
      <c r="H6490" t="n">
        <v>1.32e-27</v>
      </c>
      <c r="I6490" t="inlineStr">
        <is>
          <t>Nr</t>
        </is>
      </c>
      <c r="J6490" t="inlineStr"/>
      <c r="K6490" t="inlineStr"/>
      <c r="L6490" t="inlineStr">
        <is>
          <t>XP_040283419.1 zinc finger protein 665-like [Bufo bufo]</t>
        </is>
      </c>
      <c r="M6490" t="n">
        <v>1169</v>
      </c>
      <c r="N6490" t="inlineStr">
        <is>
          <t>Bufo bufo</t>
        </is>
      </c>
      <c r="O6490" t="inlineStr">
        <is>
          <t>zinc finger protein 665-like</t>
        </is>
      </c>
    </row>
    <row r="6491">
      <c r="A6491" t="inlineStr"/>
      <c r="B6491" t="inlineStr"/>
      <c r="C6491" t="inlineStr"/>
      <c r="D6491" t="inlineStr"/>
      <c r="E6491">
        <f>HYPERLINK("https://www.uniprot.org/uniprotkb/A0A8C5PCI5/entry", "A0A8C5PCI5")</f>
        <v/>
      </c>
      <c r="F6491" t="n">
        <v>41.4</v>
      </c>
      <c r="G6491" t="n">
        <v>162</v>
      </c>
      <c r="H6491" t="n">
        <v>1.82e-27</v>
      </c>
      <c r="I6491" t="inlineStr">
        <is>
          <t>TrEMBL</t>
        </is>
      </c>
      <c r="J6491" t="inlineStr"/>
      <c r="K6491" t="inlineStr">
        <is>
          <t>A0A8C5PCI5_9ANUR</t>
        </is>
      </c>
      <c r="L6491" t="inlineStr">
        <is>
          <t>tr|A0A8C5PCI5|A0A8C5PCI5_9ANUR LINE-1 type transposase domain-containing 1 OS=Leptobrachium leishanense OX=445787 PE=4 SV=1</t>
        </is>
      </c>
      <c r="M6491" t="n">
        <v>304</v>
      </c>
      <c r="N6491" t="inlineStr">
        <is>
          <t>Leptobrachium leishanense</t>
        </is>
      </c>
      <c r="O6491" t="inlineStr">
        <is>
          <t>LINE-1 type transposase domain-containing 1</t>
        </is>
      </c>
    </row>
    <row r="6492">
      <c r="A6492" t="inlineStr"/>
      <c r="B6492" t="inlineStr"/>
      <c r="C6492" t="inlineStr"/>
      <c r="D6492" t="inlineStr"/>
      <c r="E6492">
        <f>HYPERLINK("https://www.uniprot.org/uniprotkb/A0A8C5QRW1/entry", "A0A8C5QRW1")</f>
        <v/>
      </c>
      <c r="F6492" t="n">
        <v>42.1</v>
      </c>
      <c r="G6492" t="n">
        <v>152</v>
      </c>
      <c r="H6492" t="n">
        <v>3.73e-27</v>
      </c>
      <c r="I6492" t="inlineStr">
        <is>
          <t>TrEMBL</t>
        </is>
      </c>
      <c r="J6492" t="inlineStr"/>
      <c r="K6492" t="inlineStr">
        <is>
          <t>A0A8C5QRW1_9ANUR</t>
        </is>
      </c>
      <c r="L6492" t="inlineStr">
        <is>
          <t>tr|A0A8C5QRW1|A0A8C5QRW1_9ANUR Tick transposon OS=Leptobrachium leishanense OX=445787 PE=4 SV=1</t>
        </is>
      </c>
      <c r="M6492" t="n">
        <v>257</v>
      </c>
      <c r="N6492" t="inlineStr">
        <is>
          <t>Leptobrachium leishanense</t>
        </is>
      </c>
      <c r="O6492" t="inlineStr">
        <is>
          <t>Tick transposon</t>
        </is>
      </c>
    </row>
    <row r="6493">
      <c r="A6493" t="inlineStr"/>
      <c r="B6493" t="inlineStr"/>
      <c r="C6493" t="inlineStr"/>
      <c r="D6493" t="inlineStr"/>
      <c r="E6493">
        <f>HYPERLINK("https://www.uniprot.org/uniprotkb/A0A6I8QT02/entry", "A0A6I8QT02")</f>
        <v/>
      </c>
      <c r="F6493" t="n">
        <v>39</v>
      </c>
      <c r="G6493" t="n">
        <v>154</v>
      </c>
      <c r="H6493" t="n">
        <v>3.91e-27</v>
      </c>
      <c r="I6493" t="inlineStr">
        <is>
          <t>TrEMBL</t>
        </is>
      </c>
      <c r="J6493" t="inlineStr"/>
      <c r="K6493" t="inlineStr">
        <is>
          <t>A0A6I8QT02_XENTR</t>
        </is>
      </c>
      <c r="L6493" t="inlineStr">
        <is>
          <t>tr|A0A6I8QT02|A0A6I8QT02_XENTR Transposase_22 domain-containing protein OS=Xenopus tropicalis OX=8364 PE=4 SV=2</t>
        </is>
      </c>
      <c r="M6493" t="n">
        <v>275</v>
      </c>
      <c r="N6493" t="inlineStr">
        <is>
          <t>Xenopus tropicalis</t>
        </is>
      </c>
      <c r="O6493" t="inlineStr">
        <is>
          <t>Transposase_22 domain-containing protein</t>
        </is>
      </c>
    </row>
    <row r="6494">
      <c r="A6494" t="inlineStr"/>
      <c r="B6494" t="inlineStr"/>
      <c r="C6494" t="inlineStr"/>
      <c r="D6494" t="inlineStr"/>
      <c r="E6494">
        <f>HYPERLINK("https://www.ncbi.nlm.nih.gov/gene/?term=CAI5681002.1", "CAI5681002.1")</f>
        <v/>
      </c>
      <c r="F6494" t="n">
        <v>36.6</v>
      </c>
      <c r="G6494" t="n">
        <v>183</v>
      </c>
      <c r="H6494" t="n">
        <v>1.12e-26</v>
      </c>
      <c r="I6494" t="inlineStr">
        <is>
          <t>Nr</t>
        </is>
      </c>
      <c r="J6494" t="inlineStr"/>
      <c r="K6494" t="inlineStr"/>
      <c r="L6494" t="inlineStr">
        <is>
          <t>CAI5681002.1 unnamed protein product [Mustela putorius furo]</t>
        </is>
      </c>
      <c r="M6494" t="n">
        <v>1271</v>
      </c>
      <c r="N6494" t="inlineStr">
        <is>
          <t>Mustela putorius furo</t>
        </is>
      </c>
      <c r="O6494" t="inlineStr">
        <is>
          <t>unnamed protein product</t>
        </is>
      </c>
    </row>
    <row r="6495">
      <c r="A6495" t="inlineStr"/>
      <c r="B6495" t="inlineStr"/>
      <c r="C6495" t="inlineStr"/>
      <c r="D6495" t="inlineStr"/>
      <c r="E6495">
        <f>HYPERLINK("https://www.ncbi.nlm.nih.gov/gene/?term=CAI5680952.1", "CAI5680952.1")</f>
        <v/>
      </c>
      <c r="F6495" t="n">
        <v>36.6</v>
      </c>
      <c r="G6495" t="n">
        <v>183</v>
      </c>
      <c r="H6495" t="n">
        <v>1.12e-26</v>
      </c>
      <c r="I6495" t="inlineStr">
        <is>
          <t>Nr</t>
        </is>
      </c>
      <c r="J6495" t="inlineStr"/>
      <c r="K6495" t="inlineStr"/>
      <c r="L6495" t="inlineStr">
        <is>
          <t>CAI5680952.1 unnamed protein product [Mustela putorius furo]</t>
        </is>
      </c>
      <c r="M6495" t="n">
        <v>1271</v>
      </c>
      <c r="N6495" t="inlineStr">
        <is>
          <t>Mustela putorius furo</t>
        </is>
      </c>
      <c r="O6495" t="inlineStr">
        <is>
          <t>unnamed protein product</t>
        </is>
      </c>
    </row>
    <row r="6496">
      <c r="A6496" t="inlineStr"/>
      <c r="B6496" t="inlineStr"/>
      <c r="C6496" t="inlineStr"/>
      <c r="D6496" t="inlineStr"/>
      <c r="E6496">
        <f>HYPERLINK("https://www.ncbi.nlm.nih.gov/gene/?term=XP_040285891.1", "XP_040285891.1")</f>
        <v/>
      </c>
      <c r="F6496" t="n">
        <v>34.4</v>
      </c>
      <c r="G6496" t="n">
        <v>183</v>
      </c>
      <c r="H6496" t="n">
        <v>1.23e-26</v>
      </c>
      <c r="I6496" t="inlineStr">
        <is>
          <t>Nr</t>
        </is>
      </c>
      <c r="J6496" t="inlineStr"/>
      <c r="K6496" t="inlineStr"/>
      <c r="L6496" t="inlineStr">
        <is>
          <t>XP_040285891.1 exodeoxyribonuclease-like [Bufo bufo]</t>
        </is>
      </c>
      <c r="M6496" t="n">
        <v>184</v>
      </c>
      <c r="N6496" t="inlineStr">
        <is>
          <t>Bufo bufo</t>
        </is>
      </c>
      <c r="O6496" t="inlineStr">
        <is>
          <t>exodeoxyribonuclease-like</t>
        </is>
      </c>
    </row>
    <row r="6497">
      <c r="A6497" t="inlineStr"/>
      <c r="B6497" t="inlineStr"/>
      <c r="C6497" t="inlineStr"/>
      <c r="D6497" t="inlineStr"/>
      <c r="E6497">
        <f>HYPERLINK("https://www.ncbi.nlm.nih.gov/gene/?term=CAI5669672.1", "CAI5669672.1")</f>
        <v/>
      </c>
      <c r="F6497" t="n">
        <v>36.1</v>
      </c>
      <c r="G6497" t="n">
        <v>183</v>
      </c>
      <c r="H6497" t="n">
        <v>5.22e-26</v>
      </c>
      <c r="I6497" t="inlineStr">
        <is>
          <t>Nr</t>
        </is>
      </c>
      <c r="J6497" t="inlineStr"/>
      <c r="K6497" t="inlineStr"/>
      <c r="L6497" t="inlineStr">
        <is>
          <t>CAI5669672.1 unnamed protein product [Mustela putorius furo]</t>
        </is>
      </c>
      <c r="M6497" t="n">
        <v>1271</v>
      </c>
      <c r="N6497" t="inlineStr">
        <is>
          <t>Mustela putorius furo</t>
        </is>
      </c>
      <c r="O6497" t="inlineStr">
        <is>
          <t>unnamed protein product</t>
        </is>
      </c>
    </row>
    <row r="6498">
      <c r="A6498" t="inlineStr"/>
      <c r="B6498" t="inlineStr"/>
      <c r="C6498" t="inlineStr"/>
      <c r="D6498" t="inlineStr"/>
      <c r="E6498">
        <f>HYPERLINK("https://www.ncbi.nlm.nih.gov/gene/?term=XP_015815569.1", "XP_015815569.1")</f>
        <v/>
      </c>
      <c r="F6498" t="n">
        <v>37.3</v>
      </c>
      <c r="G6498" t="n">
        <v>185</v>
      </c>
      <c r="H6498" t="n">
        <v>1.23e-25</v>
      </c>
      <c r="I6498" t="inlineStr">
        <is>
          <t>Nr</t>
        </is>
      </c>
      <c r="J6498" t="inlineStr"/>
      <c r="K6498" t="inlineStr"/>
      <c r="L6498" t="inlineStr">
        <is>
          <t>XP_015815569.1 PREDICTED: uncharacterized protein LOC107385925 [Nothobranchius furzeri]</t>
        </is>
      </c>
      <c r="M6498" t="n">
        <v>818</v>
      </c>
      <c r="N6498" t="inlineStr">
        <is>
          <t>Nothobranchius furzeri</t>
        </is>
      </c>
      <c r="O6498" t="inlineStr">
        <is>
          <t>PREDICTED: uncharacterized protein LOC107385925</t>
        </is>
      </c>
    </row>
    <row r="6499">
      <c r="A6499" t="inlineStr"/>
      <c r="B6499" t="inlineStr"/>
      <c r="C6499" t="inlineStr"/>
      <c r="D6499" t="inlineStr"/>
      <c r="E6499">
        <f>HYPERLINK("https://www.ncbi.nlm.nih.gov/gene/?term=CAI5677304.1", "CAI5677304.1")</f>
        <v/>
      </c>
      <c r="F6499" t="n">
        <v>35</v>
      </c>
      <c r="G6499" t="n">
        <v>183</v>
      </c>
      <c r="H6499" t="n">
        <v>3.52e-25</v>
      </c>
      <c r="I6499" t="inlineStr">
        <is>
          <t>Nr</t>
        </is>
      </c>
      <c r="J6499" t="inlineStr"/>
      <c r="K6499" t="inlineStr"/>
      <c r="L6499" t="inlineStr">
        <is>
          <t>CAI5677304.1 unnamed protein product [Mustela putorius furo]</t>
        </is>
      </c>
      <c r="M6499" t="n">
        <v>413</v>
      </c>
      <c r="N6499" t="inlineStr">
        <is>
          <t>Mustela putorius furo</t>
        </is>
      </c>
      <c r="O6499" t="inlineStr">
        <is>
          <t>unnamed protein product</t>
        </is>
      </c>
    </row>
    <row r="6500">
      <c r="A6500" t="inlineStr"/>
      <c r="B6500" t="inlineStr"/>
      <c r="C6500" t="inlineStr"/>
      <c r="D6500" t="inlineStr"/>
      <c r="E6500">
        <f>HYPERLINK("https://www.uniprot.org/uniprotkb/A0A8C5Q8A4/entry", "A0A8C5Q8A4")</f>
        <v/>
      </c>
      <c r="F6500" t="n">
        <v>38</v>
      </c>
      <c r="G6500" t="n">
        <v>158</v>
      </c>
      <c r="H6500" t="n">
        <v>6.24e-25</v>
      </c>
      <c r="I6500" t="inlineStr">
        <is>
          <t>TrEMBL</t>
        </is>
      </c>
      <c r="J6500" t="inlineStr"/>
      <c r="K6500" t="inlineStr">
        <is>
          <t>A0A8C5Q8A4_9ANUR</t>
        </is>
      </c>
      <c r="L6500" t="inlineStr">
        <is>
          <t>tr|A0A8C5Q8A4|A0A8C5Q8A4_9ANUR LINE-1 type transposase domain-containing 1 OS=Leptobrachium leishanense OX=445787 PE=4 SV=1</t>
        </is>
      </c>
      <c r="M6500" t="n">
        <v>258</v>
      </c>
      <c r="N6500" t="inlineStr">
        <is>
          <t>Leptobrachium leishanense</t>
        </is>
      </c>
      <c r="O6500" t="inlineStr">
        <is>
          <t>LINE-1 type transposase domain-containing 1</t>
        </is>
      </c>
    </row>
    <row r="6501">
      <c r="A6501" t="inlineStr"/>
      <c r="B6501" t="inlineStr"/>
      <c r="C6501" t="inlineStr"/>
      <c r="D6501" t="inlineStr"/>
      <c r="E6501">
        <f>HYPERLINK("https://www.uniprot.org/uniprotkb/A0A8C5QXN8/entry", "A0A8C5QXN8")</f>
        <v/>
      </c>
      <c r="F6501" t="n">
        <v>36.3</v>
      </c>
      <c r="G6501" t="n">
        <v>160</v>
      </c>
      <c r="H6501" t="n">
        <v>6.77e-25</v>
      </c>
      <c r="I6501" t="inlineStr">
        <is>
          <t>TrEMBL</t>
        </is>
      </c>
      <c r="J6501" t="inlineStr"/>
      <c r="K6501" t="inlineStr">
        <is>
          <t>A0A8C5QXN8_9ANUR</t>
        </is>
      </c>
      <c r="L6501" t="inlineStr">
        <is>
          <t>tr|A0A8C5QXN8|A0A8C5QXN8_9ANUR LINE-1 retrotransposable element ORF1 protein OS=Leptobrachium leishanense OX=445787 PE=4 SV=1</t>
        </is>
      </c>
      <c r="M6501" t="n">
        <v>246</v>
      </c>
      <c r="N6501" t="inlineStr">
        <is>
          <t>Leptobrachium leishanense</t>
        </is>
      </c>
      <c r="O6501" t="inlineStr">
        <is>
          <t>LINE-1 retrotransposable element ORF1 protein</t>
        </is>
      </c>
    </row>
    <row r="6502">
      <c r="A6502" t="inlineStr"/>
      <c r="B6502" t="inlineStr"/>
      <c r="C6502" t="inlineStr"/>
      <c r="D6502" t="inlineStr"/>
      <c r="E6502">
        <f>HYPERLINK("https://www.ncbi.nlm.nih.gov/gene/?term=KAA0723022.1", "KAA0723022.1")</f>
        <v/>
      </c>
      <c r="F6502" t="n">
        <v>35.4</v>
      </c>
      <c r="G6502" t="n">
        <v>189</v>
      </c>
      <c r="H6502" t="n">
        <v>1.14e-24</v>
      </c>
      <c r="I6502" t="inlineStr">
        <is>
          <t>Nr</t>
        </is>
      </c>
      <c r="J6502" t="inlineStr"/>
      <c r="K6502" t="inlineStr"/>
      <c r="L6502" t="inlineStr">
        <is>
          <t>KAA0723022.1 LINE-1 reverse transcriptase -like protein [Triplophysa tibetana]</t>
        </is>
      </c>
      <c r="M6502" t="n">
        <v>1273</v>
      </c>
      <c r="N6502" t="inlineStr">
        <is>
          <t>Triplophysa tibetana</t>
        </is>
      </c>
      <c r="O6502" t="inlineStr">
        <is>
          <t>LINE-1 reverse transcriptase -like protein</t>
        </is>
      </c>
    </row>
    <row r="6503">
      <c r="A6503" t="inlineStr"/>
      <c r="B6503" t="inlineStr"/>
      <c r="C6503" t="inlineStr"/>
      <c r="D6503" t="inlineStr"/>
      <c r="E6503">
        <f>HYPERLINK("https://www.ncbi.nlm.nih.gov/gene/?term=KAA0709662.1", "KAA0709662.1")</f>
        <v/>
      </c>
      <c r="F6503" t="n">
        <v>35.4</v>
      </c>
      <c r="G6503" t="n">
        <v>189</v>
      </c>
      <c r="H6503" t="n">
        <v>1.14e-24</v>
      </c>
      <c r="I6503" t="inlineStr">
        <is>
          <t>Nr</t>
        </is>
      </c>
      <c r="J6503" t="inlineStr"/>
      <c r="K6503" t="inlineStr"/>
      <c r="L6503" t="inlineStr">
        <is>
          <t>KAA0709662.1 LINE-1 reverse transcriptase -like protein [Triplophysa tibetana]</t>
        </is>
      </c>
      <c r="M6503" t="n">
        <v>1273</v>
      </c>
      <c r="N6503" t="inlineStr">
        <is>
          <t>Triplophysa tibetana</t>
        </is>
      </c>
      <c r="O6503" t="inlineStr">
        <is>
          <t>LINE-1 reverse transcriptase -like protein</t>
        </is>
      </c>
    </row>
    <row r="6504">
      <c r="A6504" t="inlineStr"/>
      <c r="B6504" t="inlineStr"/>
      <c r="C6504" t="inlineStr"/>
      <c r="D6504" t="inlineStr"/>
      <c r="E6504">
        <f>HYPERLINK("https://www.ncbi.nlm.nih.gov/gene/?term=KAA0701525.1", "KAA0701525.1")</f>
        <v/>
      </c>
      <c r="F6504" t="n">
        <v>35.4</v>
      </c>
      <c r="G6504" t="n">
        <v>189</v>
      </c>
      <c r="H6504" t="n">
        <v>1.14e-24</v>
      </c>
      <c r="I6504" t="inlineStr">
        <is>
          <t>Nr</t>
        </is>
      </c>
      <c r="J6504" t="inlineStr"/>
      <c r="K6504" t="inlineStr"/>
      <c r="L6504" t="inlineStr">
        <is>
          <t>KAA0701525.1 LINE-1 reverse transcriptase -like protein [Triplophysa tibetana]</t>
        </is>
      </c>
      <c r="M6504" t="n">
        <v>1273</v>
      </c>
      <c r="N6504" t="inlineStr">
        <is>
          <t>Triplophysa tibetana</t>
        </is>
      </c>
      <c r="O6504" t="inlineStr">
        <is>
          <t>LINE-1 reverse transcriptase -like protein</t>
        </is>
      </c>
    </row>
    <row r="6505">
      <c r="A6505" t="inlineStr"/>
      <c r="B6505" t="inlineStr"/>
      <c r="C6505" t="inlineStr"/>
      <c r="D6505" t="inlineStr"/>
      <c r="E6505">
        <f>HYPERLINK("https://www.uniprot.org/uniprotkb/A0A6P8RKU0/entry", "A0A6P8RKU0")</f>
        <v/>
      </c>
      <c r="F6505" t="n">
        <v>40.4</v>
      </c>
      <c r="G6505" t="n">
        <v>151</v>
      </c>
      <c r="H6505" t="n">
        <v>1.65e-24</v>
      </c>
      <c r="I6505" t="inlineStr">
        <is>
          <t>TrEMBL</t>
        </is>
      </c>
      <c r="J6505" t="inlineStr">
        <is>
          <t>SETDB2</t>
        </is>
      </c>
      <c r="K6505" t="inlineStr">
        <is>
          <t>A0A6P8RKU0_GEOSA</t>
        </is>
      </c>
      <c r="L6505" t="inlineStr">
        <is>
          <t>tr|A0A6P8RKU0|A0A6P8RKU0_GEOSA histone-lysine N-methyltransferase SETDB2 OS=Geotrypetes seraphini OX=260995 GN=SETDB2 PE=4 SV=1</t>
        </is>
      </c>
      <c r="M6505" t="n">
        <v>2196</v>
      </c>
      <c r="N6505" t="inlineStr">
        <is>
          <t>Geotrypetes seraphini</t>
        </is>
      </c>
      <c r="O6505" t="inlineStr">
        <is>
          <t>histone-lysine N-methyltransferase SETDB2</t>
        </is>
      </c>
    </row>
    <row r="6506">
      <c r="A6506" t="inlineStr"/>
      <c r="B6506" t="inlineStr"/>
      <c r="C6506" t="inlineStr"/>
      <c r="D6506" t="inlineStr"/>
      <c r="E6506">
        <f>HYPERLINK("https://www.ncbi.nlm.nih.gov/gene/?term=CAI5671982.1", "CAI5671982.1")</f>
        <v/>
      </c>
      <c r="F6506" t="n">
        <v>34.8</v>
      </c>
      <c r="G6506" t="n">
        <v>184</v>
      </c>
      <c r="H6506" t="n">
        <v>2.55e-24</v>
      </c>
      <c r="I6506" t="inlineStr">
        <is>
          <t>Nr</t>
        </is>
      </c>
      <c r="J6506" t="inlineStr"/>
      <c r="K6506" t="inlineStr"/>
      <c r="L6506" t="inlineStr">
        <is>
          <t>CAI5671982.1 unnamed protein product [Mustela putorius furo]</t>
        </is>
      </c>
      <c r="M6506" t="n">
        <v>362</v>
      </c>
      <c r="N6506" t="inlineStr">
        <is>
          <t>Mustela putorius furo</t>
        </is>
      </c>
      <c r="O6506" t="inlineStr">
        <is>
          <t>unnamed protein product</t>
        </is>
      </c>
    </row>
    <row r="6507">
      <c r="A6507" t="inlineStr"/>
      <c r="B6507" t="inlineStr"/>
      <c r="C6507" t="inlineStr"/>
      <c r="D6507" t="inlineStr"/>
      <c r="E6507">
        <f>HYPERLINK("https://www.ncbi.nlm.nih.gov/gene/?term=KAJ0061406.1", "KAJ0061406.1")</f>
        <v/>
      </c>
      <c r="F6507" t="n">
        <v>35.9</v>
      </c>
      <c r="G6507" t="n">
        <v>184</v>
      </c>
      <c r="H6507" t="n">
        <v>3.91e-24</v>
      </c>
      <c r="I6507" t="inlineStr">
        <is>
          <t>Nr</t>
        </is>
      </c>
      <c r="J6507" t="inlineStr"/>
      <c r="K6507" t="inlineStr"/>
      <c r="L6507" t="inlineStr">
        <is>
          <t>KAJ0061406.1 hypothetical protein NL108_018634 [Boleophthalmus pectinirostris]</t>
        </is>
      </c>
      <c r="M6507" t="n">
        <v>1258</v>
      </c>
      <c r="N6507" t="inlineStr">
        <is>
          <t>Boleophthalmus pectinirostris</t>
        </is>
      </c>
      <c r="O6507" t="inlineStr">
        <is>
          <t>hypothetical protein NL108_018634</t>
        </is>
      </c>
    </row>
    <row r="6508">
      <c r="A6508" t="inlineStr"/>
      <c r="B6508" t="inlineStr"/>
      <c r="C6508" t="inlineStr"/>
      <c r="D6508" t="inlineStr"/>
      <c r="E6508">
        <f>HYPERLINK("https://www.ncbi.nlm.nih.gov/gene/?term=XP_033805871.1", "XP_033805871.1")</f>
        <v/>
      </c>
      <c r="F6508" t="n">
        <v>40.4</v>
      </c>
      <c r="G6508" t="n">
        <v>151</v>
      </c>
      <c r="H6508" t="n">
        <v>4.24e-24</v>
      </c>
      <c r="I6508" t="inlineStr">
        <is>
          <t>Nr</t>
        </is>
      </c>
      <c r="J6508" t="inlineStr"/>
      <c r="K6508" t="inlineStr"/>
      <c r="L6508" t="inlineStr">
        <is>
          <t>XP_033805871.1 histone-lysine N-methyltransferase SETDB2 [Geotrypetes seraphini]</t>
        </is>
      </c>
      <c r="M6508" t="n">
        <v>2196</v>
      </c>
      <c r="N6508" t="inlineStr">
        <is>
          <t>Geotrypetes seraphini</t>
        </is>
      </c>
      <c r="O6508" t="inlineStr">
        <is>
          <t>histone-lysine N-methyltransferase SETDB2</t>
        </is>
      </c>
    </row>
    <row r="6509">
      <c r="A6509" t="inlineStr"/>
      <c r="B6509" t="inlineStr"/>
      <c r="C6509" t="inlineStr"/>
      <c r="D6509" t="inlineStr"/>
      <c r="E6509">
        <f>HYPERLINK("https://www.ncbi.nlm.nih.gov/gene/?term=CAI5692191.1", "CAI5692191.1")</f>
        <v/>
      </c>
      <c r="F6509" t="n">
        <v>36.6</v>
      </c>
      <c r="G6509" t="n">
        <v>153</v>
      </c>
      <c r="H6509" t="n">
        <v>5.919999999999999e-24</v>
      </c>
      <c r="I6509" t="inlineStr">
        <is>
          <t>Nr</t>
        </is>
      </c>
      <c r="J6509" t="inlineStr"/>
      <c r="K6509" t="inlineStr"/>
      <c r="L6509" t="inlineStr">
        <is>
          <t>CAI5692191.1 unnamed protein product [Mustela putorius furo]</t>
        </is>
      </c>
      <c r="M6509" t="n">
        <v>226</v>
      </c>
      <c r="N6509" t="inlineStr">
        <is>
          <t>Mustela putorius furo</t>
        </is>
      </c>
      <c r="O6509" t="inlineStr">
        <is>
          <t>unnamed protein product</t>
        </is>
      </c>
    </row>
    <row r="6510">
      <c r="A6510" t="inlineStr"/>
      <c r="B6510" t="inlineStr"/>
      <c r="C6510" t="inlineStr"/>
      <c r="D6510" t="inlineStr"/>
      <c r="E6510">
        <f>HYPERLINK("https://www.ncbi.nlm.nih.gov/gene/?term=KAG8551097.1", "KAG8551097.1")</f>
        <v/>
      </c>
      <c r="F6510" t="n">
        <v>33.2</v>
      </c>
      <c r="G6510" t="n">
        <v>184</v>
      </c>
      <c r="H6510" t="n">
        <v>7.909999999999999e-24</v>
      </c>
      <c r="I6510" t="inlineStr">
        <is>
          <t>Nr</t>
        </is>
      </c>
      <c r="J6510" t="inlineStr"/>
      <c r="K6510" t="inlineStr"/>
      <c r="L6510" t="inlineStr">
        <is>
          <t>KAG8551097.1 hypothetical protein GDO81_018460 [Engystomops pustulosus]</t>
        </is>
      </c>
      <c r="M6510" t="n">
        <v>370</v>
      </c>
      <c r="N6510" t="inlineStr">
        <is>
          <t>Engystomops pustulosus</t>
        </is>
      </c>
      <c r="O6510" t="inlineStr">
        <is>
          <t>hypothetical protein GDO81_018460</t>
        </is>
      </c>
    </row>
    <row r="6511">
      <c r="A6511" t="inlineStr"/>
      <c r="B6511" t="inlineStr"/>
      <c r="C6511" t="inlineStr"/>
      <c r="D6511" t="inlineStr"/>
      <c r="E6511">
        <f>HYPERLINK("https://www.ncbi.nlm.nih.gov/gene/?term=KAJ0022356.1", "KAJ0022356.1")</f>
        <v/>
      </c>
      <c r="F6511" t="n">
        <v>38.6</v>
      </c>
      <c r="G6511" t="n">
        <v>153</v>
      </c>
      <c r="H6511" t="n">
        <v>1.02e-23</v>
      </c>
      <c r="I6511" t="inlineStr">
        <is>
          <t>Nr</t>
        </is>
      </c>
      <c r="J6511" t="inlineStr"/>
      <c r="K6511" t="inlineStr"/>
      <c r="L6511" t="inlineStr">
        <is>
          <t>KAJ0022356.1 hypothetical protein NQD34_009846 [Periophthalmus magnuspinnatus]</t>
        </is>
      </c>
      <c r="M6511" t="n">
        <v>235</v>
      </c>
      <c r="N6511" t="inlineStr">
        <is>
          <t>Periophthalmus magnuspinnatus</t>
        </is>
      </c>
      <c r="O6511" t="inlineStr">
        <is>
          <t>hypothetical protein NQD34_009846</t>
        </is>
      </c>
    </row>
    <row r="6512">
      <c r="A6512" t="inlineStr"/>
      <c r="B6512" t="inlineStr"/>
      <c r="C6512" t="inlineStr"/>
      <c r="D6512" t="inlineStr"/>
      <c r="E6512">
        <f>HYPERLINK("https://www.ncbi.nlm.nih.gov/gene/?term=CAI5653097.1", "CAI5653097.1")</f>
        <v/>
      </c>
      <c r="F6512" t="n">
        <v>40.4</v>
      </c>
      <c r="G6512" t="n">
        <v>151</v>
      </c>
      <c r="H6512" t="n">
        <v>1.2e-23</v>
      </c>
      <c r="I6512" t="inlineStr">
        <is>
          <t>Nr</t>
        </is>
      </c>
      <c r="J6512" t="inlineStr"/>
      <c r="K6512" t="inlineStr"/>
      <c r="L6512" t="inlineStr">
        <is>
          <t>CAI5653097.1 unnamed protein product [Mustela putorius furo]</t>
        </is>
      </c>
      <c r="M6512" t="n">
        <v>480</v>
      </c>
      <c r="N6512" t="inlineStr">
        <is>
          <t>Mustela putorius furo</t>
        </is>
      </c>
      <c r="O6512" t="inlineStr">
        <is>
          <t>unnamed protein product</t>
        </is>
      </c>
    </row>
    <row r="6513">
      <c r="A6513" t="inlineStr"/>
      <c r="B6513" t="inlineStr"/>
      <c r="C6513" t="inlineStr"/>
      <c r="D6513" t="inlineStr"/>
      <c r="E6513">
        <f>HYPERLINK("https://www.ncbi.nlm.nih.gov/gene/?term=CAI5685855.1", "CAI5685855.1")</f>
        <v/>
      </c>
      <c r="F6513" t="n">
        <v>38.5</v>
      </c>
      <c r="G6513" t="n">
        <v>187</v>
      </c>
      <c r="H6513" t="n">
        <v>1.34e-23</v>
      </c>
      <c r="I6513" t="inlineStr">
        <is>
          <t>Nr</t>
        </is>
      </c>
      <c r="J6513" t="inlineStr"/>
      <c r="K6513" t="inlineStr"/>
      <c r="L6513" t="inlineStr">
        <is>
          <t>CAI5685855.1 unnamed protein product [Mustela putorius furo]</t>
        </is>
      </c>
      <c r="M6513" t="n">
        <v>1267</v>
      </c>
      <c r="N6513" t="inlineStr">
        <is>
          <t>Mustela putorius furo</t>
        </is>
      </c>
      <c r="O6513" t="inlineStr">
        <is>
          <t>unnamed protein product</t>
        </is>
      </c>
    </row>
    <row r="6514">
      <c r="A6514" t="inlineStr"/>
      <c r="B6514" t="inlineStr"/>
      <c r="C6514" t="inlineStr"/>
      <c r="D6514" t="inlineStr"/>
      <c r="E6514">
        <f>HYPERLINK("https://www.ncbi.nlm.nih.gov/gene/?term=KAI5085987.1", "KAI5085987.1")</f>
        <v/>
      </c>
      <c r="F6514" t="n">
        <v>38.6</v>
      </c>
      <c r="G6514" t="n">
        <v>153</v>
      </c>
      <c r="H6514" t="n">
        <v>2.02e-23</v>
      </c>
      <c r="I6514" t="inlineStr">
        <is>
          <t>Nr</t>
        </is>
      </c>
      <c r="J6514" t="inlineStr"/>
      <c r="K6514" t="inlineStr"/>
      <c r="L6514" t="inlineStr">
        <is>
          <t>KAI5085987.1 hypothetical protein C0J45_23064, partial [Silurus meridionalis]</t>
        </is>
      </c>
      <c r="M6514" t="n">
        <v>608</v>
      </c>
      <c r="N6514" t="inlineStr">
        <is>
          <t>Silurus meridionalis</t>
        </is>
      </c>
      <c r="O6514" t="inlineStr">
        <is>
          <t>hypothetical protein C0J45_23064, partial</t>
        </is>
      </c>
    </row>
    <row r="6515">
      <c r="A6515" t="inlineStr"/>
      <c r="B6515" t="inlineStr"/>
      <c r="C6515" t="inlineStr"/>
      <c r="D6515" t="inlineStr"/>
      <c r="E6515">
        <f>HYPERLINK("https://www.uniprot.org/uniprotkb/A0A8C5M437/entry", "A0A8C5M437")</f>
        <v/>
      </c>
      <c r="F6515" t="n">
        <v>37.3</v>
      </c>
      <c r="G6515" t="n">
        <v>158</v>
      </c>
      <c r="H6515" t="n">
        <v>2.31e-23</v>
      </c>
      <c r="I6515" t="inlineStr">
        <is>
          <t>TrEMBL</t>
        </is>
      </c>
      <c r="J6515" t="inlineStr"/>
      <c r="K6515" t="inlineStr">
        <is>
          <t>A0A8C5M437_9ANUR</t>
        </is>
      </c>
      <c r="L6515" t="inlineStr">
        <is>
          <t>tr|A0A8C5M437|A0A8C5M437_9ANUR LINE-1 type transposase domain-containing 1 OS=Leptobrachium leishanense OX=445787 PE=4 SV=1</t>
        </is>
      </c>
      <c r="M6515" t="n">
        <v>326</v>
      </c>
      <c r="N6515" t="inlineStr">
        <is>
          <t>Leptobrachium leishanense</t>
        </is>
      </c>
      <c r="O6515" t="inlineStr">
        <is>
          <t>LINE-1 type transposase domain-containing 1</t>
        </is>
      </c>
    </row>
    <row r="6516">
      <c r="A6516" t="inlineStr"/>
      <c r="B6516" t="inlineStr"/>
      <c r="C6516" t="inlineStr"/>
      <c r="D6516" t="inlineStr"/>
      <c r="E6516">
        <f>HYPERLINK("https://www.ncbi.nlm.nih.gov/gene/?term=KAJ0001769.1", "KAJ0001769.1")</f>
        <v/>
      </c>
      <c r="F6516" t="n">
        <v>36.1</v>
      </c>
      <c r="G6516" t="n">
        <v>183</v>
      </c>
      <c r="H6516" t="n">
        <v>2.49e-23</v>
      </c>
      <c r="I6516" t="inlineStr">
        <is>
          <t>Nr</t>
        </is>
      </c>
      <c r="J6516" t="inlineStr"/>
      <c r="K6516" t="inlineStr"/>
      <c r="L6516" t="inlineStr">
        <is>
          <t>KAJ0001769.1 hypothetical protein NQD34_001565 [Periophthalmus magnuspinnatus]</t>
        </is>
      </c>
      <c r="M6516" t="n">
        <v>1263</v>
      </c>
      <c r="N6516" t="inlineStr">
        <is>
          <t>Periophthalmus magnuspinnatus</t>
        </is>
      </c>
      <c r="O6516" t="inlineStr">
        <is>
          <t>hypothetical protein NQD34_001565</t>
        </is>
      </c>
    </row>
    <row r="6517">
      <c r="A6517" t="inlineStr"/>
      <c r="B6517" t="inlineStr"/>
      <c r="C6517" t="inlineStr"/>
      <c r="D6517" t="inlineStr"/>
      <c r="E6517">
        <f>HYPERLINK("https://www.ncbi.nlm.nih.gov/gene/?term=XP_040275741.1", "XP_040275741.1")</f>
        <v/>
      </c>
      <c r="F6517" t="n">
        <v>40.4</v>
      </c>
      <c r="G6517" t="n">
        <v>151</v>
      </c>
      <c r="H6517" t="n">
        <v>2.53e-23</v>
      </c>
      <c r="I6517" t="inlineStr">
        <is>
          <t>Nr</t>
        </is>
      </c>
      <c r="J6517" t="inlineStr"/>
      <c r="K6517" t="inlineStr"/>
      <c r="L6517" t="inlineStr">
        <is>
          <t>XP_040275741.1 proprotein convertase subtilisin/kexin type 4 [Bufo bufo]</t>
        </is>
      </c>
      <c r="M6517" t="n">
        <v>1114</v>
      </c>
      <c r="N6517" t="inlineStr">
        <is>
          <t>Bufo bufo</t>
        </is>
      </c>
      <c r="O6517" t="inlineStr">
        <is>
          <t>proprotein convertase subtilisin/kexin type 4</t>
        </is>
      </c>
    </row>
    <row r="6518">
      <c r="A6518" t="inlineStr"/>
      <c r="B6518" t="inlineStr"/>
      <c r="C6518" t="inlineStr"/>
      <c r="D6518" t="inlineStr"/>
      <c r="E6518">
        <f>HYPERLINK("https://www.ncbi.nlm.nih.gov/gene/?term=KAJ0059923.1", "KAJ0059923.1")</f>
        <v/>
      </c>
      <c r="F6518" t="n">
        <v>36.7</v>
      </c>
      <c r="G6518" t="n">
        <v>188</v>
      </c>
      <c r="H6518" t="n">
        <v>3.389999999999999e-23</v>
      </c>
      <c r="I6518" t="inlineStr">
        <is>
          <t>Nr</t>
        </is>
      </c>
      <c r="J6518" t="inlineStr"/>
      <c r="K6518" t="inlineStr"/>
      <c r="L6518" t="inlineStr">
        <is>
          <t>KAJ0059923.1 hypothetical protein NL108_015598 [Boleophthalmus pectinirostris]</t>
        </is>
      </c>
      <c r="M6518" t="n">
        <v>1258</v>
      </c>
      <c r="N6518" t="inlineStr">
        <is>
          <t>Boleophthalmus pectinirostris</t>
        </is>
      </c>
      <c r="O6518" t="inlineStr">
        <is>
          <t>hypothetical protein NL108_015598</t>
        </is>
      </c>
    </row>
    <row r="6519">
      <c r="A6519" t="inlineStr"/>
      <c r="B6519" t="inlineStr"/>
      <c r="C6519" t="inlineStr"/>
      <c r="D6519" t="inlineStr"/>
      <c r="E6519">
        <f>HYPERLINK("https://www.ncbi.nlm.nih.gov/gene/?term=CAB3264531.1", "CAB3264531.1")</f>
        <v/>
      </c>
      <c r="F6519" t="n">
        <v>37.1</v>
      </c>
      <c r="G6519" t="n">
        <v>151</v>
      </c>
      <c r="H6519" t="n">
        <v>4.61e-23</v>
      </c>
      <c r="I6519" t="inlineStr">
        <is>
          <t>Nr</t>
        </is>
      </c>
      <c r="J6519" t="inlineStr"/>
      <c r="K6519" t="inlineStr"/>
      <c r="L6519" t="inlineStr">
        <is>
          <t>CAB3264531.1 pol-like protein [Phallusia mammillata]</t>
        </is>
      </c>
      <c r="M6519" t="n">
        <v>1251</v>
      </c>
      <c r="N6519" t="inlineStr">
        <is>
          <t>Phallusia mammillata</t>
        </is>
      </c>
      <c r="O6519" t="inlineStr">
        <is>
          <t>pol-like protein</t>
        </is>
      </c>
    </row>
    <row r="6520">
      <c r="A6520" t="inlineStr"/>
      <c r="B6520" t="inlineStr"/>
      <c r="C6520" t="inlineStr"/>
      <c r="D6520" t="inlineStr"/>
      <c r="E6520">
        <f>HYPERLINK("https://www.uniprot.org/uniprotkb/A0A3Q1C1E4/entry", "A0A3Q1C1E4")</f>
        <v/>
      </c>
      <c r="F6520" t="n">
        <v>37</v>
      </c>
      <c r="G6520" t="n">
        <v>162</v>
      </c>
      <c r="H6520" t="n">
        <v>4.65e-23</v>
      </c>
      <c r="I6520" t="inlineStr">
        <is>
          <t>TrEMBL</t>
        </is>
      </c>
      <c r="J6520" t="inlineStr"/>
      <c r="K6520" t="inlineStr">
        <is>
          <t>A0A3Q1C1E4_AMPOC</t>
        </is>
      </c>
      <c r="L6520" t="inlineStr">
        <is>
          <t>tr|A0A3Q1C1E4|A0A3Q1C1E4_AMPOC LINE-1 type transposase domain-containing protein 1 OS=Amphiprion ocellaris OX=80972 PE=4 SV=1</t>
        </is>
      </c>
      <c r="M6520" t="n">
        <v>222</v>
      </c>
      <c r="N6520" t="inlineStr">
        <is>
          <t>Amphiprion ocellaris</t>
        </is>
      </c>
      <c r="O6520" t="inlineStr">
        <is>
          <t>LINE-1 type transposase domain-containing protein 1</t>
        </is>
      </c>
    </row>
    <row r="6521">
      <c r="A6521" t="inlineStr"/>
      <c r="B6521" t="inlineStr"/>
      <c r="C6521" t="inlineStr"/>
      <c r="D6521" t="inlineStr"/>
      <c r="E6521">
        <f>HYPERLINK("https://www.uniprot.org/uniprotkb/A0A8C5WKG5/entry", "A0A8C5WKG5")</f>
        <v/>
      </c>
      <c r="F6521" t="n">
        <v>35.4</v>
      </c>
      <c r="G6521" t="n">
        <v>158</v>
      </c>
      <c r="H6521" t="n">
        <v>4.919999999999999e-23</v>
      </c>
      <c r="I6521" t="inlineStr">
        <is>
          <t>TrEMBL</t>
        </is>
      </c>
      <c r="J6521" t="inlineStr"/>
      <c r="K6521" t="inlineStr">
        <is>
          <t>A0A8C5WKG5_9ANUR</t>
        </is>
      </c>
      <c r="L6521" t="inlineStr">
        <is>
          <t>tr|A0A8C5WKG5|A0A8C5WKG5_9ANUR Tick transposon OS=Leptobrachium leishanense OX=445787 PE=4 SV=1</t>
        </is>
      </c>
      <c r="M6521" t="n">
        <v>311</v>
      </c>
      <c r="N6521" t="inlineStr">
        <is>
          <t>Leptobrachium leishanense</t>
        </is>
      </c>
      <c r="O6521" t="inlineStr">
        <is>
          <t>Tick transposon</t>
        </is>
      </c>
    </row>
    <row r="6522">
      <c r="A6522" t="inlineStr"/>
      <c r="B6522" t="inlineStr"/>
      <c r="C6522" t="inlineStr"/>
      <c r="D6522" t="inlineStr"/>
      <c r="E6522">
        <f>HYPERLINK("https://www.ncbi.nlm.nih.gov/gene/?term=CAI5674000.1", "CAI5674000.1")</f>
        <v/>
      </c>
      <c r="F6522" t="n">
        <v>30.6</v>
      </c>
      <c r="G6522" t="n">
        <v>183</v>
      </c>
      <c r="H6522" t="n">
        <v>8.429999999999999e-23</v>
      </c>
      <c r="I6522" t="inlineStr">
        <is>
          <t>Nr</t>
        </is>
      </c>
      <c r="J6522" t="inlineStr"/>
      <c r="K6522" t="inlineStr"/>
      <c r="L6522" t="inlineStr">
        <is>
          <t>CAI5674000.1 unnamed protein product [Mustela putorius furo]</t>
        </is>
      </c>
      <c r="M6522" t="n">
        <v>554</v>
      </c>
      <c r="N6522" t="inlineStr">
        <is>
          <t>Mustela putorius furo</t>
        </is>
      </c>
      <c r="O6522" t="inlineStr">
        <is>
          <t>unnamed protein product</t>
        </is>
      </c>
    </row>
    <row r="6523">
      <c r="A6523" t="inlineStr"/>
      <c r="B6523" t="inlineStr"/>
      <c r="C6523" t="inlineStr"/>
      <c r="D6523" t="inlineStr"/>
      <c r="E6523">
        <f>HYPERLINK("https://www.ncbi.nlm.nih.gov/gene/?term=XP_025766329.1", "XP_025766329.1")</f>
        <v/>
      </c>
      <c r="F6523" t="n">
        <v>30.6</v>
      </c>
      <c r="G6523" t="n">
        <v>183</v>
      </c>
      <c r="H6523" t="n">
        <v>8.429999999999999e-23</v>
      </c>
      <c r="I6523" t="inlineStr">
        <is>
          <t>Nr</t>
        </is>
      </c>
      <c r="J6523" t="inlineStr"/>
      <c r="K6523" t="inlineStr"/>
      <c r="L6523" t="inlineStr">
        <is>
          <t>XP_025766329.1 uncharacterized protein LOC106098505 [Oreochromis niloticus]</t>
        </is>
      </c>
      <c r="M6523" t="n">
        <v>554</v>
      </c>
      <c r="N6523" t="inlineStr">
        <is>
          <t>Oreochromis niloticus</t>
        </is>
      </c>
      <c r="O6523" t="inlineStr">
        <is>
          <t>uncharacterized protein LOC106098505</t>
        </is>
      </c>
    </row>
    <row r="6524">
      <c r="A6524" t="inlineStr"/>
      <c r="B6524" t="inlineStr"/>
      <c r="C6524" t="inlineStr"/>
      <c r="D6524" t="inlineStr"/>
      <c r="E6524">
        <f>HYPERLINK("https://www.ncbi.nlm.nih.gov/gene/?term=KAI5102639.1", "KAI5102639.1")</f>
        <v/>
      </c>
      <c r="F6524" t="n">
        <v>37.2</v>
      </c>
      <c r="G6524" t="n">
        <v>145</v>
      </c>
      <c r="H6524" t="n">
        <v>1.06e-22</v>
      </c>
      <c r="I6524" t="inlineStr">
        <is>
          <t>Nr</t>
        </is>
      </c>
      <c r="J6524" t="inlineStr"/>
      <c r="K6524" t="inlineStr"/>
      <c r="L6524" t="inlineStr">
        <is>
          <t>KAI5102639.1 hypothetical protein C0J45_7991, partial [Silurus meridionalis]</t>
        </is>
      </c>
      <c r="M6524" t="n">
        <v>266</v>
      </c>
      <c r="N6524" t="inlineStr">
        <is>
          <t>Silurus meridionalis</t>
        </is>
      </c>
      <c r="O6524" t="inlineStr">
        <is>
          <t>hypothetical protein C0J45_7991, partial</t>
        </is>
      </c>
    </row>
    <row r="6525">
      <c r="A6525" t="inlineStr"/>
      <c r="B6525" t="inlineStr"/>
      <c r="C6525" t="inlineStr"/>
      <c r="D6525" t="inlineStr"/>
      <c r="E6525">
        <f>HYPERLINK("https://www.uniprot.org/uniprotkb/A0A3Q1C1U7/entry", "A0A3Q1C1U7")</f>
        <v/>
      </c>
      <c r="F6525" t="n">
        <v>35.8</v>
      </c>
      <c r="G6525" t="n">
        <v>165</v>
      </c>
      <c r="H6525" t="n">
        <v>9.96e-22</v>
      </c>
      <c r="I6525" t="inlineStr">
        <is>
          <t>TrEMBL</t>
        </is>
      </c>
      <c r="J6525" t="inlineStr"/>
      <c r="K6525" t="inlineStr">
        <is>
          <t>A0A3Q1C1U7_AMPOC</t>
        </is>
      </c>
      <c r="L6525" t="inlineStr">
        <is>
          <t>tr|A0A3Q1C1U7|A0A3Q1C1U7_AMPOC Transposase_22 domain-containing protein OS=Amphiprion ocellaris OX=80972 PE=4 SV=1</t>
        </is>
      </c>
      <c r="M6525" t="n">
        <v>238</v>
      </c>
      <c r="N6525" t="inlineStr">
        <is>
          <t>Amphiprion ocellaris</t>
        </is>
      </c>
      <c r="O6525" t="inlineStr">
        <is>
          <t>Transposase_22 domain-containing protein</t>
        </is>
      </c>
    </row>
    <row r="6526">
      <c r="A6526" t="inlineStr"/>
      <c r="B6526" t="inlineStr"/>
      <c r="C6526" t="inlineStr"/>
      <c r="D6526" t="inlineStr"/>
      <c r="E6526">
        <f>HYPERLINK("https://www.uniprot.org/uniprotkb/A0A6G0IWV2/entry", "A0A6G0IWV2")</f>
        <v/>
      </c>
      <c r="F6526" t="n">
        <v>37.4</v>
      </c>
      <c r="G6526" t="n">
        <v>155</v>
      </c>
      <c r="H6526" t="n">
        <v>1.88e-21</v>
      </c>
      <c r="I6526" t="inlineStr">
        <is>
          <t>TrEMBL</t>
        </is>
      </c>
      <c r="J6526" t="inlineStr">
        <is>
          <t>D5F01_LYC04748</t>
        </is>
      </c>
      <c r="K6526" t="inlineStr">
        <is>
          <t>A0A6G0IWV2_LARCR</t>
        </is>
      </c>
      <c r="L6526" t="inlineStr">
        <is>
          <t>tr|A0A6G0IWV2|A0A6G0IWV2_LARCR Transposase_22 domain-containing protein OS=Larimichthys crocea OX=215358 GN=D5F01_LYC04748 PE=4 SV=1</t>
        </is>
      </c>
      <c r="M6526" t="n">
        <v>289</v>
      </c>
      <c r="N6526" t="inlineStr">
        <is>
          <t>Larimichthys crocea</t>
        </is>
      </c>
      <c r="O6526" t="inlineStr">
        <is>
          <t>Transposase_22 domain-containing protein</t>
        </is>
      </c>
    </row>
    <row r="6527">
      <c r="A6527" t="inlineStr"/>
      <c r="B6527" t="inlineStr"/>
      <c r="C6527" t="inlineStr"/>
      <c r="D6527" t="inlineStr"/>
      <c r="E6527">
        <f>HYPERLINK("https://www.uniprot.org/uniprotkb/A0A671WIR9/entry", "A0A671WIR9")</f>
        <v/>
      </c>
      <c r="F6527" t="n">
        <v>39.4</v>
      </c>
      <c r="G6527" t="n">
        <v>165</v>
      </c>
      <c r="H6527" t="n">
        <v>2.31e-21</v>
      </c>
      <c r="I6527" t="inlineStr">
        <is>
          <t>TrEMBL</t>
        </is>
      </c>
      <c r="J6527" t="inlineStr"/>
      <c r="K6527" t="inlineStr">
        <is>
          <t>A0A671WIR9_SPAAU</t>
        </is>
      </c>
      <c r="L6527" t="inlineStr">
        <is>
          <t>tr|A0A671WIR9|A0A671WIR9_SPAAU LINE-1 type transposase domain-containing protein 1 OS=Sparus aurata OX=8175 PE=4 SV=1</t>
        </is>
      </c>
      <c r="M6527" t="n">
        <v>246</v>
      </c>
      <c r="N6527" t="inlineStr">
        <is>
          <t>Sparus aurata</t>
        </is>
      </c>
      <c r="O6527" t="inlineStr">
        <is>
          <t>LINE-1 type transposase domain-containing protein 1</t>
        </is>
      </c>
    </row>
    <row r="6528">
      <c r="A6528" t="inlineStr"/>
      <c r="B6528" t="inlineStr"/>
      <c r="C6528" t="inlineStr"/>
      <c r="D6528" t="inlineStr"/>
      <c r="E6528">
        <f>HYPERLINK("https://www.ncbi.nlm.nih.gov/gene/?term=KAE8295999.1", "KAE8295999.1")</f>
        <v/>
      </c>
      <c r="F6528" t="n">
        <v>37.4</v>
      </c>
      <c r="G6528" t="n">
        <v>155</v>
      </c>
      <c r="H6528" t="n">
        <v>4.82e-21</v>
      </c>
      <c r="I6528" t="inlineStr">
        <is>
          <t>Nr</t>
        </is>
      </c>
      <c r="J6528" t="inlineStr"/>
      <c r="K6528" t="inlineStr"/>
      <c r="L6528" t="inlineStr">
        <is>
          <t>KAE8295999.1 hypothetical protein D5F01_LYC04748 [Larimichthys crocea]</t>
        </is>
      </c>
      <c r="M6528" t="n">
        <v>289</v>
      </c>
      <c r="N6528" t="inlineStr">
        <is>
          <t>Larimichthys crocea</t>
        </is>
      </c>
      <c r="O6528" t="inlineStr">
        <is>
          <t>hypothetical protein D5F01_LYC04748</t>
        </is>
      </c>
    </row>
    <row r="6529">
      <c r="A6529" t="inlineStr"/>
      <c r="B6529" t="inlineStr"/>
      <c r="C6529" t="inlineStr"/>
      <c r="D6529" t="inlineStr"/>
      <c r="E6529">
        <f>HYPERLINK("https://www.ncbi.nlm.nih.gov/gene/?term=XP_044151345.1", "XP_044151345.1")</f>
        <v/>
      </c>
      <c r="F6529" t="n">
        <v>37</v>
      </c>
      <c r="G6529" t="n">
        <v>154</v>
      </c>
      <c r="H6529" t="n">
        <v>5.52e-21</v>
      </c>
      <c r="I6529" t="inlineStr">
        <is>
          <t>Nr</t>
        </is>
      </c>
      <c r="J6529" t="inlineStr"/>
      <c r="K6529" t="inlineStr"/>
      <c r="L6529" t="inlineStr">
        <is>
          <t>XP_044151345.1 histamine H3 receptor-like [Bufo gargarizans]</t>
        </is>
      </c>
      <c r="M6529" t="n">
        <v>599</v>
      </c>
      <c r="N6529" t="inlineStr">
        <is>
          <t>Bufo gargarizans</t>
        </is>
      </c>
      <c r="O6529" t="inlineStr">
        <is>
          <t>histamine H3 receptor-like</t>
        </is>
      </c>
    </row>
    <row r="6530">
      <c r="A6530" t="inlineStr"/>
      <c r="B6530" t="inlineStr"/>
      <c r="C6530" t="inlineStr"/>
      <c r="D6530" t="inlineStr"/>
      <c r="E6530">
        <f>HYPERLINK("https://www.uniprot.org/uniprotkb/A0A3P8STI7/entry", "A0A3P8STI7")</f>
        <v/>
      </c>
      <c r="F6530" t="n">
        <v>37.1</v>
      </c>
      <c r="G6530" t="n">
        <v>143</v>
      </c>
      <c r="H6530" t="n">
        <v>1.85e-20</v>
      </c>
      <c r="I6530" t="inlineStr">
        <is>
          <t>TrEMBL</t>
        </is>
      </c>
      <c r="J6530" t="inlineStr"/>
      <c r="K6530" t="inlineStr">
        <is>
          <t>A0A3P8STI7_AMPPE</t>
        </is>
      </c>
      <c r="L6530" t="inlineStr">
        <is>
          <t>tr|A0A3P8STI7|A0A3P8STI7_AMPPE LINE-1 type transposase domain-containing protein 1 OS=Amphiprion percula OX=161767 PE=4 SV=1</t>
        </is>
      </c>
      <c r="M6530" t="n">
        <v>286</v>
      </c>
      <c r="N6530" t="inlineStr">
        <is>
          <t>Amphiprion percula</t>
        </is>
      </c>
      <c r="O6530" t="inlineStr">
        <is>
          <t>LINE-1 type transposase domain-containing protein 1</t>
        </is>
      </c>
    </row>
    <row r="6531">
      <c r="A6531" t="inlineStr"/>
      <c r="B6531" t="inlineStr"/>
      <c r="C6531" t="inlineStr"/>
      <c r="D6531" t="inlineStr"/>
      <c r="E6531">
        <f>HYPERLINK("https://www.uniprot.org/uniprotkb/O00370/entry", "O00370")</f>
        <v/>
      </c>
      <c r="F6531" t="n">
        <v>34.2</v>
      </c>
      <c r="G6531" t="n">
        <v>161</v>
      </c>
      <c r="H6531" t="n">
        <v>1.89e-20</v>
      </c>
      <c r="I6531" t="inlineStr">
        <is>
          <t>Swiss-Prot</t>
        </is>
      </c>
      <c r="J6531" t="inlineStr"/>
      <c r="K6531" t="inlineStr">
        <is>
          <t>LORF2_HUMAN</t>
        </is>
      </c>
      <c r="L6531" t="inlineStr">
        <is>
          <t>sp|O00370|LORF2_HUMAN LINE-1 retrotransposable element ORF2 protein OS=Homo sapiens OX=9606 PE=1 SV=1</t>
        </is>
      </c>
      <c r="M6531" t="n">
        <v>1275</v>
      </c>
      <c r="N6531" t="inlineStr">
        <is>
          <t>Homo sapiens</t>
        </is>
      </c>
      <c r="O6531" t="inlineStr">
        <is>
          <t>LINE-1 retrotransposable element ORF2 protein</t>
        </is>
      </c>
    </row>
    <row r="6532">
      <c r="A6532" t="inlineStr"/>
      <c r="B6532" t="inlineStr"/>
      <c r="C6532" t="inlineStr"/>
      <c r="D6532" t="inlineStr"/>
      <c r="E6532">
        <f>HYPERLINK("https://www.uniprot.org/uniprotkb/A0A671ULI6/entry", "A0A671ULI6")</f>
        <v/>
      </c>
      <c r="F6532" t="n">
        <v>39.2</v>
      </c>
      <c r="G6532" t="n">
        <v>153</v>
      </c>
      <c r="H6532" t="n">
        <v>2.04e-20</v>
      </c>
      <c r="I6532" t="inlineStr">
        <is>
          <t>TrEMBL</t>
        </is>
      </c>
      <c r="J6532" t="inlineStr"/>
      <c r="K6532" t="inlineStr">
        <is>
          <t>A0A671ULI6_SPAAU</t>
        </is>
      </c>
      <c r="L6532" t="inlineStr">
        <is>
          <t>tr|A0A671ULI6|A0A671ULI6_SPAAU LINE-1 type transposase domain-containing protein 1 OS=Sparus aurata OX=8175 PE=4 SV=1</t>
        </is>
      </c>
      <c r="M6532" t="n">
        <v>292</v>
      </c>
      <c r="N6532" t="inlineStr">
        <is>
          <t>Sparus aurata</t>
        </is>
      </c>
      <c r="O6532" t="inlineStr">
        <is>
          <t>LINE-1 type transposase domain-containing protein 1</t>
        </is>
      </c>
    </row>
    <row r="6533">
      <c r="A6533" t="inlineStr"/>
      <c r="B6533" t="inlineStr"/>
      <c r="C6533" t="inlineStr"/>
      <c r="D6533" t="inlineStr"/>
      <c r="E6533">
        <f>HYPERLINK("https://www.ncbi.nlm.nih.gov/gene/?term=KAI4803776.1", "KAI4803776.1")</f>
        <v/>
      </c>
      <c r="F6533" t="n">
        <v>40.1</v>
      </c>
      <c r="G6533" t="n">
        <v>147</v>
      </c>
      <c r="H6533" t="n">
        <v>4.07e-20</v>
      </c>
      <c r="I6533" t="inlineStr">
        <is>
          <t>Nr</t>
        </is>
      </c>
      <c r="J6533" t="inlineStr"/>
      <c r="K6533" t="inlineStr"/>
      <c r="L6533" t="inlineStr">
        <is>
          <t>KAI4803776.1 hypothetical protein KUCAC02_025424 [Chaenocephalus aceratus]</t>
        </is>
      </c>
      <c r="M6533" t="n">
        <v>297</v>
      </c>
      <c r="N6533" t="inlineStr">
        <is>
          <t>Chaenocephalus aceratus</t>
        </is>
      </c>
      <c r="O6533" t="inlineStr">
        <is>
          <t>hypothetical protein KUCAC02_025424</t>
        </is>
      </c>
    </row>
    <row r="6534">
      <c r="A6534" t="inlineStr"/>
      <c r="B6534" t="inlineStr"/>
      <c r="C6534" t="inlineStr"/>
      <c r="D6534" t="inlineStr"/>
      <c r="E6534">
        <f>HYPERLINK("https://www.uniprot.org/uniprotkb/A0A6P7X0Q3/entry", "A0A6P7X0Q3")</f>
        <v/>
      </c>
      <c r="F6534" t="n">
        <v>38.6</v>
      </c>
      <c r="G6534" t="n">
        <v>153</v>
      </c>
      <c r="H6534" t="n">
        <v>4.34e-20</v>
      </c>
      <c r="I6534" t="inlineStr">
        <is>
          <t>TrEMBL</t>
        </is>
      </c>
      <c r="J6534" t="inlineStr">
        <is>
          <t>LOC115460442</t>
        </is>
      </c>
      <c r="K6534" t="inlineStr">
        <is>
          <t>A0A6P7X0Q3_9AMPH</t>
        </is>
      </c>
      <c r="L6534" t="inlineStr">
        <is>
          <t>tr|A0A6P7X0Q3|A0A6P7X0Q3_9AMPH NFX1-type zinc finger-containing protein 1-like OS=Microcaecilia unicolor OX=1415580 GN=LOC115460442 PE=4 SV=1</t>
        </is>
      </c>
      <c r="M6534" t="n">
        <v>2650</v>
      </c>
      <c r="N6534" t="inlineStr">
        <is>
          <t>Microcaecilia unicolor</t>
        </is>
      </c>
      <c r="O6534" t="inlineStr">
        <is>
          <t>NFX1-type zinc finger-containing protein 1-like</t>
        </is>
      </c>
    </row>
    <row r="6535">
      <c r="A6535" t="inlineStr"/>
      <c r="B6535" t="inlineStr"/>
      <c r="C6535" t="inlineStr"/>
      <c r="D6535" t="inlineStr"/>
      <c r="E6535">
        <f>HYPERLINK("https://www.uniprot.org/uniprotkb/A0A6G0IR90/entry", "A0A6G0IR90")</f>
        <v/>
      </c>
      <c r="F6535" t="n">
        <v>36.1</v>
      </c>
      <c r="G6535" t="n">
        <v>155</v>
      </c>
      <c r="H6535" t="n">
        <v>5.63e-20</v>
      </c>
      <c r="I6535" t="inlineStr">
        <is>
          <t>TrEMBL</t>
        </is>
      </c>
      <c r="J6535" t="inlineStr">
        <is>
          <t>D5F01_LYC06708</t>
        </is>
      </c>
      <c r="K6535" t="inlineStr">
        <is>
          <t>A0A6G0IR90_LARCR</t>
        </is>
      </c>
      <c r="L6535" t="inlineStr">
        <is>
          <t>tr|A0A6G0IR90|A0A6G0IR90_LARCR LINE-1 type transposase domain-containing protein 1 ES cell-associated protein 11 OS=Larimichthys crocea OX=215358 GN=D5F01_LYC06708 PE=4 SV=1</t>
        </is>
      </c>
      <c r="M6535" t="n">
        <v>293</v>
      </c>
      <c r="N6535" t="inlineStr">
        <is>
          <t>Larimichthys crocea</t>
        </is>
      </c>
      <c r="O6535" t="inlineStr">
        <is>
          <t>LINE-1 type transposase domain-containing protein 1 ES cell-associated protein 11</t>
        </is>
      </c>
    </row>
    <row r="6536">
      <c r="A6536" t="inlineStr"/>
      <c r="B6536" t="inlineStr"/>
      <c r="C6536" t="inlineStr"/>
      <c r="D6536" t="inlineStr"/>
      <c r="E6536">
        <f>HYPERLINK("https://www.uniprot.org/uniprotkb/A0A667ZPJ3/entry", "A0A667ZPJ3")</f>
        <v/>
      </c>
      <c r="F6536" t="n">
        <v>37.5</v>
      </c>
      <c r="G6536" t="n">
        <v>152</v>
      </c>
      <c r="H6536" t="n">
        <v>6.84e-20</v>
      </c>
      <c r="I6536" t="inlineStr">
        <is>
          <t>TrEMBL</t>
        </is>
      </c>
      <c r="J6536" t="inlineStr"/>
      <c r="K6536" t="inlineStr">
        <is>
          <t>A0A667ZPJ3_9TELE</t>
        </is>
      </c>
      <c r="L6536" t="inlineStr">
        <is>
          <t>tr|A0A667ZPJ3|A0A667ZPJ3_9TELE Transposase_22 domain-containing protein OS=Myripristis murdjan OX=586833 PE=4 SV=1</t>
        </is>
      </c>
      <c r="M6536" t="n">
        <v>265</v>
      </c>
      <c r="N6536" t="inlineStr">
        <is>
          <t>Myripristis murdjan</t>
        </is>
      </c>
      <c r="O6536" t="inlineStr">
        <is>
          <t>Transposase_22 domain-containing protein</t>
        </is>
      </c>
    </row>
    <row r="6537">
      <c r="A6537" t="inlineStr"/>
      <c r="B6537" t="inlineStr"/>
      <c r="C6537" t="inlineStr"/>
      <c r="D6537" t="inlineStr"/>
      <c r="E6537">
        <f>HYPERLINK("https://www.ncbi.nlm.nih.gov/gene/?term=KAI4827679.1", "KAI4827679.1")</f>
        <v/>
      </c>
      <c r="F6537" t="n">
        <v>40.1</v>
      </c>
      <c r="G6537" t="n">
        <v>147</v>
      </c>
      <c r="H6537" t="n">
        <v>6.909999999999999e-20</v>
      </c>
      <c r="I6537" t="inlineStr">
        <is>
          <t>Nr</t>
        </is>
      </c>
      <c r="J6537" t="inlineStr"/>
      <c r="K6537" t="inlineStr"/>
      <c r="L6537" t="inlineStr">
        <is>
          <t>KAI4827679.1 hypothetical protein KUCAC02_031058 [Chaenocephalus aceratus]</t>
        </is>
      </c>
      <c r="M6537" t="n">
        <v>269</v>
      </c>
      <c r="N6537" t="inlineStr">
        <is>
          <t>Chaenocephalus aceratus</t>
        </is>
      </c>
      <c r="O6537" t="inlineStr">
        <is>
          <t>hypothetical protein KUCAC02_031058</t>
        </is>
      </c>
    </row>
    <row r="6538">
      <c r="A6538" t="inlineStr"/>
      <c r="B6538" t="inlineStr"/>
      <c r="C6538" t="inlineStr"/>
      <c r="D6538" t="inlineStr"/>
      <c r="E6538">
        <f>HYPERLINK("https://www.ncbi.nlm.nih.gov/gene/?term=KAI4792447.1", "KAI4792447.1")</f>
        <v/>
      </c>
      <c r="F6538" t="n">
        <v>40.1</v>
      </c>
      <c r="G6538" t="n">
        <v>147</v>
      </c>
      <c r="H6538" t="n">
        <v>7.19e-20</v>
      </c>
      <c r="I6538" t="inlineStr">
        <is>
          <t>Nr</t>
        </is>
      </c>
      <c r="J6538" t="inlineStr"/>
      <c r="K6538" t="inlineStr"/>
      <c r="L6538" t="inlineStr">
        <is>
          <t>KAI4792447.1 hypothetical protein KUCAC02_033380 [Chaenocephalus aceratus]</t>
        </is>
      </c>
      <c r="M6538" t="n">
        <v>253</v>
      </c>
      <c r="N6538" t="inlineStr">
        <is>
          <t>Chaenocephalus aceratus</t>
        </is>
      </c>
      <c r="O6538" t="inlineStr">
        <is>
          <t>hypothetical protein KUCAC02_033380</t>
        </is>
      </c>
    </row>
    <row r="6539">
      <c r="A6539" t="inlineStr"/>
      <c r="B6539" t="inlineStr"/>
      <c r="C6539" t="inlineStr"/>
      <c r="D6539" t="inlineStr"/>
      <c r="E6539">
        <f>HYPERLINK("https://www.uniprot.org/uniprotkb/A0A3B4EZV4/entry", "A0A3B4EZV4")</f>
        <v/>
      </c>
      <c r="F6539" t="n">
        <v>36</v>
      </c>
      <c r="G6539" t="n">
        <v>150</v>
      </c>
      <c r="H6539" t="n">
        <v>7.47e-20</v>
      </c>
      <c r="I6539" t="inlineStr">
        <is>
          <t>TrEMBL</t>
        </is>
      </c>
      <c r="J6539" t="inlineStr"/>
      <c r="K6539" t="inlineStr">
        <is>
          <t>A0A3B4EZV4_9CICH</t>
        </is>
      </c>
      <c r="L6539" t="inlineStr">
        <is>
          <t>tr|A0A3B4EZV4|A0A3B4EZV4_9CICH Transposase_22 domain-containing protein OS=Pundamilia nyererei OX=303518 PE=4 SV=1</t>
        </is>
      </c>
      <c r="M6539" t="n">
        <v>270</v>
      </c>
      <c r="N6539" t="inlineStr">
        <is>
          <t>Pundamilia nyererei</t>
        </is>
      </c>
      <c r="O6539" t="inlineStr">
        <is>
          <t>Transposase_22 domain-containing protein</t>
        </is>
      </c>
    </row>
    <row r="6540">
      <c r="A6540" t="inlineStr"/>
      <c r="B6540" t="inlineStr"/>
      <c r="C6540" t="inlineStr"/>
      <c r="D6540" t="inlineStr"/>
      <c r="E6540">
        <f>HYPERLINK("https://www.uniprot.org/uniprotkb/A0A6P8QRS5/entry", "A0A6P8QRS5")</f>
        <v/>
      </c>
      <c r="F6540" t="n">
        <v>33.8</v>
      </c>
      <c r="G6540" t="n">
        <v>148</v>
      </c>
      <c r="H6540" t="n">
        <v>7.75e-20</v>
      </c>
      <c r="I6540" t="inlineStr">
        <is>
          <t>TrEMBL</t>
        </is>
      </c>
      <c r="J6540" t="inlineStr">
        <is>
          <t>LOC117360313</t>
        </is>
      </c>
      <c r="K6540" t="inlineStr">
        <is>
          <t>A0A6P8QRS5_GEOSA</t>
        </is>
      </c>
      <c r="L6540" t="inlineStr">
        <is>
          <t>tr|A0A6P8QRS5|A0A6P8QRS5_GEOSA uncharacterized protein LOC117360313 OS=Geotrypetes seraphini OX=260995 GN=LOC117360313 PE=4 SV=1</t>
        </is>
      </c>
      <c r="M6540" t="n">
        <v>1573</v>
      </c>
      <c r="N6540" t="inlineStr">
        <is>
          <t>Geotrypetes seraphini</t>
        </is>
      </c>
      <c r="O6540" t="inlineStr">
        <is>
          <t>uncharacterized protein LOC117360313</t>
        </is>
      </c>
    </row>
    <row r="6541">
      <c r="A6541" t="inlineStr"/>
      <c r="B6541" t="inlineStr"/>
      <c r="C6541" t="inlineStr"/>
      <c r="D6541" t="inlineStr"/>
      <c r="E6541">
        <f>HYPERLINK("https://www.ncbi.nlm.nih.gov/gene/?term=XP_030046073.1", "XP_030046073.1")</f>
        <v/>
      </c>
      <c r="F6541" t="n">
        <v>38.6</v>
      </c>
      <c r="G6541" t="n">
        <v>153</v>
      </c>
      <c r="H6541" t="n">
        <v>1.11e-19</v>
      </c>
      <c r="I6541" t="inlineStr">
        <is>
          <t>Nr</t>
        </is>
      </c>
      <c r="J6541" t="inlineStr"/>
      <c r="K6541" t="inlineStr"/>
      <c r="L6541" t="inlineStr">
        <is>
          <t>XP_030046073.1 NFX1-type zinc finger-containing protein 1-like [Microcaecilia unicolor]</t>
        </is>
      </c>
      <c r="M6541" t="n">
        <v>2650</v>
      </c>
      <c r="N6541" t="inlineStr">
        <is>
          <t>Microcaecilia unicolor</t>
        </is>
      </c>
      <c r="O6541" t="inlineStr">
        <is>
          <t>NFX1-type zinc finger-containing protein 1-like</t>
        </is>
      </c>
    </row>
    <row r="6542">
      <c r="A6542" t="inlineStr"/>
      <c r="B6542" t="inlineStr"/>
      <c r="C6542" t="inlineStr"/>
      <c r="D6542" t="inlineStr"/>
      <c r="E6542">
        <f>HYPERLINK("https://www.ncbi.nlm.nih.gov/gene/?term=KAE8293772.1", "KAE8293772.1")</f>
        <v/>
      </c>
      <c r="F6542" t="n">
        <v>36.1</v>
      </c>
      <c r="G6542" t="n">
        <v>155</v>
      </c>
      <c r="H6542" t="n">
        <v>1.45e-19</v>
      </c>
      <c r="I6542" t="inlineStr">
        <is>
          <t>Nr</t>
        </is>
      </c>
      <c r="J6542" t="inlineStr"/>
      <c r="K6542" t="inlineStr"/>
      <c r="L6542" t="inlineStr">
        <is>
          <t>KAE8293772.1 LINE-1 type transposase domain-containing protein 1 ES cell-associated protein 11 [Larimichthys crocea]</t>
        </is>
      </c>
      <c r="M6542" t="n">
        <v>293</v>
      </c>
      <c r="N6542" t="inlineStr">
        <is>
          <t>Larimichthys crocea</t>
        </is>
      </c>
      <c r="O6542" t="inlineStr">
        <is>
          <t>LINE-1 type transposase domain-containing protein 1 ES cell-associated protein 11</t>
        </is>
      </c>
    </row>
    <row r="6543">
      <c r="A6543" t="inlineStr"/>
      <c r="B6543" t="inlineStr"/>
      <c r="C6543" t="inlineStr"/>
      <c r="D6543" t="inlineStr"/>
      <c r="E6543">
        <f>HYPERLINK("https://www.ncbi.nlm.nih.gov/gene/?term=XP_033799899.1", "XP_033799899.1")</f>
        <v/>
      </c>
      <c r="F6543" t="n">
        <v>33.8</v>
      </c>
      <c r="G6543" t="n">
        <v>148</v>
      </c>
      <c r="H6543" t="n">
        <v>1.99e-19</v>
      </c>
      <c r="I6543" t="inlineStr">
        <is>
          <t>Nr</t>
        </is>
      </c>
      <c r="J6543" t="inlineStr"/>
      <c r="K6543" t="inlineStr"/>
      <c r="L6543" t="inlineStr">
        <is>
          <t>XP_033799899.1 uncharacterized protein LOC117360313 [Geotrypetes seraphini]</t>
        </is>
      </c>
      <c r="M6543" t="n">
        <v>1573</v>
      </c>
      <c r="N6543" t="inlineStr">
        <is>
          <t>Geotrypetes seraphini</t>
        </is>
      </c>
      <c r="O6543" t="inlineStr">
        <is>
          <t>uncharacterized protein LOC117360313</t>
        </is>
      </c>
    </row>
    <row r="6544">
      <c r="A6544" t="inlineStr"/>
      <c r="B6544" t="inlineStr"/>
      <c r="C6544" t="inlineStr"/>
      <c r="D6544" t="inlineStr"/>
      <c r="E6544">
        <f>HYPERLINK("https://www.ncbi.nlm.nih.gov/gene/?term=KAI4829097.1", "KAI4829097.1")</f>
        <v/>
      </c>
      <c r="F6544" t="n">
        <v>39.5</v>
      </c>
      <c r="G6544" t="n">
        <v>147</v>
      </c>
      <c r="H6544" t="n">
        <v>2.21e-19</v>
      </c>
      <c r="I6544" t="inlineStr">
        <is>
          <t>Nr</t>
        </is>
      </c>
      <c r="J6544" t="inlineStr"/>
      <c r="K6544" t="inlineStr"/>
      <c r="L6544" t="inlineStr">
        <is>
          <t>KAI4829097.1 hypothetical protein KUCAC02_023159 [Chaenocephalus aceratus]</t>
        </is>
      </c>
      <c r="M6544" t="n">
        <v>299</v>
      </c>
      <c r="N6544" t="inlineStr">
        <is>
          <t>Chaenocephalus aceratus</t>
        </is>
      </c>
      <c r="O6544" t="inlineStr">
        <is>
          <t>hypothetical protein KUCAC02_023159</t>
        </is>
      </c>
    </row>
    <row r="6545">
      <c r="A6545" t="inlineStr"/>
      <c r="B6545" t="inlineStr"/>
      <c r="C6545" t="inlineStr"/>
      <c r="D6545" t="inlineStr"/>
      <c r="E6545">
        <f>HYPERLINK("https://www.uniprot.org/uniprotkb/A0A3B1JM17/entry", "A0A3B1JM17")</f>
        <v/>
      </c>
      <c r="F6545" t="n">
        <v>35.8</v>
      </c>
      <c r="G6545" t="n">
        <v>151</v>
      </c>
      <c r="H6545" t="n">
        <v>2.81e-19</v>
      </c>
      <c r="I6545" t="inlineStr">
        <is>
          <t>TrEMBL</t>
        </is>
      </c>
      <c r="J6545" t="inlineStr"/>
      <c r="K6545" t="inlineStr">
        <is>
          <t>A0A3B1JM17_ASTMX</t>
        </is>
      </c>
      <c r="L6545" t="inlineStr">
        <is>
          <t>tr|A0A3B1JM17|A0A3B1JM17_ASTMX Transposase_22 domain-containing protein OS=Astyanax mexicanus OX=7994 PE=4 SV=1</t>
        </is>
      </c>
      <c r="M6545" t="n">
        <v>233</v>
      </c>
      <c r="N6545" t="inlineStr">
        <is>
          <t>Astyanax mexicanus</t>
        </is>
      </c>
      <c r="O6545" t="inlineStr">
        <is>
          <t>Transposase_22 domain-containing protein</t>
        </is>
      </c>
    </row>
    <row r="6546">
      <c r="A6546" t="inlineStr"/>
      <c r="B6546" t="inlineStr"/>
      <c r="C6546" t="inlineStr"/>
      <c r="D6546" t="inlineStr"/>
      <c r="E6546">
        <f>HYPERLINK("https://www.uniprot.org/uniprotkb/A0A6P7WPH6/entry", "A0A6P7WPH6")</f>
        <v/>
      </c>
      <c r="F6546" t="n">
        <v>35.6</v>
      </c>
      <c r="G6546" t="n">
        <v>149</v>
      </c>
      <c r="H6546" t="n">
        <v>3.55e-19</v>
      </c>
      <c r="I6546" t="inlineStr">
        <is>
          <t>TrEMBL</t>
        </is>
      </c>
      <c r="J6546" t="inlineStr">
        <is>
          <t>LOC115459407</t>
        </is>
      </c>
      <c r="K6546" t="inlineStr">
        <is>
          <t>A0A6P7WPH6_9AMPH</t>
        </is>
      </c>
      <c r="L6546" t="inlineStr">
        <is>
          <t>tr|A0A6P7WPH6|A0A6P7WPH6_9AMPH obscurin-like protein 1 OS=Microcaecilia unicolor OX=1415580 GN=LOC115459407 PE=4 SV=1</t>
        </is>
      </c>
      <c r="M6546" t="n">
        <v>1342</v>
      </c>
      <c r="N6546" t="inlineStr">
        <is>
          <t>Microcaecilia unicolor</t>
        </is>
      </c>
      <c r="O6546" t="inlineStr">
        <is>
          <t>obscurin-like protein 1</t>
        </is>
      </c>
    </row>
    <row r="6547">
      <c r="A6547" t="inlineStr"/>
      <c r="B6547" t="inlineStr"/>
      <c r="C6547" t="inlineStr"/>
      <c r="D6547" t="inlineStr"/>
      <c r="E6547">
        <f>HYPERLINK("https://www.ncbi.nlm.nih.gov/gene/?term=KAI4806100.1", "KAI4806100.1")</f>
        <v/>
      </c>
      <c r="F6547" t="n">
        <v>38.4</v>
      </c>
      <c r="G6547" t="n">
        <v>146</v>
      </c>
      <c r="H6547" t="n">
        <v>3.68e-19</v>
      </c>
      <c r="I6547" t="inlineStr">
        <is>
          <t>Nr</t>
        </is>
      </c>
      <c r="J6547" t="inlineStr"/>
      <c r="K6547" t="inlineStr"/>
      <c r="L6547" t="inlineStr">
        <is>
          <t>KAI4806100.1 hypothetical protein KUCAC02_010684 [Chaenocephalus aceratus]</t>
        </is>
      </c>
      <c r="M6547" t="n">
        <v>269</v>
      </c>
      <c r="N6547" t="inlineStr">
        <is>
          <t>Chaenocephalus aceratus</t>
        </is>
      </c>
      <c r="O6547" t="inlineStr">
        <is>
          <t>hypothetical protein KUCAC02_010684</t>
        </is>
      </c>
    </row>
    <row r="6548">
      <c r="A6548" t="inlineStr"/>
      <c r="B6548" t="inlineStr"/>
      <c r="C6548" t="inlineStr"/>
      <c r="D6548" t="inlineStr"/>
      <c r="E6548">
        <f>HYPERLINK("https://www.uniprot.org/uniprotkb/A0A6G0IJP9/entry", "A0A6G0IJP9")</f>
        <v/>
      </c>
      <c r="F6548" t="n">
        <v>32.2</v>
      </c>
      <c r="G6548" t="n">
        <v>171</v>
      </c>
      <c r="H6548" t="n">
        <v>5.34e-19</v>
      </c>
      <c r="I6548" t="inlineStr">
        <is>
          <t>TrEMBL</t>
        </is>
      </c>
      <c r="J6548" t="inlineStr">
        <is>
          <t>D5F01_LYC08911</t>
        </is>
      </c>
      <c r="K6548" t="inlineStr">
        <is>
          <t>A0A6G0IJP9_LARCR</t>
        </is>
      </c>
      <c r="L6548" t="inlineStr">
        <is>
          <t>tr|A0A6G0IJP9|A0A6G0IJP9_LARCR LINE-1 type transposase domain-containing protein 1 OS=Larimichthys crocea OX=215358 GN=D5F01_LYC08911 PE=4 SV=1</t>
        </is>
      </c>
      <c r="M6548" t="n">
        <v>249</v>
      </c>
      <c r="N6548" t="inlineStr">
        <is>
          <t>Larimichthys crocea</t>
        </is>
      </c>
      <c r="O6548" t="inlineStr">
        <is>
          <t>LINE-1 type transposase domain-containing protein 1</t>
        </is>
      </c>
    </row>
    <row r="6549">
      <c r="A6549" t="inlineStr"/>
      <c r="B6549" t="inlineStr"/>
      <c r="C6549" t="inlineStr"/>
      <c r="D6549" t="inlineStr"/>
      <c r="E6549">
        <f>HYPERLINK("https://www.uniprot.org/uniprotkb/A0A3B3DZ89/entry", "A0A3B3DZ89")</f>
        <v/>
      </c>
      <c r="F6549" t="n">
        <v>35.7</v>
      </c>
      <c r="G6549" t="n">
        <v>154</v>
      </c>
      <c r="H6549" t="n">
        <v>5.95e-19</v>
      </c>
      <c r="I6549" t="inlineStr">
        <is>
          <t>TrEMBL</t>
        </is>
      </c>
      <c r="J6549" t="inlineStr"/>
      <c r="K6549" t="inlineStr">
        <is>
          <t>A0A3B3DZ89_ORYME</t>
        </is>
      </c>
      <c r="L6549" t="inlineStr">
        <is>
          <t>tr|A0A3B3DZ89|A0A3B3DZ89_ORYME Transposase_22 domain-containing protein OS=Oryzias melastigma OX=30732 PE=4 SV=1</t>
        </is>
      </c>
      <c r="M6549" t="n">
        <v>237</v>
      </c>
      <c r="N6549" t="inlineStr">
        <is>
          <t>Oryzias melastigma</t>
        </is>
      </c>
      <c r="O6549" t="inlineStr">
        <is>
          <t>Transposase_22 domain-containing protein</t>
        </is>
      </c>
    </row>
    <row r="6550">
      <c r="A6550" t="inlineStr"/>
      <c r="B6550" t="inlineStr"/>
      <c r="C6550" t="inlineStr"/>
      <c r="D6550" t="inlineStr"/>
      <c r="E6550">
        <f>HYPERLINK("https://www.uniprot.org/uniprotkb/A0A6P7WWI2/entry", "A0A6P7WWI2")</f>
        <v/>
      </c>
      <c r="F6550" t="n">
        <v>36.2</v>
      </c>
      <c r="G6550" t="n">
        <v>152</v>
      </c>
      <c r="H6550" t="n">
        <v>6.21e-19</v>
      </c>
      <c r="I6550" t="inlineStr">
        <is>
          <t>TrEMBL</t>
        </is>
      </c>
      <c r="J6550" t="inlineStr">
        <is>
          <t>LOC115458977</t>
        </is>
      </c>
      <c r="K6550" t="inlineStr">
        <is>
          <t>A0A6P7WWI2_9AMPH</t>
        </is>
      </c>
      <c r="L6550" t="inlineStr">
        <is>
          <t>tr|A0A6P7WWI2|A0A6P7WWI2_9AMPH latent-transforming growth factor beta-binding protein 4-like OS=Microcaecilia unicolor OX=1415580 GN=LOC115458977 PE=4 SV=1</t>
        </is>
      </c>
      <c r="M6550" t="n">
        <v>881</v>
      </c>
      <c r="N6550" t="inlineStr">
        <is>
          <t>Microcaecilia unicolor</t>
        </is>
      </c>
      <c r="O6550" t="inlineStr">
        <is>
          <t>latent-transforming growth factor beta-binding protein 4-like</t>
        </is>
      </c>
    </row>
    <row r="6551">
      <c r="A6551" t="inlineStr"/>
      <c r="B6551" t="inlineStr"/>
      <c r="C6551" t="inlineStr"/>
      <c r="D6551" t="inlineStr"/>
      <c r="E6551">
        <f>HYPERLINK("https://www.ncbi.nlm.nih.gov/gene/?term=OCT80128.1", "OCT80128.1")</f>
        <v/>
      </c>
      <c r="F6551" t="n">
        <v>43.7</v>
      </c>
      <c r="G6551" t="n">
        <v>126</v>
      </c>
      <c r="H6551" t="n">
        <v>8.61e-19</v>
      </c>
      <c r="I6551" t="inlineStr">
        <is>
          <t>Nr</t>
        </is>
      </c>
      <c r="J6551" t="inlineStr"/>
      <c r="K6551" t="inlineStr"/>
      <c r="L6551" t="inlineStr">
        <is>
          <t>OCT80128.1 hypothetical protein XELAEV_18026937mg [Xenopus laevis]</t>
        </is>
      </c>
      <c r="M6551" t="n">
        <v>209</v>
      </c>
      <c r="N6551" t="inlineStr">
        <is>
          <t>Xenopus laevis</t>
        </is>
      </c>
      <c r="O6551" t="inlineStr">
        <is>
          <t>hypothetical protein XELAEV_18026937mg</t>
        </is>
      </c>
    </row>
    <row r="6552">
      <c r="A6552" t="inlineStr"/>
      <c r="B6552" t="inlineStr"/>
      <c r="C6552" t="inlineStr"/>
      <c r="D6552" t="inlineStr"/>
      <c r="E6552">
        <f>HYPERLINK("https://www.ncbi.nlm.nih.gov/gene/?term=XP_030045097.1", "XP_030045097.1")</f>
        <v/>
      </c>
      <c r="F6552" t="n">
        <v>35.6</v>
      </c>
      <c r="G6552" t="n">
        <v>149</v>
      </c>
      <c r="H6552" t="n">
        <v>9.12e-19</v>
      </c>
      <c r="I6552" t="inlineStr">
        <is>
          <t>Nr</t>
        </is>
      </c>
      <c r="J6552" t="inlineStr"/>
      <c r="K6552" t="inlineStr"/>
      <c r="L6552" t="inlineStr">
        <is>
          <t>XP_030045097.1 obscurin-like protein 1, partial [Microcaecilia unicolor]</t>
        </is>
      </c>
      <c r="M6552" t="n">
        <v>1342</v>
      </c>
      <c r="N6552" t="inlineStr">
        <is>
          <t>Microcaecilia unicolor</t>
        </is>
      </c>
      <c r="O6552" t="inlineStr">
        <is>
          <t>obscurin-like protein 1, partial</t>
        </is>
      </c>
    </row>
    <row r="6553">
      <c r="A6553" t="inlineStr"/>
      <c r="B6553" t="inlineStr"/>
      <c r="C6553" t="inlineStr"/>
      <c r="D6553" t="inlineStr"/>
      <c r="E6553">
        <f>HYPERLINK("https://www.ncbi.nlm.nih.gov/gene/?term=KAI2645847.1", "KAI2645847.1")</f>
        <v/>
      </c>
      <c r="F6553" t="n">
        <v>37.7</v>
      </c>
      <c r="G6553" t="n">
        <v>151</v>
      </c>
      <c r="H6553" t="n">
        <v>1.06e-18</v>
      </c>
      <c r="I6553" t="inlineStr">
        <is>
          <t>Nr</t>
        </is>
      </c>
      <c r="J6553" t="inlineStr"/>
      <c r="K6553" t="inlineStr"/>
      <c r="L6553" t="inlineStr">
        <is>
          <t>KAI2645847.1 LINE-1 type transposase domain-containing protein 1 [Labeo rohita]</t>
        </is>
      </c>
      <c r="M6553" t="n">
        <v>272</v>
      </c>
      <c r="N6553" t="inlineStr">
        <is>
          <t>Labeo rohita</t>
        </is>
      </c>
      <c r="O6553" t="inlineStr">
        <is>
          <t>LINE-1 type transposase domain-containing protein 1</t>
        </is>
      </c>
    </row>
    <row r="6554">
      <c r="A6554" t="inlineStr"/>
      <c r="B6554" t="inlineStr"/>
      <c r="C6554" t="inlineStr"/>
      <c r="D6554" t="inlineStr"/>
      <c r="E6554">
        <f>HYPERLINK("https://www.uniprot.org/uniprotkb/A0A3P9D9C9/entry", "A0A3P9D9C9")</f>
        <v/>
      </c>
      <c r="F6554" t="n">
        <v>35.3</v>
      </c>
      <c r="G6554" t="n">
        <v>150</v>
      </c>
      <c r="H6554" t="n">
        <v>1.1e-18</v>
      </c>
      <c r="I6554" t="inlineStr">
        <is>
          <t>TrEMBL</t>
        </is>
      </c>
      <c r="J6554" t="inlineStr"/>
      <c r="K6554" t="inlineStr">
        <is>
          <t>A0A3P9D9C9_9CICH</t>
        </is>
      </c>
      <c r="L6554" t="inlineStr">
        <is>
          <t>tr|A0A3P9D9C9|A0A3P9D9C9_9CICH Transposase_22 domain-containing protein OS=Maylandia zebra OX=106582 PE=4 SV=1</t>
        </is>
      </c>
      <c r="M6554" t="n">
        <v>271</v>
      </c>
      <c r="N6554" t="inlineStr">
        <is>
          <t>Maylandia zebra</t>
        </is>
      </c>
      <c r="O6554" t="inlineStr">
        <is>
          <t>Transposase_22 domain-containing protein</t>
        </is>
      </c>
    </row>
    <row r="6555">
      <c r="A6555" t="inlineStr"/>
      <c r="B6555" t="inlineStr"/>
      <c r="C6555" t="inlineStr"/>
      <c r="D6555" t="inlineStr"/>
      <c r="E6555">
        <f>HYPERLINK("https://www.ncbi.nlm.nih.gov/gene/?term=KAE8291557.1", "KAE8291557.1")</f>
        <v/>
      </c>
      <c r="F6555" t="n">
        <v>32.2</v>
      </c>
      <c r="G6555" t="n">
        <v>171</v>
      </c>
      <c r="H6555" t="n">
        <v>1.37e-18</v>
      </c>
      <c r="I6555" t="inlineStr">
        <is>
          <t>Nr</t>
        </is>
      </c>
      <c r="J6555" t="inlineStr"/>
      <c r="K6555" t="inlineStr"/>
      <c r="L6555" t="inlineStr">
        <is>
          <t>KAE8291557.1 hypothetical protein D5F01_LYC08911 [Larimichthys crocea]</t>
        </is>
      </c>
      <c r="M6555" t="n">
        <v>249</v>
      </c>
      <c r="N6555" t="inlineStr">
        <is>
          <t>Larimichthys crocea</t>
        </is>
      </c>
      <c r="O6555" t="inlineStr">
        <is>
          <t>hypothetical protein D5F01_LYC08911</t>
        </is>
      </c>
    </row>
    <row r="6556">
      <c r="A6556" t="inlineStr"/>
      <c r="B6556" t="inlineStr"/>
      <c r="C6556" t="inlineStr"/>
      <c r="D6556" t="inlineStr"/>
      <c r="E6556">
        <f>HYPERLINK("https://www.ncbi.nlm.nih.gov/gene/?term=XP_030044698.1", "XP_030044698.1")</f>
        <v/>
      </c>
      <c r="F6556" t="n">
        <v>36.2</v>
      </c>
      <c r="G6556" t="n">
        <v>152</v>
      </c>
      <c r="H6556" t="n">
        <v>1.59e-18</v>
      </c>
      <c r="I6556" t="inlineStr">
        <is>
          <t>Nr</t>
        </is>
      </c>
      <c r="J6556" t="inlineStr"/>
      <c r="K6556" t="inlineStr"/>
      <c r="L6556" t="inlineStr">
        <is>
          <t>XP_030044698.1 latent-transforming growth factor beta-binding protein 4-like [Microcaecilia unicolor]</t>
        </is>
      </c>
      <c r="M6556" t="n">
        <v>881</v>
      </c>
      <c r="N6556" t="inlineStr">
        <is>
          <t>Microcaecilia unicolor</t>
        </is>
      </c>
      <c r="O6556" t="inlineStr">
        <is>
          <t>latent-transforming growth factor beta-binding protein 4-like</t>
        </is>
      </c>
    </row>
    <row r="6557">
      <c r="A6557" t="inlineStr"/>
      <c r="B6557" t="inlineStr"/>
      <c r="C6557" t="inlineStr"/>
      <c r="D6557" t="inlineStr"/>
      <c r="E6557">
        <f>HYPERLINK("https://www.ncbi.nlm.nih.gov/gene/?term=KAJ1217248.1", "KAJ1217248.1")</f>
        <v/>
      </c>
      <c r="F6557" t="n">
        <v>34.9</v>
      </c>
      <c r="G6557" t="n">
        <v>149</v>
      </c>
      <c r="H6557" t="n">
        <v>1.64e-18</v>
      </c>
      <c r="I6557" t="inlineStr">
        <is>
          <t>Nr</t>
        </is>
      </c>
      <c r="J6557" t="inlineStr"/>
      <c r="K6557" t="inlineStr"/>
      <c r="L6557" t="inlineStr">
        <is>
          <t>KAJ1217248.1 hypothetical protein NDU88_004843 [Pleurodeles waltl]</t>
        </is>
      </c>
      <c r="M6557" t="n">
        <v>324</v>
      </c>
      <c r="N6557" t="inlineStr">
        <is>
          <t>Pleurodeles waltl</t>
        </is>
      </c>
      <c r="O6557" t="inlineStr">
        <is>
          <t>hypothetical protein NDU88_004843</t>
        </is>
      </c>
    </row>
    <row r="6558">
      <c r="A6558" t="inlineStr"/>
      <c r="B6558" t="inlineStr"/>
      <c r="C6558" t="inlineStr"/>
      <c r="D6558" t="inlineStr"/>
      <c r="E6558">
        <f>HYPERLINK("https://www.ncbi.nlm.nih.gov/gene/?term=KAI7800009.1", "KAI7800009.1")</f>
        <v/>
      </c>
      <c r="F6558" t="n">
        <v>33.6</v>
      </c>
      <c r="G6558" t="n">
        <v>152</v>
      </c>
      <c r="H6558" t="n">
        <v>2.12e-18</v>
      </c>
      <c r="I6558" t="inlineStr">
        <is>
          <t>Nr</t>
        </is>
      </c>
      <c r="J6558" t="inlineStr"/>
      <c r="K6558" t="inlineStr"/>
      <c r="L6558" t="inlineStr">
        <is>
          <t>KAI7800009.1 putative LINE-1 type transposase domain-containing protein 1-like [Triplophysa rosa]</t>
        </is>
      </c>
      <c r="M6558" t="n">
        <v>295</v>
      </c>
      <c r="N6558" t="inlineStr">
        <is>
          <t>Triplophysa rosa</t>
        </is>
      </c>
      <c r="O6558" t="inlineStr">
        <is>
          <t>putative LINE-1 type transposase domain-containing protein 1-like</t>
        </is>
      </c>
    </row>
    <row r="6559">
      <c r="A6559" t="inlineStr"/>
      <c r="B6559" t="inlineStr"/>
      <c r="C6559" t="inlineStr"/>
      <c r="D6559" t="inlineStr"/>
      <c r="E6559">
        <f>HYPERLINK("https://www.ncbi.nlm.nih.gov/gene/?term=KAI4788217.1", "KAI4788217.1")</f>
        <v/>
      </c>
      <c r="F6559" t="n">
        <v>39.5</v>
      </c>
      <c r="G6559" t="n">
        <v>147</v>
      </c>
      <c r="H6559" t="n">
        <v>3.52e-18</v>
      </c>
      <c r="I6559" t="inlineStr">
        <is>
          <t>Nr</t>
        </is>
      </c>
      <c r="J6559" t="inlineStr"/>
      <c r="K6559" t="inlineStr"/>
      <c r="L6559" t="inlineStr">
        <is>
          <t>KAI4788217.1 hypothetical protein KUCAC02_035995 [Chaenocephalus aceratus]</t>
        </is>
      </c>
      <c r="M6559" t="n">
        <v>181</v>
      </c>
      <c r="N6559" t="inlineStr">
        <is>
          <t>Chaenocephalus aceratus</t>
        </is>
      </c>
      <c r="O6559" t="inlineStr">
        <is>
          <t>hypothetical protein KUCAC02_035995</t>
        </is>
      </c>
    </row>
    <row r="6560">
      <c r="A6560" t="inlineStr"/>
      <c r="B6560" t="inlineStr"/>
      <c r="C6560" t="inlineStr"/>
      <c r="D6560" t="inlineStr"/>
      <c r="E6560">
        <f>HYPERLINK("https://www.ncbi.nlm.nih.gov/gene/?term=XP_033810110.1", "XP_033810110.1")</f>
        <v/>
      </c>
      <c r="F6560" t="n">
        <v>35.9</v>
      </c>
      <c r="G6560" t="n">
        <v>153</v>
      </c>
      <c r="H6560" t="n">
        <v>4e-18</v>
      </c>
      <c r="I6560" t="inlineStr">
        <is>
          <t>Nr</t>
        </is>
      </c>
      <c r="J6560" t="inlineStr"/>
      <c r="K6560" t="inlineStr"/>
      <c r="L6560" t="inlineStr">
        <is>
          <t>XP_033810110.1 uncharacterized protein LOC117364707 [Geotrypetes seraphini]</t>
        </is>
      </c>
      <c r="M6560" t="n">
        <v>272</v>
      </c>
      <c r="N6560" t="inlineStr">
        <is>
          <t>Geotrypetes seraphini</t>
        </is>
      </c>
      <c r="O6560" t="inlineStr">
        <is>
          <t>uncharacterized protein LOC117364707</t>
        </is>
      </c>
    </row>
    <row r="6561">
      <c r="A6561" t="inlineStr"/>
      <c r="B6561" t="inlineStr"/>
      <c r="C6561" t="inlineStr"/>
      <c r="D6561" t="inlineStr"/>
      <c r="E6561">
        <f>HYPERLINK("https://www.ncbi.nlm.nih.gov/gene/?term=KAE8281769.1", "KAE8281769.1")</f>
        <v/>
      </c>
      <c r="F6561" t="n">
        <v>33.1</v>
      </c>
      <c r="G6561" t="n">
        <v>163</v>
      </c>
      <c r="H6561" t="n">
        <v>4.41e-18</v>
      </c>
      <c r="I6561" t="inlineStr">
        <is>
          <t>Nr</t>
        </is>
      </c>
      <c r="J6561" t="inlineStr"/>
      <c r="K6561" t="inlineStr"/>
      <c r="L6561" t="inlineStr">
        <is>
          <t>KAE8281769.1 hypothetical protein D5F01_LYC19152 [Larimichthys crocea]</t>
        </is>
      </c>
      <c r="M6561" t="n">
        <v>278</v>
      </c>
      <c r="N6561" t="inlineStr">
        <is>
          <t>Larimichthys crocea</t>
        </is>
      </c>
      <c r="O6561" t="inlineStr">
        <is>
          <t>hypothetical protein D5F01_LYC19152</t>
        </is>
      </c>
    </row>
    <row r="6562">
      <c r="A6562" t="inlineStr"/>
      <c r="B6562" t="inlineStr"/>
      <c r="C6562" t="inlineStr"/>
      <c r="D6562" t="inlineStr"/>
      <c r="E6562">
        <f>HYPERLINK("https://www.uniprot.org/uniprotkb/P11369/entry", "P11369")</f>
        <v/>
      </c>
      <c r="F6562" t="n">
        <v>32.6</v>
      </c>
      <c r="G6562" t="n">
        <v>181</v>
      </c>
      <c r="H6562" t="n">
        <v>4.76e-18</v>
      </c>
      <c r="I6562" t="inlineStr">
        <is>
          <t>Swiss-Prot</t>
        </is>
      </c>
      <c r="J6562" t="inlineStr">
        <is>
          <t>Pol</t>
        </is>
      </c>
      <c r="K6562" t="inlineStr">
        <is>
          <t>LORF2_MOUSE</t>
        </is>
      </c>
      <c r="L6562" t="inlineStr">
        <is>
          <t>sp|P11369|LORF2_MOUSE LINE-1 retrotransposable element ORF2 protein OS=Mus musculus OX=10090 GN=Pol PE=1 SV=2</t>
        </is>
      </c>
      <c r="M6562" t="n">
        <v>1281</v>
      </c>
      <c r="N6562" t="inlineStr">
        <is>
          <t>Mus musculus</t>
        </is>
      </c>
      <c r="O6562" t="inlineStr">
        <is>
          <t>LINE-1 retrotransposable element ORF2 protein</t>
        </is>
      </c>
    </row>
    <row r="6563">
      <c r="A6563" t="inlineStr"/>
      <c r="B6563" t="inlineStr"/>
      <c r="C6563" t="inlineStr"/>
      <c r="D6563" t="inlineStr"/>
      <c r="E6563">
        <f>HYPERLINK("https://www.uniprot.org/uniprotkb/P14381/entry", "P14381")</f>
        <v/>
      </c>
      <c r="F6563" t="n">
        <v>31.7</v>
      </c>
      <c r="G6563" t="n">
        <v>186</v>
      </c>
      <c r="H6563" t="n">
        <v>1.39e-16</v>
      </c>
      <c r="I6563" t="inlineStr">
        <is>
          <t>Swiss-Prot</t>
        </is>
      </c>
      <c r="J6563" t="inlineStr"/>
      <c r="K6563" t="inlineStr">
        <is>
          <t>YTX2_XENLA</t>
        </is>
      </c>
      <c r="L6563" t="inlineStr">
        <is>
          <t>sp|P14381|YTX2_XENLA Transposon TX1 uncharacterized 149 kDa protein OS=Xenopus laevis OX=8355 PE=4 SV=1</t>
        </is>
      </c>
      <c r="M6563" t="n">
        <v>1308</v>
      </c>
      <c r="N6563" t="inlineStr">
        <is>
          <t>Xenopus laevis</t>
        </is>
      </c>
      <c r="O6563" t="inlineStr">
        <is>
          <t>Transposon TX1 uncharacterized 149 kDa protein</t>
        </is>
      </c>
    </row>
    <row r="6564">
      <c r="A6564" t="inlineStr"/>
      <c r="B6564" t="inlineStr"/>
      <c r="C6564" t="inlineStr"/>
      <c r="D6564" t="inlineStr"/>
      <c r="E6564">
        <f>HYPERLINK("https://www.uniprot.org/uniprotkb/P08548/entry", "P08548")</f>
        <v/>
      </c>
      <c r="F6564" t="n">
        <v>29.4</v>
      </c>
      <c r="G6564" t="n">
        <v>160</v>
      </c>
      <c r="H6564" t="n">
        <v>7.27e-13</v>
      </c>
      <c r="I6564" t="inlineStr">
        <is>
          <t>Swiss-Prot</t>
        </is>
      </c>
      <c r="J6564" t="inlineStr"/>
      <c r="K6564" t="inlineStr">
        <is>
          <t>LIN1_NYCCO</t>
        </is>
      </c>
      <c r="L6564" t="inlineStr">
        <is>
          <t>sp|P08548|LIN1_NYCCO LINE-1 reverse transcriptase homolog OS=Nycticebus coucang OX=9470 PE=4 SV=1</t>
        </is>
      </c>
      <c r="M6564" t="n">
        <v>1260</v>
      </c>
      <c r="N6564" t="inlineStr">
        <is>
          <t>Nycticebus coucang</t>
        </is>
      </c>
      <c r="O6564" t="inlineStr">
        <is>
          <t>LINE-1 reverse transcriptase homolog</t>
        </is>
      </c>
    </row>
    <row r="6565">
      <c r="A6565" t="inlineStr"/>
      <c r="B6565" t="inlineStr"/>
      <c r="C6565" t="inlineStr"/>
      <c r="D6565" t="inlineStr"/>
      <c r="E6565">
        <f>HYPERLINK("https://www.uniprot.org/uniprotkb/Q9UN81/entry", "Q9UN81")</f>
        <v/>
      </c>
      <c r="F6565" t="n">
        <v>33.6</v>
      </c>
      <c r="G6565" t="n">
        <v>146</v>
      </c>
      <c r="H6565" t="n">
        <v>2.94e-08</v>
      </c>
      <c r="I6565" t="inlineStr">
        <is>
          <t>Swiss-Prot</t>
        </is>
      </c>
      <c r="J6565" t="inlineStr">
        <is>
          <t>L1RE1</t>
        </is>
      </c>
      <c r="K6565" t="inlineStr">
        <is>
          <t>LORF1_HUMAN</t>
        </is>
      </c>
      <c r="L6565" t="inlineStr">
        <is>
          <t>sp|Q9UN81|LORF1_HUMAN LINE-1 retrotransposable element ORF1 protein OS=Homo sapiens OX=9606 GN=L1RE1 PE=1 SV=1</t>
        </is>
      </c>
      <c r="M6565" t="n">
        <v>338</v>
      </c>
      <c r="N6565" t="inlineStr">
        <is>
          <t>Homo sapiens</t>
        </is>
      </c>
      <c r="O6565" t="inlineStr">
        <is>
          <t>LINE-1 retrotransposable element ORF1 protein</t>
        </is>
      </c>
    </row>
    <row r="6566">
      <c r="A6566" t="inlineStr"/>
      <c r="B6566" t="inlineStr"/>
      <c r="C6566" t="inlineStr"/>
      <c r="D6566" t="inlineStr"/>
      <c r="E6566">
        <f>HYPERLINK("https://www.uniprot.org/uniprotkb/Q5T7N2/entry", "Q5T7N2")</f>
        <v/>
      </c>
      <c r="F6566" t="n">
        <v>26.1</v>
      </c>
      <c r="G6566" t="n">
        <v>134</v>
      </c>
      <c r="H6566" t="n">
        <v>4.43e-07</v>
      </c>
      <c r="I6566" t="inlineStr">
        <is>
          <t>Swiss-Prot</t>
        </is>
      </c>
      <c r="J6566" t="inlineStr">
        <is>
          <t>L1TD1</t>
        </is>
      </c>
      <c r="K6566" t="inlineStr">
        <is>
          <t>LITD1_HUMAN</t>
        </is>
      </c>
      <c r="L6566" t="inlineStr">
        <is>
          <t>sp|Q5T7N2|LITD1_HUMAN LINE-1 type transposase domain-containing protein 1 OS=Homo sapiens OX=9606 GN=L1TD1 PE=1 SV=1</t>
        </is>
      </c>
      <c r="M6566" t="n">
        <v>865</v>
      </c>
      <c r="N6566" t="inlineStr">
        <is>
          <t>Homo sapiens</t>
        </is>
      </c>
      <c r="O6566" t="inlineStr">
        <is>
          <t>LINE-1 type transposase domain-containing protein 1</t>
        </is>
      </c>
    </row>
    <row r="6567">
      <c r="A6567" t="inlineStr"/>
      <c r="B6567" t="inlineStr"/>
      <c r="C6567" t="inlineStr"/>
      <c r="D6567" t="inlineStr"/>
      <c r="E6567">
        <f>HYPERLINK("https://www.uniprot.org/uniprotkb/Q587J6/entry", "Q587J6")</f>
        <v/>
      </c>
      <c r="F6567" t="n">
        <v>28.1</v>
      </c>
      <c r="G6567" t="n">
        <v>146</v>
      </c>
      <c r="H6567" t="n">
        <v>1.07e-06</v>
      </c>
      <c r="I6567" t="inlineStr">
        <is>
          <t>Swiss-Prot</t>
        </is>
      </c>
      <c r="J6567" t="inlineStr">
        <is>
          <t>L1td1</t>
        </is>
      </c>
      <c r="K6567" t="inlineStr">
        <is>
          <t>LITD1_MOUSE</t>
        </is>
      </c>
      <c r="L6567" t="inlineStr">
        <is>
          <t>sp|Q587J6|LITD1_MOUSE LINE-1 type transposase domain-containing protein 1 OS=Mus musculus OX=10090 GN=L1td1 PE=2 SV=1</t>
        </is>
      </c>
      <c r="M6567" t="n">
        <v>782</v>
      </c>
      <c r="N6567" t="inlineStr">
        <is>
          <t>Mus musculus</t>
        </is>
      </c>
      <c r="O6567" t="inlineStr">
        <is>
          <t>LINE-1 type transposase domain-containing protein 1</t>
        </is>
      </c>
    </row>
    <row r="6568">
      <c r="A6568" t="inlineStr"/>
      <c r="B6568" t="inlineStr"/>
      <c r="C6568" t="inlineStr"/>
      <c r="D6568" t="inlineStr"/>
      <c r="E6568">
        <f>HYPERLINK("https://www.uniprot.org/uniprotkb/P11260/entry", "P11260")</f>
        <v/>
      </c>
      <c r="F6568" t="n">
        <v>25.1</v>
      </c>
      <c r="G6568" t="n">
        <v>175</v>
      </c>
      <c r="H6568" t="n">
        <v>3.15e-05</v>
      </c>
      <c r="I6568" t="inlineStr">
        <is>
          <t>Swiss-Prot</t>
        </is>
      </c>
      <c r="J6568" t="inlineStr">
        <is>
          <t>Lire1</t>
        </is>
      </c>
      <c r="K6568" t="inlineStr">
        <is>
          <t>LORF1_MOUSE</t>
        </is>
      </c>
      <c r="L6568" t="inlineStr">
        <is>
          <t>sp|P11260|LORF1_MOUSE LINE-1 retrotransposable element ORF1 protein OS=Mus musculus OX=10090 GN=Lire1 PE=1 SV=2</t>
        </is>
      </c>
      <c r="M6568" t="n">
        <v>357</v>
      </c>
      <c r="N6568" t="inlineStr">
        <is>
          <t>Mus musculus</t>
        </is>
      </c>
      <c r="O6568" t="inlineStr">
        <is>
          <t>LINE-1 retrotransposable element ORF1 protein</t>
        </is>
      </c>
    </row>
    <row r="6569">
      <c r="A6569" t="inlineStr"/>
      <c r="B6569" t="inlineStr"/>
      <c r="C6569" t="inlineStr"/>
      <c r="D6569" t="inlineStr"/>
      <c r="E6569">
        <f>HYPERLINK("https://www.uniprot.org/uniprotkb/P37454/entry", "P37454")</f>
        <v/>
      </c>
      <c r="F6569" t="n">
        <v>29.6</v>
      </c>
      <c r="G6569" t="n">
        <v>115</v>
      </c>
      <c r="H6569" t="n">
        <v>4.47e-05</v>
      </c>
      <c r="I6569" t="inlineStr">
        <is>
          <t>Swiss-Prot</t>
        </is>
      </c>
      <c r="J6569" t="inlineStr">
        <is>
          <t>exoA</t>
        </is>
      </c>
      <c r="K6569" t="inlineStr">
        <is>
          <t>EXOA_BACSU</t>
        </is>
      </c>
      <c r="L6569" t="inlineStr">
        <is>
          <t>sp|P37454|EXOA_BACSU Exodeoxyribonuclease OS=Bacillus subtilis (strain 168) OX=224308 GN=exoA PE=1 SV=1</t>
        </is>
      </c>
      <c r="M6569" t="n">
        <v>252</v>
      </c>
      <c r="N6569" t="inlineStr">
        <is>
          <t>Bacillus subtilis (strain 168)</t>
        </is>
      </c>
      <c r="O6569" t="inlineStr">
        <is>
          <t>Exodeoxyribonuclease</t>
        </is>
      </c>
    </row>
    <row r="6570">
      <c r="A6570" t="inlineStr"/>
      <c r="B6570" t="inlineStr"/>
      <c r="C6570" t="inlineStr"/>
      <c r="D6570" t="inlineStr"/>
      <c r="E6570">
        <f>HYPERLINK("https://www.uniprot.org/uniprotkb/A0MTA1/entry", "A0MTA1")</f>
        <v/>
      </c>
      <c r="F6570" t="n">
        <v>29</v>
      </c>
      <c r="G6570" t="n">
        <v>162</v>
      </c>
      <c r="H6570" t="n">
        <v>0.000778</v>
      </c>
      <c r="I6570" t="inlineStr">
        <is>
          <t>Swiss-Prot</t>
        </is>
      </c>
      <c r="J6570" t="inlineStr">
        <is>
          <t>apex1</t>
        </is>
      </c>
      <c r="K6570" t="inlineStr">
        <is>
          <t>APEX1_DANRE</t>
        </is>
      </c>
      <c r="L6570" t="inlineStr">
        <is>
          <t>sp|A0MTA1|APEX1_DANRE DNA-(apurinic or apyrimidinic site) endonuclease OS=Danio rerio OX=7955 GN=apex1 PE=1 SV=1</t>
        </is>
      </c>
      <c r="M6570" t="n">
        <v>310</v>
      </c>
      <c r="N6570" t="inlineStr">
        <is>
          <t>Danio rerio</t>
        </is>
      </c>
      <c r="O6570" t="inlineStr">
        <is>
          <t>DNA-(apurinic or apyrimidinic site) endonuclease</t>
        </is>
      </c>
    </row>
    <row r="6571">
      <c r="A6571" t="inlineStr">
        <is>
          <t>NODE_41250_length_3371_cov_9.264528_g14087_i0</t>
        </is>
      </c>
      <c r="B6571" t="inlineStr">
        <is>
          <t>bombina_pachypus_blastx</t>
        </is>
      </c>
      <c r="C6571" t="n">
        <v>7.83471978092255</v>
      </c>
      <c r="D6571" t="n">
        <v>7.96800668171497e-05</v>
      </c>
      <c r="E6571">
        <f>HYPERLINK("https://www.uniprot.org/uniprotkb/A0A803J337/entry", "A0A803J337")</f>
        <v/>
      </c>
      <c r="F6571" t="n">
        <v>43.4</v>
      </c>
      <c r="G6571" t="n">
        <v>978</v>
      </c>
      <c r="H6571" t="n">
        <v>6.63e-302</v>
      </c>
      <c r="I6571" t="inlineStr">
        <is>
          <t>TrEMBL</t>
        </is>
      </c>
      <c r="J6571" t="inlineStr"/>
      <c r="K6571" t="inlineStr">
        <is>
          <t>A0A803J337_XENTR</t>
        </is>
      </c>
      <c r="L6571" t="inlineStr">
        <is>
          <t>tr|A0A803J337|A0A803J337_XENTR Reverse transcriptase domain-containing protein OS=Xenopus tropicalis OX=8364 PE=4 SV=1</t>
        </is>
      </c>
      <c r="M6571" t="n">
        <v>1130</v>
      </c>
      <c r="N6571" t="inlineStr">
        <is>
          <t>Xenopus tropicalis</t>
        </is>
      </c>
      <c r="O6571" t="inlineStr">
        <is>
          <t>Reverse transcriptase domain-containing protein</t>
        </is>
      </c>
    </row>
    <row r="6572">
      <c r="A6572" t="inlineStr"/>
      <c r="B6572" t="inlineStr"/>
      <c r="C6572" t="inlineStr"/>
      <c r="D6572" t="inlineStr"/>
      <c r="E6572">
        <f>HYPERLINK("https://www.uniprot.org/uniprotkb/A0A803K598/entry", "A0A803K598")</f>
        <v/>
      </c>
      <c r="F6572" t="n">
        <v>37.9</v>
      </c>
      <c r="G6572" t="n">
        <v>995</v>
      </c>
      <c r="H6572" t="n">
        <v>1.63e-232</v>
      </c>
      <c r="I6572" t="inlineStr">
        <is>
          <t>TrEMBL</t>
        </is>
      </c>
      <c r="J6572" t="inlineStr"/>
      <c r="K6572" t="inlineStr">
        <is>
          <t>A0A803K598_XENTR</t>
        </is>
      </c>
      <c r="L6572" t="inlineStr">
        <is>
          <t>tr|A0A803K598|A0A803K598_XENTR Reverse transcriptase domain-containing protein OS=Xenopus tropicalis OX=8364 PE=4 SV=1</t>
        </is>
      </c>
      <c r="M6572" t="n">
        <v>1144</v>
      </c>
      <c r="N6572" t="inlineStr">
        <is>
          <t>Xenopus tropicalis</t>
        </is>
      </c>
      <c r="O6572" t="inlineStr">
        <is>
          <t>Reverse transcriptase domain-containing protein</t>
        </is>
      </c>
    </row>
    <row r="6573">
      <c r="A6573" t="inlineStr"/>
      <c r="B6573" t="inlineStr"/>
      <c r="C6573" t="inlineStr"/>
      <c r="D6573" t="inlineStr"/>
      <c r="E6573">
        <f>HYPERLINK("https://www.uniprot.org/uniprotkb/A0A803J2T7/entry", "A0A803J2T7")</f>
        <v/>
      </c>
      <c r="F6573" t="n">
        <v>37.5</v>
      </c>
      <c r="G6573" t="n">
        <v>979</v>
      </c>
      <c r="H6573" t="n">
        <v>3.14e-224</v>
      </c>
      <c r="I6573" t="inlineStr">
        <is>
          <t>TrEMBL</t>
        </is>
      </c>
      <c r="J6573" t="inlineStr"/>
      <c r="K6573" t="inlineStr">
        <is>
          <t>A0A803J2T7_XENTR</t>
        </is>
      </c>
      <c r="L6573" t="inlineStr">
        <is>
          <t>tr|A0A803J2T7|A0A803J2T7_XENTR Reverse transcriptase domain-containing protein OS=Xenopus tropicalis OX=8364 PE=4 SV=1</t>
        </is>
      </c>
      <c r="M6573" t="n">
        <v>1126</v>
      </c>
      <c r="N6573" t="inlineStr">
        <is>
          <t>Xenopus tropicalis</t>
        </is>
      </c>
      <c r="O6573" t="inlineStr">
        <is>
          <t>Reverse transcriptase domain-containing protein</t>
        </is>
      </c>
    </row>
    <row r="6574">
      <c r="A6574" t="inlineStr"/>
      <c r="B6574" t="inlineStr"/>
      <c r="C6574" t="inlineStr"/>
      <c r="D6574" t="inlineStr"/>
      <c r="E6574">
        <f>HYPERLINK("https://www.uniprot.org/uniprotkb/A0A803JT65/entry", "A0A803JT65")</f>
        <v/>
      </c>
      <c r="F6574" t="n">
        <v>37.5</v>
      </c>
      <c r="G6574" t="n">
        <v>977</v>
      </c>
      <c r="H6574" t="n">
        <v>4.260000000000001e-223</v>
      </c>
      <c r="I6574" t="inlineStr">
        <is>
          <t>TrEMBL</t>
        </is>
      </c>
      <c r="J6574" t="inlineStr"/>
      <c r="K6574" t="inlineStr">
        <is>
          <t>A0A803JT65_XENTR</t>
        </is>
      </c>
      <c r="L6574" t="inlineStr">
        <is>
          <t>tr|A0A803JT65|A0A803JT65_XENTR Reverse transcriptase domain-containing protein OS=Xenopus tropicalis OX=8364 PE=4 SV=1</t>
        </is>
      </c>
      <c r="M6574" t="n">
        <v>1133</v>
      </c>
      <c r="N6574" t="inlineStr">
        <is>
          <t>Xenopus tropicalis</t>
        </is>
      </c>
      <c r="O6574" t="inlineStr">
        <is>
          <t>Reverse transcriptase domain-containing protein</t>
        </is>
      </c>
    </row>
    <row r="6575">
      <c r="A6575" t="inlineStr"/>
      <c r="B6575" t="inlineStr"/>
      <c r="C6575" t="inlineStr"/>
      <c r="D6575" t="inlineStr"/>
      <c r="E6575">
        <f>HYPERLINK("https://www.uniprot.org/uniprotkb/A0A8K9Y4X5/entry", "A0A8K9Y4X5")</f>
        <v/>
      </c>
      <c r="F6575" t="n">
        <v>38.4</v>
      </c>
      <c r="G6575" t="n">
        <v>936</v>
      </c>
      <c r="H6575" t="n">
        <v>2.87e-215</v>
      </c>
      <c r="I6575" t="inlineStr">
        <is>
          <t>TrEMBL</t>
        </is>
      </c>
      <c r="J6575" t="inlineStr"/>
      <c r="K6575" t="inlineStr">
        <is>
          <t>A0A8K9Y4X5_ONCMY</t>
        </is>
      </c>
      <c r="L6575" t="inlineStr">
        <is>
          <t>tr|A0A8K9Y4X5|A0A8K9Y4X5_ONCMY Reverse transcriptase domain-containing protein OS=Oncorhynchus mykiss OX=8022 PE=4 SV=1</t>
        </is>
      </c>
      <c r="M6575" t="n">
        <v>998</v>
      </c>
      <c r="N6575" t="inlineStr">
        <is>
          <t>Oncorhynchus mykiss</t>
        </is>
      </c>
      <c r="O6575" t="inlineStr">
        <is>
          <t>Reverse transcriptase domain-containing protein</t>
        </is>
      </c>
    </row>
    <row r="6576">
      <c r="A6576" t="inlineStr"/>
      <c r="B6576" t="inlineStr"/>
      <c r="C6576" t="inlineStr"/>
      <c r="D6576" t="inlineStr"/>
      <c r="E6576">
        <f>HYPERLINK("https://www.uniprot.org/uniprotkb/A0A8K9XEN8/entry", "A0A8K9XEN8")</f>
        <v/>
      </c>
      <c r="F6576" t="n">
        <v>38.4</v>
      </c>
      <c r="G6576" t="n">
        <v>936</v>
      </c>
      <c r="H6576" t="n">
        <v>4.5e-214</v>
      </c>
      <c r="I6576" t="inlineStr">
        <is>
          <t>TrEMBL</t>
        </is>
      </c>
      <c r="J6576" t="inlineStr"/>
      <c r="K6576" t="inlineStr">
        <is>
          <t>A0A8K9XEN8_ONCMY</t>
        </is>
      </c>
      <c r="L6576" t="inlineStr">
        <is>
          <t>tr|A0A8K9XEN8|A0A8K9XEN8_ONCMY Reverse transcriptase domain-containing protein OS=Oncorhynchus mykiss OX=8022 PE=4 SV=1</t>
        </is>
      </c>
      <c r="M6576" t="n">
        <v>998</v>
      </c>
      <c r="N6576" t="inlineStr">
        <is>
          <t>Oncorhynchus mykiss</t>
        </is>
      </c>
      <c r="O6576" t="inlineStr">
        <is>
          <t>Reverse transcriptase domain-containing protein</t>
        </is>
      </c>
    </row>
    <row r="6577">
      <c r="A6577" t="inlineStr"/>
      <c r="B6577" t="inlineStr"/>
      <c r="C6577" t="inlineStr"/>
      <c r="D6577" t="inlineStr"/>
      <c r="E6577">
        <f>HYPERLINK("https://www.uniprot.org/uniprotkb/A0A8L0DN29/entry", "A0A8L0DN29")</f>
        <v/>
      </c>
      <c r="F6577" t="n">
        <v>38.4</v>
      </c>
      <c r="G6577" t="n">
        <v>936</v>
      </c>
      <c r="H6577" t="n">
        <v>7.310000000000001e-213</v>
      </c>
      <c r="I6577" t="inlineStr">
        <is>
          <t>TrEMBL</t>
        </is>
      </c>
      <c r="J6577" t="inlineStr"/>
      <c r="K6577" t="inlineStr">
        <is>
          <t>A0A8L0DN29_ONCMY</t>
        </is>
      </c>
      <c r="L6577" t="inlineStr">
        <is>
          <t>tr|A0A8L0DN29|A0A8L0DN29_ONCMY Reverse transcriptase domain-containing protein OS=Oncorhynchus mykiss OX=8022 PE=4 SV=1</t>
        </is>
      </c>
      <c r="M6577" t="n">
        <v>1141</v>
      </c>
      <c r="N6577" t="inlineStr">
        <is>
          <t>Oncorhynchus mykiss</t>
        </is>
      </c>
      <c r="O6577" t="inlineStr">
        <is>
          <t>Reverse transcriptase domain-containing protein</t>
        </is>
      </c>
    </row>
    <row r="6578">
      <c r="A6578" t="inlineStr"/>
      <c r="B6578" t="inlineStr"/>
      <c r="C6578" t="inlineStr"/>
      <c r="D6578" t="inlineStr"/>
      <c r="E6578">
        <f>HYPERLINK("https://www.uniprot.org/uniprotkb/A0A8C7F7B2/entry", "A0A8C7F7B2")</f>
        <v/>
      </c>
      <c r="F6578" t="n">
        <v>38.7</v>
      </c>
      <c r="G6578" t="n">
        <v>936</v>
      </c>
      <c r="H6578" t="n">
        <v>7.310000000000001e-213</v>
      </c>
      <c r="I6578" t="inlineStr">
        <is>
          <t>TrEMBL</t>
        </is>
      </c>
      <c r="J6578" t="inlineStr"/>
      <c r="K6578" t="inlineStr">
        <is>
          <t>A0A8C7F7B2_ONCKI</t>
        </is>
      </c>
      <c r="L6578" t="inlineStr">
        <is>
          <t>tr|A0A8C7F7B2|A0A8C7F7B2_ONCKI Reverse transcriptase domain-containing protein OS=Oncorhynchus kisutch OX=8019 PE=4 SV=1</t>
        </is>
      </c>
      <c r="M6578" t="n">
        <v>1141</v>
      </c>
      <c r="N6578" t="inlineStr">
        <is>
          <t>Oncorhynchus kisutch</t>
        </is>
      </c>
      <c r="O6578" t="inlineStr">
        <is>
          <t>Reverse transcriptase domain-containing protein</t>
        </is>
      </c>
    </row>
    <row r="6579">
      <c r="A6579" t="inlineStr"/>
      <c r="B6579" t="inlineStr"/>
      <c r="C6579" t="inlineStr"/>
      <c r="D6579" t="inlineStr"/>
      <c r="E6579">
        <f>HYPERLINK("https://www.uniprot.org/uniprotkb/A0A8C7MPL6/entry", "A0A8C7MPL6")</f>
        <v/>
      </c>
      <c r="F6579" t="n">
        <v>38.7</v>
      </c>
      <c r="G6579" t="n">
        <v>936</v>
      </c>
      <c r="H6579" t="n">
        <v>1.45e-212</v>
      </c>
      <c r="I6579" t="inlineStr">
        <is>
          <t>TrEMBL</t>
        </is>
      </c>
      <c r="J6579" t="inlineStr"/>
      <c r="K6579" t="inlineStr">
        <is>
          <t>A0A8C7MPL6_ONCKI</t>
        </is>
      </c>
      <c r="L6579" t="inlineStr">
        <is>
          <t>tr|A0A8C7MPL6|A0A8C7MPL6_ONCKI Reverse transcriptase domain-containing protein OS=Oncorhynchus kisutch OX=8019 PE=4 SV=1</t>
        </is>
      </c>
      <c r="M6579" t="n">
        <v>1141</v>
      </c>
      <c r="N6579" t="inlineStr">
        <is>
          <t>Oncorhynchus kisutch</t>
        </is>
      </c>
      <c r="O6579" t="inlineStr">
        <is>
          <t>Reverse transcriptase domain-containing protein</t>
        </is>
      </c>
    </row>
    <row r="6580">
      <c r="A6580" t="inlineStr"/>
      <c r="B6580" t="inlineStr"/>
      <c r="C6580" t="inlineStr"/>
      <c r="D6580" t="inlineStr"/>
      <c r="E6580">
        <f>HYPERLINK("https://www.uniprot.org/uniprotkb/A0A8K9Y5U3/entry", "A0A8K9Y5U3")</f>
        <v/>
      </c>
      <c r="F6580" t="n">
        <v>38.4</v>
      </c>
      <c r="G6580" t="n">
        <v>936</v>
      </c>
      <c r="H6580" t="n">
        <v>4.06e-212</v>
      </c>
      <c r="I6580" t="inlineStr">
        <is>
          <t>TrEMBL</t>
        </is>
      </c>
      <c r="J6580" t="inlineStr"/>
      <c r="K6580" t="inlineStr">
        <is>
          <t>A0A8K9Y5U3_ONCMY</t>
        </is>
      </c>
      <c r="L6580" t="inlineStr">
        <is>
          <t>tr|A0A8K9Y5U3|A0A8K9Y5U3_ONCMY Reverse transcriptase domain-containing protein OS=Oncorhynchus mykiss OX=8022 PE=4 SV=1</t>
        </is>
      </c>
      <c r="M6580" t="n">
        <v>1141</v>
      </c>
      <c r="N6580" t="inlineStr">
        <is>
          <t>Oncorhynchus mykiss</t>
        </is>
      </c>
      <c r="O6580" t="inlineStr">
        <is>
          <t>Reverse transcriptase domain-containing protein</t>
        </is>
      </c>
    </row>
    <row r="6581">
      <c r="A6581" t="inlineStr"/>
      <c r="B6581" t="inlineStr"/>
      <c r="C6581" t="inlineStr"/>
      <c r="D6581" t="inlineStr"/>
      <c r="E6581">
        <f>HYPERLINK("https://www.uniprot.org/uniprotkb/A0A8C7IU91/entry", "A0A8C7IU91")</f>
        <v/>
      </c>
      <c r="F6581" t="n">
        <v>38.6</v>
      </c>
      <c r="G6581" t="n">
        <v>936</v>
      </c>
      <c r="H6581" t="n">
        <v>5.72e-212</v>
      </c>
      <c r="I6581" t="inlineStr">
        <is>
          <t>TrEMBL</t>
        </is>
      </c>
      <c r="J6581" t="inlineStr"/>
      <c r="K6581" t="inlineStr">
        <is>
          <t>A0A8C7IU91_ONCKI</t>
        </is>
      </c>
      <c r="L6581" t="inlineStr">
        <is>
          <t>tr|A0A8C7IU91|A0A8C7IU91_ONCKI Reverse transcriptase domain-containing protein OS=Oncorhynchus kisutch OX=8019 PE=4 SV=1</t>
        </is>
      </c>
      <c r="M6581" t="n">
        <v>1141</v>
      </c>
      <c r="N6581" t="inlineStr">
        <is>
          <t>Oncorhynchus kisutch</t>
        </is>
      </c>
      <c r="O6581" t="inlineStr">
        <is>
          <t>Reverse transcriptase domain-containing protein</t>
        </is>
      </c>
    </row>
    <row r="6582">
      <c r="A6582" t="inlineStr"/>
      <c r="B6582" t="inlineStr"/>
      <c r="C6582" t="inlineStr"/>
      <c r="D6582" t="inlineStr"/>
      <c r="E6582">
        <f>HYPERLINK("https://www.uniprot.org/uniprotkb/A0A8C2AJK1/entry", "A0A8C2AJK1")</f>
        <v/>
      </c>
      <c r="F6582" t="n">
        <v>36.7</v>
      </c>
      <c r="G6582" t="n">
        <v>968</v>
      </c>
      <c r="H6582" t="n">
        <v>3e-208</v>
      </c>
      <c r="I6582" t="inlineStr">
        <is>
          <t>TrEMBL</t>
        </is>
      </c>
      <c r="J6582" t="inlineStr"/>
      <c r="K6582" t="inlineStr">
        <is>
          <t>A0A8C2AJK1_CYPCA</t>
        </is>
      </c>
      <c r="L6582" t="inlineStr">
        <is>
          <t>tr|A0A8C2AJK1|A0A8C2AJK1_CYPCA Reverse transcriptase domain-containing protein OS=Cyprinus carpio OX=7962 PE=4 SV=1</t>
        </is>
      </c>
      <c r="M6582" t="n">
        <v>1141</v>
      </c>
      <c r="N6582" t="inlineStr">
        <is>
          <t>Cyprinus carpio</t>
        </is>
      </c>
      <c r="O6582" t="inlineStr">
        <is>
          <t>Reverse transcriptase domain-containing protein</t>
        </is>
      </c>
    </row>
    <row r="6583">
      <c r="A6583" t="inlineStr"/>
      <c r="B6583" t="inlineStr"/>
      <c r="C6583" t="inlineStr"/>
      <c r="D6583" t="inlineStr"/>
      <c r="E6583">
        <f>HYPERLINK("https://www.uniprot.org/uniprotkb/A0A4W5L9B3/entry", "A0A4W5L9B3")</f>
        <v/>
      </c>
      <c r="F6583" t="n">
        <v>38.5</v>
      </c>
      <c r="G6583" t="n">
        <v>876</v>
      </c>
      <c r="H6583" t="n">
        <v>4.34e-202</v>
      </c>
      <c r="I6583" t="inlineStr">
        <is>
          <t>TrEMBL</t>
        </is>
      </c>
      <c r="J6583" t="inlineStr"/>
      <c r="K6583" t="inlineStr">
        <is>
          <t>A0A4W5L9B3_9TELE</t>
        </is>
      </c>
      <c r="L6583" t="inlineStr">
        <is>
          <t>tr|A0A4W5L9B3|A0A4W5L9B3_9TELE Reverse transcriptase domain-containing protein OS=Hucho hucho OX=62062 PE=4 SV=1</t>
        </is>
      </c>
      <c r="M6583" t="n">
        <v>1037</v>
      </c>
      <c r="N6583" t="inlineStr">
        <is>
          <t>Hucho hucho</t>
        </is>
      </c>
      <c r="O6583" t="inlineStr">
        <is>
          <t>Reverse transcriptase domain-containing protein</t>
        </is>
      </c>
    </row>
    <row r="6584">
      <c r="A6584" t="inlineStr"/>
      <c r="B6584" t="inlineStr"/>
      <c r="C6584" t="inlineStr"/>
      <c r="D6584" t="inlineStr"/>
      <c r="E6584">
        <f>HYPERLINK("https://www.uniprot.org/uniprotkb/Q76B32/entry", "Q76B32")</f>
        <v/>
      </c>
      <c r="F6584" t="n">
        <v>36.6</v>
      </c>
      <c r="G6584" t="n">
        <v>938</v>
      </c>
      <c r="H6584" t="n">
        <v>6.810000000000001e-200</v>
      </c>
      <c r="I6584" t="inlineStr">
        <is>
          <t>TrEMBL</t>
        </is>
      </c>
      <c r="J6584" t="inlineStr">
        <is>
          <t>ORF2</t>
        </is>
      </c>
      <c r="K6584" t="inlineStr">
        <is>
          <t>Q76B32_TETNG</t>
        </is>
      </c>
      <c r="L6584" t="inlineStr">
        <is>
          <t>tr|Q76B32|Q76B32_TETNG Reverse transcriptase OS=Tetraodon nigroviridis OX=99883 GN=ORF2 PE=4 SV=1</t>
        </is>
      </c>
      <c r="M6584" t="n">
        <v>1119</v>
      </c>
      <c r="N6584" t="inlineStr">
        <is>
          <t>Tetraodon nigroviridis</t>
        </is>
      </c>
      <c r="O6584" t="inlineStr">
        <is>
          <t>Reverse transcriptase</t>
        </is>
      </c>
    </row>
    <row r="6585">
      <c r="A6585" t="inlineStr"/>
      <c r="B6585" t="inlineStr"/>
      <c r="C6585" t="inlineStr"/>
      <c r="D6585" t="inlineStr"/>
      <c r="E6585">
        <f>HYPERLINK("https://www.ncbi.nlm.nih.gov/gene/?term=BAD04858.1", "BAD04858.1")</f>
        <v/>
      </c>
      <c r="F6585" t="n">
        <v>36.6</v>
      </c>
      <c r="G6585" t="n">
        <v>938</v>
      </c>
      <c r="H6585" t="n">
        <v>1.75e-199</v>
      </c>
      <c r="I6585" t="inlineStr">
        <is>
          <t>Nr</t>
        </is>
      </c>
      <c r="J6585" t="inlineStr"/>
      <c r="K6585" t="inlineStr"/>
      <c r="L6585" t="inlineStr">
        <is>
          <t>BAD04858.1 reverse transcriptase [Tetraodon nigroviridis]</t>
        </is>
      </c>
      <c r="M6585" t="n">
        <v>1119</v>
      </c>
      <c r="N6585" t="inlineStr">
        <is>
          <t>Tetraodon nigroviridis</t>
        </is>
      </c>
      <c r="O6585" t="inlineStr">
        <is>
          <t>reverse transcriptase</t>
        </is>
      </c>
    </row>
    <row r="6586">
      <c r="A6586" t="inlineStr"/>
      <c r="B6586" t="inlineStr"/>
      <c r="C6586" t="inlineStr"/>
      <c r="D6586" t="inlineStr"/>
      <c r="E6586">
        <f>HYPERLINK("https://www.ncbi.nlm.nih.gov/gene/?term=KAJ0055440.1", "KAJ0055440.1")</f>
        <v/>
      </c>
      <c r="F6586" t="n">
        <v>36.8</v>
      </c>
      <c r="G6586" t="n">
        <v>939</v>
      </c>
      <c r="H6586" t="n">
        <v>7.959999999999999e-196</v>
      </c>
      <c r="I6586" t="inlineStr">
        <is>
          <t>Nr</t>
        </is>
      </c>
      <c r="J6586" t="inlineStr"/>
      <c r="K6586" t="inlineStr"/>
      <c r="L6586" t="inlineStr">
        <is>
          <t>KAJ0055440.1 hypothetical protein NL108_018665 [Boleophthalmus pectinirostris]</t>
        </is>
      </c>
      <c r="M6586" t="n">
        <v>1127</v>
      </c>
      <c r="N6586" t="inlineStr">
        <is>
          <t>Boleophthalmus pectinirostris</t>
        </is>
      </c>
      <c r="O6586" t="inlineStr">
        <is>
          <t>hypothetical protein NL108_018665</t>
        </is>
      </c>
    </row>
    <row r="6587">
      <c r="A6587" t="inlineStr"/>
      <c r="B6587" t="inlineStr"/>
      <c r="C6587" t="inlineStr"/>
      <c r="D6587" t="inlineStr"/>
      <c r="E6587">
        <f>HYPERLINK("https://www.uniprot.org/uniprotkb/Q76B34/entry", "Q76B34")</f>
        <v/>
      </c>
      <c r="F6587" t="n">
        <v>36.3</v>
      </c>
      <c r="G6587" t="n">
        <v>942</v>
      </c>
      <c r="H6587" t="n">
        <v>2.52e-191</v>
      </c>
      <c r="I6587" t="inlineStr">
        <is>
          <t>TrEMBL</t>
        </is>
      </c>
      <c r="J6587" t="inlineStr">
        <is>
          <t>ORF2</t>
        </is>
      </c>
      <c r="K6587" t="inlineStr">
        <is>
          <t>Q76B34_TAKRU</t>
        </is>
      </c>
      <c r="L6587" t="inlineStr">
        <is>
          <t>tr|Q76B34|Q76B34_TAKRU Reverse transcriptase OS=Takifugu rubripes OX=31033 GN=ORF2 PE=4 SV=1</t>
        </is>
      </c>
      <c r="M6587" t="n">
        <v>1154</v>
      </c>
      <c r="N6587" t="inlineStr">
        <is>
          <t>Takifugu rubripes</t>
        </is>
      </c>
      <c r="O6587" t="inlineStr">
        <is>
          <t>Reverse transcriptase</t>
        </is>
      </c>
    </row>
    <row r="6588">
      <c r="A6588" t="inlineStr"/>
      <c r="B6588" t="inlineStr"/>
      <c r="C6588" t="inlineStr"/>
      <c r="D6588" t="inlineStr"/>
      <c r="E6588">
        <f>HYPERLINK("https://www.ncbi.nlm.nih.gov/gene/?term=BAD04856.1", "BAD04856.1")</f>
        <v/>
      </c>
      <c r="F6588" t="n">
        <v>36.3</v>
      </c>
      <c r="G6588" t="n">
        <v>942</v>
      </c>
      <c r="H6588" t="n">
        <v>6.469999999999999e-191</v>
      </c>
      <c r="I6588" t="inlineStr">
        <is>
          <t>Nr</t>
        </is>
      </c>
      <c r="J6588" t="inlineStr"/>
      <c r="K6588" t="inlineStr"/>
      <c r="L6588" t="inlineStr">
        <is>
          <t>BAD04856.1 reverse transcriptase [Takifugu rubripes]</t>
        </is>
      </c>
      <c r="M6588" t="n">
        <v>1154</v>
      </c>
      <c r="N6588" t="inlineStr">
        <is>
          <t>Takifugu rubripes</t>
        </is>
      </c>
      <c r="O6588" t="inlineStr">
        <is>
          <t>reverse transcriptase</t>
        </is>
      </c>
    </row>
    <row r="6589">
      <c r="A6589" t="inlineStr"/>
      <c r="B6589" t="inlineStr"/>
      <c r="C6589" t="inlineStr"/>
      <c r="D6589" t="inlineStr"/>
      <c r="E6589">
        <f>HYPERLINK("https://www.uniprot.org/uniprotkb/Q76IK9/entry", "Q76IK9")</f>
        <v/>
      </c>
      <c r="F6589" t="n">
        <v>34.7</v>
      </c>
      <c r="G6589" t="n">
        <v>975</v>
      </c>
      <c r="H6589" t="n">
        <v>7.06e-189</v>
      </c>
      <c r="I6589" t="inlineStr">
        <is>
          <t>TrEMBL</t>
        </is>
      </c>
      <c r="J6589" t="inlineStr">
        <is>
          <t>ORF2</t>
        </is>
      </c>
      <c r="K6589" t="inlineStr">
        <is>
          <t>Q76IK9_DANRE</t>
        </is>
      </c>
      <c r="L6589" t="inlineStr">
        <is>
          <t>tr|Q76IK9|Q76IK9_DANRE Pol-like protein OS=Danio rerio OX=7955 GN=ORF2 PE=4 SV=1</t>
        </is>
      </c>
      <c r="M6589" t="n">
        <v>1148</v>
      </c>
      <c r="N6589" t="inlineStr">
        <is>
          <t>Danio rerio</t>
        </is>
      </c>
      <c r="O6589" t="inlineStr">
        <is>
          <t>Pol-like protein</t>
        </is>
      </c>
    </row>
    <row r="6590">
      <c r="A6590" t="inlineStr"/>
      <c r="B6590" t="inlineStr"/>
      <c r="C6590" t="inlineStr"/>
      <c r="D6590" t="inlineStr"/>
      <c r="E6590">
        <f>HYPERLINK("https://www.ncbi.nlm.nih.gov/gene/?term=BAC82621.1", "BAC82621.1")</f>
        <v/>
      </c>
      <c r="F6590" t="n">
        <v>34.7</v>
      </c>
      <c r="G6590" t="n">
        <v>975</v>
      </c>
      <c r="H6590" t="n">
        <v>1.81e-188</v>
      </c>
      <c r="I6590" t="inlineStr">
        <is>
          <t>Nr</t>
        </is>
      </c>
      <c r="J6590" t="inlineStr"/>
      <c r="K6590" t="inlineStr"/>
      <c r="L6590" t="inlineStr">
        <is>
          <t>BAC82621.1 pol-like protein [Danio rerio]</t>
        </is>
      </c>
      <c r="M6590" t="n">
        <v>1148</v>
      </c>
      <c r="N6590" t="inlineStr">
        <is>
          <t>Danio rerio</t>
        </is>
      </c>
      <c r="O6590" t="inlineStr">
        <is>
          <t>pol-like protein</t>
        </is>
      </c>
    </row>
    <row r="6591">
      <c r="A6591" t="inlineStr"/>
      <c r="B6591" t="inlineStr"/>
      <c r="C6591" t="inlineStr"/>
      <c r="D6591" t="inlineStr"/>
      <c r="E6591">
        <f>HYPERLINK("https://www.ncbi.nlm.nih.gov/gene/?term=KAJ1209907.1", "KAJ1209907.1")</f>
        <v/>
      </c>
      <c r="F6591" t="n">
        <v>35.6</v>
      </c>
      <c r="G6591" t="n">
        <v>973</v>
      </c>
      <c r="H6591" t="n">
        <v>2.41e-188</v>
      </c>
      <c r="I6591" t="inlineStr">
        <is>
          <t>Nr</t>
        </is>
      </c>
      <c r="J6591" t="inlineStr"/>
      <c r="K6591" t="inlineStr"/>
      <c r="L6591" t="inlineStr">
        <is>
          <t>KAJ1209907.1 hypothetical protein NDU88_005278 [Pleurodeles waltl]</t>
        </is>
      </c>
      <c r="M6591" t="n">
        <v>1095</v>
      </c>
      <c r="N6591" t="inlineStr">
        <is>
          <t>Pleurodeles waltl</t>
        </is>
      </c>
      <c r="O6591" t="inlineStr">
        <is>
          <t>hypothetical protein NDU88_005278</t>
        </is>
      </c>
    </row>
    <row r="6592">
      <c r="A6592" t="inlineStr"/>
      <c r="B6592" t="inlineStr"/>
      <c r="C6592" t="inlineStr"/>
      <c r="D6592" t="inlineStr"/>
      <c r="E6592">
        <f>HYPERLINK("https://www.ncbi.nlm.nih.gov/gene/?term=KAJ1148830.1", "KAJ1148830.1")</f>
        <v/>
      </c>
      <c r="F6592" t="n">
        <v>35.6</v>
      </c>
      <c r="G6592" t="n">
        <v>973</v>
      </c>
      <c r="H6592" t="n">
        <v>2.53e-188</v>
      </c>
      <c r="I6592" t="inlineStr">
        <is>
          <t>Nr</t>
        </is>
      </c>
      <c r="J6592" t="inlineStr"/>
      <c r="K6592" t="inlineStr"/>
      <c r="L6592" t="inlineStr">
        <is>
          <t>KAJ1148830.1 hypothetical protein NDU88_001656 [Pleurodeles waltl]</t>
        </is>
      </c>
      <c r="M6592" t="n">
        <v>1047</v>
      </c>
      <c r="N6592" t="inlineStr">
        <is>
          <t>Pleurodeles waltl</t>
        </is>
      </c>
      <c r="O6592" t="inlineStr">
        <is>
          <t>hypothetical protein NDU88_001656</t>
        </is>
      </c>
    </row>
    <row r="6593">
      <c r="A6593" t="inlineStr"/>
      <c r="B6593" t="inlineStr"/>
      <c r="C6593" t="inlineStr"/>
      <c r="D6593" t="inlineStr"/>
      <c r="E6593">
        <f>HYPERLINK("https://www.ncbi.nlm.nih.gov/gene/?term=KAJ1209932.1", "KAJ1209932.1")</f>
        <v/>
      </c>
      <c r="F6593" t="n">
        <v>35.5</v>
      </c>
      <c r="G6593" t="n">
        <v>973</v>
      </c>
      <c r="H6593" t="n">
        <v>1.33e-187</v>
      </c>
      <c r="I6593" t="inlineStr">
        <is>
          <t>Nr</t>
        </is>
      </c>
      <c r="J6593" t="inlineStr"/>
      <c r="K6593" t="inlineStr"/>
      <c r="L6593" t="inlineStr">
        <is>
          <t>KAJ1209932.1 hypothetical protein NDU88_005302 [Pleurodeles waltl]</t>
        </is>
      </c>
      <c r="M6593" t="n">
        <v>1095</v>
      </c>
      <c r="N6593" t="inlineStr">
        <is>
          <t>Pleurodeles waltl</t>
        </is>
      </c>
      <c r="O6593" t="inlineStr">
        <is>
          <t>hypothetical protein NDU88_005302</t>
        </is>
      </c>
    </row>
    <row r="6594">
      <c r="A6594" t="inlineStr"/>
      <c r="B6594" t="inlineStr"/>
      <c r="C6594" t="inlineStr"/>
      <c r="D6594" t="inlineStr"/>
      <c r="E6594">
        <f>HYPERLINK("https://www.ncbi.nlm.nih.gov/gene/?term=KAJ1209922.1", "KAJ1209922.1")</f>
        <v/>
      </c>
      <c r="F6594" t="n">
        <v>35.4</v>
      </c>
      <c r="G6594" t="n">
        <v>973</v>
      </c>
      <c r="H6594" t="n">
        <v>1.87e-187</v>
      </c>
      <c r="I6594" t="inlineStr">
        <is>
          <t>Nr</t>
        </is>
      </c>
      <c r="J6594" t="inlineStr"/>
      <c r="K6594" t="inlineStr"/>
      <c r="L6594" t="inlineStr">
        <is>
          <t>KAJ1209922.1 hypothetical protein NDU88_005292 [Pleurodeles waltl]</t>
        </is>
      </c>
      <c r="M6594" t="n">
        <v>1095</v>
      </c>
      <c r="N6594" t="inlineStr">
        <is>
          <t>Pleurodeles waltl</t>
        </is>
      </c>
      <c r="O6594" t="inlineStr">
        <is>
          <t>hypothetical protein NDU88_005292</t>
        </is>
      </c>
    </row>
    <row r="6595">
      <c r="A6595" t="inlineStr"/>
      <c r="B6595" t="inlineStr"/>
      <c r="C6595" t="inlineStr"/>
      <c r="D6595" t="inlineStr"/>
      <c r="E6595">
        <f>HYPERLINK("https://www.ncbi.nlm.nih.gov/gene/?term=KAJ1209928.1", "KAJ1209928.1")</f>
        <v/>
      </c>
      <c r="F6595" t="n">
        <v>35.5</v>
      </c>
      <c r="G6595" t="n">
        <v>973</v>
      </c>
      <c r="H6595" t="n">
        <v>2.63e-187</v>
      </c>
      <c r="I6595" t="inlineStr">
        <is>
          <t>Nr</t>
        </is>
      </c>
      <c r="J6595" t="inlineStr"/>
      <c r="K6595" t="inlineStr"/>
      <c r="L6595" t="inlineStr">
        <is>
          <t>KAJ1209928.1 hypothetical protein NDU88_005298 [Pleurodeles waltl]</t>
        </is>
      </c>
      <c r="M6595" t="n">
        <v>1095</v>
      </c>
      <c r="N6595" t="inlineStr">
        <is>
          <t>Pleurodeles waltl</t>
        </is>
      </c>
      <c r="O6595" t="inlineStr">
        <is>
          <t>hypothetical protein NDU88_005298</t>
        </is>
      </c>
    </row>
    <row r="6596">
      <c r="A6596" t="inlineStr"/>
      <c r="B6596" t="inlineStr"/>
      <c r="C6596" t="inlineStr"/>
      <c r="D6596" t="inlineStr"/>
      <c r="E6596">
        <f>HYPERLINK("https://www.ncbi.nlm.nih.gov/gene/?term=KAJ1209920.1", "KAJ1209920.1")</f>
        <v/>
      </c>
      <c r="F6596" t="n">
        <v>35.4</v>
      </c>
      <c r="G6596" t="n">
        <v>973</v>
      </c>
      <c r="H6596" t="n">
        <v>2.63e-187</v>
      </c>
      <c r="I6596" t="inlineStr">
        <is>
          <t>Nr</t>
        </is>
      </c>
      <c r="J6596" t="inlineStr"/>
      <c r="K6596" t="inlineStr"/>
      <c r="L6596" t="inlineStr">
        <is>
          <t>KAJ1209920.1 hypothetical protein NDU88_005290 [Pleurodeles waltl]</t>
        </is>
      </c>
      <c r="M6596" t="n">
        <v>1095</v>
      </c>
      <c r="N6596" t="inlineStr">
        <is>
          <t>Pleurodeles waltl</t>
        </is>
      </c>
      <c r="O6596" t="inlineStr">
        <is>
          <t>hypothetical protein NDU88_005290</t>
        </is>
      </c>
    </row>
    <row r="6597">
      <c r="A6597" t="inlineStr"/>
      <c r="B6597" t="inlineStr"/>
      <c r="C6597" t="inlineStr"/>
      <c r="D6597" t="inlineStr"/>
      <c r="E6597">
        <f>HYPERLINK("https://www.ncbi.nlm.nih.gov/gene/?term=KAJ1209910.1", "KAJ1209910.1")</f>
        <v/>
      </c>
      <c r="F6597" t="n">
        <v>35.4</v>
      </c>
      <c r="G6597" t="n">
        <v>973</v>
      </c>
      <c r="H6597" t="n">
        <v>2.63e-187</v>
      </c>
      <c r="I6597" t="inlineStr">
        <is>
          <t>Nr</t>
        </is>
      </c>
      <c r="J6597" t="inlineStr"/>
      <c r="K6597" t="inlineStr"/>
      <c r="L6597" t="inlineStr">
        <is>
          <t>KAJ1209910.1 hypothetical protein NDU88_005280 [Pleurodeles waltl]</t>
        </is>
      </c>
      <c r="M6597" t="n">
        <v>1095</v>
      </c>
      <c r="N6597" t="inlineStr">
        <is>
          <t>Pleurodeles waltl</t>
        </is>
      </c>
      <c r="O6597" t="inlineStr">
        <is>
          <t>hypothetical protein NDU88_005280</t>
        </is>
      </c>
    </row>
    <row r="6598">
      <c r="A6598" t="inlineStr"/>
      <c r="B6598" t="inlineStr"/>
      <c r="C6598" t="inlineStr"/>
      <c r="D6598" t="inlineStr"/>
      <c r="E6598">
        <f>HYPERLINK("https://www.ncbi.nlm.nih.gov/gene/?term=KAJ1209912.1", "KAJ1209912.1")</f>
        <v/>
      </c>
      <c r="F6598" t="n">
        <v>35.4</v>
      </c>
      <c r="G6598" t="n">
        <v>973</v>
      </c>
      <c r="H6598" t="n">
        <v>3.69e-187</v>
      </c>
      <c r="I6598" t="inlineStr">
        <is>
          <t>Nr</t>
        </is>
      </c>
      <c r="J6598" t="inlineStr"/>
      <c r="K6598" t="inlineStr"/>
      <c r="L6598" t="inlineStr">
        <is>
          <t>KAJ1209912.1 hypothetical protein NDU88_005282 [Pleurodeles waltl]</t>
        </is>
      </c>
      <c r="M6598" t="n">
        <v>1095</v>
      </c>
      <c r="N6598" t="inlineStr">
        <is>
          <t>Pleurodeles waltl</t>
        </is>
      </c>
      <c r="O6598" t="inlineStr">
        <is>
          <t>hypothetical protein NDU88_005282</t>
        </is>
      </c>
    </row>
    <row r="6599">
      <c r="A6599" t="inlineStr"/>
      <c r="B6599" t="inlineStr"/>
      <c r="C6599" t="inlineStr"/>
      <c r="D6599" t="inlineStr"/>
      <c r="E6599">
        <f>HYPERLINK("https://www.ncbi.nlm.nih.gov/gene/?term=KAJ1097809.1", "KAJ1097809.1")</f>
        <v/>
      </c>
      <c r="F6599" t="n">
        <v>35.3</v>
      </c>
      <c r="G6599" t="n">
        <v>973</v>
      </c>
      <c r="H6599" t="n">
        <v>1.03e-186</v>
      </c>
      <c r="I6599" t="inlineStr">
        <is>
          <t>Nr</t>
        </is>
      </c>
      <c r="J6599" t="inlineStr"/>
      <c r="K6599" t="inlineStr"/>
      <c r="L6599" t="inlineStr">
        <is>
          <t>KAJ1097809.1 hypothetical protein NDU88_002926 [Pleurodeles waltl]</t>
        </is>
      </c>
      <c r="M6599" t="n">
        <v>1095</v>
      </c>
      <c r="N6599" t="inlineStr">
        <is>
          <t>Pleurodeles waltl</t>
        </is>
      </c>
      <c r="O6599" t="inlineStr">
        <is>
          <t>hypothetical protein NDU88_002926</t>
        </is>
      </c>
    </row>
    <row r="6600">
      <c r="A6600" t="inlineStr"/>
      <c r="B6600" t="inlineStr"/>
      <c r="C6600" t="inlineStr"/>
      <c r="D6600" t="inlineStr"/>
      <c r="E6600">
        <f>HYPERLINK("https://www.ncbi.nlm.nih.gov/gene/?term=KAJ1114491.1", "KAJ1114491.1")</f>
        <v/>
      </c>
      <c r="F6600" t="n">
        <v>35.4</v>
      </c>
      <c r="G6600" t="n">
        <v>973</v>
      </c>
      <c r="H6600" t="n">
        <v>1.03e-186</v>
      </c>
      <c r="I6600" t="inlineStr">
        <is>
          <t>Nr</t>
        </is>
      </c>
      <c r="J6600" t="inlineStr"/>
      <c r="K6600" t="inlineStr"/>
      <c r="L6600" t="inlineStr">
        <is>
          <t>KAJ1114491.1 hypothetical protein NDU88_002727 [Pleurodeles waltl]</t>
        </is>
      </c>
      <c r="M6600" t="n">
        <v>1095</v>
      </c>
      <c r="N6600" t="inlineStr">
        <is>
          <t>Pleurodeles waltl</t>
        </is>
      </c>
      <c r="O6600" t="inlineStr">
        <is>
          <t>hypothetical protein NDU88_002727</t>
        </is>
      </c>
    </row>
    <row r="6601">
      <c r="A6601" t="inlineStr"/>
      <c r="B6601" t="inlineStr"/>
      <c r="C6601" t="inlineStr"/>
      <c r="D6601" t="inlineStr"/>
      <c r="E6601">
        <f>HYPERLINK("https://www.ncbi.nlm.nih.gov/gene/?term=KAJ1209924.1", "KAJ1209924.1")</f>
        <v/>
      </c>
      <c r="F6601" t="n">
        <v>35.4</v>
      </c>
      <c r="G6601" t="n">
        <v>973</v>
      </c>
      <c r="H6601" t="n">
        <v>1.03e-186</v>
      </c>
      <c r="I6601" t="inlineStr">
        <is>
          <t>Nr</t>
        </is>
      </c>
      <c r="J6601" t="inlineStr"/>
      <c r="K6601" t="inlineStr"/>
      <c r="L6601" t="inlineStr">
        <is>
          <t>KAJ1209924.1 hypothetical protein NDU88_005294 [Pleurodeles waltl]</t>
        </is>
      </c>
      <c r="M6601" t="n">
        <v>1095</v>
      </c>
      <c r="N6601" t="inlineStr">
        <is>
          <t>Pleurodeles waltl</t>
        </is>
      </c>
      <c r="O6601" t="inlineStr">
        <is>
          <t>hypothetical protein NDU88_005294</t>
        </is>
      </c>
    </row>
    <row r="6602">
      <c r="A6602" t="inlineStr"/>
      <c r="B6602" t="inlineStr"/>
      <c r="C6602" t="inlineStr"/>
      <c r="D6602" t="inlineStr"/>
      <c r="E6602">
        <f>HYPERLINK("https://www.ncbi.nlm.nih.gov/gene/?term=KAJ1185528.1", "KAJ1185528.1")</f>
        <v/>
      </c>
      <c r="F6602" t="n">
        <v>35.3</v>
      </c>
      <c r="G6602" t="n">
        <v>973</v>
      </c>
      <c r="H6602" t="n">
        <v>1.03e-186</v>
      </c>
      <c r="I6602" t="inlineStr">
        <is>
          <t>Nr</t>
        </is>
      </c>
      <c r="J6602" t="inlineStr"/>
      <c r="K6602" t="inlineStr"/>
      <c r="L6602" t="inlineStr">
        <is>
          <t>KAJ1185528.1 hypothetical protein NDU88_002320 [Pleurodeles waltl]</t>
        </is>
      </c>
      <c r="M6602" t="n">
        <v>1095</v>
      </c>
      <c r="N6602" t="inlineStr">
        <is>
          <t>Pleurodeles waltl</t>
        </is>
      </c>
      <c r="O6602" t="inlineStr">
        <is>
          <t>hypothetical protein NDU88_002320</t>
        </is>
      </c>
    </row>
    <row r="6603">
      <c r="A6603" t="inlineStr"/>
      <c r="B6603" t="inlineStr"/>
      <c r="C6603" t="inlineStr"/>
      <c r="D6603" t="inlineStr"/>
      <c r="E6603">
        <f>HYPERLINK("https://www.ncbi.nlm.nih.gov/gene/?term=KAJ1132626.1", "KAJ1132626.1")</f>
        <v/>
      </c>
      <c r="F6603" t="n">
        <v>35.3</v>
      </c>
      <c r="G6603" t="n">
        <v>973</v>
      </c>
      <c r="H6603" t="n">
        <v>1.45e-186</v>
      </c>
      <c r="I6603" t="inlineStr">
        <is>
          <t>Nr</t>
        </is>
      </c>
      <c r="J6603" t="inlineStr"/>
      <c r="K6603" t="inlineStr"/>
      <c r="L6603" t="inlineStr">
        <is>
          <t>KAJ1132626.1 hypothetical protein NDU88_010933 [Pleurodeles waltl]</t>
        </is>
      </c>
      <c r="M6603" t="n">
        <v>1095</v>
      </c>
      <c r="N6603" t="inlineStr">
        <is>
          <t>Pleurodeles waltl</t>
        </is>
      </c>
      <c r="O6603" t="inlineStr">
        <is>
          <t>hypothetical protein NDU88_010933</t>
        </is>
      </c>
    </row>
    <row r="6604">
      <c r="A6604" t="inlineStr"/>
      <c r="B6604" t="inlineStr"/>
      <c r="C6604" t="inlineStr"/>
      <c r="D6604" t="inlineStr"/>
      <c r="E6604">
        <f>HYPERLINK("https://www.ncbi.nlm.nih.gov/gene/?term=KAJ1167535.1", "KAJ1167535.1")</f>
        <v/>
      </c>
      <c r="F6604" t="n">
        <v>35.4</v>
      </c>
      <c r="G6604" t="n">
        <v>973</v>
      </c>
      <c r="H6604" t="n">
        <v>2.03e-186</v>
      </c>
      <c r="I6604" t="inlineStr">
        <is>
          <t>Nr</t>
        </is>
      </c>
      <c r="J6604" t="inlineStr"/>
      <c r="K6604" t="inlineStr"/>
      <c r="L6604" t="inlineStr">
        <is>
          <t>KAJ1167535.1 hypothetical protein NDU88_007926 [Pleurodeles waltl]</t>
        </is>
      </c>
      <c r="M6604" t="n">
        <v>1095</v>
      </c>
      <c r="N6604" t="inlineStr">
        <is>
          <t>Pleurodeles waltl</t>
        </is>
      </c>
      <c r="O6604" t="inlineStr">
        <is>
          <t>hypothetical protein NDU88_007926</t>
        </is>
      </c>
    </row>
    <row r="6605">
      <c r="A6605" t="inlineStr"/>
      <c r="B6605" t="inlineStr"/>
      <c r="C6605" t="inlineStr"/>
      <c r="D6605" t="inlineStr"/>
      <c r="E6605">
        <f>HYPERLINK("https://www.ncbi.nlm.nih.gov/gene/?term=KAJ1167559.1", "KAJ1167559.1")</f>
        <v/>
      </c>
      <c r="F6605" t="n">
        <v>35.3</v>
      </c>
      <c r="G6605" t="n">
        <v>966</v>
      </c>
      <c r="H6605" t="n">
        <v>2.03e-186</v>
      </c>
      <c r="I6605" t="inlineStr">
        <is>
          <t>Nr</t>
        </is>
      </c>
      <c r="J6605" t="inlineStr"/>
      <c r="K6605" t="inlineStr"/>
      <c r="L6605" t="inlineStr">
        <is>
          <t>KAJ1167559.1 hypothetical protein NDU88_007948 [Pleurodeles waltl]</t>
        </is>
      </c>
      <c r="M6605" t="n">
        <v>1095</v>
      </c>
      <c r="N6605" t="inlineStr">
        <is>
          <t>Pleurodeles waltl</t>
        </is>
      </c>
      <c r="O6605" t="inlineStr">
        <is>
          <t>hypothetical protein NDU88_007948</t>
        </is>
      </c>
    </row>
    <row r="6606">
      <c r="A6606" t="inlineStr"/>
      <c r="B6606" t="inlineStr"/>
      <c r="C6606" t="inlineStr"/>
      <c r="D6606" t="inlineStr"/>
      <c r="E6606">
        <f>HYPERLINK("https://www.ncbi.nlm.nih.gov/gene/?term=KAJ1169355.1", "KAJ1169355.1")</f>
        <v/>
      </c>
      <c r="F6606" t="n">
        <v>35.3</v>
      </c>
      <c r="G6606" t="n">
        <v>973</v>
      </c>
      <c r="H6606" t="n">
        <v>5.2e-186</v>
      </c>
      <c r="I6606" t="inlineStr">
        <is>
          <t>Nr</t>
        </is>
      </c>
      <c r="J6606" t="inlineStr"/>
      <c r="K6606" t="inlineStr"/>
      <c r="L6606" t="inlineStr">
        <is>
          <t>KAJ1169355.1 hypothetical protein NDU88_001248 [Pleurodeles waltl]</t>
        </is>
      </c>
      <c r="M6606" t="n">
        <v>1143</v>
      </c>
      <c r="N6606" t="inlineStr">
        <is>
          <t>Pleurodeles waltl</t>
        </is>
      </c>
      <c r="O6606" t="inlineStr">
        <is>
          <t>hypothetical protein NDU88_001248</t>
        </is>
      </c>
    </row>
    <row r="6607">
      <c r="A6607" t="inlineStr"/>
      <c r="B6607" t="inlineStr"/>
      <c r="C6607" t="inlineStr"/>
      <c r="D6607" t="inlineStr"/>
      <c r="E6607">
        <f>HYPERLINK("https://www.ncbi.nlm.nih.gov/gene/?term=KAJ1202059.1", "KAJ1202059.1")</f>
        <v/>
      </c>
      <c r="F6607" t="n">
        <v>35.8</v>
      </c>
      <c r="G6607" t="n">
        <v>943</v>
      </c>
      <c r="H6607" t="n">
        <v>7.439999999999999e-186</v>
      </c>
      <c r="I6607" t="inlineStr">
        <is>
          <t>Nr</t>
        </is>
      </c>
      <c r="J6607" t="inlineStr"/>
      <c r="K6607" t="inlineStr"/>
      <c r="L6607" t="inlineStr">
        <is>
          <t>KAJ1202059.1 hypothetical protein NDU88_005862 [Pleurodeles waltl]</t>
        </is>
      </c>
      <c r="M6607" t="n">
        <v>958</v>
      </c>
      <c r="N6607" t="inlineStr">
        <is>
          <t>Pleurodeles waltl</t>
        </is>
      </c>
      <c r="O6607" t="inlineStr">
        <is>
          <t>hypothetical protein NDU88_005862</t>
        </is>
      </c>
    </row>
    <row r="6608">
      <c r="A6608" t="inlineStr"/>
      <c r="B6608" t="inlineStr"/>
      <c r="C6608" t="inlineStr"/>
      <c r="D6608" t="inlineStr"/>
      <c r="E6608">
        <f>HYPERLINK("https://www.ncbi.nlm.nih.gov/gene/?term=KAJ1167548.1", "KAJ1167548.1")</f>
        <v/>
      </c>
      <c r="F6608" t="n">
        <v>35.3</v>
      </c>
      <c r="G6608" t="n">
        <v>973</v>
      </c>
      <c r="H6608" t="n">
        <v>1.41e-185</v>
      </c>
      <c r="I6608" t="inlineStr">
        <is>
          <t>Nr</t>
        </is>
      </c>
      <c r="J6608" t="inlineStr"/>
      <c r="K6608" t="inlineStr"/>
      <c r="L6608" t="inlineStr">
        <is>
          <t>KAJ1167548.1 hypothetical protein NDU88_007938 [Pleurodeles waltl]</t>
        </is>
      </c>
      <c r="M6608" t="n">
        <v>1041</v>
      </c>
      <c r="N6608" t="inlineStr">
        <is>
          <t>Pleurodeles waltl</t>
        </is>
      </c>
      <c r="O6608" t="inlineStr">
        <is>
          <t>hypothetical protein NDU88_007938</t>
        </is>
      </c>
    </row>
    <row r="6609">
      <c r="A6609" t="inlineStr"/>
      <c r="B6609" t="inlineStr"/>
      <c r="C6609" t="inlineStr"/>
      <c r="D6609" t="inlineStr"/>
      <c r="E6609">
        <f>HYPERLINK("https://www.ncbi.nlm.nih.gov/gene/?term=KAJ1169374.1", "KAJ1169374.1")</f>
        <v/>
      </c>
      <c r="F6609" t="n">
        <v>35.3</v>
      </c>
      <c r="G6609" t="n">
        <v>973</v>
      </c>
      <c r="H6609" t="n">
        <v>2.21e-185</v>
      </c>
      <c r="I6609" t="inlineStr">
        <is>
          <t>Nr</t>
        </is>
      </c>
      <c r="J6609" t="inlineStr"/>
      <c r="K6609" t="inlineStr"/>
      <c r="L6609" t="inlineStr">
        <is>
          <t>KAJ1169374.1 hypothetical protein NDU88_001267 [Pleurodeles waltl]</t>
        </is>
      </c>
      <c r="M6609" t="n">
        <v>1095</v>
      </c>
      <c r="N6609" t="inlineStr">
        <is>
          <t>Pleurodeles waltl</t>
        </is>
      </c>
      <c r="O6609" t="inlineStr">
        <is>
          <t>hypothetical protein NDU88_001267</t>
        </is>
      </c>
    </row>
    <row r="6610">
      <c r="A6610" t="inlineStr"/>
      <c r="B6610" t="inlineStr"/>
      <c r="C6610" t="inlineStr"/>
      <c r="D6610" t="inlineStr"/>
      <c r="E6610">
        <f>HYPERLINK("https://www.ncbi.nlm.nih.gov/gene/?term=KAJ1132547.1", "KAJ1132547.1")</f>
        <v/>
      </c>
      <c r="F6610" t="n">
        <v>35</v>
      </c>
      <c r="G6610" t="n">
        <v>973</v>
      </c>
      <c r="H6610" t="n">
        <v>3.11e-185</v>
      </c>
      <c r="I6610" t="inlineStr">
        <is>
          <t>Nr</t>
        </is>
      </c>
      <c r="J6610" t="inlineStr"/>
      <c r="K6610" t="inlineStr"/>
      <c r="L6610" t="inlineStr">
        <is>
          <t>KAJ1132547.1 hypothetical protein NDU88_010856 [Pleurodeles waltl]</t>
        </is>
      </c>
      <c r="M6610" t="n">
        <v>1095</v>
      </c>
      <c r="N6610" t="inlineStr">
        <is>
          <t>Pleurodeles waltl</t>
        </is>
      </c>
      <c r="O6610" t="inlineStr">
        <is>
          <t>hypothetical protein NDU88_010856</t>
        </is>
      </c>
    </row>
    <row r="6611">
      <c r="A6611" t="inlineStr"/>
      <c r="B6611" t="inlineStr"/>
      <c r="C6611" t="inlineStr"/>
      <c r="D6611" t="inlineStr"/>
      <c r="E6611">
        <f>HYPERLINK("https://www.ncbi.nlm.nih.gov/gene/?term=KAJ1218696.1", "KAJ1218696.1")</f>
        <v/>
      </c>
      <c r="F6611" t="n">
        <v>35</v>
      </c>
      <c r="G6611" t="n">
        <v>973</v>
      </c>
      <c r="H6611" t="n">
        <v>5.490000000000001e-185</v>
      </c>
      <c r="I6611" t="inlineStr">
        <is>
          <t>Nr</t>
        </is>
      </c>
      <c r="J6611" t="inlineStr"/>
      <c r="K6611" t="inlineStr"/>
      <c r="L6611" t="inlineStr">
        <is>
          <t>KAJ1218696.1 hypothetical protein NDU88_006273 [Pleurodeles waltl]</t>
        </is>
      </c>
      <c r="M6611" t="n">
        <v>968</v>
      </c>
      <c r="N6611" t="inlineStr">
        <is>
          <t>Pleurodeles waltl</t>
        </is>
      </c>
      <c r="O6611" t="inlineStr">
        <is>
          <t>hypothetical protein NDU88_006273</t>
        </is>
      </c>
    </row>
    <row r="6612">
      <c r="A6612" t="inlineStr"/>
      <c r="B6612" t="inlineStr"/>
      <c r="C6612" t="inlineStr"/>
      <c r="D6612" t="inlineStr"/>
      <c r="E6612">
        <f>HYPERLINK("https://www.uniprot.org/uniprotkb/A0A8J1LFX0/entry", "A0A8J1LFX0")</f>
        <v/>
      </c>
      <c r="F6612" t="n">
        <v>53.8</v>
      </c>
      <c r="G6612" t="n">
        <v>483</v>
      </c>
      <c r="H6612" t="n">
        <v>3.21e-182</v>
      </c>
      <c r="I6612" t="inlineStr">
        <is>
          <t>TrEMBL</t>
        </is>
      </c>
      <c r="J6612" t="inlineStr">
        <is>
          <t>LOC121396900</t>
        </is>
      </c>
      <c r="K6612" t="inlineStr">
        <is>
          <t>A0A8J1LFX0_XENLA</t>
        </is>
      </c>
      <c r="L6612" t="inlineStr">
        <is>
          <t>tr|A0A8J1LFX0|A0A8J1LFX0_XENLA uncharacterized protein LOC121396900 OS=Xenopus laevis OX=8355 GN=LOC121396900 PE=4 SV=1</t>
        </is>
      </c>
      <c r="M6612" t="n">
        <v>476</v>
      </c>
      <c r="N6612" t="inlineStr">
        <is>
          <t>Xenopus laevis</t>
        </is>
      </c>
      <c r="O6612" t="inlineStr">
        <is>
          <t>uncharacterized protein LOC121396900</t>
        </is>
      </c>
    </row>
    <row r="6613">
      <c r="A6613" t="inlineStr"/>
      <c r="B6613" t="inlineStr"/>
      <c r="C6613" t="inlineStr"/>
      <c r="D6613" t="inlineStr"/>
      <c r="E6613">
        <f>HYPERLINK("https://www.uniprot.org/uniprotkb/A0A803K3B6/entry", "A0A803K3B6")</f>
        <v/>
      </c>
      <c r="F6613" t="n">
        <v>41.8</v>
      </c>
      <c r="G6613" t="n">
        <v>643</v>
      </c>
      <c r="H6613" t="n">
        <v>5.090000000000001e-177</v>
      </c>
      <c r="I6613" t="inlineStr">
        <is>
          <t>TrEMBL</t>
        </is>
      </c>
      <c r="J6613" t="inlineStr"/>
      <c r="K6613" t="inlineStr">
        <is>
          <t>A0A803K3B6_XENTR</t>
        </is>
      </c>
      <c r="L6613" t="inlineStr">
        <is>
          <t>tr|A0A803K3B6|A0A803K3B6_XENTR Reverse transcriptase domain-containing protein OS=Xenopus tropicalis OX=8364 PE=4 SV=1</t>
        </is>
      </c>
      <c r="M6613" t="n">
        <v>646</v>
      </c>
      <c r="N6613" t="inlineStr">
        <is>
          <t>Xenopus tropicalis</t>
        </is>
      </c>
      <c r="O6613" t="inlineStr">
        <is>
          <t>Reverse transcriptase domain-containing protein</t>
        </is>
      </c>
    </row>
    <row r="6614">
      <c r="A6614" t="inlineStr"/>
      <c r="B6614" t="inlineStr"/>
      <c r="C6614" t="inlineStr"/>
      <c r="D6614" t="inlineStr"/>
      <c r="E6614">
        <f>HYPERLINK("https://www.uniprot.org/uniprotkb/A0A8C5B364/entry", "A0A8C5B364")</f>
        <v/>
      </c>
      <c r="F6614" t="n">
        <v>36.6</v>
      </c>
      <c r="G6614" t="n">
        <v>786</v>
      </c>
      <c r="H6614" t="n">
        <v>4.9e-171</v>
      </c>
      <c r="I6614" t="inlineStr">
        <is>
          <t>TrEMBL</t>
        </is>
      </c>
      <c r="J6614" t="inlineStr"/>
      <c r="K6614" t="inlineStr">
        <is>
          <t>A0A8C5B364_GADMO</t>
        </is>
      </c>
      <c r="L6614" t="inlineStr">
        <is>
          <t>tr|A0A8C5B364|A0A8C5B364_GADMO Reverse transcriptase domain-containing protein OS=Gadus morhua OX=8049 PE=4 SV=1</t>
        </is>
      </c>
      <c r="M6614" t="n">
        <v>858</v>
      </c>
      <c r="N6614" t="inlineStr">
        <is>
          <t>Gadus morhua</t>
        </is>
      </c>
      <c r="O6614" t="inlineStr">
        <is>
          <t>Reverse transcriptase domain-containing protein</t>
        </is>
      </c>
    </row>
    <row r="6615">
      <c r="A6615" t="inlineStr"/>
      <c r="B6615" t="inlineStr"/>
      <c r="C6615" t="inlineStr"/>
      <c r="D6615" t="inlineStr"/>
      <c r="E6615">
        <f>HYPERLINK("https://www.uniprot.org/uniprotkb/A0A8C7IGA2/entry", "A0A8C7IGA2")</f>
        <v/>
      </c>
      <c r="F6615" t="n">
        <v>41.2</v>
      </c>
      <c r="G6615" t="n">
        <v>673</v>
      </c>
      <c r="H6615" t="n">
        <v>5.36e-169</v>
      </c>
      <c r="I6615" t="inlineStr">
        <is>
          <t>TrEMBL</t>
        </is>
      </c>
      <c r="J6615" t="inlineStr"/>
      <c r="K6615" t="inlineStr">
        <is>
          <t>A0A8C7IGA2_ONCKI</t>
        </is>
      </c>
      <c r="L6615" t="inlineStr">
        <is>
          <t>tr|A0A8C7IGA2|A0A8C7IGA2_ONCKI Reverse transcriptase domain-containing protein OS=Oncorhynchus kisutch OX=8019 PE=4 SV=1</t>
        </is>
      </c>
      <c r="M6615" t="n">
        <v>708</v>
      </c>
      <c r="N6615" t="inlineStr">
        <is>
          <t>Oncorhynchus kisutch</t>
        </is>
      </c>
      <c r="O6615" t="inlineStr">
        <is>
          <t>Reverse transcriptase domain-containing protein</t>
        </is>
      </c>
    </row>
    <row r="6616">
      <c r="A6616" t="inlineStr"/>
      <c r="B6616" t="inlineStr"/>
      <c r="C6616" t="inlineStr"/>
      <c r="D6616" t="inlineStr"/>
      <c r="E6616">
        <f>HYPERLINK("https://www.uniprot.org/uniprotkb/A0A803K7Y7/entry", "A0A803K7Y7")</f>
        <v/>
      </c>
      <c r="F6616" t="n">
        <v>37.8</v>
      </c>
      <c r="G6616" t="n">
        <v>772</v>
      </c>
      <c r="H6616" t="n">
        <v>1.38e-168</v>
      </c>
      <c r="I6616" t="inlineStr">
        <is>
          <t>TrEMBL</t>
        </is>
      </c>
      <c r="J6616" t="inlineStr"/>
      <c r="K6616" t="inlineStr">
        <is>
          <t>A0A803K7Y7_XENTR</t>
        </is>
      </c>
      <c r="L6616" t="inlineStr">
        <is>
          <t>tr|A0A803K7Y7|A0A803K7Y7_XENTR Reverse transcriptase domain-containing protein OS=Xenopus tropicalis OX=8364 PE=4 SV=1</t>
        </is>
      </c>
      <c r="M6616" t="n">
        <v>948</v>
      </c>
      <c r="N6616" t="inlineStr">
        <is>
          <t>Xenopus tropicalis</t>
        </is>
      </c>
      <c r="O6616" t="inlineStr">
        <is>
          <t>Reverse transcriptase domain-containing protein</t>
        </is>
      </c>
    </row>
    <row r="6617">
      <c r="A6617" t="inlineStr"/>
      <c r="B6617" t="inlineStr"/>
      <c r="C6617" t="inlineStr"/>
      <c r="D6617" t="inlineStr"/>
      <c r="E6617">
        <f>HYPERLINK("https://www.uniprot.org/uniprotkb/A0A6Q2ZIF8/entry", "A0A6Q2ZIF8")</f>
        <v/>
      </c>
      <c r="F6617" t="n">
        <v>31.4</v>
      </c>
      <c r="G6617" t="n">
        <v>968</v>
      </c>
      <c r="H6617" t="n">
        <v>8.99e-161</v>
      </c>
      <c r="I6617" t="inlineStr">
        <is>
          <t>TrEMBL</t>
        </is>
      </c>
      <c r="J6617" t="inlineStr"/>
      <c r="K6617" t="inlineStr">
        <is>
          <t>A0A6Q2ZIF8_ESOLU</t>
        </is>
      </c>
      <c r="L6617" t="inlineStr">
        <is>
          <t>tr|A0A6Q2ZIF8|A0A6Q2ZIF8_ESOLU Reverse transcriptase domain-containing protein OS=Esox lucius OX=8010 PE=4 SV=1</t>
        </is>
      </c>
      <c r="M6617" t="n">
        <v>1188</v>
      </c>
      <c r="N6617" t="inlineStr">
        <is>
          <t>Esox lucius</t>
        </is>
      </c>
      <c r="O6617" t="inlineStr">
        <is>
          <t>Reverse transcriptase domain-containing protein</t>
        </is>
      </c>
    </row>
    <row r="6618">
      <c r="A6618" t="inlineStr"/>
      <c r="B6618" t="inlineStr"/>
      <c r="C6618" t="inlineStr"/>
      <c r="D6618" t="inlineStr"/>
      <c r="E6618">
        <f>HYPERLINK("https://www.uniprot.org/uniprotkb/A0A6Q2X7C7/entry", "A0A6Q2X7C7")</f>
        <v/>
      </c>
      <c r="F6618" t="n">
        <v>33.1</v>
      </c>
      <c r="G6618" t="n">
        <v>815</v>
      </c>
      <c r="H6618" t="n">
        <v>5.2e-153</v>
      </c>
      <c r="I6618" t="inlineStr">
        <is>
          <t>TrEMBL</t>
        </is>
      </c>
      <c r="J6618" t="inlineStr"/>
      <c r="K6618" t="inlineStr">
        <is>
          <t>A0A6Q2X7C7_ESOLU</t>
        </is>
      </c>
      <c r="L6618" t="inlineStr">
        <is>
          <t>tr|A0A6Q2X7C7|A0A6Q2X7C7_ESOLU Reverse transcriptase domain-containing protein OS=Esox lucius OX=8010 PE=4 SV=1</t>
        </is>
      </c>
      <c r="M6618" t="n">
        <v>917</v>
      </c>
      <c r="N6618" t="inlineStr">
        <is>
          <t>Esox lucius</t>
        </is>
      </c>
      <c r="O6618" t="inlineStr">
        <is>
          <t>Reverse transcriptase domain-containing protein</t>
        </is>
      </c>
    </row>
    <row r="6619">
      <c r="A6619" t="inlineStr"/>
      <c r="B6619" t="inlineStr"/>
      <c r="C6619" t="inlineStr"/>
      <c r="D6619" t="inlineStr"/>
      <c r="E6619">
        <f>HYPERLINK("https://www.uniprot.org/uniprotkb/A0A673Z4X8/entry", "A0A673Z4X8")</f>
        <v/>
      </c>
      <c r="F6619" t="n">
        <v>31.8</v>
      </c>
      <c r="G6619" t="n">
        <v>983</v>
      </c>
      <c r="H6619" t="n">
        <v>3.79e-145</v>
      </c>
      <c r="I6619" t="inlineStr">
        <is>
          <t>TrEMBL</t>
        </is>
      </c>
      <c r="J6619" t="inlineStr"/>
      <c r="K6619" t="inlineStr">
        <is>
          <t>A0A673Z4X8_SALTR</t>
        </is>
      </c>
      <c r="L6619" t="inlineStr">
        <is>
          <t>tr|A0A673Z4X8|A0A673Z4X8_SALTR Reverse transcriptase domain-containing protein OS=Salmo trutta OX=8032 PE=4 SV=1</t>
        </is>
      </c>
      <c r="M6619" t="n">
        <v>1116</v>
      </c>
      <c r="N6619" t="inlineStr">
        <is>
          <t>Salmo trutta</t>
        </is>
      </c>
      <c r="O6619" t="inlineStr">
        <is>
          <t>Reverse transcriptase domain-containing protein</t>
        </is>
      </c>
    </row>
    <row r="6620">
      <c r="A6620" t="inlineStr"/>
      <c r="B6620" t="inlineStr"/>
      <c r="C6620" t="inlineStr"/>
      <c r="D6620" t="inlineStr"/>
      <c r="E6620">
        <f>HYPERLINK("https://www.uniprot.org/uniprotkb/A0A8K9Y253/entry", "A0A8K9Y253")</f>
        <v/>
      </c>
      <c r="F6620" t="n">
        <v>31.1</v>
      </c>
      <c r="G6620" t="n">
        <v>993</v>
      </c>
      <c r="H6620" t="n">
        <v>8.74e-141</v>
      </c>
      <c r="I6620" t="inlineStr">
        <is>
          <t>TrEMBL</t>
        </is>
      </c>
      <c r="J6620" t="inlineStr"/>
      <c r="K6620" t="inlineStr">
        <is>
          <t>A0A8K9Y253_ONCMY</t>
        </is>
      </c>
      <c r="L6620" t="inlineStr">
        <is>
          <t>tr|A0A8K9Y253|A0A8K9Y253_ONCMY Reverse transcriptase domain-containing protein OS=Oncorhynchus mykiss OX=8022 PE=4 SV=1</t>
        </is>
      </c>
      <c r="M6620" t="n">
        <v>1116</v>
      </c>
      <c r="N6620" t="inlineStr">
        <is>
          <t>Oncorhynchus mykiss</t>
        </is>
      </c>
      <c r="O6620" t="inlineStr">
        <is>
          <t>Reverse transcriptase domain-containing protein</t>
        </is>
      </c>
    </row>
    <row r="6621">
      <c r="A6621" t="inlineStr"/>
      <c r="B6621" t="inlineStr"/>
      <c r="C6621" t="inlineStr"/>
      <c r="D6621" t="inlineStr"/>
      <c r="E6621">
        <f>HYPERLINK("https://www.uniprot.org/uniprotkb/P14381/entry", "P14381")</f>
        <v/>
      </c>
      <c r="F6621" t="n">
        <v>28.4</v>
      </c>
      <c r="G6621" t="n">
        <v>697</v>
      </c>
      <c r="H6621" t="n">
        <v>1.38e-63</v>
      </c>
      <c r="I6621" t="inlineStr">
        <is>
          <t>Swiss-Prot</t>
        </is>
      </c>
      <c r="J6621" t="inlineStr"/>
      <c r="K6621" t="inlineStr">
        <is>
          <t>YTX2_XENLA</t>
        </is>
      </c>
      <c r="L6621" t="inlineStr">
        <is>
          <t>sp|P14381|YTX2_XENLA Transposon TX1 uncharacterized 149 kDa protein OS=Xenopus laevis OX=8355 PE=4 SV=1</t>
        </is>
      </c>
      <c r="M6621" t="n">
        <v>1308</v>
      </c>
      <c r="N6621" t="inlineStr">
        <is>
          <t>Xenopus laevis</t>
        </is>
      </c>
      <c r="O6621" t="inlineStr">
        <is>
          <t>Transposon TX1 uncharacterized 149 kDa protein</t>
        </is>
      </c>
    </row>
    <row r="6622">
      <c r="A6622" t="inlineStr"/>
      <c r="B6622" t="inlineStr"/>
      <c r="C6622" t="inlineStr"/>
      <c r="D6622" t="inlineStr"/>
      <c r="E6622">
        <f>HYPERLINK("https://www.uniprot.org/uniprotkb/P08548/entry", "P08548")</f>
        <v/>
      </c>
      <c r="F6622" t="n">
        <v>24.4</v>
      </c>
      <c r="G6622" t="n">
        <v>750</v>
      </c>
      <c r="H6622" t="n">
        <v>4.999999999999999e-55</v>
      </c>
      <c r="I6622" t="inlineStr">
        <is>
          <t>Swiss-Prot</t>
        </is>
      </c>
      <c r="J6622" t="inlineStr"/>
      <c r="K6622" t="inlineStr">
        <is>
          <t>LIN1_NYCCO</t>
        </is>
      </c>
      <c r="L6622" t="inlineStr">
        <is>
          <t>sp|P08548|LIN1_NYCCO LINE-1 reverse transcriptase homolog OS=Nycticebus coucang OX=9470 PE=4 SV=1</t>
        </is>
      </c>
      <c r="M6622" t="n">
        <v>1260</v>
      </c>
      <c r="N6622" t="inlineStr">
        <is>
          <t>Nycticebus coucang</t>
        </is>
      </c>
      <c r="O6622" t="inlineStr">
        <is>
          <t>LINE-1 reverse transcriptase homolog</t>
        </is>
      </c>
    </row>
    <row r="6623">
      <c r="A6623" t="inlineStr"/>
      <c r="B6623" t="inlineStr"/>
      <c r="C6623" t="inlineStr"/>
      <c r="D6623" t="inlineStr"/>
      <c r="E6623">
        <f>HYPERLINK("https://www.uniprot.org/uniprotkb/O00370/entry", "O00370")</f>
        <v/>
      </c>
      <c r="F6623" t="n">
        <v>23.4</v>
      </c>
      <c r="G6623" t="n">
        <v>731</v>
      </c>
      <c r="H6623" t="n">
        <v>8.749999999999999e-54</v>
      </c>
      <c r="I6623" t="inlineStr">
        <is>
          <t>Swiss-Prot</t>
        </is>
      </c>
      <c r="J6623" t="inlineStr"/>
      <c r="K6623" t="inlineStr">
        <is>
          <t>LORF2_HUMAN</t>
        </is>
      </c>
      <c r="L6623" t="inlineStr">
        <is>
          <t>sp|O00370|LORF2_HUMAN LINE-1 retrotransposable element ORF2 protein OS=Homo sapiens OX=9606 PE=1 SV=1</t>
        </is>
      </c>
      <c r="M6623" t="n">
        <v>1275</v>
      </c>
      <c r="N6623" t="inlineStr">
        <is>
          <t>Homo sapiens</t>
        </is>
      </c>
      <c r="O6623" t="inlineStr">
        <is>
          <t>LINE-1 retrotransposable element ORF2 protein</t>
        </is>
      </c>
    </row>
    <row r="6624">
      <c r="A6624" t="inlineStr"/>
      <c r="B6624" t="inlineStr"/>
      <c r="C6624" t="inlineStr"/>
      <c r="D6624" t="inlineStr"/>
      <c r="E6624">
        <f>HYPERLINK("https://www.uniprot.org/uniprotkb/P11369/entry", "P11369")</f>
        <v/>
      </c>
      <c r="F6624" t="n">
        <v>24.8</v>
      </c>
      <c r="G6624" t="n">
        <v>723</v>
      </c>
      <c r="H6624" t="n">
        <v>1.56e-53</v>
      </c>
      <c r="I6624" t="inlineStr">
        <is>
          <t>Swiss-Prot</t>
        </is>
      </c>
      <c r="J6624" t="inlineStr">
        <is>
          <t>Pol</t>
        </is>
      </c>
      <c r="K6624" t="inlineStr">
        <is>
          <t>LORF2_MOUSE</t>
        </is>
      </c>
      <c r="L6624" t="inlineStr">
        <is>
          <t>sp|P11369|LORF2_MOUSE LINE-1 retrotransposable element ORF2 protein OS=Mus musculus OX=10090 GN=Pol PE=1 SV=2</t>
        </is>
      </c>
      <c r="M6624" t="n">
        <v>1281</v>
      </c>
      <c r="N6624" t="inlineStr">
        <is>
          <t>Mus musculus</t>
        </is>
      </c>
      <c r="O6624" t="inlineStr">
        <is>
          <t>LINE-1 retrotransposable element ORF2 protein</t>
        </is>
      </c>
    </row>
    <row r="6625">
      <c r="A6625" t="inlineStr"/>
      <c r="B6625" t="inlineStr"/>
      <c r="C6625" t="inlineStr"/>
      <c r="D6625" t="inlineStr"/>
      <c r="E6625">
        <f>HYPERLINK("https://www.uniprot.org/uniprotkb/Q03278/entry", "Q03278")</f>
        <v/>
      </c>
      <c r="F6625" t="n">
        <v>22.6</v>
      </c>
      <c r="G6625" t="n">
        <v>296</v>
      </c>
      <c r="H6625" t="n">
        <v>1.95e-15</v>
      </c>
      <c r="I6625" t="inlineStr">
        <is>
          <t>Swiss-Prot</t>
        </is>
      </c>
      <c r="J6625" t="inlineStr"/>
      <c r="K6625" t="inlineStr">
        <is>
          <t>PO21_NASVI</t>
        </is>
      </c>
      <c r="L6625" t="inlineStr">
        <is>
          <t>sp|Q03278|PO21_NASVI Retrovirus-related Pol polyprotein from type-1 retrotransposable element R2 (Fragment) OS=Nasonia vitripennis OX=7425 PE=4 SV=2</t>
        </is>
      </c>
      <c r="M6625" t="n">
        <v>1025</v>
      </c>
      <c r="N6625" t="inlineStr">
        <is>
          <t>Nasonia vitripennis</t>
        </is>
      </c>
      <c r="O6625" t="inlineStr">
        <is>
          <t>Retrovirus-related Pol polyprotein from type-1 retrotransposable element R2 (Fragment)</t>
        </is>
      </c>
    </row>
    <row r="6626">
      <c r="A6626" t="inlineStr"/>
      <c r="B6626" t="inlineStr"/>
      <c r="C6626" t="inlineStr"/>
      <c r="D6626" t="inlineStr"/>
      <c r="E6626">
        <f>HYPERLINK("https://www.uniprot.org/uniprotkb/Q03274/entry", "Q03274")</f>
        <v/>
      </c>
      <c r="F6626" t="n">
        <v>24</v>
      </c>
      <c r="G6626" t="n">
        <v>283</v>
      </c>
      <c r="H6626" t="n">
        <v>1.97e-15</v>
      </c>
      <c r="I6626" t="inlineStr">
        <is>
          <t>Swiss-Prot</t>
        </is>
      </c>
      <c r="J6626" t="inlineStr"/>
      <c r="K6626" t="inlineStr">
        <is>
          <t>PO22_POPJA</t>
        </is>
      </c>
      <c r="L6626" t="inlineStr">
        <is>
          <t>sp|Q03274|PO22_POPJA Retrovirus-related Pol polyprotein from type-1 retrotransposable element R2 (Fragment) OS=Popillia japonica OX=7064 PE=4 SV=1</t>
        </is>
      </c>
      <c r="M6626" t="n">
        <v>711</v>
      </c>
      <c r="N6626" t="inlineStr">
        <is>
          <t>Popillia japonica</t>
        </is>
      </c>
      <c r="O6626" t="inlineStr">
        <is>
          <t>Retrovirus-related Pol polyprotein from type-1 retrotransposable element R2 (Fragment)</t>
        </is>
      </c>
    </row>
    <row r="6627">
      <c r="A6627" t="inlineStr"/>
      <c r="B6627" t="inlineStr"/>
      <c r="C6627" t="inlineStr"/>
      <c r="D6627" t="inlineStr"/>
      <c r="E6627">
        <f>HYPERLINK("https://www.uniprot.org/uniprotkb/P16423/entry", "P16423")</f>
        <v/>
      </c>
      <c r="F6627" t="n">
        <v>25.3</v>
      </c>
      <c r="G6627" t="n">
        <v>383</v>
      </c>
      <c r="H6627" t="n">
        <v>3.43e-15</v>
      </c>
      <c r="I6627" t="inlineStr">
        <is>
          <t>Swiss-Prot</t>
        </is>
      </c>
      <c r="J6627" t="inlineStr">
        <is>
          <t>pol</t>
        </is>
      </c>
      <c r="K6627" t="inlineStr">
        <is>
          <t>POLR_DROME</t>
        </is>
      </c>
      <c r="L6627" t="inlineStr">
        <is>
          <t>sp|P16423|POLR_DROME Retrovirus-related Pol polyprotein from type-2 retrotransposable element R2DM OS=Drosophila melanogaster OX=7227 GN=pol PE=4 SV=1</t>
        </is>
      </c>
      <c r="M6627" t="n">
        <v>1057</v>
      </c>
      <c r="N6627" t="inlineStr">
        <is>
          <t>Drosophila melanogaster</t>
        </is>
      </c>
      <c r="O6627" t="inlineStr">
        <is>
          <t>Retrovirus-related Pol polyprotein from type-2 retrotransposable element R2DM</t>
        </is>
      </c>
    </row>
    <row r="6628">
      <c r="A6628" t="inlineStr"/>
      <c r="B6628" t="inlineStr"/>
      <c r="C6628" t="inlineStr"/>
      <c r="D6628" t="inlineStr"/>
      <c r="E6628">
        <f>HYPERLINK("https://www.uniprot.org/uniprotkb/P0CV25/entry", "P0CV25")</f>
        <v/>
      </c>
      <c r="F6628" t="n">
        <v>42.4</v>
      </c>
      <c r="G6628" t="n">
        <v>85</v>
      </c>
      <c r="H6628" t="n">
        <v>2.83e-13</v>
      </c>
      <c r="I6628" t="inlineStr">
        <is>
          <t>Swiss-Prot</t>
        </is>
      </c>
      <c r="J6628" t="inlineStr">
        <is>
          <t>RXLR78</t>
        </is>
      </c>
      <c r="K6628" t="inlineStr">
        <is>
          <t>RLR78_PLAVT</t>
        </is>
      </c>
      <c r="L6628" t="inlineStr">
        <is>
          <t>sp|P0CV25|RLR78_PLAVT Secreted RxLR effector protein 78 OS=Plasmopara viticola OX=143451 GN=RXLR78 PE=3 SV=1</t>
        </is>
      </c>
      <c r="M6628" t="n">
        <v>113</v>
      </c>
      <c r="N6628" t="inlineStr">
        <is>
          <t>Plasmopara viticola</t>
        </is>
      </c>
      <c r="O6628" t="inlineStr">
        <is>
          <t>Secreted RxLR effector protein 78</t>
        </is>
      </c>
    </row>
    <row r="6629">
      <c r="A6629" t="inlineStr"/>
      <c r="B6629" t="inlineStr"/>
      <c r="C6629" t="inlineStr"/>
      <c r="D6629" t="inlineStr"/>
      <c r="E6629">
        <f>HYPERLINK("https://www.uniprot.org/uniprotkb/Q05118/entry", "Q05118")</f>
        <v/>
      </c>
      <c r="F6629" t="n">
        <v>25</v>
      </c>
      <c r="G6629" t="n">
        <v>108</v>
      </c>
      <c r="H6629" t="n">
        <v>1.17e-06</v>
      </c>
      <c r="I6629" t="inlineStr">
        <is>
          <t>Swiss-Prot</t>
        </is>
      </c>
      <c r="J6629" t="inlineStr"/>
      <c r="K6629" t="inlineStr">
        <is>
          <t>PO23_POPJA</t>
        </is>
      </c>
      <c r="L6629" t="inlineStr">
        <is>
          <t>sp|Q05118|PO23_POPJA Retrovirus-related Pol polyprotein from type-1 retrotransposable element R2 (Fragment) OS=Popillia japonica OX=7064 PE=4 SV=1</t>
        </is>
      </c>
      <c r="M6629" t="n">
        <v>606</v>
      </c>
      <c r="N6629" t="inlineStr">
        <is>
          <t>Popillia japonica</t>
        </is>
      </c>
      <c r="O6629" t="inlineStr">
        <is>
          <t>Retrovirus-related Pol polyprotein from type-1 retrotransposable element R2 (Fragment)</t>
        </is>
      </c>
    </row>
    <row r="6630">
      <c r="A6630" t="inlineStr"/>
      <c r="B6630" t="inlineStr"/>
      <c r="C6630" t="inlineStr"/>
      <c r="D6630" t="inlineStr"/>
      <c r="E6630">
        <f>HYPERLINK("https://www.uniprot.org/uniprotkb/P21329/entry", "P21329")</f>
        <v/>
      </c>
      <c r="F6630" t="n">
        <v>20.1</v>
      </c>
      <c r="G6630" t="n">
        <v>407</v>
      </c>
      <c r="H6630" t="n">
        <v>0.000108</v>
      </c>
      <c r="I6630" t="inlineStr">
        <is>
          <t>Swiss-Prot</t>
        </is>
      </c>
      <c r="J6630" t="inlineStr">
        <is>
          <t>jockey\pol</t>
        </is>
      </c>
      <c r="K6630" t="inlineStr">
        <is>
          <t>RTJK_DROFU</t>
        </is>
      </c>
      <c r="L6630" t="inlineStr">
        <is>
          <t>sp|P21329|RTJK_DROFU RNA-directed DNA polymerase from mobile element jockey OS=Drosophila funebris OX=7221 GN=jockey\pol PE=1 SV=1</t>
        </is>
      </c>
      <c r="M6630" t="n">
        <v>916</v>
      </c>
      <c r="N6630" t="inlineStr">
        <is>
          <t>Drosophila funebris</t>
        </is>
      </c>
      <c r="O6630" t="inlineStr">
        <is>
          <t>RNA-directed DNA polymerase from mobile element jockey</t>
        </is>
      </c>
    </row>
    <row r="6631">
      <c r="A6631" t="inlineStr"/>
      <c r="B6631" t="inlineStr"/>
      <c r="C6631" t="inlineStr"/>
      <c r="D6631" t="inlineStr"/>
      <c r="E6631">
        <f>HYPERLINK("https://www.uniprot.org/uniprotkb/Q03279/entry", "Q03279")</f>
        <v/>
      </c>
      <c r="F6631" t="n">
        <v>23</v>
      </c>
      <c r="G6631" t="n">
        <v>152</v>
      </c>
      <c r="H6631" t="n">
        <v>0.00014</v>
      </c>
      <c r="I6631" t="inlineStr">
        <is>
          <t>Swiss-Prot</t>
        </is>
      </c>
      <c r="J6631" t="inlineStr"/>
      <c r="K6631" t="inlineStr">
        <is>
          <t>PO21_BRACO</t>
        </is>
      </c>
      <c r="L6631" t="inlineStr">
        <is>
          <t>sp|Q03279|PO21_BRACO Retrovirus-related Pol polyprotein from type-1 retrotransposable element R2 (Fragment) OS=Bradysia coprophila OX=38358 PE=4 SV=1</t>
        </is>
      </c>
      <c r="M6631" t="n">
        <v>869</v>
      </c>
      <c r="N6631" t="inlineStr">
        <is>
          <t>Bradysia coprophila</t>
        </is>
      </c>
      <c r="O6631" t="inlineStr">
        <is>
          <t>Retrovirus-related Pol polyprotein from type-1 retrotransposable element R2 (Fragment)</t>
        </is>
      </c>
    </row>
    <row r="6632">
      <c r="A6632" t="inlineStr">
        <is>
          <t>NODE_41630_length_3353_cov_7.644248_g14073_i1</t>
        </is>
      </c>
      <c r="B6632" t="inlineStr">
        <is>
          <t>bombina_pachypus_blastx</t>
        </is>
      </c>
      <c r="C6632" t="n">
        <v>-7.98169064969937</v>
      </c>
      <c r="D6632" t="n">
        <v>1.14319495126242e-05</v>
      </c>
      <c r="E6632">
        <f>HYPERLINK("https://www.uniprot.org/uniprotkb/A0A8J1KMD2/entry", "A0A8J1KMD2")</f>
        <v/>
      </c>
      <c r="F6632" t="n">
        <v>48.9</v>
      </c>
      <c r="G6632" t="n">
        <v>131</v>
      </c>
      <c r="H6632" t="n">
        <v>4.69e-24</v>
      </c>
      <c r="I6632" t="inlineStr">
        <is>
          <t>TrEMBL</t>
        </is>
      </c>
      <c r="J6632" t="inlineStr">
        <is>
          <t>LOC121393601</t>
        </is>
      </c>
      <c r="K6632" t="inlineStr">
        <is>
          <t>A0A8J1KMD2_XENLA</t>
        </is>
      </c>
      <c r="L6632" t="inlineStr">
        <is>
          <t>tr|A0A8J1KMD2|A0A8J1KMD2_XENLA ribonuclease H OS=Xenopus laevis OX=8355 GN=LOC121393601 PE=3 SV=1</t>
        </is>
      </c>
      <c r="M6632" t="n">
        <v>1091</v>
      </c>
      <c r="N6632" t="inlineStr">
        <is>
          <t>Xenopus laevis</t>
        </is>
      </c>
      <c r="O6632" t="inlineStr">
        <is>
          <t>ribonuclease H</t>
        </is>
      </c>
    </row>
    <row r="6633">
      <c r="A6633" t="inlineStr"/>
      <c r="B6633" t="inlineStr"/>
      <c r="C6633" t="inlineStr"/>
      <c r="D6633" t="inlineStr"/>
      <c r="E6633">
        <f>HYPERLINK("https://www.uniprot.org/uniprotkb/A0A8J1LVD3/entry", "A0A8J1LVD3")</f>
        <v/>
      </c>
      <c r="F6633" t="n">
        <v>44</v>
      </c>
      <c r="G6633" t="n">
        <v>141</v>
      </c>
      <c r="H6633" t="n">
        <v>6.81e-24</v>
      </c>
      <c r="I6633" t="inlineStr">
        <is>
          <t>TrEMBL</t>
        </is>
      </c>
      <c r="J6633" t="inlineStr">
        <is>
          <t>LOC121398305</t>
        </is>
      </c>
      <c r="K6633" t="inlineStr">
        <is>
          <t>A0A8J1LVD3_XENLA</t>
        </is>
      </c>
      <c r="L6633" t="inlineStr">
        <is>
          <t>tr|A0A8J1LVD3|A0A8J1LVD3_XENLA uncharacterized protein LOC121398305 OS=Xenopus laevis OX=8355 GN=LOC121398305 PE=4 SV=1</t>
        </is>
      </c>
      <c r="M6633" t="n">
        <v>485</v>
      </c>
      <c r="N6633" t="inlineStr">
        <is>
          <t>Xenopus laevis</t>
        </is>
      </c>
      <c r="O6633" t="inlineStr">
        <is>
          <t>uncharacterized protein LOC121398305</t>
        </is>
      </c>
    </row>
    <row r="6634">
      <c r="A6634" t="inlineStr"/>
      <c r="B6634" t="inlineStr"/>
      <c r="C6634" t="inlineStr"/>
      <c r="D6634" t="inlineStr"/>
      <c r="E6634">
        <f>HYPERLINK("https://www.ncbi.nlm.nih.gov/gene/?term=XP_044151545.1", "XP_044151545.1")</f>
        <v/>
      </c>
      <c r="F6634" t="n">
        <v>49.6</v>
      </c>
      <c r="G6634" t="n">
        <v>125</v>
      </c>
      <c r="H6634" t="n">
        <v>9.079999999999999e-24</v>
      </c>
      <c r="I6634" t="inlineStr">
        <is>
          <t>Nr</t>
        </is>
      </c>
      <c r="J6634" t="inlineStr"/>
      <c r="K6634" t="inlineStr"/>
      <c r="L6634" t="inlineStr">
        <is>
          <t>XP_044151545.1 nuclear pore complex protein Nup155 [Bufo gargarizans]</t>
        </is>
      </c>
      <c r="M6634" t="n">
        <v>1594</v>
      </c>
      <c r="N6634" t="inlineStr">
        <is>
          <t>Bufo gargarizans</t>
        </is>
      </c>
      <c r="O6634" t="inlineStr">
        <is>
          <t>nuclear pore complex protein Nup155</t>
        </is>
      </c>
    </row>
    <row r="6635">
      <c r="A6635" t="inlineStr"/>
      <c r="B6635" t="inlineStr"/>
      <c r="C6635" t="inlineStr"/>
      <c r="D6635" t="inlineStr"/>
      <c r="E6635">
        <f>HYPERLINK("https://www.ncbi.nlm.nih.gov/gene/?term=XP_041418470.1", "XP_041418470.1")</f>
        <v/>
      </c>
      <c r="F6635" t="n">
        <v>48.9</v>
      </c>
      <c r="G6635" t="n">
        <v>131</v>
      </c>
      <c r="H6635" t="n">
        <v>1.21e-23</v>
      </c>
      <c r="I6635" t="inlineStr">
        <is>
          <t>Nr</t>
        </is>
      </c>
      <c r="J6635" t="inlineStr"/>
      <c r="K6635" t="inlineStr"/>
      <c r="L6635" t="inlineStr">
        <is>
          <t>XP_041418470.1 uncharacterized protein LOC121393601 [Xenopus laevis]</t>
        </is>
      </c>
      <c r="M6635" t="n">
        <v>1091</v>
      </c>
      <c r="N6635" t="inlineStr">
        <is>
          <t>Xenopus laevis</t>
        </is>
      </c>
      <c r="O6635" t="inlineStr">
        <is>
          <t>uncharacterized protein LOC121393601</t>
        </is>
      </c>
    </row>
    <row r="6636">
      <c r="A6636" t="inlineStr"/>
      <c r="B6636" t="inlineStr"/>
      <c r="C6636" t="inlineStr"/>
      <c r="D6636" t="inlineStr"/>
      <c r="E6636">
        <f>HYPERLINK("https://www.ncbi.nlm.nih.gov/gene/?term=XP_041433304.1", "XP_041433304.1")</f>
        <v/>
      </c>
      <c r="F6636" t="n">
        <v>44</v>
      </c>
      <c r="G6636" t="n">
        <v>141</v>
      </c>
      <c r="H6636" t="n">
        <v>1.75e-23</v>
      </c>
      <c r="I6636" t="inlineStr">
        <is>
          <t>Nr</t>
        </is>
      </c>
      <c r="J6636" t="inlineStr"/>
      <c r="K6636" t="inlineStr"/>
      <c r="L6636" t="inlineStr">
        <is>
          <t>XP_041433304.1 uncharacterized protein LOC121398305 [Xenopus laevis]</t>
        </is>
      </c>
      <c r="M6636" t="n">
        <v>485</v>
      </c>
      <c r="N6636" t="inlineStr">
        <is>
          <t>Xenopus laevis</t>
        </is>
      </c>
      <c r="O6636" t="inlineStr">
        <is>
          <t>uncharacterized protein LOC121398305</t>
        </is>
      </c>
    </row>
    <row r="6637">
      <c r="A6637" t="inlineStr"/>
      <c r="B6637" t="inlineStr"/>
      <c r="C6637" t="inlineStr"/>
      <c r="D6637" t="inlineStr"/>
      <c r="E6637">
        <f>HYPERLINK("https://www.uniprot.org/uniprotkb/A0A8J1M3F4/entry", "A0A8J1M3F4")</f>
        <v/>
      </c>
      <c r="F6637" t="n">
        <v>45</v>
      </c>
      <c r="G6637" t="n">
        <v>129</v>
      </c>
      <c r="H6637" t="n">
        <v>7.54e-21</v>
      </c>
      <c r="I6637" t="inlineStr">
        <is>
          <t>TrEMBL</t>
        </is>
      </c>
      <c r="J6637" t="inlineStr">
        <is>
          <t>LOC121399363</t>
        </is>
      </c>
      <c r="K6637" t="inlineStr">
        <is>
          <t>A0A8J1M3F4_XENLA</t>
        </is>
      </c>
      <c r="L6637" t="inlineStr">
        <is>
          <t>tr|A0A8J1M3F4|A0A8J1M3F4_XENLA uncharacterized protein LOC121399363 OS=Xenopus laevis OX=8355 GN=LOC121399363 PE=4 SV=1</t>
        </is>
      </c>
      <c r="M6637" t="n">
        <v>682</v>
      </c>
      <c r="N6637" t="inlineStr">
        <is>
          <t>Xenopus laevis</t>
        </is>
      </c>
      <c r="O6637" t="inlineStr">
        <is>
          <t>uncharacterized protein LOC121399363</t>
        </is>
      </c>
    </row>
    <row r="6638">
      <c r="A6638" t="inlineStr"/>
      <c r="B6638" t="inlineStr"/>
      <c r="C6638" t="inlineStr"/>
      <c r="D6638" t="inlineStr"/>
      <c r="E6638">
        <f>HYPERLINK("https://www.ncbi.nlm.nih.gov/gene/?term=XP_041435826.1", "XP_041435826.1")</f>
        <v/>
      </c>
      <c r="F6638" t="n">
        <v>45</v>
      </c>
      <c r="G6638" t="n">
        <v>129</v>
      </c>
      <c r="H6638" t="n">
        <v>1.94e-20</v>
      </c>
      <c r="I6638" t="inlineStr">
        <is>
          <t>Nr</t>
        </is>
      </c>
      <c r="J6638" t="inlineStr"/>
      <c r="K6638" t="inlineStr"/>
      <c r="L6638" t="inlineStr">
        <is>
          <t>XP_041435826.1 uncharacterized protein LOC121399363 [Xenopus laevis]</t>
        </is>
      </c>
      <c r="M6638" t="n">
        <v>682</v>
      </c>
      <c r="N6638" t="inlineStr">
        <is>
          <t>Xenopus laevis</t>
        </is>
      </c>
      <c r="O6638" t="inlineStr">
        <is>
          <t>uncharacterized protein LOC121399363</t>
        </is>
      </c>
    </row>
    <row r="6639">
      <c r="A6639" t="inlineStr"/>
      <c r="B6639" t="inlineStr"/>
      <c r="C6639" t="inlineStr"/>
      <c r="D6639" t="inlineStr"/>
      <c r="E6639">
        <f>HYPERLINK("https://www.uniprot.org/uniprotkb/A0A8J1MZ44/entry", "A0A8J1MZ44")</f>
        <v/>
      </c>
      <c r="F6639" t="n">
        <v>41.2</v>
      </c>
      <c r="G6639" t="n">
        <v>148</v>
      </c>
      <c r="H6639" t="n">
        <v>2.69e-20</v>
      </c>
      <c r="I6639" t="inlineStr">
        <is>
          <t>TrEMBL</t>
        </is>
      </c>
      <c r="J6639" t="inlineStr">
        <is>
          <t>LOC121403038</t>
        </is>
      </c>
      <c r="K6639" t="inlineStr">
        <is>
          <t>A0A8J1MZ44_XENLA</t>
        </is>
      </c>
      <c r="L6639" t="inlineStr">
        <is>
          <t>tr|A0A8J1MZ44|A0A8J1MZ44_XENLA ribonuclease H OS=Xenopus laevis OX=8355 GN=LOC121403038 PE=3 SV=1</t>
        </is>
      </c>
      <c r="M6639" t="n">
        <v>852</v>
      </c>
      <c r="N6639" t="inlineStr">
        <is>
          <t>Xenopus laevis</t>
        </is>
      </c>
      <c r="O6639" t="inlineStr">
        <is>
          <t>ribonuclease H</t>
        </is>
      </c>
    </row>
    <row r="6640">
      <c r="A6640" t="inlineStr"/>
      <c r="B6640" t="inlineStr"/>
      <c r="C6640" t="inlineStr"/>
      <c r="D6640" t="inlineStr"/>
      <c r="E6640">
        <f>HYPERLINK("https://www.ncbi.nlm.nih.gov/gene/?term=XP_018432223.1", "XP_018432223.1")</f>
        <v/>
      </c>
      <c r="F6640" t="n">
        <v>40.3</v>
      </c>
      <c r="G6640" t="n">
        <v>144</v>
      </c>
      <c r="H6640" t="n">
        <v>3.99e-20</v>
      </c>
      <c r="I6640" t="inlineStr">
        <is>
          <t>Nr</t>
        </is>
      </c>
      <c r="J6640" t="inlineStr"/>
      <c r="K6640" t="inlineStr"/>
      <c r="L6640" t="inlineStr">
        <is>
          <t>XP_018432223.1 PREDICTED: gamma-tubulin complex component 6 [Nanorana parkeri]</t>
        </is>
      </c>
      <c r="M6640" t="n">
        <v>2620</v>
      </c>
      <c r="N6640" t="inlineStr">
        <is>
          <t>Nanorana parkeri</t>
        </is>
      </c>
      <c r="O6640" t="inlineStr">
        <is>
          <t>PREDICTED: gamma-tubulin complex component 6</t>
        </is>
      </c>
    </row>
    <row r="6641">
      <c r="A6641" t="inlineStr"/>
      <c r="B6641" t="inlineStr"/>
      <c r="C6641" t="inlineStr"/>
      <c r="D6641" t="inlineStr"/>
      <c r="E6641">
        <f>HYPERLINK("https://www.ncbi.nlm.nih.gov/gene/?term=XP_041446270.1", "XP_041446270.1")</f>
        <v/>
      </c>
      <c r="F6641" t="n">
        <v>41.2</v>
      </c>
      <c r="G6641" t="n">
        <v>148</v>
      </c>
      <c r="H6641" t="n">
        <v>6.9e-20</v>
      </c>
      <c r="I6641" t="inlineStr">
        <is>
          <t>Nr</t>
        </is>
      </c>
      <c r="J6641" t="inlineStr"/>
      <c r="K6641" t="inlineStr"/>
      <c r="L6641" t="inlineStr">
        <is>
          <t>XP_041446270.1 uncharacterized protein LOC121403038 [Xenopus laevis]</t>
        </is>
      </c>
      <c r="M6641" t="n">
        <v>852</v>
      </c>
      <c r="N6641" t="inlineStr">
        <is>
          <t>Xenopus laevis</t>
        </is>
      </c>
      <c r="O6641" t="inlineStr">
        <is>
          <t>uncharacterized protein LOC121403038</t>
        </is>
      </c>
    </row>
    <row r="6642">
      <c r="A6642" t="inlineStr"/>
      <c r="B6642" t="inlineStr"/>
      <c r="C6642" t="inlineStr"/>
      <c r="D6642" t="inlineStr"/>
      <c r="E6642">
        <f>HYPERLINK("https://www.uniprot.org/uniprotkb/A0A803J9S3/entry", "A0A803J9S3")</f>
        <v/>
      </c>
      <c r="F6642" t="n">
        <v>38.6</v>
      </c>
      <c r="G6642" t="n">
        <v>132</v>
      </c>
      <c r="H6642" t="n">
        <v>1.51e-19</v>
      </c>
      <c r="I6642" t="inlineStr">
        <is>
          <t>TrEMBL</t>
        </is>
      </c>
      <c r="J6642" t="inlineStr"/>
      <c r="K6642" t="inlineStr">
        <is>
          <t>A0A803J9S3_XENTR</t>
        </is>
      </c>
      <c r="L6642" t="inlineStr">
        <is>
          <t>tr|A0A803J9S3|A0A803J9S3_XENTR Integrase catalytic domain-containing protein OS=Xenopus tropicalis OX=8364 PE=4 SV=1</t>
        </is>
      </c>
      <c r="M6642" t="n">
        <v>358</v>
      </c>
      <c r="N6642" t="inlineStr">
        <is>
          <t>Xenopus tropicalis</t>
        </is>
      </c>
      <c r="O6642" t="inlineStr">
        <is>
          <t>Integrase catalytic domain-containing protein</t>
        </is>
      </c>
    </row>
    <row r="6643">
      <c r="A6643" t="inlineStr"/>
      <c r="B6643" t="inlineStr"/>
      <c r="C6643" t="inlineStr"/>
      <c r="D6643" t="inlineStr"/>
      <c r="E6643">
        <f>HYPERLINK("https://www.uniprot.org/uniprotkb/A0A8J1LAE2/entry", "A0A8J1LAE2")</f>
        <v/>
      </c>
      <c r="F6643" t="n">
        <v>39.4</v>
      </c>
      <c r="G6643" t="n">
        <v>137</v>
      </c>
      <c r="H6643" t="n">
        <v>1.05e-18</v>
      </c>
      <c r="I6643" t="inlineStr">
        <is>
          <t>TrEMBL</t>
        </is>
      </c>
      <c r="J6643" t="inlineStr">
        <is>
          <t>MGC115313</t>
        </is>
      </c>
      <c r="K6643" t="inlineStr">
        <is>
          <t>A0A8J1LAE2_XENLA</t>
        </is>
      </c>
      <c r="L6643" t="inlineStr">
        <is>
          <t>tr|A0A8J1LAE2|A0A8J1LAE2_XENLA uncharacterized protein LOC734383 isoform X1 OS=Xenopus laevis OX=8355 GN=MGC115313 PE=4 SV=1</t>
        </is>
      </c>
      <c r="M6643" t="n">
        <v>393</v>
      </c>
      <c r="N6643" t="inlineStr">
        <is>
          <t>Xenopus laevis</t>
        </is>
      </c>
      <c r="O6643" t="inlineStr">
        <is>
          <t>uncharacterized protein LOC734383 isoform X1</t>
        </is>
      </c>
    </row>
    <row r="6644">
      <c r="A6644" t="inlineStr"/>
      <c r="B6644" t="inlineStr"/>
      <c r="C6644" t="inlineStr"/>
      <c r="D6644" t="inlineStr"/>
      <c r="E6644">
        <f>HYPERLINK("https://www.uniprot.org/uniprotkb/A0A8J1M8F0/entry", "A0A8J1M8F0")</f>
        <v/>
      </c>
      <c r="F6644" t="n">
        <v>40.7</v>
      </c>
      <c r="G6644" t="n">
        <v>140</v>
      </c>
      <c r="H6644" t="n">
        <v>1.05e-18</v>
      </c>
      <c r="I6644" t="inlineStr">
        <is>
          <t>TrEMBL</t>
        </is>
      </c>
      <c r="J6644" t="inlineStr">
        <is>
          <t>pfkfb2.L</t>
        </is>
      </c>
      <c r="K6644" t="inlineStr">
        <is>
          <t>A0A8J1M8F0_XENLA</t>
        </is>
      </c>
      <c r="L6644" t="inlineStr">
        <is>
          <t>tr|A0A8J1M8F0|A0A8J1M8F0_XENLA ribonuclease H OS=Xenopus laevis OX=8355 GN=pfkfb2.L PE=3 SV=1</t>
        </is>
      </c>
      <c r="M6644" t="n">
        <v>615</v>
      </c>
      <c r="N6644" t="inlineStr">
        <is>
          <t>Xenopus laevis</t>
        </is>
      </c>
      <c r="O6644" t="inlineStr">
        <is>
          <t>ribonuclease H</t>
        </is>
      </c>
    </row>
    <row r="6645">
      <c r="A6645" t="inlineStr"/>
      <c r="B6645" t="inlineStr"/>
      <c r="C6645" t="inlineStr"/>
      <c r="D6645" t="inlineStr"/>
      <c r="E6645">
        <f>HYPERLINK("https://www.uniprot.org/uniprotkb/A0A8J1KMJ4/entry", "A0A8J1KMJ4")</f>
        <v/>
      </c>
      <c r="F6645" t="n">
        <v>49.5</v>
      </c>
      <c r="G6645" t="n">
        <v>91</v>
      </c>
      <c r="H6645" t="n">
        <v>1.06e-18</v>
      </c>
      <c r="I6645" t="inlineStr">
        <is>
          <t>TrEMBL</t>
        </is>
      </c>
      <c r="J6645" t="inlineStr">
        <is>
          <t>LOC121393326</t>
        </is>
      </c>
      <c r="K6645" t="inlineStr">
        <is>
          <t>A0A8J1KMJ4_XENLA</t>
        </is>
      </c>
      <c r="L6645" t="inlineStr">
        <is>
          <t>tr|A0A8J1KMJ4|A0A8J1KMJ4_XENLA uncharacterized protein LOC121393326 OS=Xenopus laevis OX=8355 GN=LOC121393326 PE=4 SV=1</t>
        </is>
      </c>
      <c r="M6645" t="n">
        <v>626</v>
      </c>
      <c r="N6645" t="inlineStr">
        <is>
          <t>Xenopus laevis</t>
        </is>
      </c>
      <c r="O6645" t="inlineStr">
        <is>
          <t>uncharacterized protein LOC121393326</t>
        </is>
      </c>
    </row>
    <row r="6646">
      <c r="A6646" t="inlineStr"/>
      <c r="B6646" t="inlineStr"/>
      <c r="C6646" t="inlineStr"/>
      <c r="D6646" t="inlineStr"/>
      <c r="E6646">
        <f>HYPERLINK("https://www.ncbi.nlm.nih.gov/gene/?term=XP_041426492.1", "XP_041426492.1")</f>
        <v/>
      </c>
      <c r="F6646" t="n">
        <v>39.4</v>
      </c>
      <c r="G6646" t="n">
        <v>137</v>
      </c>
      <c r="H6646" t="n">
        <v>2.69e-18</v>
      </c>
      <c r="I6646" t="inlineStr">
        <is>
          <t>Nr</t>
        </is>
      </c>
      <c r="J6646" t="inlineStr"/>
      <c r="K6646" t="inlineStr"/>
      <c r="L6646" t="inlineStr">
        <is>
          <t>XP_041426492.1 uncharacterized protein LOC734383 isoform X1 [Xenopus laevis]</t>
        </is>
      </c>
      <c r="M6646" t="n">
        <v>393</v>
      </c>
      <c r="N6646" t="inlineStr">
        <is>
          <t>Xenopus laevis</t>
        </is>
      </c>
      <c r="O6646" t="inlineStr">
        <is>
          <t>uncharacterized protein LOC734383 isoform X1</t>
        </is>
      </c>
    </row>
    <row r="6647">
      <c r="A6647" t="inlineStr"/>
      <c r="B6647" t="inlineStr"/>
      <c r="C6647" t="inlineStr"/>
      <c r="D6647" t="inlineStr"/>
      <c r="E6647">
        <f>HYPERLINK("https://www.ncbi.nlm.nih.gov/gene/?term=XP_041437982.1", "XP_041437982.1")</f>
        <v/>
      </c>
      <c r="F6647" t="n">
        <v>40.7</v>
      </c>
      <c r="G6647" t="n">
        <v>140</v>
      </c>
      <c r="H6647" t="n">
        <v>2.7e-18</v>
      </c>
      <c r="I6647" t="inlineStr">
        <is>
          <t>Nr</t>
        </is>
      </c>
      <c r="J6647" t="inlineStr"/>
      <c r="K6647" t="inlineStr"/>
      <c r="L6647" t="inlineStr">
        <is>
          <t>XP_041437982.1 uncharacterized protein pfkfb2.L isoform X1 [Xenopus laevis]</t>
        </is>
      </c>
      <c r="M6647" t="n">
        <v>615</v>
      </c>
      <c r="N6647" t="inlineStr">
        <is>
          <t>Xenopus laevis</t>
        </is>
      </c>
      <c r="O6647" t="inlineStr">
        <is>
          <t>uncharacterized protein pfkfb2.L isoform X1</t>
        </is>
      </c>
    </row>
    <row r="6648">
      <c r="A6648" t="inlineStr"/>
      <c r="B6648" t="inlineStr"/>
      <c r="C6648" t="inlineStr"/>
      <c r="D6648" t="inlineStr"/>
      <c r="E6648">
        <f>HYPERLINK("https://www.ncbi.nlm.nih.gov/gene/?term=XP_041417454.1", "XP_041417454.1")</f>
        <v/>
      </c>
      <c r="F6648" t="n">
        <v>49.5</v>
      </c>
      <c r="G6648" t="n">
        <v>91</v>
      </c>
      <c r="H6648" t="n">
        <v>2.71e-18</v>
      </c>
      <c r="I6648" t="inlineStr">
        <is>
          <t>Nr</t>
        </is>
      </c>
      <c r="J6648" t="inlineStr"/>
      <c r="K6648" t="inlineStr"/>
      <c r="L6648" t="inlineStr">
        <is>
          <t>XP_041417454.1 uncharacterized protein LOC121393326 [Xenopus laevis]</t>
        </is>
      </c>
      <c r="M6648" t="n">
        <v>626</v>
      </c>
      <c r="N6648" t="inlineStr">
        <is>
          <t>Xenopus laevis</t>
        </is>
      </c>
      <c r="O6648" t="inlineStr">
        <is>
          <t>uncharacterized protein LOC121393326</t>
        </is>
      </c>
    </row>
    <row r="6649">
      <c r="A6649" t="inlineStr"/>
      <c r="B6649" t="inlineStr"/>
      <c r="C6649" t="inlineStr"/>
      <c r="D6649" t="inlineStr"/>
      <c r="E6649">
        <f>HYPERLINK("https://www.ncbi.nlm.nih.gov/gene/?term=XP_044130116.1", "XP_044130116.1")</f>
        <v/>
      </c>
      <c r="F6649" t="n">
        <v>45.2</v>
      </c>
      <c r="G6649" t="n">
        <v>124</v>
      </c>
      <c r="H6649" t="n">
        <v>7.379999999999999e-18</v>
      </c>
      <c r="I6649" t="inlineStr">
        <is>
          <t>Nr</t>
        </is>
      </c>
      <c r="J6649" t="inlineStr"/>
      <c r="K6649" t="inlineStr"/>
      <c r="L6649" t="inlineStr">
        <is>
          <t>XP_044130116.1 solute carrier family 35 member F5 [Bufo gargarizans]</t>
        </is>
      </c>
      <c r="M6649" t="n">
        <v>1106</v>
      </c>
      <c r="N6649" t="inlineStr">
        <is>
          <t>Bufo gargarizans</t>
        </is>
      </c>
      <c r="O6649" t="inlineStr">
        <is>
          <t>solute carrier family 35 member F5</t>
        </is>
      </c>
    </row>
    <row r="6650">
      <c r="A6650" t="inlineStr"/>
      <c r="B6650" t="inlineStr"/>
      <c r="C6650" t="inlineStr"/>
      <c r="D6650" t="inlineStr"/>
      <c r="E6650">
        <f>HYPERLINK("https://www.uniprot.org/uniprotkb/A0A1W7RDQ0/entry", "A0A1W7RDQ0")</f>
        <v/>
      </c>
      <c r="F6650" t="n">
        <v>41.7</v>
      </c>
      <c r="G6650" t="n">
        <v>144</v>
      </c>
      <c r="H6650" t="n">
        <v>2.28e-17</v>
      </c>
      <c r="I6650" t="inlineStr">
        <is>
          <t>TrEMBL</t>
        </is>
      </c>
      <c r="J6650" t="inlineStr"/>
      <c r="K6650" t="inlineStr">
        <is>
          <t>A0A1W7RDQ0_AGKCO</t>
        </is>
      </c>
      <c r="L6650" t="inlineStr">
        <is>
          <t>tr|A0A1W7RDQ0|A0A1W7RDQ0_AGKCO ribonuclease H OS=Agkistrodon contortrix contortrix OX=8713 PE=3 SV=1</t>
        </is>
      </c>
      <c r="M6650" t="n">
        <v>567</v>
      </c>
      <c r="N6650" t="inlineStr">
        <is>
          <t>Agkistrodon contortrix contortrix</t>
        </is>
      </c>
      <c r="O6650" t="inlineStr">
        <is>
          <t>ribonuclease H</t>
        </is>
      </c>
    </row>
    <row r="6651">
      <c r="A6651" t="inlineStr"/>
      <c r="B6651" t="inlineStr"/>
      <c r="C6651" t="inlineStr"/>
      <c r="D6651" t="inlineStr"/>
      <c r="E6651">
        <f>HYPERLINK("https://www.uniprot.org/uniprotkb/A0A2D4LGB9/entry", "A0A2D4LGB9")</f>
        <v/>
      </c>
      <c r="F6651" t="n">
        <v>37.5</v>
      </c>
      <c r="G6651" t="n">
        <v>144</v>
      </c>
      <c r="H6651" t="n">
        <v>2.06e-16</v>
      </c>
      <c r="I6651" t="inlineStr">
        <is>
          <t>TrEMBL</t>
        </is>
      </c>
      <c r="J6651" t="inlineStr"/>
      <c r="K6651" t="inlineStr">
        <is>
          <t>A0A2D4LGB9_9SAUR</t>
        </is>
      </c>
      <c r="L6651" t="inlineStr">
        <is>
          <t>tr|A0A2D4LGB9|A0A2D4LGB9_9SAUR RT_RNaseH domain-containing protein (Fragment) OS=Micrurus spixii OX=129469 PE=4 SV=1</t>
        </is>
      </c>
      <c r="M6651" t="n">
        <v>180</v>
      </c>
      <c r="N6651" t="inlineStr">
        <is>
          <t>Micrurus spixii</t>
        </is>
      </c>
      <c r="O6651" t="inlineStr">
        <is>
          <t>RT_RNaseH domain-containing protein (Fragment)</t>
        </is>
      </c>
    </row>
    <row r="6652">
      <c r="A6652" t="inlineStr"/>
      <c r="B6652" t="inlineStr"/>
      <c r="C6652" t="inlineStr"/>
      <c r="D6652" t="inlineStr"/>
      <c r="E6652">
        <f>HYPERLINK("https://www.uniprot.org/uniprotkb/A0A6I8SBU0/entry", "A0A6I8SBU0")</f>
        <v/>
      </c>
      <c r="F6652" t="n">
        <v>46.5</v>
      </c>
      <c r="G6652" t="n">
        <v>114</v>
      </c>
      <c r="H6652" t="n">
        <v>2.83e-16</v>
      </c>
      <c r="I6652" t="inlineStr">
        <is>
          <t>TrEMBL</t>
        </is>
      </c>
      <c r="J6652" t="inlineStr"/>
      <c r="K6652" t="inlineStr">
        <is>
          <t>A0A6I8SBU0_XENTR</t>
        </is>
      </c>
      <c r="L6652" t="inlineStr">
        <is>
          <t>tr|A0A6I8SBU0|A0A6I8SBU0_XENTR Core-binding (CB) domain-containing protein OS=Xenopus tropicalis OX=8364 PE=4 SV=2</t>
        </is>
      </c>
      <c r="M6652" t="n">
        <v>674</v>
      </c>
      <c r="N6652" t="inlineStr">
        <is>
          <t>Xenopus tropicalis</t>
        </is>
      </c>
      <c r="O6652" t="inlineStr">
        <is>
          <t>Core-binding (CB) domain-containing protein</t>
        </is>
      </c>
    </row>
    <row r="6653">
      <c r="A6653" t="inlineStr"/>
      <c r="B6653" t="inlineStr"/>
      <c r="C6653" t="inlineStr"/>
      <c r="D6653" t="inlineStr"/>
      <c r="E6653">
        <f>HYPERLINK("https://www.ncbi.nlm.nih.gov/gene/?term=KAE8576050.1", "KAE8576050.1")</f>
        <v/>
      </c>
      <c r="F6653" t="n">
        <v>46.5</v>
      </c>
      <c r="G6653" t="n">
        <v>114</v>
      </c>
      <c r="H6653" t="n">
        <v>7.26e-16</v>
      </c>
      <c r="I6653" t="inlineStr">
        <is>
          <t>Nr</t>
        </is>
      </c>
      <c r="J6653" t="inlineStr"/>
      <c r="K6653" t="inlineStr"/>
      <c r="L6653" t="inlineStr">
        <is>
          <t>KAE8576050.1 hypothetical protein XENTR_v10004031 [Xenopus tropicalis]</t>
        </is>
      </c>
      <c r="M6653" t="n">
        <v>668</v>
      </c>
      <c r="N6653" t="inlineStr">
        <is>
          <t>Xenopus tropicalis</t>
        </is>
      </c>
      <c r="O6653" t="inlineStr">
        <is>
          <t>hypothetical protein XENTR_v10004031</t>
        </is>
      </c>
    </row>
    <row r="6654">
      <c r="A6654" t="inlineStr"/>
      <c r="B6654" t="inlineStr"/>
      <c r="C6654" t="inlineStr"/>
      <c r="D6654" t="inlineStr"/>
      <c r="E6654">
        <f>HYPERLINK("https://www.uniprot.org/uniprotkb/A0A6P9BY85/entry", "A0A6P9BY85")</f>
        <v/>
      </c>
      <c r="F6654" t="n">
        <v>38.7</v>
      </c>
      <c r="G6654" t="n">
        <v>142</v>
      </c>
      <c r="H6654" t="n">
        <v>2.6e-15</v>
      </c>
      <c r="I6654" t="inlineStr">
        <is>
          <t>TrEMBL</t>
        </is>
      </c>
      <c r="J6654" t="inlineStr">
        <is>
          <t>MAP3K3</t>
        </is>
      </c>
      <c r="K6654" t="inlineStr">
        <is>
          <t>A0A6P9BY85_PANGU</t>
        </is>
      </c>
      <c r="L6654" t="inlineStr">
        <is>
          <t>tr|A0A6P9BY85|A0A6P9BY85_PANGU mitogen-activated protein kinase kinase kinase 3 OS=Pantherophis guttatus OX=94885 GN=MAP3K3 PE=4 SV=1</t>
        </is>
      </c>
      <c r="M6654" t="n">
        <v>1051</v>
      </c>
      <c r="N6654" t="inlineStr">
        <is>
          <t>Pantherophis guttatus</t>
        </is>
      </c>
      <c r="O6654" t="inlineStr">
        <is>
          <t>mitogen-activated protein kinase kinase kinase 3</t>
        </is>
      </c>
    </row>
    <row r="6655">
      <c r="A6655" t="inlineStr"/>
      <c r="B6655" t="inlineStr"/>
      <c r="C6655" t="inlineStr"/>
      <c r="D6655" t="inlineStr"/>
      <c r="E6655">
        <f>HYPERLINK("https://www.uniprot.org/uniprotkb/A0A2D4J0A8/entry", "A0A2D4J0A8")</f>
        <v/>
      </c>
      <c r="F6655" t="n">
        <v>41.1</v>
      </c>
      <c r="G6655" t="n">
        <v>129</v>
      </c>
      <c r="H6655" t="n">
        <v>4.58e-15</v>
      </c>
      <c r="I6655" t="inlineStr">
        <is>
          <t>TrEMBL</t>
        </is>
      </c>
      <c r="J6655" t="inlineStr"/>
      <c r="K6655" t="inlineStr">
        <is>
          <t>A0A2D4J0A8_MICLE</t>
        </is>
      </c>
      <c r="L6655" t="inlineStr">
        <is>
          <t>tr|A0A2D4J0A8|A0A2D4J0A8_MICLE ribonuclease H OS=Micrurus lemniscatus lemniscatus OX=129467 PE=3 SV=1</t>
        </is>
      </c>
      <c r="M6655" t="n">
        <v>664</v>
      </c>
      <c r="N6655" t="inlineStr">
        <is>
          <t>Micrurus lemniscatus lemniscatus</t>
        </is>
      </c>
      <c r="O6655" t="inlineStr">
        <is>
          <t>ribonuclease H</t>
        </is>
      </c>
    </row>
    <row r="6656">
      <c r="A6656" t="inlineStr"/>
      <c r="B6656" t="inlineStr"/>
      <c r="C6656" t="inlineStr"/>
      <c r="D6656" t="inlineStr"/>
      <c r="E6656">
        <f>HYPERLINK("https://www.uniprot.org/uniprotkb/A0A6P9ANZ3/entry", "A0A6P9ANZ3")</f>
        <v/>
      </c>
      <c r="F6656" t="n">
        <v>41.2</v>
      </c>
      <c r="G6656" t="n">
        <v>131</v>
      </c>
      <c r="H6656" t="n">
        <v>4.79e-15</v>
      </c>
      <c r="I6656" t="inlineStr">
        <is>
          <t>TrEMBL</t>
        </is>
      </c>
      <c r="J6656" t="inlineStr">
        <is>
          <t>LOC117655422</t>
        </is>
      </c>
      <c r="K6656" t="inlineStr">
        <is>
          <t>A0A6P9ANZ3_PANGU</t>
        </is>
      </c>
      <c r="L6656" t="inlineStr">
        <is>
          <t>tr|A0A6P9ANZ3|A0A6P9ANZ3_PANGU uncharacterized protein LOC117655422 OS=Pantherophis guttatus OX=94885 GN=LOC117655422 PE=4 SV=1</t>
        </is>
      </c>
      <c r="M6656" t="n">
        <v>413</v>
      </c>
      <c r="N6656" t="inlineStr">
        <is>
          <t>Pantherophis guttatus</t>
        </is>
      </c>
      <c r="O6656" t="inlineStr">
        <is>
          <t>uncharacterized protein LOC117655422</t>
        </is>
      </c>
    </row>
    <row r="6657">
      <c r="A6657" t="inlineStr"/>
      <c r="B6657" t="inlineStr"/>
      <c r="C6657" t="inlineStr"/>
      <c r="D6657" t="inlineStr"/>
      <c r="E6657">
        <f>HYPERLINK("https://www.uniprot.org/uniprotkb/A0A6P9D0P1/entry", "A0A6P9D0P1")</f>
        <v/>
      </c>
      <c r="F6657" t="n">
        <v>37.8</v>
      </c>
      <c r="G6657" t="n">
        <v>143</v>
      </c>
      <c r="H6657" t="n">
        <v>4.88e-15</v>
      </c>
      <c r="I6657" t="inlineStr">
        <is>
          <t>TrEMBL</t>
        </is>
      </c>
      <c r="J6657" t="inlineStr">
        <is>
          <t>LOC117675085</t>
        </is>
      </c>
      <c r="K6657" t="inlineStr">
        <is>
          <t>A0A6P9D0P1_PANGU</t>
        </is>
      </c>
      <c r="L6657" t="inlineStr">
        <is>
          <t>tr|A0A6P9D0P1|A0A6P9D0P1_PANGU ribonuclease H OS=Pantherophis guttatus OX=94885 GN=LOC117675085 PE=3 SV=1</t>
        </is>
      </c>
      <c r="M6657" t="n">
        <v>1211</v>
      </c>
      <c r="N6657" t="inlineStr">
        <is>
          <t>Pantherophis guttatus</t>
        </is>
      </c>
      <c r="O6657" t="inlineStr">
        <is>
          <t>ribonuclease H</t>
        </is>
      </c>
    </row>
    <row r="6658">
      <c r="A6658" t="inlineStr"/>
      <c r="B6658" t="inlineStr"/>
      <c r="C6658" t="inlineStr"/>
      <c r="D6658" t="inlineStr"/>
      <c r="E6658">
        <f>HYPERLINK("https://www.ncbi.nlm.nih.gov/gene/?term=XP_034272445.1", "XP_034272445.1")</f>
        <v/>
      </c>
      <c r="F6658" t="n">
        <v>38.7</v>
      </c>
      <c r="G6658" t="n">
        <v>142</v>
      </c>
      <c r="H6658" t="n">
        <v>6.68e-15</v>
      </c>
      <c r="I6658" t="inlineStr">
        <is>
          <t>Nr</t>
        </is>
      </c>
      <c r="J6658" t="inlineStr"/>
      <c r="K6658" t="inlineStr"/>
      <c r="L6658" t="inlineStr">
        <is>
          <t>XP_034272445.1 mitogen-activated protein kinase kinase kinase 3 [Pantherophis guttatus]</t>
        </is>
      </c>
      <c r="M6658" t="n">
        <v>1051</v>
      </c>
      <c r="N6658" t="inlineStr">
        <is>
          <t>Pantherophis guttatus</t>
        </is>
      </c>
      <c r="O6658" t="inlineStr">
        <is>
          <t>mitogen-activated protein kinase kinase kinase 3</t>
        </is>
      </c>
    </row>
    <row r="6659">
      <c r="A6659" t="inlineStr"/>
      <c r="B6659" t="inlineStr"/>
      <c r="C6659" t="inlineStr"/>
      <c r="D6659" t="inlineStr"/>
      <c r="E6659">
        <f>HYPERLINK("https://www.ncbi.nlm.nih.gov/gene/?term=XP_032069713.1", "XP_032069713.1")</f>
        <v/>
      </c>
      <c r="F6659" t="n">
        <v>42</v>
      </c>
      <c r="G6659" t="n">
        <v>138</v>
      </c>
      <c r="H6659" t="n">
        <v>6.82e-15</v>
      </c>
      <c r="I6659" t="inlineStr">
        <is>
          <t>Nr</t>
        </is>
      </c>
      <c r="J6659" t="inlineStr"/>
      <c r="K6659" t="inlineStr"/>
      <c r="L6659" t="inlineStr">
        <is>
          <t>XP_032069713.1 uncharacterized protein LOC116506170 [Thamnophis elegans]</t>
        </is>
      </c>
      <c r="M6659" t="n">
        <v>1388</v>
      </c>
      <c r="N6659" t="inlineStr">
        <is>
          <t>Thamnophis elegans</t>
        </is>
      </c>
      <c r="O6659" t="inlineStr">
        <is>
          <t>uncharacterized protein LOC116506170</t>
        </is>
      </c>
    </row>
    <row r="6660">
      <c r="A6660" t="inlineStr"/>
      <c r="B6660" t="inlineStr"/>
      <c r="C6660" t="inlineStr"/>
      <c r="D6660" t="inlineStr"/>
      <c r="E6660">
        <f>HYPERLINK("https://www.uniprot.org/uniprotkb/A0A2D4IZH6/entry", "A0A2D4IZH6")</f>
        <v/>
      </c>
      <c r="F6660" t="n">
        <v>38.9</v>
      </c>
      <c r="G6660" t="n">
        <v>126</v>
      </c>
      <c r="H6660" t="n">
        <v>7.23e-15</v>
      </c>
      <c r="I6660" t="inlineStr">
        <is>
          <t>TrEMBL</t>
        </is>
      </c>
      <c r="J6660" t="inlineStr"/>
      <c r="K6660" t="inlineStr">
        <is>
          <t>A0A2D4IZH6_MICLE</t>
        </is>
      </c>
      <c r="L6660" t="inlineStr">
        <is>
          <t>tr|A0A2D4IZH6|A0A2D4IZH6_MICLE Reverse transcriptase (Fragment) OS=Micrurus lemniscatus lemniscatus OX=129467 PE=4 SV=1</t>
        </is>
      </c>
      <c r="M6660" t="n">
        <v>187</v>
      </c>
      <c r="N6660" t="inlineStr">
        <is>
          <t>Micrurus lemniscatus lemniscatus</t>
        </is>
      </c>
      <c r="O6660" t="inlineStr">
        <is>
          <t>Reverse transcriptase (Fragment)</t>
        </is>
      </c>
    </row>
    <row r="6661">
      <c r="A6661" t="inlineStr"/>
      <c r="B6661" t="inlineStr"/>
      <c r="C6661" t="inlineStr"/>
      <c r="D6661" t="inlineStr"/>
      <c r="E6661">
        <f>HYPERLINK("https://www.ncbi.nlm.nih.gov/gene/?term=XP_034258760.1", "XP_034258760.1")</f>
        <v/>
      </c>
      <c r="F6661" t="n">
        <v>41.2</v>
      </c>
      <c r="G6661" t="n">
        <v>131</v>
      </c>
      <c r="H6661" t="n">
        <v>1.23e-14</v>
      </c>
      <c r="I6661" t="inlineStr">
        <is>
          <t>Nr</t>
        </is>
      </c>
      <c r="J6661" t="inlineStr"/>
      <c r="K6661" t="inlineStr"/>
      <c r="L6661" t="inlineStr">
        <is>
          <t>XP_034258760.1 uncharacterized protein LOC117655422 [Pantherophis guttatus]</t>
        </is>
      </c>
      <c r="M6661" t="n">
        <v>413</v>
      </c>
      <c r="N6661" t="inlineStr">
        <is>
          <t>Pantherophis guttatus</t>
        </is>
      </c>
      <c r="O6661" t="inlineStr">
        <is>
          <t>uncharacterized protein LOC117655422</t>
        </is>
      </c>
    </row>
    <row r="6662">
      <c r="A6662" t="inlineStr"/>
      <c r="B6662" t="inlineStr"/>
      <c r="C6662" t="inlineStr"/>
      <c r="D6662" t="inlineStr"/>
      <c r="E6662">
        <f>HYPERLINK("https://www.ncbi.nlm.nih.gov/gene/?term=XP_034289304.1", "XP_034289304.1")</f>
        <v/>
      </c>
      <c r="F6662" t="n">
        <v>37.8</v>
      </c>
      <c r="G6662" t="n">
        <v>143</v>
      </c>
      <c r="H6662" t="n">
        <v>1.25e-14</v>
      </c>
      <c r="I6662" t="inlineStr">
        <is>
          <t>Nr</t>
        </is>
      </c>
      <c r="J6662" t="inlineStr"/>
      <c r="K6662" t="inlineStr"/>
      <c r="L6662" t="inlineStr">
        <is>
          <t>XP_034289304.1 uncharacterized protein LOC117675085 [Pantherophis guttatus]</t>
        </is>
      </c>
      <c r="M6662" t="n">
        <v>1211</v>
      </c>
      <c r="N6662" t="inlineStr">
        <is>
          <t>Pantherophis guttatus</t>
        </is>
      </c>
      <c r="O6662" t="inlineStr">
        <is>
          <t>uncharacterized protein LOC117675085</t>
        </is>
      </c>
    </row>
    <row r="6663">
      <c r="A6663" t="inlineStr"/>
      <c r="B6663" t="inlineStr"/>
      <c r="C6663" t="inlineStr"/>
      <c r="D6663" t="inlineStr"/>
      <c r="E6663">
        <f>HYPERLINK("https://www.uniprot.org/uniprotkb/A0A6P9B3S0/entry", "A0A6P9B3S0")</f>
        <v/>
      </c>
      <c r="F6663" t="n">
        <v>45.7</v>
      </c>
      <c r="G6663" t="n">
        <v>94</v>
      </c>
      <c r="H6663" t="n">
        <v>2.77e-14</v>
      </c>
      <c r="I6663" t="inlineStr">
        <is>
          <t>TrEMBL</t>
        </is>
      </c>
      <c r="J6663" t="inlineStr">
        <is>
          <t>LOC117661164</t>
        </is>
      </c>
      <c r="K6663" t="inlineStr">
        <is>
          <t>A0A6P9B3S0_PANGU</t>
        </is>
      </c>
      <c r="L6663" t="inlineStr">
        <is>
          <t>tr|A0A6P9B3S0|A0A6P9B3S0_PANGU uncharacterized protein LOC117661164 OS=Pantherophis guttatus OX=94885 GN=LOC117661164 PE=4 SV=1</t>
        </is>
      </c>
      <c r="M6663" t="n">
        <v>513</v>
      </c>
      <c r="N6663" t="inlineStr">
        <is>
          <t>Pantherophis guttatus</t>
        </is>
      </c>
      <c r="O6663" t="inlineStr">
        <is>
          <t>uncharacterized protein LOC117661164</t>
        </is>
      </c>
    </row>
    <row r="6664">
      <c r="A6664" t="inlineStr"/>
      <c r="B6664" t="inlineStr"/>
      <c r="C6664" t="inlineStr"/>
      <c r="D6664" t="inlineStr"/>
      <c r="E6664">
        <f>HYPERLINK("https://www.uniprot.org/uniprotkb/A0A2D4NUW3/entry", "A0A2D4NUW3")</f>
        <v/>
      </c>
      <c r="F6664" t="n">
        <v>44</v>
      </c>
      <c r="G6664" t="n">
        <v>91</v>
      </c>
      <c r="H6664" t="n">
        <v>4.77e-14</v>
      </c>
      <c r="I6664" t="inlineStr">
        <is>
          <t>TrEMBL</t>
        </is>
      </c>
      <c r="J6664" t="inlineStr"/>
      <c r="K6664" t="inlineStr">
        <is>
          <t>A0A2D4NUW3_MICSU</t>
        </is>
      </c>
      <c r="L6664" t="inlineStr">
        <is>
          <t>tr|A0A2D4NUW3|A0A2D4NUW3_MICSU Exostosin domain-containing protein (Fragment) OS=Micrurus surinamensis OX=129470 PE=4 SV=1</t>
        </is>
      </c>
      <c r="M6664" t="n">
        <v>106</v>
      </c>
      <c r="N6664" t="inlineStr">
        <is>
          <t>Micrurus surinamensis</t>
        </is>
      </c>
      <c r="O6664" t="inlineStr">
        <is>
          <t>Exostosin domain-containing protein (Fragment)</t>
        </is>
      </c>
    </row>
    <row r="6665">
      <c r="A6665" t="inlineStr"/>
      <c r="B6665" t="inlineStr"/>
      <c r="C6665" t="inlineStr"/>
      <c r="D6665" t="inlineStr"/>
      <c r="E6665">
        <f>HYPERLINK("https://www.ncbi.nlm.nih.gov/gene/?term=XP_029460045.1", "XP_029460045.1")</f>
        <v/>
      </c>
      <c r="F6665" t="n">
        <v>39.8</v>
      </c>
      <c r="G6665" t="n">
        <v>133</v>
      </c>
      <c r="H6665" t="n">
        <v>4.87e-14</v>
      </c>
      <c r="I6665" t="inlineStr">
        <is>
          <t>Nr</t>
        </is>
      </c>
      <c r="J6665" t="inlineStr"/>
      <c r="K6665" t="inlineStr"/>
      <c r="L6665" t="inlineStr">
        <is>
          <t>XP_029460045.1 uncharacterized protein LOC115092844 isoform X1 [Rhinatrema bivittatum]</t>
        </is>
      </c>
      <c r="M6665" t="n">
        <v>323</v>
      </c>
      <c r="N6665" t="inlineStr">
        <is>
          <t>Rhinatrema bivittatum</t>
        </is>
      </c>
      <c r="O6665" t="inlineStr">
        <is>
          <t>uncharacterized protein LOC115092844 isoform X1</t>
        </is>
      </c>
    </row>
    <row r="6666">
      <c r="A6666" t="inlineStr"/>
      <c r="B6666" t="inlineStr"/>
      <c r="C6666" t="inlineStr"/>
      <c r="D6666" t="inlineStr"/>
      <c r="E6666">
        <f>HYPERLINK("https://www.ncbi.nlm.nih.gov/gene/?term=XP_034265608.1", "XP_034265608.1")</f>
        <v/>
      </c>
      <c r="F6666" t="n">
        <v>45.7</v>
      </c>
      <c r="G6666" t="n">
        <v>94</v>
      </c>
      <c r="H6666" t="n">
        <v>7.12e-14</v>
      </c>
      <c r="I6666" t="inlineStr">
        <is>
          <t>Nr</t>
        </is>
      </c>
      <c r="J6666" t="inlineStr"/>
      <c r="K6666" t="inlineStr"/>
      <c r="L6666" t="inlineStr">
        <is>
          <t>XP_034265608.1 uncharacterized protein LOC117661164 [Pantherophis guttatus]</t>
        </is>
      </c>
      <c r="M6666" t="n">
        <v>513</v>
      </c>
      <c r="N6666" t="inlineStr">
        <is>
          <t>Pantherophis guttatus</t>
        </is>
      </c>
      <c r="O6666" t="inlineStr">
        <is>
          <t>uncharacterized protein LOC117661164</t>
        </is>
      </c>
    </row>
    <row r="6667">
      <c r="A6667" t="inlineStr"/>
      <c r="B6667" t="inlineStr"/>
      <c r="C6667" t="inlineStr"/>
      <c r="D6667" t="inlineStr"/>
      <c r="E6667">
        <f>HYPERLINK("https://www.uniprot.org/uniprotkb/A0A6P9B2X4/entry", "A0A6P9B2X4")</f>
        <v/>
      </c>
      <c r="F6667" t="n">
        <v>45.7</v>
      </c>
      <c r="G6667" t="n">
        <v>94</v>
      </c>
      <c r="H6667" t="n">
        <v>1.15e-13</v>
      </c>
      <c r="I6667" t="inlineStr">
        <is>
          <t>TrEMBL</t>
        </is>
      </c>
      <c r="J6667" t="inlineStr">
        <is>
          <t>LOC117658467</t>
        </is>
      </c>
      <c r="K6667" t="inlineStr">
        <is>
          <t>A0A6P9B2X4_PANGU</t>
        </is>
      </c>
      <c r="L6667" t="inlineStr">
        <is>
          <t>tr|A0A6P9B2X4|A0A6P9B2X4_PANGU uncharacterized protein LOC117658467 OS=Pantherophis guttatus OX=94885 GN=LOC117658467 PE=4 SV=1</t>
        </is>
      </c>
      <c r="M6667" t="n">
        <v>420</v>
      </c>
      <c r="N6667" t="inlineStr">
        <is>
          <t>Pantherophis guttatus</t>
        </is>
      </c>
      <c r="O6667" t="inlineStr">
        <is>
          <t>uncharacterized protein LOC117658467</t>
        </is>
      </c>
    </row>
    <row r="6668">
      <c r="A6668" t="inlineStr"/>
      <c r="B6668" t="inlineStr"/>
      <c r="C6668" t="inlineStr"/>
      <c r="D6668" t="inlineStr"/>
      <c r="E6668">
        <f>HYPERLINK("https://www.uniprot.org/uniprotkb/A0A2D4KIK5/entry", "A0A2D4KIK5")</f>
        <v/>
      </c>
      <c r="F6668" t="n">
        <v>41.9</v>
      </c>
      <c r="G6668" t="n">
        <v>93</v>
      </c>
      <c r="H6668" t="n">
        <v>1.23e-13</v>
      </c>
      <c r="I6668" t="inlineStr">
        <is>
          <t>TrEMBL</t>
        </is>
      </c>
      <c r="J6668" t="inlineStr"/>
      <c r="K6668" t="inlineStr">
        <is>
          <t>A0A2D4KIK5_9SAUR</t>
        </is>
      </c>
      <c r="L6668" t="inlineStr">
        <is>
          <t>tr|A0A2D4KIK5|A0A2D4KIK5_9SAUR Lipopolysaccharide heptosyltransferase III OS=Micrurus paraensis OX=1970185 PE=4 SV=1</t>
        </is>
      </c>
      <c r="M6668" t="n">
        <v>176</v>
      </c>
      <c r="N6668" t="inlineStr">
        <is>
          <t>Micrurus paraensis</t>
        </is>
      </c>
      <c r="O6668" t="inlineStr">
        <is>
          <t>Lipopolysaccharide heptosyltransferase III</t>
        </is>
      </c>
    </row>
    <row r="6669">
      <c r="A6669" t="inlineStr"/>
      <c r="B6669" t="inlineStr"/>
      <c r="C6669" t="inlineStr"/>
      <c r="D6669" t="inlineStr"/>
      <c r="E6669">
        <f>HYPERLINK("https://www.uniprot.org/uniprotkb/A0A2D4KIP0/entry", "A0A2D4KIP0")</f>
        <v/>
      </c>
      <c r="F6669" t="n">
        <v>41.9</v>
      </c>
      <c r="G6669" t="n">
        <v>93</v>
      </c>
      <c r="H6669" t="n">
        <v>2.28e-13</v>
      </c>
      <c r="I6669" t="inlineStr">
        <is>
          <t>TrEMBL</t>
        </is>
      </c>
      <c r="J6669" t="inlineStr"/>
      <c r="K6669" t="inlineStr">
        <is>
          <t>A0A2D4KIP0_9SAUR</t>
        </is>
      </c>
      <c r="L6669" t="inlineStr">
        <is>
          <t>tr|A0A2D4KIP0|A0A2D4KIP0_9SAUR Endonuclease (Fragment) OS=Micrurus paraensis OX=1970185 PE=4 SV=1</t>
        </is>
      </c>
      <c r="M6669" t="n">
        <v>190</v>
      </c>
      <c r="N6669" t="inlineStr">
        <is>
          <t>Micrurus paraensis</t>
        </is>
      </c>
      <c r="O6669" t="inlineStr">
        <is>
          <t>Endonuclease (Fragment)</t>
        </is>
      </c>
    </row>
    <row r="6670">
      <c r="A6670" t="inlineStr"/>
      <c r="B6670" t="inlineStr"/>
      <c r="C6670" t="inlineStr"/>
      <c r="D6670" t="inlineStr"/>
      <c r="E6670">
        <f>HYPERLINK("https://www.ncbi.nlm.nih.gov/gene/?term=XP_034262485.1", "XP_034262485.1")</f>
        <v/>
      </c>
      <c r="F6670" t="n">
        <v>45.7</v>
      </c>
      <c r="G6670" t="n">
        <v>94</v>
      </c>
      <c r="H6670" t="n">
        <v>2.94e-13</v>
      </c>
      <c r="I6670" t="inlineStr">
        <is>
          <t>Nr</t>
        </is>
      </c>
      <c r="J6670" t="inlineStr"/>
      <c r="K6670" t="inlineStr"/>
      <c r="L6670" t="inlineStr">
        <is>
          <t>XP_034262485.1 uncharacterized protein LOC117658467 [Pantherophis guttatus]</t>
        </is>
      </c>
      <c r="M6670" t="n">
        <v>420</v>
      </c>
      <c r="N6670" t="inlineStr">
        <is>
          <t>Pantherophis guttatus</t>
        </is>
      </c>
      <c r="O6670" t="inlineStr">
        <is>
          <t>uncharacterized protein LOC117658467</t>
        </is>
      </c>
    </row>
    <row r="6671">
      <c r="A6671" t="inlineStr"/>
      <c r="B6671" t="inlineStr"/>
      <c r="C6671" t="inlineStr"/>
      <c r="D6671" t="inlineStr"/>
      <c r="E6671">
        <f>HYPERLINK("https://www.ncbi.nlm.nih.gov/gene/?term=XP_040297773.1", "XP_040297773.1")</f>
        <v/>
      </c>
      <c r="F6671" t="n">
        <v>51.3</v>
      </c>
      <c r="G6671" t="n">
        <v>78</v>
      </c>
      <c r="H6671" t="n">
        <v>4.35e-13</v>
      </c>
      <c r="I6671" t="inlineStr">
        <is>
          <t>Nr</t>
        </is>
      </c>
      <c r="J6671" t="inlineStr"/>
      <c r="K6671" t="inlineStr"/>
      <c r="L6671" t="inlineStr">
        <is>
          <t>XP_040297773.1 uncharacterized protein LOC121008982 [Bufo bufo]</t>
        </is>
      </c>
      <c r="M6671" t="n">
        <v>254</v>
      </c>
      <c r="N6671" t="inlineStr">
        <is>
          <t>Bufo bufo</t>
        </is>
      </c>
      <c r="O6671" t="inlineStr">
        <is>
          <t>uncharacterized protein LOC121008982</t>
        </is>
      </c>
    </row>
    <row r="6672">
      <c r="A6672" t="inlineStr"/>
      <c r="B6672" t="inlineStr"/>
      <c r="C6672" t="inlineStr"/>
      <c r="D6672" t="inlineStr"/>
      <c r="E6672">
        <f>HYPERLINK("https://www.ncbi.nlm.nih.gov/gene/?term=XP_040286209.1", "XP_040286209.1")</f>
        <v/>
      </c>
      <c r="F6672" t="n">
        <v>42.2</v>
      </c>
      <c r="G6672" t="n">
        <v>116</v>
      </c>
      <c r="H6672" t="n">
        <v>5.44e-13</v>
      </c>
      <c r="I6672" t="inlineStr">
        <is>
          <t>Nr</t>
        </is>
      </c>
      <c r="J6672" t="inlineStr"/>
      <c r="K6672" t="inlineStr"/>
      <c r="L6672" t="inlineStr">
        <is>
          <t>XP_040286209.1 dynein heavy chain 8, axonemal [Bufo bufo]</t>
        </is>
      </c>
      <c r="M6672" t="n">
        <v>5444</v>
      </c>
      <c r="N6672" t="inlineStr">
        <is>
          <t>Bufo bufo</t>
        </is>
      </c>
      <c r="O6672" t="inlineStr">
        <is>
          <t>dynein heavy chain 8, axonemal</t>
        </is>
      </c>
    </row>
    <row r="6673">
      <c r="A6673" t="inlineStr"/>
      <c r="B6673" t="inlineStr"/>
      <c r="C6673" t="inlineStr"/>
      <c r="D6673" t="inlineStr"/>
      <c r="E6673">
        <f>HYPERLINK("https://www.uniprot.org/uniprotkb/A0A2D4LRU5/entry", "A0A2D4LRU5")</f>
        <v/>
      </c>
      <c r="F6673" t="n">
        <v>47.6</v>
      </c>
      <c r="G6673" t="n">
        <v>82</v>
      </c>
      <c r="H6673" t="n">
        <v>5.71e-13</v>
      </c>
      <c r="I6673" t="inlineStr">
        <is>
          <t>TrEMBL</t>
        </is>
      </c>
      <c r="J6673" t="inlineStr"/>
      <c r="K6673" t="inlineStr">
        <is>
          <t>A0A2D4LRU5_9SAUR</t>
        </is>
      </c>
      <c r="L6673" t="inlineStr">
        <is>
          <t>tr|A0A2D4LRU5|A0A2D4LRU5_9SAUR Core-binding (CB) domain-containing protein (Fragment) OS=Micrurus spixii OX=129469 PE=4 SV=1</t>
        </is>
      </c>
      <c r="M6673" t="n">
        <v>348</v>
      </c>
      <c r="N6673" t="inlineStr">
        <is>
          <t>Micrurus spixii</t>
        </is>
      </c>
      <c r="O6673" t="inlineStr">
        <is>
          <t>Core-binding (CB) domain-containing protein (Fragment)</t>
        </is>
      </c>
    </row>
    <row r="6674">
      <c r="A6674" t="inlineStr"/>
      <c r="B6674" t="inlineStr"/>
      <c r="C6674" t="inlineStr"/>
      <c r="D6674" t="inlineStr"/>
      <c r="E6674">
        <f>HYPERLINK("https://www.uniprot.org/uniprotkb/A0A2D4G518/entry", "A0A2D4G518")</f>
        <v/>
      </c>
      <c r="F6674" t="n">
        <v>43.3</v>
      </c>
      <c r="G6674" t="n">
        <v>90</v>
      </c>
      <c r="H6674" t="n">
        <v>6.5e-13</v>
      </c>
      <c r="I6674" t="inlineStr">
        <is>
          <t>TrEMBL</t>
        </is>
      </c>
      <c r="J6674" t="inlineStr"/>
      <c r="K6674" t="inlineStr">
        <is>
          <t>A0A2D4G518_MICCO</t>
        </is>
      </c>
      <c r="L6674" t="inlineStr">
        <is>
          <t>tr|A0A2D4G518|A0A2D4G518_MICCO Reverse transcriptase domain-containing protein (Fragment) OS=Micrurus corallinus OX=54390 PE=4 SV=1</t>
        </is>
      </c>
      <c r="M6674" t="n">
        <v>158</v>
      </c>
      <c r="N6674" t="inlineStr">
        <is>
          <t>Micrurus corallinus</t>
        </is>
      </c>
      <c r="O6674" t="inlineStr">
        <is>
          <t>Reverse transcriptase domain-containing protein (Fragment)</t>
        </is>
      </c>
    </row>
    <row r="6675">
      <c r="A6675" t="inlineStr"/>
      <c r="B6675" t="inlineStr"/>
      <c r="C6675" t="inlineStr"/>
      <c r="D6675" t="inlineStr"/>
      <c r="E6675">
        <f>HYPERLINK("https://www.ncbi.nlm.nih.gov/gene/?term=XP_039179600.1", "XP_039179600.1")</f>
        <v/>
      </c>
      <c r="F6675" t="n">
        <v>42</v>
      </c>
      <c r="G6675" t="n">
        <v>150</v>
      </c>
      <c r="H6675" t="n">
        <v>6.93e-13</v>
      </c>
      <c r="I6675" t="inlineStr">
        <is>
          <t>Nr</t>
        </is>
      </c>
      <c r="J6675" t="inlineStr"/>
      <c r="K6675" t="inlineStr"/>
      <c r="L6675" t="inlineStr">
        <is>
          <t>XP_039179600.1 uncharacterized protein LOC120299160 isoform X1 [Crotalus tigris]</t>
        </is>
      </c>
      <c r="M6675" t="n">
        <v>392</v>
      </c>
      <c r="N6675" t="inlineStr">
        <is>
          <t>Crotalus tigris</t>
        </is>
      </c>
      <c r="O6675" t="inlineStr">
        <is>
          <t>uncharacterized protein LOC120299160 isoform X1</t>
        </is>
      </c>
    </row>
    <row r="6676">
      <c r="A6676" t="inlineStr"/>
      <c r="B6676" t="inlineStr"/>
      <c r="C6676" t="inlineStr"/>
      <c r="D6676" t="inlineStr"/>
      <c r="E6676">
        <f>HYPERLINK("https://www.uniprot.org/uniprotkb/A0A2D4LRU9/entry", "A0A2D4LRU9")</f>
        <v/>
      </c>
      <c r="F6676" t="n">
        <v>47.6</v>
      </c>
      <c r="G6676" t="n">
        <v>82</v>
      </c>
      <c r="H6676" t="n">
        <v>7.79e-13</v>
      </c>
      <c r="I6676" t="inlineStr">
        <is>
          <t>TrEMBL</t>
        </is>
      </c>
      <c r="J6676" t="inlineStr"/>
      <c r="K6676" t="inlineStr">
        <is>
          <t>A0A2D4LRU9_9SAUR</t>
        </is>
      </c>
      <c r="L6676" t="inlineStr">
        <is>
          <t>tr|A0A2D4LRU9|A0A2D4LRU9_9SAUR Core-binding (CB) domain-containing protein (Fragment) OS=Micrurus spixii OX=129469 PE=4 SV=1</t>
        </is>
      </c>
      <c r="M6676" t="n">
        <v>438</v>
      </c>
      <c r="N6676" t="inlineStr">
        <is>
          <t>Micrurus spixii</t>
        </is>
      </c>
      <c r="O6676" t="inlineStr">
        <is>
          <t>Core-binding (CB) domain-containing protein (Fragment)</t>
        </is>
      </c>
    </row>
    <row r="6677">
      <c r="A6677" t="inlineStr"/>
      <c r="B6677" t="inlineStr"/>
      <c r="C6677" t="inlineStr"/>
      <c r="D6677" t="inlineStr"/>
      <c r="E6677">
        <f>HYPERLINK("https://www.uniprot.org/uniprotkb/A0A2D4KIM1/entry", "A0A2D4KIM1")</f>
        <v/>
      </c>
      <c r="F6677" t="n">
        <v>44</v>
      </c>
      <c r="G6677" t="n">
        <v>84</v>
      </c>
      <c r="H6677" t="n">
        <v>7.88e-13</v>
      </c>
      <c r="I6677" t="inlineStr">
        <is>
          <t>TrEMBL</t>
        </is>
      </c>
      <c r="J6677" t="inlineStr"/>
      <c r="K6677" t="inlineStr">
        <is>
          <t>A0A2D4KIM1_9SAUR</t>
        </is>
      </c>
      <c r="L6677" t="inlineStr">
        <is>
          <t>tr|A0A2D4KIM1|A0A2D4KIM1_9SAUR HTH cro/C1-type domain-containing protein (Fragment) OS=Micrurus paraensis OX=1970185 PE=4 SV=1</t>
        </is>
      </c>
      <c r="M6677" t="n">
        <v>184</v>
      </c>
      <c r="N6677" t="inlineStr">
        <is>
          <t>Micrurus paraensis</t>
        </is>
      </c>
      <c r="O6677" t="inlineStr">
        <is>
          <t>HTH cro/C1-type domain-containing protein (Fragment)</t>
        </is>
      </c>
    </row>
    <row r="6678">
      <c r="A6678" t="inlineStr"/>
      <c r="B6678" t="inlineStr"/>
      <c r="C6678" t="inlineStr"/>
      <c r="D6678" t="inlineStr"/>
      <c r="E6678">
        <f>HYPERLINK("https://www.ncbi.nlm.nih.gov/gene/?term=XP_014353257.1", "XP_014353257.1")</f>
        <v/>
      </c>
      <c r="F6678" t="n">
        <v>42.9</v>
      </c>
      <c r="G6678" t="n">
        <v>84</v>
      </c>
      <c r="H6678" t="n">
        <v>1.1e-12</v>
      </c>
      <c r="I6678" t="inlineStr">
        <is>
          <t>Nr</t>
        </is>
      </c>
      <c r="J6678" t="inlineStr"/>
      <c r="K6678" t="inlineStr"/>
      <c r="L6678" t="inlineStr">
        <is>
          <t>XP_014353257.1 PREDICTED: uncharacterized protein LOC106706602 [Latimeria chalumnae]</t>
        </is>
      </c>
      <c r="M6678" t="n">
        <v>308</v>
      </c>
      <c r="N6678" t="inlineStr">
        <is>
          <t>Latimeria chalumnae</t>
        </is>
      </c>
      <c r="O6678" t="inlineStr">
        <is>
          <t>PREDICTED: uncharacterized protein LOC106706602</t>
        </is>
      </c>
    </row>
    <row r="6679">
      <c r="A6679" t="inlineStr"/>
      <c r="B6679" t="inlineStr"/>
      <c r="C6679" t="inlineStr"/>
      <c r="D6679" t="inlineStr"/>
      <c r="E6679">
        <f>HYPERLINK("https://www.ncbi.nlm.nih.gov/gene/?term=XP_041453598.1", "XP_041453598.1")</f>
        <v/>
      </c>
      <c r="F6679" t="n">
        <v>35.8</v>
      </c>
      <c r="G6679" t="n">
        <v>137</v>
      </c>
      <c r="H6679" t="n">
        <v>1.18e-12</v>
      </c>
      <c r="I6679" t="inlineStr">
        <is>
          <t>Nr</t>
        </is>
      </c>
      <c r="J6679" t="inlineStr"/>
      <c r="K6679" t="inlineStr"/>
      <c r="L6679" t="inlineStr">
        <is>
          <t>XP_041453598.1 uncharacterized protein LOC121406794 [Lytechinus variegatus]</t>
        </is>
      </c>
      <c r="M6679" t="n">
        <v>545</v>
      </c>
      <c r="N6679" t="inlineStr">
        <is>
          <t>Lytechinus variegatus</t>
        </is>
      </c>
      <c r="O6679" t="inlineStr">
        <is>
          <t>uncharacterized protein LOC121406794</t>
        </is>
      </c>
    </row>
    <row r="6680">
      <c r="A6680" t="inlineStr"/>
      <c r="B6680" t="inlineStr"/>
      <c r="C6680" t="inlineStr"/>
      <c r="D6680" t="inlineStr"/>
      <c r="E6680">
        <f>HYPERLINK("https://www.ncbi.nlm.nih.gov/gene/?term=KAG8573945.1", "KAG8573945.1")</f>
        <v/>
      </c>
      <c r="F6680" t="n">
        <v>36.6</v>
      </c>
      <c r="G6680" t="n">
        <v>131</v>
      </c>
      <c r="H6680" t="n">
        <v>1.53e-12</v>
      </c>
      <c r="I6680" t="inlineStr">
        <is>
          <t>Nr</t>
        </is>
      </c>
      <c r="J6680" t="inlineStr"/>
      <c r="K6680" t="inlineStr"/>
      <c r="L6680" t="inlineStr">
        <is>
          <t>KAG8573945.1 hypothetical protein GDO81_008956 [Engystomops pustulosus]</t>
        </is>
      </c>
      <c r="M6680" t="n">
        <v>226</v>
      </c>
      <c r="N6680" t="inlineStr">
        <is>
          <t>Engystomops pustulosus</t>
        </is>
      </c>
      <c r="O6680" t="inlineStr">
        <is>
          <t>hypothetical protein GDO81_008956</t>
        </is>
      </c>
    </row>
    <row r="6681">
      <c r="A6681" t="inlineStr"/>
      <c r="B6681" t="inlineStr"/>
      <c r="C6681" t="inlineStr"/>
      <c r="D6681" t="inlineStr"/>
      <c r="E6681">
        <f>HYPERLINK("https://www.ncbi.nlm.nih.gov/gene/?term=XP_034262617.1", "XP_034262617.1")</f>
        <v/>
      </c>
      <c r="F6681" t="n">
        <v>45.7</v>
      </c>
      <c r="G6681" t="n">
        <v>94</v>
      </c>
      <c r="H6681" t="n">
        <v>3.85e-12</v>
      </c>
      <c r="I6681" t="inlineStr">
        <is>
          <t>Nr</t>
        </is>
      </c>
      <c r="J6681" t="inlineStr"/>
      <c r="K6681" t="inlineStr"/>
      <c r="L6681" t="inlineStr">
        <is>
          <t>XP_034262617.1 uncharacterized protein LOC117658602 [Pantherophis guttatus]</t>
        </is>
      </c>
      <c r="M6681" t="n">
        <v>303</v>
      </c>
      <c r="N6681" t="inlineStr">
        <is>
          <t>Pantherophis guttatus</t>
        </is>
      </c>
      <c r="O6681" t="inlineStr">
        <is>
          <t>uncharacterized protein LOC117658602</t>
        </is>
      </c>
    </row>
    <row r="6682">
      <c r="A6682" t="inlineStr"/>
      <c r="B6682" t="inlineStr"/>
      <c r="C6682" t="inlineStr"/>
      <c r="D6682" t="inlineStr"/>
      <c r="E6682">
        <f>HYPERLINK("https://www.ncbi.nlm.nih.gov/gene/?term=XP_044130116.1", "XP_044130116.1")</f>
        <v/>
      </c>
      <c r="F6682" t="n">
        <v>32</v>
      </c>
      <c r="G6682" t="n">
        <v>175</v>
      </c>
      <c r="H6682" t="n">
        <v>5.31e-11</v>
      </c>
      <c r="I6682" t="inlineStr">
        <is>
          <t>Nr</t>
        </is>
      </c>
      <c r="J6682" t="inlineStr"/>
      <c r="K6682" t="inlineStr"/>
      <c r="L6682" t="inlineStr">
        <is>
          <t>XP_044130116.1 solute carrier family 35 member F5 [Bufo gargarizans]</t>
        </is>
      </c>
      <c r="M6682" t="n">
        <v>1106</v>
      </c>
      <c r="N6682" t="inlineStr">
        <is>
          <t>Bufo gargarizans</t>
        </is>
      </c>
      <c r="O6682" t="inlineStr">
        <is>
          <t>solute carrier family 35 member F5</t>
        </is>
      </c>
    </row>
    <row r="6683">
      <c r="A6683" t="inlineStr"/>
      <c r="B6683" t="inlineStr"/>
      <c r="C6683" t="inlineStr"/>
      <c r="D6683" t="inlineStr"/>
      <c r="E6683">
        <f>HYPERLINK("https://www.ncbi.nlm.nih.gov/gene/?term=XP_044134874.1", "XP_044134874.1")</f>
        <v/>
      </c>
      <c r="F6683" t="n">
        <v>31.3</v>
      </c>
      <c r="G6683" t="n">
        <v>160</v>
      </c>
      <c r="H6683" t="n">
        <v>1.12e-09</v>
      </c>
      <c r="I6683" t="inlineStr">
        <is>
          <t>Nr</t>
        </is>
      </c>
      <c r="J6683" t="inlineStr"/>
      <c r="K6683" t="inlineStr"/>
      <c r="L6683" t="inlineStr">
        <is>
          <t>XP_044134874.1 F-box/WD repeat-containing protein 9 isoform X1 [Bufo gargarizans]</t>
        </is>
      </c>
      <c r="M6683" t="n">
        <v>787</v>
      </c>
      <c r="N6683" t="inlineStr">
        <is>
          <t>Bufo gargarizans</t>
        </is>
      </c>
      <c r="O6683" t="inlineStr">
        <is>
          <t>F-box/WD repeat-containing protein 9 isoform X1</t>
        </is>
      </c>
    </row>
    <row r="6684">
      <c r="A6684" t="inlineStr"/>
      <c r="B6684" t="inlineStr"/>
      <c r="C6684" t="inlineStr"/>
      <c r="D6684" t="inlineStr"/>
      <c r="E6684">
        <f>HYPERLINK("https://www.uniprot.org/uniprotkb/A0A8C5PV42/entry", "A0A8C5PV42")</f>
        <v/>
      </c>
      <c r="F6684" t="n">
        <v>33.5</v>
      </c>
      <c r="G6684" t="n">
        <v>176</v>
      </c>
      <c r="H6684" t="n">
        <v>6.62e-09</v>
      </c>
      <c r="I6684" t="inlineStr">
        <is>
          <t>TrEMBL</t>
        </is>
      </c>
      <c r="J6684" t="inlineStr"/>
      <c r="K6684" t="inlineStr">
        <is>
          <t>A0A8C5PV42_9ANUR</t>
        </is>
      </c>
      <c r="L6684" t="inlineStr">
        <is>
          <t>tr|A0A8C5PV42|A0A8C5PV42_9ANUR ribonuclease H OS=Leptobrachium leishanense OX=445787 PE=3 SV=1</t>
        </is>
      </c>
      <c r="M6684" t="n">
        <v>577</v>
      </c>
      <c r="N6684" t="inlineStr">
        <is>
          <t>Leptobrachium leishanense</t>
        </is>
      </c>
      <c r="O6684" t="inlineStr">
        <is>
          <t>ribonuclease H</t>
        </is>
      </c>
    </row>
    <row r="6685">
      <c r="A6685" t="inlineStr"/>
      <c r="B6685" t="inlineStr"/>
      <c r="C6685" t="inlineStr"/>
      <c r="D6685" t="inlineStr"/>
      <c r="E6685">
        <f>HYPERLINK("https://www.ncbi.nlm.nih.gov/gene/?term=XP_044151545.1", "XP_044151545.1")</f>
        <v/>
      </c>
      <c r="F6685" t="n">
        <v>27.6</v>
      </c>
      <c r="G6685" t="n">
        <v>181</v>
      </c>
      <c r="H6685" t="n">
        <v>1.03e-08</v>
      </c>
      <c r="I6685" t="inlineStr">
        <is>
          <t>Nr</t>
        </is>
      </c>
      <c r="J6685" t="inlineStr"/>
      <c r="K6685" t="inlineStr"/>
      <c r="L6685" t="inlineStr">
        <is>
          <t>XP_044151545.1 nuclear pore complex protein Nup155 [Bufo gargarizans]</t>
        </is>
      </c>
      <c r="M6685" t="n">
        <v>1594</v>
      </c>
      <c r="N6685" t="inlineStr">
        <is>
          <t>Bufo gargarizans</t>
        </is>
      </c>
      <c r="O6685" t="inlineStr">
        <is>
          <t>nuclear pore complex protein Nup155</t>
        </is>
      </c>
    </row>
    <row r="6686">
      <c r="A6686" t="inlineStr"/>
      <c r="B6686" t="inlineStr"/>
      <c r="C6686" t="inlineStr"/>
      <c r="D6686" t="inlineStr"/>
      <c r="E6686">
        <f>HYPERLINK("https://www.ncbi.nlm.nih.gov/gene/?term=XP_029441229.1", "XP_029441229.1")</f>
        <v/>
      </c>
      <c r="F6686" t="n">
        <v>30.1</v>
      </c>
      <c r="G6686" t="n">
        <v>173</v>
      </c>
      <c r="H6686" t="n">
        <v>1.74e-08</v>
      </c>
      <c r="I6686" t="inlineStr">
        <is>
          <t>Nr</t>
        </is>
      </c>
      <c r="J6686" t="inlineStr"/>
      <c r="K6686" t="inlineStr"/>
      <c r="L6686" t="inlineStr">
        <is>
          <t>XP_029441229.1 uncharacterized protein LOC115080906 [Rhinatrema bivittatum]</t>
        </is>
      </c>
      <c r="M6686" t="n">
        <v>654</v>
      </c>
      <c r="N6686" t="inlineStr">
        <is>
          <t>Rhinatrema bivittatum</t>
        </is>
      </c>
      <c r="O6686" t="inlineStr">
        <is>
          <t>uncharacterized protein LOC115080906</t>
        </is>
      </c>
    </row>
    <row r="6687">
      <c r="A6687" t="inlineStr"/>
      <c r="B6687" t="inlineStr"/>
      <c r="C6687" t="inlineStr"/>
      <c r="D6687" t="inlineStr"/>
      <c r="E6687">
        <f>HYPERLINK("https://www.ncbi.nlm.nih.gov/gene/?term=XP_029455053.1", "XP_029455053.1")</f>
        <v/>
      </c>
      <c r="F6687" t="n">
        <v>30.1</v>
      </c>
      <c r="G6687" t="n">
        <v>173</v>
      </c>
      <c r="H6687" t="n">
        <v>1.74e-08</v>
      </c>
      <c r="I6687" t="inlineStr">
        <is>
          <t>Nr</t>
        </is>
      </c>
      <c r="J6687" t="inlineStr"/>
      <c r="K6687" t="inlineStr"/>
      <c r="L6687" t="inlineStr">
        <is>
          <t>XP_029455053.1 uncharacterized protein LOC115090287 [Rhinatrema bivittatum]</t>
        </is>
      </c>
      <c r="M6687" t="n">
        <v>654</v>
      </c>
      <c r="N6687" t="inlineStr">
        <is>
          <t>Rhinatrema bivittatum</t>
        </is>
      </c>
      <c r="O6687" t="inlineStr">
        <is>
          <t>uncharacterized protein LOC115090287</t>
        </is>
      </c>
    </row>
    <row r="6688">
      <c r="A6688" t="inlineStr"/>
      <c r="B6688" t="inlineStr"/>
      <c r="C6688" t="inlineStr"/>
      <c r="D6688" t="inlineStr"/>
      <c r="E6688">
        <f>HYPERLINK("https://www.ncbi.nlm.nih.gov/gene/?term=XP_018432223.1", "XP_018432223.1")</f>
        <v/>
      </c>
      <c r="F6688" t="n">
        <v>32</v>
      </c>
      <c r="G6688" t="n">
        <v>169</v>
      </c>
      <c r="H6688" t="n">
        <v>1.95e-08</v>
      </c>
      <c r="I6688" t="inlineStr">
        <is>
          <t>Nr</t>
        </is>
      </c>
      <c r="J6688" t="inlineStr"/>
      <c r="K6688" t="inlineStr"/>
      <c r="L6688" t="inlineStr">
        <is>
          <t>XP_018432223.1 PREDICTED: gamma-tubulin complex component 6 [Nanorana parkeri]</t>
        </is>
      </c>
      <c r="M6688" t="n">
        <v>2620</v>
      </c>
      <c r="N6688" t="inlineStr">
        <is>
          <t>Nanorana parkeri</t>
        </is>
      </c>
      <c r="O6688" t="inlineStr">
        <is>
          <t>PREDICTED: gamma-tubulin complex component 6</t>
        </is>
      </c>
    </row>
    <row r="6689">
      <c r="A6689" t="inlineStr"/>
      <c r="B6689" t="inlineStr"/>
      <c r="C6689" t="inlineStr"/>
      <c r="D6689" t="inlineStr"/>
      <c r="E6689">
        <f>HYPERLINK("https://www.uniprot.org/uniprotkb/A0A8J1M8F0/entry", "A0A8J1M8F0")</f>
        <v/>
      </c>
      <c r="F6689" t="n">
        <v>26.5</v>
      </c>
      <c r="G6689" t="n">
        <v>170</v>
      </c>
      <c r="H6689" t="n">
        <v>1.98e-07</v>
      </c>
      <c r="I6689" t="inlineStr">
        <is>
          <t>TrEMBL</t>
        </is>
      </c>
      <c r="J6689" t="inlineStr">
        <is>
          <t>pfkfb2.L</t>
        </is>
      </c>
      <c r="K6689" t="inlineStr">
        <is>
          <t>A0A8J1M8F0_XENLA</t>
        </is>
      </c>
      <c r="L6689" t="inlineStr">
        <is>
          <t>tr|A0A8J1M8F0|A0A8J1M8F0_XENLA ribonuclease H OS=Xenopus laevis OX=8355 GN=pfkfb2.L PE=3 SV=1</t>
        </is>
      </c>
      <c r="M6689" t="n">
        <v>615</v>
      </c>
      <c r="N6689" t="inlineStr">
        <is>
          <t>Xenopus laevis</t>
        </is>
      </c>
      <c r="O6689" t="inlineStr">
        <is>
          <t>ribonuclease H</t>
        </is>
      </c>
    </row>
    <row r="6690">
      <c r="A6690" t="inlineStr"/>
      <c r="B6690" t="inlineStr"/>
      <c r="C6690" t="inlineStr"/>
      <c r="D6690" t="inlineStr"/>
      <c r="E6690">
        <f>HYPERLINK("https://www.ncbi.nlm.nih.gov/gene/?term=XP_044151474.1", "XP_044151474.1")</f>
        <v/>
      </c>
      <c r="F6690" t="n">
        <v>28.8</v>
      </c>
      <c r="G6690" t="n">
        <v>163</v>
      </c>
      <c r="H6690" t="n">
        <v>2.91e-07</v>
      </c>
      <c r="I6690" t="inlineStr">
        <is>
          <t>Nr</t>
        </is>
      </c>
      <c r="J6690" t="inlineStr"/>
      <c r="K6690" t="inlineStr"/>
      <c r="L6690" t="inlineStr">
        <is>
          <t>XP_044151474.1 serine/threonine-protein kinase 31 [Bufo gargarizans]</t>
        </is>
      </c>
      <c r="M6690" t="n">
        <v>925</v>
      </c>
      <c r="N6690" t="inlineStr">
        <is>
          <t>Bufo gargarizans</t>
        </is>
      </c>
      <c r="O6690" t="inlineStr">
        <is>
          <t>serine/threonine-protein kinase 31</t>
        </is>
      </c>
    </row>
    <row r="6691">
      <c r="A6691" t="inlineStr"/>
      <c r="B6691" t="inlineStr"/>
      <c r="C6691" t="inlineStr"/>
      <c r="D6691" t="inlineStr"/>
      <c r="E6691">
        <f>HYPERLINK("https://www.uniprot.org/uniprotkb/A0A8J1KMD2/entry", "A0A8J1KMD2")</f>
        <v/>
      </c>
      <c r="F6691" t="n">
        <v>30.3</v>
      </c>
      <c r="G6691" t="n">
        <v>175</v>
      </c>
      <c r="H6691" t="n">
        <v>3.93e-07</v>
      </c>
      <c r="I6691" t="inlineStr">
        <is>
          <t>TrEMBL</t>
        </is>
      </c>
      <c r="J6691" t="inlineStr">
        <is>
          <t>LOC121393601</t>
        </is>
      </c>
      <c r="K6691" t="inlineStr">
        <is>
          <t>A0A8J1KMD2_XENLA</t>
        </is>
      </c>
      <c r="L6691" t="inlineStr">
        <is>
          <t>tr|A0A8J1KMD2|A0A8J1KMD2_XENLA ribonuclease H OS=Xenopus laevis OX=8355 GN=LOC121393601 PE=3 SV=1</t>
        </is>
      </c>
      <c r="M6691" t="n">
        <v>1091</v>
      </c>
      <c r="N6691" t="inlineStr">
        <is>
          <t>Xenopus laevis</t>
        </is>
      </c>
      <c r="O6691" t="inlineStr">
        <is>
          <t>ribonuclease H</t>
        </is>
      </c>
    </row>
    <row r="6692">
      <c r="A6692" t="inlineStr"/>
      <c r="B6692" t="inlineStr"/>
      <c r="C6692" t="inlineStr"/>
      <c r="D6692" t="inlineStr"/>
      <c r="E6692">
        <f>HYPERLINK("https://www.ncbi.nlm.nih.gov/gene/?term=XP_041437982.1", "XP_041437982.1")</f>
        <v/>
      </c>
      <c r="F6692" t="n">
        <v>26.5</v>
      </c>
      <c r="G6692" t="n">
        <v>170</v>
      </c>
      <c r="H6692" t="n">
        <v>5.08e-07</v>
      </c>
      <c r="I6692" t="inlineStr">
        <is>
          <t>Nr</t>
        </is>
      </c>
      <c r="J6692" t="inlineStr"/>
      <c r="K6692" t="inlineStr"/>
      <c r="L6692" t="inlineStr">
        <is>
          <t>XP_041437982.1 uncharacterized protein pfkfb2.L isoform X1 [Xenopus laevis]</t>
        </is>
      </c>
      <c r="M6692" t="n">
        <v>615</v>
      </c>
      <c r="N6692" t="inlineStr">
        <is>
          <t>Xenopus laevis</t>
        </is>
      </c>
      <c r="O6692" t="inlineStr">
        <is>
          <t>uncharacterized protein pfkfb2.L isoform X1</t>
        </is>
      </c>
    </row>
    <row r="6693">
      <c r="A6693" t="inlineStr"/>
      <c r="B6693" t="inlineStr"/>
      <c r="C6693" t="inlineStr"/>
      <c r="D6693" t="inlineStr"/>
      <c r="E6693">
        <f>HYPERLINK("https://www.uniprot.org/uniprotkb/A0A8J0TTX0/entry", "A0A8J0TTX0")</f>
        <v/>
      </c>
      <c r="F6693" t="n">
        <v>27.6</v>
      </c>
      <c r="G6693" t="n">
        <v>156</v>
      </c>
      <c r="H6693" t="n">
        <v>5.75e-07</v>
      </c>
      <c r="I6693" t="inlineStr">
        <is>
          <t>TrEMBL</t>
        </is>
      </c>
      <c r="J6693" t="inlineStr">
        <is>
          <t>LOC108701228</t>
        </is>
      </c>
      <c r="K6693" t="inlineStr">
        <is>
          <t>A0A8J0TTX0_XENLA</t>
        </is>
      </c>
      <c r="L6693" t="inlineStr">
        <is>
          <t>tr|A0A8J0TTX0|A0A8J0TTX0_XENLA uncharacterized protein LOC108701228 OS=Xenopus laevis OX=8355 GN=LOC108701228 PE=4 SV=1</t>
        </is>
      </c>
      <c r="M6693" t="n">
        <v>353</v>
      </c>
      <c r="N6693" t="inlineStr">
        <is>
          <t>Xenopus laevis</t>
        </is>
      </c>
      <c r="O6693" t="inlineStr">
        <is>
          <t>uncharacterized protein LOC108701228</t>
        </is>
      </c>
    </row>
    <row r="6694">
      <c r="A6694" t="inlineStr"/>
      <c r="B6694" t="inlineStr"/>
      <c r="C6694" t="inlineStr"/>
      <c r="D6694" t="inlineStr"/>
      <c r="E6694">
        <f>HYPERLINK("https://www.uniprot.org/uniprotkb/A0A6I9YZF1/entry", "A0A6I9YZF1")</f>
        <v/>
      </c>
      <c r="F6694" t="n">
        <v>32.7</v>
      </c>
      <c r="G6694" t="n">
        <v>159</v>
      </c>
      <c r="H6694" t="n">
        <v>9.53e-07</v>
      </c>
      <c r="I6694" t="inlineStr">
        <is>
          <t>TrEMBL</t>
        </is>
      </c>
      <c r="J6694" t="inlineStr">
        <is>
          <t>LOC106555376</t>
        </is>
      </c>
      <c r="K6694" t="inlineStr">
        <is>
          <t>A0A6I9YZF1_9SAUR</t>
        </is>
      </c>
      <c r="L6694" t="inlineStr">
        <is>
          <t>tr|A0A6I9YZF1|A0A6I9YZF1_9SAUR uncharacterized protein LOC106555376 OS=Thamnophis sirtalis OX=35019 GN=LOC106555376 PE=4 SV=1</t>
        </is>
      </c>
      <c r="M6694" t="n">
        <v>779</v>
      </c>
      <c r="N6694" t="inlineStr">
        <is>
          <t>Thamnophis sirtalis</t>
        </is>
      </c>
      <c r="O6694" t="inlineStr">
        <is>
          <t>uncharacterized protein LOC106555376</t>
        </is>
      </c>
    </row>
    <row r="6695">
      <c r="A6695" t="inlineStr"/>
      <c r="B6695" t="inlineStr"/>
      <c r="C6695" t="inlineStr"/>
      <c r="D6695" t="inlineStr"/>
      <c r="E6695">
        <f>HYPERLINK("https://www.ncbi.nlm.nih.gov/gene/?term=XP_041418470.1", "XP_041418470.1")</f>
        <v/>
      </c>
      <c r="F6695" t="n">
        <v>30.3</v>
      </c>
      <c r="G6695" t="n">
        <v>175</v>
      </c>
      <c r="H6695" t="n">
        <v>1.01e-06</v>
      </c>
      <c r="I6695" t="inlineStr">
        <is>
          <t>Nr</t>
        </is>
      </c>
      <c r="J6695" t="inlineStr"/>
      <c r="K6695" t="inlineStr"/>
      <c r="L6695" t="inlineStr">
        <is>
          <t>XP_041418470.1 uncharacterized protein LOC121393601 [Xenopus laevis]</t>
        </is>
      </c>
      <c r="M6695" t="n">
        <v>1091</v>
      </c>
      <c r="N6695" t="inlineStr">
        <is>
          <t>Xenopus laevis</t>
        </is>
      </c>
      <c r="O6695" t="inlineStr">
        <is>
          <t>uncharacterized protein LOC121393601</t>
        </is>
      </c>
    </row>
    <row r="6696">
      <c r="A6696" t="inlineStr"/>
      <c r="B6696" t="inlineStr"/>
      <c r="C6696" t="inlineStr"/>
      <c r="D6696" t="inlineStr"/>
      <c r="E6696">
        <f>HYPERLINK("https://www.ncbi.nlm.nih.gov/gene/?term=XP_018091064.1", "XP_018091064.1")</f>
        <v/>
      </c>
      <c r="F6696" t="n">
        <v>27.6</v>
      </c>
      <c r="G6696" t="n">
        <v>156</v>
      </c>
      <c r="H6696" t="n">
        <v>1.48e-06</v>
      </c>
      <c r="I6696" t="inlineStr">
        <is>
          <t>Nr</t>
        </is>
      </c>
      <c r="J6696" t="inlineStr"/>
      <c r="K6696" t="inlineStr"/>
      <c r="L6696" t="inlineStr">
        <is>
          <t>XP_018091064.1 uncharacterized protein LOC108701228 [Xenopus laevis]</t>
        </is>
      </c>
      <c r="M6696" t="n">
        <v>353</v>
      </c>
      <c r="N6696" t="inlineStr">
        <is>
          <t>Xenopus laevis</t>
        </is>
      </c>
      <c r="O6696" t="inlineStr">
        <is>
          <t>uncharacterized protein LOC108701228</t>
        </is>
      </c>
    </row>
    <row r="6697">
      <c r="A6697" t="inlineStr"/>
      <c r="B6697" t="inlineStr"/>
      <c r="C6697" t="inlineStr"/>
      <c r="D6697" t="inlineStr"/>
      <c r="E6697">
        <f>HYPERLINK("https://www.ncbi.nlm.nih.gov/gene/?term=XP_013929687.1", "XP_013929687.1")</f>
        <v/>
      </c>
      <c r="F6697" t="n">
        <v>32.7</v>
      </c>
      <c r="G6697" t="n">
        <v>159</v>
      </c>
      <c r="H6697" t="n">
        <v>2.45e-06</v>
      </c>
      <c r="I6697" t="inlineStr">
        <is>
          <t>Nr</t>
        </is>
      </c>
      <c r="J6697" t="inlineStr"/>
      <c r="K6697" t="inlineStr"/>
      <c r="L6697" t="inlineStr">
        <is>
          <t>XP_013929687.1 PREDICTED: uncharacterized protein LOC106555376 [Thamnophis sirtalis]</t>
        </is>
      </c>
      <c r="M6697" t="n">
        <v>779</v>
      </c>
      <c r="N6697" t="inlineStr">
        <is>
          <t>Thamnophis sirtalis</t>
        </is>
      </c>
      <c r="O6697" t="inlineStr">
        <is>
          <t>PREDICTED: uncharacterized protein LOC106555376</t>
        </is>
      </c>
    </row>
    <row r="6698">
      <c r="A6698" t="inlineStr"/>
      <c r="B6698" t="inlineStr"/>
      <c r="C6698" t="inlineStr"/>
      <c r="D6698" t="inlineStr"/>
      <c r="E6698">
        <f>HYPERLINK("https://www.ncbi.nlm.nih.gov/gene/?term=XP_029427210.1", "XP_029427210.1")</f>
        <v/>
      </c>
      <c r="F6698" t="n">
        <v>29.5</v>
      </c>
      <c r="G6698" t="n">
        <v>173</v>
      </c>
      <c r="H6698" t="n">
        <v>2.72e-06</v>
      </c>
      <c r="I6698" t="inlineStr">
        <is>
          <t>Nr</t>
        </is>
      </c>
      <c r="J6698" t="inlineStr"/>
      <c r="K6698" t="inlineStr"/>
      <c r="L6698" t="inlineStr">
        <is>
          <t>XP_029427210.1 LOW QUALITY PROTEIN: dynein heavy chain 10, axonemal [Rhinatrema bivittatum]</t>
        </is>
      </c>
      <c r="M6698" t="n">
        <v>5132</v>
      </c>
      <c r="N6698" t="inlineStr">
        <is>
          <t>Rhinatrema bivittatum</t>
        </is>
      </c>
      <c r="O6698" t="inlineStr">
        <is>
          <t>LOW QUALITY PROTEIN: dynein heavy chain 10, axonemal</t>
        </is>
      </c>
    </row>
    <row r="6699">
      <c r="A6699" t="inlineStr"/>
      <c r="B6699" t="inlineStr"/>
      <c r="C6699" t="inlineStr"/>
      <c r="D6699" t="inlineStr"/>
      <c r="E6699">
        <f>HYPERLINK("https://www.uniprot.org/uniprotkb/A0A8J1MVQ6/entry", "A0A8J1MVQ6")</f>
        <v/>
      </c>
      <c r="F6699" t="n">
        <v>27.7</v>
      </c>
      <c r="G6699" t="n">
        <v>173</v>
      </c>
      <c r="H6699" t="n">
        <v>3.33e-06</v>
      </c>
      <c r="I6699" t="inlineStr">
        <is>
          <t>TrEMBL</t>
        </is>
      </c>
      <c r="J6699" t="inlineStr">
        <is>
          <t>LOC108714053</t>
        </is>
      </c>
      <c r="K6699" t="inlineStr">
        <is>
          <t>A0A8J1MVQ6_XENLA</t>
        </is>
      </c>
      <c r="L6699" t="inlineStr">
        <is>
          <t>tr|A0A8J1MVQ6|A0A8J1MVQ6_XENLA ribonuclease H OS=Xenopus laevis OX=8355 GN=LOC108714053 PE=3 SV=1</t>
        </is>
      </c>
      <c r="M6699" t="n">
        <v>951</v>
      </c>
      <c r="N6699" t="inlineStr">
        <is>
          <t>Xenopus laevis</t>
        </is>
      </c>
      <c r="O6699" t="inlineStr">
        <is>
          <t>ribonuclease H</t>
        </is>
      </c>
    </row>
    <row r="6700">
      <c r="A6700" t="inlineStr"/>
      <c r="B6700" t="inlineStr"/>
      <c r="C6700" t="inlineStr"/>
      <c r="D6700" t="inlineStr"/>
      <c r="E6700">
        <f>HYPERLINK("https://www.ncbi.nlm.nih.gov/gene/?term=KAE8617332.1", "KAE8617332.1")</f>
        <v/>
      </c>
      <c r="F6700" t="n">
        <v>29.5</v>
      </c>
      <c r="G6700" t="n">
        <v>166</v>
      </c>
      <c r="H6700" t="n">
        <v>7.38e-06</v>
      </c>
      <c r="I6700" t="inlineStr">
        <is>
          <t>Nr</t>
        </is>
      </c>
      <c r="J6700" t="inlineStr"/>
      <c r="K6700" t="inlineStr"/>
      <c r="L6700" t="inlineStr">
        <is>
          <t>KAE8617332.1 hypothetical protein XENTR_v10009038 [Xenopus tropicalis]</t>
        </is>
      </c>
      <c r="M6700" t="n">
        <v>413</v>
      </c>
      <c r="N6700" t="inlineStr">
        <is>
          <t>Xenopus tropicalis</t>
        </is>
      </c>
      <c r="O6700" t="inlineStr">
        <is>
          <t>hypothetical protein XENTR_v10009038</t>
        </is>
      </c>
    </row>
    <row r="6701">
      <c r="A6701" t="inlineStr"/>
      <c r="B6701" t="inlineStr"/>
      <c r="C6701" t="inlineStr"/>
      <c r="D6701" t="inlineStr"/>
      <c r="E6701">
        <f>HYPERLINK("https://www.ncbi.nlm.nih.gov/gene/?term=XP_041445393.1", "XP_041445393.1")</f>
        <v/>
      </c>
      <c r="F6701" t="n">
        <v>27.7</v>
      </c>
      <c r="G6701" t="n">
        <v>173</v>
      </c>
      <c r="H6701" t="n">
        <v>8.559999999999999e-06</v>
      </c>
      <c r="I6701" t="inlineStr">
        <is>
          <t>Nr</t>
        </is>
      </c>
      <c r="J6701" t="inlineStr"/>
      <c r="K6701" t="inlineStr"/>
      <c r="L6701" t="inlineStr">
        <is>
          <t>XP_041445393.1 uncharacterized protein LOC108714053 isoform X1 [Xenopus laevis]</t>
        </is>
      </c>
      <c r="M6701" t="n">
        <v>951</v>
      </c>
      <c r="N6701" t="inlineStr">
        <is>
          <t>Xenopus laevis</t>
        </is>
      </c>
      <c r="O6701" t="inlineStr">
        <is>
          <t>uncharacterized protein LOC108714053 isoform X1</t>
        </is>
      </c>
    </row>
    <row r="6702">
      <c r="A6702" t="inlineStr"/>
      <c r="B6702" t="inlineStr"/>
      <c r="C6702" t="inlineStr"/>
      <c r="D6702" t="inlineStr"/>
      <c r="E6702">
        <f>HYPERLINK("https://www.uniprot.org/uniprotkb/A0A2H6N8X8/entry", "A0A2H6N8X8")</f>
        <v/>
      </c>
      <c r="F6702" t="n">
        <v>28.2</v>
      </c>
      <c r="G6702" t="n">
        <v>170</v>
      </c>
      <c r="H6702" t="n">
        <v>1.19e-05</v>
      </c>
      <c r="I6702" t="inlineStr">
        <is>
          <t>TrEMBL</t>
        </is>
      </c>
      <c r="J6702" t="inlineStr"/>
      <c r="K6702" t="inlineStr">
        <is>
          <t>A0A2H6N8X8_MICLE</t>
        </is>
      </c>
      <c r="L6702" t="inlineStr">
        <is>
          <t>tr|A0A2H6N8X8|A0A2H6N8X8_MICLE ribonuclease H (Fragment) OS=Micrurus lemniscatus carvalhoi OX=129465 PE=3 SV=1</t>
        </is>
      </c>
      <c r="M6702" t="n">
        <v>206</v>
      </c>
      <c r="N6702" t="inlineStr">
        <is>
          <t>Micrurus lemniscatus carvalhoi</t>
        </is>
      </c>
      <c r="O6702" t="inlineStr">
        <is>
          <t>ribonuclease H (Fragment)</t>
        </is>
      </c>
    </row>
    <row r="6703">
      <c r="A6703" t="inlineStr"/>
      <c r="B6703" t="inlineStr"/>
      <c r="C6703" t="inlineStr"/>
      <c r="D6703" t="inlineStr"/>
      <c r="E6703">
        <f>HYPERLINK("https://www.uniprot.org/uniprotkb/A0A2H6N992/entry", "A0A2H6N992")</f>
        <v/>
      </c>
      <c r="F6703" t="n">
        <v>31.4</v>
      </c>
      <c r="G6703" t="n">
        <v>121</v>
      </c>
      <c r="H6703" t="n">
        <v>1.35e-05</v>
      </c>
      <c r="I6703" t="inlineStr">
        <is>
          <t>TrEMBL</t>
        </is>
      </c>
      <c r="J6703" t="inlineStr"/>
      <c r="K6703" t="inlineStr">
        <is>
          <t>A0A2H6N992_MICLE</t>
        </is>
      </c>
      <c r="L6703" t="inlineStr">
        <is>
          <t>tr|A0A2H6N992|A0A2H6N992_MICLE ribonuclease H (Fragment) OS=Micrurus lemniscatus carvalhoi OX=129465 PE=3 SV=1</t>
        </is>
      </c>
      <c r="M6703" t="n">
        <v>126</v>
      </c>
      <c r="N6703" t="inlineStr">
        <is>
          <t>Micrurus lemniscatus carvalhoi</t>
        </is>
      </c>
      <c r="O6703" t="inlineStr">
        <is>
          <t>ribonuclease H (Fragment)</t>
        </is>
      </c>
    </row>
    <row r="6704">
      <c r="A6704" t="inlineStr"/>
      <c r="B6704" t="inlineStr"/>
      <c r="C6704" t="inlineStr"/>
      <c r="D6704" t="inlineStr"/>
      <c r="E6704">
        <f>HYPERLINK("https://www.uniprot.org/uniprotkb/A0A6P9CZS6/entry", "A0A6P9CZS6")</f>
        <v/>
      </c>
      <c r="F6704" t="n">
        <v>29.9</v>
      </c>
      <c r="G6704" t="n">
        <v>174</v>
      </c>
      <c r="H6704" t="n">
        <v>3.23e-05</v>
      </c>
      <c r="I6704" t="inlineStr">
        <is>
          <t>TrEMBL</t>
        </is>
      </c>
      <c r="J6704" t="inlineStr">
        <is>
          <t>TMEM128</t>
        </is>
      </c>
      <c r="K6704" t="inlineStr">
        <is>
          <t>A0A6P9CZS6_PANGU</t>
        </is>
      </c>
      <c r="L6704" t="inlineStr">
        <is>
          <t>tr|A0A6P9CZS6|A0A6P9CZS6_PANGU ribonuclease H OS=Pantherophis guttatus OX=94885 GN=TMEM128 PE=3 SV=1</t>
        </is>
      </c>
      <c r="M6704" t="n">
        <v>369</v>
      </c>
      <c r="N6704" t="inlineStr">
        <is>
          <t>Pantherophis guttatus</t>
        </is>
      </c>
      <c r="O6704" t="inlineStr">
        <is>
          <t>ribonuclease H</t>
        </is>
      </c>
    </row>
    <row r="6705">
      <c r="A6705" t="inlineStr"/>
      <c r="B6705" t="inlineStr"/>
      <c r="C6705" t="inlineStr"/>
      <c r="D6705" t="inlineStr"/>
      <c r="E6705">
        <f>HYPERLINK("https://www.uniprot.org/uniprotkb/A0A8J1MZ44/entry", "A0A8J1MZ44")</f>
        <v/>
      </c>
      <c r="F6705" t="n">
        <v>26.5</v>
      </c>
      <c r="G6705" t="n">
        <v>170</v>
      </c>
      <c r="H6705" t="n">
        <v>3.83e-05</v>
      </c>
      <c r="I6705" t="inlineStr">
        <is>
          <t>TrEMBL</t>
        </is>
      </c>
      <c r="J6705" t="inlineStr">
        <is>
          <t>LOC121403038</t>
        </is>
      </c>
      <c r="K6705" t="inlineStr">
        <is>
          <t>A0A8J1MZ44_XENLA</t>
        </is>
      </c>
      <c r="L6705" t="inlineStr">
        <is>
          <t>tr|A0A8J1MZ44|A0A8J1MZ44_XENLA ribonuclease H OS=Xenopus laevis OX=8355 GN=LOC121403038 PE=3 SV=1</t>
        </is>
      </c>
      <c r="M6705" t="n">
        <v>852</v>
      </c>
      <c r="N6705" t="inlineStr">
        <is>
          <t>Xenopus laevis</t>
        </is>
      </c>
      <c r="O6705" t="inlineStr">
        <is>
          <t>ribonuclease H</t>
        </is>
      </c>
    </row>
    <row r="6706">
      <c r="A6706" t="inlineStr"/>
      <c r="B6706" t="inlineStr"/>
      <c r="C6706" t="inlineStr"/>
      <c r="D6706" t="inlineStr"/>
      <c r="E6706">
        <f>HYPERLINK("https://www.ncbi.nlm.nih.gov/gene/?term=KAJ1088007.1", "KAJ1088007.1")</f>
        <v/>
      </c>
      <c r="F6706" t="n">
        <v>29.2</v>
      </c>
      <c r="G6706" t="n">
        <v>171</v>
      </c>
      <c r="H6706" t="n">
        <v>4.05e-05</v>
      </c>
      <c r="I6706" t="inlineStr">
        <is>
          <t>Nr</t>
        </is>
      </c>
      <c r="J6706" t="inlineStr"/>
      <c r="K6706" t="inlineStr"/>
      <c r="L6706" t="inlineStr">
        <is>
          <t>KAJ1088007.1 hypothetical protein NDU88_001166 [Pleurodeles waltl]</t>
        </is>
      </c>
      <c r="M6706" t="n">
        <v>1199</v>
      </c>
      <c r="N6706" t="inlineStr">
        <is>
          <t>Pleurodeles waltl</t>
        </is>
      </c>
      <c r="O6706" t="inlineStr">
        <is>
          <t>hypothetical protein NDU88_001166</t>
        </is>
      </c>
    </row>
    <row r="6707">
      <c r="A6707" t="inlineStr"/>
      <c r="B6707" t="inlineStr"/>
      <c r="C6707" t="inlineStr"/>
      <c r="D6707" t="inlineStr"/>
      <c r="E6707">
        <f>HYPERLINK("https://www.ncbi.nlm.nih.gov/gene/?term=KAJ1200283.1", "KAJ1200283.1")</f>
        <v/>
      </c>
      <c r="F6707" t="n">
        <v>28.7</v>
      </c>
      <c r="G6707" t="n">
        <v>171</v>
      </c>
      <c r="H6707" t="n">
        <v>4.98e-05</v>
      </c>
      <c r="I6707" t="inlineStr">
        <is>
          <t>Nr</t>
        </is>
      </c>
      <c r="J6707" t="inlineStr"/>
      <c r="K6707" t="inlineStr"/>
      <c r="L6707" t="inlineStr">
        <is>
          <t>KAJ1200283.1 hypothetical protein NDU88_004107 [Pleurodeles waltl]</t>
        </is>
      </c>
      <c r="M6707" t="n">
        <v>546</v>
      </c>
      <c r="N6707" t="inlineStr">
        <is>
          <t>Pleurodeles waltl</t>
        </is>
      </c>
      <c r="O6707" t="inlineStr">
        <is>
          <t>hypothetical protein NDU88_004107</t>
        </is>
      </c>
    </row>
    <row r="6708">
      <c r="A6708" t="inlineStr"/>
      <c r="B6708" t="inlineStr"/>
      <c r="C6708" t="inlineStr"/>
      <c r="D6708" t="inlineStr"/>
      <c r="E6708">
        <f>HYPERLINK("https://www.ncbi.nlm.nih.gov/gene/?term=KAJ1116793.1", "KAJ1116793.1")</f>
        <v/>
      </c>
      <c r="F6708" t="n">
        <v>28.7</v>
      </c>
      <c r="G6708" t="n">
        <v>171</v>
      </c>
      <c r="H6708" t="n">
        <v>6.8e-05</v>
      </c>
      <c r="I6708" t="inlineStr">
        <is>
          <t>Nr</t>
        </is>
      </c>
      <c r="J6708" t="inlineStr"/>
      <c r="K6708" t="inlineStr"/>
      <c r="L6708" t="inlineStr">
        <is>
          <t>KAJ1116793.1 hypothetical protein NDU88_004998 [Pleurodeles waltl]</t>
        </is>
      </c>
      <c r="M6708" t="n">
        <v>561</v>
      </c>
      <c r="N6708" t="inlineStr">
        <is>
          <t>Pleurodeles waltl</t>
        </is>
      </c>
      <c r="O6708" t="inlineStr">
        <is>
          <t>hypothetical protein NDU88_004998</t>
        </is>
      </c>
    </row>
    <row r="6709">
      <c r="A6709" t="inlineStr"/>
      <c r="B6709" t="inlineStr"/>
      <c r="C6709" t="inlineStr"/>
      <c r="D6709" t="inlineStr"/>
      <c r="E6709">
        <f>HYPERLINK("https://www.ncbi.nlm.nih.gov/gene/?term=KAJ1185794.1", "KAJ1185794.1")</f>
        <v/>
      </c>
      <c r="F6709" t="n">
        <v>28.7</v>
      </c>
      <c r="G6709" t="n">
        <v>171</v>
      </c>
      <c r="H6709" t="n">
        <v>6.9e-05</v>
      </c>
      <c r="I6709" t="inlineStr">
        <is>
          <t>Nr</t>
        </is>
      </c>
      <c r="J6709" t="inlineStr"/>
      <c r="K6709" t="inlineStr"/>
      <c r="L6709" t="inlineStr">
        <is>
          <t>KAJ1185794.1 hypothetical protein NDU88_002581 [Pleurodeles waltl]</t>
        </is>
      </c>
      <c r="M6709" t="n">
        <v>609</v>
      </c>
      <c r="N6709" t="inlineStr">
        <is>
          <t>Pleurodeles waltl</t>
        </is>
      </c>
      <c r="O6709" t="inlineStr">
        <is>
          <t>hypothetical protein NDU88_002581</t>
        </is>
      </c>
    </row>
    <row r="6710">
      <c r="A6710" t="inlineStr"/>
      <c r="B6710" t="inlineStr"/>
      <c r="C6710" t="inlineStr"/>
      <c r="D6710" t="inlineStr"/>
      <c r="E6710">
        <f>HYPERLINK("https://www.uniprot.org/uniprotkb/A0A6I9Z4H8/entry", "A0A6I9Z4H8")</f>
        <v/>
      </c>
      <c r="F6710" t="n">
        <v>27.6</v>
      </c>
      <c r="G6710" t="n">
        <v>170</v>
      </c>
      <c r="H6710" t="n">
        <v>7.21e-05</v>
      </c>
      <c r="I6710" t="inlineStr">
        <is>
          <t>TrEMBL</t>
        </is>
      </c>
      <c r="J6710" t="inlineStr">
        <is>
          <t>LOC106556402</t>
        </is>
      </c>
      <c r="K6710" t="inlineStr">
        <is>
          <t>A0A6I9Z4H8_9SAUR</t>
        </is>
      </c>
      <c r="L6710" t="inlineStr">
        <is>
          <t>tr|A0A6I9Z4H8|A0A6I9Z4H8_9SAUR ribonuclease H OS=Thamnophis sirtalis OX=35019 GN=LOC106556402 PE=3 SV=1</t>
        </is>
      </c>
      <c r="M6710" t="n">
        <v>1031</v>
      </c>
      <c r="N6710" t="inlineStr">
        <is>
          <t>Thamnophis sirtalis</t>
        </is>
      </c>
      <c r="O6710" t="inlineStr">
        <is>
          <t>ribonuclease H</t>
        </is>
      </c>
    </row>
    <row r="6711">
      <c r="A6711" t="inlineStr"/>
      <c r="B6711" t="inlineStr"/>
      <c r="C6711" t="inlineStr"/>
      <c r="D6711" t="inlineStr"/>
      <c r="E6711">
        <f>HYPERLINK("https://www.ncbi.nlm.nih.gov/gene/?term=KAJ1204852.1", "KAJ1204852.1")</f>
        <v/>
      </c>
      <c r="F6711" t="n">
        <v>28.7</v>
      </c>
      <c r="G6711" t="n">
        <v>171</v>
      </c>
      <c r="H6711" t="n">
        <v>7.48e-05</v>
      </c>
      <c r="I6711" t="inlineStr">
        <is>
          <t>Nr</t>
        </is>
      </c>
      <c r="J6711" t="inlineStr"/>
      <c r="K6711" t="inlineStr"/>
      <c r="L6711" t="inlineStr">
        <is>
          <t>KAJ1204852.1 hypothetical protein NDU88_000290 [Pleurodeles waltl]</t>
        </is>
      </c>
      <c r="M6711" t="n">
        <v>1201</v>
      </c>
      <c r="N6711" t="inlineStr">
        <is>
          <t>Pleurodeles waltl</t>
        </is>
      </c>
      <c r="O6711" t="inlineStr">
        <is>
          <t>hypothetical protein NDU88_000290</t>
        </is>
      </c>
    </row>
    <row r="6712">
      <c r="A6712" t="inlineStr"/>
      <c r="B6712" t="inlineStr"/>
      <c r="C6712" t="inlineStr"/>
      <c r="D6712" t="inlineStr"/>
      <c r="E6712">
        <f>HYPERLINK("https://www.ncbi.nlm.nih.gov/gene/?term=KAJ1133209.1", "KAJ1133209.1")</f>
        <v/>
      </c>
      <c r="F6712" t="n">
        <v>28.7</v>
      </c>
      <c r="G6712" t="n">
        <v>171</v>
      </c>
      <c r="H6712" t="n">
        <v>7.49e-05</v>
      </c>
      <c r="I6712" t="inlineStr">
        <is>
          <t>Nr</t>
        </is>
      </c>
      <c r="J6712" t="inlineStr"/>
      <c r="K6712" t="inlineStr"/>
      <c r="L6712" t="inlineStr">
        <is>
          <t>KAJ1133209.1 hypothetical protein NDU88_011506 [Pleurodeles waltl]</t>
        </is>
      </c>
      <c r="M6712" t="n">
        <v>1219</v>
      </c>
      <c r="N6712" t="inlineStr">
        <is>
          <t>Pleurodeles waltl</t>
        </is>
      </c>
      <c r="O6712" t="inlineStr">
        <is>
          <t>hypothetical protein NDU88_011506</t>
        </is>
      </c>
    </row>
    <row r="6713">
      <c r="A6713" t="inlineStr"/>
      <c r="B6713" t="inlineStr"/>
      <c r="C6713" t="inlineStr"/>
      <c r="D6713" t="inlineStr"/>
      <c r="E6713">
        <f>HYPERLINK("https://www.ncbi.nlm.nih.gov/gene/?term=XP_034288797.1", "XP_034288797.1")</f>
        <v/>
      </c>
      <c r="F6713" t="n">
        <v>29.9</v>
      </c>
      <c r="G6713" t="n">
        <v>174</v>
      </c>
      <c r="H6713" t="n">
        <v>8.29e-05</v>
      </c>
      <c r="I6713" t="inlineStr">
        <is>
          <t>Nr</t>
        </is>
      </c>
      <c r="J6713" t="inlineStr"/>
      <c r="K6713" t="inlineStr"/>
      <c r="L6713" t="inlineStr">
        <is>
          <t>XP_034288797.1 transmembrane protein 128 isoform X1 [Pantherophis guttatus]</t>
        </is>
      </c>
      <c r="M6713" t="n">
        <v>369</v>
      </c>
      <c r="N6713" t="inlineStr">
        <is>
          <t>Pantherophis guttatus</t>
        </is>
      </c>
      <c r="O6713" t="inlineStr">
        <is>
          <t>transmembrane protein 128 isoform X1</t>
        </is>
      </c>
    </row>
    <row r="6714">
      <c r="A6714" t="inlineStr"/>
      <c r="B6714" t="inlineStr"/>
      <c r="C6714" t="inlineStr"/>
      <c r="D6714" t="inlineStr"/>
      <c r="E6714">
        <f>HYPERLINK("https://www.ncbi.nlm.nih.gov/gene/?term=KAJ1109372.1", "KAJ1109372.1")</f>
        <v/>
      </c>
      <c r="F6714" t="n">
        <v>29.2</v>
      </c>
      <c r="G6714" t="n">
        <v>171</v>
      </c>
      <c r="H6714" t="n">
        <v>8.780000000000001e-05</v>
      </c>
      <c r="I6714" t="inlineStr">
        <is>
          <t>Nr</t>
        </is>
      </c>
      <c r="J6714" t="inlineStr"/>
      <c r="K6714" t="inlineStr"/>
      <c r="L6714" t="inlineStr">
        <is>
          <t>KAJ1109372.1 hypothetical protein NDU88_006733 [Pleurodeles waltl]</t>
        </is>
      </c>
      <c r="M6714" t="n">
        <v>445</v>
      </c>
      <c r="N6714" t="inlineStr">
        <is>
          <t>Pleurodeles waltl</t>
        </is>
      </c>
      <c r="O6714" t="inlineStr">
        <is>
          <t>hypothetical protein NDU88_006733</t>
        </is>
      </c>
    </row>
    <row r="6715">
      <c r="A6715" t="inlineStr"/>
      <c r="B6715" t="inlineStr"/>
      <c r="C6715" t="inlineStr"/>
      <c r="D6715" t="inlineStr"/>
      <c r="E6715">
        <f>HYPERLINK("https://www.ncbi.nlm.nih.gov/gene/?term=XP_041446270.1", "XP_041446270.1")</f>
        <v/>
      </c>
      <c r="F6715" t="n">
        <v>26.5</v>
      </c>
      <c r="G6715" t="n">
        <v>170</v>
      </c>
      <c r="H6715" t="n">
        <v>9.83e-05</v>
      </c>
      <c r="I6715" t="inlineStr">
        <is>
          <t>Nr</t>
        </is>
      </c>
      <c r="J6715" t="inlineStr"/>
      <c r="K6715" t="inlineStr"/>
      <c r="L6715" t="inlineStr">
        <is>
          <t>XP_041446270.1 uncharacterized protein LOC121403038 [Xenopus laevis]</t>
        </is>
      </c>
      <c r="M6715" t="n">
        <v>852</v>
      </c>
      <c r="N6715" t="inlineStr">
        <is>
          <t>Xenopus laevis</t>
        </is>
      </c>
      <c r="O6715" t="inlineStr">
        <is>
          <t>uncharacterized protein LOC121403038</t>
        </is>
      </c>
    </row>
    <row r="6716">
      <c r="A6716" t="inlineStr"/>
      <c r="B6716" t="inlineStr"/>
      <c r="C6716" t="inlineStr"/>
      <c r="D6716" t="inlineStr"/>
      <c r="E6716">
        <f>HYPERLINK("https://www.uniprot.org/uniprotkb/A0A6P9D0P1/entry", "A0A6P9D0P1")</f>
        <v/>
      </c>
      <c r="F6716" t="n">
        <v>27.9</v>
      </c>
      <c r="G6716" t="n">
        <v>172</v>
      </c>
      <c r="H6716" t="n">
        <v>9.93e-05</v>
      </c>
      <c r="I6716" t="inlineStr">
        <is>
          <t>TrEMBL</t>
        </is>
      </c>
      <c r="J6716" t="inlineStr">
        <is>
          <t>LOC117675085</t>
        </is>
      </c>
      <c r="K6716" t="inlineStr">
        <is>
          <t>A0A6P9D0P1_PANGU</t>
        </is>
      </c>
      <c r="L6716" t="inlineStr">
        <is>
          <t>tr|A0A6P9D0P1|A0A6P9D0P1_PANGU ribonuclease H OS=Pantherophis guttatus OX=94885 GN=LOC117675085 PE=3 SV=1</t>
        </is>
      </c>
      <c r="M6716" t="n">
        <v>1211</v>
      </c>
      <c r="N6716" t="inlineStr">
        <is>
          <t>Pantherophis guttatus</t>
        </is>
      </c>
      <c r="O6716" t="inlineStr">
        <is>
          <t>ribonuclease H</t>
        </is>
      </c>
    </row>
    <row r="6717">
      <c r="A6717" t="inlineStr"/>
      <c r="B6717" t="inlineStr"/>
      <c r="C6717" t="inlineStr"/>
      <c r="D6717" t="inlineStr"/>
      <c r="E6717">
        <f>HYPERLINK("https://www.ncbi.nlm.nih.gov/gene/?term=KAJ1125029.1", "KAJ1125029.1")</f>
        <v/>
      </c>
      <c r="F6717" t="n">
        <v>28.7</v>
      </c>
      <c r="G6717" t="n">
        <v>171</v>
      </c>
      <c r="H6717" t="n">
        <v>0.000101</v>
      </c>
      <c r="I6717" t="inlineStr">
        <is>
          <t>Nr</t>
        </is>
      </c>
      <c r="J6717" t="inlineStr"/>
      <c r="K6717" t="inlineStr"/>
      <c r="L6717" t="inlineStr">
        <is>
          <t>KAJ1125029.1 hypothetical protein NDU88_003468 [Pleurodeles waltl]</t>
        </is>
      </c>
      <c r="M6717" t="n">
        <v>1100</v>
      </c>
      <c r="N6717" t="inlineStr">
        <is>
          <t>Pleurodeles waltl</t>
        </is>
      </c>
      <c r="O6717" t="inlineStr">
        <is>
          <t>hypothetical protein NDU88_003468</t>
        </is>
      </c>
    </row>
    <row r="6718">
      <c r="A6718" t="inlineStr"/>
      <c r="B6718" t="inlineStr"/>
      <c r="C6718" t="inlineStr"/>
      <c r="D6718" t="inlineStr"/>
      <c r="E6718">
        <f>HYPERLINK("https://www.ncbi.nlm.nih.gov/gene/?term=KAJ1116791.1", "KAJ1116791.1")</f>
        <v/>
      </c>
      <c r="F6718" t="n">
        <v>28.7</v>
      </c>
      <c r="G6718" t="n">
        <v>171</v>
      </c>
      <c r="H6718" t="n">
        <v>0.000102</v>
      </c>
      <c r="I6718" t="inlineStr">
        <is>
          <t>Nr</t>
        </is>
      </c>
      <c r="J6718" t="inlineStr"/>
      <c r="K6718" t="inlineStr"/>
      <c r="L6718" t="inlineStr">
        <is>
          <t>KAJ1116791.1 hypothetical protein NDU88_004996 [Pleurodeles waltl]</t>
        </is>
      </c>
      <c r="M6718" t="n">
        <v>1178</v>
      </c>
      <c r="N6718" t="inlineStr">
        <is>
          <t>Pleurodeles waltl</t>
        </is>
      </c>
      <c r="O6718" t="inlineStr">
        <is>
          <t>hypothetical protein NDU88_004996</t>
        </is>
      </c>
    </row>
    <row r="6719">
      <c r="A6719" t="inlineStr"/>
      <c r="B6719" t="inlineStr"/>
      <c r="C6719" t="inlineStr"/>
      <c r="D6719" t="inlineStr"/>
      <c r="E6719">
        <f>HYPERLINK("https://www.uniprot.org/uniprotkb/A0A6P9BN79/entry", "A0A6P9BN79")</f>
        <v/>
      </c>
      <c r="F6719" t="n">
        <v>27.6</v>
      </c>
      <c r="G6719" t="n">
        <v>181</v>
      </c>
      <c r="H6719" t="n">
        <v>0.00013</v>
      </c>
      <c r="I6719" t="inlineStr">
        <is>
          <t>TrEMBL</t>
        </is>
      </c>
      <c r="J6719" t="inlineStr">
        <is>
          <t>LOC117664969</t>
        </is>
      </c>
      <c r="K6719" t="inlineStr">
        <is>
          <t>A0A6P9BN79_PANGU</t>
        </is>
      </c>
      <c r="L6719" t="inlineStr">
        <is>
          <t>tr|A0A6P9BN79|A0A6P9BN79_PANGU ribonuclease H OS=Pantherophis guttatus OX=94885 GN=LOC117664969 PE=3 SV=1</t>
        </is>
      </c>
      <c r="M6719" t="n">
        <v>862</v>
      </c>
      <c r="N6719" t="inlineStr">
        <is>
          <t>Pantherophis guttatus</t>
        </is>
      </c>
      <c r="O6719" t="inlineStr">
        <is>
          <t>ribonuclease H</t>
        </is>
      </c>
    </row>
    <row r="6720">
      <c r="A6720" t="inlineStr"/>
      <c r="B6720" t="inlineStr"/>
      <c r="C6720" t="inlineStr"/>
      <c r="D6720" t="inlineStr"/>
      <c r="E6720">
        <f>HYPERLINK("https://www.uniprot.org/uniprotkb/A0A6P9BGV8/entry", "A0A6P9BGV8")</f>
        <v/>
      </c>
      <c r="F6720" t="n">
        <v>31.6</v>
      </c>
      <c r="G6720" t="n">
        <v>171</v>
      </c>
      <c r="H6720" t="n">
        <v>0.000238</v>
      </c>
      <c r="I6720" t="inlineStr">
        <is>
          <t>TrEMBL</t>
        </is>
      </c>
      <c r="J6720" t="inlineStr">
        <is>
          <t>LOC117663973</t>
        </is>
      </c>
      <c r="K6720" t="inlineStr">
        <is>
          <t>A0A6P9BGV8_PANGU</t>
        </is>
      </c>
      <c r="L6720" t="inlineStr">
        <is>
          <t>tr|A0A6P9BGV8|A0A6P9BGV8_PANGU uncharacterized protein LOC117663973 isoform X1 OS=Pantherophis guttatus OX=94885 GN=LOC117663973 PE=4 SV=1</t>
        </is>
      </c>
      <c r="M6720" t="n">
        <v>794</v>
      </c>
      <c r="N6720" t="inlineStr">
        <is>
          <t>Pantherophis guttatus</t>
        </is>
      </c>
      <c r="O6720" t="inlineStr">
        <is>
          <t>uncharacterized protein LOC117663973 isoform X1</t>
        </is>
      </c>
    </row>
    <row r="6721">
      <c r="A6721" t="inlineStr"/>
      <c r="B6721" t="inlineStr"/>
      <c r="C6721" t="inlineStr"/>
      <c r="D6721" t="inlineStr"/>
      <c r="E6721">
        <f>HYPERLINK("https://www.uniprot.org/uniprotkb/A0A8J1KLR0/entry", "A0A8J1KLR0")</f>
        <v/>
      </c>
      <c r="F6721" t="n">
        <v>28.8</v>
      </c>
      <c r="G6721" t="n">
        <v>163</v>
      </c>
      <c r="H6721" t="n">
        <v>0.000319</v>
      </c>
      <c r="I6721" t="inlineStr">
        <is>
          <t>TrEMBL</t>
        </is>
      </c>
      <c r="J6721" t="inlineStr">
        <is>
          <t>LOC121393288</t>
        </is>
      </c>
      <c r="K6721" t="inlineStr">
        <is>
          <t>A0A8J1KLR0_XENLA</t>
        </is>
      </c>
      <c r="L6721" t="inlineStr">
        <is>
          <t>tr|A0A8J1KLR0|A0A8J1KLR0_XENLA ribonuclease H OS=Xenopus laevis OX=8355 GN=LOC121393288 PE=3 SV=1</t>
        </is>
      </c>
      <c r="M6721" t="n">
        <v>718</v>
      </c>
      <c r="N6721" t="inlineStr">
        <is>
          <t>Xenopus laevis</t>
        </is>
      </c>
      <c r="O6721" t="inlineStr">
        <is>
          <t>ribonuclease H</t>
        </is>
      </c>
    </row>
    <row r="6722">
      <c r="A6722" t="inlineStr"/>
      <c r="B6722" t="inlineStr"/>
      <c r="C6722" t="inlineStr"/>
      <c r="D6722" t="inlineStr"/>
      <c r="E6722">
        <f>HYPERLINK("https://www.uniprot.org/uniprotkb/A0A2D4FYQ7/entry", "A0A2D4FYQ7")</f>
        <v/>
      </c>
      <c r="F6722" t="n">
        <v>45.9</v>
      </c>
      <c r="G6722" t="n">
        <v>61</v>
      </c>
      <c r="H6722" t="n">
        <v>0.000359</v>
      </c>
      <c r="I6722" t="inlineStr">
        <is>
          <t>TrEMBL</t>
        </is>
      </c>
      <c r="J6722" t="inlineStr"/>
      <c r="K6722" t="inlineStr">
        <is>
          <t>A0A2D4FYQ7_MICCO</t>
        </is>
      </c>
      <c r="L6722" t="inlineStr">
        <is>
          <t>tr|A0A2D4FYQ7|A0A2D4FYQ7_MICCO ribonuclease H (Fragment) OS=Micrurus corallinus OX=54390 PE=3 SV=1</t>
        </is>
      </c>
      <c r="M6722" t="n">
        <v>106</v>
      </c>
      <c r="N6722" t="inlineStr">
        <is>
          <t>Micrurus corallinus</t>
        </is>
      </c>
      <c r="O6722" t="inlineStr">
        <is>
          <t>ribonuclease H (Fragment)</t>
        </is>
      </c>
    </row>
    <row r="6723">
      <c r="A6723" t="inlineStr"/>
      <c r="B6723" t="inlineStr"/>
      <c r="C6723" t="inlineStr"/>
      <c r="D6723" t="inlineStr"/>
      <c r="E6723">
        <f>HYPERLINK("https://www.uniprot.org/uniprotkb/A0A8J1N0T7/entry", "A0A8J1N0T7")</f>
        <v/>
      </c>
      <c r="F6723" t="n">
        <v>26.9</v>
      </c>
      <c r="G6723" t="n">
        <v>171</v>
      </c>
      <c r="H6723" t="n">
        <v>0.000451</v>
      </c>
      <c r="I6723" t="inlineStr">
        <is>
          <t>TrEMBL</t>
        </is>
      </c>
      <c r="J6723" t="inlineStr">
        <is>
          <t>LOC121403130</t>
        </is>
      </c>
      <c r="K6723" t="inlineStr">
        <is>
          <t>A0A8J1N0T7_XENLA</t>
        </is>
      </c>
      <c r="L6723" t="inlineStr">
        <is>
          <t>tr|A0A8J1N0T7|A0A8J1N0T7_XENLA ribonuclease H OS=Xenopus laevis OX=8355 GN=LOC121403130 PE=3 SV=1</t>
        </is>
      </c>
      <c r="M6723" t="n">
        <v>1010</v>
      </c>
      <c r="N6723" t="inlineStr">
        <is>
          <t>Xenopus laevis</t>
        </is>
      </c>
      <c r="O6723" t="inlineStr">
        <is>
          <t>ribonuclease H</t>
        </is>
      </c>
    </row>
    <row r="6724">
      <c r="A6724" t="inlineStr"/>
      <c r="B6724" t="inlineStr"/>
      <c r="C6724" t="inlineStr"/>
      <c r="D6724" t="inlineStr"/>
      <c r="E6724">
        <f>HYPERLINK("https://www.uniprot.org/uniprotkb/A0A6P9DAF6/entry", "A0A6P9DAF6")</f>
        <v/>
      </c>
      <c r="F6724" t="n">
        <v>31</v>
      </c>
      <c r="G6724" t="n">
        <v>171</v>
      </c>
      <c r="H6724" t="n">
        <v>0.000597</v>
      </c>
      <c r="I6724" t="inlineStr">
        <is>
          <t>TrEMBL</t>
        </is>
      </c>
      <c r="J6724" t="inlineStr">
        <is>
          <t>NDUFS1</t>
        </is>
      </c>
      <c r="K6724" t="inlineStr">
        <is>
          <t>A0A6P9DAF6_PANGU</t>
        </is>
      </c>
      <c r="L6724" t="inlineStr">
        <is>
          <t>tr|A0A6P9DAF6|A0A6P9DAF6_PANGU NADH-ubiquinone oxidoreductase 75 kDa subunit, mitochondrial OS=Pantherophis guttatus OX=94885 GN=NDUFS1 PE=3 SV=1</t>
        </is>
      </c>
      <c r="M6724" t="n">
        <v>800</v>
      </c>
      <c r="N6724" t="inlineStr">
        <is>
          <t>Pantherophis guttatus</t>
        </is>
      </c>
      <c r="O6724" t="inlineStr">
        <is>
          <t>NADH-ubiquinone oxidoreductase 75 kDa subunit, mitochondrial</t>
        </is>
      </c>
    </row>
    <row r="6725">
      <c r="A6725" t="inlineStr"/>
      <c r="B6725" t="inlineStr"/>
      <c r="C6725" t="inlineStr"/>
      <c r="D6725" t="inlineStr"/>
      <c r="E6725">
        <f>HYPERLINK("https://www.uniprot.org/uniprotkb/A0A164IT60/entry", "A0A164IT60")</f>
        <v/>
      </c>
      <c r="F6725" t="n">
        <v>29</v>
      </c>
      <c r="G6725" t="n">
        <v>176</v>
      </c>
      <c r="H6725" t="n">
        <v>0.000683</v>
      </c>
      <c r="I6725" t="inlineStr">
        <is>
          <t>TrEMBL</t>
        </is>
      </c>
      <c r="J6725" t="inlineStr">
        <is>
          <t>APZ42_001707</t>
        </is>
      </c>
      <c r="K6725" t="inlineStr">
        <is>
          <t>A0A164IT60_9CRUS</t>
        </is>
      </c>
      <c r="L6725" t="inlineStr">
        <is>
          <t>tr|A0A164IT60|A0A164IT60_9CRUS Reverse transcriptase domain-containing protein (Fragment) OS=Daphnia magna OX=35525 GN=APZ42_001707 PE=4 SV=1</t>
        </is>
      </c>
      <c r="M6725" t="n">
        <v>353</v>
      </c>
      <c r="N6725" t="inlineStr">
        <is>
          <t>Daphnia magna</t>
        </is>
      </c>
      <c r="O6725" t="inlineStr">
        <is>
          <t>Reverse transcriptase domain-containing protein (Fragment)</t>
        </is>
      </c>
    </row>
    <row r="6726">
      <c r="A6726" t="inlineStr"/>
      <c r="B6726" t="inlineStr"/>
      <c r="C6726" t="inlineStr"/>
      <c r="D6726" t="inlineStr"/>
      <c r="E6726">
        <f>HYPERLINK("https://www.uniprot.org/uniprotkb/A0A8J1MWG0/entry", "A0A8J1MWG0")</f>
        <v/>
      </c>
      <c r="F6726" t="n">
        <v>26.6</v>
      </c>
      <c r="G6726" t="n">
        <v>169</v>
      </c>
      <c r="H6726" t="n">
        <v>0.000762</v>
      </c>
      <c r="I6726" t="inlineStr">
        <is>
          <t>TrEMBL</t>
        </is>
      </c>
      <c r="J6726" t="inlineStr">
        <is>
          <t>adgrg1.L</t>
        </is>
      </c>
      <c r="K6726" t="inlineStr">
        <is>
          <t>A0A8J1MWG0_XENLA</t>
        </is>
      </c>
      <c r="L6726" t="inlineStr">
        <is>
          <t>tr|A0A8J1MWG0|A0A8J1MWG0_XENLA ribonuclease H OS=Xenopus laevis OX=8355 GN=adgrg1.L PE=3 SV=1</t>
        </is>
      </c>
      <c r="M6726" t="n">
        <v>540</v>
      </c>
      <c r="N6726" t="inlineStr">
        <is>
          <t>Xenopus laevis</t>
        </is>
      </c>
      <c r="O6726" t="inlineStr">
        <is>
          <t>ribonuclease H</t>
        </is>
      </c>
    </row>
    <row r="6727">
      <c r="A6727" t="inlineStr"/>
      <c r="B6727" t="inlineStr"/>
      <c r="C6727" t="inlineStr"/>
      <c r="D6727" t="inlineStr"/>
      <c r="E6727">
        <f>HYPERLINK("https://www.uniprot.org/uniprotkb/A0A2D4J0A8/entry", "A0A2D4J0A8")</f>
        <v/>
      </c>
      <c r="F6727" t="n">
        <v>25.9</v>
      </c>
      <c r="G6727" t="n">
        <v>170</v>
      </c>
      <c r="H6727" t="n">
        <v>0.00079</v>
      </c>
      <c r="I6727" t="inlineStr">
        <is>
          <t>TrEMBL</t>
        </is>
      </c>
      <c r="J6727" t="inlineStr"/>
      <c r="K6727" t="inlineStr">
        <is>
          <t>A0A2D4J0A8_MICLE</t>
        </is>
      </c>
      <c r="L6727" t="inlineStr">
        <is>
          <t>tr|A0A2D4J0A8|A0A2D4J0A8_MICLE ribonuclease H OS=Micrurus lemniscatus lemniscatus OX=129467 PE=3 SV=1</t>
        </is>
      </c>
      <c r="M6727" t="n">
        <v>664</v>
      </c>
      <c r="N6727" t="inlineStr">
        <is>
          <t>Micrurus lemniscatus lemniscatus</t>
        </is>
      </c>
      <c r="O6727" t="inlineStr">
        <is>
          <t>ribonuclease H</t>
        </is>
      </c>
    </row>
    <row r="6728">
      <c r="A6728" t="inlineStr">
        <is>
          <t>NODE_43505_length_3264_cov_983.341883_g8581_i3</t>
        </is>
      </c>
      <c r="B6728" t="inlineStr">
        <is>
          <t>bombina_pachypus_blastx</t>
        </is>
      </c>
      <c r="C6728" t="n">
        <v>-6.96182735800503</v>
      </c>
      <c r="D6728" t="n">
        <v>0.0026197964798719</v>
      </c>
      <c r="E6728">
        <f>HYPERLINK("https://www.uniprot.org/uniprotkb/Q5HZQ9/entry", "Q5HZQ9")</f>
        <v/>
      </c>
      <c r="F6728" t="n">
        <v>80</v>
      </c>
      <c r="G6728" t="n">
        <v>195</v>
      </c>
      <c r="H6728" t="n">
        <v>1.47e-105</v>
      </c>
      <c r="I6728" t="inlineStr">
        <is>
          <t>Swiss-Prot</t>
        </is>
      </c>
      <c r="J6728" t="inlineStr">
        <is>
          <t>pcnx4</t>
        </is>
      </c>
      <c r="K6728" t="inlineStr">
        <is>
          <t>PCX4_XENLA</t>
        </is>
      </c>
      <c r="L6728" t="inlineStr">
        <is>
          <t>sp|Q5HZQ9|PCX4_XENLA Pecanex-like protein 4 OS=Xenopus laevis OX=8355 GN=pcnx4 PE=2 SV=1</t>
        </is>
      </c>
      <c r="M6728" t="n">
        <v>1184</v>
      </c>
      <c r="N6728" t="inlineStr">
        <is>
          <t>Xenopus laevis</t>
        </is>
      </c>
      <c r="O6728" t="inlineStr">
        <is>
          <t>Pecanex-like protein 4</t>
        </is>
      </c>
    </row>
    <row r="6729">
      <c r="A6729" t="inlineStr"/>
      <c r="B6729" t="inlineStr"/>
      <c r="C6729" t="inlineStr"/>
      <c r="D6729" t="inlineStr"/>
      <c r="E6729">
        <f>HYPERLINK("https://www.uniprot.org/uniprotkb/A0A8C0G350/entry", "A0A8C0G350")</f>
        <v/>
      </c>
      <c r="F6729" t="n">
        <v>75.09999999999999</v>
      </c>
      <c r="G6729" t="n">
        <v>193</v>
      </c>
      <c r="H6729" t="n">
        <v>7.790000000000001e-105</v>
      </c>
      <c r="I6729" t="inlineStr">
        <is>
          <t>TrEMBL</t>
        </is>
      </c>
      <c r="J6729" t="inlineStr"/>
      <c r="K6729" t="inlineStr">
        <is>
          <t>A0A8C0G350_CHEAB</t>
        </is>
      </c>
      <c r="L6729" t="inlineStr">
        <is>
          <t>tr|A0A8C0G350|A0A8C0G350_CHEAB Pecanex-like protein OS=Chelonoidis abingdonii OX=106734 PE=3 SV=1</t>
        </is>
      </c>
      <c r="M6729" t="n">
        <v>230</v>
      </c>
      <c r="N6729" t="inlineStr">
        <is>
          <t>Chelonoidis abingdonii</t>
        </is>
      </c>
      <c r="O6729" t="inlineStr">
        <is>
          <t>Pecanex-like protein</t>
        </is>
      </c>
    </row>
    <row r="6730">
      <c r="A6730" t="inlineStr"/>
      <c r="B6730" t="inlineStr"/>
      <c r="C6730" t="inlineStr"/>
      <c r="D6730" t="inlineStr"/>
      <c r="E6730">
        <f>HYPERLINK("https://www.ncbi.nlm.nih.gov/gene/?term=KAE8587001.1", "KAE8587001.1")</f>
        <v/>
      </c>
      <c r="F6730" t="n">
        <v>80.5</v>
      </c>
      <c r="G6730" t="n">
        <v>195</v>
      </c>
      <c r="H6730" t="n">
        <v>5.100000000000001e-103</v>
      </c>
      <c r="I6730" t="inlineStr">
        <is>
          <t>Nr</t>
        </is>
      </c>
      <c r="J6730" t="inlineStr"/>
      <c r="K6730" t="inlineStr"/>
      <c r="L6730" t="inlineStr">
        <is>
          <t>KAE8587001.1 hypothetical protein XENTR_v10021832 [Xenopus tropicalis]</t>
        </is>
      </c>
      <c r="M6730" t="n">
        <v>1039</v>
      </c>
      <c r="N6730" t="inlineStr">
        <is>
          <t>Xenopus tropicalis</t>
        </is>
      </c>
      <c r="O6730" t="inlineStr">
        <is>
          <t>hypothetical protein XENTR_v10021832</t>
        </is>
      </c>
    </row>
    <row r="6731">
      <c r="A6731" t="inlineStr"/>
      <c r="B6731" t="inlineStr"/>
      <c r="C6731" t="inlineStr"/>
      <c r="D6731" t="inlineStr"/>
      <c r="E6731">
        <f>HYPERLINK("https://www.uniprot.org/uniprotkb/A0A803JUN4/entry", "A0A803JUN4")</f>
        <v/>
      </c>
      <c r="F6731" t="n">
        <v>80.5</v>
      </c>
      <c r="G6731" t="n">
        <v>195</v>
      </c>
      <c r="H6731" t="n">
        <v>5.25e-103</v>
      </c>
      <c r="I6731" t="inlineStr">
        <is>
          <t>TrEMBL</t>
        </is>
      </c>
      <c r="J6731" t="inlineStr">
        <is>
          <t>pcnx4</t>
        </is>
      </c>
      <c r="K6731" t="inlineStr">
        <is>
          <t>A0A803JUN4_XENTR</t>
        </is>
      </c>
      <c r="L6731" t="inlineStr">
        <is>
          <t>tr|A0A803JUN4|A0A803JUN4_XENTR Pecanex-like protein OS=Xenopus tropicalis OX=8364 GN=pcnx4 PE=3 SV=1</t>
        </is>
      </c>
      <c r="M6731" t="n">
        <v>1103</v>
      </c>
      <c r="N6731" t="inlineStr">
        <is>
          <t>Xenopus tropicalis</t>
        </is>
      </c>
      <c r="O6731" t="inlineStr">
        <is>
          <t>Pecanex-like protein</t>
        </is>
      </c>
    </row>
    <row r="6732">
      <c r="A6732" t="inlineStr"/>
      <c r="B6732" t="inlineStr"/>
      <c r="C6732" t="inlineStr"/>
      <c r="D6732" t="inlineStr"/>
      <c r="E6732">
        <f>HYPERLINK("https://www.ncbi.nlm.nih.gov/gene/?term=KAE8586999.1", "KAE8586999.1")</f>
        <v/>
      </c>
      <c r="F6732" t="n">
        <v>80.5</v>
      </c>
      <c r="G6732" t="n">
        <v>195</v>
      </c>
      <c r="H6732" t="n">
        <v>1.35e-102</v>
      </c>
      <c r="I6732" t="inlineStr">
        <is>
          <t>Nr</t>
        </is>
      </c>
      <c r="J6732" t="inlineStr"/>
      <c r="K6732" t="inlineStr"/>
      <c r="L6732" t="inlineStr">
        <is>
          <t>KAE8586999.1 hypothetical protein XENTR_v10021832 [Xenopus tropicalis]</t>
        </is>
      </c>
      <c r="M6732" t="n">
        <v>1103</v>
      </c>
      <c r="N6732" t="inlineStr">
        <is>
          <t>Xenopus tropicalis</t>
        </is>
      </c>
      <c r="O6732" t="inlineStr">
        <is>
          <t>hypothetical protein XENTR_v10021832</t>
        </is>
      </c>
    </row>
    <row r="6733">
      <c r="A6733" t="inlineStr"/>
      <c r="B6733" t="inlineStr"/>
      <c r="C6733" t="inlineStr"/>
      <c r="D6733" t="inlineStr"/>
      <c r="E6733">
        <f>HYPERLINK("https://www.ncbi.nlm.nih.gov/gene/?term=NP_001082661.1", "NP_001082661.1")</f>
        <v/>
      </c>
      <c r="F6733" t="n">
        <v>80</v>
      </c>
      <c r="G6733" t="n">
        <v>195</v>
      </c>
      <c r="H6733" t="n">
        <v>1.48e-102</v>
      </c>
      <c r="I6733" t="inlineStr">
        <is>
          <t>Nr</t>
        </is>
      </c>
      <c r="J6733" t="inlineStr"/>
      <c r="K6733" t="inlineStr"/>
      <c r="L6733" t="inlineStr">
        <is>
          <t>NP_001082661.1 pecanex-like protein 4 [Xenopus laevis]</t>
        </is>
      </c>
      <c r="M6733" t="n">
        <v>1184</v>
      </c>
      <c r="N6733" t="inlineStr">
        <is>
          <t>Xenopus laevis</t>
        </is>
      </c>
      <c r="O6733" t="inlineStr">
        <is>
          <t>pecanex-like protein 4</t>
        </is>
      </c>
    </row>
    <row r="6734">
      <c r="A6734" t="inlineStr"/>
      <c r="B6734" t="inlineStr"/>
      <c r="C6734" t="inlineStr"/>
      <c r="D6734" t="inlineStr"/>
      <c r="E6734">
        <f>HYPERLINK("https://www.uniprot.org/uniprotkb/A0A674H4Z4/entry", "A0A674H4Z4")</f>
        <v/>
      </c>
      <c r="F6734" t="n">
        <v>73.59999999999999</v>
      </c>
      <c r="G6734" t="n">
        <v>193</v>
      </c>
      <c r="H6734" t="n">
        <v>1.49e-102</v>
      </c>
      <c r="I6734" t="inlineStr">
        <is>
          <t>TrEMBL</t>
        </is>
      </c>
      <c r="J6734" t="inlineStr">
        <is>
          <t>PCNX4</t>
        </is>
      </c>
      <c r="K6734" t="inlineStr">
        <is>
          <t>A0A674H4Z4_TAEGU</t>
        </is>
      </c>
      <c r="L6734" t="inlineStr">
        <is>
          <t>tr|A0A674H4Z4|A0A674H4Z4_TAEGU Pecanex-like protein OS=Taeniopygia guttata OX=59729 GN=PCNX4 PE=3 SV=1</t>
        </is>
      </c>
      <c r="M6734" t="n">
        <v>230</v>
      </c>
      <c r="N6734" t="inlineStr">
        <is>
          <t>Taeniopygia guttata</t>
        </is>
      </c>
      <c r="O6734" t="inlineStr">
        <is>
          <t>Pecanex-like protein</t>
        </is>
      </c>
    </row>
    <row r="6735">
      <c r="A6735" t="inlineStr"/>
      <c r="B6735" t="inlineStr"/>
      <c r="C6735" t="inlineStr"/>
      <c r="D6735" t="inlineStr"/>
      <c r="E6735">
        <f>HYPERLINK("https://www.uniprot.org/uniprotkb/B2GUP5/entry", "B2GUP5")</f>
        <v/>
      </c>
      <c r="F6735" t="n">
        <v>80.5</v>
      </c>
      <c r="G6735" t="n">
        <v>195</v>
      </c>
      <c r="H6735" t="n">
        <v>1.56e-102</v>
      </c>
      <c r="I6735" t="inlineStr">
        <is>
          <t>TrEMBL</t>
        </is>
      </c>
      <c r="J6735" t="inlineStr">
        <is>
          <t>pcnx4</t>
        </is>
      </c>
      <c r="K6735" t="inlineStr">
        <is>
          <t>B2GUP5_XENTR</t>
        </is>
      </c>
      <c r="L6735" t="inlineStr">
        <is>
          <t>tr|B2GUP5|B2GUP5_XENTR Pecanex-like protein OS=Xenopus tropicalis OX=8364 GN=pcnx4 PE=2 SV=1</t>
        </is>
      </c>
      <c r="M6735" t="n">
        <v>1184</v>
      </c>
      <c r="N6735" t="inlineStr">
        <is>
          <t>Xenopus tropicalis</t>
        </is>
      </c>
      <c r="O6735" t="inlineStr">
        <is>
          <t>Pecanex-like protein</t>
        </is>
      </c>
    </row>
    <row r="6736">
      <c r="A6736" t="inlineStr"/>
      <c r="B6736" t="inlineStr"/>
      <c r="C6736" t="inlineStr"/>
      <c r="D6736" t="inlineStr"/>
      <c r="E6736">
        <f>HYPERLINK("https://www.uniprot.org/uniprotkb/F6X856/entry", "F6X856")</f>
        <v/>
      </c>
      <c r="F6736" t="n">
        <v>80.5</v>
      </c>
      <c r="G6736" t="n">
        <v>195</v>
      </c>
      <c r="H6736" t="n">
        <v>1.56e-102</v>
      </c>
      <c r="I6736" t="inlineStr">
        <is>
          <t>TrEMBL</t>
        </is>
      </c>
      <c r="J6736" t="inlineStr">
        <is>
          <t>acer1</t>
        </is>
      </c>
      <c r="K6736" t="inlineStr">
        <is>
          <t>F6X856_XENTR</t>
        </is>
      </c>
      <c r="L6736" t="inlineStr">
        <is>
          <t>tr|F6X856|F6X856_XENTR Pecanex-like protein OS=Xenopus tropicalis OX=8364 GN=acer1 PE=3 SV=4</t>
        </is>
      </c>
      <c r="M6736" t="n">
        <v>1184</v>
      </c>
      <c r="N6736" t="inlineStr">
        <is>
          <t>Xenopus tropicalis</t>
        </is>
      </c>
      <c r="O6736" t="inlineStr">
        <is>
          <t>Pecanex-like protein</t>
        </is>
      </c>
    </row>
    <row r="6737">
      <c r="A6737" t="inlineStr"/>
      <c r="B6737" t="inlineStr"/>
      <c r="C6737" t="inlineStr"/>
      <c r="D6737" t="inlineStr"/>
      <c r="E6737">
        <f>HYPERLINK("https://www.ncbi.nlm.nih.gov/gene/?term=NP_001121514.1", "NP_001121514.1")</f>
        <v/>
      </c>
      <c r="F6737" t="n">
        <v>80.5</v>
      </c>
      <c r="G6737" t="n">
        <v>195</v>
      </c>
      <c r="H6737" t="n">
        <v>4e-102</v>
      </c>
      <c r="I6737" t="inlineStr">
        <is>
          <t>Nr</t>
        </is>
      </c>
      <c r="J6737" t="inlineStr"/>
      <c r="K6737" t="inlineStr"/>
      <c r="L6737" t="inlineStr">
        <is>
          <t>NP_001121514.1 pecanex-like protein 4 [Xenopus tropicalis]</t>
        </is>
      </c>
      <c r="M6737" t="n">
        <v>1184</v>
      </c>
      <c r="N6737" t="inlineStr">
        <is>
          <t>Xenopus tropicalis</t>
        </is>
      </c>
      <c r="O6737" t="inlineStr">
        <is>
          <t>pecanex-like protein 4</t>
        </is>
      </c>
    </row>
    <row r="6738">
      <c r="A6738" t="inlineStr"/>
      <c r="B6738" t="inlineStr"/>
      <c r="C6738" t="inlineStr"/>
      <c r="D6738" t="inlineStr"/>
      <c r="E6738">
        <f>HYPERLINK("https://www.ncbi.nlm.nih.gov/gene/?term=XP_012823522.2", "XP_012823522.2")</f>
        <v/>
      </c>
      <c r="F6738" t="n">
        <v>80.5</v>
      </c>
      <c r="G6738" t="n">
        <v>195</v>
      </c>
      <c r="H6738" t="n">
        <v>4e-102</v>
      </c>
      <c r="I6738" t="inlineStr">
        <is>
          <t>Nr</t>
        </is>
      </c>
      <c r="J6738" t="inlineStr"/>
      <c r="K6738" t="inlineStr"/>
      <c r="L6738" t="inlineStr">
        <is>
          <t>XP_012823522.2 pecanex-like protein 4 isoform X1 [Xenopus tropicalis]</t>
        </is>
      </c>
      <c r="M6738" t="n">
        <v>1184</v>
      </c>
      <c r="N6738" t="inlineStr">
        <is>
          <t>Xenopus tropicalis</t>
        </is>
      </c>
      <c r="O6738" t="inlineStr">
        <is>
          <t>pecanex-like protein 4 isoform X1</t>
        </is>
      </c>
    </row>
    <row r="6739">
      <c r="A6739" t="inlineStr"/>
      <c r="B6739" t="inlineStr"/>
      <c r="C6739" t="inlineStr"/>
      <c r="D6739" t="inlineStr"/>
      <c r="E6739">
        <f>HYPERLINK("https://www.uniprot.org/uniprotkb/A0A8C6ZSA8/entry", "A0A8C6ZSA8")</f>
        <v/>
      </c>
      <c r="F6739" t="n">
        <v>73.3</v>
      </c>
      <c r="G6739" t="n">
        <v>191</v>
      </c>
      <c r="H6739" t="n">
        <v>4.28e-102</v>
      </c>
      <c r="I6739" t="inlineStr">
        <is>
          <t>TrEMBL</t>
        </is>
      </c>
      <c r="J6739" t="inlineStr"/>
      <c r="K6739" t="inlineStr">
        <is>
          <t>A0A8C6ZSA8_NOTPE</t>
        </is>
      </c>
      <c r="L6739" t="inlineStr">
        <is>
          <t>tr|A0A8C6ZSA8|A0A8C6ZSA8_NOTPE Pecanex-like protein OS=Nothoprocta perdicaria OX=30464 PE=3 SV=1</t>
        </is>
      </c>
      <c r="M6739" t="n">
        <v>230</v>
      </c>
      <c r="N6739" t="inlineStr">
        <is>
          <t>Nothoprocta perdicaria</t>
        </is>
      </c>
      <c r="O6739" t="inlineStr">
        <is>
          <t>Pecanex-like protein</t>
        </is>
      </c>
    </row>
    <row r="6740">
      <c r="A6740" t="inlineStr"/>
      <c r="B6740" t="inlineStr"/>
      <c r="C6740" t="inlineStr"/>
      <c r="D6740" t="inlineStr"/>
      <c r="E6740">
        <f>HYPERLINK("https://www.ncbi.nlm.nih.gov/gene/?term=OCT68505.1", "OCT68505.1")</f>
        <v/>
      </c>
      <c r="F6740" t="n">
        <v>79.5</v>
      </c>
      <c r="G6740" t="n">
        <v>195</v>
      </c>
      <c r="H6740" t="n">
        <v>7.74e-102</v>
      </c>
      <c r="I6740" t="inlineStr">
        <is>
          <t>Nr</t>
        </is>
      </c>
      <c r="J6740" t="inlineStr"/>
      <c r="K6740" t="inlineStr"/>
      <c r="L6740" t="inlineStr">
        <is>
          <t>OCT68505.1 hypothetical protein XELAEV_18039807mg [Xenopus laevis]</t>
        </is>
      </c>
      <c r="M6740" t="n">
        <v>1184</v>
      </c>
      <c r="N6740" t="inlineStr">
        <is>
          <t>Xenopus laevis</t>
        </is>
      </c>
      <c r="O6740" t="inlineStr">
        <is>
          <t>hypothetical protein XELAEV_18039807mg</t>
        </is>
      </c>
    </row>
    <row r="6741">
      <c r="A6741" t="inlineStr"/>
      <c r="B6741" t="inlineStr"/>
      <c r="C6741" t="inlineStr"/>
      <c r="D6741" t="inlineStr"/>
      <c r="E6741">
        <f>HYPERLINK("https://www.uniprot.org/uniprotkb/A0A8T2K045/entry", "A0A8T2K045")</f>
        <v/>
      </c>
      <c r="F6741" t="n">
        <v>79</v>
      </c>
      <c r="G6741" t="n">
        <v>195</v>
      </c>
      <c r="H6741" t="n">
        <v>8.110000000000001e-102</v>
      </c>
      <c r="I6741" t="inlineStr">
        <is>
          <t>TrEMBL</t>
        </is>
      </c>
      <c r="J6741" t="inlineStr">
        <is>
          <t>GDO86_016146</t>
        </is>
      </c>
      <c r="K6741" t="inlineStr">
        <is>
          <t>A0A8T2K045_9PIPI</t>
        </is>
      </c>
      <c r="L6741" t="inlineStr">
        <is>
          <t>tr|A0A8T2K045|A0A8T2K045_9PIPI Pecanex-like protein OS=Hymenochirus boettgeri OX=247094 GN=GDO86_016146 PE=3 SV=1</t>
        </is>
      </c>
      <c r="M6741" t="n">
        <v>1184</v>
      </c>
      <c r="N6741" t="inlineStr">
        <is>
          <t>Hymenochirus boettgeri</t>
        </is>
      </c>
      <c r="O6741" t="inlineStr">
        <is>
          <t>Pecanex-like protein</t>
        </is>
      </c>
    </row>
    <row r="6742">
      <c r="A6742" t="inlineStr"/>
      <c r="B6742" t="inlineStr"/>
      <c r="C6742" t="inlineStr"/>
      <c r="D6742" t="inlineStr"/>
      <c r="E6742">
        <f>HYPERLINK("https://www.ncbi.nlm.nih.gov/gene/?term=KAG8449383.1", "KAG8449383.1")</f>
        <v/>
      </c>
      <c r="F6742" t="n">
        <v>79</v>
      </c>
      <c r="G6742" t="n">
        <v>195</v>
      </c>
      <c r="H6742" t="n">
        <v>2.08e-101</v>
      </c>
      <c r="I6742" t="inlineStr">
        <is>
          <t>Nr</t>
        </is>
      </c>
      <c r="J6742" t="inlineStr"/>
      <c r="K6742" t="inlineStr"/>
      <c r="L6742" t="inlineStr">
        <is>
          <t>KAG8449383.1 hypothetical protein GDO86_016146 [Hymenochirus boettgeri]</t>
        </is>
      </c>
      <c r="M6742" t="n">
        <v>1184</v>
      </c>
      <c r="N6742" t="inlineStr">
        <is>
          <t>Hymenochirus boettgeri</t>
        </is>
      </c>
      <c r="O6742" t="inlineStr">
        <is>
          <t>hypothetical protein GDO86_016146</t>
        </is>
      </c>
    </row>
    <row r="6743">
      <c r="A6743" t="inlineStr"/>
      <c r="B6743" t="inlineStr"/>
      <c r="C6743" t="inlineStr"/>
      <c r="D6743" t="inlineStr"/>
      <c r="E6743">
        <f>HYPERLINK("https://www.uniprot.org/uniprotkb/A0A7L3G987/entry", "A0A7L3G987")</f>
        <v/>
      </c>
      <c r="F6743" t="n">
        <v>76.2</v>
      </c>
      <c r="G6743" t="n">
        <v>193</v>
      </c>
      <c r="H6743" t="n">
        <v>6.7e-101</v>
      </c>
      <c r="I6743" t="inlineStr">
        <is>
          <t>TrEMBL</t>
        </is>
      </c>
      <c r="J6743" t="inlineStr">
        <is>
          <t>Pcnx4_0</t>
        </is>
      </c>
      <c r="K6743" t="inlineStr">
        <is>
          <t>A0A7L3G987_9AVES</t>
        </is>
      </c>
      <c r="L6743" t="inlineStr">
        <is>
          <t>tr|A0A7L3G987|A0A7L3G987_9AVES Pecanex-like protein (Fragment) OS=Anhinga rufa OX=317792 GN=Pcnx4_0 PE=3 SV=1</t>
        </is>
      </c>
      <c r="M6743" t="n">
        <v>658</v>
      </c>
      <c r="N6743" t="inlineStr">
        <is>
          <t>Anhinga rufa</t>
        </is>
      </c>
      <c r="O6743" t="inlineStr">
        <is>
          <t>Pecanex-like protein (Fragment)</t>
        </is>
      </c>
    </row>
    <row r="6744">
      <c r="A6744" t="inlineStr"/>
      <c r="B6744" t="inlineStr"/>
      <c r="C6744" t="inlineStr"/>
      <c r="D6744" t="inlineStr"/>
      <c r="E6744">
        <f>HYPERLINK("https://www.ncbi.nlm.nih.gov/gene/?term=XP_040189232.1", "XP_040189232.1")</f>
        <v/>
      </c>
      <c r="F6744" t="n">
        <v>79.5</v>
      </c>
      <c r="G6744" t="n">
        <v>195</v>
      </c>
      <c r="H6744" t="n">
        <v>7.340000000000001e-101</v>
      </c>
      <c r="I6744" t="inlineStr">
        <is>
          <t>Nr</t>
        </is>
      </c>
      <c r="J6744" t="inlineStr"/>
      <c r="K6744" t="inlineStr"/>
      <c r="L6744" t="inlineStr">
        <is>
          <t>XP_040189232.1 pecanex-like protein 4 [Rana temporaria]</t>
        </is>
      </c>
      <c r="M6744" t="n">
        <v>1179</v>
      </c>
      <c r="N6744" t="inlineStr">
        <is>
          <t>Rana temporaria</t>
        </is>
      </c>
      <c r="O6744" t="inlineStr">
        <is>
          <t>pecanex-like protein 4</t>
        </is>
      </c>
    </row>
    <row r="6745">
      <c r="A6745" t="inlineStr"/>
      <c r="B6745" t="inlineStr"/>
      <c r="C6745" t="inlineStr"/>
      <c r="D6745" t="inlineStr"/>
      <c r="E6745">
        <f>HYPERLINK("https://www.uniprot.org/uniprotkb/A0A8J6F434/entry", "A0A8J6F434")</f>
        <v/>
      </c>
      <c r="F6745" t="n">
        <v>76.90000000000001</v>
      </c>
      <c r="G6745" t="n">
        <v>195</v>
      </c>
      <c r="H6745" t="n">
        <v>1.06e-100</v>
      </c>
      <c r="I6745" t="inlineStr">
        <is>
          <t>TrEMBL</t>
        </is>
      </c>
      <c r="J6745" t="inlineStr">
        <is>
          <t>GDO78_010499</t>
        </is>
      </c>
      <c r="K6745" t="inlineStr">
        <is>
          <t>A0A8J6F434_ELECQ</t>
        </is>
      </c>
      <c r="L6745" t="inlineStr">
        <is>
          <t>tr|A0A8J6F434|A0A8J6F434_ELECQ Pecanex-like protein OS=Eleutherodactylus coqui OX=57060 GN=GDO78_010499 PE=3 SV=1</t>
        </is>
      </c>
      <c r="M6745" t="n">
        <v>1034</v>
      </c>
      <c r="N6745" t="inlineStr">
        <is>
          <t>Eleutherodactylus coqui</t>
        </is>
      </c>
      <c r="O6745" t="inlineStr">
        <is>
          <t>Pecanex-like protein</t>
        </is>
      </c>
    </row>
    <row r="6746">
      <c r="A6746" t="inlineStr"/>
      <c r="B6746" t="inlineStr"/>
      <c r="C6746" t="inlineStr"/>
      <c r="D6746" t="inlineStr"/>
      <c r="E6746">
        <f>HYPERLINK("https://www.ncbi.nlm.nih.gov/gene/?term=NXT89786.1", "NXT89786.1")</f>
        <v/>
      </c>
      <c r="F6746" t="n">
        <v>76.2</v>
      </c>
      <c r="G6746" t="n">
        <v>193</v>
      </c>
      <c r="H6746" t="n">
        <v>1.72e-100</v>
      </c>
      <c r="I6746" t="inlineStr">
        <is>
          <t>Nr</t>
        </is>
      </c>
      <c r="J6746" t="inlineStr"/>
      <c r="K6746" t="inlineStr"/>
      <c r="L6746" t="inlineStr">
        <is>
          <t>NXT89786.1 PCX4 protein [Anhinga rufa]</t>
        </is>
      </c>
      <c r="M6746" t="n">
        <v>658</v>
      </c>
      <c r="N6746" t="inlineStr">
        <is>
          <t>Anhinga rufa</t>
        </is>
      </c>
      <c r="O6746" t="inlineStr">
        <is>
          <t>PCX4 protein</t>
        </is>
      </c>
    </row>
    <row r="6747">
      <c r="A6747" t="inlineStr"/>
      <c r="B6747" t="inlineStr"/>
      <c r="C6747" t="inlineStr"/>
      <c r="D6747" t="inlineStr"/>
      <c r="E6747">
        <f>HYPERLINK("https://www.ncbi.nlm.nih.gov/gene/?term=KFP47633.1", "KFP47633.1")</f>
        <v/>
      </c>
      <c r="F6747" t="n">
        <v>76.2</v>
      </c>
      <c r="G6747" t="n">
        <v>193</v>
      </c>
      <c r="H6747" t="n">
        <v>2.49e-100</v>
      </c>
      <c r="I6747" t="inlineStr">
        <is>
          <t>Nr</t>
        </is>
      </c>
      <c r="J6747" t="inlineStr"/>
      <c r="K6747" t="inlineStr"/>
      <c r="L6747" t="inlineStr">
        <is>
          <t>KFP47633.1 Pecanex-like 4, partial [Cathartes aura]</t>
        </is>
      </c>
      <c r="M6747" t="n">
        <v>659</v>
      </c>
      <c r="N6747" t="inlineStr">
        <is>
          <t>Cathartes aura</t>
        </is>
      </c>
      <c r="O6747" t="inlineStr">
        <is>
          <t>Pecanex-like 4, partial</t>
        </is>
      </c>
    </row>
    <row r="6748">
      <c r="A6748" t="inlineStr"/>
      <c r="B6748" t="inlineStr"/>
      <c r="C6748" t="inlineStr"/>
      <c r="D6748" t="inlineStr"/>
      <c r="E6748">
        <f>HYPERLINK("https://www.uniprot.org/uniprotkb/M7B556/entry", "M7B556")</f>
        <v/>
      </c>
      <c r="F6748" t="n">
        <v>73.59999999999999</v>
      </c>
      <c r="G6748" t="n">
        <v>193</v>
      </c>
      <c r="H6748" t="n">
        <v>2.58e-100</v>
      </c>
      <c r="I6748" t="inlineStr">
        <is>
          <t>TrEMBL</t>
        </is>
      </c>
      <c r="J6748" t="inlineStr">
        <is>
          <t>UY3_12215</t>
        </is>
      </c>
      <c r="K6748" t="inlineStr">
        <is>
          <t>M7B556_CHEMY</t>
        </is>
      </c>
      <c r="L6748" t="inlineStr">
        <is>
          <t>tr|M7B556|M7B556_CHEMY Pecanex-like protein OS=Chelonia mydas OX=8469 GN=UY3_12215 PE=3 SV=1</t>
        </is>
      </c>
      <c r="M6748" t="n">
        <v>375</v>
      </c>
      <c r="N6748" t="inlineStr">
        <is>
          <t>Chelonia mydas</t>
        </is>
      </c>
      <c r="O6748" t="inlineStr">
        <is>
          <t>Pecanex-like protein</t>
        </is>
      </c>
    </row>
    <row r="6749">
      <c r="A6749" t="inlineStr"/>
      <c r="B6749" t="inlineStr"/>
      <c r="C6749" t="inlineStr"/>
      <c r="D6749" t="inlineStr"/>
      <c r="E6749">
        <f>HYPERLINK("https://www.ncbi.nlm.nih.gov/gene/?term=KAG9481292.1", "KAG9481292.1")</f>
        <v/>
      </c>
      <c r="F6749" t="n">
        <v>76.90000000000001</v>
      </c>
      <c r="G6749" t="n">
        <v>195</v>
      </c>
      <c r="H6749" t="n">
        <v>2.72e-100</v>
      </c>
      <c r="I6749" t="inlineStr">
        <is>
          <t>Nr</t>
        </is>
      </c>
      <c r="J6749" t="inlineStr"/>
      <c r="K6749" t="inlineStr"/>
      <c r="L6749" t="inlineStr">
        <is>
          <t>KAG9481292.1 hypothetical protein GDO78_010499 [Eleutherodactylus coqui]</t>
        </is>
      </c>
      <c r="M6749" t="n">
        <v>1034</v>
      </c>
      <c r="N6749" t="inlineStr">
        <is>
          <t>Eleutherodactylus coqui</t>
        </is>
      </c>
      <c r="O6749" t="inlineStr">
        <is>
          <t>hypothetical protein GDO78_010499</t>
        </is>
      </c>
    </row>
    <row r="6750">
      <c r="A6750" t="inlineStr"/>
      <c r="B6750" t="inlineStr"/>
      <c r="C6750" t="inlineStr"/>
      <c r="D6750" t="inlineStr"/>
      <c r="E6750">
        <f>HYPERLINK("https://www.ncbi.nlm.nih.gov/gene/?term=XP_040267141.1", "XP_040267141.1")</f>
        <v/>
      </c>
      <c r="F6750" t="n">
        <v>77.90000000000001</v>
      </c>
      <c r="G6750" t="n">
        <v>195</v>
      </c>
      <c r="H6750" t="n">
        <v>3.78e-100</v>
      </c>
      <c r="I6750" t="inlineStr">
        <is>
          <t>Nr</t>
        </is>
      </c>
      <c r="J6750" t="inlineStr"/>
      <c r="K6750" t="inlineStr"/>
      <c r="L6750" t="inlineStr">
        <is>
          <t>XP_040267141.1 pecanex-like protein 4 [Bufo bufo]</t>
        </is>
      </c>
      <c r="M6750" t="n">
        <v>1178</v>
      </c>
      <c r="N6750" t="inlineStr">
        <is>
          <t>Bufo bufo</t>
        </is>
      </c>
      <c r="O6750" t="inlineStr">
        <is>
          <t>pecanex-like protein 4</t>
        </is>
      </c>
    </row>
    <row r="6751">
      <c r="A6751" t="inlineStr"/>
      <c r="B6751" t="inlineStr"/>
      <c r="C6751" t="inlineStr"/>
      <c r="D6751" t="inlineStr"/>
      <c r="E6751">
        <f>HYPERLINK("https://www.ncbi.nlm.nih.gov/gene/?term=EMP30660.1", "EMP30660.1")</f>
        <v/>
      </c>
      <c r="F6751" t="n">
        <v>73.59999999999999</v>
      </c>
      <c r="G6751" t="n">
        <v>193</v>
      </c>
      <c r="H6751" t="n">
        <v>6.64e-100</v>
      </c>
      <c r="I6751" t="inlineStr">
        <is>
          <t>Nr</t>
        </is>
      </c>
      <c r="J6751" t="inlineStr"/>
      <c r="K6751" t="inlineStr"/>
      <c r="L6751" t="inlineStr">
        <is>
          <t>EMP30660.1 hypothetical protein UY3_12215 [Chelonia mydas]</t>
        </is>
      </c>
      <c r="M6751" t="n">
        <v>375</v>
      </c>
      <c r="N6751" t="inlineStr">
        <is>
          <t>Chelonia mydas</t>
        </is>
      </c>
      <c r="O6751" t="inlineStr">
        <is>
          <t>hypothetical protein UY3_12215</t>
        </is>
      </c>
    </row>
    <row r="6752">
      <c r="A6752" t="inlineStr"/>
      <c r="B6752" t="inlineStr"/>
      <c r="C6752" t="inlineStr"/>
      <c r="D6752" t="inlineStr"/>
      <c r="E6752">
        <f>HYPERLINK("https://www.ncbi.nlm.nih.gov/gene/?term=KFQ77329.1", "KFQ77329.1")</f>
        <v/>
      </c>
      <c r="F6752" t="n">
        <v>75.09999999999999</v>
      </c>
      <c r="G6752" t="n">
        <v>193</v>
      </c>
      <c r="H6752" t="n">
        <v>6.99e-100</v>
      </c>
      <c r="I6752" t="inlineStr">
        <is>
          <t>Nr</t>
        </is>
      </c>
      <c r="J6752" t="inlineStr"/>
      <c r="K6752" t="inlineStr"/>
      <c r="L6752" t="inlineStr">
        <is>
          <t>KFQ77329.1 Pecanex-like 4, partial [Phoenicopterus ruber ruber]</t>
        </is>
      </c>
      <c r="M6752" t="n">
        <v>659</v>
      </c>
      <c r="N6752" t="inlineStr">
        <is>
          <t>Phoenicopterus ruber ruber</t>
        </is>
      </c>
      <c r="O6752" t="inlineStr">
        <is>
          <t>Pecanex-like 4, partial</t>
        </is>
      </c>
    </row>
    <row r="6753">
      <c r="A6753" t="inlineStr"/>
      <c r="B6753" t="inlineStr"/>
      <c r="C6753" t="inlineStr"/>
      <c r="D6753" t="inlineStr"/>
      <c r="E6753">
        <f>HYPERLINK("https://www.ncbi.nlm.nih.gov/gene/?term=XP_009818661.1", "XP_009818661.1")</f>
        <v/>
      </c>
      <c r="F6753" t="n">
        <v>75.09999999999999</v>
      </c>
      <c r="G6753" t="n">
        <v>193</v>
      </c>
      <c r="H6753" t="n">
        <v>1.87e-99</v>
      </c>
      <c r="I6753" t="inlineStr">
        <is>
          <t>Nr</t>
        </is>
      </c>
      <c r="J6753" t="inlineStr"/>
      <c r="K6753" t="inlineStr"/>
      <c r="L6753" t="inlineStr">
        <is>
          <t>XP_009818661.1 PREDICTED: pecanex-like protein 4, partial [Gavia stellata]</t>
        </is>
      </c>
      <c r="M6753" t="n">
        <v>657</v>
      </c>
      <c r="N6753" t="inlineStr">
        <is>
          <t>Gavia stellata</t>
        </is>
      </c>
      <c r="O6753" t="inlineStr">
        <is>
          <t>PREDICTED: pecanex-like protein 4, partial</t>
        </is>
      </c>
    </row>
    <row r="6754">
      <c r="A6754" t="inlineStr"/>
      <c r="B6754" t="inlineStr"/>
      <c r="C6754" t="inlineStr"/>
      <c r="D6754" t="inlineStr"/>
      <c r="E6754">
        <f>HYPERLINK("https://www.ncbi.nlm.nih.gov/gene/?term=KFV46247.1", "KFV46247.1")</f>
        <v/>
      </c>
      <c r="F6754" t="n">
        <v>75.09999999999999</v>
      </c>
      <c r="G6754" t="n">
        <v>193</v>
      </c>
      <c r="H6754" t="n">
        <v>1.96e-99</v>
      </c>
      <c r="I6754" t="inlineStr">
        <is>
          <t>Nr</t>
        </is>
      </c>
      <c r="J6754" t="inlineStr"/>
      <c r="K6754" t="inlineStr"/>
      <c r="L6754" t="inlineStr">
        <is>
          <t>KFV46247.1 Pecanex-like 4, partial [Gavia stellata]</t>
        </is>
      </c>
      <c r="M6754" t="n">
        <v>659</v>
      </c>
      <c r="N6754" t="inlineStr">
        <is>
          <t>Gavia stellata</t>
        </is>
      </c>
      <c r="O6754" t="inlineStr">
        <is>
          <t>Pecanex-like 4, partial</t>
        </is>
      </c>
    </row>
    <row r="6755">
      <c r="A6755" t="inlineStr"/>
      <c r="B6755" t="inlineStr"/>
      <c r="C6755" t="inlineStr"/>
      <c r="D6755" t="inlineStr"/>
      <c r="E6755">
        <f>HYPERLINK("https://www.uniprot.org/uniprotkb/A0A093ESH5/entry", "A0A093ESH5")</f>
        <v/>
      </c>
      <c r="F6755" t="n">
        <v>76.2</v>
      </c>
      <c r="G6755" t="n">
        <v>193</v>
      </c>
      <c r="H6755" t="n">
        <v>2.14e-99</v>
      </c>
      <c r="I6755" t="inlineStr">
        <is>
          <t>TrEMBL</t>
        </is>
      </c>
      <c r="J6755" t="inlineStr">
        <is>
          <t>N341_10597</t>
        </is>
      </c>
      <c r="K6755" t="inlineStr">
        <is>
          <t>A0A093ESH5_TYTAL</t>
        </is>
      </c>
      <c r="L6755" t="inlineStr">
        <is>
          <t>tr|A0A093ESH5|A0A093ESH5_TYTAL Pecanex-like protein (Fragment) OS=Tyto alba OX=56313 GN=N341_10597 PE=3 SV=1</t>
        </is>
      </c>
      <c r="M6755" t="n">
        <v>659</v>
      </c>
      <c r="N6755" t="inlineStr">
        <is>
          <t>Tyto alba</t>
        </is>
      </c>
      <c r="O6755" t="inlineStr">
        <is>
          <t>Pecanex-like protein (Fragment)</t>
        </is>
      </c>
    </row>
    <row r="6756">
      <c r="A6756" t="inlineStr"/>
      <c r="B6756" t="inlineStr"/>
      <c r="C6756" t="inlineStr"/>
      <c r="D6756" t="inlineStr"/>
      <c r="E6756">
        <f>HYPERLINK("https://www.uniprot.org/uniprotkb/A0A6P8RSC8/entry", "A0A6P8RSC8")</f>
        <v/>
      </c>
      <c r="F6756" t="n">
        <v>77.7</v>
      </c>
      <c r="G6756" t="n">
        <v>193</v>
      </c>
      <c r="H6756" t="n">
        <v>2.31e-99</v>
      </c>
      <c r="I6756" t="inlineStr">
        <is>
          <t>TrEMBL</t>
        </is>
      </c>
      <c r="J6756" t="inlineStr">
        <is>
          <t>PCNX4</t>
        </is>
      </c>
      <c r="K6756" t="inlineStr">
        <is>
          <t>A0A6P8RSC8_GEOSA</t>
        </is>
      </c>
      <c r="L6756" t="inlineStr">
        <is>
          <t>tr|A0A6P8RSC8|A0A6P8RSC8_GEOSA Pecanex-like protein OS=Geotrypetes seraphini OX=260995 GN=PCNX4 PE=3 SV=1</t>
        </is>
      </c>
      <c r="M6756" t="n">
        <v>1188</v>
      </c>
      <c r="N6756" t="inlineStr">
        <is>
          <t>Geotrypetes seraphini</t>
        </is>
      </c>
      <c r="O6756" t="inlineStr">
        <is>
          <t>Pecanex-like protein</t>
        </is>
      </c>
    </row>
    <row r="6757">
      <c r="A6757" t="inlineStr"/>
      <c r="B6757" t="inlineStr"/>
      <c r="C6757" t="inlineStr"/>
      <c r="D6757" t="inlineStr"/>
      <c r="E6757">
        <f>HYPERLINK("https://www.ncbi.nlm.nih.gov/gene/?term=KFV43310.1", "KFV43310.1")</f>
        <v/>
      </c>
      <c r="F6757" t="n">
        <v>76.2</v>
      </c>
      <c r="G6757" t="n">
        <v>193</v>
      </c>
      <c r="H6757" t="n">
        <v>5.51e-99</v>
      </c>
      <c r="I6757" t="inlineStr">
        <is>
          <t>Nr</t>
        </is>
      </c>
      <c r="J6757" t="inlineStr"/>
      <c r="K6757" t="inlineStr"/>
      <c r="L6757" t="inlineStr">
        <is>
          <t>KFV43310.1 Pecanex-like 4, partial [Tyto alba]</t>
        </is>
      </c>
      <c r="M6757" t="n">
        <v>659</v>
      </c>
      <c r="N6757" t="inlineStr">
        <is>
          <t>Tyto alba</t>
        </is>
      </c>
      <c r="O6757" t="inlineStr">
        <is>
          <t>Pecanex-like 4, partial</t>
        </is>
      </c>
    </row>
    <row r="6758">
      <c r="A6758" t="inlineStr"/>
      <c r="B6758" t="inlineStr"/>
      <c r="C6758" t="inlineStr"/>
      <c r="D6758" t="inlineStr"/>
      <c r="E6758">
        <f>HYPERLINK("https://www.uniprot.org/uniprotkb/A0A444UTW5/entry", "A0A444UTW5")</f>
        <v/>
      </c>
      <c r="F6758" t="n">
        <v>73.59999999999999</v>
      </c>
      <c r="G6758" t="n">
        <v>193</v>
      </c>
      <c r="H6758" t="n">
        <v>5.53e-99</v>
      </c>
      <c r="I6758" t="inlineStr">
        <is>
          <t>TrEMBL</t>
        </is>
      </c>
      <c r="J6758" t="inlineStr">
        <is>
          <t>EOD39_21016</t>
        </is>
      </c>
      <c r="K6758" t="inlineStr">
        <is>
          <t>A0A444UTW5_ACIRT</t>
        </is>
      </c>
      <c r="L6758" t="inlineStr">
        <is>
          <t>tr|A0A444UTW5|A0A444UTW5_ACIRT Pecanex-like protein OS=Acipenser ruthenus OX=7906 GN=EOD39_21016 PE=3 SV=1</t>
        </is>
      </c>
      <c r="M6758" t="n">
        <v>588</v>
      </c>
      <c r="N6758" t="inlineStr">
        <is>
          <t>Acipenser ruthenus</t>
        </is>
      </c>
      <c r="O6758" t="inlineStr">
        <is>
          <t>Pecanex-like protein</t>
        </is>
      </c>
    </row>
    <row r="6759">
      <c r="A6759" t="inlineStr"/>
      <c r="B6759" t="inlineStr"/>
      <c r="C6759" t="inlineStr"/>
      <c r="D6759" t="inlineStr"/>
      <c r="E6759">
        <f>HYPERLINK("https://www.ncbi.nlm.nih.gov/gene/?term=XP_033808382.1", "XP_033808382.1")</f>
        <v/>
      </c>
      <c r="F6759" t="n">
        <v>77.7</v>
      </c>
      <c r="G6759" t="n">
        <v>193</v>
      </c>
      <c r="H6759" t="n">
        <v>5.93e-99</v>
      </c>
      <c r="I6759" t="inlineStr">
        <is>
          <t>Nr</t>
        </is>
      </c>
      <c r="J6759" t="inlineStr"/>
      <c r="K6759" t="inlineStr"/>
      <c r="L6759" t="inlineStr">
        <is>
          <t>XP_033808382.1 pecanex-like protein 4 [Geotrypetes seraphini]</t>
        </is>
      </c>
      <c r="M6759" t="n">
        <v>1188</v>
      </c>
      <c r="N6759" t="inlineStr">
        <is>
          <t>Geotrypetes seraphini</t>
        </is>
      </c>
      <c r="O6759" t="inlineStr">
        <is>
          <t>pecanex-like protein 4</t>
        </is>
      </c>
    </row>
    <row r="6760">
      <c r="A6760" t="inlineStr"/>
      <c r="B6760" t="inlineStr"/>
      <c r="C6760" t="inlineStr"/>
      <c r="D6760" t="inlineStr"/>
      <c r="E6760">
        <f>HYPERLINK("https://www.ncbi.nlm.nih.gov/gene/?term=XP_010020144.1", "XP_010020144.1")</f>
        <v/>
      </c>
      <c r="F6760" t="n">
        <v>75.59999999999999</v>
      </c>
      <c r="G6760" t="n">
        <v>193</v>
      </c>
      <c r="H6760" t="n">
        <v>7.400000000000001e-99</v>
      </c>
      <c r="I6760" t="inlineStr">
        <is>
          <t>Nr</t>
        </is>
      </c>
      <c r="J6760" t="inlineStr"/>
      <c r="K6760" t="inlineStr"/>
      <c r="L6760" t="inlineStr">
        <is>
          <t>XP_010020144.1 PREDICTED: pecanex-like protein 4, partial [Nestor notabilis]</t>
        </is>
      </c>
      <c r="M6760" t="n">
        <v>657</v>
      </c>
      <c r="N6760" t="inlineStr">
        <is>
          <t>Nestor notabilis</t>
        </is>
      </c>
      <c r="O6760" t="inlineStr">
        <is>
          <t>PREDICTED: pecanex-like protein 4, partial</t>
        </is>
      </c>
    </row>
    <row r="6761">
      <c r="A6761" t="inlineStr"/>
      <c r="B6761" t="inlineStr"/>
      <c r="C6761" t="inlineStr"/>
      <c r="D6761" t="inlineStr"/>
      <c r="E6761">
        <f>HYPERLINK("https://www.ncbi.nlm.nih.gov/gene/?term=KFQ43629.1", "KFQ43629.1")</f>
        <v/>
      </c>
      <c r="F6761" t="n">
        <v>75.59999999999999</v>
      </c>
      <c r="G6761" t="n">
        <v>193</v>
      </c>
      <c r="H6761" t="n">
        <v>7.77e-99</v>
      </c>
      <c r="I6761" t="inlineStr">
        <is>
          <t>Nr</t>
        </is>
      </c>
      <c r="J6761" t="inlineStr"/>
      <c r="K6761" t="inlineStr"/>
      <c r="L6761" t="inlineStr">
        <is>
          <t>KFQ43629.1 Pecanex-like 4, partial [Nestor notabilis]</t>
        </is>
      </c>
      <c r="M6761" t="n">
        <v>659</v>
      </c>
      <c r="N6761" t="inlineStr">
        <is>
          <t>Nestor notabilis</t>
        </is>
      </c>
      <c r="O6761" t="inlineStr">
        <is>
          <t>Pecanex-like 4, partial</t>
        </is>
      </c>
    </row>
    <row r="6762">
      <c r="A6762" t="inlineStr"/>
      <c r="B6762" t="inlineStr"/>
      <c r="C6762" t="inlineStr"/>
      <c r="D6762" t="inlineStr"/>
      <c r="E6762">
        <f>HYPERLINK("https://www.ncbi.nlm.nih.gov/gene/?term=RXM91596.1", "RXM91596.1")</f>
        <v/>
      </c>
      <c r="F6762" t="n">
        <v>73.59999999999999</v>
      </c>
      <c r="G6762" t="n">
        <v>193</v>
      </c>
      <c r="H6762" t="n">
        <v>1.42e-98</v>
      </c>
      <c r="I6762" t="inlineStr">
        <is>
          <t>Nr</t>
        </is>
      </c>
      <c r="J6762" t="inlineStr"/>
      <c r="K6762" t="inlineStr"/>
      <c r="L6762" t="inlineStr">
        <is>
          <t>RXM91596.1 Pecanex-like protein 4 [Acipenser ruthenus]</t>
        </is>
      </c>
      <c r="M6762" t="n">
        <v>588</v>
      </c>
      <c r="N6762" t="inlineStr">
        <is>
          <t>Acipenser ruthenus</t>
        </is>
      </c>
      <c r="O6762" t="inlineStr">
        <is>
          <t>Pecanex-like protein 4</t>
        </is>
      </c>
    </row>
    <row r="6763">
      <c r="A6763" t="inlineStr"/>
      <c r="B6763" t="inlineStr"/>
      <c r="C6763" t="inlineStr"/>
      <c r="D6763" t="inlineStr"/>
      <c r="E6763">
        <f>HYPERLINK("https://www.ncbi.nlm.nih.gov/gene/?term=KAG8561124.1", "KAG8561124.1")</f>
        <v/>
      </c>
      <c r="F6763" t="n">
        <v>76.90000000000001</v>
      </c>
      <c r="G6763" t="n">
        <v>195</v>
      </c>
      <c r="H6763" t="n">
        <v>1.62e-98</v>
      </c>
      <c r="I6763" t="inlineStr">
        <is>
          <t>Nr</t>
        </is>
      </c>
      <c r="J6763" t="inlineStr"/>
      <c r="K6763" t="inlineStr"/>
      <c r="L6763" t="inlineStr">
        <is>
          <t>KAG8561124.1 hypothetical protein GDO81_015254 [Engystomops pustulosus]</t>
        </is>
      </c>
      <c r="M6763" t="n">
        <v>1039</v>
      </c>
      <c r="N6763" t="inlineStr">
        <is>
          <t>Engystomops pustulosus</t>
        </is>
      </c>
      <c r="O6763" t="inlineStr">
        <is>
          <t>hypothetical protein GDO81_015254</t>
        </is>
      </c>
    </row>
    <row r="6764">
      <c r="A6764" t="inlineStr"/>
      <c r="B6764" t="inlineStr"/>
      <c r="C6764" t="inlineStr"/>
      <c r="D6764" t="inlineStr"/>
      <c r="E6764">
        <f>HYPERLINK("https://www.ncbi.nlm.nih.gov/gene/?term=KAG8561123.1", "KAG8561123.1")</f>
        <v/>
      </c>
      <c r="F6764" t="n">
        <v>76.90000000000001</v>
      </c>
      <c r="G6764" t="n">
        <v>195</v>
      </c>
      <c r="H6764" t="n">
        <v>1.88e-98</v>
      </c>
      <c r="I6764" t="inlineStr">
        <is>
          <t>Nr</t>
        </is>
      </c>
      <c r="J6764" t="inlineStr"/>
      <c r="K6764" t="inlineStr"/>
      <c r="L6764" t="inlineStr">
        <is>
          <t>KAG8561123.1 hypothetical protein GDO81_015254 [Engystomops pustulosus]</t>
        </is>
      </c>
      <c r="M6764" t="n">
        <v>1049</v>
      </c>
      <c r="N6764" t="inlineStr">
        <is>
          <t>Engystomops pustulosus</t>
        </is>
      </c>
      <c r="O6764" t="inlineStr">
        <is>
          <t>hypothetical protein GDO81_015254</t>
        </is>
      </c>
    </row>
    <row r="6765">
      <c r="A6765" t="inlineStr"/>
      <c r="B6765" t="inlineStr"/>
      <c r="C6765" t="inlineStr"/>
      <c r="D6765" t="inlineStr"/>
      <c r="E6765">
        <f>HYPERLINK("https://www.ncbi.nlm.nih.gov/gene/?term=XP_018418074.1", "XP_018418074.1")</f>
        <v/>
      </c>
      <c r="F6765" t="n">
        <v>77.40000000000001</v>
      </c>
      <c r="G6765" t="n">
        <v>195</v>
      </c>
      <c r="H6765" t="n">
        <v>1.99e-98</v>
      </c>
      <c r="I6765" t="inlineStr">
        <is>
          <t>Nr</t>
        </is>
      </c>
      <c r="J6765" t="inlineStr"/>
      <c r="K6765" t="inlineStr"/>
      <c r="L6765" t="inlineStr">
        <is>
          <t>XP_018418074.1 PREDICTED: pecanex-like protein 4 [Nanorana parkeri]</t>
        </is>
      </c>
      <c r="M6765" t="n">
        <v>1179</v>
      </c>
      <c r="N6765" t="inlineStr">
        <is>
          <t>Nanorana parkeri</t>
        </is>
      </c>
      <c r="O6765" t="inlineStr">
        <is>
          <t>PREDICTED: pecanex-like protein 4</t>
        </is>
      </c>
    </row>
    <row r="6766">
      <c r="A6766" t="inlineStr"/>
      <c r="B6766" t="inlineStr"/>
      <c r="C6766" t="inlineStr"/>
      <c r="D6766" t="inlineStr"/>
      <c r="E6766">
        <f>HYPERLINK("https://www.ncbi.nlm.nih.gov/gene/?term=XP_044128157.1", "XP_044128157.1")</f>
        <v/>
      </c>
      <c r="F6766" t="n">
        <v>76.40000000000001</v>
      </c>
      <c r="G6766" t="n">
        <v>195</v>
      </c>
      <c r="H6766" t="n">
        <v>2.74e-98</v>
      </c>
      <c r="I6766" t="inlineStr">
        <is>
          <t>Nr</t>
        </is>
      </c>
      <c r="J6766" t="inlineStr"/>
      <c r="K6766" t="inlineStr"/>
      <c r="L6766" t="inlineStr">
        <is>
          <t>XP_044128157.1 pecanex-like protein 4 [Bufo gargarizans]</t>
        </is>
      </c>
      <c r="M6766" t="n">
        <v>1178</v>
      </c>
      <c r="N6766" t="inlineStr">
        <is>
          <t>Bufo gargarizans</t>
        </is>
      </c>
      <c r="O6766" t="inlineStr">
        <is>
          <t>pecanex-like protein 4</t>
        </is>
      </c>
    </row>
    <row r="6767">
      <c r="A6767" t="inlineStr"/>
      <c r="B6767" t="inlineStr"/>
      <c r="C6767" t="inlineStr"/>
      <c r="D6767" t="inlineStr"/>
      <c r="E6767">
        <f>HYPERLINK("https://www.uniprot.org/uniprotkb/H3BH44/entry", "H3BH44")</f>
        <v/>
      </c>
      <c r="F6767" t="n">
        <v>74.59999999999999</v>
      </c>
      <c r="G6767" t="n">
        <v>193</v>
      </c>
      <c r="H6767" t="n">
        <v>3.34e-98</v>
      </c>
      <c r="I6767" t="inlineStr">
        <is>
          <t>TrEMBL</t>
        </is>
      </c>
      <c r="J6767" t="inlineStr">
        <is>
          <t>PCNX4</t>
        </is>
      </c>
      <c r="K6767" t="inlineStr">
        <is>
          <t>H3BH44_LATCH</t>
        </is>
      </c>
      <c r="L6767" t="inlineStr">
        <is>
          <t>tr|H3BH44|H3BH44_LATCH Pecanex-like protein OS=Latimeria chalumnae OX=7897 GN=PCNX4 PE=3 SV=1</t>
        </is>
      </c>
      <c r="M6767" t="n">
        <v>1110</v>
      </c>
      <c r="N6767" t="inlineStr">
        <is>
          <t>Latimeria chalumnae</t>
        </is>
      </c>
      <c r="O6767" t="inlineStr">
        <is>
          <t>Pecanex-like protein</t>
        </is>
      </c>
    </row>
    <row r="6768">
      <c r="A6768" t="inlineStr"/>
      <c r="B6768" t="inlineStr"/>
      <c r="C6768" t="inlineStr"/>
      <c r="D6768" t="inlineStr"/>
      <c r="E6768">
        <f>HYPERLINK("https://www.uniprot.org/uniprotkb/A0A7L2GUQ5/entry", "A0A7L2GUQ5")</f>
        <v/>
      </c>
      <c r="F6768" t="n">
        <v>77.2</v>
      </c>
      <c r="G6768" t="n">
        <v>193</v>
      </c>
      <c r="H6768" t="n">
        <v>4.21e-98</v>
      </c>
      <c r="I6768" t="inlineStr">
        <is>
          <t>TrEMBL</t>
        </is>
      </c>
      <c r="J6768" t="inlineStr">
        <is>
          <t>Pcnx4</t>
        </is>
      </c>
      <c r="K6768" t="inlineStr">
        <is>
          <t>A0A7L2GUQ5_NYCGR</t>
        </is>
      </c>
      <c r="L6768" t="inlineStr">
        <is>
          <t>tr|A0A7L2GUQ5|A0A7L2GUQ5_NYCGR Pecanex-like protein (Fragment) OS=Nyctibius grandis OX=48427 GN=Pcnx4 PE=3 SV=1</t>
        </is>
      </c>
      <c r="M6768" t="n">
        <v>1183</v>
      </c>
      <c r="N6768" t="inlineStr">
        <is>
          <t>Nyctibius grandis</t>
        </is>
      </c>
      <c r="O6768" t="inlineStr">
        <is>
          <t>Pecanex-like protein (Fragment)</t>
        </is>
      </c>
    </row>
    <row r="6769">
      <c r="A6769" t="inlineStr"/>
      <c r="B6769" t="inlineStr"/>
      <c r="C6769" t="inlineStr"/>
      <c r="D6769" t="inlineStr"/>
      <c r="E6769">
        <f>HYPERLINK("https://www.uniprot.org/uniprotkb/H3BH43/entry", "H3BH43")</f>
        <v/>
      </c>
      <c r="F6769" t="n">
        <v>74.59999999999999</v>
      </c>
      <c r="G6769" t="n">
        <v>193</v>
      </c>
      <c r="H6769" t="n">
        <v>5.2e-98</v>
      </c>
      <c r="I6769" t="inlineStr">
        <is>
          <t>TrEMBL</t>
        </is>
      </c>
      <c r="J6769" t="inlineStr">
        <is>
          <t>PCNX4</t>
        </is>
      </c>
      <c r="K6769" t="inlineStr">
        <is>
          <t>H3BH43_LATCH</t>
        </is>
      </c>
      <c r="L6769" t="inlineStr">
        <is>
          <t>tr|H3BH43|H3BH43_LATCH Pecanex-like protein OS=Latimeria chalumnae OX=7897 GN=PCNX4 PE=3 SV=1</t>
        </is>
      </c>
      <c r="M6769" t="n">
        <v>1145</v>
      </c>
      <c r="N6769" t="inlineStr">
        <is>
          <t>Latimeria chalumnae</t>
        </is>
      </c>
      <c r="O6769" t="inlineStr">
        <is>
          <t>Pecanex-like protein</t>
        </is>
      </c>
    </row>
    <row r="6770">
      <c r="A6770" t="inlineStr"/>
      <c r="B6770" t="inlineStr"/>
      <c r="C6770" t="inlineStr"/>
      <c r="D6770" t="inlineStr"/>
      <c r="E6770">
        <f>HYPERLINK("https://www.uniprot.org/uniprotkb/A0A7K8SP34/entry", "A0A7K8SP34")</f>
        <v/>
      </c>
      <c r="F6770" t="n">
        <v>76.7</v>
      </c>
      <c r="G6770" t="n">
        <v>193</v>
      </c>
      <c r="H6770" t="n">
        <v>1.13e-97</v>
      </c>
      <c r="I6770" t="inlineStr">
        <is>
          <t>TrEMBL</t>
        </is>
      </c>
      <c r="J6770" t="inlineStr">
        <is>
          <t>Pcnx4</t>
        </is>
      </c>
      <c r="K6770" t="inlineStr">
        <is>
          <t>A0A7K8SP34_9AVES</t>
        </is>
      </c>
      <c r="L6770" t="inlineStr">
        <is>
          <t>tr|A0A7K8SP34|A0A7K8SP34_9AVES Pecanex-like protein (Fragment) OS=Nyctibius bracteatus OX=48426 GN=Pcnx4 PE=3 SV=1</t>
        </is>
      </c>
      <c r="M6770" t="n">
        <v>1183</v>
      </c>
      <c r="N6770" t="inlineStr">
        <is>
          <t>Nyctibius bracteatus</t>
        </is>
      </c>
      <c r="O6770" t="inlineStr">
        <is>
          <t>Pecanex-like protein (Fragment)</t>
        </is>
      </c>
    </row>
    <row r="6771">
      <c r="A6771" t="inlineStr"/>
      <c r="B6771" t="inlineStr"/>
      <c r="C6771" t="inlineStr"/>
      <c r="D6771" t="inlineStr"/>
      <c r="E6771">
        <f>HYPERLINK("https://www.uniprot.org/uniprotkb/A0A7L0TYJ2/entry", "A0A7L0TYJ2")</f>
        <v/>
      </c>
      <c r="F6771" t="n">
        <v>77.2</v>
      </c>
      <c r="G6771" t="n">
        <v>193</v>
      </c>
      <c r="H6771" t="n">
        <v>1.14e-97</v>
      </c>
      <c r="I6771" t="inlineStr">
        <is>
          <t>TrEMBL</t>
        </is>
      </c>
      <c r="J6771" t="inlineStr">
        <is>
          <t>Pcnx4</t>
        </is>
      </c>
      <c r="K6771" t="inlineStr">
        <is>
          <t>A0A7L0TYJ2_CHOAC</t>
        </is>
      </c>
      <c r="L6771" t="inlineStr">
        <is>
          <t>tr|A0A7L0TYJ2|A0A7L0TYJ2_CHOAC Pecanex-like protein (Fragment) OS=Chordeiles acutipennis OX=118183 GN=Pcnx4 PE=3 SV=1</t>
        </is>
      </c>
      <c r="M6771" t="n">
        <v>1184</v>
      </c>
      <c r="N6771" t="inlineStr">
        <is>
          <t>Chordeiles acutipennis</t>
        </is>
      </c>
      <c r="O6771" t="inlineStr">
        <is>
          <t>Pecanex-like protein (Fragment)</t>
        </is>
      </c>
    </row>
    <row r="6772">
      <c r="A6772" t="inlineStr"/>
      <c r="B6772" t="inlineStr"/>
      <c r="C6772" t="inlineStr"/>
      <c r="D6772" t="inlineStr"/>
      <c r="E6772">
        <f>HYPERLINK("https://www.uniprot.org/uniprotkb/A0A7L4BYW6/entry", "A0A7L4BYW6")</f>
        <v/>
      </c>
      <c r="F6772" t="n">
        <v>76.7</v>
      </c>
      <c r="G6772" t="n">
        <v>193</v>
      </c>
      <c r="H6772" t="n">
        <v>1.57e-97</v>
      </c>
      <c r="I6772" t="inlineStr">
        <is>
          <t>TrEMBL</t>
        </is>
      </c>
      <c r="J6772" t="inlineStr">
        <is>
          <t>Pcnx4</t>
        </is>
      </c>
      <c r="K6772" t="inlineStr">
        <is>
          <t>A0A7L4BYW6_9AVES</t>
        </is>
      </c>
      <c r="L6772" t="inlineStr">
        <is>
          <t>tr|A0A7L4BYW6|A0A7L4BYW6_9AVES Pecanex-like protein (Fragment) OS=Nyctiprogne leucopyga OX=382315 GN=Pcnx4 PE=3 SV=1</t>
        </is>
      </c>
      <c r="M6772" t="n">
        <v>1183</v>
      </c>
      <c r="N6772" t="inlineStr">
        <is>
          <t>Nyctiprogne leucopyga</t>
        </is>
      </c>
      <c r="O6772" t="inlineStr">
        <is>
          <t>Pecanex-like protein (Fragment)</t>
        </is>
      </c>
    </row>
    <row r="6773">
      <c r="A6773" t="inlineStr"/>
      <c r="B6773" t="inlineStr"/>
      <c r="C6773" t="inlineStr"/>
      <c r="D6773" t="inlineStr"/>
      <c r="E6773">
        <f>HYPERLINK("https://www.uniprot.org/uniprotkb/A0A6P7YQV8/entry", "A0A6P7YQV8")</f>
        <v/>
      </c>
      <c r="F6773" t="n">
        <v>75.59999999999999</v>
      </c>
      <c r="G6773" t="n">
        <v>193</v>
      </c>
      <c r="H6773" t="n">
        <v>1.7e-97</v>
      </c>
      <c r="I6773" t="inlineStr">
        <is>
          <t>TrEMBL</t>
        </is>
      </c>
      <c r="J6773" t="inlineStr">
        <is>
          <t>PCNX4</t>
        </is>
      </c>
      <c r="K6773" t="inlineStr">
        <is>
          <t>A0A6P7YQV8_9AMPH</t>
        </is>
      </c>
      <c r="L6773" t="inlineStr">
        <is>
          <t>tr|A0A6P7YQV8|A0A6P7YQV8_9AMPH Pecanex-like protein OS=Microcaecilia unicolor OX=1415580 GN=PCNX4 PE=3 SV=1</t>
        </is>
      </c>
      <c r="M6773" t="n">
        <v>1190</v>
      </c>
      <c r="N6773" t="inlineStr">
        <is>
          <t>Microcaecilia unicolor</t>
        </is>
      </c>
      <c r="O6773" t="inlineStr">
        <is>
          <t>Pecanex-like protein</t>
        </is>
      </c>
    </row>
    <row r="6774">
      <c r="A6774" t="inlineStr"/>
      <c r="B6774" t="inlineStr"/>
      <c r="C6774" t="inlineStr"/>
      <c r="D6774" t="inlineStr"/>
      <c r="E6774">
        <f>HYPERLINK("https://www.uniprot.org/uniprotkb/A0A8B9G261/entry", "A0A8B9G261")</f>
        <v/>
      </c>
      <c r="F6774" t="n">
        <v>77.2</v>
      </c>
      <c r="G6774" t="n">
        <v>193</v>
      </c>
      <c r="H6774" t="n">
        <v>2.07e-97</v>
      </c>
      <c r="I6774" t="inlineStr">
        <is>
          <t>TrEMBL</t>
        </is>
      </c>
      <c r="J6774" t="inlineStr"/>
      <c r="K6774" t="inlineStr">
        <is>
          <t>A0A8B9G261_9PSIT</t>
        </is>
      </c>
      <c r="L6774" t="inlineStr">
        <is>
          <t>tr|A0A8B9G261|A0A8B9G261_9PSIT Pecanex-like protein OS=Amazona collaria OX=241587 PE=3 SV=1</t>
        </is>
      </c>
      <c r="M6774" t="n">
        <v>1123</v>
      </c>
      <c r="N6774" t="inlineStr">
        <is>
          <t>Amazona collaria</t>
        </is>
      </c>
      <c r="O6774" t="inlineStr">
        <is>
          <t>Pecanex-like protein</t>
        </is>
      </c>
    </row>
    <row r="6775">
      <c r="A6775" t="inlineStr"/>
      <c r="B6775" t="inlineStr"/>
      <c r="C6775" t="inlineStr"/>
      <c r="D6775" t="inlineStr"/>
      <c r="E6775">
        <f>HYPERLINK("https://www.uniprot.org/uniprotkb/A0A7K7TZM4/entry", "A0A7K7TZM4")</f>
        <v/>
      </c>
      <c r="F6775" t="n">
        <v>76.7</v>
      </c>
      <c r="G6775" t="n">
        <v>193</v>
      </c>
      <c r="H6775" t="n">
        <v>2.18e-97</v>
      </c>
      <c r="I6775" t="inlineStr">
        <is>
          <t>TrEMBL</t>
        </is>
      </c>
      <c r="J6775" t="inlineStr">
        <is>
          <t>Pcnx4</t>
        </is>
      </c>
      <c r="K6775" t="inlineStr">
        <is>
          <t>A0A7K7TZM4_9CHAR</t>
        </is>
      </c>
      <c r="L6775" t="inlineStr">
        <is>
          <t>tr|A0A7K7TZM4|A0A7K7TZM4_9CHAR Pecanex-like protein (Fragment) OS=Ibidorhyncha struthersii OX=425643 GN=Pcnx4 PE=3 SV=1</t>
        </is>
      </c>
      <c r="M6775" t="n">
        <v>1183</v>
      </c>
      <c r="N6775" t="inlineStr">
        <is>
          <t>Ibidorhyncha struthersii</t>
        </is>
      </c>
      <c r="O6775" t="inlineStr">
        <is>
          <t>Pecanex-like protein (Fragment)</t>
        </is>
      </c>
    </row>
    <row r="6776">
      <c r="A6776" t="inlineStr"/>
      <c r="B6776" t="inlineStr"/>
      <c r="C6776" t="inlineStr"/>
      <c r="D6776" t="inlineStr"/>
      <c r="E6776">
        <f>HYPERLINK("https://www.uniprot.org/uniprotkb/A0A7K6BDL1/entry", "A0A7K6BDL1")</f>
        <v/>
      </c>
      <c r="F6776" t="n">
        <v>76.2</v>
      </c>
      <c r="G6776" t="n">
        <v>193</v>
      </c>
      <c r="H6776" t="n">
        <v>2.18e-97</v>
      </c>
      <c r="I6776" t="inlineStr">
        <is>
          <t>TrEMBL</t>
        </is>
      </c>
      <c r="J6776" t="inlineStr">
        <is>
          <t>Pcnx4</t>
        </is>
      </c>
      <c r="K6776" t="inlineStr">
        <is>
          <t>A0A7K6BDL1_UPUEP</t>
        </is>
      </c>
      <c r="L6776" t="inlineStr">
        <is>
          <t>tr|A0A7K6BDL1|A0A7K6BDL1_UPUEP Pecanex-like protein (Fragment) OS=Upupa epops OX=57439 GN=Pcnx4 PE=3 SV=1</t>
        </is>
      </c>
      <c r="M6776" t="n">
        <v>1183</v>
      </c>
      <c r="N6776" t="inlineStr">
        <is>
          <t>Upupa epops</t>
        </is>
      </c>
      <c r="O6776" t="inlineStr">
        <is>
          <t>Pecanex-like protein (Fragment)</t>
        </is>
      </c>
    </row>
    <row r="6777">
      <c r="A6777" t="inlineStr"/>
      <c r="B6777" t="inlineStr"/>
      <c r="C6777" t="inlineStr"/>
      <c r="D6777" t="inlineStr"/>
      <c r="E6777">
        <f>HYPERLINK("https://www.uniprot.org/uniprotkb/A0A091KWP6/entry", "A0A091KWP6")</f>
        <v/>
      </c>
      <c r="F6777" t="n">
        <v>76.7</v>
      </c>
      <c r="G6777" t="n">
        <v>193</v>
      </c>
      <c r="H6777" t="n">
        <v>2.83e-97</v>
      </c>
      <c r="I6777" t="inlineStr">
        <is>
          <t>TrEMBL</t>
        </is>
      </c>
      <c r="J6777" t="inlineStr">
        <is>
          <t>N324_06149</t>
        </is>
      </c>
      <c r="K6777" t="inlineStr">
        <is>
          <t>A0A091KWP6_9GRUI</t>
        </is>
      </c>
      <c r="L6777" t="inlineStr">
        <is>
          <t>tr|A0A091KWP6|A0A091KWP6_9GRUI Pecanex-like protein (Fragment) OS=Chlamydotis macqueenii OX=187382 GN=N324_06149 PE=3 SV=1</t>
        </is>
      </c>
      <c r="M6777" t="n">
        <v>1177</v>
      </c>
      <c r="N6777" t="inlineStr">
        <is>
          <t>Chlamydotis macqueenii</t>
        </is>
      </c>
      <c r="O6777" t="inlineStr">
        <is>
          <t>Pecanex-like protein (Fragment)</t>
        </is>
      </c>
    </row>
    <row r="6778">
      <c r="A6778" t="inlineStr"/>
      <c r="B6778" t="inlineStr"/>
      <c r="C6778" t="inlineStr"/>
      <c r="D6778" t="inlineStr"/>
      <c r="E6778">
        <f>HYPERLINK("https://www.uniprot.org/uniprotkb/A0A7K8L9I9/entry", "A0A7K8L9I9")</f>
        <v/>
      </c>
      <c r="F6778" t="n">
        <v>76.7</v>
      </c>
      <c r="G6778" t="n">
        <v>193</v>
      </c>
      <c r="H6778" t="n">
        <v>2.96e-97</v>
      </c>
      <c r="I6778" t="inlineStr">
        <is>
          <t>TrEMBL</t>
        </is>
      </c>
      <c r="J6778" t="inlineStr">
        <is>
          <t>Pcnx4</t>
        </is>
      </c>
      <c r="K6778" t="inlineStr">
        <is>
          <t>A0A7K8L9I9_9GRUI</t>
        </is>
      </c>
      <c r="L6778" t="inlineStr">
        <is>
          <t>tr|A0A7K8L9I9|A0A7K8L9I9_9GRUI Pecanex-like protein (Fragment) OS=Ardeotis kori OX=89386 GN=Pcnx4 PE=3 SV=1</t>
        </is>
      </c>
      <c r="M6778" t="n">
        <v>1181</v>
      </c>
      <c r="N6778" t="inlineStr">
        <is>
          <t>Ardeotis kori</t>
        </is>
      </c>
      <c r="O6778" t="inlineStr">
        <is>
          <t>Pecanex-like protein (Fragment)</t>
        </is>
      </c>
    </row>
    <row r="6779">
      <c r="A6779" t="inlineStr"/>
      <c r="B6779" t="inlineStr"/>
      <c r="C6779" t="inlineStr"/>
      <c r="D6779" t="inlineStr"/>
      <c r="E6779">
        <f>HYPERLINK("https://www.uniprot.org/uniprotkb/Q63HM2/entry", "Q63HM2")</f>
        <v/>
      </c>
      <c r="F6779" t="n">
        <v>66.3</v>
      </c>
      <c r="G6779" t="n">
        <v>193</v>
      </c>
      <c r="H6779" t="n">
        <v>1.98e-86</v>
      </c>
      <c r="I6779" t="inlineStr">
        <is>
          <t>Swiss-Prot</t>
        </is>
      </c>
      <c r="J6779" t="inlineStr">
        <is>
          <t>PCNX4</t>
        </is>
      </c>
      <c r="K6779" t="inlineStr">
        <is>
          <t>PCX4_HUMAN</t>
        </is>
      </c>
      <c r="L6779" t="inlineStr">
        <is>
          <t>sp|Q63HM2|PCX4_HUMAN Pecanex-like protein 4 OS=Homo sapiens OX=9606 GN=PCNX4 PE=1 SV=4</t>
        </is>
      </c>
      <c r="M6779" t="n">
        <v>1172</v>
      </c>
      <c r="N6779" t="inlineStr">
        <is>
          <t>Homo sapiens</t>
        </is>
      </c>
      <c r="O6779" t="inlineStr">
        <is>
          <t>Pecanex-like protein 4</t>
        </is>
      </c>
    </row>
    <row r="6780">
      <c r="A6780" t="inlineStr"/>
      <c r="B6780" t="inlineStr"/>
      <c r="C6780" t="inlineStr"/>
      <c r="D6780" t="inlineStr"/>
      <c r="E6780">
        <f>HYPERLINK("https://www.uniprot.org/uniprotkb/Q3UVY5/entry", "Q3UVY5")</f>
        <v/>
      </c>
      <c r="F6780" t="n">
        <v>63.7</v>
      </c>
      <c r="G6780" t="n">
        <v>193</v>
      </c>
      <c r="H6780" t="n">
        <v>4.64e-83</v>
      </c>
      <c r="I6780" t="inlineStr">
        <is>
          <t>Swiss-Prot</t>
        </is>
      </c>
      <c r="J6780" t="inlineStr">
        <is>
          <t>Pcnx4</t>
        </is>
      </c>
      <c r="K6780" t="inlineStr">
        <is>
          <t>PCX4_MOUSE</t>
        </is>
      </c>
      <c r="L6780" t="inlineStr">
        <is>
          <t>sp|Q3UVY5|PCX4_MOUSE Pecanex-like protein 4 OS=Mus musculus OX=10090 GN=Pcnx4 PE=2 SV=2</t>
        </is>
      </c>
      <c r="M6780" t="n">
        <v>1174</v>
      </c>
      <c r="N6780" t="inlineStr">
        <is>
          <t>Mus musculus</t>
        </is>
      </c>
      <c r="O6780" t="inlineStr">
        <is>
          <t>Pecanex-like protein 4</t>
        </is>
      </c>
    </row>
    <row r="6781">
      <c r="A6781" t="inlineStr"/>
      <c r="B6781" t="inlineStr"/>
      <c r="C6781" t="inlineStr"/>
      <c r="D6781" t="inlineStr"/>
      <c r="E6781">
        <f>HYPERLINK("https://www.uniprot.org/uniprotkb/A2RUW7/entry", "A2RUW7")</f>
        <v/>
      </c>
      <c r="F6781" t="n">
        <v>56.6</v>
      </c>
      <c r="G6781" t="n">
        <v>198</v>
      </c>
      <c r="H6781" t="n">
        <v>2.27e-74</v>
      </c>
      <c r="I6781" t="inlineStr">
        <is>
          <t>Swiss-Prot</t>
        </is>
      </c>
      <c r="J6781" t="inlineStr">
        <is>
          <t>pcnx4</t>
        </is>
      </c>
      <c r="K6781" t="inlineStr">
        <is>
          <t>PCX4_DANRE</t>
        </is>
      </c>
      <c r="L6781" t="inlineStr">
        <is>
          <t>sp|A2RUW7|PCX4_DANRE Pecanex-like protein 4 OS=Danio rerio OX=7955 GN=pcnx4 PE=2 SV=1</t>
        </is>
      </c>
      <c r="M6781" t="n">
        <v>1225</v>
      </c>
      <c r="N6781" t="inlineStr">
        <is>
          <t>Danio rerio</t>
        </is>
      </c>
      <c r="O6781" t="inlineStr">
        <is>
          <t>Pecanex-like protein 4</t>
        </is>
      </c>
    </row>
    <row r="6782">
      <c r="A6782" t="inlineStr"/>
      <c r="B6782" t="inlineStr"/>
      <c r="C6782" t="inlineStr"/>
      <c r="D6782" t="inlineStr"/>
      <c r="E6782">
        <f>HYPERLINK("https://www.ncbi.nlm.nih.gov/gene/?term=XP_018427347.1", "XP_018427347.1")</f>
        <v/>
      </c>
      <c r="F6782" t="n">
        <v>78.3</v>
      </c>
      <c r="G6782" t="n">
        <v>180</v>
      </c>
      <c r="H6782" t="n">
        <v>2.99e-69</v>
      </c>
      <c r="I6782" t="inlineStr">
        <is>
          <t>Nr</t>
        </is>
      </c>
      <c r="J6782" t="inlineStr"/>
      <c r="K6782" t="inlineStr"/>
      <c r="L6782" t="inlineStr">
        <is>
          <t>XP_018427347.1 PREDICTED: 28 kDa heat- and acid-stable phosphoprotein isoform X1 [Nanorana parkeri]</t>
        </is>
      </c>
      <c r="M6782" t="n">
        <v>180</v>
      </c>
      <c r="N6782" t="inlineStr">
        <is>
          <t>Nanorana parkeri</t>
        </is>
      </c>
      <c r="O6782" t="inlineStr">
        <is>
          <t>PREDICTED: 28 kDa heat- and acid-stable phosphoprotein isoform X1</t>
        </is>
      </c>
    </row>
    <row r="6783">
      <c r="A6783" t="inlineStr"/>
      <c r="B6783" t="inlineStr"/>
      <c r="C6783" t="inlineStr"/>
      <c r="D6783" t="inlineStr"/>
      <c r="E6783">
        <f>HYPERLINK("https://www.uniprot.org/uniprotkb/A0A8C5QY46/entry", "A0A8C5QY46")</f>
        <v/>
      </c>
      <c r="F6783" t="n">
        <v>83.40000000000001</v>
      </c>
      <c r="G6783" t="n">
        <v>181</v>
      </c>
      <c r="H6783" t="n">
        <v>5.04e-69</v>
      </c>
      <c r="I6783" t="inlineStr">
        <is>
          <t>TrEMBL</t>
        </is>
      </c>
      <c r="J6783" t="inlineStr">
        <is>
          <t>PDAP1</t>
        </is>
      </c>
      <c r="K6783" t="inlineStr">
        <is>
          <t>A0A8C5QY46_9ANUR</t>
        </is>
      </c>
      <c r="L6783" t="inlineStr">
        <is>
          <t>tr|A0A8C5QY46|A0A8C5QY46_9ANUR PDGFA associated protein 1 OS=Leptobrachium leishanense OX=445787 GN=PDAP1 PE=4 SV=1</t>
        </is>
      </c>
      <c r="M6783" t="n">
        <v>182</v>
      </c>
      <c r="N6783" t="inlineStr">
        <is>
          <t>Leptobrachium leishanense</t>
        </is>
      </c>
      <c r="O6783" t="inlineStr">
        <is>
          <t>PDGFA associated protein 1</t>
        </is>
      </c>
    </row>
    <row r="6784">
      <c r="A6784" t="inlineStr"/>
      <c r="B6784" t="inlineStr"/>
      <c r="C6784" t="inlineStr"/>
      <c r="D6784" t="inlineStr"/>
      <c r="E6784">
        <f>HYPERLINK("https://www.ncbi.nlm.nih.gov/gene/?term=XP_040296995.1", "XP_040296995.1")</f>
        <v/>
      </c>
      <c r="F6784" t="n">
        <v>77.8</v>
      </c>
      <c r="G6784" t="n">
        <v>180</v>
      </c>
      <c r="H6784" t="n">
        <v>3.89e-67</v>
      </c>
      <c r="I6784" t="inlineStr">
        <is>
          <t>Nr</t>
        </is>
      </c>
      <c r="J6784" t="inlineStr"/>
      <c r="K6784" t="inlineStr"/>
      <c r="L6784" t="inlineStr">
        <is>
          <t>XP_040296995.1 28 kDa heat- and acid-stable phosphoprotein [Bufo bufo]</t>
        </is>
      </c>
      <c r="M6784" t="n">
        <v>179</v>
      </c>
      <c r="N6784" t="inlineStr">
        <is>
          <t>Bufo bufo</t>
        </is>
      </c>
      <c r="O6784" t="inlineStr">
        <is>
          <t>28 kDa heat- and acid-stable phosphoprotein</t>
        </is>
      </c>
    </row>
    <row r="6785">
      <c r="A6785" t="inlineStr"/>
      <c r="B6785" t="inlineStr"/>
      <c r="C6785" t="inlineStr"/>
      <c r="D6785" t="inlineStr"/>
      <c r="E6785">
        <f>HYPERLINK("https://www.uniprot.org/uniprotkb/A0A8T2IRQ7/entry", "A0A8T2IRQ7")</f>
        <v/>
      </c>
      <c r="F6785" t="n">
        <v>74.40000000000001</v>
      </c>
      <c r="G6785" t="n">
        <v>180</v>
      </c>
      <c r="H6785" t="n">
        <v>8.159999999999999e-67</v>
      </c>
      <c r="I6785" t="inlineStr">
        <is>
          <t>TrEMBL</t>
        </is>
      </c>
      <c r="J6785" t="inlineStr">
        <is>
          <t>GDO86_017196</t>
        </is>
      </c>
      <c r="K6785" t="inlineStr">
        <is>
          <t>A0A8T2IRQ7_9PIPI</t>
        </is>
      </c>
      <c r="L6785" t="inlineStr">
        <is>
          <t>tr|A0A8T2IRQ7|A0A8T2IRQ7_9PIPI PP28 domain-containing protein OS=Hymenochirus boettgeri OX=247094 GN=GDO86_017196 PE=4 SV=1</t>
        </is>
      </c>
      <c r="M6785" t="n">
        <v>177</v>
      </c>
      <c r="N6785" t="inlineStr">
        <is>
          <t>Hymenochirus boettgeri</t>
        </is>
      </c>
      <c r="O6785" t="inlineStr">
        <is>
          <t>PP28 domain-containing protein</t>
        </is>
      </c>
    </row>
    <row r="6786">
      <c r="A6786" t="inlineStr"/>
      <c r="B6786" t="inlineStr"/>
      <c r="C6786" t="inlineStr"/>
      <c r="D6786" t="inlineStr"/>
      <c r="E6786">
        <f>HYPERLINK("https://www.ncbi.nlm.nih.gov/gene/?term=XP_044160710.1", "XP_044160710.1")</f>
        <v/>
      </c>
      <c r="F6786" t="n">
        <v>78.90000000000001</v>
      </c>
      <c r="G6786" t="n">
        <v>180</v>
      </c>
      <c r="H6786" t="n">
        <v>1.11e-66</v>
      </c>
      <c r="I6786" t="inlineStr">
        <is>
          <t>Nr</t>
        </is>
      </c>
      <c r="J6786" t="inlineStr"/>
      <c r="K6786" t="inlineStr"/>
      <c r="L6786" t="inlineStr">
        <is>
          <t>XP_044160710.1 28 kDa heat- and acid-stable phosphoprotein [Bufo gargarizans]</t>
        </is>
      </c>
      <c r="M6786" t="n">
        <v>179</v>
      </c>
      <c r="N6786" t="inlineStr">
        <is>
          <t>Bufo gargarizans</t>
        </is>
      </c>
      <c r="O6786" t="inlineStr">
        <is>
          <t>28 kDa heat- and acid-stable phosphoprotein</t>
        </is>
      </c>
    </row>
    <row r="6787">
      <c r="A6787" t="inlineStr"/>
      <c r="B6787" t="inlineStr"/>
      <c r="C6787" t="inlineStr"/>
      <c r="D6787" t="inlineStr"/>
      <c r="E6787">
        <f>HYPERLINK("https://www.ncbi.nlm.nih.gov/gene/?term=XP_053326675.1", "XP_053326675.1")</f>
        <v/>
      </c>
      <c r="F6787" t="n">
        <v>77.90000000000001</v>
      </c>
      <c r="G6787" t="n">
        <v>181</v>
      </c>
      <c r="H6787" t="n">
        <v>1.23e-66</v>
      </c>
      <c r="I6787" t="inlineStr">
        <is>
          <t>Nr</t>
        </is>
      </c>
      <c r="J6787" t="inlineStr"/>
      <c r="K6787" t="inlineStr"/>
      <c r="L6787" t="inlineStr">
        <is>
          <t>XP_053326675.1 28 kDa heat- and acid-stable phosphoprotein [Spea bombifrons]</t>
        </is>
      </c>
      <c r="M6787" t="n">
        <v>182</v>
      </c>
      <c r="N6787" t="inlineStr">
        <is>
          <t>Spea bombifrons</t>
        </is>
      </c>
      <c r="O6787" t="inlineStr">
        <is>
          <t>28 kDa heat- and acid-stable phosphoprotein</t>
        </is>
      </c>
    </row>
    <row r="6788">
      <c r="A6788" t="inlineStr"/>
      <c r="B6788" t="inlineStr"/>
      <c r="C6788" t="inlineStr"/>
      <c r="D6788" t="inlineStr"/>
      <c r="E6788">
        <f>HYPERLINK("https://www.ncbi.nlm.nih.gov/gene/?term=KAG8432846.1", "KAG8432846.1")</f>
        <v/>
      </c>
      <c r="F6788" t="n">
        <v>74.40000000000001</v>
      </c>
      <c r="G6788" t="n">
        <v>180</v>
      </c>
      <c r="H6788" t="n">
        <v>2.1e-66</v>
      </c>
      <c r="I6788" t="inlineStr">
        <is>
          <t>Nr</t>
        </is>
      </c>
      <c r="J6788" t="inlineStr"/>
      <c r="K6788" t="inlineStr"/>
      <c r="L6788" t="inlineStr">
        <is>
          <t>KAG8432846.1 hypothetical protein GDO86_017196 [Hymenochirus boettgeri]</t>
        </is>
      </c>
      <c r="M6788" t="n">
        <v>177</v>
      </c>
      <c r="N6788" t="inlineStr">
        <is>
          <t>Hymenochirus boettgeri</t>
        </is>
      </c>
      <c r="O6788" t="inlineStr">
        <is>
          <t>hypothetical protein GDO86_017196</t>
        </is>
      </c>
    </row>
    <row r="6789">
      <c r="A6789" t="inlineStr"/>
      <c r="B6789" t="inlineStr"/>
      <c r="C6789" t="inlineStr"/>
      <c r="D6789" t="inlineStr"/>
      <c r="E6789">
        <f>HYPERLINK("https://www.uniprot.org/uniprotkb/A9UMU0/entry", "A9UMU0")</f>
        <v/>
      </c>
      <c r="F6789" t="n">
        <v>81.09999999999999</v>
      </c>
      <c r="G6789" t="n">
        <v>180</v>
      </c>
      <c r="H6789" t="n">
        <v>5.02e-66</v>
      </c>
      <c r="I6789" t="inlineStr">
        <is>
          <t>TrEMBL</t>
        </is>
      </c>
      <c r="J6789" t="inlineStr">
        <is>
          <t>pdap1</t>
        </is>
      </c>
      <c r="K6789" t="inlineStr">
        <is>
          <t>A9UMU0_XENTR</t>
        </is>
      </c>
      <c r="L6789" t="inlineStr">
        <is>
          <t>tr|A9UMU0|A9UMU0_XENTR 28 kDa heat- and acid-stable phosphoprotein OS=Xenopus tropicalis OX=8364 GN=pdap1 PE=2 SV=1</t>
        </is>
      </c>
      <c r="M6789" t="n">
        <v>179</v>
      </c>
      <c r="N6789" t="inlineStr">
        <is>
          <t>Xenopus tropicalis</t>
        </is>
      </c>
      <c r="O6789" t="inlineStr">
        <is>
          <t>28 kDa heat- and acid-stable phosphoprotein</t>
        </is>
      </c>
    </row>
    <row r="6790">
      <c r="A6790" t="inlineStr"/>
      <c r="B6790" t="inlineStr"/>
      <c r="C6790" t="inlineStr"/>
      <c r="D6790" t="inlineStr"/>
      <c r="E6790">
        <f>HYPERLINK("https://www.ncbi.nlm.nih.gov/gene/?term=NP_001107539.1", "NP_001107539.1")</f>
        <v/>
      </c>
      <c r="F6790" t="n">
        <v>81.09999999999999</v>
      </c>
      <c r="G6790" t="n">
        <v>180</v>
      </c>
      <c r="H6790" t="n">
        <v>1.29e-65</v>
      </c>
      <c r="I6790" t="inlineStr">
        <is>
          <t>Nr</t>
        </is>
      </c>
      <c r="J6790" t="inlineStr"/>
      <c r="K6790" t="inlineStr"/>
      <c r="L6790" t="inlineStr">
        <is>
          <t>NP_001107539.1 28 kDa heat- and acid-stable phosphoprotein [Xenopus tropicalis]</t>
        </is>
      </c>
      <c r="M6790" t="n">
        <v>179</v>
      </c>
      <c r="N6790" t="inlineStr">
        <is>
          <t>Xenopus tropicalis</t>
        </is>
      </c>
      <c r="O6790" t="inlineStr">
        <is>
          <t>28 kDa heat- and acid-stable phosphoprotein</t>
        </is>
      </c>
    </row>
    <row r="6791">
      <c r="A6791" t="inlineStr"/>
      <c r="B6791" t="inlineStr"/>
      <c r="C6791" t="inlineStr"/>
      <c r="D6791" t="inlineStr"/>
      <c r="E6791">
        <f>HYPERLINK("https://www.uniprot.org/uniprotkb/Q6GN46/entry", "Q6GN46")</f>
        <v/>
      </c>
      <c r="F6791" t="n">
        <v>71.7</v>
      </c>
      <c r="G6791" t="n">
        <v>180</v>
      </c>
      <c r="H6791" t="n">
        <v>1.34e-65</v>
      </c>
      <c r="I6791" t="inlineStr">
        <is>
          <t>TrEMBL</t>
        </is>
      </c>
      <c r="J6791" t="inlineStr">
        <is>
          <t>pdap1.S</t>
        </is>
      </c>
      <c r="K6791" t="inlineStr">
        <is>
          <t>Q6GN46_XENLA</t>
        </is>
      </c>
      <c r="L6791" t="inlineStr">
        <is>
          <t>tr|Q6GN46|Q6GN46_XENLA MGC83035 protein OS=Xenopus laevis OX=8355 GN=pdap1.S PE=2 SV=1</t>
        </is>
      </c>
      <c r="M6791" t="n">
        <v>177</v>
      </c>
      <c r="N6791" t="inlineStr">
        <is>
          <t>Xenopus laevis</t>
        </is>
      </c>
      <c r="O6791" t="inlineStr">
        <is>
          <t>MGC83035 protein</t>
        </is>
      </c>
    </row>
    <row r="6792">
      <c r="A6792" t="inlineStr"/>
      <c r="B6792" t="inlineStr"/>
      <c r="C6792" t="inlineStr"/>
      <c r="D6792" t="inlineStr"/>
      <c r="E6792">
        <f>HYPERLINK("https://www.ncbi.nlm.nih.gov/gene/?term=XP_018427348.1", "XP_018427348.1")</f>
        <v/>
      </c>
      <c r="F6792" t="n">
        <v>77.2</v>
      </c>
      <c r="G6792" t="n">
        <v>180</v>
      </c>
      <c r="H6792" t="n">
        <v>1.77e-65</v>
      </c>
      <c r="I6792" t="inlineStr">
        <is>
          <t>Nr</t>
        </is>
      </c>
      <c r="J6792" t="inlineStr"/>
      <c r="K6792" t="inlineStr"/>
      <c r="L6792" t="inlineStr">
        <is>
          <t>XP_018427348.1 PREDICTED: 28 kDa heat- and acid-stable phosphoprotein isoform X2 [Nanorana parkeri]</t>
        </is>
      </c>
      <c r="M6792" t="n">
        <v>178</v>
      </c>
      <c r="N6792" t="inlineStr">
        <is>
          <t>Nanorana parkeri</t>
        </is>
      </c>
      <c r="O6792" t="inlineStr">
        <is>
          <t>PREDICTED: 28 kDa heat- and acid-stable phosphoprotein isoform X2</t>
        </is>
      </c>
    </row>
    <row r="6793">
      <c r="A6793" t="inlineStr"/>
      <c r="B6793" t="inlineStr"/>
      <c r="C6793" t="inlineStr"/>
      <c r="D6793" t="inlineStr"/>
      <c r="E6793">
        <f>HYPERLINK("https://www.ncbi.nlm.nih.gov/gene/?term=NP_001085998.1", "NP_001085998.1")</f>
        <v/>
      </c>
      <c r="F6793" t="n">
        <v>71.7</v>
      </c>
      <c r="G6793" t="n">
        <v>180</v>
      </c>
      <c r="H6793" t="n">
        <v>3.45e-65</v>
      </c>
      <c r="I6793" t="inlineStr">
        <is>
          <t>Nr</t>
        </is>
      </c>
      <c r="J6793" t="inlineStr"/>
      <c r="K6793" t="inlineStr"/>
      <c r="L6793" t="inlineStr">
        <is>
          <t>NP_001085998.1 PDGFA associated protein 1 S homeolog [Xenopus laevis]</t>
        </is>
      </c>
      <c r="M6793" t="n">
        <v>177</v>
      </c>
      <c r="N6793" t="inlineStr">
        <is>
          <t>Xenopus laevis</t>
        </is>
      </c>
      <c r="O6793" t="inlineStr">
        <is>
          <t>PDGFA associated protein 1 S homeolog</t>
        </is>
      </c>
    </row>
    <row r="6794">
      <c r="A6794" t="inlineStr"/>
      <c r="B6794" t="inlineStr"/>
      <c r="C6794" t="inlineStr"/>
      <c r="D6794" t="inlineStr"/>
      <c r="E6794">
        <f>HYPERLINK("https://www.ncbi.nlm.nih.gov/gene/?term=XP_040213003.1", "XP_040213003.1")</f>
        <v/>
      </c>
      <c r="F6794" t="n">
        <v>77.2</v>
      </c>
      <c r="G6794" t="n">
        <v>180</v>
      </c>
      <c r="H6794" t="n">
        <v>1.12e-64</v>
      </c>
      <c r="I6794" t="inlineStr">
        <is>
          <t>Nr</t>
        </is>
      </c>
      <c r="J6794" t="inlineStr"/>
      <c r="K6794" t="inlineStr"/>
      <c r="L6794" t="inlineStr">
        <is>
          <t>XP_040213003.1 28 kDa heat- and acid-stable phosphoprotein [Rana temporaria]</t>
        </is>
      </c>
      <c r="M6794" t="n">
        <v>181</v>
      </c>
      <c r="N6794" t="inlineStr">
        <is>
          <t>Rana temporaria</t>
        </is>
      </c>
      <c r="O6794" t="inlineStr">
        <is>
          <t>28 kDa heat- and acid-stable phosphoprotein</t>
        </is>
      </c>
    </row>
    <row r="6795">
      <c r="A6795" t="inlineStr"/>
      <c r="B6795" t="inlineStr"/>
      <c r="C6795" t="inlineStr"/>
      <c r="D6795" t="inlineStr"/>
      <c r="E6795">
        <f>HYPERLINK("https://www.uniprot.org/uniprotkb/A0A822I440/entry", "A0A822I440")</f>
        <v/>
      </c>
      <c r="F6795" t="n">
        <v>77.8</v>
      </c>
      <c r="G6795" t="n">
        <v>180</v>
      </c>
      <c r="H6795" t="n">
        <v>8.79e-64</v>
      </c>
      <c r="I6795" t="inlineStr">
        <is>
          <t>TrEMBL</t>
        </is>
      </c>
      <c r="J6795" t="inlineStr">
        <is>
          <t>RIMITATOR_LOCUS13428028</t>
        </is>
      </c>
      <c r="K6795" t="inlineStr">
        <is>
          <t>A0A822I440_9NEOB</t>
        </is>
      </c>
      <c r="L6795" t="inlineStr">
        <is>
          <t>tr|A0A822I440|A0A822I440_9NEOB (mimic poison frog) hypothetical protein OS=Ranitomeya imitator OX=111125 GN=RIMITATOR_LOCUS13428028 PE=4 SV=1</t>
        </is>
      </c>
      <c r="M6795" t="n">
        <v>220</v>
      </c>
      <c r="N6795" t="inlineStr">
        <is>
          <t>Ranitomeya imitator</t>
        </is>
      </c>
      <c r="O6795" t="inlineStr">
        <is>
          <t>(mimic poison frog) hypothetical protein</t>
        </is>
      </c>
    </row>
    <row r="6796">
      <c r="A6796" t="inlineStr"/>
      <c r="B6796" t="inlineStr"/>
      <c r="C6796" t="inlineStr"/>
      <c r="D6796" t="inlineStr"/>
      <c r="E6796">
        <f>HYPERLINK("https://www.uniprot.org/uniprotkb/Q68EZ8/entry", "Q68EZ8")</f>
        <v/>
      </c>
      <c r="F6796" t="n">
        <v>74.90000000000001</v>
      </c>
      <c r="G6796" t="n">
        <v>179</v>
      </c>
      <c r="H6796" t="n">
        <v>1.53e-63</v>
      </c>
      <c r="I6796" t="inlineStr">
        <is>
          <t>TrEMBL</t>
        </is>
      </c>
      <c r="J6796" t="inlineStr">
        <is>
          <t>pdap1.L</t>
        </is>
      </c>
      <c r="K6796" t="inlineStr">
        <is>
          <t>Q68EZ8_XENLA</t>
        </is>
      </c>
      <c r="L6796" t="inlineStr">
        <is>
          <t>tr|Q68EZ8|Q68EZ8_XENLA MGC83384 protein OS=Xenopus laevis OX=8355 GN=pdap1.L PE=2 SV=1</t>
        </is>
      </c>
      <c r="M6796" t="n">
        <v>172</v>
      </c>
      <c r="N6796" t="inlineStr">
        <is>
          <t>Xenopus laevis</t>
        </is>
      </c>
      <c r="O6796" t="inlineStr">
        <is>
          <t>MGC83384 protein</t>
        </is>
      </c>
    </row>
    <row r="6797">
      <c r="A6797" t="inlineStr"/>
      <c r="B6797" t="inlineStr"/>
      <c r="C6797" t="inlineStr"/>
      <c r="D6797" t="inlineStr"/>
      <c r="E6797">
        <f>HYPERLINK("https://www.ncbi.nlm.nih.gov/gene/?term=NP_001087517.1", "NP_001087517.1")</f>
        <v/>
      </c>
      <c r="F6797" t="n">
        <v>74.90000000000001</v>
      </c>
      <c r="G6797" t="n">
        <v>179</v>
      </c>
      <c r="H6797" t="n">
        <v>3.94e-63</v>
      </c>
      <c r="I6797" t="inlineStr">
        <is>
          <t>Nr</t>
        </is>
      </c>
      <c r="J6797" t="inlineStr"/>
      <c r="K6797" t="inlineStr"/>
      <c r="L6797" t="inlineStr">
        <is>
          <t>NP_001087517.1 PDGFA associated protein 1 L homeolog [Xenopus laevis]</t>
        </is>
      </c>
      <c r="M6797" t="n">
        <v>172</v>
      </c>
      <c r="N6797" t="inlineStr">
        <is>
          <t>Xenopus laevis</t>
        </is>
      </c>
      <c r="O6797" t="inlineStr">
        <is>
          <t>PDGFA associated protein 1 L homeolog</t>
        </is>
      </c>
    </row>
    <row r="6798">
      <c r="A6798" t="inlineStr"/>
      <c r="B6798" t="inlineStr"/>
      <c r="C6798" t="inlineStr"/>
      <c r="D6798" t="inlineStr"/>
      <c r="E6798">
        <f>HYPERLINK("https://www.ncbi.nlm.nih.gov/gene/?term=XP_031796416.1", "XP_031796416.1")</f>
        <v/>
      </c>
      <c r="F6798" t="n">
        <v>75.40000000000001</v>
      </c>
      <c r="G6798" t="n">
        <v>183</v>
      </c>
      <c r="H6798" t="n">
        <v>3.13e-62</v>
      </c>
      <c r="I6798" t="inlineStr">
        <is>
          <t>Nr</t>
        </is>
      </c>
      <c r="J6798" t="inlineStr"/>
      <c r="K6798" t="inlineStr"/>
      <c r="L6798" t="inlineStr">
        <is>
          <t>XP_031796416.1 28 kDa heat- and acid-stable phosphoprotein [Sarcophilus harrisii]</t>
        </is>
      </c>
      <c r="M6798" t="n">
        <v>182</v>
      </c>
      <c r="N6798" t="inlineStr">
        <is>
          <t>Sarcophilus harrisii</t>
        </is>
      </c>
      <c r="O6798" t="inlineStr">
        <is>
          <t>28 kDa heat- and acid-stable phosphoprotein</t>
        </is>
      </c>
    </row>
    <row r="6799">
      <c r="A6799" t="inlineStr"/>
      <c r="B6799" t="inlineStr"/>
      <c r="C6799" t="inlineStr"/>
      <c r="D6799" t="inlineStr"/>
      <c r="E6799">
        <f>HYPERLINK("https://www.ncbi.nlm.nih.gov/gene/?term=XP_036597085.1", "XP_036597085.1")</f>
        <v/>
      </c>
      <c r="F6799" t="n">
        <v>77.5</v>
      </c>
      <c r="G6799" t="n">
        <v>182</v>
      </c>
      <c r="H6799" t="n">
        <v>1.27e-61</v>
      </c>
      <c r="I6799" t="inlineStr">
        <is>
          <t>Nr</t>
        </is>
      </c>
      <c r="J6799" t="inlineStr"/>
      <c r="K6799" t="inlineStr"/>
      <c r="L6799" t="inlineStr">
        <is>
          <t>XP_036597085.1 28 kDa heat- and acid-stable phosphoprotein [Trichosurus vulpecula]</t>
        </is>
      </c>
      <c r="M6799" t="n">
        <v>182</v>
      </c>
      <c r="N6799" t="inlineStr">
        <is>
          <t>Trichosurus vulpecula</t>
        </is>
      </c>
      <c r="O6799" t="inlineStr">
        <is>
          <t>28 kDa heat- and acid-stable phosphoprotein</t>
        </is>
      </c>
    </row>
    <row r="6800">
      <c r="A6800" t="inlineStr"/>
      <c r="B6800" t="inlineStr"/>
      <c r="C6800" t="inlineStr"/>
      <c r="D6800" t="inlineStr"/>
      <c r="E6800">
        <f>HYPERLINK("https://www.ncbi.nlm.nih.gov/gene/?term=XP_043820620.1", "XP_043820620.1")</f>
        <v/>
      </c>
      <c r="F6800" t="n">
        <v>73.8</v>
      </c>
      <c r="G6800" t="n">
        <v>183</v>
      </c>
      <c r="H6800" t="n">
        <v>2.08e-60</v>
      </c>
      <c r="I6800" t="inlineStr">
        <is>
          <t>Nr</t>
        </is>
      </c>
      <c r="J6800" t="inlineStr"/>
      <c r="K6800" t="inlineStr"/>
      <c r="L6800" t="inlineStr">
        <is>
          <t>XP_043820620.1 28 kDa heat- and acid-stable phosphoprotein [Dromiciops gliroides]</t>
        </is>
      </c>
      <c r="M6800" t="n">
        <v>182</v>
      </c>
      <c r="N6800" t="inlineStr">
        <is>
          <t>Dromiciops gliroides</t>
        </is>
      </c>
      <c r="O6800" t="inlineStr">
        <is>
          <t>28 kDa heat- and acid-stable phosphoprotein</t>
        </is>
      </c>
    </row>
    <row r="6801">
      <c r="A6801" t="inlineStr"/>
      <c r="B6801" t="inlineStr"/>
      <c r="C6801" t="inlineStr"/>
      <c r="D6801" t="inlineStr"/>
      <c r="E6801">
        <f>HYPERLINK("https://www.ncbi.nlm.nih.gov/gene/?term=XP_051855724.1", "XP_051855724.1")</f>
        <v/>
      </c>
      <c r="F6801" t="n">
        <v>77</v>
      </c>
      <c r="G6801" t="n">
        <v>183</v>
      </c>
      <c r="H6801" t="n">
        <v>4.19e-60</v>
      </c>
      <c r="I6801" t="inlineStr">
        <is>
          <t>Nr</t>
        </is>
      </c>
      <c r="J6801" t="inlineStr"/>
      <c r="K6801" t="inlineStr"/>
      <c r="L6801" t="inlineStr">
        <is>
          <t>XP_051855724.1 28 kDa heat- and acid-stable phosphoprotein [Antechinus flavipes]</t>
        </is>
      </c>
      <c r="M6801" t="n">
        <v>182</v>
      </c>
      <c r="N6801" t="inlineStr">
        <is>
          <t>Antechinus flavipes</t>
        </is>
      </c>
      <c r="O6801" t="inlineStr">
        <is>
          <t>28 kDa heat- and acid-stable phosphoprotein</t>
        </is>
      </c>
    </row>
    <row r="6802">
      <c r="A6802" t="inlineStr"/>
      <c r="B6802" t="inlineStr"/>
      <c r="C6802" t="inlineStr"/>
      <c r="D6802" t="inlineStr"/>
      <c r="E6802">
        <f>HYPERLINK("https://www.uniprot.org/uniprotkb/A0A6P5M0K7/entry", "A0A6P5M0K7")</f>
        <v/>
      </c>
      <c r="F6802" t="n">
        <v>76.5</v>
      </c>
      <c r="G6802" t="n">
        <v>183</v>
      </c>
      <c r="H6802" t="n">
        <v>4.65e-60</v>
      </c>
      <c r="I6802" t="inlineStr">
        <is>
          <t>TrEMBL</t>
        </is>
      </c>
      <c r="J6802" t="inlineStr">
        <is>
          <t>PDAP1</t>
        </is>
      </c>
      <c r="K6802" t="inlineStr">
        <is>
          <t>A0A6P5M0K7_PHACI</t>
        </is>
      </c>
      <c r="L6802" t="inlineStr">
        <is>
          <t>tr|A0A6P5M0K7|A0A6P5M0K7_PHACI 28 kDa heat- and acid-stable phosphoprotein OS=Phascolarctos cinereus OX=38626 GN=PDAP1 PE=4 SV=1</t>
        </is>
      </c>
      <c r="M6802" t="n">
        <v>182</v>
      </c>
      <c r="N6802" t="inlineStr">
        <is>
          <t>Phascolarctos cinereus</t>
        </is>
      </c>
      <c r="O6802" t="inlineStr">
        <is>
          <t>28 kDa heat- and acid-stable phosphoprotein</t>
        </is>
      </c>
    </row>
    <row r="6803">
      <c r="A6803" t="inlineStr"/>
      <c r="B6803" t="inlineStr"/>
      <c r="C6803" t="inlineStr"/>
      <c r="D6803" t="inlineStr"/>
      <c r="E6803">
        <f>HYPERLINK("https://www.uniprot.org/uniprotkb/A0A4X2LPN3/entry", "A0A4X2LPN3")</f>
        <v/>
      </c>
      <c r="F6803" t="n">
        <v>76.5</v>
      </c>
      <c r="G6803" t="n">
        <v>183</v>
      </c>
      <c r="H6803" t="n">
        <v>4.65e-60</v>
      </c>
      <c r="I6803" t="inlineStr">
        <is>
          <t>TrEMBL</t>
        </is>
      </c>
      <c r="J6803" t="inlineStr">
        <is>
          <t>PDAP1</t>
        </is>
      </c>
      <c r="K6803" t="inlineStr">
        <is>
          <t>A0A4X2LPN3_VOMUR</t>
        </is>
      </c>
      <c r="L6803" t="inlineStr">
        <is>
          <t>tr|A0A4X2LPN3|A0A4X2LPN3_VOMUR PDGFA associated protein 1 OS=Vombatus ursinus OX=29139 GN=PDAP1 PE=4 SV=1</t>
        </is>
      </c>
      <c r="M6803" t="n">
        <v>182</v>
      </c>
      <c r="N6803" t="inlineStr">
        <is>
          <t>Vombatus ursinus</t>
        </is>
      </c>
      <c r="O6803" t="inlineStr">
        <is>
          <t>PDGFA associated protein 1</t>
        </is>
      </c>
    </row>
    <row r="6804">
      <c r="A6804" t="inlineStr"/>
      <c r="B6804" t="inlineStr"/>
      <c r="C6804" t="inlineStr"/>
      <c r="D6804" t="inlineStr"/>
      <c r="E6804">
        <f>HYPERLINK("https://www.uniprot.org/uniprotkb/A0A2P4T0Y1/entry", "A0A2P4T0Y1")</f>
        <v/>
      </c>
      <c r="F6804" t="n">
        <v>75.59999999999999</v>
      </c>
      <c r="G6804" t="n">
        <v>180</v>
      </c>
      <c r="H6804" t="n">
        <v>5.999999999999999e-60</v>
      </c>
      <c r="I6804" t="inlineStr">
        <is>
          <t>TrEMBL</t>
        </is>
      </c>
      <c r="J6804" t="inlineStr">
        <is>
          <t>CIB84_006231</t>
        </is>
      </c>
      <c r="K6804" t="inlineStr">
        <is>
          <t>A0A2P4T0Y1_BAMTH</t>
        </is>
      </c>
      <c r="L6804" t="inlineStr">
        <is>
          <t>tr|A0A2P4T0Y1|A0A2P4T0Y1_BAMTH PP28 domain-containing protein (Fragment) OS=Bambusicola thoracicus OX=9083 GN=CIB84_006231 PE=4 SV=1</t>
        </is>
      </c>
      <c r="M6804" t="n">
        <v>179</v>
      </c>
      <c r="N6804" t="inlineStr">
        <is>
          <t>Bambusicola thoracicus</t>
        </is>
      </c>
      <c r="O6804" t="inlineStr">
        <is>
          <t>PP28 domain-containing protein (Fragment)</t>
        </is>
      </c>
    </row>
    <row r="6805">
      <c r="A6805" t="inlineStr"/>
      <c r="B6805" t="inlineStr"/>
      <c r="C6805" t="inlineStr"/>
      <c r="D6805" t="inlineStr"/>
      <c r="E6805">
        <f>HYPERLINK("https://www.uniprot.org/uniprotkb/A0A8C2SN91/entry", "A0A8C2SN91")</f>
        <v/>
      </c>
      <c r="F6805" t="n">
        <v>75</v>
      </c>
      <c r="G6805" t="n">
        <v>180</v>
      </c>
      <c r="H6805" t="n">
        <v>6.19e-60</v>
      </c>
      <c r="I6805" t="inlineStr">
        <is>
          <t>TrEMBL</t>
        </is>
      </c>
      <c r="J6805" t="inlineStr">
        <is>
          <t>PDAP1</t>
        </is>
      </c>
      <c r="K6805" t="inlineStr">
        <is>
          <t>A0A8C2SN91_COTJA</t>
        </is>
      </c>
      <c r="L6805" t="inlineStr">
        <is>
          <t>tr|A0A8C2SN91|A0A8C2SN91_COTJA PDGFA associated protein 1 OS=Coturnix japonica OX=93934 GN=PDAP1 PE=4 SV=1</t>
        </is>
      </c>
      <c r="M6805" t="n">
        <v>180</v>
      </c>
      <c r="N6805" t="inlineStr">
        <is>
          <t>Coturnix japonica</t>
        </is>
      </c>
      <c r="O6805" t="inlineStr">
        <is>
          <t>PDGFA associated protein 1</t>
        </is>
      </c>
    </row>
    <row r="6806">
      <c r="A6806" t="inlineStr"/>
      <c r="B6806" t="inlineStr"/>
      <c r="C6806" t="inlineStr"/>
      <c r="D6806" t="inlineStr"/>
      <c r="E6806">
        <f>HYPERLINK("https://www.ncbi.nlm.nih.gov/gene/?term=XP_020864200.1", "XP_020864200.1")</f>
        <v/>
      </c>
      <c r="F6806" t="n">
        <v>76.5</v>
      </c>
      <c r="G6806" t="n">
        <v>183</v>
      </c>
      <c r="H6806" t="n">
        <v>1.2e-59</v>
      </c>
      <c r="I6806" t="inlineStr">
        <is>
          <t>Nr</t>
        </is>
      </c>
      <c r="J6806" t="inlineStr"/>
      <c r="K6806" t="inlineStr"/>
      <c r="L6806" t="inlineStr">
        <is>
          <t>XP_020864200.1 28 kDa heat- and acid-stable phosphoprotein [Phascolarctos cinereus]</t>
        </is>
      </c>
      <c r="M6806" t="n">
        <v>182</v>
      </c>
      <c r="N6806" t="inlineStr">
        <is>
          <t>Phascolarctos cinereus</t>
        </is>
      </c>
      <c r="O6806" t="inlineStr">
        <is>
          <t>28 kDa heat- and acid-stable phosphoprotein</t>
        </is>
      </c>
    </row>
    <row r="6807">
      <c r="A6807" t="inlineStr"/>
      <c r="B6807" t="inlineStr"/>
      <c r="C6807" t="inlineStr"/>
      <c r="D6807" t="inlineStr"/>
      <c r="E6807">
        <f>HYPERLINK("https://www.ncbi.nlm.nih.gov/gene/?term=XP_044515827.1", "XP_044515827.1")</f>
        <v/>
      </c>
      <c r="F6807" t="n">
        <v>76.40000000000001</v>
      </c>
      <c r="G6807" t="n">
        <v>182</v>
      </c>
      <c r="H6807" t="n">
        <v>1.2e-59</v>
      </c>
      <c r="I6807" t="inlineStr">
        <is>
          <t>Nr</t>
        </is>
      </c>
      <c r="J6807" t="inlineStr"/>
      <c r="K6807" t="inlineStr"/>
      <c r="L6807" t="inlineStr">
        <is>
          <t>XP_044515827.1 28 kDa heat- and acid-stable phosphoprotein [Gracilinanus agilis]</t>
        </is>
      </c>
      <c r="M6807" t="n">
        <v>182</v>
      </c>
      <c r="N6807" t="inlineStr">
        <is>
          <t>Gracilinanus agilis</t>
        </is>
      </c>
      <c r="O6807" t="inlineStr">
        <is>
          <t>28 kDa heat- and acid-stable phosphoprotein</t>
        </is>
      </c>
    </row>
    <row r="6808">
      <c r="A6808" t="inlineStr"/>
      <c r="B6808" t="inlineStr"/>
      <c r="C6808" t="inlineStr"/>
      <c r="D6808" t="inlineStr"/>
      <c r="E6808">
        <f>HYPERLINK("https://www.ncbi.nlm.nih.gov/gene/?term=POI30017.1", "POI30017.1")</f>
        <v/>
      </c>
      <c r="F6808" t="n">
        <v>75.59999999999999</v>
      </c>
      <c r="G6808" t="n">
        <v>180</v>
      </c>
      <c r="H6808" t="n">
        <v>1.54e-59</v>
      </c>
      <c r="I6808" t="inlineStr">
        <is>
          <t>Nr</t>
        </is>
      </c>
      <c r="J6808" t="inlineStr"/>
      <c r="K6808" t="inlineStr"/>
      <c r="L6808" t="inlineStr">
        <is>
          <t>POI30017.1 hypothetical protein CIB84_006231, partial [Bambusicola thoracicus]</t>
        </is>
      </c>
      <c r="M6808" t="n">
        <v>179</v>
      </c>
      <c r="N6808" t="inlineStr">
        <is>
          <t>Bambusicola thoracicus</t>
        </is>
      </c>
      <c r="O6808" t="inlineStr">
        <is>
          <t>hypothetical protein CIB84_006231, partial</t>
        </is>
      </c>
    </row>
    <row r="6809">
      <c r="A6809" t="inlineStr"/>
      <c r="B6809" t="inlineStr"/>
      <c r="C6809" t="inlineStr"/>
      <c r="D6809" t="inlineStr"/>
      <c r="E6809">
        <f>HYPERLINK("https://www.ncbi.nlm.nih.gov/gene/?term=XP_015732160.1", "XP_015732160.1")</f>
        <v/>
      </c>
      <c r="F6809" t="n">
        <v>75</v>
      </c>
      <c r="G6809" t="n">
        <v>180</v>
      </c>
      <c r="H6809" t="n">
        <v>1.59e-59</v>
      </c>
      <c r="I6809" t="inlineStr">
        <is>
          <t>Nr</t>
        </is>
      </c>
      <c r="J6809" t="inlineStr"/>
      <c r="K6809" t="inlineStr"/>
      <c r="L6809" t="inlineStr">
        <is>
          <t>XP_015732160.1 28 kDa heat- and acid-stable phosphoprotein isoform X2 [Coturnix japonica]</t>
        </is>
      </c>
      <c r="M6809" t="n">
        <v>180</v>
      </c>
      <c r="N6809" t="inlineStr">
        <is>
          <t>Coturnix japonica</t>
        </is>
      </c>
      <c r="O6809" t="inlineStr">
        <is>
          <t>28 kDa heat- and acid-stable phosphoprotein isoform X2</t>
        </is>
      </c>
    </row>
    <row r="6810">
      <c r="A6810" t="inlineStr"/>
      <c r="B6810" t="inlineStr"/>
      <c r="C6810" t="inlineStr"/>
      <c r="D6810" t="inlineStr"/>
      <c r="E6810">
        <f>HYPERLINK("https://www.uniprot.org/uniprotkb/A0A6J2M6G0/entry", "A0A6J2M6G0")</f>
        <v/>
      </c>
      <c r="F6810" t="n">
        <v>75.8</v>
      </c>
      <c r="G6810" t="n">
        <v>182</v>
      </c>
      <c r="H6810" t="n">
        <v>1.88e-59</v>
      </c>
      <c r="I6810" t="inlineStr">
        <is>
          <t>TrEMBL</t>
        </is>
      </c>
      <c r="J6810" t="inlineStr">
        <is>
          <t>PDAP1</t>
        </is>
      </c>
      <c r="K6810" t="inlineStr">
        <is>
          <t>A0A6J2M6G0_9CHIR</t>
        </is>
      </c>
      <c r="L6810" t="inlineStr">
        <is>
          <t>tr|A0A6J2M6G0|A0A6J2M6G0_9CHIR 28 kDa heat- and acid-stable phosphoprotein OS=Phyllostomus discolor OX=89673 GN=PDAP1 PE=4 SV=1</t>
        </is>
      </c>
      <c r="M6810" t="n">
        <v>182</v>
      </c>
      <c r="N6810" t="inlineStr">
        <is>
          <t>Phyllostomus discolor</t>
        </is>
      </c>
      <c r="O6810" t="inlineStr">
        <is>
          <t>28 kDa heat- and acid-stable phosphoprotein</t>
        </is>
      </c>
    </row>
    <row r="6811">
      <c r="A6811" t="inlineStr"/>
      <c r="B6811" t="inlineStr"/>
      <c r="C6811" t="inlineStr"/>
      <c r="D6811" t="inlineStr"/>
      <c r="E6811">
        <f>HYPERLINK("https://www.uniprot.org/uniprotkb/K9IG82/entry", "K9IG82")</f>
        <v/>
      </c>
      <c r="F6811" t="n">
        <v>75.8</v>
      </c>
      <c r="G6811" t="n">
        <v>182</v>
      </c>
      <c r="H6811" t="n">
        <v>1.88e-59</v>
      </c>
      <c r="I6811" t="inlineStr">
        <is>
          <t>TrEMBL</t>
        </is>
      </c>
      <c r="J6811" t="inlineStr"/>
      <c r="K6811" t="inlineStr">
        <is>
          <t>K9IG82_DESRO</t>
        </is>
      </c>
      <c r="L6811" t="inlineStr">
        <is>
          <t>tr|K9IG82|K9IG82_DESRO Putative 28 kDa heat-and acid-stable OS=Desmodus rotundus OX=9430 PE=2 SV=1</t>
        </is>
      </c>
      <c r="M6811" t="n">
        <v>182</v>
      </c>
      <c r="N6811" t="inlineStr">
        <is>
          <t>Desmodus rotundus</t>
        </is>
      </c>
      <c r="O6811" t="inlineStr">
        <is>
          <t>Putative 28 kDa heat-and acid-stable</t>
        </is>
      </c>
    </row>
    <row r="6812">
      <c r="A6812" t="inlineStr"/>
      <c r="B6812" t="inlineStr"/>
      <c r="C6812" t="inlineStr"/>
      <c r="D6812" t="inlineStr"/>
      <c r="E6812">
        <f>HYPERLINK("https://www.uniprot.org/uniprotkb/A0A8V0ZQB9/entry", "A0A8V0ZQB9")</f>
        <v/>
      </c>
      <c r="F6812" t="n">
        <v>75</v>
      </c>
      <c r="G6812" t="n">
        <v>180</v>
      </c>
      <c r="H6812" t="n">
        <v>3.71e-59</v>
      </c>
      <c r="I6812" t="inlineStr">
        <is>
          <t>TrEMBL</t>
        </is>
      </c>
      <c r="J6812" t="inlineStr">
        <is>
          <t>PDAP1</t>
        </is>
      </c>
      <c r="K6812" t="inlineStr">
        <is>
          <t>A0A8V0ZQB9_CHICK</t>
        </is>
      </c>
      <c r="L6812" t="inlineStr">
        <is>
          <t>tr|A0A8V0ZQB9|A0A8V0ZQB9_CHICK PDGFA associated protein 1 OS=Gallus gallus OX=9031 GN=PDAP1 PE=4 SV=1</t>
        </is>
      </c>
      <c r="M6812" t="n">
        <v>237</v>
      </c>
      <c r="N6812" t="inlineStr">
        <is>
          <t>Gallus gallus</t>
        </is>
      </c>
      <c r="O6812" t="inlineStr">
        <is>
          <t>PDGFA associated protein 1</t>
        </is>
      </c>
    </row>
    <row r="6813">
      <c r="A6813" t="inlineStr"/>
      <c r="B6813" t="inlineStr"/>
      <c r="C6813" t="inlineStr"/>
      <c r="D6813" t="inlineStr"/>
      <c r="E6813">
        <f>HYPERLINK("https://www.ncbi.nlm.nih.gov/gene/?term=XP_043945290.1", "XP_043945290.1")</f>
        <v/>
      </c>
      <c r="F6813" t="n">
        <v>68.7</v>
      </c>
      <c r="G6813" t="n">
        <v>179</v>
      </c>
      <c r="H6813" t="n">
        <v>3.87e-59</v>
      </c>
      <c r="I6813" t="inlineStr">
        <is>
          <t>Nr</t>
        </is>
      </c>
      <c r="J6813" t="inlineStr"/>
      <c r="K6813" t="inlineStr"/>
      <c r="L6813" t="inlineStr">
        <is>
          <t>XP_043945290.1 28 kDa heat- and acid-stable phosphoprotein [Protopterus annectens]</t>
        </is>
      </c>
      <c r="M6813" t="n">
        <v>175</v>
      </c>
      <c r="N6813" t="inlineStr">
        <is>
          <t>Protopterus annectens</t>
        </is>
      </c>
      <c r="O6813" t="inlineStr">
        <is>
          <t>28 kDa heat- and acid-stable phosphoprotein</t>
        </is>
      </c>
    </row>
    <row r="6814">
      <c r="A6814" t="inlineStr"/>
      <c r="B6814" t="inlineStr"/>
      <c r="C6814" t="inlineStr"/>
      <c r="D6814" t="inlineStr"/>
      <c r="E6814">
        <f>HYPERLINK("https://www.ncbi.nlm.nih.gov/gene/?term=KAJ1096567.1", "KAJ1096567.1")</f>
        <v/>
      </c>
      <c r="F6814" t="n">
        <v>71.8</v>
      </c>
      <c r="G6814" t="n">
        <v>181</v>
      </c>
      <c r="H6814" t="n">
        <v>4.690000000000001e-59</v>
      </c>
      <c r="I6814" t="inlineStr">
        <is>
          <t>Nr</t>
        </is>
      </c>
      <c r="J6814" t="inlineStr"/>
      <c r="K6814" t="inlineStr"/>
      <c r="L6814" t="inlineStr">
        <is>
          <t>KAJ1096567.1 hypothetical protein NDU88_001702 [Pleurodeles waltl]</t>
        </is>
      </c>
      <c r="M6814" t="n">
        <v>181</v>
      </c>
      <c r="N6814" t="inlineStr">
        <is>
          <t>Pleurodeles waltl</t>
        </is>
      </c>
      <c r="O6814" t="inlineStr">
        <is>
          <t>hypothetical protein NDU88_001702</t>
        </is>
      </c>
    </row>
    <row r="6815">
      <c r="A6815" t="inlineStr"/>
      <c r="B6815" t="inlineStr"/>
      <c r="C6815" t="inlineStr"/>
      <c r="D6815" t="inlineStr"/>
      <c r="E6815">
        <f>HYPERLINK("https://www.ncbi.nlm.nih.gov/gene/?term=XP_028375562.1", "XP_028375562.1")</f>
        <v/>
      </c>
      <c r="F6815" t="n">
        <v>75.8</v>
      </c>
      <c r="G6815" t="n">
        <v>182</v>
      </c>
      <c r="H6815" t="n">
        <v>4.840000000000001e-59</v>
      </c>
      <c r="I6815" t="inlineStr">
        <is>
          <t>Nr</t>
        </is>
      </c>
      <c r="J6815" t="inlineStr"/>
      <c r="K6815" t="inlineStr"/>
      <c r="L6815" t="inlineStr">
        <is>
          <t>XP_028375562.1 28 kDa heat- and acid-stable phosphoprotein [Phyllostomus discolor]</t>
        </is>
      </c>
      <c r="M6815" t="n">
        <v>182</v>
      </c>
      <c r="N6815" t="inlineStr">
        <is>
          <t>Phyllostomus discolor</t>
        </is>
      </c>
      <c r="O6815" t="inlineStr">
        <is>
          <t>28 kDa heat- and acid-stable phosphoprotein</t>
        </is>
      </c>
    </row>
    <row r="6816">
      <c r="A6816" t="inlineStr"/>
      <c r="B6816" t="inlineStr"/>
      <c r="C6816" t="inlineStr"/>
      <c r="D6816" t="inlineStr"/>
      <c r="E6816">
        <f>HYPERLINK("https://www.uniprot.org/uniprotkb/A0A7N4PCQ0/entry", "A0A7N4PCQ0")</f>
        <v/>
      </c>
      <c r="F6816" t="n">
        <v>77.7</v>
      </c>
      <c r="G6816" t="n">
        <v>179</v>
      </c>
      <c r="H6816" t="n">
        <v>6.930000000000001e-59</v>
      </c>
      <c r="I6816" t="inlineStr">
        <is>
          <t>TrEMBL</t>
        </is>
      </c>
      <c r="J6816" t="inlineStr">
        <is>
          <t>PDAP1</t>
        </is>
      </c>
      <c r="K6816" t="inlineStr">
        <is>
          <t>A0A7N4PCQ0_SARHA</t>
        </is>
      </c>
      <c r="L6816" t="inlineStr">
        <is>
          <t>tr|A0A7N4PCQ0|A0A7N4PCQ0_SARHA PDGFA associated protein 1 OS=Sarcophilus harrisii OX=9305 GN=PDAP1 PE=4 SV=1</t>
        </is>
      </c>
      <c r="M6816" t="n">
        <v>179</v>
      </c>
      <c r="N6816" t="inlineStr">
        <is>
          <t>Sarcophilus harrisii</t>
        </is>
      </c>
      <c r="O6816" t="inlineStr">
        <is>
          <t>PDGFA associated protein 1</t>
        </is>
      </c>
    </row>
    <row r="6817">
      <c r="A6817" t="inlineStr"/>
      <c r="B6817" t="inlineStr"/>
      <c r="C6817" t="inlineStr"/>
      <c r="D6817" t="inlineStr"/>
      <c r="E6817">
        <f>HYPERLINK("https://www.ncbi.nlm.nih.gov/gene/?term=XP_036884291.1", "XP_036884291.1")</f>
        <v/>
      </c>
      <c r="F6817" t="n">
        <v>74.2</v>
      </c>
      <c r="G6817" t="n">
        <v>182</v>
      </c>
      <c r="H6817" t="n">
        <v>9.740000000000001e-59</v>
      </c>
      <c r="I6817" t="inlineStr">
        <is>
          <t>Nr</t>
        </is>
      </c>
      <c r="J6817" t="inlineStr"/>
      <c r="K6817" t="inlineStr"/>
      <c r="L6817" t="inlineStr">
        <is>
          <t>XP_036884291.1 28 kDa heat- and acid-stable phosphoprotein [Sturnira hondurensis]</t>
        </is>
      </c>
      <c r="M6817" t="n">
        <v>182</v>
      </c>
      <c r="N6817" t="inlineStr">
        <is>
          <t>Sturnira hondurensis</t>
        </is>
      </c>
      <c r="O6817" t="inlineStr">
        <is>
          <t>28 kDa heat- and acid-stable phosphoprotein</t>
        </is>
      </c>
    </row>
    <row r="6818">
      <c r="A6818" t="inlineStr"/>
      <c r="B6818" t="inlineStr"/>
      <c r="C6818" t="inlineStr"/>
      <c r="D6818" t="inlineStr"/>
      <c r="E6818">
        <f>HYPERLINK("https://www.uniprot.org/uniprotkb/A0A8C9FF32/entry", "A0A8C9FF32")</f>
        <v/>
      </c>
      <c r="F6818" t="n">
        <v>75</v>
      </c>
      <c r="G6818" t="n">
        <v>180</v>
      </c>
      <c r="H6818" t="n">
        <v>1.74e-58</v>
      </c>
      <c r="I6818" t="inlineStr">
        <is>
          <t>TrEMBL</t>
        </is>
      </c>
      <c r="J6818" t="inlineStr"/>
      <c r="K6818" t="inlineStr">
        <is>
          <t>A0A8C9FF32_PAVCR</t>
        </is>
      </c>
      <c r="L6818" t="inlineStr">
        <is>
          <t>tr|A0A8C9FF32|A0A8C9FF32_PAVCR PDGFA associated protein 1 OS=Pavo cristatus OX=9049 PE=4 SV=1</t>
        </is>
      </c>
      <c r="M6818" t="n">
        <v>242</v>
      </c>
      <c r="N6818" t="inlineStr">
        <is>
          <t>Pavo cristatus</t>
        </is>
      </c>
      <c r="O6818" t="inlineStr">
        <is>
          <t>PDGFA associated protein 1</t>
        </is>
      </c>
    </row>
    <row r="6819">
      <c r="A6819" t="inlineStr"/>
      <c r="B6819" t="inlineStr"/>
      <c r="C6819" t="inlineStr"/>
      <c r="D6819" t="inlineStr"/>
      <c r="E6819">
        <f>HYPERLINK("https://www.ncbi.nlm.nih.gov/gene/?term=XP_045694116.1", "XP_045694116.1")</f>
        <v/>
      </c>
      <c r="F6819" t="n">
        <v>74.7</v>
      </c>
      <c r="G6819" t="n">
        <v>182</v>
      </c>
      <c r="H6819" t="n">
        <v>2.78e-58</v>
      </c>
      <c r="I6819" t="inlineStr">
        <is>
          <t>Nr</t>
        </is>
      </c>
      <c r="J6819" t="inlineStr"/>
      <c r="K6819" t="inlineStr"/>
      <c r="L6819" t="inlineStr">
        <is>
          <t>XP_045694116.1 28 kDa heat- and acid-stable phosphoprotein [Phyllostomus hastatus]</t>
        </is>
      </c>
      <c r="M6819" t="n">
        <v>182</v>
      </c>
      <c r="N6819" t="inlineStr">
        <is>
          <t>Phyllostomus hastatus</t>
        </is>
      </c>
      <c r="O6819" t="inlineStr">
        <is>
          <t>28 kDa heat- and acid-stable phosphoprotein</t>
        </is>
      </c>
    </row>
    <row r="6820">
      <c r="A6820" t="inlineStr"/>
      <c r="B6820" t="inlineStr"/>
      <c r="C6820" t="inlineStr"/>
      <c r="D6820" t="inlineStr"/>
      <c r="E6820">
        <f>HYPERLINK("https://www.uniprot.org/uniprotkb/Q3UHX2/entry", "Q3UHX2")</f>
        <v/>
      </c>
      <c r="F6820" t="n">
        <v>72.8</v>
      </c>
      <c r="G6820" t="n">
        <v>180</v>
      </c>
      <c r="H6820" t="n">
        <v>4.74e-57</v>
      </c>
      <c r="I6820" t="inlineStr">
        <is>
          <t>Swiss-Prot</t>
        </is>
      </c>
      <c r="J6820" t="inlineStr">
        <is>
          <t>Pdap1</t>
        </is>
      </c>
      <c r="K6820" t="inlineStr">
        <is>
          <t>HAP28_MOUSE</t>
        </is>
      </c>
      <c r="L6820" t="inlineStr">
        <is>
          <t>sp|Q3UHX2|HAP28_MOUSE 28 kDa heat- and acid-stable phosphoprotein OS=Mus musculus OX=10090 GN=Pdap1 PE=1 SV=1</t>
        </is>
      </c>
      <c r="M6820" t="n">
        <v>181</v>
      </c>
      <c r="N6820" t="inlineStr">
        <is>
          <t>Mus musculus</t>
        </is>
      </c>
      <c r="O6820" t="inlineStr">
        <is>
          <t>28 kDa heat- and acid-stable phosphoprotein</t>
        </is>
      </c>
    </row>
    <row r="6821">
      <c r="A6821" t="inlineStr"/>
      <c r="B6821" t="inlineStr"/>
      <c r="C6821" t="inlineStr"/>
      <c r="D6821" t="inlineStr"/>
      <c r="E6821">
        <f>HYPERLINK("https://www.uniprot.org/uniprotkb/Q62785/entry", "Q62785")</f>
        <v/>
      </c>
      <c r="F6821" t="n">
        <v>72.8</v>
      </c>
      <c r="G6821" t="n">
        <v>180</v>
      </c>
      <c r="H6821" t="n">
        <v>4.74e-57</v>
      </c>
      <c r="I6821" t="inlineStr">
        <is>
          <t>Swiss-Prot</t>
        </is>
      </c>
      <c r="J6821" t="inlineStr">
        <is>
          <t>Pdap1</t>
        </is>
      </c>
      <c r="K6821" t="inlineStr">
        <is>
          <t>HAP28_RAT</t>
        </is>
      </c>
      <c r="L6821" t="inlineStr">
        <is>
          <t>sp|Q62785|HAP28_RAT 28 kDa heat- and acid-stable phosphoprotein OS=Rattus norvegicus OX=10116 GN=Pdap1 PE=1 SV=1</t>
        </is>
      </c>
      <c r="M6821" t="n">
        <v>181</v>
      </c>
      <c r="N6821" t="inlineStr">
        <is>
          <t>Rattus norvegicus</t>
        </is>
      </c>
      <c r="O6821" t="inlineStr">
        <is>
          <t>28 kDa heat- and acid-stable phosphoprotein</t>
        </is>
      </c>
    </row>
    <row r="6822">
      <c r="A6822" t="inlineStr"/>
      <c r="B6822" t="inlineStr"/>
      <c r="C6822" t="inlineStr"/>
      <c r="D6822" t="inlineStr"/>
      <c r="E6822">
        <f>HYPERLINK("https://www.uniprot.org/uniprotkb/A0A7J7Y1H6/entry", "A0A7J7Y1H6")</f>
        <v/>
      </c>
      <c r="F6822" t="n">
        <v>75.8</v>
      </c>
      <c r="G6822" t="n">
        <v>182</v>
      </c>
      <c r="H6822" t="n">
        <v>5.06e-57</v>
      </c>
      <c r="I6822" t="inlineStr">
        <is>
          <t>TrEMBL</t>
        </is>
      </c>
      <c r="J6822" t="inlineStr">
        <is>
          <t>mMyoMyo1_014902</t>
        </is>
      </c>
      <c r="K6822" t="inlineStr">
        <is>
          <t>A0A7J7Y1H6_MYOMY</t>
        </is>
      </c>
      <c r="L6822" t="inlineStr">
        <is>
          <t>tr|A0A7J7Y1H6|A0A7J7Y1H6_MYOMY PDGFA associated protein 1 OS=Myotis myotis OX=51298 GN=mMyoMyo1_014902 PE=4 SV=1</t>
        </is>
      </c>
      <c r="M6822" t="n">
        <v>182</v>
      </c>
      <c r="N6822" t="inlineStr">
        <is>
          <t>Myotis myotis</t>
        </is>
      </c>
      <c r="O6822" t="inlineStr">
        <is>
          <t>PDGFA associated protein 1</t>
        </is>
      </c>
    </row>
    <row r="6823">
      <c r="A6823" t="inlineStr"/>
      <c r="B6823" t="inlineStr"/>
      <c r="C6823" t="inlineStr"/>
      <c r="D6823" t="inlineStr"/>
      <c r="E6823">
        <f>HYPERLINK("https://www.ncbi.nlm.nih.gov/gene/?term=XP_006081124.1", "XP_006081124.1")</f>
        <v/>
      </c>
      <c r="F6823" t="n">
        <v>75.8</v>
      </c>
      <c r="G6823" t="n">
        <v>182</v>
      </c>
      <c r="H6823" t="n">
        <v>1.3e-56</v>
      </c>
      <c r="I6823" t="inlineStr">
        <is>
          <t>Nr</t>
        </is>
      </c>
      <c r="J6823" t="inlineStr"/>
      <c r="K6823" t="inlineStr"/>
      <c r="L6823" t="inlineStr">
        <is>
          <t>XP_006081124.1 28 kDa heat- and acid-stable phosphoprotein [Myotis lucifugus]</t>
        </is>
      </c>
      <c r="M6823" t="n">
        <v>182</v>
      </c>
      <c r="N6823" t="inlineStr">
        <is>
          <t>Myotis lucifugus</t>
        </is>
      </c>
      <c r="O6823" t="inlineStr">
        <is>
          <t>28 kDa heat- and acid-stable phosphoprotein</t>
        </is>
      </c>
    </row>
    <row r="6824">
      <c r="A6824" t="inlineStr"/>
      <c r="B6824" t="inlineStr"/>
      <c r="C6824" t="inlineStr"/>
      <c r="D6824" t="inlineStr"/>
      <c r="E6824">
        <f>HYPERLINK("https://www.ncbi.nlm.nih.gov/gene/?term=XP_008139595.1", "XP_008139595.1")</f>
        <v/>
      </c>
      <c r="F6824" t="n">
        <v>75.3</v>
      </c>
      <c r="G6824" t="n">
        <v>182</v>
      </c>
      <c r="H6824" t="n">
        <v>1.3e-56</v>
      </c>
      <c r="I6824" t="inlineStr">
        <is>
          <t>Nr</t>
        </is>
      </c>
      <c r="J6824" t="inlineStr"/>
      <c r="K6824" t="inlineStr"/>
      <c r="L6824" t="inlineStr">
        <is>
          <t>XP_008139595.1 28 kDa heat- and acid-stable phosphoprotein [Eptesicus fuscus]</t>
        </is>
      </c>
      <c r="M6824" t="n">
        <v>182</v>
      </c>
      <c r="N6824" t="inlineStr">
        <is>
          <t>Eptesicus fuscus</t>
        </is>
      </c>
      <c r="O6824" t="inlineStr">
        <is>
          <t>28 kDa heat- and acid-stable phosphoprotein</t>
        </is>
      </c>
    </row>
    <row r="6825">
      <c r="A6825" t="inlineStr"/>
      <c r="B6825" t="inlineStr"/>
      <c r="C6825" t="inlineStr"/>
      <c r="D6825" t="inlineStr"/>
      <c r="E6825">
        <f>HYPERLINK("https://www.uniprot.org/uniprotkb/Q13442/entry", "Q13442")</f>
        <v/>
      </c>
      <c r="F6825" t="n">
        <v>72.2</v>
      </c>
      <c r="G6825" t="n">
        <v>180</v>
      </c>
      <c r="H6825" t="n">
        <v>1.35e-56</v>
      </c>
      <c r="I6825" t="inlineStr">
        <is>
          <t>Swiss-Prot</t>
        </is>
      </c>
      <c r="J6825" t="inlineStr">
        <is>
          <t>PDAP1</t>
        </is>
      </c>
      <c r="K6825" t="inlineStr">
        <is>
          <t>HAP28_HUMAN</t>
        </is>
      </c>
      <c r="L6825" t="inlineStr">
        <is>
          <t>sp|Q13442|HAP28_HUMAN 28 kDa heat- and acid-stable phosphoprotein OS=Homo sapiens OX=9606 GN=PDAP1 PE=1 SV=1</t>
        </is>
      </c>
      <c r="M6825" t="n">
        <v>181</v>
      </c>
      <c r="N6825" t="inlineStr">
        <is>
          <t>Homo sapiens</t>
        </is>
      </c>
      <c r="O6825" t="inlineStr">
        <is>
          <t>28 kDa heat- and acid-stable phosphoprotein</t>
        </is>
      </c>
    </row>
    <row r="6826">
      <c r="A6826" t="inlineStr"/>
      <c r="B6826" t="inlineStr"/>
      <c r="C6826" t="inlineStr"/>
      <c r="D6826" t="inlineStr"/>
      <c r="E6826">
        <f>HYPERLINK("https://www.uniprot.org/uniprotkb/A0A4U1FG69/entry", "A0A4U1FG69")</f>
        <v/>
      </c>
      <c r="F6826" t="n">
        <v>75.09999999999999</v>
      </c>
      <c r="G6826" t="n">
        <v>181</v>
      </c>
      <c r="H6826" t="n">
        <v>2.9e-56</v>
      </c>
      <c r="I6826" t="inlineStr">
        <is>
          <t>TrEMBL</t>
        </is>
      </c>
      <c r="J6826" t="inlineStr">
        <is>
          <t>PDAP1</t>
        </is>
      </c>
      <c r="K6826" t="inlineStr">
        <is>
          <t>A0A4U1FG69_MONMO</t>
        </is>
      </c>
      <c r="L6826" t="inlineStr">
        <is>
          <t>tr|A0A4U1FG69|A0A4U1FG69_MONMO PDGFA associated protein 1 OS=Monodon monoceros OX=40151 GN=PDAP1 PE=4 SV=1</t>
        </is>
      </c>
      <c r="M6826" t="n">
        <v>182</v>
      </c>
      <c r="N6826" t="inlineStr">
        <is>
          <t>Monodon monoceros</t>
        </is>
      </c>
      <c r="O6826" t="inlineStr">
        <is>
          <t>PDGFA associated protein 1</t>
        </is>
      </c>
    </row>
    <row r="6827">
      <c r="A6827" t="inlineStr"/>
      <c r="B6827" t="inlineStr"/>
      <c r="C6827" t="inlineStr"/>
      <c r="D6827" t="inlineStr"/>
      <c r="E6827">
        <f>HYPERLINK("https://www.uniprot.org/uniprotkb/A0A8C0DDL2/entry", "A0A8C0DDL2")</f>
        <v/>
      </c>
      <c r="F6827" t="n">
        <v>75.09999999999999</v>
      </c>
      <c r="G6827" t="n">
        <v>181</v>
      </c>
      <c r="H6827" t="n">
        <v>2.9e-56</v>
      </c>
      <c r="I6827" t="inlineStr">
        <is>
          <t>TrEMBL</t>
        </is>
      </c>
      <c r="J6827" t="inlineStr">
        <is>
          <t>PDAP1</t>
        </is>
      </c>
      <c r="K6827" t="inlineStr">
        <is>
          <t>A0A8C0DDL2_BALMU</t>
        </is>
      </c>
      <c r="L6827" t="inlineStr">
        <is>
          <t>tr|A0A8C0DDL2|A0A8C0DDL2_BALMU 28 kDa heat- and acid-stable phosphoprotein isoform X2 OS=Balaenoptera musculus OX=9771 GN=PDAP1 PE=4 SV=1</t>
        </is>
      </c>
      <c r="M6827" t="n">
        <v>182</v>
      </c>
      <c r="N6827" t="inlineStr">
        <is>
          <t>Balaenoptera musculus</t>
        </is>
      </c>
      <c r="O6827" t="inlineStr">
        <is>
          <t>28 kDa heat- and acid-stable phosphoprotein isoform X2</t>
        </is>
      </c>
    </row>
    <row r="6828">
      <c r="A6828" t="inlineStr"/>
      <c r="B6828" t="inlineStr"/>
      <c r="C6828" t="inlineStr"/>
      <c r="D6828" t="inlineStr"/>
      <c r="E6828">
        <f>HYPERLINK("https://www.uniprot.org/uniprotkb/A0A2Y9EVL7/entry", "A0A2Y9EVL7")</f>
        <v/>
      </c>
      <c r="F6828" t="n">
        <v>75.09999999999999</v>
      </c>
      <c r="G6828" t="n">
        <v>181</v>
      </c>
      <c r="H6828" t="n">
        <v>2.9e-56</v>
      </c>
      <c r="I6828" t="inlineStr">
        <is>
          <t>TrEMBL</t>
        </is>
      </c>
      <c r="J6828" t="inlineStr">
        <is>
          <t>PDAP1</t>
        </is>
      </c>
      <c r="K6828" t="inlineStr">
        <is>
          <t>A0A2Y9EVL7_PHYMC</t>
        </is>
      </c>
      <c r="L6828" t="inlineStr">
        <is>
          <t>tr|A0A2Y9EVL7|A0A2Y9EVL7_PHYMC 28 kDa heat- and acid-stable phosphoprotein isoform X4 OS=Physeter macrocephalus OX=9755 GN=PDAP1 PE=4 SV=1</t>
        </is>
      </c>
      <c r="M6828" t="n">
        <v>182</v>
      </c>
      <c r="N6828" t="inlineStr">
        <is>
          <t>Physeter macrocephalus</t>
        </is>
      </c>
      <c r="O6828" t="inlineStr">
        <is>
          <t>28 kDa heat- and acid-stable phosphoprotein isoform X4</t>
        </is>
      </c>
    </row>
    <row r="6829">
      <c r="A6829" t="inlineStr"/>
      <c r="B6829" t="inlineStr"/>
      <c r="C6829" t="inlineStr"/>
      <c r="D6829" t="inlineStr"/>
      <c r="E6829">
        <f>HYPERLINK("https://www.uniprot.org/uniprotkb/A0A340WJK1/entry", "A0A340WJK1")</f>
        <v/>
      </c>
      <c r="F6829" t="n">
        <v>75.09999999999999</v>
      </c>
      <c r="G6829" t="n">
        <v>181</v>
      </c>
      <c r="H6829" t="n">
        <v>2.9e-56</v>
      </c>
      <c r="I6829" t="inlineStr">
        <is>
          <t>TrEMBL</t>
        </is>
      </c>
      <c r="J6829" t="inlineStr">
        <is>
          <t>PDAP1</t>
        </is>
      </c>
      <c r="K6829" t="inlineStr">
        <is>
          <t>A0A340WJK1_LIPVE</t>
        </is>
      </c>
      <c r="L6829" t="inlineStr">
        <is>
          <t>tr|A0A340WJK1|A0A340WJK1_LIPVE 28 kDa heat- and acid-stable phosphoprotein OS=Lipotes vexillifer OX=118797 GN=PDAP1 PE=4 SV=1</t>
        </is>
      </c>
      <c r="M6829" t="n">
        <v>182</v>
      </c>
      <c r="N6829" t="inlineStr">
        <is>
          <t>Lipotes vexillifer</t>
        </is>
      </c>
      <c r="O6829" t="inlineStr">
        <is>
          <t>28 kDa heat- and acid-stable phosphoprotein</t>
        </is>
      </c>
    </row>
    <row r="6830">
      <c r="A6830" t="inlineStr"/>
      <c r="B6830" t="inlineStr"/>
      <c r="C6830" t="inlineStr"/>
      <c r="D6830" t="inlineStr"/>
      <c r="E6830">
        <f>HYPERLINK("https://www.uniprot.org/uniprotkb/A0A6J3Q2K9/entry", "A0A6J3Q2K9")</f>
        <v/>
      </c>
      <c r="F6830" t="n">
        <v>75.09999999999999</v>
      </c>
      <c r="G6830" t="n">
        <v>181</v>
      </c>
      <c r="H6830" t="n">
        <v>2.9e-56</v>
      </c>
      <c r="I6830" t="inlineStr">
        <is>
          <t>TrEMBL</t>
        </is>
      </c>
      <c r="J6830" t="inlineStr">
        <is>
          <t>PDAP1</t>
        </is>
      </c>
      <c r="K6830" t="inlineStr">
        <is>
          <t>A0A6J3Q2K9_TURTR</t>
        </is>
      </c>
      <c r="L6830" t="inlineStr">
        <is>
          <t>tr|A0A6J3Q2K9|A0A6J3Q2K9_TURTR 28 kDa heat- and acid-stable phosphoprotein isoform X2 OS=Tursiops truncatus OX=9739 GN=PDAP1 PE=4 SV=1</t>
        </is>
      </c>
      <c r="M6830" t="n">
        <v>182</v>
      </c>
      <c r="N6830" t="inlineStr">
        <is>
          <t>Tursiops truncatus</t>
        </is>
      </c>
      <c r="O6830" t="inlineStr">
        <is>
          <t>28 kDa heat- and acid-stable phosphoprotein isoform X2</t>
        </is>
      </c>
    </row>
    <row r="6831">
      <c r="A6831" t="inlineStr"/>
      <c r="B6831" t="inlineStr"/>
      <c r="C6831" t="inlineStr"/>
      <c r="D6831" t="inlineStr"/>
      <c r="E6831">
        <f>HYPERLINK("https://www.uniprot.org/uniprotkb/A0A484GZP7/entry", "A0A484GZP7")</f>
        <v/>
      </c>
      <c r="F6831" t="n">
        <v>75.09999999999999</v>
      </c>
      <c r="G6831" t="n">
        <v>181</v>
      </c>
      <c r="H6831" t="n">
        <v>2.9e-56</v>
      </c>
      <c r="I6831" t="inlineStr">
        <is>
          <t>TrEMBL</t>
        </is>
      </c>
      <c r="J6831" t="inlineStr">
        <is>
          <t>DBR06_SOUSAS9810061</t>
        </is>
      </c>
      <c r="K6831" t="inlineStr">
        <is>
          <t>A0A484GZP7_SOUCH</t>
        </is>
      </c>
      <c r="L6831" t="inlineStr">
        <is>
          <t>tr|A0A484GZP7|A0A484GZP7_SOUCH PP28 domain-containing protein OS=Sousa chinensis OX=103600 GN=DBR06_SOUSAS9810061 PE=4 SV=1</t>
        </is>
      </c>
      <c r="M6831" t="n">
        <v>182</v>
      </c>
      <c r="N6831" t="inlineStr">
        <is>
          <t>Sousa chinensis</t>
        </is>
      </c>
      <c r="O6831" t="inlineStr">
        <is>
          <t>PP28 domain-containing protein</t>
        </is>
      </c>
    </row>
    <row r="6832">
      <c r="A6832" t="inlineStr"/>
      <c r="B6832" t="inlineStr"/>
      <c r="C6832" t="inlineStr"/>
      <c r="D6832" t="inlineStr"/>
      <c r="E6832">
        <f>HYPERLINK("https://www.uniprot.org/uniprotkb/A0A341BEP9/entry", "A0A341BEP9")</f>
        <v/>
      </c>
      <c r="F6832" t="n">
        <v>75.09999999999999</v>
      </c>
      <c r="G6832" t="n">
        <v>181</v>
      </c>
      <c r="H6832" t="n">
        <v>2.9e-56</v>
      </c>
      <c r="I6832" t="inlineStr">
        <is>
          <t>TrEMBL</t>
        </is>
      </c>
      <c r="J6832" t="inlineStr">
        <is>
          <t>PDAP1</t>
        </is>
      </c>
      <c r="K6832" t="inlineStr">
        <is>
          <t>A0A341BEP9_NEOAA</t>
        </is>
      </c>
      <c r="L6832" t="inlineStr">
        <is>
          <t>tr|A0A341BEP9|A0A341BEP9_NEOAA 28 kDa heat- and acid-stable phosphoprotein isoform X2 OS=Neophocaena asiaeorientalis asiaeorientalis OX=1706337 GN=PDAP1 PE=4 SV=1</t>
        </is>
      </c>
      <c r="M6832" t="n">
        <v>182</v>
      </c>
      <c r="N6832" t="inlineStr">
        <is>
          <t>Neophocaena asiaeorientalis asiaeorientalis</t>
        </is>
      </c>
      <c r="O6832" t="inlineStr">
        <is>
          <t>28 kDa heat- and acid-stable phosphoprotein isoform X2</t>
        </is>
      </c>
    </row>
    <row r="6833">
      <c r="A6833" t="inlineStr"/>
      <c r="B6833" t="inlineStr"/>
      <c r="C6833" t="inlineStr"/>
      <c r="D6833" t="inlineStr"/>
      <c r="E6833">
        <f>HYPERLINK("https://www.uniprot.org/uniprotkb/A0A2Y9PDY5/entry", "A0A2Y9PDY5")</f>
        <v/>
      </c>
      <c r="F6833" t="n">
        <v>75.09999999999999</v>
      </c>
      <c r="G6833" t="n">
        <v>181</v>
      </c>
      <c r="H6833" t="n">
        <v>2.9e-56</v>
      </c>
      <c r="I6833" t="inlineStr">
        <is>
          <t>TrEMBL</t>
        </is>
      </c>
      <c r="J6833" t="inlineStr">
        <is>
          <t>PDAP1</t>
        </is>
      </c>
      <c r="K6833" t="inlineStr">
        <is>
          <t>A0A2Y9PDY5_DELLE</t>
        </is>
      </c>
      <c r="L6833" t="inlineStr">
        <is>
          <t>tr|A0A2Y9PDY5|A0A2Y9PDY5_DELLE 28 kDa heat- and acid-stable phosphoprotein OS=Delphinapterus leucas OX=9749 GN=PDAP1 PE=4 SV=1</t>
        </is>
      </c>
      <c r="M6833" t="n">
        <v>182</v>
      </c>
      <c r="N6833" t="inlineStr">
        <is>
          <t>Delphinapterus leucas</t>
        </is>
      </c>
      <c r="O6833" t="inlineStr">
        <is>
          <t>28 kDa heat- and acid-stable phosphoprotein</t>
        </is>
      </c>
    </row>
    <row r="6834">
      <c r="A6834" t="inlineStr"/>
      <c r="B6834" t="inlineStr"/>
      <c r="C6834" t="inlineStr"/>
      <c r="D6834" t="inlineStr"/>
      <c r="E6834">
        <f>HYPERLINK("https://www.uniprot.org/uniprotkb/A0A151N282/entry", "A0A151N282")</f>
        <v/>
      </c>
      <c r="F6834" t="n">
        <v>73.90000000000001</v>
      </c>
      <c r="G6834" t="n">
        <v>180</v>
      </c>
      <c r="H6834" t="n">
        <v>5.66e-56</v>
      </c>
      <c r="I6834" t="inlineStr">
        <is>
          <t>TrEMBL</t>
        </is>
      </c>
      <c r="J6834" t="inlineStr">
        <is>
          <t>PDAP1</t>
        </is>
      </c>
      <c r="K6834" t="inlineStr">
        <is>
          <t>A0A151N282_ALLMI</t>
        </is>
      </c>
      <c r="L6834" t="inlineStr">
        <is>
          <t>tr|A0A151N282|A0A151N282_ALLMI Heat-and acid-stable phosphoprotein OS=Alligator mississippiensis OX=8496 GN=PDAP1 PE=4 SV=1</t>
        </is>
      </c>
      <c r="M6834" t="n">
        <v>181</v>
      </c>
      <c r="N6834" t="inlineStr">
        <is>
          <t>Alligator mississippiensis</t>
        </is>
      </c>
      <c r="O6834" t="inlineStr">
        <is>
          <t>Heat-and acid-stable phosphoprotein</t>
        </is>
      </c>
    </row>
    <row r="6835">
      <c r="A6835" t="inlineStr"/>
      <c r="B6835" t="inlineStr"/>
      <c r="C6835" t="inlineStr"/>
      <c r="D6835" t="inlineStr"/>
      <c r="E6835">
        <f>HYPERLINK("https://www.uniprot.org/uniprotkb/Q556U5/entry", "Q556U5")</f>
        <v/>
      </c>
      <c r="F6835" t="n">
        <v>44.9</v>
      </c>
      <c r="G6835" t="n">
        <v>69</v>
      </c>
      <c r="H6835" t="n">
        <v>1.23e-06</v>
      </c>
      <c r="I6835" t="inlineStr">
        <is>
          <t>Swiss-Prot</t>
        </is>
      </c>
      <c r="J6835" t="inlineStr">
        <is>
          <t>DDB_G0273095</t>
        </is>
      </c>
      <c r="K6835" t="inlineStr">
        <is>
          <t>HAP28_DICDI</t>
        </is>
      </c>
      <c r="L6835" t="inlineStr">
        <is>
          <t>sp|Q556U5|HAP28_DICDI 28 kDa heat- and acid-stable phosphoprotein homolog OS=Dictyostelium discoideum OX=44689 GN=DDB_G0273095 PE=3 SV=1</t>
        </is>
      </c>
      <c r="M6835" t="n">
        <v>208</v>
      </c>
      <c r="N6835" t="inlineStr">
        <is>
          <t>Dictyostelium discoideum</t>
        </is>
      </c>
      <c r="O6835" t="inlineStr">
        <is>
          <t>28 kDa heat- and acid-stable phosphoprotein homolog</t>
        </is>
      </c>
    </row>
    <row r="6836">
      <c r="A6836" t="inlineStr">
        <is>
          <t>NODE_43767_length_3253_cov_886.967671_g4027_i2</t>
        </is>
      </c>
      <c r="B6836" t="inlineStr">
        <is>
          <t>bombina_pachypus_blastx</t>
        </is>
      </c>
      <c r="C6836" t="n">
        <v>2.13837974648065</v>
      </c>
      <c r="D6836" t="n">
        <v>2.04210457677848e-06</v>
      </c>
      <c r="E6836">
        <f>HYPERLINK("https://www.uniprot.org/uniprotkb/Q6XXY3/entry", "Q6XXY3")</f>
        <v/>
      </c>
      <c r="F6836" t="n">
        <v>59.5</v>
      </c>
      <c r="G6836" t="n">
        <v>343</v>
      </c>
      <c r="H6836" t="n">
        <v>1.29e-137</v>
      </c>
      <c r="I6836" t="inlineStr">
        <is>
          <t>TrEMBL</t>
        </is>
      </c>
      <c r="J6836" t="inlineStr">
        <is>
          <t>mhc1-uaa</t>
        </is>
      </c>
      <c r="K6836" t="inlineStr">
        <is>
          <t>Q6XXY3_XENTR</t>
        </is>
      </c>
      <c r="L6836" t="inlineStr">
        <is>
          <t>tr|Q6XXY3|Q6XXY3_XENTR MHC class I antigen OS=Xenopus tropicalis OX=8364 GN=mhc1-uaa PE=2 SV=1</t>
        </is>
      </c>
      <c r="M6836" t="n">
        <v>350</v>
      </c>
      <c r="N6836" t="inlineStr">
        <is>
          <t>Xenopus tropicalis</t>
        </is>
      </c>
      <c r="O6836" t="inlineStr">
        <is>
          <t>MHC class I antigen</t>
        </is>
      </c>
    </row>
    <row r="6837">
      <c r="A6837" t="inlineStr"/>
      <c r="B6837" t="inlineStr"/>
      <c r="C6837" t="inlineStr"/>
      <c r="D6837" t="inlineStr"/>
      <c r="E6837">
        <f>HYPERLINK("https://www.ncbi.nlm.nih.gov/gene/?term=NP_001106536.1", "NP_001106536.1")</f>
        <v/>
      </c>
      <c r="F6837" t="n">
        <v>59.5</v>
      </c>
      <c r="G6837" t="n">
        <v>343</v>
      </c>
      <c r="H6837" t="n">
        <v>3.32e-137</v>
      </c>
      <c r="I6837" t="inlineStr">
        <is>
          <t>Nr</t>
        </is>
      </c>
      <c r="J6837" t="inlineStr"/>
      <c r="K6837" t="inlineStr"/>
      <c r="L6837" t="inlineStr">
        <is>
          <t>NP_001106536.1 major histocompatibility complex, class I, UA alpha chain (provisional) precursor [Xenopus tropicalis]</t>
        </is>
      </c>
      <c r="M6837" t="n">
        <v>350</v>
      </c>
      <c r="N6837" t="inlineStr">
        <is>
          <t>Xenopus tropicalis</t>
        </is>
      </c>
      <c r="O6837" t="inlineStr">
        <is>
          <t>major histocompatibility complex, class I, UA alpha chain (provisional) precursor</t>
        </is>
      </c>
    </row>
    <row r="6838">
      <c r="A6838" t="inlineStr"/>
      <c r="B6838" t="inlineStr"/>
      <c r="C6838" t="inlineStr"/>
      <c r="D6838" t="inlineStr"/>
      <c r="E6838">
        <f>HYPERLINK("https://www.uniprot.org/uniprotkb/Q8SNP6/entry", "Q8SNP6")</f>
        <v/>
      </c>
      <c r="F6838" t="n">
        <v>61.2</v>
      </c>
      <c r="G6838" t="n">
        <v>325</v>
      </c>
      <c r="H6838" t="n">
        <v>1.14e-136</v>
      </c>
      <c r="I6838" t="inlineStr">
        <is>
          <t>TrEMBL</t>
        </is>
      </c>
      <c r="J6838" t="inlineStr"/>
      <c r="K6838" t="inlineStr">
        <is>
          <t>Q8SNP6_XENRU</t>
        </is>
      </c>
      <c r="L6838" t="inlineStr">
        <is>
          <t>tr|Q8SNP6|Q8SNP6_XENRU MHC class Ia antigen (Fragment) OS=Xenopus ruwenzoriensis OX=105430 PE=2 SV=1</t>
        </is>
      </c>
      <c r="M6838" t="n">
        <v>332</v>
      </c>
      <c r="N6838" t="inlineStr">
        <is>
          <t>Xenopus ruwenzoriensis</t>
        </is>
      </c>
      <c r="O6838" t="inlineStr">
        <is>
          <t>MHC class Ia antigen (Fragment)</t>
        </is>
      </c>
    </row>
    <row r="6839">
      <c r="A6839" t="inlineStr"/>
      <c r="B6839" t="inlineStr"/>
      <c r="C6839" t="inlineStr"/>
      <c r="D6839" t="inlineStr"/>
      <c r="E6839">
        <f>HYPERLINK("https://www.ncbi.nlm.nih.gov/gene/?term=AAM11628.1", "AAM11628.1")</f>
        <v/>
      </c>
      <c r="F6839" t="n">
        <v>61.2</v>
      </c>
      <c r="G6839" t="n">
        <v>325</v>
      </c>
      <c r="H6839" t="n">
        <v>2.92e-136</v>
      </c>
      <c r="I6839" t="inlineStr">
        <is>
          <t>Nr</t>
        </is>
      </c>
      <c r="J6839" t="inlineStr"/>
      <c r="K6839" t="inlineStr"/>
      <c r="L6839" t="inlineStr">
        <is>
          <t>AAM11628.1 MHC class Ia antigen, partial [Xenopus ruwenzoriensis]</t>
        </is>
      </c>
      <c r="M6839" t="n">
        <v>332</v>
      </c>
      <c r="N6839" t="inlineStr">
        <is>
          <t>Xenopus ruwenzoriensis</t>
        </is>
      </c>
      <c r="O6839" t="inlineStr">
        <is>
          <t>MHC class Ia antigen, partial</t>
        </is>
      </c>
    </row>
    <row r="6840">
      <c r="A6840" t="inlineStr"/>
      <c r="B6840" t="inlineStr"/>
      <c r="C6840" t="inlineStr"/>
      <c r="D6840" t="inlineStr"/>
      <c r="E6840">
        <f>HYPERLINK("https://www.uniprot.org/uniprotkb/F7D0L9/entry", "F7D0L9")</f>
        <v/>
      </c>
      <c r="F6840" t="n">
        <v>59.6</v>
      </c>
      <c r="G6840" t="n">
        <v>334</v>
      </c>
      <c r="H6840" t="n">
        <v>4.27e-136</v>
      </c>
      <c r="I6840" t="inlineStr">
        <is>
          <t>TrEMBL</t>
        </is>
      </c>
      <c r="J6840" t="inlineStr">
        <is>
          <t>mhc1a</t>
        </is>
      </c>
      <c r="K6840" t="inlineStr">
        <is>
          <t>F7D0L9_XENTR</t>
        </is>
      </c>
      <c r="L6840" t="inlineStr">
        <is>
          <t>tr|F7D0L9|F7D0L9_XENTR Major histocompatibility complex class I antigen OS=Xenopus tropicalis OX=8364 GN=mhc1a PE=3 SV=4</t>
        </is>
      </c>
      <c r="M6840" t="n">
        <v>350</v>
      </c>
      <c r="N6840" t="inlineStr">
        <is>
          <t>Xenopus tropicalis</t>
        </is>
      </c>
      <c r="O6840" t="inlineStr">
        <is>
          <t>Major histocompatibility complex class I antigen</t>
        </is>
      </c>
    </row>
    <row r="6841">
      <c r="A6841" t="inlineStr"/>
      <c r="B6841" t="inlineStr"/>
      <c r="C6841" t="inlineStr"/>
      <c r="D6841" t="inlineStr"/>
      <c r="E6841">
        <f>HYPERLINK("https://www.uniprot.org/uniprotkb/Q9TPA1/entry", "Q9TPA1")</f>
        <v/>
      </c>
      <c r="F6841" t="n">
        <v>57.7</v>
      </c>
      <c r="G6841" t="n">
        <v>333</v>
      </c>
      <c r="H6841" t="n">
        <v>1.26e-135</v>
      </c>
      <c r="I6841" t="inlineStr">
        <is>
          <t>TrEMBL</t>
        </is>
      </c>
      <c r="J6841" t="inlineStr"/>
      <c r="K6841" t="inlineStr">
        <is>
          <t>Q9TPA1_9PIPI</t>
        </is>
      </c>
      <c r="L6841" t="inlineStr">
        <is>
          <t>tr|Q9TPA1|Q9TPA1_9PIPI MHC class I antigen OS=Xenopus laevis/gilli OX=8359 PE=2 SV=1</t>
        </is>
      </c>
      <c r="M6841" t="n">
        <v>351</v>
      </c>
      <c r="N6841" t="inlineStr">
        <is>
          <t>Xenopus laevis/gilli</t>
        </is>
      </c>
      <c r="O6841" t="inlineStr">
        <is>
          <t>MHC class I antigen</t>
        </is>
      </c>
    </row>
    <row r="6842">
      <c r="A6842" t="inlineStr"/>
      <c r="B6842" t="inlineStr"/>
      <c r="C6842" t="inlineStr"/>
      <c r="D6842" t="inlineStr"/>
      <c r="E6842">
        <f>HYPERLINK("https://www.ncbi.nlm.nih.gov/gene/?term=AAF03407.1", "AAF03407.1")</f>
        <v/>
      </c>
      <c r="F6842" t="n">
        <v>57.7</v>
      </c>
      <c r="G6842" t="n">
        <v>333</v>
      </c>
      <c r="H6842" t="n">
        <v>3.24e-135</v>
      </c>
      <c r="I6842" t="inlineStr">
        <is>
          <t>Nr</t>
        </is>
      </c>
      <c r="J6842" t="inlineStr"/>
      <c r="K6842" t="inlineStr"/>
      <c r="L6842" t="inlineStr">
        <is>
          <t>AAF03407.1 MHC class I antigen [Xenopus laevis/gilli]</t>
        </is>
      </c>
      <c r="M6842" t="n">
        <v>351</v>
      </c>
      <c r="N6842" t="inlineStr">
        <is>
          <t>Xenopus laevis/gilli</t>
        </is>
      </c>
      <c r="O6842" t="inlineStr">
        <is>
          <t>MHC class I antigen</t>
        </is>
      </c>
    </row>
    <row r="6843">
      <c r="A6843" t="inlineStr"/>
      <c r="B6843" t="inlineStr"/>
      <c r="C6843" t="inlineStr"/>
      <c r="D6843" t="inlineStr"/>
      <c r="E6843">
        <f>HYPERLINK("https://www.uniprot.org/uniprotkb/Q6XXY4/entry", "Q6XXY4")</f>
        <v/>
      </c>
      <c r="F6843" t="n">
        <v>57.6</v>
      </c>
      <c r="G6843" t="n">
        <v>340</v>
      </c>
      <c r="H6843" t="n">
        <v>1.41e-134</v>
      </c>
      <c r="I6843" t="inlineStr">
        <is>
          <t>TrEMBL</t>
        </is>
      </c>
      <c r="J6843" t="inlineStr">
        <is>
          <t>mhc1a</t>
        </is>
      </c>
      <c r="K6843" t="inlineStr">
        <is>
          <t>Q6XXY4_XENTR</t>
        </is>
      </c>
      <c r="L6843" t="inlineStr">
        <is>
          <t>tr|Q6XXY4|Q6XXY4_XENTR MHC class I antigen OS=Xenopus tropicalis OX=8364 GN=mhc1a PE=2 SV=1</t>
        </is>
      </c>
      <c r="M6843" t="n">
        <v>350</v>
      </c>
      <c r="N6843" t="inlineStr">
        <is>
          <t>Xenopus tropicalis</t>
        </is>
      </c>
      <c r="O6843" t="inlineStr">
        <is>
          <t>MHC class I antigen</t>
        </is>
      </c>
    </row>
    <row r="6844">
      <c r="A6844" t="inlineStr"/>
      <c r="B6844" t="inlineStr"/>
      <c r="C6844" t="inlineStr"/>
      <c r="D6844" t="inlineStr"/>
      <c r="E6844">
        <f>HYPERLINK("https://www.uniprot.org/uniprotkb/B3DLK6/entry", "B3DLK6")</f>
        <v/>
      </c>
      <c r="F6844" t="n">
        <v>58.3</v>
      </c>
      <c r="G6844" t="n">
        <v>338</v>
      </c>
      <c r="H6844" t="n">
        <v>3.03e-134</v>
      </c>
      <c r="I6844" t="inlineStr">
        <is>
          <t>TrEMBL</t>
        </is>
      </c>
      <c r="J6844" t="inlineStr"/>
      <c r="K6844" t="inlineStr">
        <is>
          <t>B3DLK6_XENLA</t>
        </is>
      </c>
      <c r="L6844" t="inlineStr">
        <is>
          <t>tr|B3DLK6|B3DLK6_XENLA Ig-like domain-containing protein OS=Xenopus laevis OX=8355 PE=2 SV=1</t>
        </is>
      </c>
      <c r="M6844" t="n">
        <v>352</v>
      </c>
      <c r="N6844" t="inlineStr">
        <is>
          <t>Xenopus laevis</t>
        </is>
      </c>
      <c r="O6844" t="inlineStr">
        <is>
          <t>Ig-like domain-containing protein</t>
        </is>
      </c>
    </row>
    <row r="6845">
      <c r="A6845" t="inlineStr"/>
      <c r="B6845" t="inlineStr"/>
      <c r="C6845" t="inlineStr"/>
      <c r="D6845" t="inlineStr"/>
      <c r="E6845">
        <f>HYPERLINK("https://www.ncbi.nlm.nih.gov/gene/?term=NP_001106381.1", "NP_001106381.1")</f>
        <v/>
      </c>
      <c r="F6845" t="n">
        <v>57.6</v>
      </c>
      <c r="G6845" t="n">
        <v>340</v>
      </c>
      <c r="H6845" t="n">
        <v>3.61e-134</v>
      </c>
      <c r="I6845" t="inlineStr">
        <is>
          <t>Nr</t>
        </is>
      </c>
      <c r="J6845" t="inlineStr"/>
      <c r="K6845" t="inlineStr"/>
      <c r="L6845" t="inlineStr">
        <is>
          <t>NP_001106381.1 major histocompatibility complex class I antigen precursor [Xenopus tropicalis]</t>
        </is>
      </c>
      <c r="M6845" t="n">
        <v>350</v>
      </c>
      <c r="N6845" t="inlineStr">
        <is>
          <t>Xenopus tropicalis</t>
        </is>
      </c>
      <c r="O6845" t="inlineStr">
        <is>
          <t>major histocompatibility complex class I antigen precursor</t>
        </is>
      </c>
    </row>
    <row r="6846">
      <c r="A6846" t="inlineStr"/>
      <c r="B6846" t="inlineStr"/>
      <c r="C6846" t="inlineStr"/>
      <c r="D6846" t="inlineStr"/>
      <c r="E6846">
        <f>HYPERLINK("https://www.uniprot.org/uniprotkb/A2RV87/entry", "A2RV87")</f>
        <v/>
      </c>
      <c r="F6846" t="n">
        <v>58.3</v>
      </c>
      <c r="G6846" t="n">
        <v>338</v>
      </c>
      <c r="H6846" t="n">
        <v>4.27e-134</v>
      </c>
      <c r="I6846" t="inlineStr">
        <is>
          <t>TrEMBL</t>
        </is>
      </c>
      <c r="J6846" t="inlineStr"/>
      <c r="K6846" t="inlineStr">
        <is>
          <t>A2RV87_XENLA</t>
        </is>
      </c>
      <c r="L6846" t="inlineStr">
        <is>
          <t>tr|A2RV87|A2RV87_XENLA Ig-like domain-containing protein (Fragment) OS=Xenopus laevis OX=8355 PE=2 SV=1</t>
        </is>
      </c>
      <c r="M6846" t="n">
        <v>362</v>
      </c>
      <c r="N6846" t="inlineStr">
        <is>
          <t>Xenopus laevis</t>
        </is>
      </c>
      <c r="O6846" t="inlineStr">
        <is>
          <t>Ig-like domain-containing protein (Fragment)</t>
        </is>
      </c>
    </row>
    <row r="6847">
      <c r="A6847" t="inlineStr"/>
      <c r="B6847" t="inlineStr"/>
      <c r="C6847" t="inlineStr"/>
      <c r="D6847" t="inlineStr"/>
      <c r="E6847">
        <f>HYPERLINK("https://www.ncbi.nlm.nih.gov/gene/?term=XP_053329219.1", "XP_053329219.1")</f>
        <v/>
      </c>
      <c r="F6847" t="n">
        <v>57.7</v>
      </c>
      <c r="G6847" t="n">
        <v>343</v>
      </c>
      <c r="H6847" t="n">
        <v>5.14e-134</v>
      </c>
      <c r="I6847" t="inlineStr">
        <is>
          <t>Nr</t>
        </is>
      </c>
      <c r="J6847" t="inlineStr"/>
      <c r="K6847" t="inlineStr"/>
      <c r="L6847" t="inlineStr">
        <is>
          <t>XP_053329219.1 H-2 class I histocompatibility antigen, Q9 alpha chain-like [Spea bombifrons]</t>
        </is>
      </c>
      <c r="M6847" t="n">
        <v>340</v>
      </c>
      <c r="N6847" t="inlineStr">
        <is>
          <t>Spea bombifrons</t>
        </is>
      </c>
      <c r="O6847" t="inlineStr">
        <is>
          <t>H-2 class I histocompatibility antigen, Q9 alpha chain-like</t>
        </is>
      </c>
    </row>
    <row r="6848">
      <c r="A6848" t="inlineStr"/>
      <c r="B6848" t="inlineStr"/>
      <c r="C6848" t="inlineStr"/>
      <c r="D6848" t="inlineStr"/>
      <c r="E6848">
        <f>HYPERLINK("https://www.ncbi.nlm.nih.gov/gene/?term=AAI67483.1", "AAI67483.1")</f>
        <v/>
      </c>
      <c r="F6848" t="n">
        <v>58.3</v>
      </c>
      <c r="G6848" t="n">
        <v>338</v>
      </c>
      <c r="H6848" t="n">
        <v>7.779999999999999e-134</v>
      </c>
      <c r="I6848" t="inlineStr">
        <is>
          <t>Nr</t>
        </is>
      </c>
      <c r="J6848" t="inlineStr"/>
      <c r="K6848" t="inlineStr"/>
      <c r="L6848" t="inlineStr">
        <is>
          <t>AAI67483.1 Unknown (protein for MGC:179753) [Xenopus laevis]</t>
        </is>
      </c>
      <c r="M6848" t="n">
        <v>352</v>
      </c>
      <c r="N6848" t="inlineStr">
        <is>
          <t>Xenopus laevis</t>
        </is>
      </c>
      <c r="O6848" t="inlineStr">
        <is>
          <t>Unknown (protein for MGC:179753)</t>
        </is>
      </c>
    </row>
    <row r="6849">
      <c r="A6849" t="inlineStr"/>
      <c r="B6849" t="inlineStr"/>
      <c r="C6849" t="inlineStr"/>
      <c r="D6849" t="inlineStr"/>
      <c r="E6849">
        <f>HYPERLINK("https://www.uniprot.org/uniprotkb/B1WBI0/entry", "B1WBI0")</f>
        <v/>
      </c>
      <c r="F6849" t="n">
        <v>57.1</v>
      </c>
      <c r="G6849" t="n">
        <v>343</v>
      </c>
      <c r="H6849" t="n">
        <v>8.069999999999999e-134</v>
      </c>
      <c r="I6849" t="inlineStr">
        <is>
          <t>TrEMBL</t>
        </is>
      </c>
      <c r="J6849" t="inlineStr"/>
      <c r="K6849" t="inlineStr">
        <is>
          <t>B1WBI0_XENTR</t>
        </is>
      </c>
      <c r="L6849" t="inlineStr">
        <is>
          <t>tr|B1WBI0|B1WBI0_XENTR Ig-like domain-containing protein OS=Xenopus tropicalis OX=8364 PE=2 SV=1</t>
        </is>
      </c>
      <c r="M6849" t="n">
        <v>350</v>
      </c>
      <c r="N6849" t="inlineStr">
        <is>
          <t>Xenopus tropicalis</t>
        </is>
      </c>
      <c r="O6849" t="inlineStr">
        <is>
          <t>Ig-like domain-containing protein</t>
        </is>
      </c>
    </row>
    <row r="6850">
      <c r="A6850" t="inlineStr"/>
      <c r="B6850" t="inlineStr"/>
      <c r="C6850" t="inlineStr"/>
      <c r="D6850" t="inlineStr"/>
      <c r="E6850">
        <f>HYPERLINK("https://www.ncbi.nlm.nih.gov/gene/?term=AAI33227.1", "AAI33227.1")</f>
        <v/>
      </c>
      <c r="F6850" t="n">
        <v>58.3</v>
      </c>
      <c r="G6850" t="n">
        <v>338</v>
      </c>
      <c r="H6850" t="n">
        <v>1.1e-133</v>
      </c>
      <c r="I6850" t="inlineStr">
        <is>
          <t>Nr</t>
        </is>
      </c>
      <c r="J6850" t="inlineStr"/>
      <c r="K6850" t="inlineStr"/>
      <c r="L6850" t="inlineStr">
        <is>
          <t>AAI33227.1 Unknown (protein for IMAGE:6953911), partial [Xenopus laevis]</t>
        </is>
      </c>
      <c r="M6850" t="n">
        <v>362</v>
      </c>
      <c r="N6850" t="inlineStr">
        <is>
          <t>Xenopus laevis</t>
        </is>
      </c>
      <c r="O6850" t="inlineStr">
        <is>
          <t>Unknown (protein for IMAGE:6953911), partial</t>
        </is>
      </c>
    </row>
    <row r="6851">
      <c r="A6851" t="inlineStr"/>
      <c r="B6851" t="inlineStr"/>
      <c r="C6851" t="inlineStr"/>
      <c r="D6851" t="inlineStr"/>
      <c r="E6851">
        <f>HYPERLINK("https://www.uniprot.org/uniprotkb/A0A803JJ88/entry", "A0A803JJ88")</f>
        <v/>
      </c>
      <c r="F6851" t="n">
        <v>59.5</v>
      </c>
      <c r="G6851" t="n">
        <v>331</v>
      </c>
      <c r="H6851" t="n">
        <v>1.19e-133</v>
      </c>
      <c r="I6851" t="inlineStr">
        <is>
          <t>TrEMBL</t>
        </is>
      </c>
      <c r="J6851" t="inlineStr">
        <is>
          <t>mhc1a</t>
        </is>
      </c>
      <c r="K6851" t="inlineStr">
        <is>
          <t>A0A803JJ88_XENTR</t>
        </is>
      </c>
      <c r="L6851" t="inlineStr">
        <is>
          <t>tr|A0A803JJ88|A0A803JJ88_XENTR Major histocompatibility complex class I antigen OS=Xenopus tropicalis OX=8364 GN=mhc1a PE=3 SV=1</t>
        </is>
      </c>
      <c r="M6851" t="n">
        <v>341</v>
      </c>
      <c r="N6851" t="inlineStr">
        <is>
          <t>Xenopus tropicalis</t>
        </is>
      </c>
      <c r="O6851" t="inlineStr">
        <is>
          <t>Major histocompatibility complex class I antigen</t>
        </is>
      </c>
    </row>
    <row r="6852">
      <c r="A6852" t="inlineStr"/>
      <c r="B6852" t="inlineStr"/>
      <c r="C6852" t="inlineStr"/>
      <c r="D6852" t="inlineStr"/>
      <c r="E6852">
        <f>HYPERLINK("https://www.ncbi.nlm.nih.gov/gene/?term=NP_001135478.1", "NP_001135478.1")</f>
        <v/>
      </c>
      <c r="F6852" t="n">
        <v>57.1</v>
      </c>
      <c r="G6852" t="n">
        <v>343</v>
      </c>
      <c r="H6852" t="n">
        <v>2.07e-133</v>
      </c>
      <c r="I6852" t="inlineStr">
        <is>
          <t>Nr</t>
        </is>
      </c>
      <c r="J6852" t="inlineStr"/>
      <c r="K6852" t="inlineStr"/>
      <c r="L6852" t="inlineStr">
        <is>
          <t>NP_001135478.1 uncharacterized protein LOC100216014 precursor [Xenopus tropicalis]</t>
        </is>
      </c>
      <c r="M6852" t="n">
        <v>350</v>
      </c>
      <c r="N6852" t="inlineStr">
        <is>
          <t>Xenopus tropicalis</t>
        </is>
      </c>
      <c r="O6852" t="inlineStr">
        <is>
          <t>uncharacterized protein LOC100216014 precursor</t>
        </is>
      </c>
    </row>
    <row r="6853">
      <c r="A6853" t="inlineStr"/>
      <c r="B6853" t="inlineStr"/>
      <c r="C6853" t="inlineStr"/>
      <c r="D6853" t="inlineStr"/>
      <c r="E6853">
        <f>HYPERLINK("https://www.uniprot.org/uniprotkb/B7ZTS9/entry", "B7ZTS9")</f>
        <v/>
      </c>
      <c r="F6853" t="n">
        <v>57.4</v>
      </c>
      <c r="G6853" t="n">
        <v>343</v>
      </c>
      <c r="H6853" t="n">
        <v>3.26e-133</v>
      </c>
      <c r="I6853" t="inlineStr">
        <is>
          <t>TrEMBL</t>
        </is>
      </c>
      <c r="J6853" t="inlineStr"/>
      <c r="K6853" t="inlineStr">
        <is>
          <t>B7ZTS9_XENTR</t>
        </is>
      </c>
      <c r="L6853" t="inlineStr">
        <is>
          <t>tr|B7ZTS9|B7ZTS9_XENTR Ig-like domain-containing protein OS=Xenopus tropicalis OX=8364 PE=2 SV=1</t>
        </is>
      </c>
      <c r="M6853" t="n">
        <v>350</v>
      </c>
      <c r="N6853" t="inlineStr">
        <is>
          <t>Xenopus tropicalis</t>
        </is>
      </c>
      <c r="O6853" t="inlineStr">
        <is>
          <t>Ig-like domain-containing protein</t>
        </is>
      </c>
    </row>
    <row r="6854">
      <c r="A6854" t="inlineStr"/>
      <c r="B6854" t="inlineStr"/>
      <c r="C6854" t="inlineStr"/>
      <c r="D6854" t="inlineStr"/>
      <c r="E6854">
        <f>HYPERLINK("https://www.uniprot.org/uniprotkb/Q9TPA6/entry", "Q9TPA6")</f>
        <v/>
      </c>
      <c r="F6854" t="n">
        <v>58.2</v>
      </c>
      <c r="G6854" t="n">
        <v>337</v>
      </c>
      <c r="H6854" t="n">
        <v>7.03e-133</v>
      </c>
      <c r="I6854" t="inlineStr">
        <is>
          <t>TrEMBL</t>
        </is>
      </c>
      <c r="J6854" t="inlineStr"/>
      <c r="K6854" t="inlineStr">
        <is>
          <t>Q9TPA6_XENLA</t>
        </is>
      </c>
      <c r="L6854" t="inlineStr">
        <is>
          <t>tr|Q9TPA6|Q9TPA6_XENLA MHC class I antigen OS=Xenopus laevis OX=8355 PE=2 SV=1</t>
        </is>
      </c>
      <c r="M6854" t="n">
        <v>352</v>
      </c>
      <c r="N6854" t="inlineStr">
        <is>
          <t>Xenopus laevis</t>
        </is>
      </c>
      <c r="O6854" t="inlineStr">
        <is>
          <t>MHC class I antigen</t>
        </is>
      </c>
    </row>
    <row r="6855">
      <c r="A6855" t="inlineStr"/>
      <c r="B6855" t="inlineStr"/>
      <c r="C6855" t="inlineStr"/>
      <c r="D6855" t="inlineStr"/>
      <c r="E6855">
        <f>HYPERLINK("https://www.ncbi.nlm.nih.gov/gene/?term=NP_001136291.1", "NP_001136291.1")</f>
        <v/>
      </c>
      <c r="F6855" t="n">
        <v>57.4</v>
      </c>
      <c r="G6855" t="n">
        <v>343</v>
      </c>
      <c r="H6855" t="n">
        <v>8.390000000000001e-133</v>
      </c>
      <c r="I6855" t="inlineStr">
        <is>
          <t>Nr</t>
        </is>
      </c>
      <c r="J6855" t="inlineStr"/>
      <c r="K6855" t="inlineStr"/>
      <c r="L6855" t="inlineStr">
        <is>
          <t>NP_001136291.1 uncharacterized protein LOC100217322 precursor [Xenopus tropicalis]</t>
        </is>
      </c>
      <c r="M6855" t="n">
        <v>350</v>
      </c>
      <c r="N6855" t="inlineStr">
        <is>
          <t>Xenopus tropicalis</t>
        </is>
      </c>
      <c r="O6855" t="inlineStr">
        <is>
          <t>uncharacterized protein LOC100217322 precursor</t>
        </is>
      </c>
    </row>
    <row r="6856">
      <c r="A6856" t="inlineStr"/>
      <c r="B6856" t="inlineStr"/>
      <c r="C6856" t="inlineStr"/>
      <c r="D6856" t="inlineStr"/>
      <c r="E6856">
        <f>HYPERLINK("https://www.ncbi.nlm.nih.gov/gene/?term=XP_053329205.1", "XP_053329205.1")</f>
        <v/>
      </c>
      <c r="F6856" t="n">
        <v>59.1</v>
      </c>
      <c r="G6856" t="n">
        <v>342</v>
      </c>
      <c r="H6856" t="n">
        <v>1.57e-132</v>
      </c>
      <c r="I6856" t="inlineStr">
        <is>
          <t>Nr</t>
        </is>
      </c>
      <c r="J6856" t="inlineStr"/>
      <c r="K6856" t="inlineStr"/>
      <c r="L6856" t="inlineStr">
        <is>
          <t>XP_053329205.1 class I histocompatibility antigen, F10 alpha chain-like isoform X1 [Spea bombifrons]</t>
        </is>
      </c>
      <c r="M6856" t="n">
        <v>348</v>
      </c>
      <c r="N6856" t="inlineStr">
        <is>
          <t>Spea bombifrons</t>
        </is>
      </c>
      <c r="O6856" t="inlineStr">
        <is>
          <t>class I histocompatibility antigen, F10 alpha chain-like isoform X1</t>
        </is>
      </c>
    </row>
    <row r="6857">
      <c r="A6857" t="inlineStr"/>
      <c r="B6857" t="inlineStr"/>
      <c r="C6857" t="inlineStr"/>
      <c r="D6857" t="inlineStr"/>
      <c r="E6857">
        <f>HYPERLINK("https://www.ncbi.nlm.nih.gov/gene/?term=AAF03402.1", "AAF03402.1")</f>
        <v/>
      </c>
      <c r="F6857" t="n">
        <v>58.2</v>
      </c>
      <c r="G6857" t="n">
        <v>337</v>
      </c>
      <c r="H6857" t="n">
        <v>1.81e-132</v>
      </c>
      <c r="I6857" t="inlineStr">
        <is>
          <t>Nr</t>
        </is>
      </c>
      <c r="J6857" t="inlineStr"/>
      <c r="K6857" t="inlineStr"/>
      <c r="L6857" t="inlineStr">
        <is>
          <t>AAF03402.1 MHC class I antigen [Xenopus laevis]</t>
        </is>
      </c>
      <c r="M6857" t="n">
        <v>352</v>
      </c>
      <c r="N6857" t="inlineStr">
        <is>
          <t>Xenopus laevis</t>
        </is>
      </c>
      <c r="O6857" t="inlineStr">
        <is>
          <t>MHC class I antigen</t>
        </is>
      </c>
    </row>
    <row r="6858">
      <c r="A6858" t="inlineStr"/>
      <c r="B6858" t="inlineStr"/>
      <c r="C6858" t="inlineStr"/>
      <c r="D6858" t="inlineStr"/>
      <c r="E6858">
        <f>HYPERLINK("https://www.uniprot.org/uniprotkb/Q08546/entry", "Q08546")</f>
        <v/>
      </c>
      <c r="F6858" t="n">
        <v>58</v>
      </c>
      <c r="G6858" t="n">
        <v>338</v>
      </c>
      <c r="H6858" t="n">
        <v>2.01e-132</v>
      </c>
      <c r="I6858" t="inlineStr">
        <is>
          <t>TrEMBL</t>
        </is>
      </c>
      <c r="J6858" t="inlineStr"/>
      <c r="K6858" t="inlineStr">
        <is>
          <t>Q08546_XENLA</t>
        </is>
      </c>
      <c r="L6858" t="inlineStr">
        <is>
          <t>tr|Q08546|Q08546_XENLA MHC class I antigen OS=Xenopus laevis OX=8355 PE=2 SV=1</t>
        </is>
      </c>
      <c r="M6858" t="n">
        <v>352</v>
      </c>
      <c r="N6858" t="inlineStr">
        <is>
          <t>Xenopus laevis</t>
        </is>
      </c>
      <c r="O6858" t="inlineStr">
        <is>
          <t>MHC class I antigen</t>
        </is>
      </c>
    </row>
    <row r="6859">
      <c r="A6859" t="inlineStr"/>
      <c r="B6859" t="inlineStr"/>
      <c r="C6859" t="inlineStr"/>
      <c r="D6859" t="inlineStr"/>
      <c r="E6859">
        <f>HYPERLINK("https://www.ncbi.nlm.nih.gov/gene/?term=XP_053329210.1", "XP_053329210.1")</f>
        <v/>
      </c>
      <c r="F6859" t="n">
        <v>58</v>
      </c>
      <c r="G6859" t="n">
        <v>343</v>
      </c>
      <c r="H6859" t="n">
        <v>3.17e-132</v>
      </c>
      <c r="I6859" t="inlineStr">
        <is>
          <t>Nr</t>
        </is>
      </c>
      <c r="J6859" t="inlineStr"/>
      <c r="K6859" t="inlineStr"/>
      <c r="L6859" t="inlineStr">
        <is>
          <t>XP_053329210.1 class I histocompatibility antigen, F10 alpha chain-like [Spea bombifrons]</t>
        </is>
      </c>
      <c r="M6859" t="n">
        <v>348</v>
      </c>
      <c r="N6859" t="inlineStr">
        <is>
          <t>Spea bombifrons</t>
        </is>
      </c>
      <c r="O6859" t="inlineStr">
        <is>
          <t>class I histocompatibility antigen, F10 alpha chain-like</t>
        </is>
      </c>
    </row>
    <row r="6860">
      <c r="A6860" t="inlineStr"/>
      <c r="B6860" t="inlineStr"/>
      <c r="C6860" t="inlineStr"/>
      <c r="D6860" t="inlineStr"/>
      <c r="E6860">
        <f>HYPERLINK("https://www.ncbi.nlm.nih.gov/gene/?term=XP_053329209.1", "XP_053329209.1")</f>
        <v/>
      </c>
      <c r="F6860" t="n">
        <v>57.3</v>
      </c>
      <c r="G6860" t="n">
        <v>342</v>
      </c>
      <c r="H6860" t="n">
        <v>4.340000000000001e-132</v>
      </c>
      <c r="I6860" t="inlineStr">
        <is>
          <t>Nr</t>
        </is>
      </c>
      <c r="J6860" t="inlineStr"/>
      <c r="K6860" t="inlineStr"/>
      <c r="L6860" t="inlineStr">
        <is>
          <t>XP_053329209.1 class I histocompatibility antigen, F10 alpha chain-like isoform X4 [Spea bombifrons]</t>
        </is>
      </c>
      <c r="M6860" t="n">
        <v>347</v>
      </c>
      <c r="N6860" t="inlineStr">
        <is>
          <t>Spea bombifrons</t>
        </is>
      </c>
      <c r="O6860" t="inlineStr">
        <is>
          <t>class I histocompatibility antigen, F10 alpha chain-like isoform X4</t>
        </is>
      </c>
    </row>
    <row r="6861">
      <c r="A6861" t="inlineStr"/>
      <c r="B6861" t="inlineStr"/>
      <c r="C6861" t="inlineStr"/>
      <c r="D6861" t="inlineStr"/>
      <c r="E6861">
        <f>HYPERLINK("https://www.ncbi.nlm.nih.gov/gene/?term=XP_053329200.1", "XP_053329200.1")</f>
        <v/>
      </c>
      <c r="F6861" t="n">
        <v>58.5</v>
      </c>
      <c r="G6861" t="n">
        <v>342</v>
      </c>
      <c r="H6861" t="n">
        <v>4.49e-132</v>
      </c>
      <c r="I6861" t="inlineStr">
        <is>
          <t>Nr</t>
        </is>
      </c>
      <c r="J6861" t="inlineStr"/>
      <c r="K6861" t="inlineStr"/>
      <c r="L6861" t="inlineStr">
        <is>
          <t>XP_053329200.1 class I histocompatibility antigen, F10 alpha chain-like isoform X2 [Spea bombifrons]</t>
        </is>
      </c>
      <c r="M6861" t="n">
        <v>348</v>
      </c>
      <c r="N6861" t="inlineStr">
        <is>
          <t>Spea bombifrons</t>
        </is>
      </c>
      <c r="O6861" t="inlineStr">
        <is>
          <t>class I histocompatibility antigen, F10 alpha chain-like isoform X2</t>
        </is>
      </c>
    </row>
    <row r="6862">
      <c r="A6862" t="inlineStr"/>
      <c r="B6862" t="inlineStr"/>
      <c r="C6862" t="inlineStr"/>
      <c r="D6862" t="inlineStr"/>
      <c r="E6862">
        <f>HYPERLINK("https://www.ncbi.nlm.nih.gov/gene/?term=AAA16064.1", "AAA16064.1")</f>
        <v/>
      </c>
      <c r="F6862" t="n">
        <v>58</v>
      </c>
      <c r="G6862" t="n">
        <v>338</v>
      </c>
      <c r="H6862" t="n">
        <v>5.15e-132</v>
      </c>
      <c r="I6862" t="inlineStr">
        <is>
          <t>Nr</t>
        </is>
      </c>
      <c r="J6862" t="inlineStr"/>
      <c r="K6862" t="inlineStr"/>
      <c r="L6862" t="inlineStr">
        <is>
          <t>AAA16064.1 MHC class I antigen [Xenopus laevis]</t>
        </is>
      </c>
      <c r="M6862" t="n">
        <v>352</v>
      </c>
      <c r="N6862" t="inlineStr">
        <is>
          <t>Xenopus laevis</t>
        </is>
      </c>
      <c r="O6862" t="inlineStr">
        <is>
          <t>MHC class I antigen</t>
        </is>
      </c>
    </row>
    <row r="6863">
      <c r="A6863" t="inlineStr"/>
      <c r="B6863" t="inlineStr"/>
      <c r="C6863" t="inlineStr"/>
      <c r="D6863" t="inlineStr"/>
      <c r="E6863">
        <f>HYPERLINK("https://www.ncbi.nlm.nih.gov/gene/?term=XP_053329207.1", "XP_053329207.1")</f>
        <v/>
      </c>
      <c r="F6863" t="n">
        <v>58.8</v>
      </c>
      <c r="G6863" t="n">
        <v>342</v>
      </c>
      <c r="H6863" t="n">
        <v>6.37e-132</v>
      </c>
      <c r="I6863" t="inlineStr">
        <is>
          <t>Nr</t>
        </is>
      </c>
      <c r="J6863" t="inlineStr"/>
      <c r="K6863" t="inlineStr"/>
      <c r="L6863" t="inlineStr">
        <is>
          <t>XP_053329207.1 class I histocompatibility antigen, F10 alpha chain-like isoform X3 [Spea bombifrons]</t>
        </is>
      </c>
      <c r="M6863" t="n">
        <v>348</v>
      </c>
      <c r="N6863" t="inlineStr">
        <is>
          <t>Spea bombifrons</t>
        </is>
      </c>
      <c r="O6863" t="inlineStr">
        <is>
          <t>class I histocompatibility antigen, F10 alpha chain-like isoform X3</t>
        </is>
      </c>
    </row>
    <row r="6864">
      <c r="A6864" t="inlineStr"/>
      <c r="B6864" t="inlineStr"/>
      <c r="C6864" t="inlineStr"/>
      <c r="D6864" t="inlineStr"/>
      <c r="E6864">
        <f>HYPERLINK("https://www.uniprot.org/uniprotkb/Q9TPA2/entry", "Q9TPA2")</f>
        <v/>
      </c>
      <c r="F6864" t="n">
        <v>57.1</v>
      </c>
      <c r="G6864" t="n">
        <v>333</v>
      </c>
      <c r="H6864" t="n">
        <v>2.24e-131</v>
      </c>
      <c r="I6864" t="inlineStr">
        <is>
          <t>TrEMBL</t>
        </is>
      </c>
      <c r="J6864" t="inlineStr"/>
      <c r="K6864" t="inlineStr">
        <is>
          <t>Q9TPA2_9PIPI</t>
        </is>
      </c>
      <c r="L6864" t="inlineStr">
        <is>
          <t>tr|Q9TPA2|Q9TPA2_9PIPI MHC class I antigen OS=Xenopus laevis/gilli OX=8359 PE=2 SV=1</t>
        </is>
      </c>
      <c r="M6864" t="n">
        <v>351</v>
      </c>
      <c r="N6864" t="inlineStr">
        <is>
          <t>Xenopus laevis/gilli</t>
        </is>
      </c>
      <c r="O6864" t="inlineStr">
        <is>
          <t>MHC class I antigen</t>
        </is>
      </c>
    </row>
    <row r="6865">
      <c r="A6865" t="inlineStr"/>
      <c r="B6865" t="inlineStr"/>
      <c r="C6865" t="inlineStr"/>
      <c r="D6865" t="inlineStr"/>
      <c r="E6865">
        <f>HYPERLINK("https://www.ncbi.nlm.nih.gov/gene/?term=XP_053329206.1", "XP_053329206.1")</f>
        <v/>
      </c>
      <c r="F6865" t="n">
        <v>57.9</v>
      </c>
      <c r="G6865" t="n">
        <v>342</v>
      </c>
      <c r="H6865" t="n">
        <v>2.58e-131</v>
      </c>
      <c r="I6865" t="inlineStr">
        <is>
          <t>Nr</t>
        </is>
      </c>
      <c r="J6865" t="inlineStr"/>
      <c r="K6865" t="inlineStr"/>
      <c r="L6865" t="inlineStr">
        <is>
          <t>XP_053329206.1 class I histocompatibility antigen, F10 alpha chain-like isoform X2 [Spea bombifrons]</t>
        </is>
      </c>
      <c r="M6865" t="n">
        <v>348</v>
      </c>
      <c r="N6865" t="inlineStr">
        <is>
          <t>Spea bombifrons</t>
        </is>
      </c>
      <c r="O6865" t="inlineStr">
        <is>
          <t>class I histocompatibility antigen, F10 alpha chain-like isoform X2</t>
        </is>
      </c>
    </row>
    <row r="6866">
      <c r="A6866" t="inlineStr"/>
      <c r="B6866" t="inlineStr"/>
      <c r="C6866" t="inlineStr"/>
      <c r="D6866" t="inlineStr"/>
      <c r="E6866">
        <f>HYPERLINK("https://www.ncbi.nlm.nih.gov/gene/?term=AAF03406.1", "AAF03406.1")</f>
        <v/>
      </c>
      <c r="F6866" t="n">
        <v>57.1</v>
      </c>
      <c r="G6866" t="n">
        <v>333</v>
      </c>
      <c r="H6866" t="n">
        <v>5.75e-131</v>
      </c>
      <c r="I6866" t="inlineStr">
        <is>
          <t>Nr</t>
        </is>
      </c>
      <c r="J6866" t="inlineStr"/>
      <c r="K6866" t="inlineStr"/>
      <c r="L6866" t="inlineStr">
        <is>
          <t>AAF03406.1 MHC class I antigen [Xenopus laevis/gilli]</t>
        </is>
      </c>
      <c r="M6866" t="n">
        <v>351</v>
      </c>
      <c r="N6866" t="inlineStr">
        <is>
          <t>Xenopus laevis/gilli</t>
        </is>
      </c>
      <c r="O6866" t="inlineStr">
        <is>
          <t>MHC class I antigen</t>
        </is>
      </c>
    </row>
    <row r="6867">
      <c r="A6867" t="inlineStr"/>
      <c r="B6867" t="inlineStr"/>
      <c r="C6867" t="inlineStr"/>
      <c r="D6867" t="inlineStr"/>
      <c r="E6867">
        <f>HYPERLINK("https://www.ncbi.nlm.nih.gov/gene/?term=XP_053330084.1", "XP_053330084.1")</f>
        <v/>
      </c>
      <c r="F6867" t="n">
        <v>58.7</v>
      </c>
      <c r="G6867" t="n">
        <v>327</v>
      </c>
      <c r="H6867" t="n">
        <v>5.81e-131</v>
      </c>
      <c r="I6867" t="inlineStr">
        <is>
          <t>Nr</t>
        </is>
      </c>
      <c r="J6867" t="inlineStr"/>
      <c r="K6867" t="inlineStr"/>
      <c r="L6867" t="inlineStr">
        <is>
          <t>XP_053330084.1 H-2 class I histocompatibility antigen, Q9 alpha chain-like [Spea bombifrons]</t>
        </is>
      </c>
      <c r="M6867" t="n">
        <v>331</v>
      </c>
      <c r="N6867" t="inlineStr">
        <is>
          <t>Spea bombifrons</t>
        </is>
      </c>
      <c r="O6867" t="inlineStr">
        <is>
          <t>H-2 class I histocompatibility antigen, Q9 alpha chain-like</t>
        </is>
      </c>
    </row>
    <row r="6868">
      <c r="A6868" t="inlineStr"/>
      <c r="B6868" t="inlineStr"/>
      <c r="C6868" t="inlineStr"/>
      <c r="D6868" t="inlineStr"/>
      <c r="E6868">
        <f>HYPERLINK("https://www.uniprot.org/uniprotkb/Q4V826/entry", "Q4V826")</f>
        <v/>
      </c>
      <c r="F6868" t="n">
        <v>57.8</v>
      </c>
      <c r="G6868" t="n">
        <v>322</v>
      </c>
      <c r="H6868" t="n">
        <v>7.02e-131</v>
      </c>
      <c r="I6868" t="inlineStr">
        <is>
          <t>TrEMBL</t>
        </is>
      </c>
      <c r="J6868" t="inlineStr">
        <is>
          <t>LOC432122</t>
        </is>
      </c>
      <c r="K6868" t="inlineStr">
        <is>
          <t>Q4V826_XENLA</t>
        </is>
      </c>
      <c r="L6868" t="inlineStr">
        <is>
          <t>tr|Q4V826|Q4V826_XENLA LOC432122 protein (Fragment) OS=Xenopus laevis OX=8355 GN=LOC432122 PE=2 SV=1</t>
        </is>
      </c>
      <c r="M6868" t="n">
        <v>364</v>
      </c>
      <c r="N6868" t="inlineStr">
        <is>
          <t>Xenopus laevis</t>
        </is>
      </c>
      <c r="O6868" t="inlineStr">
        <is>
          <t>LOC432122 protein (Fragment)</t>
        </is>
      </c>
    </row>
    <row r="6869">
      <c r="A6869" t="inlineStr"/>
      <c r="B6869" t="inlineStr"/>
      <c r="C6869" t="inlineStr"/>
      <c r="D6869" t="inlineStr"/>
      <c r="E6869">
        <f>HYPERLINK("https://www.uniprot.org/uniprotkb/Q6INI1/entry", "Q6INI1")</f>
        <v/>
      </c>
      <c r="F6869" t="n">
        <v>57.8</v>
      </c>
      <c r="G6869" t="n">
        <v>322</v>
      </c>
      <c r="H6869" t="n">
        <v>7.02e-131</v>
      </c>
      <c r="I6869" t="inlineStr">
        <is>
          <t>TrEMBL</t>
        </is>
      </c>
      <c r="J6869" t="inlineStr">
        <is>
          <t>LOC432122</t>
        </is>
      </c>
      <c r="K6869" t="inlineStr">
        <is>
          <t>Q6INI1_XENLA</t>
        </is>
      </c>
      <c r="L6869" t="inlineStr">
        <is>
          <t>tr|Q6INI1|Q6INI1_XENLA LOC432122 protein (Fragment) OS=Xenopus laevis OX=8355 GN=LOC432122 PE=2 SV=1</t>
        </is>
      </c>
      <c r="M6869" t="n">
        <v>364</v>
      </c>
      <c r="N6869" t="inlineStr">
        <is>
          <t>Xenopus laevis</t>
        </is>
      </c>
      <c r="O6869" t="inlineStr">
        <is>
          <t>LOC432122 protein (Fragment)</t>
        </is>
      </c>
    </row>
    <row r="6870">
      <c r="A6870" t="inlineStr"/>
      <c r="B6870" t="inlineStr"/>
      <c r="C6870" t="inlineStr"/>
      <c r="D6870" t="inlineStr"/>
      <c r="E6870">
        <f>HYPERLINK("https://www.ncbi.nlm.nih.gov/gene/?term=AAH97587.1", "AAH97587.1")</f>
        <v/>
      </c>
      <c r="F6870" t="n">
        <v>57.8</v>
      </c>
      <c r="G6870" t="n">
        <v>322</v>
      </c>
      <c r="H6870" t="n">
        <v>1.8e-130</v>
      </c>
      <c r="I6870" t="inlineStr">
        <is>
          <t>Nr</t>
        </is>
      </c>
      <c r="J6870" t="inlineStr"/>
      <c r="K6870" t="inlineStr"/>
      <c r="L6870" t="inlineStr">
        <is>
          <t>AAH97587.1 LOC432122 protein, partial [Xenopus laevis]</t>
        </is>
      </c>
      <c r="M6870" t="n">
        <v>364</v>
      </c>
      <c r="N6870" t="inlineStr">
        <is>
          <t>Xenopus laevis</t>
        </is>
      </c>
      <c r="O6870" t="inlineStr">
        <is>
          <t>LOC432122 protein, partial</t>
        </is>
      </c>
    </row>
    <row r="6871">
      <c r="A6871" t="inlineStr"/>
      <c r="B6871" t="inlineStr"/>
      <c r="C6871" t="inlineStr"/>
      <c r="D6871" t="inlineStr"/>
      <c r="E6871">
        <f>HYPERLINK("https://www.ncbi.nlm.nih.gov/gene/?term=AAH72300.1", "AAH72300.1")</f>
        <v/>
      </c>
      <c r="F6871" t="n">
        <v>57.8</v>
      </c>
      <c r="G6871" t="n">
        <v>322</v>
      </c>
      <c r="H6871" t="n">
        <v>1.8e-130</v>
      </c>
      <c r="I6871" t="inlineStr">
        <is>
          <t>Nr</t>
        </is>
      </c>
      <c r="J6871" t="inlineStr"/>
      <c r="K6871" t="inlineStr"/>
      <c r="L6871" t="inlineStr">
        <is>
          <t>AAH72300.1 LOC432122 protein, partial [Xenopus laevis]</t>
        </is>
      </c>
      <c r="M6871" t="n">
        <v>364</v>
      </c>
      <c r="N6871" t="inlineStr">
        <is>
          <t>Xenopus laevis</t>
        </is>
      </c>
      <c r="O6871" t="inlineStr">
        <is>
          <t>LOC432122 protein, partial</t>
        </is>
      </c>
    </row>
    <row r="6872">
      <c r="A6872" t="inlineStr"/>
      <c r="B6872" t="inlineStr"/>
      <c r="C6872" t="inlineStr"/>
      <c r="D6872" t="inlineStr"/>
      <c r="E6872">
        <f>HYPERLINK("https://www.uniprot.org/uniprotkb/Q7T0R6/entry", "Q7T0R6")</f>
        <v/>
      </c>
      <c r="F6872" t="n">
        <v>56.8</v>
      </c>
      <c r="G6872" t="n">
        <v>338</v>
      </c>
      <c r="H6872" t="n">
        <v>1.88e-130</v>
      </c>
      <c r="I6872" t="inlineStr">
        <is>
          <t>TrEMBL</t>
        </is>
      </c>
      <c r="J6872" t="inlineStr">
        <is>
          <t>mhc1-uaa.L</t>
        </is>
      </c>
      <c r="K6872" t="inlineStr">
        <is>
          <t>Q7T0R6_XENLA</t>
        </is>
      </c>
      <c r="L6872" t="inlineStr">
        <is>
          <t>tr|Q7T0R6|Q7T0R6_XENLA MGC69053 protein OS=Xenopus laevis OX=8355 GN=mhc1-uaa.L PE=2 SV=1</t>
        </is>
      </c>
      <c r="M6872" t="n">
        <v>352</v>
      </c>
      <c r="N6872" t="inlineStr">
        <is>
          <t>Xenopus laevis</t>
        </is>
      </c>
      <c r="O6872" t="inlineStr">
        <is>
          <t>MGC69053 protein</t>
        </is>
      </c>
    </row>
    <row r="6873">
      <c r="A6873" t="inlineStr"/>
      <c r="B6873" t="inlineStr"/>
      <c r="C6873" t="inlineStr"/>
      <c r="D6873" t="inlineStr"/>
      <c r="E6873">
        <f>HYPERLINK("https://www.uniprot.org/uniprotkb/Q8SNP3/entry", "Q8SNP3")</f>
        <v/>
      </c>
      <c r="F6873" t="n">
        <v>58.5</v>
      </c>
      <c r="G6873" t="n">
        <v>325</v>
      </c>
      <c r="H6873" t="n">
        <v>1.91e-130</v>
      </c>
      <c r="I6873" t="inlineStr">
        <is>
          <t>TrEMBL</t>
        </is>
      </c>
      <c r="J6873" t="inlineStr"/>
      <c r="K6873" t="inlineStr">
        <is>
          <t>Q8SNP3_XENRU</t>
        </is>
      </c>
      <c r="L6873" t="inlineStr">
        <is>
          <t>tr|Q8SNP3|Q8SNP3_XENRU MHC class Ia antigen (Fragment) OS=Xenopus ruwenzoriensis OX=105430 PE=2 SV=1</t>
        </is>
      </c>
      <c r="M6873" t="n">
        <v>332</v>
      </c>
      <c r="N6873" t="inlineStr">
        <is>
          <t>Xenopus ruwenzoriensis</t>
        </is>
      </c>
      <c r="O6873" t="inlineStr">
        <is>
          <t>MHC class Ia antigen (Fragment)</t>
        </is>
      </c>
    </row>
    <row r="6874">
      <c r="A6874" t="inlineStr"/>
      <c r="B6874" t="inlineStr"/>
      <c r="C6874" t="inlineStr"/>
      <c r="D6874" t="inlineStr"/>
      <c r="E6874">
        <f>HYPERLINK("https://www.uniprot.org/uniprotkb/Q7SYT4/entry", "Q7SYT4")</f>
        <v/>
      </c>
      <c r="F6874" t="n">
        <v>56.6</v>
      </c>
      <c r="G6874" t="n">
        <v>343</v>
      </c>
      <c r="H6874" t="n">
        <v>3.76e-130</v>
      </c>
      <c r="I6874" t="inlineStr">
        <is>
          <t>TrEMBL</t>
        </is>
      </c>
      <c r="J6874" t="inlineStr">
        <is>
          <t>LOC398628</t>
        </is>
      </c>
      <c r="K6874" t="inlineStr">
        <is>
          <t>Q7SYT4_XENLA</t>
        </is>
      </c>
      <c r="L6874" t="inlineStr">
        <is>
          <t>tr|Q7SYT4|Q7SYT4_XENLA LOC398628 protein (Fragment) OS=Xenopus laevis OX=8355 GN=LOC398628 PE=2 SV=1</t>
        </is>
      </c>
      <c r="M6874" t="n">
        <v>362</v>
      </c>
      <c r="N6874" t="inlineStr">
        <is>
          <t>Xenopus laevis</t>
        </is>
      </c>
      <c r="O6874" t="inlineStr">
        <is>
          <t>LOC398628 protein (Fragment)</t>
        </is>
      </c>
    </row>
    <row r="6875">
      <c r="A6875" t="inlineStr"/>
      <c r="B6875" t="inlineStr"/>
      <c r="C6875" t="inlineStr"/>
      <c r="D6875" t="inlineStr"/>
      <c r="E6875">
        <f>HYPERLINK("https://www.ncbi.nlm.nih.gov/gene/?term=NP_001079871.1", "NP_001079871.1")</f>
        <v/>
      </c>
      <c r="F6875" t="n">
        <v>56.8</v>
      </c>
      <c r="G6875" t="n">
        <v>338</v>
      </c>
      <c r="H6875" t="n">
        <v>4.84e-130</v>
      </c>
      <c r="I6875" t="inlineStr">
        <is>
          <t>Nr</t>
        </is>
      </c>
      <c r="J6875" t="inlineStr"/>
      <c r="K6875" t="inlineStr"/>
      <c r="L6875" t="inlineStr">
        <is>
          <t>NP_001079871.1 major histocompatibility complex, class I, UA alpha chain L homeolog (provisional) precursor [Xenopus laevis]</t>
        </is>
      </c>
      <c r="M6875" t="n">
        <v>352</v>
      </c>
      <c r="N6875" t="inlineStr">
        <is>
          <t>Xenopus laevis</t>
        </is>
      </c>
      <c r="O6875" t="inlineStr">
        <is>
          <t>major histocompatibility complex, class I, UA alpha chain L homeolog (provisional) precursor</t>
        </is>
      </c>
    </row>
    <row r="6876">
      <c r="A6876" t="inlineStr"/>
      <c r="B6876" t="inlineStr"/>
      <c r="C6876" t="inlineStr"/>
      <c r="D6876" t="inlineStr"/>
      <c r="E6876">
        <f>HYPERLINK("https://www.ncbi.nlm.nih.gov/gene/?term=AAM11631.1", "AAM11631.1")</f>
        <v/>
      </c>
      <c r="F6876" t="n">
        <v>58.5</v>
      </c>
      <c r="G6876" t="n">
        <v>325</v>
      </c>
      <c r="H6876" t="n">
        <v>4.89e-130</v>
      </c>
      <c r="I6876" t="inlineStr">
        <is>
          <t>Nr</t>
        </is>
      </c>
      <c r="J6876" t="inlineStr"/>
      <c r="K6876" t="inlineStr"/>
      <c r="L6876" t="inlineStr">
        <is>
          <t>AAM11631.1 MHC class Ia antigen, partial [Xenopus ruwenzoriensis]</t>
        </is>
      </c>
      <c r="M6876" t="n">
        <v>332</v>
      </c>
      <c r="N6876" t="inlineStr">
        <is>
          <t>Xenopus ruwenzoriensis</t>
        </is>
      </c>
      <c r="O6876" t="inlineStr">
        <is>
          <t>MHC class Ia antigen, partial</t>
        </is>
      </c>
    </row>
    <row r="6877">
      <c r="A6877" t="inlineStr"/>
      <c r="B6877" t="inlineStr"/>
      <c r="C6877" t="inlineStr"/>
      <c r="D6877" t="inlineStr"/>
      <c r="E6877">
        <f>HYPERLINK("https://www.ncbi.nlm.nih.gov/gene/?term=AAH54274.1", "AAH54274.1")</f>
        <v/>
      </c>
      <c r="F6877" t="n">
        <v>56.6</v>
      </c>
      <c r="G6877" t="n">
        <v>343</v>
      </c>
      <c r="H6877" t="n">
        <v>9.65e-130</v>
      </c>
      <c r="I6877" t="inlineStr">
        <is>
          <t>Nr</t>
        </is>
      </c>
      <c r="J6877" t="inlineStr"/>
      <c r="K6877" t="inlineStr"/>
      <c r="L6877" t="inlineStr">
        <is>
          <t>AAH54274.1 LOC398628 protein, partial [Xenopus laevis]</t>
        </is>
      </c>
      <c r="M6877" t="n">
        <v>362</v>
      </c>
      <c r="N6877" t="inlineStr">
        <is>
          <t>Xenopus laevis</t>
        </is>
      </c>
      <c r="O6877" t="inlineStr">
        <is>
          <t>LOC398628 protein, partial</t>
        </is>
      </c>
    </row>
    <row r="6878">
      <c r="A6878" t="inlineStr"/>
      <c r="B6878" t="inlineStr"/>
      <c r="C6878" t="inlineStr"/>
      <c r="D6878" t="inlineStr"/>
      <c r="E6878">
        <f>HYPERLINK("https://www.uniprot.org/uniprotkb/Q6IP23/entry", "Q6IP23")</f>
        <v/>
      </c>
      <c r="F6878" t="n">
        <v>55.7</v>
      </c>
      <c r="G6878" t="n">
        <v>343</v>
      </c>
      <c r="H6878" t="n">
        <v>1.08e-129</v>
      </c>
      <c r="I6878" t="inlineStr">
        <is>
          <t>TrEMBL</t>
        </is>
      </c>
      <c r="J6878" t="inlineStr">
        <is>
          <t>LOC398628</t>
        </is>
      </c>
      <c r="K6878" t="inlineStr">
        <is>
          <t>Q6IP23_XENLA</t>
        </is>
      </c>
      <c r="L6878" t="inlineStr">
        <is>
          <t>tr|Q6IP23|Q6IP23_XENLA LOC398628 protein OS=Xenopus laevis OX=8355 GN=LOC398628 PE=2 SV=1</t>
        </is>
      </c>
      <c r="M6878" t="n">
        <v>352</v>
      </c>
      <c r="N6878" t="inlineStr">
        <is>
          <t>Xenopus laevis</t>
        </is>
      </c>
      <c r="O6878" t="inlineStr">
        <is>
          <t>LOC398628 protein</t>
        </is>
      </c>
    </row>
    <row r="6879">
      <c r="A6879" t="inlineStr"/>
      <c r="B6879" t="inlineStr"/>
      <c r="C6879" t="inlineStr"/>
      <c r="D6879" t="inlineStr"/>
      <c r="E6879">
        <f>HYPERLINK("https://www.uniprot.org/uniprotkb/Q0IHG6/entry", "Q0IHG6")</f>
        <v/>
      </c>
      <c r="F6879" t="n">
        <v>55.4</v>
      </c>
      <c r="G6879" t="n">
        <v>343</v>
      </c>
      <c r="H6879" t="n">
        <v>1.08e-129</v>
      </c>
      <c r="I6879" t="inlineStr">
        <is>
          <t>TrEMBL</t>
        </is>
      </c>
      <c r="J6879" t="inlineStr">
        <is>
          <t>mhc1a.L</t>
        </is>
      </c>
      <c r="K6879" t="inlineStr">
        <is>
          <t>Q0IHG6_XENLA</t>
        </is>
      </c>
      <c r="L6879" t="inlineStr">
        <is>
          <t>tr|Q0IHG6|Q0IHG6_XENLA MGC154362 protein OS=Xenopus laevis OX=8355 GN=mhc1a.L PE=2 SV=1</t>
        </is>
      </c>
      <c r="M6879" t="n">
        <v>352</v>
      </c>
      <c r="N6879" t="inlineStr">
        <is>
          <t>Xenopus laevis</t>
        </is>
      </c>
      <c r="O6879" t="inlineStr">
        <is>
          <t>MGC154362 protein</t>
        </is>
      </c>
    </row>
    <row r="6880">
      <c r="A6880" t="inlineStr"/>
      <c r="B6880" t="inlineStr"/>
      <c r="C6880" t="inlineStr"/>
      <c r="D6880" t="inlineStr"/>
      <c r="E6880">
        <f>HYPERLINK("https://www.ncbi.nlm.nih.gov/gene/?term=XP_053329199.1", "XP_053329199.1")</f>
        <v/>
      </c>
      <c r="F6880" t="n">
        <v>58.4</v>
      </c>
      <c r="G6880" t="n">
        <v>327</v>
      </c>
      <c r="H6880" t="n">
        <v>2.66e-129</v>
      </c>
      <c r="I6880" t="inlineStr">
        <is>
          <t>Nr</t>
        </is>
      </c>
      <c r="J6880" t="inlineStr"/>
      <c r="K6880" t="inlineStr"/>
      <c r="L6880" t="inlineStr">
        <is>
          <t>XP_053329199.1 class I histocompatibility antigen, F10 alpha chain-like isoform X1 [Spea bombifrons]</t>
        </is>
      </c>
      <c r="M6880" t="n">
        <v>361</v>
      </c>
      <c r="N6880" t="inlineStr">
        <is>
          <t>Spea bombifrons</t>
        </is>
      </c>
      <c r="O6880" t="inlineStr">
        <is>
          <t>class I histocompatibility antigen, F10 alpha chain-like isoform X1</t>
        </is>
      </c>
    </row>
    <row r="6881">
      <c r="A6881" t="inlineStr"/>
      <c r="B6881" t="inlineStr"/>
      <c r="C6881" t="inlineStr"/>
      <c r="D6881" t="inlineStr"/>
      <c r="E6881">
        <f>HYPERLINK("https://www.uniprot.org/uniprotkb/A1L2S4/entry", "A1L2S4")</f>
        <v/>
      </c>
      <c r="F6881" t="n">
        <v>55.4</v>
      </c>
      <c r="G6881" t="n">
        <v>343</v>
      </c>
      <c r="H6881" t="n">
        <v>6.8e-129</v>
      </c>
      <c r="I6881" t="inlineStr">
        <is>
          <t>TrEMBL</t>
        </is>
      </c>
      <c r="J6881" t="inlineStr">
        <is>
          <t>LOC100036936</t>
        </is>
      </c>
      <c r="K6881" t="inlineStr">
        <is>
          <t>A1L2S4_XENLA</t>
        </is>
      </c>
      <c r="L6881" t="inlineStr">
        <is>
          <t>tr|A1L2S4|A1L2S4_XENLA LOC100036936 protein (Fragment) OS=Xenopus laevis OX=8355 GN=LOC100036936 PE=2 SV=1</t>
        </is>
      </c>
      <c r="M6881" t="n">
        <v>365</v>
      </c>
      <c r="N6881" t="inlineStr">
        <is>
          <t>Xenopus laevis</t>
        </is>
      </c>
      <c r="O6881" t="inlineStr">
        <is>
          <t>LOC100036936 protein (Fragment)</t>
        </is>
      </c>
    </row>
    <row r="6882">
      <c r="A6882" t="inlineStr"/>
      <c r="B6882" t="inlineStr"/>
      <c r="C6882" t="inlineStr"/>
      <c r="D6882" t="inlineStr"/>
      <c r="E6882">
        <f>HYPERLINK("https://www.uniprot.org/uniprotkb/A1L2M3/entry", "A1L2M3")</f>
        <v/>
      </c>
      <c r="F6882" t="n">
        <v>56.3</v>
      </c>
      <c r="G6882" t="n">
        <v>343</v>
      </c>
      <c r="H6882" t="n">
        <v>1.65e-128</v>
      </c>
      <c r="I6882" t="inlineStr">
        <is>
          <t>TrEMBL</t>
        </is>
      </c>
      <c r="J6882" t="inlineStr">
        <is>
          <t>LOC100036891</t>
        </is>
      </c>
      <c r="K6882" t="inlineStr">
        <is>
          <t>A1L2M3_XENLA</t>
        </is>
      </c>
      <c r="L6882" t="inlineStr">
        <is>
          <t>tr|A1L2M3|A1L2M3_XENLA LOC100036891 protein OS=Xenopus laevis OX=8355 GN=LOC100036891 PE=2 SV=1</t>
        </is>
      </c>
      <c r="M6882" t="n">
        <v>350</v>
      </c>
      <c r="N6882" t="inlineStr">
        <is>
          <t>Xenopus laevis</t>
        </is>
      </c>
      <c r="O6882" t="inlineStr">
        <is>
          <t>LOC100036891 protein</t>
        </is>
      </c>
    </row>
    <row r="6883">
      <c r="A6883" t="inlineStr"/>
      <c r="B6883" t="inlineStr"/>
      <c r="C6883" t="inlineStr"/>
      <c r="D6883" t="inlineStr"/>
      <c r="E6883">
        <f>HYPERLINK("https://www.uniprot.org/uniprotkb/Q32N34/entry", "Q32N34")</f>
        <v/>
      </c>
      <c r="F6883" t="n">
        <v>57.6</v>
      </c>
      <c r="G6883" t="n">
        <v>321</v>
      </c>
      <c r="H6883" t="n">
        <v>2.52e-128</v>
      </c>
      <c r="I6883" t="inlineStr">
        <is>
          <t>TrEMBL</t>
        </is>
      </c>
      <c r="J6883" t="inlineStr">
        <is>
          <t>LOC432122</t>
        </is>
      </c>
      <c r="K6883" t="inlineStr">
        <is>
          <t>Q32N34_XENLA</t>
        </is>
      </c>
      <c r="L6883" t="inlineStr">
        <is>
          <t>tr|Q32N34|Q32N34_XENLA LOC432122 protein (Fragment) OS=Xenopus laevis OX=8355 GN=LOC432122 PE=2 SV=1</t>
        </is>
      </c>
      <c r="M6883" t="n">
        <v>342</v>
      </c>
      <c r="N6883" t="inlineStr">
        <is>
          <t>Xenopus laevis</t>
        </is>
      </c>
      <c r="O6883" t="inlineStr">
        <is>
          <t>LOC432122 protein (Fragment)</t>
        </is>
      </c>
    </row>
    <row r="6884">
      <c r="A6884" t="inlineStr"/>
      <c r="B6884" t="inlineStr"/>
      <c r="C6884" t="inlineStr"/>
      <c r="D6884" t="inlineStr"/>
      <c r="E6884">
        <f>HYPERLINK("https://www.uniprot.org/uniprotkb/Q4V802/entry", "Q4V802")</f>
        <v/>
      </c>
      <c r="F6884" t="n">
        <v>56.2</v>
      </c>
      <c r="G6884" t="n">
        <v>338</v>
      </c>
      <c r="H6884" t="n">
        <v>3.29e-128</v>
      </c>
      <c r="I6884" t="inlineStr">
        <is>
          <t>TrEMBL</t>
        </is>
      </c>
      <c r="J6884" t="inlineStr"/>
      <c r="K6884" t="inlineStr">
        <is>
          <t>Q4V802_XENLA</t>
        </is>
      </c>
      <c r="L6884" t="inlineStr">
        <is>
          <t>tr|Q4V802|Q4V802_XENLA Ig-like domain-containing protein (Fragment) OS=Xenopus laevis OX=8355 PE=2 SV=1</t>
        </is>
      </c>
      <c r="M6884" t="n">
        <v>360</v>
      </c>
      <c r="N6884" t="inlineStr">
        <is>
          <t>Xenopus laevis</t>
        </is>
      </c>
      <c r="O6884" t="inlineStr">
        <is>
          <t>Ig-like domain-containing protein (Fragment)</t>
        </is>
      </c>
    </row>
    <row r="6885">
      <c r="A6885" t="inlineStr"/>
      <c r="B6885" t="inlineStr"/>
      <c r="C6885" t="inlineStr"/>
      <c r="D6885" t="inlineStr"/>
      <c r="E6885">
        <f>HYPERLINK("https://www.uniprot.org/uniprotkb/Q9TPA7/entry", "Q9TPA7")</f>
        <v/>
      </c>
      <c r="F6885" t="n">
        <v>56.8</v>
      </c>
      <c r="G6885" t="n">
        <v>322</v>
      </c>
      <c r="H6885" t="n">
        <v>4.869999999999999e-128</v>
      </c>
      <c r="I6885" t="inlineStr">
        <is>
          <t>TrEMBL</t>
        </is>
      </c>
      <c r="J6885" t="inlineStr"/>
      <c r="K6885" t="inlineStr">
        <is>
          <t>Q9TPA7_XENLA</t>
        </is>
      </c>
      <c r="L6885" t="inlineStr">
        <is>
          <t>tr|Q9TPA7|Q9TPA7_XENLA MHC class I antigen OS=Xenopus laevis OX=8355 PE=1 SV=1</t>
        </is>
      </c>
      <c r="M6885" t="n">
        <v>351</v>
      </c>
      <c r="N6885" t="inlineStr">
        <is>
          <t>Xenopus laevis</t>
        </is>
      </c>
      <c r="O6885" t="inlineStr">
        <is>
          <t>MHC class I antigen</t>
        </is>
      </c>
    </row>
    <row r="6886">
      <c r="A6886" t="inlineStr"/>
      <c r="B6886" t="inlineStr"/>
      <c r="C6886" t="inlineStr"/>
      <c r="D6886" t="inlineStr"/>
      <c r="E6886">
        <f>HYPERLINK("https://www.uniprot.org/uniprotkb/P15979/entry", "P15979")</f>
        <v/>
      </c>
      <c r="F6886" t="n">
        <v>40.3</v>
      </c>
      <c r="G6886" t="n">
        <v>320</v>
      </c>
      <c r="H6886" t="n">
        <v>1.12e-77</v>
      </c>
      <c r="I6886" t="inlineStr">
        <is>
          <t>Swiss-Prot</t>
        </is>
      </c>
      <c r="J6886" t="inlineStr"/>
      <c r="K6886" t="inlineStr">
        <is>
          <t>HA1F_CHICK</t>
        </is>
      </c>
      <c r="L6886" t="inlineStr">
        <is>
          <t>sp|P15979|HA1F_CHICK Class I histocompatibility antigen, F10 alpha chain OS=Gallus gallus OX=9031 PE=1 SV=1</t>
        </is>
      </c>
      <c r="M6886" t="n">
        <v>345</v>
      </c>
      <c r="N6886" t="inlineStr">
        <is>
          <t>Gallus gallus</t>
        </is>
      </c>
      <c r="O6886" t="inlineStr">
        <is>
          <t>Class I histocompatibility antigen, F10 alpha chain</t>
        </is>
      </c>
    </row>
    <row r="6887">
      <c r="A6887" t="inlineStr"/>
      <c r="B6887" t="inlineStr"/>
      <c r="C6887" t="inlineStr"/>
      <c r="D6887" t="inlineStr"/>
      <c r="E6887">
        <f>HYPERLINK("https://www.uniprot.org/uniprotkb/P13753/entry", "P13753")</f>
        <v/>
      </c>
      <c r="F6887" t="n">
        <v>38.8</v>
      </c>
      <c r="G6887" t="n">
        <v>345</v>
      </c>
      <c r="H6887" t="n">
        <v>3.86e-71</v>
      </c>
      <c r="I6887" t="inlineStr">
        <is>
          <t>Swiss-Prot</t>
        </is>
      </c>
      <c r="J6887" t="inlineStr"/>
      <c r="K6887" t="inlineStr">
        <is>
          <t>HA1B_BOVIN</t>
        </is>
      </c>
      <c r="L6887" t="inlineStr">
        <is>
          <t>sp|P13753|HA1B_BOVIN BOLA class I histocompatibility antigen, alpha chain BL3-7 OS=Bos taurus OX=9913 PE=2 SV=1</t>
        </is>
      </c>
      <c r="M6887" t="n">
        <v>364</v>
      </c>
      <c r="N6887" t="inlineStr">
        <is>
          <t>Bos taurus</t>
        </is>
      </c>
      <c r="O6887" t="inlineStr">
        <is>
          <t>BOLA class I histocompatibility antigen, alpha chain BL3-7</t>
        </is>
      </c>
    </row>
    <row r="6888">
      <c r="A6888" t="inlineStr"/>
      <c r="B6888" t="inlineStr"/>
      <c r="C6888" t="inlineStr"/>
      <c r="D6888" t="inlineStr"/>
      <c r="E6888">
        <f>HYPERLINK("https://www.uniprot.org/uniprotkb/P30381/entry", "P30381")</f>
        <v/>
      </c>
      <c r="F6888" t="n">
        <v>37.4</v>
      </c>
      <c r="G6888" t="n">
        <v>345</v>
      </c>
      <c r="H6888" t="n">
        <v>3.12e-66</v>
      </c>
      <c r="I6888" t="inlineStr">
        <is>
          <t>Swiss-Prot</t>
        </is>
      </c>
      <c r="J6888" t="inlineStr"/>
      <c r="K6888" t="inlineStr">
        <is>
          <t>1B03_GORGO</t>
        </is>
      </c>
      <c r="L6888" t="inlineStr">
        <is>
          <t>sp|P30381|1B03_GORGO Class I histocompatibility antigen, Gogo-B*0103 alpha chain OS=Gorilla gorilla gorilla OX=9595 PE=2 SV=1</t>
        </is>
      </c>
      <c r="M6888" t="n">
        <v>362</v>
      </c>
      <c r="N6888" t="inlineStr">
        <is>
          <t>Gorilla gorilla gorilla</t>
        </is>
      </c>
      <c r="O6888" t="inlineStr">
        <is>
          <t>Class I histocompatibility antigen, Gogo-B*0103 alpha chain</t>
        </is>
      </c>
    </row>
    <row r="6889">
      <c r="A6889" t="inlineStr"/>
      <c r="B6889" t="inlineStr"/>
      <c r="C6889" t="inlineStr"/>
      <c r="D6889" t="inlineStr"/>
      <c r="E6889">
        <f>HYPERLINK("https://www.uniprot.org/uniprotkb/P30379/entry", "P30379")</f>
        <v/>
      </c>
      <c r="F6889" t="n">
        <v>37.1</v>
      </c>
      <c r="G6889" t="n">
        <v>345</v>
      </c>
      <c r="H6889" t="n">
        <v>6.200000000000001e-66</v>
      </c>
      <c r="I6889" t="inlineStr">
        <is>
          <t>Swiss-Prot</t>
        </is>
      </c>
      <c r="J6889" t="inlineStr"/>
      <c r="K6889" t="inlineStr">
        <is>
          <t>1B01_GORGO</t>
        </is>
      </c>
      <c r="L6889" t="inlineStr">
        <is>
          <t>sp|P30379|1B01_GORGO Class I histocompatibility antigen, Gogo-B*0101 alpha chain OS=Gorilla gorilla gorilla OX=9595 PE=2 SV=1</t>
        </is>
      </c>
      <c r="M6889" t="n">
        <v>362</v>
      </c>
      <c r="N6889" t="inlineStr">
        <is>
          <t>Gorilla gorilla gorilla</t>
        </is>
      </c>
      <c r="O6889" t="inlineStr">
        <is>
          <t>Class I histocompatibility antigen, Gogo-B*0101 alpha chain</t>
        </is>
      </c>
    </row>
    <row r="6890">
      <c r="A6890" t="inlineStr"/>
      <c r="B6890" t="inlineStr"/>
      <c r="C6890" t="inlineStr"/>
      <c r="D6890" t="inlineStr"/>
      <c r="E6890">
        <f>HYPERLINK("https://www.uniprot.org/uniprotkb/P04223/entry", "P04223")</f>
        <v/>
      </c>
      <c r="F6890" t="n">
        <v>41.6</v>
      </c>
      <c r="G6890" t="n">
        <v>298</v>
      </c>
      <c r="H6890" t="n">
        <v>2.11e-65</v>
      </c>
      <c r="I6890" t="inlineStr">
        <is>
          <t>Swiss-Prot</t>
        </is>
      </c>
      <c r="J6890" t="inlineStr">
        <is>
          <t>H2-K1</t>
        </is>
      </c>
      <c r="K6890" t="inlineStr">
        <is>
          <t>HA1K_MOUSE</t>
        </is>
      </c>
      <c r="L6890" t="inlineStr">
        <is>
          <t>sp|P04223|HA1K_MOUSE H-2 class I histocompatibility antigen, K-K alpha chain OS=Mus musculus OX=10090 GN=H2-K1 PE=1 SV=1</t>
        </is>
      </c>
      <c r="M6890" t="n">
        <v>369</v>
      </c>
      <c r="N6890" t="inlineStr">
        <is>
          <t>Mus musculus</t>
        </is>
      </c>
      <c r="O6890" t="inlineStr">
        <is>
          <t>H-2 class I histocompatibility antigen, K-K alpha chain</t>
        </is>
      </c>
    </row>
    <row r="6891">
      <c r="A6891" t="inlineStr"/>
      <c r="B6891" t="inlineStr"/>
      <c r="C6891" t="inlineStr"/>
      <c r="D6891" t="inlineStr"/>
      <c r="E6891">
        <f>HYPERLINK("https://www.uniprot.org/uniprotkb/P30380/entry", "P30380")</f>
        <v/>
      </c>
      <c r="F6891" t="n">
        <v>37.1</v>
      </c>
      <c r="G6891" t="n">
        <v>345</v>
      </c>
      <c r="H6891" t="n">
        <v>2.45e-65</v>
      </c>
      <c r="I6891" t="inlineStr">
        <is>
          <t>Swiss-Prot</t>
        </is>
      </c>
      <c r="J6891" t="inlineStr"/>
      <c r="K6891" t="inlineStr">
        <is>
          <t>1B02_GORGO</t>
        </is>
      </c>
      <c r="L6891" t="inlineStr">
        <is>
          <t>sp|P30380|1B02_GORGO Class I histocompatibility antigen, Gogo-B*0102 alpha chain OS=Gorilla gorilla gorilla OX=9595 PE=2 SV=1</t>
        </is>
      </c>
      <c r="M6891" t="n">
        <v>362</v>
      </c>
      <c r="N6891" t="inlineStr">
        <is>
          <t>Gorilla gorilla gorilla</t>
        </is>
      </c>
      <c r="O6891" t="inlineStr">
        <is>
          <t>Class I histocompatibility antigen, Gogo-B*0102 alpha chain</t>
        </is>
      </c>
    </row>
    <row r="6892">
      <c r="A6892" t="inlineStr"/>
      <c r="B6892" t="inlineStr"/>
      <c r="C6892" t="inlineStr"/>
      <c r="D6892" t="inlineStr"/>
      <c r="E6892">
        <f>HYPERLINK("https://www.uniprot.org/uniprotkb/P30515/entry", "P30515")</f>
        <v/>
      </c>
      <c r="F6892" t="n">
        <v>37.7</v>
      </c>
      <c r="G6892" t="n">
        <v>332</v>
      </c>
      <c r="H6892" t="n">
        <v>2.94e-64</v>
      </c>
      <c r="I6892" t="inlineStr">
        <is>
          <t>Swiss-Prot</t>
        </is>
      </c>
      <c r="J6892" t="inlineStr"/>
      <c r="K6892" t="inlineStr">
        <is>
          <t>1A01_SAGOE</t>
        </is>
      </c>
      <c r="L6892" t="inlineStr">
        <is>
          <t>sp|P30515|1A01_SAGOE Saoe class I histocompatibility antigen, A alpha chain OS=Saguinus oedipus OX=9490 PE=2 SV=1</t>
        </is>
      </c>
      <c r="M6892" t="n">
        <v>365</v>
      </c>
      <c r="N6892" t="inlineStr">
        <is>
          <t>Saguinus oedipus</t>
        </is>
      </c>
      <c r="O6892" t="inlineStr">
        <is>
          <t>Saoe class I histocompatibility antigen, A alpha chain</t>
        </is>
      </c>
    </row>
    <row r="6893">
      <c r="A6893" t="inlineStr"/>
      <c r="B6893" t="inlineStr"/>
      <c r="C6893" t="inlineStr"/>
      <c r="D6893" t="inlineStr"/>
      <c r="E6893">
        <f>HYPERLINK("https://www.uniprot.org/uniprotkb/P18466/entry", "P18466")</f>
        <v/>
      </c>
      <c r="F6893" t="n">
        <v>38</v>
      </c>
      <c r="G6893" t="n">
        <v>329</v>
      </c>
      <c r="H6893" t="n">
        <v>3.82e-64</v>
      </c>
      <c r="I6893" t="inlineStr">
        <is>
          <t>Swiss-Prot</t>
        </is>
      </c>
      <c r="J6893" t="inlineStr"/>
      <c r="K6893" t="inlineStr">
        <is>
          <t>HA19_CANLF</t>
        </is>
      </c>
      <c r="L6893" t="inlineStr">
        <is>
          <t>sp|P18466|HA19_CANLF DLA class I histocompatibility antigen, A9/A9 alpha chain OS=Canis lupus familiaris OX=9615 PE=2 SV=1</t>
        </is>
      </c>
      <c r="M6893" t="n">
        <v>362</v>
      </c>
      <c r="N6893" t="inlineStr">
        <is>
          <t>Canis lupus familiaris</t>
        </is>
      </c>
      <c r="O6893" t="inlineStr">
        <is>
          <t>DLA class I histocompatibility antigen, A9/A9 alpha chain</t>
        </is>
      </c>
    </row>
    <row r="6894">
      <c r="A6894" t="inlineStr"/>
      <c r="B6894" t="inlineStr"/>
      <c r="C6894" t="inlineStr"/>
      <c r="D6894" t="inlineStr"/>
      <c r="E6894">
        <f>HYPERLINK("https://www.uniprot.org/uniprotkb/P30385/entry", "P30385")</f>
        <v/>
      </c>
      <c r="F6894" t="n">
        <v>37.8</v>
      </c>
      <c r="G6894" t="n">
        <v>325</v>
      </c>
      <c r="H6894" t="n">
        <v>4.26e-64</v>
      </c>
      <c r="I6894" t="inlineStr">
        <is>
          <t>Swiss-Prot</t>
        </is>
      </c>
      <c r="J6894" t="inlineStr"/>
      <c r="K6894" t="inlineStr">
        <is>
          <t>1C02_GORGO</t>
        </is>
      </c>
      <c r="L6894" t="inlineStr">
        <is>
          <t>sp|P30385|1C02_GORGO Class I histocompatibility antigen, Gogo-C*0201 alpha chain OS=Gorilla gorilla gorilla OX=9595 PE=2 SV=1</t>
        </is>
      </c>
      <c r="M6894" t="n">
        <v>366</v>
      </c>
      <c r="N6894" t="inlineStr">
        <is>
          <t>Gorilla gorilla gorilla</t>
        </is>
      </c>
      <c r="O6894" t="inlineStr">
        <is>
          <t>Class I histocompatibility antigen, Gogo-C*0201 alpha chain</t>
        </is>
      </c>
    </row>
    <row r="6895">
      <c r="A6895" t="inlineStr"/>
      <c r="B6895" t="inlineStr"/>
      <c r="C6895" t="inlineStr"/>
      <c r="D6895" t="inlineStr"/>
      <c r="E6895">
        <f>HYPERLINK("https://www.uniprot.org/uniprotkb/P30387/entry", "P30387")</f>
        <v/>
      </c>
      <c r="F6895" t="n">
        <v>37.8</v>
      </c>
      <c r="G6895" t="n">
        <v>325</v>
      </c>
      <c r="H6895" t="n">
        <v>8.470000000000001e-64</v>
      </c>
      <c r="I6895" t="inlineStr">
        <is>
          <t>Swiss-Prot</t>
        </is>
      </c>
      <c r="J6895" t="inlineStr"/>
      <c r="K6895" t="inlineStr">
        <is>
          <t>1C04_GORGO</t>
        </is>
      </c>
      <c r="L6895" t="inlineStr">
        <is>
          <t>sp|P30387|1C04_GORGO Class I histocompatibility antigen, Gogo-C*0203 alpha chain OS=Gorilla gorilla gorilla OX=9595 PE=2 SV=1</t>
        </is>
      </c>
      <c r="M6895" t="n">
        <v>366</v>
      </c>
      <c r="N6895" t="inlineStr">
        <is>
          <t>Gorilla gorilla gorilla</t>
        </is>
      </c>
      <c r="O6895" t="inlineStr">
        <is>
          <t>Class I histocompatibility antigen, Gogo-C*0203 alpha chain</t>
        </is>
      </c>
    </row>
    <row r="6896">
      <c r="A6896" t="inlineStr"/>
      <c r="B6896" t="inlineStr"/>
      <c r="C6896" t="inlineStr"/>
      <c r="D6896" t="inlineStr"/>
      <c r="E6896">
        <f>HYPERLINK("https://www.uniprot.org/uniprotkb/P14426/entry", "P14426")</f>
        <v/>
      </c>
      <c r="F6896" t="n">
        <v>38.3</v>
      </c>
      <c r="G6896" t="n">
        <v>332</v>
      </c>
      <c r="H6896" t="n">
        <v>1.07e-63</v>
      </c>
      <c r="I6896" t="inlineStr">
        <is>
          <t>Swiss-Prot</t>
        </is>
      </c>
      <c r="J6896" t="inlineStr">
        <is>
          <t>H2-D1</t>
        </is>
      </c>
      <c r="K6896" t="inlineStr">
        <is>
          <t>HA13_MOUSE</t>
        </is>
      </c>
      <c r="L6896" t="inlineStr">
        <is>
          <t>sp|P14426|HA13_MOUSE H-2 class I histocompatibility antigen, D-K alpha chain OS=Mus musculus OX=10090 GN=H2-D1 PE=1 SV=1</t>
        </is>
      </c>
      <c r="M6896" t="n">
        <v>362</v>
      </c>
      <c r="N6896" t="inlineStr">
        <is>
          <t>Mus musculus</t>
        </is>
      </c>
      <c r="O6896" t="inlineStr">
        <is>
          <t>H-2 class I histocompatibility antigen, D-K alpha chain</t>
        </is>
      </c>
    </row>
    <row r="6897">
      <c r="A6897" t="inlineStr"/>
      <c r="B6897" t="inlineStr"/>
      <c r="C6897" t="inlineStr"/>
      <c r="D6897" t="inlineStr"/>
      <c r="E6897">
        <f>HYPERLINK("https://www.uniprot.org/uniprotkb/P30517/entry", "P30517")</f>
        <v/>
      </c>
      <c r="F6897" t="n">
        <v>37.7</v>
      </c>
      <c r="G6897" t="n">
        <v>334</v>
      </c>
      <c r="H6897" t="n">
        <v>1.16e-63</v>
      </c>
      <c r="I6897" t="inlineStr">
        <is>
          <t>Swiss-Prot</t>
        </is>
      </c>
      <c r="J6897" t="inlineStr"/>
      <c r="K6897" t="inlineStr">
        <is>
          <t>1C01_SAGOE</t>
        </is>
      </c>
      <c r="L6897" t="inlineStr">
        <is>
          <t>sp|P30517|1C01_SAGOE Saoe class I histocompatibility antigen, C alpha chain OS=Saguinus oedipus OX=9490 PE=2 SV=1</t>
        </is>
      </c>
      <c r="M6897" t="n">
        <v>365</v>
      </c>
      <c r="N6897" t="inlineStr">
        <is>
          <t>Saguinus oedipus</t>
        </is>
      </c>
      <c r="O6897" t="inlineStr">
        <is>
          <t>Saoe class I histocompatibility antigen, C alpha chain</t>
        </is>
      </c>
    </row>
    <row r="6898">
      <c r="A6898" t="inlineStr"/>
      <c r="B6898" t="inlineStr"/>
      <c r="C6898" t="inlineStr"/>
      <c r="D6898" t="inlineStr"/>
      <c r="E6898">
        <f>HYPERLINK("https://www.uniprot.org/uniprotkb/P16210/entry", "P16210")</f>
        <v/>
      </c>
      <c r="F6898" t="n">
        <v>37.4</v>
      </c>
      <c r="G6898" t="n">
        <v>318</v>
      </c>
      <c r="H6898" t="n">
        <v>1.51e-63</v>
      </c>
      <c r="I6898" t="inlineStr">
        <is>
          <t>Swiss-Prot</t>
        </is>
      </c>
      <c r="J6898" t="inlineStr"/>
      <c r="K6898" t="inlineStr">
        <is>
          <t>1A02_PANTR</t>
        </is>
      </c>
      <c r="L6898" t="inlineStr">
        <is>
          <t>sp|P16210|1A02_PANTR Patr class I histocompatibility antigen, A-5 alpha chain OS=Pan troglodytes OX=9598 PE=2 SV=1</t>
        </is>
      </c>
      <c r="M6898" t="n">
        <v>362</v>
      </c>
      <c r="N6898" t="inlineStr">
        <is>
          <t>Pan troglodytes</t>
        </is>
      </c>
      <c r="O6898" t="inlineStr">
        <is>
          <t>Patr class I histocompatibility antigen, A-5 alpha chain</t>
        </is>
      </c>
    </row>
    <row r="6899">
      <c r="A6899" t="inlineStr"/>
      <c r="B6899" t="inlineStr"/>
      <c r="C6899" t="inlineStr"/>
      <c r="D6899" t="inlineStr"/>
      <c r="E6899">
        <f>HYPERLINK("https://www.uniprot.org/uniprotkb/P13751/entry", "P13751")</f>
        <v/>
      </c>
      <c r="F6899" t="n">
        <v>37.4</v>
      </c>
      <c r="G6899" t="n">
        <v>318</v>
      </c>
      <c r="H6899" t="n">
        <v>1.51e-63</v>
      </c>
      <c r="I6899" t="inlineStr">
        <is>
          <t>Swiss-Prot</t>
        </is>
      </c>
      <c r="J6899" t="inlineStr"/>
      <c r="K6899" t="inlineStr">
        <is>
          <t>1B02_PANTR</t>
        </is>
      </c>
      <c r="L6899" t="inlineStr">
        <is>
          <t>sp|P13751|1B02_PANTR Patr class I histocompatibility antigen, B-2 alpha chain OS=Pan troglodytes OX=9598 PE=2 SV=1</t>
        </is>
      </c>
      <c r="M6899" t="n">
        <v>362</v>
      </c>
      <c r="N6899" t="inlineStr">
        <is>
          <t>Pan troglodytes</t>
        </is>
      </c>
      <c r="O6899" t="inlineStr">
        <is>
          <t>Patr class I histocompatibility antigen, B-2 alpha chain</t>
        </is>
      </c>
    </row>
    <row r="6900">
      <c r="A6900" t="inlineStr"/>
      <c r="B6900" t="inlineStr"/>
      <c r="C6900" t="inlineStr"/>
      <c r="D6900" t="inlineStr"/>
      <c r="E6900">
        <f>HYPERLINK("https://www.uniprot.org/uniprotkb/C1ITJ8/entry", "C1ITJ8")</f>
        <v/>
      </c>
      <c r="F6900" t="n">
        <v>35.3</v>
      </c>
      <c r="G6900" t="n">
        <v>323</v>
      </c>
      <c r="H6900" t="n">
        <v>2.9e-63</v>
      </c>
      <c r="I6900" t="inlineStr">
        <is>
          <t>Swiss-Prot</t>
        </is>
      </c>
      <c r="J6900" t="inlineStr">
        <is>
          <t>MR1</t>
        </is>
      </c>
      <c r="K6900" t="inlineStr">
        <is>
          <t>HMR1_BOVIN</t>
        </is>
      </c>
      <c r="L6900" t="inlineStr">
        <is>
          <t>sp|C1ITJ8|HMR1_BOVIN Major histocompatibility complex class I-related gene protein OS=Bos taurus OX=9913 GN=MR1 PE=1 SV=1</t>
        </is>
      </c>
      <c r="M6900" t="n">
        <v>336</v>
      </c>
      <c r="N6900" t="inlineStr">
        <is>
          <t>Bos taurus</t>
        </is>
      </c>
      <c r="O6900" t="inlineStr">
        <is>
          <t>Major histocompatibility complex class I-related gene protein</t>
        </is>
      </c>
    </row>
    <row r="6901">
      <c r="A6901" t="inlineStr"/>
      <c r="B6901" t="inlineStr"/>
      <c r="C6901" t="inlineStr"/>
      <c r="D6901" t="inlineStr"/>
      <c r="E6901">
        <f>HYPERLINK("https://www.uniprot.org/uniprotkb/P01889/entry", "P01889")</f>
        <v/>
      </c>
      <c r="F6901" t="n">
        <v>37</v>
      </c>
      <c r="G6901" t="n">
        <v>330</v>
      </c>
      <c r="H6901" t="n">
        <v>5.95e-63</v>
      </c>
      <c r="I6901" t="inlineStr">
        <is>
          <t>Swiss-Prot</t>
        </is>
      </c>
      <c r="J6901" t="inlineStr">
        <is>
          <t>HLA-B</t>
        </is>
      </c>
      <c r="K6901" t="inlineStr">
        <is>
          <t>HLAB_HUMAN</t>
        </is>
      </c>
      <c r="L6901" t="inlineStr">
        <is>
          <t>sp|P01889|HLAB_HUMAN HLA class I histocompatibility antigen, B alpha chain OS=Homo sapiens OX=9606 GN=HLA-B PE=1 SV=3</t>
        </is>
      </c>
      <c r="M6901" t="n">
        <v>362</v>
      </c>
      <c r="N6901" t="inlineStr">
        <is>
          <t>Homo sapiens</t>
        </is>
      </c>
      <c r="O6901" t="inlineStr">
        <is>
          <t>HLA class I histocompatibility antigen, B alpha chain</t>
        </is>
      </c>
    </row>
    <row r="6902">
      <c r="A6902" t="inlineStr"/>
      <c r="B6902" t="inlineStr"/>
      <c r="C6902" t="inlineStr"/>
      <c r="D6902" t="inlineStr"/>
      <c r="E6902">
        <f>HYPERLINK("https://www.uniprot.org/uniprotkb/P01900/entry", "P01900")</f>
        <v/>
      </c>
      <c r="F6902" t="n">
        <v>37.8</v>
      </c>
      <c r="G6902" t="n">
        <v>333</v>
      </c>
      <c r="H6902" t="n">
        <v>1.28e-62</v>
      </c>
      <c r="I6902" t="inlineStr">
        <is>
          <t>Swiss-Prot</t>
        </is>
      </c>
      <c r="J6902" t="inlineStr">
        <is>
          <t>H2-D1</t>
        </is>
      </c>
      <c r="K6902" t="inlineStr">
        <is>
          <t>HA12_MOUSE</t>
        </is>
      </c>
      <c r="L6902" t="inlineStr">
        <is>
          <t>sp|P01900|HA12_MOUSE H-2 class I histocompatibility antigen, D-D alpha chain OS=Mus musculus OX=10090 GN=H2-D1 PE=1 SV=1</t>
        </is>
      </c>
      <c r="M6902" t="n">
        <v>365</v>
      </c>
      <c r="N6902" t="inlineStr">
        <is>
          <t>Mus musculus</t>
        </is>
      </c>
      <c r="O6902" t="inlineStr">
        <is>
          <t>H-2 class I histocompatibility antigen, D-D alpha chain</t>
        </is>
      </c>
    </row>
    <row r="6903">
      <c r="A6903" t="inlineStr"/>
      <c r="B6903" t="inlineStr"/>
      <c r="C6903" t="inlineStr"/>
      <c r="D6903" t="inlineStr"/>
      <c r="E6903">
        <f>HYPERLINK("https://www.uniprot.org/uniprotkb/P14429/entry", "P14429")</f>
        <v/>
      </c>
      <c r="F6903" t="n">
        <v>40.3</v>
      </c>
      <c r="G6903" t="n">
        <v>278</v>
      </c>
      <c r="H6903" t="n">
        <v>1.53e-62</v>
      </c>
      <c r="I6903" t="inlineStr">
        <is>
          <t>Swiss-Prot</t>
        </is>
      </c>
      <c r="J6903" t="inlineStr">
        <is>
          <t>H2-Q7</t>
        </is>
      </c>
      <c r="K6903" t="inlineStr">
        <is>
          <t>HA17_MOUSE</t>
        </is>
      </c>
      <c r="L6903" t="inlineStr">
        <is>
          <t>sp|P14429|HA17_MOUSE H-2 class I histocompatibility antigen, Q7 alpha chain OS=Mus musculus OX=10090 GN=H2-Q7 PE=1 SV=1</t>
        </is>
      </c>
      <c r="M6903" t="n">
        <v>334</v>
      </c>
      <c r="N6903" t="inlineStr">
        <is>
          <t>Mus musculus</t>
        </is>
      </c>
      <c r="O6903" t="inlineStr">
        <is>
          <t>H-2 class I histocompatibility antigen, Q7 alpha chain</t>
        </is>
      </c>
    </row>
    <row r="6904">
      <c r="A6904" t="inlineStr"/>
      <c r="B6904" t="inlineStr"/>
      <c r="C6904" t="inlineStr"/>
      <c r="D6904" t="inlineStr"/>
      <c r="E6904">
        <f>HYPERLINK("https://www.uniprot.org/uniprotkb/P01894/entry", "P01894")</f>
        <v/>
      </c>
      <c r="F6904" t="n">
        <v>38.9</v>
      </c>
      <c r="G6904" t="n">
        <v>332</v>
      </c>
      <c r="H6904" t="n">
        <v>1.62e-62</v>
      </c>
      <c r="I6904" t="inlineStr">
        <is>
          <t>Swiss-Prot</t>
        </is>
      </c>
      <c r="J6904" t="inlineStr"/>
      <c r="K6904" t="inlineStr">
        <is>
          <t>HA1A_RABIT</t>
        </is>
      </c>
      <c r="L6904" t="inlineStr">
        <is>
          <t>sp|P01894|HA1A_RABIT RLA class I histocompatibility antigen, alpha chain 11/11 OS=Oryctolagus cuniculus OX=9986 PE=2 SV=1</t>
        </is>
      </c>
      <c r="M6904" t="n">
        <v>361</v>
      </c>
      <c r="N6904" t="inlineStr">
        <is>
          <t>Oryctolagus cuniculus</t>
        </is>
      </c>
      <c r="O6904" t="inlineStr">
        <is>
          <t>RLA class I histocompatibility antigen, alpha chain 11/11</t>
        </is>
      </c>
    </row>
    <row r="6905">
      <c r="A6905" t="inlineStr"/>
      <c r="B6905" t="inlineStr"/>
      <c r="C6905" t="inlineStr"/>
      <c r="D6905" t="inlineStr"/>
      <c r="E6905">
        <f>HYPERLINK("https://www.uniprot.org/uniprotkb/P06140/entry", "P06140")</f>
        <v/>
      </c>
      <c r="F6905" t="n">
        <v>38.9</v>
      </c>
      <c r="G6905" t="n">
        <v>332</v>
      </c>
      <c r="H6905" t="n">
        <v>1.62e-62</v>
      </c>
      <c r="I6905" t="inlineStr">
        <is>
          <t>Swiss-Prot</t>
        </is>
      </c>
      <c r="J6905" t="inlineStr"/>
      <c r="K6905" t="inlineStr">
        <is>
          <t>HA1B_RABIT</t>
        </is>
      </c>
      <c r="L6905" t="inlineStr">
        <is>
          <t>sp|P06140|HA1B_RABIT RLA class I histocompatibility antigen, alpha chain 19-1 OS=Oryctolagus cuniculus OX=9986 PE=1 SV=1</t>
        </is>
      </c>
      <c r="M6905" t="n">
        <v>361</v>
      </c>
      <c r="N6905" t="inlineStr">
        <is>
          <t>Oryctolagus cuniculus</t>
        </is>
      </c>
      <c r="O6905" t="inlineStr">
        <is>
          <t>RLA class I histocompatibility antigen, alpha chain 19-1</t>
        </is>
      </c>
    </row>
    <row r="6906">
      <c r="A6906" t="inlineStr"/>
      <c r="B6906" t="inlineStr"/>
      <c r="C6906" t="inlineStr"/>
      <c r="D6906" t="inlineStr"/>
      <c r="E6906">
        <f>HYPERLINK("https://www.uniprot.org/uniprotkb/P16212/entry", "P16212")</f>
        <v/>
      </c>
      <c r="F6906" t="n">
        <v>38</v>
      </c>
      <c r="G6906" t="n">
        <v>334</v>
      </c>
      <c r="H6906" t="n">
        <v>2.16e-62</v>
      </c>
      <c r="I6906" t="inlineStr">
        <is>
          <t>Swiss-Prot</t>
        </is>
      </c>
      <c r="J6906" t="inlineStr">
        <is>
          <t>Popy-E</t>
        </is>
      </c>
      <c r="K6906" t="inlineStr">
        <is>
          <t>HLAE_PONPY</t>
        </is>
      </c>
      <c r="L6906" t="inlineStr">
        <is>
          <t>sp|P16212|HLAE_PONPY Popy class I histocompatibility antigen, alpha chain E (Fragment) OS=Pongo pygmaeus OX=9600 GN=Popy-E PE=2 SV=1</t>
        </is>
      </c>
      <c r="M6906" t="n">
        <v>359</v>
      </c>
      <c r="N6906" t="inlineStr">
        <is>
          <t>Pongo pygmaeus</t>
        </is>
      </c>
      <c r="O6906" t="inlineStr">
        <is>
          <t>Popy class I histocompatibility antigen, alpha chain E (Fragment)</t>
        </is>
      </c>
    </row>
    <row r="6907">
      <c r="A6907" t="inlineStr"/>
      <c r="B6907" t="inlineStr"/>
      <c r="C6907" t="inlineStr"/>
      <c r="D6907" t="inlineStr"/>
      <c r="E6907">
        <f>HYPERLINK("https://www.uniprot.org/uniprotkb/P30382/entry", "P30382")</f>
        <v/>
      </c>
      <c r="F6907" t="n">
        <v>37.8</v>
      </c>
      <c r="G6907" t="n">
        <v>299</v>
      </c>
      <c r="H6907" t="n">
        <v>3.4e-62</v>
      </c>
      <c r="I6907" t="inlineStr">
        <is>
          <t>Swiss-Prot</t>
        </is>
      </c>
      <c r="J6907" t="inlineStr"/>
      <c r="K6907" t="inlineStr">
        <is>
          <t>1B04_GORGO</t>
        </is>
      </c>
      <c r="L6907" t="inlineStr">
        <is>
          <t>sp|P30382|1B04_GORGO Class I histocompatibility antigen, Gogo-B*0201 alpha chain OS=Gorilla gorilla gorilla OX=9595 PE=2 SV=1</t>
        </is>
      </c>
      <c r="M6907" t="n">
        <v>363</v>
      </c>
      <c r="N6907" t="inlineStr">
        <is>
          <t>Gorilla gorilla gorilla</t>
        </is>
      </c>
      <c r="O6907" t="inlineStr">
        <is>
          <t>Class I histocompatibility antigen, Gogo-B*0201 alpha chain</t>
        </is>
      </c>
    </row>
    <row r="6908">
      <c r="A6908" t="inlineStr"/>
      <c r="B6908" t="inlineStr"/>
      <c r="C6908" t="inlineStr"/>
      <c r="D6908" t="inlineStr"/>
      <c r="E6908">
        <f>HYPERLINK("https://www.uniprot.org/uniprotkb/P16211/entry", "P16211")</f>
        <v/>
      </c>
      <c r="F6908" t="n">
        <v>36.6</v>
      </c>
      <c r="G6908" t="n">
        <v>347</v>
      </c>
      <c r="H6908" t="n">
        <v>3.58e-62</v>
      </c>
      <c r="I6908" t="inlineStr">
        <is>
          <t>Swiss-Prot</t>
        </is>
      </c>
      <c r="J6908" t="inlineStr"/>
      <c r="K6908" t="inlineStr">
        <is>
          <t>1A01_PONPY</t>
        </is>
      </c>
      <c r="L6908" t="inlineStr">
        <is>
          <t>sp|P16211|1A01_PONPY Popy Class I histocompatibility antigen, A-1 alpha chain OS=Pongo pygmaeus OX=9600 PE=2 SV=1</t>
        </is>
      </c>
      <c r="M6908" t="n">
        <v>365</v>
      </c>
      <c r="N6908" t="inlineStr">
        <is>
          <t>Pongo pygmaeus</t>
        </is>
      </c>
      <c r="O6908" t="inlineStr">
        <is>
          <t>Popy Class I histocompatibility antigen, A-1 alpha chain</t>
        </is>
      </c>
    </row>
    <row r="6909">
      <c r="A6909" t="inlineStr"/>
      <c r="B6909" t="inlineStr"/>
      <c r="C6909" t="inlineStr"/>
      <c r="D6909" t="inlineStr"/>
      <c r="E6909">
        <f>HYPERLINK("https://www.uniprot.org/uniprotkb/P01902/entry", "P01902")</f>
        <v/>
      </c>
      <c r="F6909" t="n">
        <v>37.8</v>
      </c>
      <c r="G6909" t="n">
        <v>341</v>
      </c>
      <c r="H6909" t="n">
        <v>3.89e-62</v>
      </c>
      <c r="I6909" t="inlineStr">
        <is>
          <t>Swiss-Prot</t>
        </is>
      </c>
      <c r="J6909" t="inlineStr">
        <is>
          <t>H2-K1</t>
        </is>
      </c>
      <c r="K6909" t="inlineStr">
        <is>
          <t>HA1D_MOUSE</t>
        </is>
      </c>
      <c r="L6909" t="inlineStr">
        <is>
          <t>sp|P01902|HA1D_MOUSE H-2 class I histocompatibility antigen, K-D alpha chain OS=Mus musculus OX=10090 GN=H2-K1 PE=1 SV=1</t>
        </is>
      </c>
      <c r="M6909" t="n">
        <v>368</v>
      </c>
      <c r="N6909" t="inlineStr">
        <is>
          <t>Mus musculus</t>
        </is>
      </c>
      <c r="O6909" t="inlineStr">
        <is>
          <t>H-2 class I histocompatibility antigen, K-D alpha chain</t>
        </is>
      </c>
    </row>
    <row r="6910">
      <c r="A6910" t="inlineStr"/>
      <c r="B6910" t="inlineStr"/>
      <c r="C6910" t="inlineStr"/>
      <c r="D6910" t="inlineStr"/>
      <c r="E6910">
        <f>HYPERLINK("https://www.uniprot.org/uniprotkb/P13752/entry", "P13752")</f>
        <v/>
      </c>
      <c r="F6910" t="n">
        <v>37.1</v>
      </c>
      <c r="G6910" t="n">
        <v>337</v>
      </c>
      <c r="H6910" t="n">
        <v>4.41e-62</v>
      </c>
      <c r="I6910" t="inlineStr">
        <is>
          <t>Swiss-Prot</t>
        </is>
      </c>
      <c r="J6910" t="inlineStr"/>
      <c r="K6910" t="inlineStr">
        <is>
          <t>HA1A_BOVIN</t>
        </is>
      </c>
      <c r="L6910" t="inlineStr">
        <is>
          <t>sp|P13752|HA1A_BOVIN BOLA class I histocompatibility antigen, alpha chain BL3-6 OS=Bos taurus OX=9913 PE=2 SV=1</t>
        </is>
      </c>
      <c r="M6910" t="n">
        <v>360</v>
      </c>
      <c r="N6910" t="inlineStr">
        <is>
          <t>Bos taurus</t>
        </is>
      </c>
      <c r="O6910" t="inlineStr">
        <is>
          <t>BOLA class I histocompatibility antigen, alpha chain BL3-6</t>
        </is>
      </c>
    </row>
    <row r="6911">
      <c r="A6911" t="inlineStr">
        <is>
          <t>NODE_45424_length_3182_cov_200.108507_g3891_i3</t>
        </is>
      </c>
      <c r="B6911" t="inlineStr">
        <is>
          <t>bombina_pachypus_blastx</t>
        </is>
      </c>
      <c r="C6911" t="n">
        <v>-6.8560228801849</v>
      </c>
      <c r="D6911" t="n">
        <v>0.0014868904385857</v>
      </c>
      <c r="E6911">
        <f>HYPERLINK("https://www.uniprot.org/uniprotkb/Q6GNT7/entry", "Q6GNT7")</f>
        <v/>
      </c>
      <c r="F6911" t="n">
        <v>69.09999999999999</v>
      </c>
      <c r="G6911" t="n">
        <v>246</v>
      </c>
      <c r="H6911" t="n">
        <v>8.88e-93</v>
      </c>
      <c r="I6911" t="inlineStr">
        <is>
          <t>Swiss-Prot</t>
        </is>
      </c>
      <c r="J6911" t="inlineStr">
        <is>
          <t>golga5</t>
        </is>
      </c>
      <c r="K6911" t="inlineStr">
        <is>
          <t>GOGA5_XENLA</t>
        </is>
      </c>
      <c r="L6911" t="inlineStr">
        <is>
          <t>sp|Q6GNT7|GOGA5_XENLA Golgin subfamily A member 5 OS=Xenopus laevis OX=8355 GN=golga5 PE=2 SV=1</t>
        </is>
      </c>
      <c r="M6911" t="n">
        <v>722</v>
      </c>
      <c r="N6911" t="inlineStr">
        <is>
          <t>Xenopus laevis</t>
        </is>
      </c>
      <c r="O6911" t="inlineStr">
        <is>
          <t>Golgin subfamily A member 5</t>
        </is>
      </c>
    </row>
    <row r="6912">
      <c r="A6912" t="inlineStr"/>
      <c r="B6912" t="inlineStr"/>
      <c r="C6912" t="inlineStr"/>
      <c r="D6912" t="inlineStr"/>
      <c r="E6912">
        <f>HYPERLINK("https://www.uniprot.org/uniprotkb/A0A1L8F0F9/entry", "A0A1L8F0F9")</f>
        <v/>
      </c>
      <c r="F6912" t="n">
        <v>69.09999999999999</v>
      </c>
      <c r="G6912" t="n">
        <v>246</v>
      </c>
      <c r="H6912" t="n">
        <v>2.28e-91</v>
      </c>
      <c r="I6912" t="inlineStr">
        <is>
          <t>TrEMBL</t>
        </is>
      </c>
      <c r="J6912" t="inlineStr">
        <is>
          <t>golga5.S</t>
        </is>
      </c>
      <c r="K6912" t="inlineStr">
        <is>
          <t>A0A1L8F0F9_XENLA</t>
        </is>
      </c>
      <c r="L6912" t="inlineStr">
        <is>
          <t>tr|A0A1L8F0F9|A0A1L8F0F9_XENLA Golgin subfamily A member 5 OS=Xenopus laevis OX=8355 GN=golga5.S PE=4 SV=1</t>
        </is>
      </c>
      <c r="M6912" t="n">
        <v>722</v>
      </c>
      <c r="N6912" t="inlineStr">
        <is>
          <t>Xenopus laevis</t>
        </is>
      </c>
      <c r="O6912" t="inlineStr">
        <is>
          <t>Golgin subfamily A member 5</t>
        </is>
      </c>
    </row>
    <row r="6913">
      <c r="A6913" t="inlineStr"/>
      <c r="B6913" t="inlineStr"/>
      <c r="C6913" t="inlineStr"/>
      <c r="D6913" t="inlineStr"/>
      <c r="E6913">
        <f>HYPERLINK("https://www.ncbi.nlm.nih.gov/gene/?term=XP_018087903.1", "XP_018087903.1")</f>
        <v/>
      </c>
      <c r="F6913" t="n">
        <v>69.09999999999999</v>
      </c>
      <c r="G6913" t="n">
        <v>246</v>
      </c>
      <c r="H6913" t="n">
        <v>5.859999999999999e-91</v>
      </c>
      <c r="I6913" t="inlineStr">
        <is>
          <t>Nr</t>
        </is>
      </c>
      <c r="J6913" t="inlineStr"/>
      <c r="K6913" t="inlineStr"/>
      <c r="L6913" t="inlineStr">
        <is>
          <t>XP_018087903.1 golgin subfamily A member 5-like [Xenopus laevis]</t>
        </is>
      </c>
      <c r="M6913" t="n">
        <v>722</v>
      </c>
      <c r="N6913" t="inlineStr">
        <is>
          <t>Xenopus laevis</t>
        </is>
      </c>
      <c r="O6913" t="inlineStr">
        <is>
          <t>golgin subfamily A member 5-like</t>
        </is>
      </c>
    </row>
    <row r="6914">
      <c r="A6914" t="inlineStr"/>
      <c r="B6914" t="inlineStr"/>
      <c r="C6914" t="inlineStr"/>
      <c r="D6914" t="inlineStr"/>
      <c r="E6914">
        <f>HYPERLINK("https://www.uniprot.org/uniprotkb/A0A6I8Q609/entry", "A0A6I8Q609")</f>
        <v/>
      </c>
      <c r="F6914" t="n">
        <v>75.2</v>
      </c>
      <c r="G6914" t="n">
        <v>246</v>
      </c>
      <c r="H6914" t="n">
        <v>5.88e-90</v>
      </c>
      <c r="I6914" t="inlineStr">
        <is>
          <t>TrEMBL</t>
        </is>
      </c>
      <c r="J6914" t="inlineStr">
        <is>
          <t>golga5</t>
        </is>
      </c>
      <c r="K6914" t="inlineStr">
        <is>
          <t>A0A6I8Q609_XENTR</t>
        </is>
      </c>
      <c r="L6914" t="inlineStr">
        <is>
          <t>tr|A0A6I8Q609|A0A6I8Q609_XENTR Golgin subfamily A member 5 OS=Xenopus tropicalis OX=8364 GN=golga5 PE=4 SV=2</t>
        </is>
      </c>
      <c r="M6914" t="n">
        <v>654</v>
      </c>
      <c r="N6914" t="inlineStr">
        <is>
          <t>Xenopus tropicalis</t>
        </is>
      </c>
      <c r="O6914" t="inlineStr">
        <is>
          <t>Golgin subfamily A member 5</t>
        </is>
      </c>
    </row>
    <row r="6915">
      <c r="A6915" t="inlineStr"/>
      <c r="B6915" t="inlineStr"/>
      <c r="C6915" t="inlineStr"/>
      <c r="D6915" t="inlineStr"/>
      <c r="E6915">
        <f>HYPERLINK("https://www.ncbi.nlm.nih.gov/gene/?term=NP_001085841.1", "NP_001085841.1")</f>
        <v/>
      </c>
      <c r="F6915" t="n">
        <v>69.09999999999999</v>
      </c>
      <c r="G6915" t="n">
        <v>246</v>
      </c>
      <c r="H6915" t="n">
        <v>8.96e-90</v>
      </c>
      <c r="I6915" t="inlineStr">
        <is>
          <t>Nr</t>
        </is>
      </c>
      <c r="J6915" t="inlineStr"/>
      <c r="K6915" t="inlineStr"/>
      <c r="L6915" t="inlineStr">
        <is>
          <t>NP_001085841.1 golgin subfamily A member 5 [Xenopus laevis]</t>
        </is>
      </c>
      <c r="M6915" t="n">
        <v>722</v>
      </c>
      <c r="N6915" t="inlineStr">
        <is>
          <t>Xenopus laevis</t>
        </is>
      </c>
      <c r="O6915" t="inlineStr">
        <is>
          <t>golgin subfamily A member 5</t>
        </is>
      </c>
    </row>
    <row r="6916">
      <c r="A6916" t="inlineStr"/>
      <c r="B6916" t="inlineStr"/>
      <c r="C6916" t="inlineStr"/>
      <c r="D6916" t="inlineStr"/>
      <c r="E6916">
        <f>HYPERLINK("https://www.ncbi.nlm.nih.gov/gene/?term=OCT68254.1", "OCT68254.1")</f>
        <v/>
      </c>
      <c r="F6916" t="n">
        <v>69.09999999999999</v>
      </c>
      <c r="G6916" t="n">
        <v>246</v>
      </c>
      <c r="H6916" t="n">
        <v>8.96e-90</v>
      </c>
      <c r="I6916" t="inlineStr">
        <is>
          <t>Nr</t>
        </is>
      </c>
      <c r="J6916" t="inlineStr"/>
      <c r="K6916" t="inlineStr"/>
      <c r="L6916" t="inlineStr">
        <is>
          <t>OCT68254.1 hypothetical protein XELAEV_18039552mg [Xenopus laevis]</t>
        </is>
      </c>
      <c r="M6916" t="n">
        <v>722</v>
      </c>
      <c r="N6916" t="inlineStr">
        <is>
          <t>Xenopus laevis</t>
        </is>
      </c>
      <c r="O6916" t="inlineStr">
        <is>
          <t>hypothetical protein XELAEV_18039552mg</t>
        </is>
      </c>
    </row>
    <row r="6917">
      <c r="A6917" t="inlineStr"/>
      <c r="B6917" t="inlineStr"/>
      <c r="C6917" t="inlineStr"/>
      <c r="D6917" t="inlineStr"/>
      <c r="E6917">
        <f>HYPERLINK("https://www.uniprot.org/uniprotkb/A0A8T2IEB0/entry", "A0A8T2IEB0")</f>
        <v/>
      </c>
      <c r="F6917" t="n">
        <v>79.3</v>
      </c>
      <c r="G6917" t="n">
        <v>246</v>
      </c>
      <c r="H6917" t="n">
        <v>1.42e-89</v>
      </c>
      <c r="I6917" t="inlineStr">
        <is>
          <t>TrEMBL</t>
        </is>
      </c>
      <c r="J6917" t="inlineStr">
        <is>
          <t>GDO86_017936</t>
        </is>
      </c>
      <c r="K6917" t="inlineStr">
        <is>
          <t>A0A8T2IEB0_9PIPI</t>
        </is>
      </c>
      <c r="L6917" t="inlineStr">
        <is>
          <t>tr|A0A8T2IEB0|A0A8T2IEB0_9PIPI Golgin subfamily A member 5 OS=Hymenochirus boettgeri OX=247094 GN=GDO86_017936 PE=4 SV=1</t>
        </is>
      </c>
      <c r="M6917" t="n">
        <v>724</v>
      </c>
      <c r="N6917" t="inlineStr">
        <is>
          <t>Hymenochirus boettgeri</t>
        </is>
      </c>
      <c r="O6917" t="inlineStr">
        <is>
          <t>Golgin subfamily A member 5</t>
        </is>
      </c>
    </row>
    <row r="6918">
      <c r="A6918" t="inlineStr"/>
      <c r="B6918" t="inlineStr"/>
      <c r="C6918" t="inlineStr"/>
      <c r="D6918" t="inlineStr"/>
      <c r="E6918">
        <f>HYPERLINK("https://www.uniprot.org/uniprotkb/B7ZTX8/entry", "B7ZTX8")</f>
        <v/>
      </c>
      <c r="F6918" t="n">
        <v>74.40000000000001</v>
      </c>
      <c r="G6918" t="n">
        <v>246</v>
      </c>
      <c r="H6918" t="n">
        <v>2.69e-89</v>
      </c>
      <c r="I6918" t="inlineStr">
        <is>
          <t>TrEMBL</t>
        </is>
      </c>
      <c r="J6918" t="inlineStr">
        <is>
          <t>golga5</t>
        </is>
      </c>
      <c r="K6918" t="inlineStr">
        <is>
          <t>B7ZTX8_XENTR</t>
        </is>
      </c>
      <c r="L6918" t="inlineStr">
        <is>
          <t>tr|B7ZTX8|B7ZTX8_XENTR Golgin subfamily A member 5 OS=Xenopus tropicalis OX=8364 GN=golga5 PE=2 SV=1</t>
        </is>
      </c>
      <c r="M6918" t="n">
        <v>722</v>
      </c>
      <c r="N6918" t="inlineStr">
        <is>
          <t>Xenopus tropicalis</t>
        </is>
      </c>
      <c r="O6918" t="inlineStr">
        <is>
          <t>Golgin subfamily A member 5</t>
        </is>
      </c>
    </row>
    <row r="6919">
      <c r="A6919" t="inlineStr"/>
      <c r="B6919" t="inlineStr"/>
      <c r="C6919" t="inlineStr"/>
      <c r="D6919" t="inlineStr"/>
      <c r="E6919">
        <f>HYPERLINK("https://www.uniprot.org/uniprotkb/B3DL98/entry", "B3DL98")</f>
        <v/>
      </c>
      <c r="F6919" t="n">
        <v>72.8</v>
      </c>
      <c r="G6919" t="n">
        <v>246</v>
      </c>
      <c r="H6919" t="n">
        <v>2.69e-89</v>
      </c>
      <c r="I6919" t="inlineStr">
        <is>
          <t>TrEMBL</t>
        </is>
      </c>
      <c r="J6919" t="inlineStr">
        <is>
          <t>LOC548986</t>
        </is>
      </c>
      <c r="K6919" t="inlineStr">
        <is>
          <t>B3DL98_XENTR</t>
        </is>
      </c>
      <c r="L6919" t="inlineStr">
        <is>
          <t>tr|B3DL98|B3DL98_XENTR Golgin subfamily A member 5 OS=Xenopus tropicalis OX=8364 GN=LOC548986 PE=2 SV=1</t>
        </is>
      </c>
      <c r="M6919" t="n">
        <v>722</v>
      </c>
      <c r="N6919" t="inlineStr">
        <is>
          <t>Xenopus tropicalis</t>
        </is>
      </c>
      <c r="O6919" t="inlineStr">
        <is>
          <t>Golgin subfamily A member 5</t>
        </is>
      </c>
    </row>
    <row r="6920">
      <c r="A6920" t="inlineStr"/>
      <c r="B6920" t="inlineStr"/>
      <c r="C6920" t="inlineStr"/>
      <c r="D6920" t="inlineStr"/>
      <c r="E6920">
        <f>HYPERLINK("https://www.ncbi.nlm.nih.gov/gene/?term=KAG8430351.1", "KAG8430351.1")</f>
        <v/>
      </c>
      <c r="F6920" t="n">
        <v>79.3</v>
      </c>
      <c r="G6920" t="n">
        <v>246</v>
      </c>
      <c r="H6920" t="n">
        <v>3.66e-89</v>
      </c>
      <c r="I6920" t="inlineStr">
        <is>
          <t>Nr</t>
        </is>
      </c>
      <c r="J6920" t="inlineStr"/>
      <c r="K6920" t="inlineStr"/>
      <c r="L6920" t="inlineStr">
        <is>
          <t>KAG8430351.1 hypothetical protein GDO86_017936 [Hymenochirus boettgeri]</t>
        </is>
      </c>
      <c r="M6920" t="n">
        <v>724</v>
      </c>
      <c r="N6920" t="inlineStr">
        <is>
          <t>Hymenochirus boettgeri</t>
        </is>
      </c>
      <c r="O6920" t="inlineStr">
        <is>
          <t>hypothetical protein GDO86_017936</t>
        </is>
      </c>
    </row>
    <row r="6921">
      <c r="A6921" t="inlineStr"/>
      <c r="B6921" t="inlineStr"/>
      <c r="C6921" t="inlineStr"/>
      <c r="D6921" t="inlineStr"/>
      <c r="E6921">
        <f>HYPERLINK("https://www.ncbi.nlm.nih.gov/gene/?term=NP_001016232.1", "NP_001016232.1")</f>
        <v/>
      </c>
      <c r="F6921" t="n">
        <v>74.40000000000001</v>
      </c>
      <c r="G6921" t="n">
        <v>246</v>
      </c>
      <c r="H6921" t="n">
        <v>6.919999999999999e-89</v>
      </c>
      <c r="I6921" t="inlineStr">
        <is>
          <t>Nr</t>
        </is>
      </c>
      <c r="J6921" t="inlineStr"/>
      <c r="K6921" t="inlineStr"/>
      <c r="L6921" t="inlineStr">
        <is>
          <t>NP_001016232.1 golgin subfamily A member 5 [Xenopus tropicalis]</t>
        </is>
      </c>
      <c r="M6921" t="n">
        <v>722</v>
      </c>
      <c r="N6921" t="inlineStr">
        <is>
          <t>Xenopus tropicalis</t>
        </is>
      </c>
      <c r="O6921" t="inlineStr">
        <is>
          <t>golgin subfamily A member 5</t>
        </is>
      </c>
    </row>
    <row r="6922">
      <c r="A6922" t="inlineStr"/>
      <c r="B6922" t="inlineStr"/>
      <c r="C6922" t="inlineStr"/>
      <c r="D6922" t="inlineStr"/>
      <c r="E6922">
        <f>HYPERLINK("https://www.ncbi.nlm.nih.gov/gene/?term=AAI67364.1", "AAI67364.1")</f>
        <v/>
      </c>
      <c r="F6922" t="n">
        <v>72.8</v>
      </c>
      <c r="G6922" t="n">
        <v>246</v>
      </c>
      <c r="H6922" t="n">
        <v>6.919999999999999e-89</v>
      </c>
      <c r="I6922" t="inlineStr">
        <is>
          <t>Nr</t>
        </is>
      </c>
      <c r="J6922" t="inlineStr"/>
      <c r="K6922" t="inlineStr"/>
      <c r="L6922" t="inlineStr">
        <is>
          <t>AAI67364.1 hypothetical protein LOC548986 [Xenopus tropicalis]</t>
        </is>
      </c>
      <c r="M6922" t="n">
        <v>722</v>
      </c>
      <c r="N6922" t="inlineStr">
        <is>
          <t>Xenopus tropicalis</t>
        </is>
      </c>
      <c r="O6922" t="inlineStr">
        <is>
          <t>hypothetical protein LOC548986</t>
        </is>
      </c>
    </row>
    <row r="6923">
      <c r="A6923" t="inlineStr"/>
      <c r="B6923" t="inlineStr"/>
      <c r="C6923" t="inlineStr"/>
      <c r="D6923" t="inlineStr"/>
      <c r="E6923">
        <f>HYPERLINK("https://www.ncbi.nlm.nih.gov/gene/?term=XP_040187886.1", "XP_040187886.1")</f>
        <v/>
      </c>
      <c r="F6923" t="n">
        <v>72.7</v>
      </c>
      <c r="G6923" t="n">
        <v>245</v>
      </c>
      <c r="H6923" t="n">
        <v>2.35e-86</v>
      </c>
      <c r="I6923" t="inlineStr">
        <is>
          <t>Nr</t>
        </is>
      </c>
      <c r="J6923" t="inlineStr"/>
      <c r="K6923" t="inlineStr"/>
      <c r="L6923" t="inlineStr">
        <is>
          <t>XP_040187886.1 golgin subfamily A member 5 [Rana temporaria]</t>
        </is>
      </c>
      <c r="M6923" t="n">
        <v>724</v>
      </c>
      <c r="N6923" t="inlineStr">
        <is>
          <t>Rana temporaria</t>
        </is>
      </c>
      <c r="O6923" t="inlineStr">
        <is>
          <t>golgin subfamily A member 5</t>
        </is>
      </c>
    </row>
    <row r="6924">
      <c r="A6924" t="inlineStr"/>
      <c r="B6924" t="inlineStr"/>
      <c r="C6924" t="inlineStr"/>
      <c r="D6924" t="inlineStr"/>
      <c r="E6924">
        <f>HYPERLINK("https://www.uniprot.org/uniprotkb/A0A8D0ETD2/entry", "A0A8D0ETD2")</f>
        <v/>
      </c>
      <c r="F6924" t="n">
        <v>76</v>
      </c>
      <c r="G6924" t="n">
        <v>246</v>
      </c>
      <c r="H6924" t="n">
        <v>2.39e-85</v>
      </c>
      <c r="I6924" t="inlineStr">
        <is>
          <t>TrEMBL</t>
        </is>
      </c>
      <c r="J6924" t="inlineStr"/>
      <c r="K6924" t="inlineStr">
        <is>
          <t>A0A8D0ETD2_STROC</t>
        </is>
      </c>
      <c r="L6924" t="inlineStr">
        <is>
          <t>tr|A0A8D0ETD2|A0A8D0ETD2_STROC Golgin subfamily A member 5 OS=Strix occidentalis caurina OX=311401 PE=4 SV=1</t>
        </is>
      </c>
      <c r="M6924" t="n">
        <v>301</v>
      </c>
      <c r="N6924" t="inlineStr">
        <is>
          <t>Strix occidentalis caurina</t>
        </is>
      </c>
      <c r="O6924" t="inlineStr">
        <is>
          <t>Golgin subfamily A member 5</t>
        </is>
      </c>
    </row>
    <row r="6925">
      <c r="A6925" t="inlineStr"/>
      <c r="B6925" t="inlineStr"/>
      <c r="C6925" t="inlineStr"/>
      <c r="D6925" t="inlineStr"/>
      <c r="E6925">
        <f>HYPERLINK("https://www.ncbi.nlm.nih.gov/gene/?term=XP_010181036.1", "XP_010181036.1")</f>
        <v/>
      </c>
      <c r="F6925" t="n">
        <v>86.7</v>
      </c>
      <c r="G6925" t="n">
        <v>158</v>
      </c>
      <c r="H6925" t="n">
        <v>7.030000000000001e-85</v>
      </c>
      <c r="I6925" t="inlineStr">
        <is>
          <t>Nr</t>
        </is>
      </c>
      <c r="J6925" t="inlineStr"/>
      <c r="K6925" t="inlineStr"/>
      <c r="L6925" t="inlineStr">
        <is>
          <t>XP_010181036.1 PREDICTED: golgin subfamily A member 5, partial [Mesitornis unicolor]</t>
        </is>
      </c>
      <c r="M6925" t="n">
        <v>158</v>
      </c>
      <c r="N6925" t="inlineStr">
        <is>
          <t>Mesitornis unicolor</t>
        </is>
      </c>
      <c r="O6925" t="inlineStr">
        <is>
          <t>PREDICTED: golgin subfamily A member 5, partial</t>
        </is>
      </c>
    </row>
    <row r="6926">
      <c r="A6926" t="inlineStr"/>
      <c r="B6926" t="inlineStr"/>
      <c r="C6926" t="inlineStr"/>
      <c r="D6926" t="inlineStr"/>
      <c r="E6926">
        <f>HYPERLINK("https://www.uniprot.org/uniprotkb/A0A822GLX3/entry", "A0A822GLX3")</f>
        <v/>
      </c>
      <c r="F6926" t="n">
        <v>87.3</v>
      </c>
      <c r="G6926" t="n">
        <v>158</v>
      </c>
      <c r="H6926" t="n">
        <v>9.530000000000001e-85</v>
      </c>
      <c r="I6926" t="inlineStr">
        <is>
          <t>TrEMBL</t>
        </is>
      </c>
      <c r="J6926" t="inlineStr">
        <is>
          <t>RIMITATOR_LOCUS11189577</t>
        </is>
      </c>
      <c r="K6926" t="inlineStr">
        <is>
          <t>A0A822GLX3_9NEOB</t>
        </is>
      </c>
      <c r="L6926" t="inlineStr">
        <is>
          <t>tr|A0A822GLX3|A0A822GLX3_9NEOB Golgin subfamily A member 5 OS=Ranitomeya imitator OX=111125 GN=RIMITATOR_LOCUS11189577 PE=4 SV=1</t>
        </is>
      </c>
      <c r="M6926" t="n">
        <v>226</v>
      </c>
      <c r="N6926" t="inlineStr">
        <is>
          <t>Ranitomeya imitator</t>
        </is>
      </c>
      <c r="O6926" t="inlineStr">
        <is>
          <t>Golgin subfamily A member 5</t>
        </is>
      </c>
    </row>
    <row r="6927">
      <c r="A6927" t="inlineStr"/>
      <c r="B6927" t="inlineStr"/>
      <c r="C6927" t="inlineStr"/>
      <c r="D6927" t="inlineStr"/>
      <c r="E6927">
        <f>HYPERLINK("https://www.uniprot.org/uniprotkb/A0A8J6F776/entry", "A0A8J6F776")</f>
        <v/>
      </c>
      <c r="F6927" t="n">
        <v>68.7</v>
      </c>
      <c r="G6927" t="n">
        <v>246</v>
      </c>
      <c r="H6927" t="n">
        <v>9.62e-85</v>
      </c>
      <c r="I6927" t="inlineStr">
        <is>
          <t>TrEMBL</t>
        </is>
      </c>
      <c r="J6927" t="inlineStr">
        <is>
          <t>GDO78_010829</t>
        </is>
      </c>
      <c r="K6927" t="inlineStr">
        <is>
          <t>A0A8J6F776_ELECQ</t>
        </is>
      </c>
      <c r="L6927" t="inlineStr">
        <is>
          <t>tr|A0A8J6F776|A0A8J6F776_ELECQ Golgin subfamily A member 5 OS=Eleutherodactylus coqui OX=57060 GN=GDO78_010829 PE=4 SV=1</t>
        </is>
      </c>
      <c r="M6927" t="n">
        <v>719</v>
      </c>
      <c r="N6927" t="inlineStr">
        <is>
          <t>Eleutherodactylus coqui</t>
        </is>
      </c>
      <c r="O6927" t="inlineStr">
        <is>
          <t>Golgin subfamily A member 5</t>
        </is>
      </c>
    </row>
    <row r="6928">
      <c r="A6928" t="inlineStr"/>
      <c r="B6928" t="inlineStr"/>
      <c r="C6928" t="inlineStr"/>
      <c r="D6928" t="inlineStr"/>
      <c r="E6928">
        <f>HYPERLINK("https://www.ncbi.nlm.nih.gov/gene/?term=XP_040267624.1", "XP_040267624.1")</f>
        <v/>
      </c>
      <c r="F6928" t="n">
        <v>74</v>
      </c>
      <c r="G6928" t="n">
        <v>246</v>
      </c>
      <c r="H6928" t="n">
        <v>1.33e-84</v>
      </c>
      <c r="I6928" t="inlineStr">
        <is>
          <t>Nr</t>
        </is>
      </c>
      <c r="J6928" t="inlineStr"/>
      <c r="K6928" t="inlineStr"/>
      <c r="L6928" t="inlineStr">
        <is>
          <t>XP_040267624.1 golgin subfamily A member 5 [Bufo bufo]</t>
        </is>
      </c>
      <c r="M6928" t="n">
        <v>722</v>
      </c>
      <c r="N6928" t="inlineStr">
        <is>
          <t>Bufo bufo</t>
        </is>
      </c>
      <c r="O6928" t="inlineStr">
        <is>
          <t>golgin subfamily A member 5</t>
        </is>
      </c>
    </row>
    <row r="6929">
      <c r="A6929" t="inlineStr"/>
      <c r="B6929" t="inlineStr"/>
      <c r="C6929" t="inlineStr"/>
      <c r="D6929" t="inlineStr"/>
      <c r="E6929">
        <f>HYPERLINK("https://www.ncbi.nlm.nih.gov/gene/?term=KAG9481811.1", "KAG9481811.1")</f>
        <v/>
      </c>
      <c r="F6929" t="n">
        <v>68.7</v>
      </c>
      <c r="G6929" t="n">
        <v>246</v>
      </c>
      <c r="H6929" t="n">
        <v>2.47e-84</v>
      </c>
      <c r="I6929" t="inlineStr">
        <is>
          <t>Nr</t>
        </is>
      </c>
      <c r="J6929" t="inlineStr"/>
      <c r="K6929" t="inlineStr"/>
      <c r="L6929" t="inlineStr">
        <is>
          <t>KAG9481811.1 hypothetical protein GDO78_010829 [Eleutherodactylus coqui]</t>
        </is>
      </c>
      <c r="M6929" t="n">
        <v>719</v>
      </c>
      <c r="N6929" t="inlineStr">
        <is>
          <t>Eleutherodactylus coqui</t>
        </is>
      </c>
      <c r="O6929" t="inlineStr">
        <is>
          <t>hypothetical protein GDO78_010829</t>
        </is>
      </c>
    </row>
    <row r="6930">
      <c r="A6930" t="inlineStr"/>
      <c r="B6930" t="inlineStr"/>
      <c r="C6930" t="inlineStr"/>
      <c r="D6930" t="inlineStr"/>
      <c r="E6930">
        <f>HYPERLINK("https://www.ncbi.nlm.nih.gov/gene/?term=XP_018414003.1", "XP_018414003.1")</f>
        <v/>
      </c>
      <c r="F6930" t="n">
        <v>74.40000000000001</v>
      </c>
      <c r="G6930" t="n">
        <v>246</v>
      </c>
      <c r="H6930" t="n">
        <v>2.52e-84</v>
      </c>
      <c r="I6930" t="inlineStr">
        <is>
          <t>Nr</t>
        </is>
      </c>
      <c r="J6930" t="inlineStr"/>
      <c r="K6930" t="inlineStr"/>
      <c r="L6930" t="inlineStr">
        <is>
          <t>XP_018414003.1 PREDICTED: golgin subfamily A member 5 isoform X2 [Nanorana parkeri]</t>
        </is>
      </c>
      <c r="M6930" t="n">
        <v>720</v>
      </c>
      <c r="N6930" t="inlineStr">
        <is>
          <t>Nanorana parkeri</t>
        </is>
      </c>
      <c r="O6930" t="inlineStr">
        <is>
          <t>PREDICTED: golgin subfamily A member 5 isoform X2</t>
        </is>
      </c>
    </row>
    <row r="6931">
      <c r="A6931" t="inlineStr"/>
      <c r="B6931" t="inlineStr"/>
      <c r="C6931" t="inlineStr"/>
      <c r="D6931" t="inlineStr"/>
      <c r="E6931">
        <f>HYPERLINK("https://www.uniprot.org/uniprotkb/A0A7J8IJB2/entry", "A0A7J8IJB2")</f>
        <v/>
      </c>
      <c r="F6931" t="n">
        <v>70.3</v>
      </c>
      <c r="G6931" t="n">
        <v>246</v>
      </c>
      <c r="H6931" t="n">
        <v>2.52e-84</v>
      </c>
      <c r="I6931" t="inlineStr">
        <is>
          <t>TrEMBL</t>
        </is>
      </c>
      <c r="J6931" t="inlineStr">
        <is>
          <t>HJG63_005771</t>
        </is>
      </c>
      <c r="K6931" t="inlineStr">
        <is>
          <t>A0A7J8IJB2_ROUAE</t>
        </is>
      </c>
      <c r="L6931" t="inlineStr">
        <is>
          <t>tr|A0A7J8IJB2|A0A7J8IJB2_ROUAE Golgin subfamily A member 5 OS=Rousettus aegyptiacus OX=9407 GN=HJG63_005771 PE=4 SV=1</t>
        </is>
      </c>
      <c r="M6931" t="n">
        <v>266</v>
      </c>
      <c r="N6931" t="inlineStr">
        <is>
          <t>Rousettus aegyptiacus</t>
        </is>
      </c>
      <c r="O6931" t="inlineStr">
        <is>
          <t>Golgin subfamily A member 5</t>
        </is>
      </c>
    </row>
    <row r="6932">
      <c r="A6932" t="inlineStr"/>
      <c r="B6932" t="inlineStr"/>
      <c r="C6932" t="inlineStr"/>
      <c r="D6932" t="inlineStr"/>
      <c r="E6932">
        <f>HYPERLINK("https://www.uniprot.org/uniprotkb/A0A091UGN5/entry", "A0A091UGN5")</f>
        <v/>
      </c>
      <c r="F6932" t="n">
        <v>79.7</v>
      </c>
      <c r="G6932" t="n">
        <v>246</v>
      </c>
      <c r="H6932" t="n">
        <v>2.57e-84</v>
      </c>
      <c r="I6932" t="inlineStr">
        <is>
          <t>TrEMBL</t>
        </is>
      </c>
      <c r="J6932" t="inlineStr">
        <is>
          <t>N337_10366</t>
        </is>
      </c>
      <c r="K6932" t="inlineStr">
        <is>
          <t>A0A091UGN5_PHORB</t>
        </is>
      </c>
      <c r="L6932" t="inlineStr">
        <is>
          <t>tr|A0A091UGN5|A0A091UGN5_PHORB Golgin subfamily A member 5 (Fragment) OS=Phoenicopterus ruber ruber OX=9218 GN=N337_10366 PE=4 SV=1</t>
        </is>
      </c>
      <c r="M6932" t="n">
        <v>474</v>
      </c>
      <c r="N6932" t="inlineStr">
        <is>
          <t>Phoenicopterus ruber ruber</t>
        </is>
      </c>
      <c r="O6932" t="inlineStr">
        <is>
          <t>Golgin subfamily A member 5 (Fragment)</t>
        </is>
      </c>
    </row>
    <row r="6933">
      <c r="A6933" t="inlineStr"/>
      <c r="B6933" t="inlineStr"/>
      <c r="C6933" t="inlineStr"/>
      <c r="D6933" t="inlineStr"/>
      <c r="E6933">
        <f>HYPERLINK("https://www.ncbi.nlm.nih.gov/gene/?term=XP_018414002.1", "XP_018414002.1")</f>
        <v/>
      </c>
      <c r="F6933" t="n">
        <v>74.40000000000001</v>
      </c>
      <c r="G6933" t="n">
        <v>246</v>
      </c>
      <c r="H6933" t="n">
        <v>3.28e-84</v>
      </c>
      <c r="I6933" t="inlineStr">
        <is>
          <t>Nr</t>
        </is>
      </c>
      <c r="J6933" t="inlineStr"/>
      <c r="K6933" t="inlineStr"/>
      <c r="L6933" t="inlineStr">
        <is>
          <t>XP_018414002.1 PREDICTED: golgin subfamily A member 5 isoform X1 [Nanorana parkeri]</t>
        </is>
      </c>
      <c r="M6933" t="n">
        <v>733</v>
      </c>
      <c r="N6933" t="inlineStr">
        <is>
          <t>Nanorana parkeri</t>
        </is>
      </c>
      <c r="O6933" t="inlineStr">
        <is>
          <t>PREDICTED: golgin subfamily A member 5 isoform X1</t>
        </is>
      </c>
    </row>
    <row r="6934">
      <c r="A6934" t="inlineStr"/>
      <c r="B6934" t="inlineStr"/>
      <c r="C6934" t="inlineStr"/>
      <c r="D6934" t="inlineStr"/>
      <c r="E6934">
        <f>HYPERLINK("https://www.ncbi.nlm.nih.gov/gene/?term=XP_009578048.1", "XP_009578048.1")</f>
        <v/>
      </c>
      <c r="F6934" t="n">
        <v>85.40000000000001</v>
      </c>
      <c r="G6934" t="n">
        <v>158</v>
      </c>
      <c r="H6934" t="n">
        <v>4.05e-84</v>
      </c>
      <c r="I6934" t="inlineStr">
        <is>
          <t>Nr</t>
        </is>
      </c>
      <c r="J6934" t="inlineStr"/>
      <c r="K6934" t="inlineStr"/>
      <c r="L6934" t="inlineStr">
        <is>
          <t>XP_009578048.1 PREDICTED: golgin subfamily A member 5-like, partial [Fulmarus glacialis]</t>
        </is>
      </c>
      <c r="M6934" t="n">
        <v>158</v>
      </c>
      <c r="N6934" t="inlineStr">
        <is>
          <t>Fulmarus glacialis</t>
        </is>
      </c>
      <c r="O6934" t="inlineStr">
        <is>
          <t>PREDICTED: golgin subfamily A member 5-like, partial</t>
        </is>
      </c>
    </row>
    <row r="6935">
      <c r="A6935" t="inlineStr"/>
      <c r="B6935" t="inlineStr"/>
      <c r="C6935" t="inlineStr"/>
      <c r="D6935" t="inlineStr"/>
      <c r="E6935">
        <f>HYPERLINK("https://www.ncbi.nlm.nih.gov/gene/?term=XP_053330718.1", "XP_053330718.1")</f>
        <v/>
      </c>
      <c r="F6935" t="n">
        <v>76</v>
      </c>
      <c r="G6935" t="n">
        <v>246</v>
      </c>
      <c r="H6935" t="n">
        <v>5.62e-84</v>
      </c>
      <c r="I6935" t="inlineStr">
        <is>
          <t>Nr</t>
        </is>
      </c>
      <c r="J6935" t="inlineStr"/>
      <c r="K6935" t="inlineStr"/>
      <c r="L6935" t="inlineStr">
        <is>
          <t>XP_053330718.1 golgin subfamily A member 5 [Spea bombifrons]</t>
        </is>
      </c>
      <c r="M6935" t="n">
        <v>726</v>
      </c>
      <c r="N6935" t="inlineStr">
        <is>
          <t>Spea bombifrons</t>
        </is>
      </c>
      <c r="O6935" t="inlineStr">
        <is>
          <t>golgin subfamily A member 5</t>
        </is>
      </c>
    </row>
    <row r="6936">
      <c r="A6936" t="inlineStr"/>
      <c r="B6936" t="inlineStr"/>
      <c r="C6936" t="inlineStr"/>
      <c r="D6936" t="inlineStr"/>
      <c r="E6936">
        <f>HYPERLINK("https://www.ncbi.nlm.nih.gov/gene/?term=KAF6484706.1", "KAF6484706.1")</f>
        <v/>
      </c>
      <c r="F6936" t="n">
        <v>70.3</v>
      </c>
      <c r="G6936" t="n">
        <v>246</v>
      </c>
      <c r="H6936" t="n">
        <v>6.48e-84</v>
      </c>
      <c r="I6936" t="inlineStr">
        <is>
          <t>Nr</t>
        </is>
      </c>
      <c r="J6936" t="inlineStr"/>
      <c r="K6936" t="inlineStr"/>
      <c r="L6936" t="inlineStr">
        <is>
          <t>KAF6484706.1 golgin A5 [Rousettus aegyptiacus]</t>
        </is>
      </c>
      <c r="M6936" t="n">
        <v>266</v>
      </c>
      <c r="N6936" t="inlineStr">
        <is>
          <t>Rousettus aegyptiacus</t>
        </is>
      </c>
      <c r="O6936" t="inlineStr">
        <is>
          <t>golgin A5</t>
        </is>
      </c>
    </row>
    <row r="6937">
      <c r="A6937" t="inlineStr"/>
      <c r="B6937" t="inlineStr"/>
      <c r="C6937" t="inlineStr"/>
      <c r="D6937" t="inlineStr"/>
      <c r="E6937">
        <f>HYPERLINK("https://www.ncbi.nlm.nih.gov/gene/?term=KFQ89332.1", "KFQ89332.1")</f>
        <v/>
      </c>
      <c r="F6937" t="n">
        <v>79.7</v>
      </c>
      <c r="G6937" t="n">
        <v>246</v>
      </c>
      <c r="H6937" t="n">
        <v>6.59e-84</v>
      </c>
      <c r="I6937" t="inlineStr">
        <is>
          <t>Nr</t>
        </is>
      </c>
      <c r="J6937" t="inlineStr"/>
      <c r="K6937" t="inlineStr"/>
      <c r="L6937" t="inlineStr">
        <is>
          <t>KFQ89332.1 Golgin subfamily A member 5, partial [Phoenicopterus ruber ruber]</t>
        </is>
      </c>
      <c r="M6937" t="n">
        <v>474</v>
      </c>
      <c r="N6937" t="inlineStr">
        <is>
          <t>Phoenicopterus ruber ruber</t>
        </is>
      </c>
      <c r="O6937" t="inlineStr">
        <is>
          <t>Golgin subfamily A member 5, partial</t>
        </is>
      </c>
    </row>
    <row r="6938">
      <c r="A6938" t="inlineStr"/>
      <c r="B6938" t="inlineStr"/>
      <c r="C6938" t="inlineStr"/>
      <c r="D6938" t="inlineStr"/>
      <c r="E6938">
        <f>HYPERLINK("https://www.uniprot.org/uniprotkb/A0A8C8ZLL7/entry", "A0A8C8ZLL7")</f>
        <v/>
      </c>
      <c r="F6938" t="n">
        <v>68.3</v>
      </c>
      <c r="G6938" t="n">
        <v>246</v>
      </c>
      <c r="H6938" t="n">
        <v>7.33e-84</v>
      </c>
      <c r="I6938" t="inlineStr">
        <is>
          <t>TrEMBL</t>
        </is>
      </c>
      <c r="J6938" t="inlineStr"/>
      <c r="K6938" t="inlineStr">
        <is>
          <t>A0A8C8ZLL7_PROSS</t>
        </is>
      </c>
      <c r="L6938" t="inlineStr">
        <is>
          <t>tr|A0A8C8ZLL7|A0A8C8ZLL7_PROSS Golgin subfamily A member 5 OS=Prolemur simus OX=1328070 PE=4 SV=1</t>
        </is>
      </c>
      <c r="M6938" t="n">
        <v>310</v>
      </c>
      <c r="N6938" t="inlineStr">
        <is>
          <t>Prolemur simus</t>
        </is>
      </c>
      <c r="O6938" t="inlineStr">
        <is>
          <t>Golgin subfamily A member 5</t>
        </is>
      </c>
    </row>
    <row r="6939">
      <c r="A6939" t="inlineStr"/>
      <c r="B6939" t="inlineStr"/>
      <c r="C6939" t="inlineStr"/>
      <c r="D6939" t="inlineStr"/>
      <c r="E6939">
        <f>HYPERLINK("https://www.ncbi.nlm.nih.gov/gene/?term=XP_044128554.1", "XP_044128554.1")</f>
        <v/>
      </c>
      <c r="F6939" t="n">
        <v>74.8</v>
      </c>
      <c r="G6939" t="n">
        <v>246</v>
      </c>
      <c r="H6939" t="n">
        <v>1.02e-83</v>
      </c>
      <c r="I6939" t="inlineStr">
        <is>
          <t>Nr</t>
        </is>
      </c>
      <c r="J6939" t="inlineStr"/>
      <c r="K6939" t="inlineStr"/>
      <c r="L6939" t="inlineStr">
        <is>
          <t>XP_044128554.1 golgin subfamily A member 5 [Bufo gargarizans]</t>
        </is>
      </c>
      <c r="M6939" t="n">
        <v>722</v>
      </c>
      <c r="N6939" t="inlineStr">
        <is>
          <t>Bufo gargarizans</t>
        </is>
      </c>
      <c r="O6939" t="inlineStr">
        <is>
          <t>golgin subfamily A member 5</t>
        </is>
      </c>
    </row>
    <row r="6940">
      <c r="A6940" t="inlineStr"/>
      <c r="B6940" t="inlineStr"/>
      <c r="C6940" t="inlineStr"/>
      <c r="D6940" t="inlineStr"/>
      <c r="E6940">
        <f>HYPERLINK("https://www.uniprot.org/uniprotkb/A0A151P9A8/entry", "A0A151P9A8")</f>
        <v/>
      </c>
      <c r="F6940" t="n">
        <v>74.3</v>
      </c>
      <c r="G6940" t="n">
        <v>245</v>
      </c>
      <c r="H6940" t="n">
        <v>1.03e-83</v>
      </c>
      <c r="I6940" t="inlineStr">
        <is>
          <t>TrEMBL</t>
        </is>
      </c>
      <c r="J6940" t="inlineStr">
        <is>
          <t>GOLGA5</t>
        </is>
      </c>
      <c r="K6940" t="inlineStr">
        <is>
          <t>A0A151P9A8_ALLMI</t>
        </is>
      </c>
      <c r="L6940" t="inlineStr">
        <is>
          <t>tr|A0A151P9A8|A0A151P9A8_ALLMI Golgin subfamily A member 5 OS=Alligator mississippiensis OX=8496 GN=GOLGA5 PE=4 SV=1</t>
        </is>
      </c>
      <c r="M6940" t="n">
        <v>670</v>
      </c>
      <c r="N6940" t="inlineStr">
        <is>
          <t>Alligator mississippiensis</t>
        </is>
      </c>
      <c r="O6940" t="inlineStr">
        <is>
          <t>Golgin subfamily A member 5</t>
        </is>
      </c>
    </row>
    <row r="6941">
      <c r="A6941" t="inlineStr"/>
      <c r="B6941" t="inlineStr"/>
      <c r="C6941" t="inlineStr"/>
      <c r="D6941" t="inlineStr"/>
      <c r="E6941">
        <f>HYPERLINK("https://www.ncbi.nlm.nih.gov/gene/?term=KYO45489.1", "KYO45489.1")</f>
        <v/>
      </c>
      <c r="F6941" t="n">
        <v>74.3</v>
      </c>
      <c r="G6941" t="n">
        <v>245</v>
      </c>
      <c r="H6941" t="n">
        <v>2.64e-83</v>
      </c>
      <c r="I6941" t="inlineStr">
        <is>
          <t>Nr</t>
        </is>
      </c>
      <c r="J6941" t="inlineStr"/>
      <c r="K6941" t="inlineStr"/>
      <c r="L6941" t="inlineStr">
        <is>
          <t>KYO45489.1 golgin subfamily A member 5 [Alligator mississippiensis]</t>
        </is>
      </c>
      <c r="M6941" t="n">
        <v>670</v>
      </c>
      <c r="N6941" t="inlineStr">
        <is>
          <t>Alligator mississippiensis</t>
        </is>
      </c>
      <c r="O6941" t="inlineStr">
        <is>
          <t>golgin subfamily A member 5</t>
        </is>
      </c>
    </row>
    <row r="6942">
      <c r="A6942" t="inlineStr"/>
      <c r="B6942" t="inlineStr"/>
      <c r="C6942" t="inlineStr"/>
      <c r="D6942" t="inlineStr"/>
      <c r="E6942">
        <f>HYPERLINK("https://www.uniprot.org/uniprotkb/A0A852DA28/entry", "A0A852DA28")</f>
        <v/>
      </c>
      <c r="F6942" t="n">
        <v>86.59999999999999</v>
      </c>
      <c r="G6942" t="n">
        <v>246</v>
      </c>
      <c r="H6942" t="n">
        <v>2.93e-83</v>
      </c>
      <c r="I6942" t="inlineStr">
        <is>
          <t>TrEMBL</t>
        </is>
      </c>
      <c r="J6942" t="inlineStr">
        <is>
          <t>Golga5</t>
        </is>
      </c>
      <c r="K6942" t="inlineStr">
        <is>
          <t>A0A852DA28_PASAF</t>
        </is>
      </c>
      <c r="L6942" t="inlineStr">
        <is>
          <t>tr|A0A852DA28|A0A852DA28_PASAF Golgin subfamily A member 5 (Fragment) OS=Passerina amoena OX=142471 GN=Golga5 PE=4 SV=1</t>
        </is>
      </c>
      <c r="M6942" t="n">
        <v>401</v>
      </c>
      <c r="N6942" t="inlineStr">
        <is>
          <t>Passerina amoena</t>
        </is>
      </c>
      <c r="O6942" t="inlineStr">
        <is>
          <t>Golgin subfamily A member 5 (Fragment)</t>
        </is>
      </c>
    </row>
    <row r="6943">
      <c r="A6943" t="inlineStr"/>
      <c r="B6943" t="inlineStr"/>
      <c r="C6943" t="inlineStr"/>
      <c r="D6943" t="inlineStr"/>
      <c r="E6943">
        <f>HYPERLINK("https://www.uniprot.org/uniprotkb/A0A7J8IKK0/entry", "A0A7J8IKK0")</f>
        <v/>
      </c>
      <c r="F6943" t="n">
        <v>70.3</v>
      </c>
      <c r="G6943" t="n">
        <v>246</v>
      </c>
      <c r="H6943" t="n">
        <v>3.61e-83</v>
      </c>
      <c r="I6943" t="inlineStr">
        <is>
          <t>TrEMBL</t>
        </is>
      </c>
      <c r="J6943" t="inlineStr">
        <is>
          <t>HJG63_005771</t>
        </is>
      </c>
      <c r="K6943" t="inlineStr">
        <is>
          <t>A0A7J8IKK0_ROUAE</t>
        </is>
      </c>
      <c r="L6943" t="inlineStr">
        <is>
          <t>tr|A0A7J8IKK0|A0A7J8IKK0_ROUAE Golgin subfamily A member 5 OS=Rousettus aegyptiacus OX=9407 GN=HJG63_005771 PE=4 SV=1</t>
        </is>
      </c>
      <c r="M6943" t="n">
        <v>350</v>
      </c>
      <c r="N6943" t="inlineStr">
        <is>
          <t>Rousettus aegyptiacus</t>
        </is>
      </c>
      <c r="O6943" t="inlineStr">
        <is>
          <t>Golgin subfamily A member 5</t>
        </is>
      </c>
    </row>
    <row r="6944">
      <c r="A6944" t="inlineStr"/>
      <c r="B6944" t="inlineStr"/>
      <c r="C6944" t="inlineStr"/>
      <c r="D6944" t="inlineStr"/>
      <c r="E6944">
        <f>HYPERLINK("https://www.uniprot.org/uniprotkb/A0A093HD76/entry", "A0A093HD76")</f>
        <v/>
      </c>
      <c r="F6944" t="n">
        <v>70.7</v>
      </c>
      <c r="G6944" t="n">
        <v>246</v>
      </c>
      <c r="H6944" t="n">
        <v>4.08e-83</v>
      </c>
      <c r="I6944" t="inlineStr">
        <is>
          <t>TrEMBL</t>
        </is>
      </c>
      <c r="J6944" t="inlineStr">
        <is>
          <t>N328_08216</t>
        </is>
      </c>
      <c r="K6944" t="inlineStr">
        <is>
          <t>A0A093HD76_GAVST</t>
        </is>
      </c>
      <c r="L6944" t="inlineStr">
        <is>
          <t>tr|A0A093HD76|A0A093HD76_GAVST Golgin subfamily A member 5 (Fragment) OS=Gavia stellata OX=37040 GN=N328_08216 PE=4 SV=1</t>
        </is>
      </c>
      <c r="M6944" t="n">
        <v>474</v>
      </c>
      <c r="N6944" t="inlineStr">
        <is>
          <t>Gavia stellata</t>
        </is>
      </c>
      <c r="O6944" t="inlineStr">
        <is>
          <t>Golgin subfamily A member 5 (Fragment)</t>
        </is>
      </c>
    </row>
    <row r="6945">
      <c r="A6945" t="inlineStr"/>
      <c r="B6945" t="inlineStr"/>
      <c r="C6945" t="inlineStr"/>
      <c r="D6945" t="inlineStr"/>
      <c r="E6945">
        <f>HYPERLINK("https://www.uniprot.org/uniprotkb/A0A1U7SBU4/entry", "A0A1U7SBU4")</f>
        <v/>
      </c>
      <c r="F6945" t="n">
        <v>80.40000000000001</v>
      </c>
      <c r="G6945" t="n">
        <v>245</v>
      </c>
      <c r="H6945" t="n">
        <v>5.23e-83</v>
      </c>
      <c r="I6945" t="inlineStr">
        <is>
          <t>TrEMBL</t>
        </is>
      </c>
      <c r="J6945" t="inlineStr">
        <is>
          <t>GOLGA5</t>
        </is>
      </c>
      <c r="K6945" t="inlineStr">
        <is>
          <t>A0A1U7SBU4_ALLSI</t>
        </is>
      </c>
      <c r="L6945" t="inlineStr">
        <is>
          <t>tr|A0A1U7SBU4|A0A1U7SBU4_ALLSI Golgin subfamily A member 5 OS=Alligator sinensis OX=38654 GN=GOLGA5 PE=4 SV=1</t>
        </is>
      </c>
      <c r="M6945" t="n">
        <v>732</v>
      </c>
      <c r="N6945" t="inlineStr">
        <is>
          <t>Alligator sinensis</t>
        </is>
      </c>
      <c r="O6945" t="inlineStr">
        <is>
          <t>Golgin subfamily A member 5</t>
        </is>
      </c>
    </row>
    <row r="6946">
      <c r="A6946" t="inlineStr"/>
      <c r="B6946" t="inlineStr"/>
      <c r="C6946" t="inlineStr"/>
      <c r="D6946" t="inlineStr"/>
      <c r="E6946">
        <f>HYPERLINK("https://www.ncbi.nlm.nih.gov/gene/?term=NXP89419.1", "NXP89419.1")</f>
        <v/>
      </c>
      <c r="F6946" t="n">
        <v>86.59999999999999</v>
      </c>
      <c r="G6946" t="n">
        <v>246</v>
      </c>
      <c r="H6946" t="n">
        <v>7.52e-83</v>
      </c>
      <c r="I6946" t="inlineStr">
        <is>
          <t>Nr</t>
        </is>
      </c>
      <c r="J6946" t="inlineStr"/>
      <c r="K6946" t="inlineStr"/>
      <c r="L6946" t="inlineStr">
        <is>
          <t>NXP89419.1 GOGA5 protein [Passerina amoena]</t>
        </is>
      </c>
      <c r="M6946" t="n">
        <v>401</v>
      </c>
      <c r="N6946" t="inlineStr">
        <is>
          <t>Passerina amoena</t>
        </is>
      </c>
      <c r="O6946" t="inlineStr">
        <is>
          <t>GOGA5 protein</t>
        </is>
      </c>
    </row>
    <row r="6947">
      <c r="A6947" t="inlineStr"/>
      <c r="B6947" t="inlineStr"/>
      <c r="C6947" t="inlineStr"/>
      <c r="D6947" t="inlineStr"/>
      <c r="E6947">
        <f>HYPERLINK("https://www.uniprot.org/uniprotkb/A0A7L1KEF2/entry", "A0A7L1KEF2")</f>
        <v/>
      </c>
      <c r="F6947" t="n">
        <v>63.4</v>
      </c>
      <c r="G6947" t="n">
        <v>246</v>
      </c>
      <c r="H6947" t="n">
        <v>7.94e-83</v>
      </c>
      <c r="I6947" t="inlineStr">
        <is>
          <t>TrEMBL</t>
        </is>
      </c>
      <c r="J6947" t="inlineStr">
        <is>
          <t>Golga5</t>
        </is>
      </c>
      <c r="K6947" t="inlineStr">
        <is>
          <t>A0A7L1KEF2_RYNNI</t>
        </is>
      </c>
      <c r="L6947" t="inlineStr">
        <is>
          <t>tr|A0A7L1KEF2|A0A7L1KEF2_RYNNI Golgin subfamily A member 5 (Fragment) OS=Rynchops niger OX=227184 GN=Golga5 PE=4 SV=1</t>
        </is>
      </c>
      <c r="M6947" t="n">
        <v>736</v>
      </c>
      <c r="N6947" t="inlineStr">
        <is>
          <t>Rynchops niger</t>
        </is>
      </c>
      <c r="O6947" t="inlineStr">
        <is>
          <t>Golgin subfamily A member 5 (Fragment)</t>
        </is>
      </c>
    </row>
    <row r="6948">
      <c r="A6948" t="inlineStr"/>
      <c r="B6948" t="inlineStr"/>
      <c r="C6948" t="inlineStr"/>
      <c r="D6948" t="inlineStr"/>
      <c r="E6948">
        <f>HYPERLINK("https://www.ncbi.nlm.nih.gov/gene/?term=KAF6484705.1", "KAF6484705.1")</f>
        <v/>
      </c>
      <c r="F6948" t="n">
        <v>70.3</v>
      </c>
      <c r="G6948" t="n">
        <v>246</v>
      </c>
      <c r="H6948" t="n">
        <v>9.27e-83</v>
      </c>
      <c r="I6948" t="inlineStr">
        <is>
          <t>Nr</t>
        </is>
      </c>
      <c r="J6948" t="inlineStr"/>
      <c r="K6948" t="inlineStr"/>
      <c r="L6948" t="inlineStr">
        <is>
          <t>KAF6484705.1 golgin A5 [Rousettus aegyptiacus]</t>
        </is>
      </c>
      <c r="M6948" t="n">
        <v>350</v>
      </c>
      <c r="N6948" t="inlineStr">
        <is>
          <t>Rousettus aegyptiacus</t>
        </is>
      </c>
      <c r="O6948" t="inlineStr">
        <is>
          <t>golgin A5</t>
        </is>
      </c>
    </row>
    <row r="6949">
      <c r="A6949" t="inlineStr"/>
      <c r="B6949" t="inlineStr"/>
      <c r="C6949" t="inlineStr"/>
      <c r="D6949" t="inlineStr"/>
      <c r="E6949">
        <f>HYPERLINK("https://www.ncbi.nlm.nih.gov/gene/?term=XP_006268862.1", "XP_006268862.1")</f>
        <v/>
      </c>
      <c r="F6949" t="n">
        <v>74.3</v>
      </c>
      <c r="G6949" t="n">
        <v>245</v>
      </c>
      <c r="H6949" t="n">
        <v>9.759999999999999e-83</v>
      </c>
      <c r="I6949" t="inlineStr">
        <is>
          <t>Nr</t>
        </is>
      </c>
      <c r="J6949" t="inlineStr"/>
      <c r="K6949" t="inlineStr"/>
      <c r="L6949" t="inlineStr">
        <is>
          <t>XP_006268862.1 PREDICTED: golgin subfamily A member 5 [Alligator mississippiensis]</t>
        </is>
      </c>
      <c r="M6949" t="n">
        <v>733</v>
      </c>
      <c r="N6949" t="inlineStr">
        <is>
          <t>Alligator mississippiensis</t>
        </is>
      </c>
      <c r="O6949" t="inlineStr">
        <is>
          <t>PREDICTED: golgin subfamily A member 5</t>
        </is>
      </c>
    </row>
    <row r="6950">
      <c r="A6950" t="inlineStr"/>
      <c r="B6950" t="inlineStr"/>
      <c r="C6950" t="inlineStr"/>
      <c r="D6950" t="inlineStr"/>
      <c r="E6950">
        <f>HYPERLINK("https://www.ncbi.nlm.nih.gov/gene/?term=XP_009809004.1", "XP_009809004.1")</f>
        <v/>
      </c>
      <c r="F6950" t="n">
        <v>70.7</v>
      </c>
      <c r="G6950" t="n">
        <v>246</v>
      </c>
      <c r="H6950" t="n">
        <v>1.02e-82</v>
      </c>
      <c r="I6950" t="inlineStr">
        <is>
          <t>Nr</t>
        </is>
      </c>
      <c r="J6950" t="inlineStr"/>
      <c r="K6950" t="inlineStr"/>
      <c r="L6950" t="inlineStr">
        <is>
          <t>XP_009809004.1 PREDICTED: golgin subfamily A member 5, partial [Gavia stellata]</t>
        </is>
      </c>
      <c r="M6950" t="n">
        <v>473</v>
      </c>
      <c r="N6950" t="inlineStr">
        <is>
          <t>Gavia stellata</t>
        </is>
      </c>
      <c r="O6950" t="inlineStr">
        <is>
          <t>PREDICTED: golgin subfamily A member 5, partial</t>
        </is>
      </c>
    </row>
    <row r="6951">
      <c r="A6951" t="inlineStr"/>
      <c r="B6951" t="inlineStr"/>
      <c r="C6951" t="inlineStr"/>
      <c r="D6951" t="inlineStr"/>
      <c r="E6951">
        <f>HYPERLINK("https://www.ncbi.nlm.nih.gov/gene/?term=KFV52613.1", "KFV52613.1")</f>
        <v/>
      </c>
      <c r="F6951" t="n">
        <v>70.7</v>
      </c>
      <c r="G6951" t="n">
        <v>246</v>
      </c>
      <c r="H6951" t="n">
        <v>1.05e-82</v>
      </c>
      <c r="I6951" t="inlineStr">
        <is>
          <t>Nr</t>
        </is>
      </c>
      <c r="J6951" t="inlineStr"/>
      <c r="K6951" t="inlineStr"/>
      <c r="L6951" t="inlineStr">
        <is>
          <t>KFV52613.1 Golgin subfamily A member 5, partial [Gavia stellata]</t>
        </is>
      </c>
      <c r="M6951" t="n">
        <v>474</v>
      </c>
      <c r="N6951" t="inlineStr">
        <is>
          <t>Gavia stellata</t>
        </is>
      </c>
      <c r="O6951" t="inlineStr">
        <is>
          <t>Golgin subfamily A member 5, partial</t>
        </is>
      </c>
    </row>
    <row r="6952">
      <c r="A6952" t="inlineStr"/>
      <c r="B6952" t="inlineStr"/>
      <c r="C6952" t="inlineStr"/>
      <c r="D6952" t="inlineStr"/>
      <c r="E6952">
        <f>HYPERLINK("https://www.ncbi.nlm.nih.gov/gene/?term=XP_006032861.1", "XP_006032861.1")</f>
        <v/>
      </c>
      <c r="F6952" t="n">
        <v>80.40000000000001</v>
      </c>
      <c r="G6952" t="n">
        <v>245</v>
      </c>
      <c r="H6952" t="n">
        <v>1.34e-82</v>
      </c>
      <c r="I6952" t="inlineStr">
        <is>
          <t>Nr</t>
        </is>
      </c>
      <c r="J6952" t="inlineStr"/>
      <c r="K6952" t="inlineStr"/>
      <c r="L6952" t="inlineStr">
        <is>
          <t>XP_006032861.1 golgin subfamily A member 5 [Alligator sinensis]</t>
        </is>
      </c>
      <c r="M6952" t="n">
        <v>732</v>
      </c>
      <c r="N6952" t="inlineStr">
        <is>
          <t>Alligator sinensis</t>
        </is>
      </c>
      <c r="O6952" t="inlineStr">
        <is>
          <t>golgin subfamily A member 5</t>
        </is>
      </c>
    </row>
    <row r="6953">
      <c r="A6953" t="inlineStr"/>
      <c r="B6953" t="inlineStr"/>
      <c r="C6953" t="inlineStr"/>
      <c r="D6953" t="inlineStr"/>
      <c r="E6953">
        <f>HYPERLINK("https://www.uniprot.org/uniprotkb/A0A8B9SQU6/entry", "A0A8B9SQU6")</f>
        <v/>
      </c>
      <c r="F6953" t="n">
        <v>77.2</v>
      </c>
      <c r="G6953" t="n">
        <v>246</v>
      </c>
      <c r="H6953" t="n">
        <v>1.52e-82</v>
      </c>
      <c r="I6953" t="inlineStr">
        <is>
          <t>TrEMBL</t>
        </is>
      </c>
      <c r="J6953" t="inlineStr"/>
      <c r="K6953" t="inlineStr">
        <is>
          <t>A0A8B9SQU6_ANAPL</t>
        </is>
      </c>
      <c r="L6953" t="inlineStr">
        <is>
          <t>tr|A0A8B9SQU6|A0A8B9SQU6_ANAPL Golgin subfamily A member 5 OS=Anas platyrhynchos OX=8839 PE=4 SV=1</t>
        </is>
      </c>
      <c r="M6953" t="n">
        <v>593</v>
      </c>
      <c r="N6953" t="inlineStr">
        <is>
          <t>Anas platyrhynchos</t>
        </is>
      </c>
      <c r="O6953" t="inlineStr">
        <is>
          <t>Golgin subfamily A member 5</t>
        </is>
      </c>
    </row>
    <row r="6954">
      <c r="A6954" t="inlineStr"/>
      <c r="B6954" t="inlineStr"/>
      <c r="C6954" t="inlineStr"/>
      <c r="D6954" t="inlineStr"/>
      <c r="E6954">
        <f>HYPERLINK("https://www.uniprot.org/uniprotkb/A0A7K8B4C8/entry", "A0A7K8B4C8")</f>
        <v/>
      </c>
      <c r="F6954" t="n">
        <v>67.5</v>
      </c>
      <c r="G6954" t="n">
        <v>246</v>
      </c>
      <c r="H6954" t="n">
        <v>1.56e-82</v>
      </c>
      <c r="I6954" t="inlineStr">
        <is>
          <t>TrEMBL</t>
        </is>
      </c>
      <c r="J6954" t="inlineStr">
        <is>
          <t>Golga5</t>
        </is>
      </c>
      <c r="K6954" t="inlineStr">
        <is>
          <t>A0A7K8B4C8_9CORV</t>
        </is>
      </c>
      <c r="L6954" t="inlineStr">
        <is>
          <t>tr|A0A7K8B4C8|A0A7K8B4C8_9CORV Golgin subfamily A member 5 (Fragment) OS=Cnemophilus loriae OX=254448 GN=Golga5 PE=4 SV=1</t>
        </is>
      </c>
      <c r="M6954" t="n">
        <v>736</v>
      </c>
      <c r="N6954" t="inlineStr">
        <is>
          <t>Cnemophilus loriae</t>
        </is>
      </c>
      <c r="O6954" t="inlineStr">
        <is>
          <t>Golgin subfamily A member 5 (Fragment)</t>
        </is>
      </c>
    </row>
    <row r="6955">
      <c r="A6955" t="inlineStr"/>
      <c r="B6955" t="inlineStr"/>
      <c r="C6955" t="inlineStr"/>
      <c r="D6955" t="inlineStr"/>
      <c r="E6955">
        <f>HYPERLINK("https://www.ncbi.nlm.nih.gov/gene/?term=NXN61502.1", "NXN61502.1")</f>
        <v/>
      </c>
      <c r="F6955" t="n">
        <v>63.4</v>
      </c>
      <c r="G6955" t="n">
        <v>246</v>
      </c>
      <c r="H6955" t="n">
        <v>2.04e-82</v>
      </c>
      <c r="I6955" t="inlineStr">
        <is>
          <t>Nr</t>
        </is>
      </c>
      <c r="J6955" t="inlineStr"/>
      <c r="K6955" t="inlineStr"/>
      <c r="L6955" t="inlineStr">
        <is>
          <t>NXN61502.1 GOGA5 protein [Rynchops niger]</t>
        </is>
      </c>
      <c r="M6955" t="n">
        <v>736</v>
      </c>
      <c r="N6955" t="inlineStr">
        <is>
          <t>Rynchops niger</t>
        </is>
      </c>
      <c r="O6955" t="inlineStr">
        <is>
          <t>GOGA5 protein</t>
        </is>
      </c>
    </row>
    <row r="6956">
      <c r="A6956" t="inlineStr"/>
      <c r="B6956" t="inlineStr"/>
      <c r="C6956" t="inlineStr"/>
      <c r="D6956" t="inlineStr"/>
      <c r="E6956">
        <f>HYPERLINK("https://www.uniprot.org/uniprotkb/A0A0B8RXK8/entry", "A0A0B8RXK8")</f>
        <v/>
      </c>
      <c r="F6956" t="n">
        <v>66.09999999999999</v>
      </c>
      <c r="G6956" t="n">
        <v>245</v>
      </c>
      <c r="H6956" t="n">
        <v>2.11e-82</v>
      </c>
      <c r="I6956" t="inlineStr">
        <is>
          <t>TrEMBL</t>
        </is>
      </c>
      <c r="J6956" t="inlineStr"/>
      <c r="K6956" t="inlineStr">
        <is>
          <t>A0A0B8RXK8_BOIIR</t>
        </is>
      </c>
      <c r="L6956" t="inlineStr">
        <is>
          <t>tr|A0A0B8RXK8|A0A0B8RXK8_BOIIR Golgin subfamily A member 5 OS=Boiga irregularis OX=92519 PE=4 SV=1</t>
        </is>
      </c>
      <c r="M6956" t="n">
        <v>734</v>
      </c>
      <c r="N6956" t="inlineStr">
        <is>
          <t>Boiga irregularis</t>
        </is>
      </c>
      <c r="O6956" t="inlineStr">
        <is>
          <t>Golgin subfamily A member 5</t>
        </is>
      </c>
    </row>
    <row r="6957">
      <c r="A6957" t="inlineStr"/>
      <c r="B6957" t="inlineStr"/>
      <c r="C6957" t="inlineStr"/>
      <c r="D6957" t="inlineStr"/>
      <c r="E6957">
        <f>HYPERLINK("https://www.uniprot.org/uniprotkb/A0A7L0IMK9/entry", "A0A7L0IMK9")</f>
        <v/>
      </c>
      <c r="F6957" t="n">
        <v>63</v>
      </c>
      <c r="G6957" t="n">
        <v>246</v>
      </c>
      <c r="H6957" t="n">
        <v>3.08e-82</v>
      </c>
      <c r="I6957" t="inlineStr">
        <is>
          <t>TrEMBL</t>
        </is>
      </c>
      <c r="J6957" t="inlineStr">
        <is>
          <t>Golga5</t>
        </is>
      </c>
      <c r="K6957" t="inlineStr">
        <is>
          <t>A0A7L0IMK9_PIPCL</t>
        </is>
      </c>
      <c r="L6957" t="inlineStr">
        <is>
          <t>tr|A0A7L0IMK9|A0A7L0IMK9_PIPCL Golgin subfamily A member 5 (Fragment) OS=Piprites chloris OX=114369 GN=Golga5 PE=4 SV=1</t>
        </is>
      </c>
      <c r="M6957" t="n">
        <v>736</v>
      </c>
      <c r="N6957" t="inlineStr">
        <is>
          <t>Piprites chloris</t>
        </is>
      </c>
      <c r="O6957" t="inlineStr">
        <is>
          <t>Golgin subfamily A member 5 (Fragment)</t>
        </is>
      </c>
    </row>
    <row r="6958">
      <c r="A6958" t="inlineStr"/>
      <c r="B6958" t="inlineStr"/>
      <c r="C6958" t="inlineStr"/>
      <c r="D6958" t="inlineStr"/>
      <c r="E6958">
        <f>HYPERLINK("https://www.uniprot.org/uniprotkb/A0A7L0DT58/entry", "A0A7L0DT58")</f>
        <v/>
      </c>
      <c r="F6958" t="n">
        <v>88.2</v>
      </c>
      <c r="G6958" t="n">
        <v>246</v>
      </c>
      <c r="H6958" t="n">
        <v>3.08e-82</v>
      </c>
      <c r="I6958" t="inlineStr">
        <is>
          <t>TrEMBL</t>
        </is>
      </c>
      <c r="J6958" t="inlineStr">
        <is>
          <t>Golga5</t>
        </is>
      </c>
      <c r="K6958" t="inlineStr">
        <is>
          <t>A0A7L0DT58_TROML</t>
        </is>
      </c>
      <c r="L6958" t="inlineStr">
        <is>
          <t>tr|A0A7L0DT58|A0A7L0DT58_TROML Golgin subfamily A member 5 (Fragment) OS=Trogon melanurus OX=56311 GN=Golga5 PE=4 SV=1</t>
        </is>
      </c>
      <c r="M6958" t="n">
        <v>736</v>
      </c>
      <c r="N6958" t="inlineStr">
        <is>
          <t>Trogon melanurus</t>
        </is>
      </c>
      <c r="O6958" t="inlineStr">
        <is>
          <t>Golgin subfamily A member 5 (Fragment)</t>
        </is>
      </c>
    </row>
    <row r="6959">
      <c r="A6959" t="inlineStr"/>
      <c r="B6959" t="inlineStr"/>
      <c r="C6959" t="inlineStr"/>
      <c r="D6959" t="inlineStr"/>
      <c r="E6959">
        <f>HYPERLINK("https://www.uniprot.org/uniprotkb/A0A7L1KPU0/entry", "A0A7L1KPU0")</f>
        <v/>
      </c>
      <c r="F6959" t="n">
        <v>79.3</v>
      </c>
      <c r="G6959" t="n">
        <v>246</v>
      </c>
      <c r="H6959" t="n">
        <v>3.08e-82</v>
      </c>
      <c r="I6959" t="inlineStr">
        <is>
          <t>TrEMBL</t>
        </is>
      </c>
      <c r="J6959" t="inlineStr">
        <is>
          <t>Golga5</t>
        </is>
      </c>
      <c r="K6959" t="inlineStr">
        <is>
          <t>A0A7L1KPU0_HIMHI</t>
        </is>
      </c>
      <c r="L6959" t="inlineStr">
        <is>
          <t>tr|A0A7L1KPU0|A0A7L1KPU0_HIMHI Golgin subfamily A member 5 (Fragment) OS=Himantopus himantopus OX=225398 GN=Golga5 PE=4 SV=1</t>
        </is>
      </c>
      <c r="M6959" t="n">
        <v>736</v>
      </c>
      <c r="N6959" t="inlineStr">
        <is>
          <t>Himantopus himantopus</t>
        </is>
      </c>
      <c r="O6959" t="inlineStr">
        <is>
          <t>Golgin subfamily A member 5 (Fragment)</t>
        </is>
      </c>
    </row>
    <row r="6960">
      <c r="A6960" t="inlineStr"/>
      <c r="B6960" t="inlineStr"/>
      <c r="C6960" t="inlineStr"/>
      <c r="D6960" t="inlineStr"/>
      <c r="E6960">
        <f>HYPERLINK("https://www.uniprot.org/uniprotkb/A0A093FB88/entry", "A0A093FB88")</f>
        <v/>
      </c>
      <c r="F6960" t="n">
        <v>77.2</v>
      </c>
      <c r="G6960" t="n">
        <v>246</v>
      </c>
      <c r="H6960" t="n">
        <v>3.26e-82</v>
      </c>
      <c r="I6960" t="inlineStr">
        <is>
          <t>TrEMBL</t>
        </is>
      </c>
      <c r="J6960" t="inlineStr">
        <is>
          <t>N341_11075</t>
        </is>
      </c>
      <c r="K6960" t="inlineStr">
        <is>
          <t>A0A093FB88_TYTAL</t>
        </is>
      </c>
      <c r="L6960" t="inlineStr">
        <is>
          <t>tr|A0A093FB88|A0A093FB88_TYTAL Golgin subfamily A member 5 OS=Tyto alba OX=56313 GN=N341_11075 PE=4 SV=1</t>
        </is>
      </c>
      <c r="M6960" t="n">
        <v>739</v>
      </c>
      <c r="N6960" t="inlineStr">
        <is>
          <t>Tyto alba</t>
        </is>
      </c>
      <c r="O6960" t="inlineStr">
        <is>
          <t>Golgin subfamily A member 5</t>
        </is>
      </c>
    </row>
    <row r="6961">
      <c r="A6961" t="inlineStr"/>
      <c r="B6961" t="inlineStr"/>
      <c r="C6961" t="inlineStr"/>
      <c r="D6961" t="inlineStr"/>
      <c r="E6961">
        <f>HYPERLINK("https://www.uniprot.org/uniprotkb/A0A091TIH5/entry", "A0A091TIH5")</f>
        <v/>
      </c>
      <c r="F6961" t="n">
        <v>87</v>
      </c>
      <c r="G6961" t="n">
        <v>246</v>
      </c>
      <c r="H6961" t="n">
        <v>3.98e-82</v>
      </c>
      <c r="I6961" t="inlineStr">
        <is>
          <t>TrEMBL</t>
        </is>
      </c>
      <c r="J6961" t="inlineStr">
        <is>
          <t>N334_08264</t>
        </is>
      </c>
      <c r="K6961" t="inlineStr">
        <is>
          <t>A0A091TIH5_PELCR</t>
        </is>
      </c>
      <c r="L6961" t="inlineStr">
        <is>
          <t>tr|A0A091TIH5|A0A091TIH5_PELCR Golgin subfamily A member 5 (Fragment) OS=Pelecanus crispus OX=36300 GN=N334_08264 PE=4 SV=1</t>
        </is>
      </c>
      <c r="M6961" t="n">
        <v>548</v>
      </c>
      <c r="N6961" t="inlineStr">
        <is>
          <t>Pelecanus crispus</t>
        </is>
      </c>
      <c r="O6961" t="inlineStr">
        <is>
          <t>Golgin subfamily A member 5 (Fragment)</t>
        </is>
      </c>
    </row>
    <row r="6962">
      <c r="A6962" t="inlineStr"/>
      <c r="B6962" t="inlineStr"/>
      <c r="C6962" t="inlineStr"/>
      <c r="D6962" t="inlineStr"/>
      <c r="E6962">
        <f>HYPERLINK("https://www.uniprot.org/uniprotkb/Q8TBA6/entry", "Q8TBA6")</f>
        <v/>
      </c>
      <c r="F6962" t="n">
        <v>63</v>
      </c>
      <c r="G6962" t="n">
        <v>246</v>
      </c>
      <c r="H6962" t="n">
        <v>1.92e-79</v>
      </c>
      <c r="I6962" t="inlineStr">
        <is>
          <t>Swiss-Prot</t>
        </is>
      </c>
      <c r="J6962" t="inlineStr">
        <is>
          <t>GOLGA5</t>
        </is>
      </c>
      <c r="K6962" t="inlineStr">
        <is>
          <t>GOGA5_HUMAN</t>
        </is>
      </c>
      <c r="L6962" t="inlineStr">
        <is>
          <t>sp|Q8TBA6|GOGA5_HUMAN Golgin subfamily A member 5 OS=Homo sapiens OX=9606 GN=GOLGA5 PE=1 SV=3</t>
        </is>
      </c>
      <c r="M6962" t="n">
        <v>731</v>
      </c>
      <c r="N6962" t="inlineStr">
        <is>
          <t>Homo sapiens</t>
        </is>
      </c>
      <c r="O6962" t="inlineStr">
        <is>
          <t>Golgin subfamily A member 5</t>
        </is>
      </c>
    </row>
    <row r="6963">
      <c r="A6963" t="inlineStr"/>
      <c r="B6963" t="inlineStr"/>
      <c r="C6963" t="inlineStr"/>
      <c r="D6963" t="inlineStr"/>
      <c r="E6963">
        <f>HYPERLINK("https://www.uniprot.org/uniprotkb/Q3ZU82/entry", "Q3ZU82")</f>
        <v/>
      </c>
      <c r="F6963" t="n">
        <v>66.7</v>
      </c>
      <c r="G6963" t="n">
        <v>246</v>
      </c>
      <c r="H6963" t="n">
        <v>5.91e-76</v>
      </c>
      <c r="I6963" t="inlineStr">
        <is>
          <t>Swiss-Prot</t>
        </is>
      </c>
      <c r="J6963" t="inlineStr">
        <is>
          <t>Golga5</t>
        </is>
      </c>
      <c r="K6963" t="inlineStr">
        <is>
          <t>GOGA5_RAT</t>
        </is>
      </c>
      <c r="L6963" t="inlineStr">
        <is>
          <t>sp|Q3ZU82|GOGA5_RAT Golgin subfamily A member 5 OS=Rattus norvegicus OX=10116 GN=Golga5 PE=1 SV=1</t>
        </is>
      </c>
      <c r="M6963" t="n">
        <v>728</v>
      </c>
      <c r="N6963" t="inlineStr">
        <is>
          <t>Rattus norvegicus</t>
        </is>
      </c>
      <c r="O6963" t="inlineStr">
        <is>
          <t>Golgin subfamily A member 5</t>
        </is>
      </c>
    </row>
    <row r="6964">
      <c r="A6964" t="inlineStr"/>
      <c r="B6964" t="inlineStr"/>
      <c r="C6964" t="inlineStr"/>
      <c r="D6964" t="inlineStr"/>
      <c r="E6964">
        <f>HYPERLINK("https://www.uniprot.org/uniprotkb/Q9QYE6/entry", "Q9QYE6")</f>
        <v/>
      </c>
      <c r="F6964" t="n">
        <v>82.5</v>
      </c>
      <c r="G6964" t="n">
        <v>246</v>
      </c>
      <c r="H6964" t="n">
        <v>1.65e-75</v>
      </c>
      <c r="I6964" t="inlineStr">
        <is>
          <t>Swiss-Prot</t>
        </is>
      </c>
      <c r="J6964" t="inlineStr">
        <is>
          <t>Golga5</t>
        </is>
      </c>
      <c r="K6964" t="inlineStr">
        <is>
          <t>GOGA5_MOUSE</t>
        </is>
      </c>
      <c r="L6964" t="inlineStr">
        <is>
          <t>sp|Q9QYE6|GOGA5_MOUSE Golgin subfamily A member 5 OS=Mus musculus OX=10090 GN=Golga5 PE=1 SV=2</t>
        </is>
      </c>
      <c r="M6964" t="n">
        <v>729</v>
      </c>
      <c r="N6964" t="inlineStr">
        <is>
          <t>Mus musculus</t>
        </is>
      </c>
      <c r="O6964" t="inlineStr">
        <is>
          <t>Golgin subfamily A member 5</t>
        </is>
      </c>
    </row>
    <row r="6965">
      <c r="A6965" t="inlineStr"/>
      <c r="B6965" t="inlineStr"/>
      <c r="C6965" t="inlineStr"/>
      <c r="D6965" t="inlineStr"/>
      <c r="E6965">
        <f>HYPERLINK("https://www.uniprot.org/uniprotkb/Q7SXE4/entry", "Q7SXE4")</f>
        <v/>
      </c>
      <c r="F6965" t="n">
        <v>75.3</v>
      </c>
      <c r="G6965" t="n">
        <v>158</v>
      </c>
      <c r="H6965" t="n">
        <v>9.699999999999999e-67</v>
      </c>
      <c r="I6965" t="inlineStr">
        <is>
          <t>Swiss-Prot</t>
        </is>
      </c>
      <c r="J6965" t="inlineStr">
        <is>
          <t>golga5</t>
        </is>
      </c>
      <c r="K6965" t="inlineStr">
        <is>
          <t>GOGA5_DANRE</t>
        </is>
      </c>
      <c r="L6965" t="inlineStr">
        <is>
          <t>sp|Q7SXE4|GOGA5_DANRE Golgin subfamily A member 5 OS=Danio rerio OX=7955 GN=golga5 PE=2 SV=1</t>
        </is>
      </c>
      <c r="M6965" t="n">
        <v>760</v>
      </c>
      <c r="N6965" t="inlineStr">
        <is>
          <t>Danio rerio</t>
        </is>
      </c>
      <c r="O6965" t="inlineStr">
        <is>
          <t>Golgin subfamily A member 5</t>
        </is>
      </c>
    </row>
    <row r="6966">
      <c r="A6966" t="inlineStr"/>
      <c r="B6966" t="inlineStr"/>
      <c r="C6966" t="inlineStr"/>
      <c r="D6966" t="inlineStr"/>
      <c r="E6966">
        <f>HYPERLINK("https://www.uniprot.org/uniprotkb/Q8SZ63/entry", "Q8SZ63")</f>
        <v/>
      </c>
      <c r="F6966" t="n">
        <v>37.6</v>
      </c>
      <c r="G6966" t="n">
        <v>149</v>
      </c>
      <c r="H6966" t="n">
        <v>3.51e-15</v>
      </c>
      <c r="I6966" t="inlineStr">
        <is>
          <t>Swiss-Prot</t>
        </is>
      </c>
      <c r="J6966" t="inlineStr">
        <is>
          <t>Golgin84</t>
        </is>
      </c>
      <c r="K6966" t="inlineStr">
        <is>
          <t>GOGA5_DROME</t>
        </is>
      </c>
      <c r="L6966" t="inlineStr">
        <is>
          <t>sp|Q8SZ63|GOGA5_DROME Golgin-84 OS=Drosophila melanogaster OX=7227 GN=Golgin84 PE=1 SV=2</t>
        </is>
      </c>
      <c r="M6966" t="n">
        <v>516</v>
      </c>
      <c r="N6966" t="inlineStr">
        <is>
          <t>Drosophila melanogaster</t>
        </is>
      </c>
      <c r="O6966" t="inlineStr">
        <is>
          <t>Golgin-84</t>
        </is>
      </c>
    </row>
    <row r="6967">
      <c r="A6967" t="inlineStr"/>
      <c r="B6967" t="inlineStr"/>
      <c r="C6967" t="inlineStr"/>
      <c r="D6967" t="inlineStr"/>
      <c r="E6967">
        <f>HYPERLINK("https://www.uniprot.org/uniprotkb/P90970/entry", "P90970")</f>
        <v/>
      </c>
      <c r="F6967" t="n">
        <v>33.8</v>
      </c>
      <c r="G6967" t="n">
        <v>133</v>
      </c>
      <c r="H6967" t="n">
        <v>3.7e-08</v>
      </c>
      <c r="I6967" t="inlineStr">
        <is>
          <t>Swiss-Prot</t>
        </is>
      </c>
      <c r="J6967" t="inlineStr">
        <is>
          <t>T24B1.1</t>
        </is>
      </c>
      <c r="K6967" t="inlineStr">
        <is>
          <t>GOGA5_CAEEL</t>
        </is>
      </c>
      <c r="L6967" t="inlineStr">
        <is>
          <t>sp|P90970|GOGA5_CAEEL Golgin-84 OS=Caenorhabditis elegans OX=6239 GN=T24B1.1 PE=3 SV=2</t>
        </is>
      </c>
      <c r="M6967" t="n">
        <v>530</v>
      </c>
      <c r="N6967" t="inlineStr">
        <is>
          <t>Caenorhabditis elegans</t>
        </is>
      </c>
      <c r="O6967" t="inlineStr">
        <is>
          <t>Golgin-84</t>
        </is>
      </c>
    </row>
    <row r="6968">
      <c r="A6968" t="inlineStr"/>
      <c r="B6968" t="inlineStr"/>
      <c r="C6968" t="inlineStr"/>
      <c r="D6968" t="inlineStr"/>
      <c r="E6968">
        <f>HYPERLINK("https://www.uniprot.org/uniprotkb/B0F9L7/entry", "B0F9L7")</f>
        <v/>
      </c>
      <c r="F6968" t="n">
        <v>32.6</v>
      </c>
      <c r="G6968" t="n">
        <v>138</v>
      </c>
      <c r="H6968" t="n">
        <v>4.24e-07</v>
      </c>
      <c r="I6968" t="inlineStr">
        <is>
          <t>Swiss-Prot</t>
        </is>
      </c>
      <c r="J6968" t="inlineStr">
        <is>
          <t>GC2</t>
        </is>
      </c>
      <c r="K6968" t="inlineStr">
        <is>
          <t>GOGC2_ARATH</t>
        </is>
      </c>
      <c r="L6968" t="inlineStr">
        <is>
          <t>sp|B0F9L7|GOGC2_ARATH Golgin candidate 2 OS=Arabidopsis thaliana OX=3702 GN=GC2 PE=1 SV=1</t>
        </is>
      </c>
      <c r="M6968" t="n">
        <v>668</v>
      </c>
      <c r="N6968" t="inlineStr">
        <is>
          <t>Arabidopsis thaliana</t>
        </is>
      </c>
      <c r="O6968" t="inlineStr">
        <is>
          <t>Golgin candidate 2</t>
        </is>
      </c>
    </row>
    <row r="6969">
      <c r="A6969" t="inlineStr"/>
      <c r="B6969" t="inlineStr"/>
      <c r="C6969" t="inlineStr"/>
      <c r="D6969" t="inlineStr"/>
      <c r="E6969">
        <f>HYPERLINK("https://www.uniprot.org/uniprotkb/Q5JLY8/entry", "Q5JLY8")</f>
        <v/>
      </c>
      <c r="F6969" t="n">
        <v>32.8</v>
      </c>
      <c r="G6969" t="n">
        <v>134</v>
      </c>
      <c r="H6969" t="n">
        <v>5.78e-07</v>
      </c>
      <c r="I6969" t="inlineStr">
        <is>
          <t>Swiss-Prot</t>
        </is>
      </c>
      <c r="J6969" t="inlineStr">
        <is>
          <t>Os01g0744400</t>
        </is>
      </c>
      <c r="K6969" t="inlineStr">
        <is>
          <t>GOGA5_ORYSJ</t>
        </is>
      </c>
      <c r="L6969" t="inlineStr">
        <is>
          <t>sp|Q5JLY8|GOGA5_ORYSJ Golgin-84 OS=Oryza sativa subsp. japonica OX=39947 GN=Os01g0744400 PE=2 SV=1</t>
        </is>
      </c>
      <c r="M6969" t="n">
        <v>709</v>
      </c>
      <c r="N6969" t="inlineStr">
        <is>
          <t>Oryza sativa subsp. japonica</t>
        </is>
      </c>
      <c r="O6969" t="inlineStr">
        <is>
          <t>Golgin-84</t>
        </is>
      </c>
    </row>
    <row r="6970">
      <c r="A6970" t="inlineStr"/>
      <c r="B6970" t="inlineStr"/>
      <c r="C6970" t="inlineStr"/>
      <c r="D6970" t="inlineStr"/>
      <c r="E6970">
        <f>HYPERLINK("https://www.uniprot.org/uniprotkb/Q8S8N9/entry", "Q8S8N9")</f>
        <v/>
      </c>
      <c r="F6970" t="n">
        <v>29.9</v>
      </c>
      <c r="G6970" t="n">
        <v>134</v>
      </c>
      <c r="H6970" t="n">
        <v>1.45e-05</v>
      </c>
      <c r="I6970" t="inlineStr">
        <is>
          <t>Swiss-Prot</t>
        </is>
      </c>
      <c r="J6970" t="inlineStr">
        <is>
          <t>GC1</t>
        </is>
      </c>
      <c r="K6970" t="inlineStr">
        <is>
          <t>GOGC1_ARATH</t>
        </is>
      </c>
      <c r="L6970" t="inlineStr">
        <is>
          <t>sp|Q8S8N9|GOGC1_ARATH Golgin candidate 1 OS=Arabidopsis thaliana OX=3702 GN=GC1 PE=2 SV=2</t>
        </is>
      </c>
      <c r="M6970" t="n">
        <v>707</v>
      </c>
      <c r="N6970" t="inlineStr">
        <is>
          <t>Arabidopsis thaliana</t>
        </is>
      </c>
      <c r="O6970" t="inlineStr">
        <is>
          <t>Golgin candidate 1</t>
        </is>
      </c>
    </row>
    <row r="6971">
      <c r="A6971" t="inlineStr">
        <is>
          <t>NODE_4583_length_7911_cov_28.712902_g1756_i0</t>
        </is>
      </c>
      <c r="B6971" t="inlineStr">
        <is>
          <t>bombina_pachypus_blastx</t>
        </is>
      </c>
      <c r="C6971" t="n">
        <v>-2.47696375231186</v>
      </c>
      <c r="D6971" t="n">
        <v>0.0393442048413663</v>
      </c>
      <c r="E6971">
        <f>HYPERLINK("https://www.ncbi.nlm.nih.gov/gene/?term=XP_053326427.1", "XP_053326427.1")</f>
        <v/>
      </c>
      <c r="F6971" t="n">
        <v>56.3</v>
      </c>
      <c r="G6971" t="n">
        <v>465</v>
      </c>
      <c r="H6971" t="n">
        <v>6.34e-158</v>
      </c>
      <c r="I6971" t="inlineStr">
        <is>
          <t>Nr</t>
        </is>
      </c>
      <c r="J6971" t="inlineStr"/>
      <c r="K6971" t="inlineStr"/>
      <c r="L6971" t="inlineStr">
        <is>
          <t>XP_053326427.1 fibroblast growth factor receptor substrate 2-like [Spea bombifrons]</t>
        </is>
      </c>
      <c r="M6971" t="n">
        <v>447</v>
      </c>
      <c r="N6971" t="inlineStr">
        <is>
          <t>Spea bombifrons</t>
        </is>
      </c>
      <c r="O6971" t="inlineStr">
        <is>
          <t>fibroblast growth factor receptor substrate 2-like</t>
        </is>
      </c>
    </row>
    <row r="6972">
      <c r="A6972" t="inlineStr"/>
      <c r="B6972" t="inlineStr"/>
      <c r="C6972" t="inlineStr"/>
      <c r="D6972" t="inlineStr"/>
      <c r="E6972">
        <f>HYPERLINK("https://www.ncbi.nlm.nih.gov/gene/?term=KAG8558319.1", "KAG8558319.1")</f>
        <v/>
      </c>
      <c r="F6972" t="n">
        <v>54.9</v>
      </c>
      <c r="G6972" t="n">
        <v>459</v>
      </c>
      <c r="H6972" t="n">
        <v>1.14e-150</v>
      </c>
      <c r="I6972" t="inlineStr">
        <is>
          <t>Nr</t>
        </is>
      </c>
      <c r="J6972" t="inlineStr"/>
      <c r="K6972" t="inlineStr"/>
      <c r="L6972" t="inlineStr">
        <is>
          <t>KAG8558319.1 hypothetical protein GDO81_016949 [Engystomops pustulosus]</t>
        </is>
      </c>
      <c r="M6972" t="n">
        <v>446</v>
      </c>
      <c r="N6972" t="inlineStr">
        <is>
          <t>Engystomops pustulosus</t>
        </is>
      </c>
      <c r="O6972" t="inlineStr">
        <is>
          <t>hypothetical protein GDO81_016949</t>
        </is>
      </c>
    </row>
    <row r="6973">
      <c r="A6973" t="inlineStr"/>
      <c r="B6973" t="inlineStr"/>
      <c r="C6973" t="inlineStr"/>
      <c r="D6973" t="inlineStr"/>
      <c r="E6973">
        <f>HYPERLINK("https://www.ncbi.nlm.nih.gov/gene/?term=XP_044160866.1", "XP_044160866.1")</f>
        <v/>
      </c>
      <c r="F6973" t="n">
        <v>55.3</v>
      </c>
      <c r="G6973" t="n">
        <v>463</v>
      </c>
      <c r="H6973" t="n">
        <v>5.5e-150</v>
      </c>
      <c r="I6973" t="inlineStr">
        <is>
          <t>Nr</t>
        </is>
      </c>
      <c r="J6973" t="inlineStr"/>
      <c r="K6973" t="inlineStr"/>
      <c r="L6973" t="inlineStr">
        <is>
          <t>XP_044160866.1 fibroblast growth factor receptor substrate 2-like [Bufo gargarizans]</t>
        </is>
      </c>
      <c r="M6973" t="n">
        <v>441</v>
      </c>
      <c r="N6973" t="inlineStr">
        <is>
          <t>Bufo gargarizans</t>
        </is>
      </c>
      <c r="O6973" t="inlineStr">
        <is>
          <t>fibroblast growth factor receptor substrate 2-like</t>
        </is>
      </c>
    </row>
    <row r="6974">
      <c r="A6974" t="inlineStr"/>
      <c r="B6974" t="inlineStr"/>
      <c r="C6974" t="inlineStr"/>
      <c r="D6974" t="inlineStr"/>
      <c r="E6974">
        <f>HYPERLINK("https://www.ncbi.nlm.nih.gov/gene/?term=XP_040296611.1", "XP_040296611.1")</f>
        <v/>
      </c>
      <c r="F6974" t="n">
        <v>55.5</v>
      </c>
      <c r="G6974" t="n">
        <v>463</v>
      </c>
      <c r="H6974" t="n">
        <v>8.07e-150</v>
      </c>
      <c r="I6974" t="inlineStr">
        <is>
          <t>Nr</t>
        </is>
      </c>
      <c r="J6974" t="inlineStr"/>
      <c r="K6974" t="inlineStr"/>
      <c r="L6974" t="inlineStr">
        <is>
          <t>XP_040296611.1 fibroblast growth factor receptor substrate 2-like [Bufo bufo]</t>
        </is>
      </c>
      <c r="M6974" t="n">
        <v>442</v>
      </c>
      <c r="N6974" t="inlineStr">
        <is>
          <t>Bufo bufo</t>
        </is>
      </c>
      <c r="O6974" t="inlineStr">
        <is>
          <t>fibroblast growth factor receptor substrate 2-like</t>
        </is>
      </c>
    </row>
    <row r="6975">
      <c r="A6975" t="inlineStr"/>
      <c r="B6975" t="inlineStr"/>
      <c r="C6975" t="inlineStr"/>
      <c r="D6975" t="inlineStr"/>
      <c r="E6975">
        <f>HYPERLINK("https://www.uniprot.org/uniprotkb/Q6PAW7/entry", "Q6PAW7")</f>
        <v/>
      </c>
      <c r="F6975" t="n">
        <v>52.7</v>
      </c>
      <c r="G6975" t="n">
        <v>461</v>
      </c>
      <c r="H6975" t="n">
        <v>4.13e-137</v>
      </c>
      <c r="I6975" t="inlineStr">
        <is>
          <t>TrEMBL</t>
        </is>
      </c>
      <c r="J6975" t="inlineStr">
        <is>
          <t>MGC68639</t>
        </is>
      </c>
      <c r="K6975" t="inlineStr">
        <is>
          <t>Q6PAW7_XENLA</t>
        </is>
      </c>
      <c r="L6975" t="inlineStr">
        <is>
          <t>tr|Q6PAW7|Q6PAW7_XENLA MGC68639 protein OS=Xenopus laevis OX=8355 GN=MGC68639 PE=2 SV=1</t>
        </is>
      </c>
      <c r="M6975" t="n">
        <v>439</v>
      </c>
      <c r="N6975" t="inlineStr">
        <is>
          <t>Xenopus laevis</t>
        </is>
      </c>
      <c r="O6975" t="inlineStr">
        <is>
          <t>MGC68639 protein</t>
        </is>
      </c>
    </row>
    <row r="6976">
      <c r="A6976" t="inlineStr"/>
      <c r="B6976" t="inlineStr"/>
      <c r="C6976" t="inlineStr"/>
      <c r="D6976" t="inlineStr"/>
      <c r="E6976">
        <f>HYPERLINK("https://www.uniprot.org/uniprotkb/A0A8J0TJ41/entry", "A0A8J0TJ41")</f>
        <v/>
      </c>
      <c r="F6976" t="n">
        <v>52.7</v>
      </c>
      <c r="G6976" t="n">
        <v>461</v>
      </c>
      <c r="H6976" t="n">
        <v>8.28e-137</v>
      </c>
      <c r="I6976" t="inlineStr">
        <is>
          <t>TrEMBL</t>
        </is>
      </c>
      <c r="J6976" t="inlineStr">
        <is>
          <t>MGC68639</t>
        </is>
      </c>
      <c r="K6976" t="inlineStr">
        <is>
          <t>A0A8J0TJ41_XENLA</t>
        </is>
      </c>
      <c r="L6976" t="inlineStr">
        <is>
          <t>tr|A0A8J0TJ41|A0A8J0TJ41_XENLA uncharacterized protein LOC398785 isoform X1 OS=Xenopus laevis OX=8355 GN=MGC68639 PE=4 SV=1</t>
        </is>
      </c>
      <c r="M6976" t="n">
        <v>439</v>
      </c>
      <c r="N6976" t="inlineStr">
        <is>
          <t>Xenopus laevis</t>
        </is>
      </c>
      <c r="O6976" t="inlineStr">
        <is>
          <t>uncharacterized protein LOC398785 isoform X1</t>
        </is>
      </c>
    </row>
    <row r="6977">
      <c r="A6977" t="inlineStr"/>
      <c r="B6977" t="inlineStr"/>
      <c r="C6977" t="inlineStr"/>
      <c r="D6977" t="inlineStr"/>
      <c r="E6977">
        <f>HYPERLINK("https://www.ncbi.nlm.nih.gov/gene/?term=NP_001083176.1", "NP_001083176.1")</f>
        <v/>
      </c>
      <c r="F6977" t="n">
        <v>52.7</v>
      </c>
      <c r="G6977" t="n">
        <v>461</v>
      </c>
      <c r="H6977" t="n">
        <v>1.06e-136</v>
      </c>
      <c r="I6977" t="inlineStr">
        <is>
          <t>Nr</t>
        </is>
      </c>
      <c r="J6977" t="inlineStr"/>
      <c r="K6977" t="inlineStr"/>
      <c r="L6977" t="inlineStr">
        <is>
          <t>NP_001083176.1 uncharacterized protein LOC398785 [Xenopus laevis]</t>
        </is>
      </c>
      <c r="M6977" t="n">
        <v>439</v>
      </c>
      <c r="N6977" t="inlineStr">
        <is>
          <t>Xenopus laevis</t>
        </is>
      </c>
      <c r="O6977" t="inlineStr">
        <is>
          <t>uncharacterized protein LOC398785</t>
        </is>
      </c>
    </row>
    <row r="6978">
      <c r="A6978" t="inlineStr"/>
      <c r="B6978" t="inlineStr"/>
      <c r="C6978" t="inlineStr"/>
      <c r="D6978" t="inlineStr"/>
      <c r="E6978">
        <f>HYPERLINK("https://www.uniprot.org/uniprotkb/Q28I02/entry", "Q28I02")</f>
        <v/>
      </c>
      <c r="F6978" t="n">
        <v>52.9</v>
      </c>
      <c r="G6978" t="n">
        <v>456</v>
      </c>
      <c r="H6978" t="n">
        <v>2.06e-136</v>
      </c>
      <c r="I6978" t="inlineStr">
        <is>
          <t>TrEMBL</t>
        </is>
      </c>
      <c r="J6978" t="inlineStr">
        <is>
          <t>frs2</t>
        </is>
      </c>
      <c r="K6978" t="inlineStr">
        <is>
          <t>Q28I02_XENTR</t>
        </is>
      </c>
      <c r="L6978" t="inlineStr">
        <is>
          <t>tr|Q28I02|Q28I02_XENTR Fibroblast growth factor receptor substrate 2 OS=Xenopus tropicalis OX=8364 GN=frs2 PE=2 SV=1</t>
        </is>
      </c>
      <c r="M6978" t="n">
        <v>435</v>
      </c>
      <c r="N6978" t="inlineStr">
        <is>
          <t>Xenopus tropicalis</t>
        </is>
      </c>
      <c r="O6978" t="inlineStr">
        <is>
          <t>Fibroblast growth factor receptor substrate 2</t>
        </is>
      </c>
    </row>
    <row r="6979">
      <c r="A6979" t="inlineStr"/>
      <c r="B6979" t="inlineStr"/>
      <c r="C6979" t="inlineStr"/>
      <c r="D6979" t="inlineStr"/>
      <c r="E6979">
        <f>HYPERLINK("https://www.ncbi.nlm.nih.gov/gene/?term=XP_018089671.1", "XP_018089671.1")</f>
        <v/>
      </c>
      <c r="F6979" t="n">
        <v>52.7</v>
      </c>
      <c r="G6979" t="n">
        <v>461</v>
      </c>
      <c r="H6979" t="n">
        <v>2.13e-136</v>
      </c>
      <c r="I6979" t="inlineStr">
        <is>
          <t>Nr</t>
        </is>
      </c>
      <c r="J6979" t="inlineStr"/>
      <c r="K6979" t="inlineStr"/>
      <c r="L6979" t="inlineStr">
        <is>
          <t>XP_018089671.1 uncharacterized protein LOC398785 isoform X1 [Xenopus laevis]</t>
        </is>
      </c>
      <c r="M6979" t="n">
        <v>439</v>
      </c>
      <c r="N6979" t="inlineStr">
        <is>
          <t>Xenopus laevis</t>
        </is>
      </c>
      <c r="O6979" t="inlineStr">
        <is>
          <t>uncharacterized protein LOC398785 isoform X1</t>
        </is>
      </c>
    </row>
    <row r="6980">
      <c r="A6980" t="inlineStr"/>
      <c r="B6980" t="inlineStr"/>
      <c r="C6980" t="inlineStr"/>
      <c r="D6980" t="inlineStr"/>
      <c r="E6980">
        <f>HYPERLINK("https://www.uniprot.org/uniprotkb/A0A8J1ISG0/entry", "A0A8J1ISG0")</f>
        <v/>
      </c>
      <c r="F6980" t="n">
        <v>52.9</v>
      </c>
      <c r="G6980" t="n">
        <v>456</v>
      </c>
      <c r="H6980" t="n">
        <v>4.71e-136</v>
      </c>
      <c r="I6980" t="inlineStr">
        <is>
          <t>TrEMBL</t>
        </is>
      </c>
      <c r="J6980" t="inlineStr">
        <is>
          <t>LOC549936</t>
        </is>
      </c>
      <c r="K6980" t="inlineStr">
        <is>
          <t>A0A8J1ISG0_XENTR</t>
        </is>
      </c>
      <c r="L6980" t="inlineStr">
        <is>
          <t>tr|A0A8J1ISG0|A0A8J1ISG0_XENTR fibroblast growth factor receptor substrate 2 isoform X2 OS=Xenopus tropicalis OX=8364 GN=LOC549936 PE=4 SV=1</t>
        </is>
      </c>
      <c r="M6980" t="n">
        <v>460</v>
      </c>
      <c r="N6980" t="inlineStr">
        <is>
          <t>Xenopus tropicalis</t>
        </is>
      </c>
      <c r="O6980" t="inlineStr">
        <is>
          <t>fibroblast growth factor receptor substrate 2 isoform X2</t>
        </is>
      </c>
    </row>
    <row r="6981">
      <c r="A6981" t="inlineStr"/>
      <c r="B6981" t="inlineStr"/>
      <c r="C6981" t="inlineStr"/>
      <c r="D6981" t="inlineStr"/>
      <c r="E6981">
        <f>HYPERLINK("https://www.ncbi.nlm.nih.gov/gene/?term=NP_001017182.1", "NP_001017182.1")</f>
        <v/>
      </c>
      <c r="F6981" t="n">
        <v>52.9</v>
      </c>
      <c r="G6981" t="n">
        <v>456</v>
      </c>
      <c r="H6981" t="n">
        <v>5.29e-136</v>
      </c>
      <c r="I6981" t="inlineStr">
        <is>
          <t>Nr</t>
        </is>
      </c>
      <c r="J6981" t="inlineStr"/>
      <c r="K6981" t="inlineStr"/>
      <c r="L6981" t="inlineStr">
        <is>
          <t>NP_001017182.1 fibroblast growth factor receptor substrate 2 [Xenopus tropicalis]</t>
        </is>
      </c>
      <c r="M6981" t="n">
        <v>435</v>
      </c>
      <c r="N6981" t="inlineStr">
        <is>
          <t>Xenopus tropicalis</t>
        </is>
      </c>
      <c r="O6981" t="inlineStr">
        <is>
          <t>fibroblast growth factor receptor substrate 2</t>
        </is>
      </c>
    </row>
    <row r="6982">
      <c r="A6982" t="inlineStr"/>
      <c r="B6982" t="inlineStr"/>
      <c r="C6982" t="inlineStr"/>
      <c r="D6982" t="inlineStr"/>
      <c r="E6982">
        <f>HYPERLINK("https://www.ncbi.nlm.nih.gov/gene/?term=XP_031748539.1", "XP_031748539.1")</f>
        <v/>
      </c>
      <c r="F6982" t="n">
        <v>52.9</v>
      </c>
      <c r="G6982" t="n">
        <v>456</v>
      </c>
      <c r="H6982" t="n">
        <v>1.21e-135</v>
      </c>
      <c r="I6982" t="inlineStr">
        <is>
          <t>Nr</t>
        </is>
      </c>
      <c r="J6982" t="inlineStr"/>
      <c r="K6982" t="inlineStr"/>
      <c r="L6982" t="inlineStr">
        <is>
          <t>XP_031748539.1 fibroblast growth factor receptor substrate 2 isoform X2 [Xenopus tropicalis]</t>
        </is>
      </c>
      <c r="M6982" t="n">
        <v>460</v>
      </c>
      <c r="N6982" t="inlineStr">
        <is>
          <t>Xenopus tropicalis</t>
        </is>
      </c>
      <c r="O6982" t="inlineStr">
        <is>
          <t>fibroblast growth factor receptor substrate 2 isoform X2</t>
        </is>
      </c>
    </row>
    <row r="6983">
      <c r="A6983" t="inlineStr"/>
      <c r="B6983" t="inlineStr"/>
      <c r="C6983" t="inlineStr"/>
      <c r="D6983" t="inlineStr"/>
      <c r="E6983">
        <f>HYPERLINK("https://www.uniprot.org/uniprotkb/A0A8J1IUW4/entry", "A0A8J1IUW4")</f>
        <v/>
      </c>
      <c r="F6983" t="n">
        <v>52.2</v>
      </c>
      <c r="G6983" t="n">
        <v>462</v>
      </c>
      <c r="H6983" t="n">
        <v>9.319999999999999e-134</v>
      </c>
      <c r="I6983" t="inlineStr">
        <is>
          <t>TrEMBL</t>
        </is>
      </c>
      <c r="J6983" t="inlineStr">
        <is>
          <t>LOC549936</t>
        </is>
      </c>
      <c r="K6983" t="inlineStr">
        <is>
          <t>A0A8J1IUW4_XENTR</t>
        </is>
      </c>
      <c r="L6983" t="inlineStr">
        <is>
          <t>tr|A0A8J1IUW4|A0A8J1IUW4_XENTR fibroblast growth factor receptor substrate 2 isoform X3 OS=Xenopus tropicalis OX=8364 GN=LOC549936 PE=4 SV=1</t>
        </is>
      </c>
      <c r="M6983" t="n">
        <v>441</v>
      </c>
      <c r="N6983" t="inlineStr">
        <is>
          <t>Xenopus tropicalis</t>
        </is>
      </c>
      <c r="O6983" t="inlineStr">
        <is>
          <t>fibroblast growth factor receptor substrate 2 isoform X3</t>
        </is>
      </c>
    </row>
    <row r="6984">
      <c r="A6984" t="inlineStr"/>
      <c r="B6984" t="inlineStr"/>
      <c r="C6984" t="inlineStr"/>
      <c r="D6984" t="inlineStr"/>
      <c r="E6984">
        <f>HYPERLINK("https://www.uniprot.org/uniprotkb/A0A8J1ISH4/entry", "A0A8J1ISH4")</f>
        <v/>
      </c>
      <c r="F6984" t="n">
        <v>52.2</v>
      </c>
      <c r="G6984" t="n">
        <v>462</v>
      </c>
      <c r="H6984" t="n">
        <v>2.12e-133</v>
      </c>
      <c r="I6984" t="inlineStr">
        <is>
          <t>TrEMBL</t>
        </is>
      </c>
      <c r="J6984" t="inlineStr">
        <is>
          <t>LOC549936</t>
        </is>
      </c>
      <c r="K6984" t="inlineStr">
        <is>
          <t>A0A8J1ISH4_XENTR</t>
        </is>
      </c>
      <c r="L6984" t="inlineStr">
        <is>
          <t>tr|A0A8J1ISH4|A0A8J1ISH4_XENTR fibroblast growth factor receptor substrate 2 isoform X1 OS=Xenopus tropicalis OX=8364 GN=LOC549936 PE=4 SV=1</t>
        </is>
      </c>
      <c r="M6984" t="n">
        <v>466</v>
      </c>
      <c r="N6984" t="inlineStr">
        <is>
          <t>Xenopus tropicalis</t>
        </is>
      </c>
      <c r="O6984" t="inlineStr">
        <is>
          <t>fibroblast growth factor receptor substrate 2 isoform X1</t>
        </is>
      </c>
    </row>
    <row r="6985">
      <c r="A6985" t="inlineStr"/>
      <c r="B6985" t="inlineStr"/>
      <c r="C6985" t="inlineStr"/>
      <c r="D6985" t="inlineStr"/>
      <c r="E6985">
        <f>HYPERLINK("https://www.ncbi.nlm.nih.gov/gene/?term=XP_031748540.1", "XP_031748540.1")</f>
        <v/>
      </c>
      <c r="F6985" t="n">
        <v>52.2</v>
      </c>
      <c r="G6985" t="n">
        <v>462</v>
      </c>
      <c r="H6985" t="n">
        <v>2.39e-133</v>
      </c>
      <c r="I6985" t="inlineStr">
        <is>
          <t>Nr</t>
        </is>
      </c>
      <c r="J6985" t="inlineStr"/>
      <c r="K6985" t="inlineStr"/>
      <c r="L6985" t="inlineStr">
        <is>
          <t>XP_031748540.1 fibroblast growth factor receptor substrate 2 isoform X3 [Xenopus tropicalis]</t>
        </is>
      </c>
      <c r="M6985" t="n">
        <v>441</v>
      </c>
      <c r="N6985" t="inlineStr">
        <is>
          <t>Xenopus tropicalis</t>
        </is>
      </c>
      <c r="O6985" t="inlineStr">
        <is>
          <t>fibroblast growth factor receptor substrate 2 isoform X3</t>
        </is>
      </c>
    </row>
    <row r="6986">
      <c r="A6986" t="inlineStr"/>
      <c r="B6986" t="inlineStr"/>
      <c r="C6986" t="inlineStr"/>
      <c r="D6986" t="inlineStr"/>
      <c r="E6986">
        <f>HYPERLINK("https://www.ncbi.nlm.nih.gov/gene/?term=XP_031748538.1", "XP_031748538.1")</f>
        <v/>
      </c>
      <c r="F6986" t="n">
        <v>52.2</v>
      </c>
      <c r="G6986" t="n">
        <v>462</v>
      </c>
      <c r="H6986" t="n">
        <v>5.44e-133</v>
      </c>
      <c r="I6986" t="inlineStr">
        <is>
          <t>Nr</t>
        </is>
      </c>
      <c r="J6986" t="inlineStr"/>
      <c r="K6986" t="inlineStr"/>
      <c r="L6986" t="inlineStr">
        <is>
          <t>XP_031748538.1 fibroblast growth factor receptor substrate 2 isoform X1 [Xenopus tropicalis]</t>
        </is>
      </c>
      <c r="M6986" t="n">
        <v>466</v>
      </c>
      <c r="N6986" t="inlineStr">
        <is>
          <t>Xenopus tropicalis</t>
        </is>
      </c>
      <c r="O6986" t="inlineStr">
        <is>
          <t>fibroblast growth factor receptor substrate 2 isoform X1</t>
        </is>
      </c>
    </row>
    <row r="6987">
      <c r="A6987" t="inlineStr"/>
      <c r="B6987" t="inlineStr"/>
      <c r="C6987" t="inlineStr"/>
      <c r="D6987" t="inlineStr"/>
      <c r="E6987">
        <f>HYPERLINK("https://www.uniprot.org/uniprotkb/A0A822HSD3/entry", "A0A822HSD3")</f>
        <v/>
      </c>
      <c r="F6987" t="n">
        <v>47.8</v>
      </c>
      <c r="G6987" t="n">
        <v>460</v>
      </c>
      <c r="H6987" t="n">
        <v>9.729999999999999e-119</v>
      </c>
      <c r="I6987" t="inlineStr">
        <is>
          <t>TrEMBL</t>
        </is>
      </c>
      <c r="J6987" t="inlineStr">
        <is>
          <t>RIMITATOR_LOCUS14044856</t>
        </is>
      </c>
      <c r="K6987" t="inlineStr">
        <is>
          <t>A0A822HSD3_9NEOB</t>
        </is>
      </c>
      <c r="L6987" t="inlineStr">
        <is>
          <t>tr|A0A822HSD3|A0A822HSD3_9NEOB (mimic poison frog) hypothetical protein OS=Ranitomeya imitator OX=111125 GN=RIMITATOR_LOCUS14044856 PE=4 SV=1</t>
        </is>
      </c>
      <c r="M6987" t="n">
        <v>425</v>
      </c>
      <c r="N6987" t="inlineStr">
        <is>
          <t>Ranitomeya imitator</t>
        </is>
      </c>
      <c r="O6987" t="inlineStr">
        <is>
          <t>(mimic poison frog) hypothetical protein</t>
        </is>
      </c>
    </row>
    <row r="6988">
      <c r="A6988" t="inlineStr"/>
      <c r="B6988" t="inlineStr"/>
      <c r="C6988" t="inlineStr"/>
      <c r="D6988" t="inlineStr"/>
      <c r="E6988">
        <f>HYPERLINK("https://www.uniprot.org/uniprotkb/A0A803K4U9/entry", "A0A803K4U9")</f>
        <v/>
      </c>
      <c r="F6988" t="n">
        <v>47.6</v>
      </c>
      <c r="G6988" t="n">
        <v>456</v>
      </c>
      <c r="H6988" t="n">
        <v>1.05e-113</v>
      </c>
      <c r="I6988" t="inlineStr">
        <is>
          <t>TrEMBL</t>
        </is>
      </c>
      <c r="J6988" t="inlineStr">
        <is>
          <t>LOC549936</t>
        </is>
      </c>
      <c r="K6988" t="inlineStr">
        <is>
          <t>A0A803K4U9_XENTR</t>
        </is>
      </c>
      <c r="L6988" t="inlineStr">
        <is>
          <t>tr|A0A803K4U9|A0A803K4U9_XENTR Fibroblast growth factor receptor substrate 2 OS=Xenopus tropicalis OX=8364 GN=LOC549936 PE=4 SV=1</t>
        </is>
      </c>
      <c r="M6988" t="n">
        <v>397</v>
      </c>
      <c r="N6988" t="inlineStr">
        <is>
          <t>Xenopus tropicalis</t>
        </is>
      </c>
      <c r="O6988" t="inlineStr">
        <is>
          <t>Fibroblast growth factor receptor substrate 2</t>
        </is>
      </c>
    </row>
    <row r="6989">
      <c r="A6989" t="inlineStr"/>
      <c r="B6989" t="inlineStr"/>
      <c r="C6989" t="inlineStr"/>
      <c r="D6989" t="inlineStr"/>
      <c r="E6989">
        <f>HYPERLINK("https://www.uniprot.org/uniprotkb/A0A8J1IUW9/entry", "A0A8J1IUW9")</f>
        <v/>
      </c>
      <c r="F6989" t="n">
        <v>47.6</v>
      </c>
      <c r="G6989" t="n">
        <v>456</v>
      </c>
      <c r="H6989" t="n">
        <v>2.36e-113</v>
      </c>
      <c r="I6989" t="inlineStr">
        <is>
          <t>TrEMBL</t>
        </is>
      </c>
      <c r="J6989" t="inlineStr">
        <is>
          <t>LOC549936</t>
        </is>
      </c>
      <c r="K6989" t="inlineStr">
        <is>
          <t>A0A8J1IUW9_XENTR</t>
        </is>
      </c>
      <c r="L6989" t="inlineStr">
        <is>
          <t>tr|A0A8J1IUW9|A0A8J1IUW9_XENTR fibroblast growth factor receptor substrate 2 isoform X5 OS=Xenopus tropicalis OX=8364 GN=LOC549936 PE=4 SV=1</t>
        </is>
      </c>
      <c r="M6989" t="n">
        <v>422</v>
      </c>
      <c r="N6989" t="inlineStr">
        <is>
          <t>Xenopus tropicalis</t>
        </is>
      </c>
      <c r="O6989" t="inlineStr">
        <is>
          <t>fibroblast growth factor receptor substrate 2 isoform X5</t>
        </is>
      </c>
    </row>
    <row r="6990">
      <c r="A6990" t="inlineStr"/>
      <c r="B6990" t="inlineStr"/>
      <c r="C6990" t="inlineStr"/>
      <c r="D6990" t="inlineStr"/>
      <c r="E6990">
        <f>HYPERLINK("https://www.ncbi.nlm.nih.gov/gene/?term=KAE8579789.1", "KAE8579789.1")</f>
        <v/>
      </c>
      <c r="F6990" t="n">
        <v>47.6</v>
      </c>
      <c r="G6990" t="n">
        <v>456</v>
      </c>
      <c r="H6990" t="n">
        <v>2.7e-113</v>
      </c>
      <c r="I6990" t="inlineStr">
        <is>
          <t>Nr</t>
        </is>
      </c>
      <c r="J6990" t="inlineStr"/>
      <c r="K6990" t="inlineStr"/>
      <c r="L6990" t="inlineStr">
        <is>
          <t>KAE8579789.1 hypothetical protein XENTR_v10024182 [Xenopus tropicalis]</t>
        </is>
      </c>
      <c r="M6990" t="n">
        <v>397</v>
      </c>
      <c r="N6990" t="inlineStr">
        <is>
          <t>Xenopus tropicalis</t>
        </is>
      </c>
      <c r="O6990" t="inlineStr">
        <is>
          <t>hypothetical protein XENTR_v10024182</t>
        </is>
      </c>
    </row>
    <row r="6991">
      <c r="A6991" t="inlineStr"/>
      <c r="B6991" t="inlineStr"/>
      <c r="C6991" t="inlineStr"/>
      <c r="D6991" t="inlineStr"/>
      <c r="E6991">
        <f>HYPERLINK("https://www.ncbi.nlm.nih.gov/gene/?term=XP_031748545.1", "XP_031748545.1")</f>
        <v/>
      </c>
      <c r="F6991" t="n">
        <v>47.6</v>
      </c>
      <c r="G6991" t="n">
        <v>456</v>
      </c>
      <c r="H6991" t="n">
        <v>6.05e-113</v>
      </c>
      <c r="I6991" t="inlineStr">
        <is>
          <t>Nr</t>
        </is>
      </c>
      <c r="J6991" t="inlineStr"/>
      <c r="K6991" t="inlineStr"/>
      <c r="L6991" t="inlineStr">
        <is>
          <t>XP_031748545.1 fibroblast growth factor receptor substrate 2 isoform X5 [Xenopus tropicalis]</t>
        </is>
      </c>
      <c r="M6991" t="n">
        <v>422</v>
      </c>
      <c r="N6991" t="inlineStr">
        <is>
          <t>Xenopus tropicalis</t>
        </is>
      </c>
      <c r="O6991" t="inlineStr">
        <is>
          <t>fibroblast growth factor receptor substrate 2 isoform X5</t>
        </is>
      </c>
    </row>
    <row r="6992">
      <c r="A6992" t="inlineStr"/>
      <c r="B6992" t="inlineStr"/>
      <c r="C6992" t="inlineStr"/>
      <c r="D6992" t="inlineStr"/>
      <c r="E6992">
        <f>HYPERLINK("https://www.uniprot.org/uniprotkb/A0A8C5PVA3/entry", "A0A8C5PVA3")</f>
        <v/>
      </c>
      <c r="F6992" t="n">
        <v>46.5</v>
      </c>
      <c r="G6992" t="n">
        <v>465</v>
      </c>
      <c r="H6992" t="n">
        <v>4.63e-101</v>
      </c>
      <c r="I6992" t="inlineStr">
        <is>
          <t>TrEMBL</t>
        </is>
      </c>
      <c r="J6992" t="inlineStr"/>
      <c r="K6992" t="inlineStr">
        <is>
          <t>A0A8C5PVA3_9ANUR</t>
        </is>
      </c>
      <c r="L6992" t="inlineStr">
        <is>
          <t>tr|A0A8C5PVA3|A0A8C5PVA3_9ANUR IRS-type PTB domain-containing protein OS=Leptobrachium leishanense OX=445787 PE=4 SV=1</t>
        </is>
      </c>
      <c r="M6992" t="n">
        <v>430</v>
      </c>
      <c r="N6992" t="inlineStr">
        <is>
          <t>Leptobrachium leishanense</t>
        </is>
      </c>
      <c r="O6992" t="inlineStr">
        <is>
          <t>IRS-type PTB domain-containing protein</t>
        </is>
      </c>
    </row>
    <row r="6993">
      <c r="A6993" t="inlineStr"/>
      <c r="B6993" t="inlineStr"/>
      <c r="C6993" t="inlineStr"/>
      <c r="D6993" t="inlineStr"/>
      <c r="E6993">
        <f>HYPERLINK("https://www.ncbi.nlm.nih.gov/gene/?term=XP_029432423.1", "XP_029432423.1")</f>
        <v/>
      </c>
      <c r="F6993" t="n">
        <v>41.9</v>
      </c>
      <c r="G6993" t="n">
        <v>461</v>
      </c>
      <c r="H6993" t="n">
        <v>5.98e-97</v>
      </c>
      <c r="I6993" t="inlineStr">
        <is>
          <t>Nr</t>
        </is>
      </c>
      <c r="J6993" t="inlineStr"/>
      <c r="K6993" t="inlineStr"/>
      <c r="L6993" t="inlineStr">
        <is>
          <t>XP_029432423.1 fibroblast growth factor receptor substrate 2-like [Rhinatrema bivittatum]</t>
        </is>
      </c>
      <c r="M6993" t="n">
        <v>449</v>
      </c>
      <c r="N6993" t="inlineStr">
        <is>
          <t>Rhinatrema bivittatum</t>
        </is>
      </c>
      <c r="O6993" t="inlineStr">
        <is>
          <t>fibroblast growth factor receptor substrate 2-like</t>
        </is>
      </c>
    </row>
    <row r="6994">
      <c r="A6994" t="inlineStr"/>
      <c r="B6994" t="inlineStr"/>
      <c r="C6994" t="inlineStr"/>
      <c r="D6994" t="inlineStr"/>
      <c r="E6994">
        <f>HYPERLINK("https://www.uniprot.org/uniprotkb/A0A8C5PVA9/entry", "A0A8C5PVA9")</f>
        <v/>
      </c>
      <c r="F6994" t="n">
        <v>45.9</v>
      </c>
      <c r="G6994" t="n">
        <v>438</v>
      </c>
      <c r="H6994" t="n">
        <v>1.13e-90</v>
      </c>
      <c r="I6994" t="inlineStr">
        <is>
          <t>TrEMBL</t>
        </is>
      </c>
      <c r="J6994" t="inlineStr"/>
      <c r="K6994" t="inlineStr">
        <is>
          <t>A0A8C5PVA9_9ANUR</t>
        </is>
      </c>
      <c r="L6994" t="inlineStr">
        <is>
          <t>tr|A0A8C5PVA9|A0A8C5PVA9_9ANUR IRS-type PTB domain-containing protein OS=Leptobrachium leishanense OX=445787 PE=4 SV=1</t>
        </is>
      </c>
      <c r="M6994" t="n">
        <v>445</v>
      </c>
      <c r="N6994" t="inlineStr">
        <is>
          <t>Leptobrachium leishanense</t>
        </is>
      </c>
      <c r="O6994" t="inlineStr">
        <is>
          <t>IRS-type PTB domain-containing protein</t>
        </is>
      </c>
    </row>
    <row r="6995">
      <c r="A6995" t="inlineStr"/>
      <c r="B6995" t="inlineStr"/>
      <c r="C6995" t="inlineStr"/>
      <c r="D6995" t="inlineStr"/>
      <c r="E6995">
        <f>HYPERLINK("https://www.ncbi.nlm.nih.gov/gene/?term=KAE8579790.1", "KAE8579790.1")</f>
        <v/>
      </c>
      <c r="F6995" t="n">
        <v>48.6</v>
      </c>
      <c r="G6995" t="n">
        <v>364</v>
      </c>
      <c r="H6995" t="n">
        <v>3.39e-83</v>
      </c>
      <c r="I6995" t="inlineStr">
        <is>
          <t>Nr</t>
        </is>
      </c>
      <c r="J6995" t="inlineStr"/>
      <c r="K6995" t="inlineStr"/>
      <c r="L6995" t="inlineStr">
        <is>
          <t>KAE8579790.1 hypothetical protein XENTR_v10024182 [Xenopus tropicalis]</t>
        </is>
      </c>
      <c r="M6995" t="n">
        <v>345</v>
      </c>
      <c r="N6995" t="inlineStr">
        <is>
          <t>Xenopus tropicalis</t>
        </is>
      </c>
      <c r="O6995" t="inlineStr">
        <is>
          <t>hypothetical protein XENTR_v10024182</t>
        </is>
      </c>
    </row>
    <row r="6996">
      <c r="A6996" t="inlineStr"/>
      <c r="B6996" t="inlineStr"/>
      <c r="C6996" t="inlineStr"/>
      <c r="D6996" t="inlineStr"/>
      <c r="E6996">
        <f>HYPERLINK("https://www.uniprot.org/uniprotkb/Q8WU20/entry", "Q8WU20")</f>
        <v/>
      </c>
      <c r="F6996" t="n">
        <v>37.8</v>
      </c>
      <c r="G6996" t="n">
        <v>513</v>
      </c>
      <c r="H6996" t="n">
        <v>1.23e-77</v>
      </c>
      <c r="I6996" t="inlineStr">
        <is>
          <t>Swiss-Prot</t>
        </is>
      </c>
      <c r="J6996" t="inlineStr">
        <is>
          <t>FRS2</t>
        </is>
      </c>
      <c r="K6996" t="inlineStr">
        <is>
          <t>FRS2_HUMAN</t>
        </is>
      </c>
      <c r="L6996" t="inlineStr">
        <is>
          <t>sp|Q8WU20|FRS2_HUMAN Fibroblast growth factor receptor substrate 2 OS=Homo sapiens OX=9606 GN=FRS2 PE=1 SV=4</t>
        </is>
      </c>
      <c r="M6996" t="n">
        <v>508</v>
      </c>
      <c r="N6996" t="inlineStr">
        <is>
          <t>Homo sapiens</t>
        </is>
      </c>
      <c r="O6996" t="inlineStr">
        <is>
          <t>Fibroblast growth factor receptor substrate 2</t>
        </is>
      </c>
    </row>
    <row r="6997">
      <c r="A6997" t="inlineStr"/>
      <c r="B6997" t="inlineStr"/>
      <c r="C6997" t="inlineStr"/>
      <c r="D6997" t="inlineStr"/>
      <c r="E6997">
        <f>HYPERLINK("https://www.uniprot.org/uniprotkb/A0A6A1Q854/entry", "A0A6A1Q854")</f>
        <v/>
      </c>
      <c r="F6997" t="n">
        <v>38.1</v>
      </c>
      <c r="G6997" t="n">
        <v>515</v>
      </c>
      <c r="H6997" t="n">
        <v>1.13e-75</v>
      </c>
      <c r="I6997" t="inlineStr">
        <is>
          <t>TrEMBL</t>
        </is>
      </c>
      <c r="J6997" t="inlineStr">
        <is>
          <t>E2I00_016992</t>
        </is>
      </c>
      <c r="K6997" t="inlineStr">
        <is>
          <t>A0A6A1Q854_BALPH</t>
        </is>
      </c>
      <c r="L6997" t="inlineStr">
        <is>
          <t>tr|A0A6A1Q854|A0A6A1Q854_BALPH IRS-type PTB domain-containing protein (Fragment) OS=Balaenoptera physalus OX=9770 GN=E2I00_016992 PE=4 SV=1</t>
        </is>
      </c>
      <c r="M6997" t="n">
        <v>518</v>
      </c>
      <c r="N6997" t="inlineStr">
        <is>
          <t>Balaenoptera physalus</t>
        </is>
      </c>
      <c r="O6997" t="inlineStr">
        <is>
          <t>IRS-type PTB domain-containing protein (Fragment)</t>
        </is>
      </c>
    </row>
    <row r="6998">
      <c r="A6998" t="inlineStr"/>
      <c r="B6998" t="inlineStr"/>
      <c r="C6998" t="inlineStr"/>
      <c r="D6998" t="inlineStr"/>
      <c r="E6998">
        <f>HYPERLINK("https://www.uniprot.org/uniprotkb/A0A1U7U3Z0/entry", "A0A1U7U3Z0")</f>
        <v/>
      </c>
      <c r="F6998" t="n">
        <v>37.8</v>
      </c>
      <c r="G6998" t="n">
        <v>513</v>
      </c>
      <c r="H6998" t="n">
        <v>1.24e-75</v>
      </c>
      <c r="I6998" t="inlineStr">
        <is>
          <t>TrEMBL</t>
        </is>
      </c>
      <c r="J6998" t="inlineStr">
        <is>
          <t>FRS2</t>
        </is>
      </c>
      <c r="K6998" t="inlineStr">
        <is>
          <t>A0A1U7U3Z0_CARSF</t>
        </is>
      </c>
      <c r="L6998" t="inlineStr">
        <is>
          <t>tr|A0A1U7U3Z0|A0A1U7U3Z0_CARSF fibroblast growth factor receptor substrate 2 OS=Carlito syrichta OX=1868482 GN=FRS2 PE=4 SV=1</t>
        </is>
      </c>
      <c r="M6998" t="n">
        <v>508</v>
      </c>
      <c r="N6998" t="inlineStr">
        <is>
          <t>Carlito syrichta</t>
        </is>
      </c>
      <c r="O6998" t="inlineStr">
        <is>
          <t>fibroblast growth factor receptor substrate 2</t>
        </is>
      </c>
    </row>
    <row r="6999">
      <c r="A6999" t="inlineStr"/>
      <c r="B6999" t="inlineStr"/>
      <c r="C6999" t="inlineStr"/>
      <c r="D6999" t="inlineStr"/>
      <c r="E6999">
        <f>HYPERLINK("https://www.uniprot.org/uniprotkb/A0A250Y232/entry", "A0A250Y232")</f>
        <v/>
      </c>
      <c r="F6999" t="n">
        <v>37.7</v>
      </c>
      <c r="G6999" t="n">
        <v>509</v>
      </c>
      <c r="H6999" t="n">
        <v>1.24e-75</v>
      </c>
      <c r="I6999" t="inlineStr">
        <is>
          <t>TrEMBL</t>
        </is>
      </c>
      <c r="J6999" t="inlineStr">
        <is>
          <t>FRS2</t>
        </is>
      </c>
      <c r="K6999" t="inlineStr">
        <is>
          <t>A0A250Y232_CASCN</t>
        </is>
      </c>
      <c r="L6999" t="inlineStr">
        <is>
          <t>tr|A0A250Y232|A0A250Y232_CASCN Fibroblast growth factor receptor substrate 2 OS=Castor canadensis OX=51338 GN=FRS2 PE=4 SV=1</t>
        </is>
      </c>
      <c r="M6999" t="n">
        <v>508</v>
      </c>
      <c r="N6999" t="inlineStr">
        <is>
          <t>Castor canadensis</t>
        </is>
      </c>
      <c r="O6999" t="inlineStr">
        <is>
          <t>Fibroblast growth factor receptor substrate 2</t>
        </is>
      </c>
    </row>
    <row r="7000">
      <c r="A7000" t="inlineStr"/>
      <c r="B7000" t="inlineStr"/>
      <c r="C7000" t="inlineStr"/>
      <c r="D7000" t="inlineStr"/>
      <c r="E7000">
        <f>HYPERLINK("https://www.ncbi.nlm.nih.gov/gene/?term=KAJ1097557.1", "KAJ1097557.1")</f>
        <v/>
      </c>
      <c r="F7000" t="n">
        <v>43.3</v>
      </c>
      <c r="G7000" t="n">
        <v>386</v>
      </c>
      <c r="H7000" t="n">
        <v>1.3e-75</v>
      </c>
      <c r="I7000" t="inlineStr">
        <is>
          <t>Nr</t>
        </is>
      </c>
      <c r="J7000" t="inlineStr"/>
      <c r="K7000" t="inlineStr"/>
      <c r="L7000" t="inlineStr">
        <is>
          <t>KAJ1097557.1 hypothetical protein NDU88_002675 [Pleurodeles waltl]</t>
        </is>
      </c>
      <c r="M7000" t="n">
        <v>436</v>
      </c>
      <c r="N7000" t="inlineStr">
        <is>
          <t>Pleurodeles waltl</t>
        </is>
      </c>
      <c r="O7000" t="inlineStr">
        <is>
          <t>hypothetical protein NDU88_002675</t>
        </is>
      </c>
    </row>
    <row r="7001">
      <c r="A7001" t="inlineStr"/>
      <c r="B7001" t="inlineStr"/>
      <c r="C7001" t="inlineStr"/>
      <c r="D7001" t="inlineStr"/>
      <c r="E7001">
        <f>HYPERLINK("https://www.uniprot.org/uniprotkb/Q8C180/entry", "Q8C180")</f>
        <v/>
      </c>
      <c r="F7001" t="n">
        <v>36.9</v>
      </c>
      <c r="G7001" t="n">
        <v>509</v>
      </c>
      <c r="H7001" t="n">
        <v>1.44e-75</v>
      </c>
      <c r="I7001" t="inlineStr">
        <is>
          <t>Swiss-Prot</t>
        </is>
      </c>
      <c r="J7001" t="inlineStr">
        <is>
          <t>Frs2</t>
        </is>
      </c>
      <c r="K7001" t="inlineStr">
        <is>
          <t>FRS2_MOUSE</t>
        </is>
      </c>
      <c r="L7001" t="inlineStr">
        <is>
          <t>sp|Q8C180|FRS2_MOUSE Fibroblast growth factor receptor substrate 2 OS=Mus musculus OX=10090 GN=Frs2 PE=1 SV=3</t>
        </is>
      </c>
      <c r="M7001" t="n">
        <v>508</v>
      </c>
      <c r="N7001" t="inlineStr">
        <is>
          <t>Mus musculus</t>
        </is>
      </c>
      <c r="O7001" t="inlineStr">
        <is>
          <t>Fibroblast growth factor receptor substrate 2</t>
        </is>
      </c>
    </row>
    <row r="7002">
      <c r="A7002" t="inlineStr"/>
      <c r="B7002" t="inlineStr"/>
      <c r="C7002" t="inlineStr"/>
      <c r="D7002" t="inlineStr"/>
      <c r="E7002">
        <f>HYPERLINK("https://www.ncbi.nlm.nih.gov/gene/?term=XP_032501040.1", "XP_032501040.1")</f>
        <v/>
      </c>
      <c r="F7002" t="n">
        <v>37</v>
      </c>
      <c r="G7002" t="n">
        <v>503</v>
      </c>
      <c r="H7002" t="n">
        <v>1.53e-75</v>
      </c>
      <c r="I7002" t="inlineStr">
        <is>
          <t>Nr</t>
        </is>
      </c>
      <c r="J7002" t="inlineStr"/>
      <c r="K7002" t="inlineStr"/>
      <c r="L7002" t="inlineStr">
        <is>
          <t>XP_032501040.1 fibroblast growth factor receptor substrate 2 isoform X2 [Phocoena sinus]</t>
        </is>
      </c>
      <c r="M7002" t="n">
        <v>493</v>
      </c>
      <c r="N7002" t="inlineStr">
        <is>
          <t>Phocoena sinus</t>
        </is>
      </c>
      <c r="O7002" t="inlineStr">
        <is>
          <t>fibroblast growth factor receptor substrate 2 isoform X2</t>
        </is>
      </c>
    </row>
    <row r="7003">
      <c r="A7003" t="inlineStr"/>
      <c r="B7003" t="inlineStr"/>
      <c r="C7003" t="inlineStr"/>
      <c r="D7003" t="inlineStr"/>
      <c r="E7003">
        <f>HYPERLINK("https://www.uniprot.org/uniprotkb/A0A8D0L1Z3/entry", "A0A8D0L1Z3")</f>
        <v/>
      </c>
      <c r="F7003" t="n">
        <v>37.3</v>
      </c>
      <c r="G7003" t="n">
        <v>512</v>
      </c>
      <c r="H7003" t="n">
        <v>1.69e-75</v>
      </c>
      <c r="I7003" t="inlineStr">
        <is>
          <t>TrEMBL</t>
        </is>
      </c>
      <c r="J7003" t="inlineStr">
        <is>
          <t>FRS2</t>
        </is>
      </c>
      <c r="K7003" t="inlineStr">
        <is>
          <t>A0A8D0L1Z3_SPHPU</t>
        </is>
      </c>
      <c r="L7003" t="inlineStr">
        <is>
          <t>tr|A0A8D0L1Z3|A0A8D0L1Z3_SPHPU Fibroblast growth factor receptor substrate 2 OS=Sphenodon punctatus OX=8508 GN=FRS2 PE=4 SV=1</t>
        </is>
      </c>
      <c r="M7003" t="n">
        <v>507</v>
      </c>
      <c r="N7003" t="inlineStr">
        <is>
          <t>Sphenodon punctatus</t>
        </is>
      </c>
      <c r="O7003" t="inlineStr">
        <is>
          <t>Fibroblast growth factor receptor substrate 2</t>
        </is>
      </c>
    </row>
    <row r="7004">
      <c r="A7004" t="inlineStr"/>
      <c r="B7004" t="inlineStr"/>
      <c r="C7004" t="inlineStr"/>
      <c r="D7004" t="inlineStr"/>
      <c r="E7004">
        <f>HYPERLINK("https://www.ncbi.nlm.nih.gov/gene/?term=XP_036025739.1", "XP_036025739.1")</f>
        <v/>
      </c>
      <c r="F7004" t="n">
        <v>37</v>
      </c>
      <c r="G7004" t="n">
        <v>508</v>
      </c>
      <c r="H7004" t="n">
        <v>2.09e-75</v>
      </c>
      <c r="I7004" t="inlineStr">
        <is>
          <t>Nr</t>
        </is>
      </c>
      <c r="J7004" t="inlineStr"/>
      <c r="K7004" t="inlineStr"/>
      <c r="L7004" t="inlineStr">
        <is>
          <t>XP_036025739.1 fibroblast growth factor receptor substrate 2 [Onychomys torridus]</t>
        </is>
      </c>
      <c r="M7004" t="n">
        <v>505</v>
      </c>
      <c r="N7004" t="inlineStr">
        <is>
          <t>Onychomys torridus</t>
        </is>
      </c>
      <c r="O7004" t="inlineStr">
        <is>
          <t>fibroblast growth factor receptor substrate 2</t>
        </is>
      </c>
    </row>
    <row r="7005">
      <c r="A7005" t="inlineStr"/>
      <c r="B7005" t="inlineStr"/>
      <c r="C7005" t="inlineStr"/>
      <c r="D7005" t="inlineStr"/>
      <c r="E7005">
        <f>HYPERLINK("https://www.ncbi.nlm.nih.gov/gene/?term=KAB0403900.1", "KAB0403900.1")</f>
        <v/>
      </c>
      <c r="F7005" t="n">
        <v>38.1</v>
      </c>
      <c r="G7005" t="n">
        <v>515</v>
      </c>
      <c r="H7005" t="n">
        <v>2.91e-75</v>
      </c>
      <c r="I7005" t="inlineStr">
        <is>
          <t>Nr</t>
        </is>
      </c>
      <c r="J7005" t="inlineStr"/>
      <c r="K7005" t="inlineStr"/>
      <c r="L7005" t="inlineStr">
        <is>
          <t>KAB0403900.1 hypothetical protein E2I00_016992, partial [Balaenoptera physalus]</t>
        </is>
      </c>
      <c r="M7005" t="n">
        <v>518</v>
      </c>
      <c r="N7005" t="inlineStr">
        <is>
          <t>Balaenoptera physalus</t>
        </is>
      </c>
      <c r="O7005" t="inlineStr">
        <is>
          <t>hypothetical protein E2I00_016992, partial</t>
        </is>
      </c>
    </row>
    <row r="7006">
      <c r="A7006" t="inlineStr"/>
      <c r="B7006" t="inlineStr"/>
      <c r="C7006" t="inlineStr"/>
      <c r="D7006" t="inlineStr"/>
      <c r="E7006">
        <f>HYPERLINK("https://www.ncbi.nlm.nih.gov/gene/?term=XP_008064815.1", "XP_008064815.1")</f>
        <v/>
      </c>
      <c r="F7006" t="n">
        <v>37.8</v>
      </c>
      <c r="G7006" t="n">
        <v>513</v>
      </c>
      <c r="H7006" t="n">
        <v>3.17e-75</v>
      </c>
      <c r="I7006" t="inlineStr">
        <is>
          <t>Nr</t>
        </is>
      </c>
      <c r="J7006" t="inlineStr"/>
      <c r="K7006" t="inlineStr"/>
      <c r="L7006" t="inlineStr">
        <is>
          <t>XP_008064815.1 fibroblast growth factor receptor substrate 2 [Carlito syrichta]</t>
        </is>
      </c>
      <c r="M7006" t="n">
        <v>508</v>
      </c>
      <c r="N7006" t="inlineStr">
        <is>
          <t>Carlito syrichta</t>
        </is>
      </c>
      <c r="O7006" t="inlineStr">
        <is>
          <t>fibroblast growth factor receptor substrate 2</t>
        </is>
      </c>
    </row>
    <row r="7007">
      <c r="A7007" t="inlineStr"/>
      <c r="B7007" t="inlineStr"/>
      <c r="C7007" t="inlineStr"/>
      <c r="D7007" t="inlineStr"/>
      <c r="E7007">
        <f>HYPERLINK("https://www.ncbi.nlm.nih.gov/gene/?term=XP_020022891.1", "XP_020022891.1")</f>
        <v/>
      </c>
      <c r="F7007" t="n">
        <v>37.7</v>
      </c>
      <c r="G7007" t="n">
        <v>509</v>
      </c>
      <c r="H7007" t="n">
        <v>3.17e-75</v>
      </c>
      <c r="I7007" t="inlineStr">
        <is>
          <t>Nr</t>
        </is>
      </c>
      <c r="J7007" t="inlineStr"/>
      <c r="K7007" t="inlineStr"/>
      <c r="L7007" t="inlineStr">
        <is>
          <t>XP_020022891.1 fibroblast growth factor receptor substrate 2 [Castor canadensis]</t>
        </is>
      </c>
      <c r="M7007" t="n">
        <v>508</v>
      </c>
      <c r="N7007" t="inlineStr">
        <is>
          <t>Castor canadensis</t>
        </is>
      </c>
      <c r="O7007" t="inlineStr">
        <is>
          <t>fibroblast growth factor receptor substrate 2</t>
        </is>
      </c>
    </row>
    <row r="7008">
      <c r="A7008" t="inlineStr"/>
      <c r="B7008" t="inlineStr"/>
      <c r="C7008" t="inlineStr"/>
      <c r="D7008" t="inlineStr"/>
      <c r="E7008">
        <f>HYPERLINK("https://www.uniprot.org/uniprotkb/A0A4U1EML8/entry", "A0A4U1EML8")</f>
        <v/>
      </c>
      <c r="F7008" t="n">
        <v>37.9</v>
      </c>
      <c r="G7008" t="n">
        <v>515</v>
      </c>
      <c r="H7008" t="n">
        <v>4.42e-75</v>
      </c>
      <c r="I7008" t="inlineStr">
        <is>
          <t>TrEMBL</t>
        </is>
      </c>
      <c r="J7008" t="inlineStr">
        <is>
          <t>EI555_012812</t>
        </is>
      </c>
      <c r="K7008" t="inlineStr">
        <is>
          <t>A0A4U1EML8_MONMO</t>
        </is>
      </c>
      <c r="L7008" t="inlineStr">
        <is>
          <t>tr|A0A4U1EML8|A0A4U1EML8_MONMO IRS-type PTB domain-containing protein (Fragment) OS=Monodon monoceros OX=40151 GN=EI555_012812 PE=4 SV=1</t>
        </is>
      </c>
      <c r="M7008" t="n">
        <v>518</v>
      </c>
      <c r="N7008" t="inlineStr">
        <is>
          <t>Monodon monoceros</t>
        </is>
      </c>
      <c r="O7008" t="inlineStr">
        <is>
          <t>IRS-type PTB domain-containing protein (Fragment)</t>
        </is>
      </c>
    </row>
    <row r="7009">
      <c r="A7009" t="inlineStr"/>
      <c r="B7009" t="inlineStr"/>
      <c r="C7009" t="inlineStr"/>
      <c r="D7009" t="inlineStr"/>
      <c r="E7009">
        <f>HYPERLINK("https://www.uniprot.org/uniprotkb/L7RTG7/entry", "L7RTG7")</f>
        <v/>
      </c>
      <c r="F7009" t="n">
        <v>37.8</v>
      </c>
      <c r="G7009" t="n">
        <v>513</v>
      </c>
      <c r="H7009" t="n">
        <v>4.820000000000001e-75</v>
      </c>
      <c r="I7009" t="inlineStr">
        <is>
          <t>TrEMBL</t>
        </is>
      </c>
      <c r="J7009" t="inlineStr">
        <is>
          <t>FRS2</t>
        </is>
      </c>
      <c r="K7009" t="inlineStr">
        <is>
          <t>L7RTG7_HUMAN</t>
        </is>
      </c>
      <c r="L7009" t="inlineStr">
        <is>
          <t>tr|L7RTG7|L7RTG7_HUMAN Fibroblast growth factor receptor substrate 2 OS=Homo sapiens OX=9606 GN=FRS2 PE=4 SV=1</t>
        </is>
      </c>
      <c r="M7009" t="n">
        <v>508</v>
      </c>
      <c r="N7009" t="inlineStr">
        <is>
          <t>Homo sapiens</t>
        </is>
      </c>
      <c r="O7009" t="inlineStr">
        <is>
          <t>Fibroblast growth factor receptor substrate 2</t>
        </is>
      </c>
    </row>
    <row r="7010">
      <c r="A7010" t="inlineStr"/>
      <c r="B7010" t="inlineStr"/>
      <c r="C7010" t="inlineStr"/>
      <c r="D7010" t="inlineStr"/>
      <c r="E7010">
        <f>HYPERLINK("https://www.uniprot.org/uniprotkb/H0WKG3/entry", "H0WKG3")</f>
        <v/>
      </c>
      <c r="F7010" t="n">
        <v>37.6</v>
      </c>
      <c r="G7010" t="n">
        <v>510</v>
      </c>
      <c r="H7010" t="n">
        <v>4.820000000000001e-75</v>
      </c>
      <c r="I7010" t="inlineStr">
        <is>
          <t>TrEMBL</t>
        </is>
      </c>
      <c r="J7010" t="inlineStr">
        <is>
          <t>FRS2</t>
        </is>
      </c>
      <c r="K7010" t="inlineStr">
        <is>
          <t>H0WKG3_OTOGA</t>
        </is>
      </c>
      <c r="L7010" t="inlineStr">
        <is>
          <t>tr|H0WKG3|H0WKG3_OTOGA Fibroblast growth factor receptor substrate 2 OS=Otolemur garnettii OX=30611 GN=FRS2 PE=4 SV=1</t>
        </is>
      </c>
      <c r="M7010" t="n">
        <v>508</v>
      </c>
      <c r="N7010" t="inlineStr">
        <is>
          <t>Otolemur garnettii</t>
        </is>
      </c>
      <c r="O7010" t="inlineStr">
        <is>
          <t>Fibroblast growth factor receptor substrate 2</t>
        </is>
      </c>
    </row>
    <row r="7011">
      <c r="A7011" t="inlineStr"/>
      <c r="B7011" t="inlineStr"/>
      <c r="C7011" t="inlineStr"/>
      <c r="D7011" t="inlineStr"/>
      <c r="E7011">
        <f>HYPERLINK("https://www.uniprot.org/uniprotkb/G5AQS3/entry", "G5AQS3")</f>
        <v/>
      </c>
      <c r="F7011" t="n">
        <v>37.4</v>
      </c>
      <c r="G7011" t="n">
        <v>513</v>
      </c>
      <c r="H7011" t="n">
        <v>4.820000000000001e-75</v>
      </c>
      <c r="I7011" t="inlineStr">
        <is>
          <t>TrEMBL</t>
        </is>
      </c>
      <c r="J7011" t="inlineStr">
        <is>
          <t>GW7_07799</t>
        </is>
      </c>
      <c r="K7011" t="inlineStr">
        <is>
          <t>G5AQS3_HETGA</t>
        </is>
      </c>
      <c r="L7011" t="inlineStr">
        <is>
          <t>tr|G5AQS3|G5AQS3_HETGA Fibroblast growth factor receptor substrate 2 OS=Heterocephalus glaber OX=10181 GN=GW7_07799 PE=4 SV=1</t>
        </is>
      </c>
      <c r="M7011" t="n">
        <v>508</v>
      </c>
      <c r="N7011" t="inlineStr">
        <is>
          <t>Heterocephalus glaber</t>
        </is>
      </c>
      <c r="O7011" t="inlineStr">
        <is>
          <t>Fibroblast growth factor receptor substrate 2</t>
        </is>
      </c>
    </row>
    <row r="7012">
      <c r="A7012" t="inlineStr"/>
      <c r="B7012" t="inlineStr"/>
      <c r="C7012" t="inlineStr"/>
      <c r="D7012" t="inlineStr"/>
      <c r="E7012">
        <f>HYPERLINK("https://www.uniprot.org/uniprotkb/A0A384NQ31/entry", "A0A384NQ31")</f>
        <v/>
      </c>
      <c r="F7012" t="n">
        <v>37.8</v>
      </c>
      <c r="G7012" t="n">
        <v>513</v>
      </c>
      <c r="H7012" t="n">
        <v>5.34e-75</v>
      </c>
      <c r="I7012" t="inlineStr">
        <is>
          <t>TrEMBL</t>
        </is>
      </c>
      <c r="J7012" t="inlineStr"/>
      <c r="K7012" t="inlineStr">
        <is>
          <t>A0A384NQ31_HUMAN</t>
        </is>
      </c>
      <c r="L7012" t="inlineStr">
        <is>
          <t>tr|A0A384NQ31|A0A384NQ31_HUMAN Epididymis secretory sperm binding protein OS=Homo sapiens OX=9606 PE=1 SV=1</t>
        </is>
      </c>
      <c r="M7012" t="n">
        <v>512</v>
      </c>
      <c r="N7012" t="inlineStr">
        <is>
          <t>Homo sapiens</t>
        </is>
      </c>
      <c r="O7012" t="inlineStr">
        <is>
          <t>Epididymis secretory sperm binding protein</t>
        </is>
      </c>
    </row>
    <row r="7013">
      <c r="A7013" t="inlineStr"/>
      <c r="B7013" t="inlineStr"/>
      <c r="C7013" t="inlineStr"/>
      <c r="D7013" t="inlineStr"/>
      <c r="E7013">
        <f>HYPERLINK("https://www.ncbi.nlm.nih.gov/gene/?term=XP_042554774.1", "XP_042554774.1")</f>
        <v/>
      </c>
      <c r="F7013" t="n">
        <v>38</v>
      </c>
      <c r="G7013" t="n">
        <v>511</v>
      </c>
      <c r="H7013" t="n">
        <v>5.96e-75</v>
      </c>
      <c r="I7013" t="inlineStr">
        <is>
          <t>Nr</t>
        </is>
      </c>
      <c r="J7013" t="inlineStr"/>
      <c r="K7013" t="inlineStr"/>
      <c r="L7013" t="inlineStr">
        <is>
          <t>XP_042554774.1 fibroblast growth factor receptor substrate 2 isoform X2 [Dipodomys spectabilis]</t>
        </is>
      </c>
      <c r="M7013" t="n">
        <v>506</v>
      </c>
      <c r="N7013" t="inlineStr">
        <is>
          <t>Dipodomys spectabilis</t>
        </is>
      </c>
      <c r="O7013" t="inlineStr">
        <is>
          <t>fibroblast growth factor receptor substrate 2 isoform X2</t>
        </is>
      </c>
    </row>
    <row r="7014">
      <c r="A7014" t="inlineStr"/>
      <c r="B7014" t="inlineStr"/>
      <c r="C7014" t="inlineStr"/>
      <c r="D7014" t="inlineStr"/>
      <c r="E7014">
        <f>HYPERLINK("https://www.uniprot.org/uniprotkb/A0A8D1G1D6/entry", "A0A8D1G1D6")</f>
        <v/>
      </c>
      <c r="F7014" t="n">
        <v>37.1</v>
      </c>
      <c r="G7014" t="n">
        <v>504</v>
      </c>
      <c r="H7014" t="n">
        <v>6.48e-75</v>
      </c>
      <c r="I7014" t="inlineStr">
        <is>
          <t>TrEMBL</t>
        </is>
      </c>
      <c r="J7014" t="inlineStr">
        <is>
          <t>FRS2</t>
        </is>
      </c>
      <c r="K7014" t="inlineStr">
        <is>
          <t>A0A8D1G1D6_PIG</t>
        </is>
      </c>
      <c r="L7014" t="inlineStr">
        <is>
          <t>tr|A0A8D1G1D6|A0A8D1G1D6_PIG Fibroblast growth factor receptor substrate 2 OS=Sus scrofa OX=9823 GN=FRS2 PE=4 SV=1</t>
        </is>
      </c>
      <c r="M7014" t="n">
        <v>493</v>
      </c>
      <c r="N7014" t="inlineStr">
        <is>
          <t>Sus scrofa</t>
        </is>
      </c>
      <c r="O7014" t="inlineStr">
        <is>
          <t>Fibroblast growth factor receptor substrate 2</t>
        </is>
      </c>
    </row>
    <row r="7015">
      <c r="A7015" t="inlineStr"/>
      <c r="B7015" t="inlineStr"/>
      <c r="C7015" t="inlineStr"/>
      <c r="D7015" t="inlineStr"/>
      <c r="E7015">
        <f>HYPERLINK("https://www.uniprot.org/uniprotkb/F1SH58/entry", "F1SH58")</f>
        <v/>
      </c>
      <c r="F7015" t="n">
        <v>37.1</v>
      </c>
      <c r="G7015" t="n">
        <v>504</v>
      </c>
      <c r="H7015" t="n">
        <v>6.48e-75</v>
      </c>
      <c r="I7015" t="inlineStr">
        <is>
          <t>TrEMBL</t>
        </is>
      </c>
      <c r="J7015" t="inlineStr">
        <is>
          <t>FRS2</t>
        </is>
      </c>
      <c r="K7015" t="inlineStr">
        <is>
          <t>F1SH58_PIG</t>
        </is>
      </c>
      <c r="L7015" t="inlineStr">
        <is>
          <t>tr|F1SH58|F1SH58_PIG Fibroblast growth factor receptor substrate 2 OS=Sus scrofa OX=9823 GN=FRS2 PE=4 SV=3</t>
        </is>
      </c>
      <c r="M7015" t="n">
        <v>493</v>
      </c>
      <c r="N7015" t="inlineStr">
        <is>
          <t>Sus scrofa</t>
        </is>
      </c>
      <c r="O7015" t="inlineStr">
        <is>
          <t>Fibroblast growth factor receptor substrate 2</t>
        </is>
      </c>
    </row>
    <row r="7016">
      <c r="A7016" t="inlineStr"/>
      <c r="B7016" t="inlineStr"/>
      <c r="C7016" t="inlineStr"/>
      <c r="D7016" t="inlineStr"/>
      <c r="E7016">
        <f>HYPERLINK("https://www.uniprot.org/uniprotkb/A0A8B7I0R7/entry", "A0A8B7I0R7")</f>
        <v/>
      </c>
      <c r="F7016" t="n">
        <v>37.6</v>
      </c>
      <c r="G7016" t="n">
        <v>513</v>
      </c>
      <c r="H7016" t="n">
        <v>6.78e-75</v>
      </c>
      <c r="I7016" t="inlineStr">
        <is>
          <t>TrEMBL</t>
        </is>
      </c>
      <c r="J7016" t="inlineStr">
        <is>
          <t>FRS2</t>
        </is>
      </c>
      <c r="K7016" t="inlineStr">
        <is>
          <t>A0A8B7I0R7_MICMU</t>
        </is>
      </c>
      <c r="L7016" t="inlineStr">
        <is>
          <t>tr|A0A8B7I0R7|A0A8B7I0R7_MICMU fibroblast growth factor receptor substrate 2 isoform X2 OS=Microcebus murinus OX=30608 GN=FRS2 PE=4 SV=1</t>
        </is>
      </c>
      <c r="M7016" t="n">
        <v>508</v>
      </c>
      <c r="N7016" t="inlineStr">
        <is>
          <t>Microcebus murinus</t>
        </is>
      </c>
      <c r="O7016" t="inlineStr">
        <is>
          <t>fibroblast growth factor receptor substrate 2 isoform X2</t>
        </is>
      </c>
    </row>
    <row r="7017">
      <c r="A7017" t="inlineStr"/>
      <c r="B7017" t="inlineStr"/>
      <c r="C7017" t="inlineStr"/>
      <c r="D7017" t="inlineStr"/>
      <c r="E7017">
        <f>HYPERLINK("https://www.uniprot.org/uniprotkb/A0A2K6FYU2/entry", "A0A2K6FYU2")</f>
        <v/>
      </c>
      <c r="F7017" t="n">
        <v>37.8</v>
      </c>
      <c r="G7017" t="n">
        <v>513</v>
      </c>
      <c r="H7017" t="n">
        <v>6.78e-75</v>
      </c>
      <c r="I7017" t="inlineStr">
        <is>
          <t>TrEMBL</t>
        </is>
      </c>
      <c r="J7017" t="inlineStr">
        <is>
          <t>FRS2</t>
        </is>
      </c>
      <c r="K7017" t="inlineStr">
        <is>
          <t>A0A2K6FYU2_PROCO</t>
        </is>
      </c>
      <c r="L7017" t="inlineStr">
        <is>
          <t>tr|A0A2K6FYU2|A0A2K6FYU2_PROCO Fibroblast growth factor receptor substrate 2 OS=Propithecus coquereli OX=379532 GN=FRS2 PE=4 SV=1</t>
        </is>
      </c>
      <c r="M7017" t="n">
        <v>508</v>
      </c>
      <c r="N7017" t="inlineStr">
        <is>
          <t>Propithecus coquereli</t>
        </is>
      </c>
      <c r="O7017" t="inlineStr">
        <is>
          <t>Fibroblast growth factor receptor substrate 2</t>
        </is>
      </c>
    </row>
    <row r="7018">
      <c r="A7018" t="inlineStr"/>
      <c r="B7018" t="inlineStr"/>
      <c r="C7018" t="inlineStr"/>
      <c r="D7018" t="inlineStr"/>
      <c r="E7018">
        <f>HYPERLINK("https://www.uniprot.org/uniprotkb/A0A6P3EUD6/entry", "A0A6P3EUD6")</f>
        <v/>
      </c>
      <c r="F7018" t="n">
        <v>37.4</v>
      </c>
      <c r="G7018" t="n">
        <v>513</v>
      </c>
      <c r="H7018" t="n">
        <v>6.78e-75</v>
      </c>
      <c r="I7018" t="inlineStr">
        <is>
          <t>TrEMBL</t>
        </is>
      </c>
      <c r="J7018" t="inlineStr">
        <is>
          <t>Frs2</t>
        </is>
      </c>
      <c r="K7018" t="inlineStr">
        <is>
          <t>A0A6P3EUD6_OCTDE</t>
        </is>
      </c>
      <c r="L7018" t="inlineStr">
        <is>
          <t>tr|A0A6P3EUD6|A0A6P3EUD6_OCTDE fibroblast growth factor receptor substrate 2 isoform X1 OS=Octodon degus OX=10160 GN=Frs2 PE=4 SV=1</t>
        </is>
      </c>
      <c r="M7018" t="n">
        <v>508</v>
      </c>
      <c r="N7018" t="inlineStr">
        <is>
          <t>Octodon degus</t>
        </is>
      </c>
      <c r="O7018" t="inlineStr">
        <is>
          <t>fibroblast growth factor receptor substrate 2 isoform X1</t>
        </is>
      </c>
    </row>
    <row r="7019">
      <c r="A7019" t="inlineStr"/>
      <c r="B7019" t="inlineStr"/>
      <c r="C7019" t="inlineStr"/>
      <c r="D7019" t="inlineStr"/>
      <c r="E7019">
        <f>HYPERLINK("https://www.ncbi.nlm.nih.gov/gene/?term=XP_006886143.1", "XP_006886143.1")</f>
        <v/>
      </c>
      <c r="F7019" t="n">
        <v>37.8</v>
      </c>
      <c r="G7019" t="n">
        <v>513</v>
      </c>
      <c r="H7019" t="n">
        <v>8.81e-75</v>
      </c>
      <c r="I7019" t="inlineStr">
        <is>
          <t>Nr</t>
        </is>
      </c>
      <c r="J7019" t="inlineStr"/>
      <c r="K7019" t="inlineStr"/>
      <c r="L7019" t="inlineStr">
        <is>
          <t>XP_006886143.1 PREDICTED: fibroblast growth factor receptor substrate 2 [Elephantulus edwardii]</t>
        </is>
      </c>
      <c r="M7019" t="n">
        <v>508</v>
      </c>
      <c r="N7019" t="inlineStr">
        <is>
          <t>Elephantulus edwardii</t>
        </is>
      </c>
      <c r="O7019" t="inlineStr">
        <is>
          <t>PREDICTED: fibroblast growth factor receptor substrate 2</t>
        </is>
      </c>
    </row>
    <row r="7020">
      <c r="A7020" t="inlineStr"/>
      <c r="B7020" t="inlineStr"/>
      <c r="C7020" t="inlineStr"/>
      <c r="D7020" t="inlineStr"/>
      <c r="E7020">
        <f>HYPERLINK("https://www.ncbi.nlm.nih.gov/gene/?term=XP_041522989.1", "XP_041522989.1")</f>
        <v/>
      </c>
      <c r="F7020" t="n">
        <v>37.1</v>
      </c>
      <c r="G7020" t="n">
        <v>509</v>
      </c>
      <c r="H7020" t="n">
        <v>8.81e-75</v>
      </c>
      <c r="I7020" t="inlineStr">
        <is>
          <t>Nr</t>
        </is>
      </c>
      <c r="J7020" t="inlineStr"/>
      <c r="K7020" t="inlineStr"/>
      <c r="L7020" t="inlineStr">
        <is>
          <t>XP_041522989.1 fibroblast growth factor receptor substrate 2 [Microtus oregoni]</t>
        </is>
      </c>
      <c r="M7020" t="n">
        <v>508</v>
      </c>
      <c r="N7020" t="inlineStr">
        <is>
          <t>Microtus oregoni</t>
        </is>
      </c>
      <c r="O7020" t="inlineStr">
        <is>
          <t>fibroblast growth factor receptor substrate 2</t>
        </is>
      </c>
    </row>
    <row r="7021">
      <c r="A7021" t="inlineStr"/>
      <c r="B7021" t="inlineStr"/>
      <c r="C7021" t="inlineStr"/>
      <c r="D7021" t="inlineStr"/>
      <c r="E7021">
        <f>HYPERLINK("https://www.ncbi.nlm.nih.gov/gene/?term=TKC37572.1", "TKC37572.1")</f>
        <v/>
      </c>
      <c r="F7021" t="n">
        <v>37.9</v>
      </c>
      <c r="G7021" t="n">
        <v>515</v>
      </c>
      <c r="H7021" t="n">
        <v>1.14e-74</v>
      </c>
      <c r="I7021" t="inlineStr">
        <is>
          <t>Nr</t>
        </is>
      </c>
      <c r="J7021" t="inlineStr"/>
      <c r="K7021" t="inlineStr"/>
      <c r="L7021" t="inlineStr">
        <is>
          <t>TKC37572.1 hypothetical protein EI555_012812, partial [Monodon monoceros]</t>
        </is>
      </c>
      <c r="M7021" t="n">
        <v>518</v>
      </c>
      <c r="N7021" t="inlineStr">
        <is>
          <t>Monodon monoceros</t>
        </is>
      </c>
      <c r="O7021" t="inlineStr">
        <is>
          <t>hypothetical protein EI555_012812, partial</t>
        </is>
      </c>
    </row>
    <row r="7022">
      <c r="A7022" t="inlineStr"/>
      <c r="B7022" t="inlineStr"/>
      <c r="C7022" t="inlineStr"/>
      <c r="D7022" t="inlineStr"/>
      <c r="E7022">
        <f>HYPERLINK("https://www.ncbi.nlm.nih.gov/gene/?term=XP_003797863.1", "XP_003797863.1")</f>
        <v/>
      </c>
      <c r="F7022" t="n">
        <v>37.6</v>
      </c>
      <c r="G7022" t="n">
        <v>510</v>
      </c>
      <c r="H7022" t="n">
        <v>1.24e-74</v>
      </c>
      <c r="I7022" t="inlineStr">
        <is>
          <t>Nr</t>
        </is>
      </c>
      <c r="J7022" t="inlineStr"/>
      <c r="K7022" t="inlineStr"/>
      <c r="L7022" t="inlineStr">
        <is>
          <t>XP_003797863.1 fibroblast growth factor receptor substrate 2 [Otolemur garnettii]</t>
        </is>
      </c>
      <c r="M7022" t="n">
        <v>508</v>
      </c>
      <c r="N7022" t="inlineStr">
        <is>
          <t>Otolemur garnettii</t>
        </is>
      </c>
      <c r="O7022" t="inlineStr">
        <is>
          <t>fibroblast growth factor receptor substrate 2</t>
        </is>
      </c>
    </row>
    <row r="7023">
      <c r="A7023" t="inlineStr"/>
      <c r="B7023" t="inlineStr"/>
      <c r="C7023" t="inlineStr"/>
      <c r="D7023" t="inlineStr"/>
      <c r="E7023">
        <f>HYPERLINK("https://www.uniprot.org/uniprotkb/O43559/entry", "O43559")</f>
        <v/>
      </c>
      <c r="F7023" t="n">
        <v>31.1</v>
      </c>
      <c r="G7023" t="n">
        <v>517</v>
      </c>
      <c r="H7023" t="n">
        <v>3.23e-44</v>
      </c>
      <c r="I7023" t="inlineStr">
        <is>
          <t>Swiss-Prot</t>
        </is>
      </c>
      <c r="J7023" t="inlineStr">
        <is>
          <t>FRS3</t>
        </is>
      </c>
      <c r="K7023" t="inlineStr">
        <is>
          <t>FRS3_HUMAN</t>
        </is>
      </c>
      <c r="L7023" t="inlineStr">
        <is>
          <t>sp|O43559|FRS3_HUMAN Fibroblast growth factor receptor substrate 3 OS=Homo sapiens OX=9606 GN=FRS3 PE=1 SV=3</t>
        </is>
      </c>
      <c r="M7023" t="n">
        <v>492</v>
      </c>
      <c r="N7023" t="inlineStr">
        <is>
          <t>Homo sapiens</t>
        </is>
      </c>
      <c r="O7023" t="inlineStr">
        <is>
          <t>Fibroblast growth factor receptor substrate 3</t>
        </is>
      </c>
    </row>
    <row r="7024">
      <c r="A7024" t="inlineStr"/>
      <c r="B7024" t="inlineStr"/>
      <c r="C7024" t="inlineStr"/>
      <c r="D7024" t="inlineStr"/>
      <c r="E7024">
        <f>HYPERLINK("https://www.uniprot.org/uniprotkb/Q52RG8/entry", "Q52RG8")</f>
        <v/>
      </c>
      <c r="F7024" t="n">
        <v>32.2</v>
      </c>
      <c r="G7024" t="n">
        <v>519</v>
      </c>
      <c r="H7024" t="n">
        <v>1.55e-41</v>
      </c>
      <c r="I7024" t="inlineStr">
        <is>
          <t>Swiss-Prot</t>
        </is>
      </c>
      <c r="J7024" t="inlineStr">
        <is>
          <t>Frs3</t>
        </is>
      </c>
      <c r="K7024" t="inlineStr">
        <is>
          <t>FRS3_RAT</t>
        </is>
      </c>
      <c r="L7024" t="inlineStr">
        <is>
          <t>sp|Q52RG8|FRS3_RAT Fibroblast growth factor receptor substrate 3 OS=Rattus norvegicus OX=10116 GN=Frs3 PE=2 SV=3</t>
        </is>
      </c>
      <c r="M7024" t="n">
        <v>492</v>
      </c>
      <c r="N7024" t="inlineStr">
        <is>
          <t>Rattus norvegicus</t>
        </is>
      </c>
      <c r="O7024" t="inlineStr">
        <is>
          <t>Fibroblast growth factor receptor substrate 3</t>
        </is>
      </c>
    </row>
    <row r="7025">
      <c r="A7025" t="inlineStr"/>
      <c r="B7025" t="inlineStr"/>
      <c r="C7025" t="inlineStr"/>
      <c r="D7025" t="inlineStr"/>
      <c r="E7025">
        <f>HYPERLINK("https://www.uniprot.org/uniprotkb/Q91WJ0/entry", "Q91WJ0")</f>
        <v/>
      </c>
      <c r="F7025" t="n">
        <v>30.5</v>
      </c>
      <c r="G7025" t="n">
        <v>521</v>
      </c>
      <c r="H7025" t="n">
        <v>3.09e-36</v>
      </c>
      <c r="I7025" t="inlineStr">
        <is>
          <t>Swiss-Prot</t>
        </is>
      </c>
      <c r="J7025" t="inlineStr">
        <is>
          <t>Frs3</t>
        </is>
      </c>
      <c r="K7025" t="inlineStr">
        <is>
          <t>FRS3_MOUSE</t>
        </is>
      </c>
      <c r="L7025" t="inlineStr">
        <is>
          <t>sp|Q91WJ0|FRS3_MOUSE Fibroblast growth factor receptor substrate 3 OS=Mus musculus OX=10090 GN=Frs3 PE=1 SV=3</t>
        </is>
      </c>
      <c r="M7025" t="n">
        <v>492</v>
      </c>
      <c r="N7025" t="inlineStr">
        <is>
          <t>Mus musculus</t>
        </is>
      </c>
      <c r="O7025" t="inlineStr">
        <is>
          <t>Fibroblast growth factor receptor substrate 3</t>
        </is>
      </c>
    </row>
    <row r="7026">
      <c r="A7026" t="inlineStr"/>
      <c r="B7026" t="inlineStr"/>
      <c r="C7026" t="inlineStr"/>
      <c r="D7026" t="inlineStr"/>
      <c r="E7026">
        <f>HYPERLINK("https://www.uniprot.org/uniprotkb/Q9QZK7/entry", "Q9QZK7")</f>
        <v/>
      </c>
      <c r="F7026" t="n">
        <v>42.6</v>
      </c>
      <c r="G7026" t="n">
        <v>54</v>
      </c>
      <c r="H7026" t="n">
        <v>9.29e-07</v>
      </c>
      <c r="I7026" t="inlineStr">
        <is>
          <t>Swiss-Prot</t>
        </is>
      </c>
      <c r="J7026" t="inlineStr">
        <is>
          <t>Dok3</t>
        </is>
      </c>
      <c r="K7026" t="inlineStr">
        <is>
          <t>DOK3_MOUSE</t>
        </is>
      </c>
      <c r="L7026" t="inlineStr">
        <is>
          <t>sp|Q9QZK7|DOK3_MOUSE Docking protein 3 OS=Mus musculus OX=10090 GN=Dok3 PE=1 SV=1</t>
        </is>
      </c>
      <c r="M7026" t="n">
        <v>444</v>
      </c>
      <c r="N7026" t="inlineStr">
        <is>
          <t>Mus musculus</t>
        </is>
      </c>
      <c r="O7026" t="inlineStr">
        <is>
          <t>Docking protein 3</t>
        </is>
      </c>
    </row>
    <row r="7027">
      <c r="A7027" t="inlineStr"/>
      <c r="B7027" t="inlineStr"/>
      <c r="C7027" t="inlineStr"/>
      <c r="D7027" t="inlineStr"/>
      <c r="E7027">
        <f>HYPERLINK("https://www.uniprot.org/uniprotkb/B2RYG7/entry", "B2RYG7")</f>
        <v/>
      </c>
      <c r="F7027" t="n">
        <v>40.7</v>
      </c>
      <c r="G7027" t="n">
        <v>54</v>
      </c>
      <c r="H7027" t="n">
        <v>5.02e-06</v>
      </c>
      <c r="I7027" t="inlineStr">
        <is>
          <t>Swiss-Prot</t>
        </is>
      </c>
      <c r="J7027" t="inlineStr">
        <is>
          <t>Dok3</t>
        </is>
      </c>
      <c r="K7027" t="inlineStr">
        <is>
          <t>DOK3_RAT</t>
        </is>
      </c>
      <c r="L7027" t="inlineStr">
        <is>
          <t>sp|B2RYG7|DOK3_RAT Docking protein 3 OS=Rattus norvegicus OX=10116 GN=Dok3 PE=1 SV=1</t>
        </is>
      </c>
      <c r="M7027" t="n">
        <v>444</v>
      </c>
      <c r="N7027" t="inlineStr">
        <is>
          <t>Rattus norvegicus</t>
        </is>
      </c>
      <c r="O7027" t="inlineStr">
        <is>
          <t>Docking protein 3</t>
        </is>
      </c>
    </row>
    <row r="7028">
      <c r="A7028" t="inlineStr"/>
      <c r="B7028" t="inlineStr"/>
      <c r="C7028" t="inlineStr"/>
      <c r="D7028" t="inlineStr"/>
      <c r="E7028">
        <f>HYPERLINK("https://www.uniprot.org/uniprotkb/Q8TEW6/entry", "Q8TEW6")</f>
        <v/>
      </c>
      <c r="F7028" t="n">
        <v>24.6</v>
      </c>
      <c r="G7028" t="n">
        <v>167</v>
      </c>
      <c r="H7028" t="n">
        <v>4.77e-05</v>
      </c>
      <c r="I7028" t="inlineStr">
        <is>
          <t>Swiss-Prot</t>
        </is>
      </c>
      <c r="J7028" t="inlineStr">
        <is>
          <t>DOK4</t>
        </is>
      </c>
      <c r="K7028" t="inlineStr">
        <is>
          <t>DOK4_HUMAN</t>
        </is>
      </c>
      <c r="L7028" t="inlineStr">
        <is>
          <t>sp|Q8TEW6|DOK4_HUMAN Docking protein 4 OS=Homo sapiens OX=9606 GN=DOK4 PE=1 SV=2</t>
        </is>
      </c>
      <c r="M7028" t="n">
        <v>326</v>
      </c>
      <c r="N7028" t="inlineStr">
        <is>
          <t>Homo sapiens</t>
        </is>
      </c>
      <c r="O7028" t="inlineStr">
        <is>
          <t>Docking protein 4</t>
        </is>
      </c>
    </row>
    <row r="7029">
      <c r="A7029" t="inlineStr"/>
      <c r="B7029" t="inlineStr"/>
      <c r="C7029" t="inlineStr"/>
      <c r="D7029" t="inlineStr"/>
      <c r="E7029">
        <f>HYPERLINK("https://www.uniprot.org/uniprotkb/P97465/entry", "P97465")</f>
        <v/>
      </c>
      <c r="F7029" t="n">
        <v>35.8</v>
      </c>
      <c r="G7029" t="n">
        <v>53</v>
      </c>
      <c r="H7029" t="n">
        <v>4.99e-05</v>
      </c>
      <c r="I7029" t="inlineStr">
        <is>
          <t>Swiss-Prot</t>
        </is>
      </c>
      <c r="J7029" t="inlineStr">
        <is>
          <t>Dok1</t>
        </is>
      </c>
      <c r="K7029" t="inlineStr">
        <is>
          <t>DOK1_MOUSE</t>
        </is>
      </c>
      <c r="L7029" t="inlineStr">
        <is>
          <t>sp|P97465|DOK1_MOUSE Docking protein 1 OS=Mus musculus OX=10090 GN=Dok1 PE=1 SV=2</t>
        </is>
      </c>
      <c r="M7029" t="n">
        <v>482</v>
      </c>
      <c r="N7029" t="inlineStr">
        <is>
          <t>Mus musculus</t>
        </is>
      </c>
      <c r="O7029" t="inlineStr">
        <is>
          <t>Docking protein 1</t>
        </is>
      </c>
    </row>
    <row r="7030">
      <c r="A7030" t="inlineStr"/>
      <c r="B7030" t="inlineStr"/>
      <c r="C7030" t="inlineStr"/>
      <c r="D7030" t="inlineStr"/>
      <c r="E7030">
        <f>HYPERLINK("https://www.uniprot.org/uniprotkb/Q7L591/entry", "Q7L591")</f>
        <v/>
      </c>
      <c r="F7030" t="n">
        <v>50</v>
      </c>
      <c r="G7030" t="n">
        <v>42</v>
      </c>
      <c r="H7030" t="n">
        <v>5.07e-05</v>
      </c>
      <c r="I7030" t="inlineStr">
        <is>
          <t>Swiss-Prot</t>
        </is>
      </c>
      <c r="J7030" t="inlineStr">
        <is>
          <t>DOK3</t>
        </is>
      </c>
      <c r="K7030" t="inlineStr">
        <is>
          <t>DOK3_HUMAN</t>
        </is>
      </c>
      <c r="L7030" t="inlineStr">
        <is>
          <t>sp|Q7L591|DOK3_HUMAN Docking protein 3 OS=Homo sapiens OX=9606 GN=DOK3 PE=1 SV=2</t>
        </is>
      </c>
      <c r="M7030" t="n">
        <v>496</v>
      </c>
      <c r="N7030" t="inlineStr">
        <is>
          <t>Homo sapiens</t>
        </is>
      </c>
      <c r="O7030" t="inlineStr">
        <is>
          <t>Docking protein 3</t>
        </is>
      </c>
    </row>
    <row r="7031">
      <c r="A7031" t="inlineStr"/>
      <c r="B7031" t="inlineStr"/>
      <c r="C7031" t="inlineStr"/>
      <c r="D7031" t="inlineStr"/>
      <c r="E7031">
        <f>HYPERLINK("https://www.uniprot.org/uniprotkb/A3R064/entry", "A3R064")</f>
        <v/>
      </c>
      <c r="F7031" t="n">
        <v>53.5</v>
      </c>
      <c r="G7031" t="n">
        <v>43</v>
      </c>
      <c r="H7031" t="n">
        <v>6.09e-05</v>
      </c>
      <c r="I7031" t="inlineStr">
        <is>
          <t>Swiss-Prot</t>
        </is>
      </c>
      <c r="J7031" t="inlineStr">
        <is>
          <t>DOK3</t>
        </is>
      </c>
      <c r="K7031" t="inlineStr">
        <is>
          <t>DOK3_CHICK</t>
        </is>
      </c>
      <c r="L7031" t="inlineStr">
        <is>
          <t>sp|A3R064|DOK3_CHICK Docking protein 3 OS=Gallus gallus OX=9031 GN=DOK3 PE=1 SV=1</t>
        </is>
      </c>
      <c r="M7031" t="n">
        <v>426</v>
      </c>
      <c r="N7031" t="inlineStr">
        <is>
          <t>Gallus gallus</t>
        </is>
      </c>
      <c r="O7031" t="inlineStr">
        <is>
          <t>Docking protein 3</t>
        </is>
      </c>
    </row>
    <row r="7032">
      <c r="A7032" t="inlineStr"/>
      <c r="B7032" t="inlineStr"/>
      <c r="C7032" t="inlineStr"/>
      <c r="D7032" t="inlineStr"/>
      <c r="E7032">
        <f>HYPERLINK("https://www.uniprot.org/uniprotkb/Q4QQV2/entry", "Q4QQV2")</f>
        <v/>
      </c>
      <c r="F7032" t="n">
        <v>35.8</v>
      </c>
      <c r="G7032" t="n">
        <v>53</v>
      </c>
      <c r="H7032" t="n">
        <v>0.000115</v>
      </c>
      <c r="I7032" t="inlineStr">
        <is>
          <t>Swiss-Prot</t>
        </is>
      </c>
      <c r="J7032" t="inlineStr">
        <is>
          <t>Dok1</t>
        </is>
      </c>
      <c r="K7032" t="inlineStr">
        <is>
          <t>DOK1_RAT</t>
        </is>
      </c>
      <c r="L7032" t="inlineStr">
        <is>
          <t>sp|Q4QQV2|DOK1_RAT Docking protein 1 OS=Rattus norvegicus OX=10116 GN=Dok1 PE=2 SV=1</t>
        </is>
      </c>
      <c r="M7032" t="n">
        <v>480</v>
      </c>
      <c r="N7032" t="inlineStr">
        <is>
          <t>Rattus norvegicus</t>
        </is>
      </c>
      <c r="O7032" t="inlineStr">
        <is>
          <t>Docking protein 1</t>
        </is>
      </c>
    </row>
    <row r="7033">
      <c r="A7033" t="inlineStr"/>
      <c r="B7033" t="inlineStr"/>
      <c r="C7033" t="inlineStr"/>
      <c r="D7033" t="inlineStr"/>
      <c r="E7033">
        <f>HYPERLINK("https://www.uniprot.org/uniprotkb/Q6PKX4/entry", "Q6PKX4")</f>
        <v/>
      </c>
      <c r="F7033" t="n">
        <v>41.2</v>
      </c>
      <c r="G7033" t="n">
        <v>51</v>
      </c>
      <c r="H7033" t="n">
        <v>0.000151</v>
      </c>
      <c r="I7033" t="inlineStr">
        <is>
          <t>Swiss-Prot</t>
        </is>
      </c>
      <c r="J7033" t="inlineStr">
        <is>
          <t>DOK6</t>
        </is>
      </c>
      <c r="K7033" t="inlineStr">
        <is>
          <t>DOK6_HUMAN</t>
        </is>
      </c>
      <c r="L7033" t="inlineStr">
        <is>
          <t>sp|Q6PKX4|DOK6_HUMAN Docking protein 6 OS=Homo sapiens OX=9606 GN=DOK6 PE=1 SV=1</t>
        </is>
      </c>
      <c r="M7033" t="n">
        <v>331</v>
      </c>
      <c r="N7033" t="inlineStr">
        <is>
          <t>Homo sapiens</t>
        </is>
      </c>
      <c r="O7033" t="inlineStr">
        <is>
          <t>Docking protein 6</t>
        </is>
      </c>
    </row>
    <row r="7034">
      <c r="A7034" t="inlineStr"/>
      <c r="B7034" t="inlineStr"/>
      <c r="C7034" t="inlineStr"/>
      <c r="D7034" t="inlineStr"/>
      <c r="E7034">
        <f>HYPERLINK("https://www.uniprot.org/uniprotkb/Q2MHE5/entry", "Q2MHE5")</f>
        <v/>
      </c>
      <c r="F7034" t="n">
        <v>41.2</v>
      </c>
      <c r="G7034" t="n">
        <v>51</v>
      </c>
      <c r="H7034" t="n">
        <v>0.000151</v>
      </c>
      <c r="I7034" t="inlineStr">
        <is>
          <t>Swiss-Prot</t>
        </is>
      </c>
      <c r="J7034" t="inlineStr">
        <is>
          <t>Dok6</t>
        </is>
      </c>
      <c r="K7034" t="inlineStr">
        <is>
          <t>DOK6_MOUSE</t>
        </is>
      </c>
      <c r="L7034" t="inlineStr">
        <is>
          <t>sp|Q2MHE5|DOK6_MOUSE Docking protein 6 OS=Mus musculus OX=10090 GN=Dok6 PE=1 SV=1</t>
        </is>
      </c>
      <c r="M7034" t="n">
        <v>331</v>
      </c>
      <c r="N7034" t="inlineStr">
        <is>
          <t>Mus musculus</t>
        </is>
      </c>
      <c r="O7034" t="inlineStr">
        <is>
          <t>Docking protein 6</t>
        </is>
      </c>
    </row>
    <row r="7035">
      <c r="A7035" t="inlineStr"/>
      <c r="B7035" t="inlineStr"/>
      <c r="C7035" t="inlineStr"/>
      <c r="D7035" t="inlineStr"/>
      <c r="E7035">
        <f>HYPERLINK("https://www.uniprot.org/uniprotkb/Q5EA84/entry", "Q5EA84")</f>
        <v/>
      </c>
      <c r="F7035" t="n">
        <v>29.5</v>
      </c>
      <c r="G7035" t="n">
        <v>78</v>
      </c>
      <c r="H7035" t="n">
        <v>0.000153</v>
      </c>
      <c r="I7035" t="inlineStr">
        <is>
          <t>Swiss-Prot</t>
        </is>
      </c>
      <c r="J7035" t="inlineStr">
        <is>
          <t>DOK1</t>
        </is>
      </c>
      <c r="K7035" t="inlineStr">
        <is>
          <t>DOK1_BOVIN</t>
        </is>
      </c>
      <c r="L7035" t="inlineStr">
        <is>
          <t>sp|Q5EA84|DOK1_BOVIN Docking protein 1 OS=Bos taurus OX=9913 GN=DOK1 PE=2 SV=1</t>
        </is>
      </c>
      <c r="M7035" t="n">
        <v>483</v>
      </c>
      <c r="N7035" t="inlineStr">
        <is>
          <t>Bos taurus</t>
        </is>
      </c>
      <c r="O7035" t="inlineStr">
        <is>
          <t>Docking protein 1</t>
        </is>
      </c>
    </row>
    <row r="7036">
      <c r="A7036" t="inlineStr"/>
      <c r="B7036" t="inlineStr"/>
      <c r="C7036" t="inlineStr"/>
      <c r="D7036" t="inlineStr"/>
      <c r="E7036">
        <f>HYPERLINK("https://www.uniprot.org/uniprotkb/Q99KE3/entry", "Q99KE3")</f>
        <v/>
      </c>
      <c r="F7036" t="n">
        <v>37.3</v>
      </c>
      <c r="G7036" t="n">
        <v>51</v>
      </c>
      <c r="H7036" t="n">
        <v>0.000197</v>
      </c>
      <c r="I7036" t="inlineStr">
        <is>
          <t>Swiss-Prot</t>
        </is>
      </c>
      <c r="J7036" t="inlineStr">
        <is>
          <t>Dok4</t>
        </is>
      </c>
      <c r="K7036" t="inlineStr">
        <is>
          <t>DOK4_MOUSE</t>
        </is>
      </c>
      <c r="L7036" t="inlineStr">
        <is>
          <t>sp|Q99KE3|DOK4_MOUSE Docking protein 4 OS=Mus musculus OX=10090 GN=Dok4 PE=1 SV=1</t>
        </is>
      </c>
      <c r="M7036" t="n">
        <v>325</v>
      </c>
      <c r="N7036" t="inlineStr">
        <is>
          <t>Mus musculus</t>
        </is>
      </c>
      <c r="O7036" t="inlineStr">
        <is>
          <t>Docking protein 4</t>
        </is>
      </c>
    </row>
    <row r="7037">
      <c r="A7037" t="inlineStr"/>
      <c r="B7037" t="inlineStr"/>
      <c r="C7037" t="inlineStr"/>
      <c r="D7037" t="inlineStr"/>
      <c r="E7037">
        <f>HYPERLINK("https://www.uniprot.org/uniprotkb/Q99704/entry", "Q99704")</f>
        <v/>
      </c>
      <c r="F7037" t="n">
        <v>26.3</v>
      </c>
      <c r="G7037" t="n">
        <v>95</v>
      </c>
      <c r="H7037" t="n">
        <v>0.000266</v>
      </c>
      <c r="I7037" t="inlineStr">
        <is>
          <t>Swiss-Prot</t>
        </is>
      </c>
      <c r="J7037" t="inlineStr">
        <is>
          <t>DOK1</t>
        </is>
      </c>
      <c r="K7037" t="inlineStr">
        <is>
          <t>DOK1_HUMAN</t>
        </is>
      </c>
      <c r="L7037" t="inlineStr">
        <is>
          <t>sp|Q99704|DOK1_HUMAN Docking protein 1 OS=Homo sapiens OX=9606 GN=DOK1 PE=1 SV=1</t>
        </is>
      </c>
      <c r="M7037" t="n">
        <v>481</v>
      </c>
      <c r="N7037" t="inlineStr">
        <is>
          <t>Homo sapiens</t>
        </is>
      </c>
      <c r="O7037" t="inlineStr">
        <is>
          <t>Docking protein 1</t>
        </is>
      </c>
    </row>
    <row r="7038">
      <c r="A7038" t="inlineStr"/>
      <c r="B7038" t="inlineStr"/>
      <c r="C7038" t="inlineStr"/>
      <c r="D7038" t="inlineStr"/>
      <c r="E7038">
        <f>HYPERLINK("https://www.uniprot.org/uniprotkb/Q5RA30/entry", "Q5RA30")</f>
        <v/>
      </c>
      <c r="F7038" t="n">
        <v>37.3</v>
      </c>
      <c r="G7038" t="n">
        <v>51</v>
      </c>
      <c r="H7038" t="n">
        <v>0.000363</v>
      </c>
      <c r="I7038" t="inlineStr">
        <is>
          <t>Swiss-Prot</t>
        </is>
      </c>
      <c r="J7038" t="inlineStr">
        <is>
          <t>DOK4</t>
        </is>
      </c>
      <c r="K7038" t="inlineStr">
        <is>
          <t>DOK4_PONAB</t>
        </is>
      </c>
      <c r="L7038" t="inlineStr">
        <is>
          <t>sp|Q5RA30|DOK4_PONAB Docking protein 4 OS=Pongo abelii OX=9601 GN=DOK4 PE=2 SV=1</t>
        </is>
      </c>
      <c r="M7038" t="n">
        <v>339</v>
      </c>
      <c r="N7038" t="inlineStr">
        <is>
          <t>Pongo abelii</t>
        </is>
      </c>
      <c r="O7038" t="inlineStr">
        <is>
          <t>Docking protein 4</t>
        </is>
      </c>
    </row>
    <row r="7039">
      <c r="A7039" t="inlineStr"/>
      <c r="B7039" t="inlineStr"/>
      <c r="C7039" t="inlineStr"/>
      <c r="D7039" t="inlineStr"/>
      <c r="E7039">
        <f>HYPERLINK("https://www.uniprot.org/uniprotkb/O70469/entry", "O70469")</f>
        <v/>
      </c>
      <c r="F7039" t="n">
        <v>37.3</v>
      </c>
      <c r="G7039" t="n">
        <v>67</v>
      </c>
      <c r="H7039" t="n">
        <v>0.000424</v>
      </c>
      <c r="I7039" t="inlineStr">
        <is>
          <t>Swiss-Prot</t>
        </is>
      </c>
      <c r="J7039" t="inlineStr">
        <is>
          <t>Dok2</t>
        </is>
      </c>
      <c r="K7039" t="inlineStr">
        <is>
          <t>DOK2_MOUSE</t>
        </is>
      </c>
      <c r="L7039" t="inlineStr">
        <is>
          <t>sp|O70469|DOK2_MOUSE Docking protein 2 OS=Mus musculus OX=10090 GN=Dok2 PE=1 SV=1</t>
        </is>
      </c>
      <c r="M7039" t="n">
        <v>412</v>
      </c>
      <c r="N7039" t="inlineStr">
        <is>
          <t>Mus musculus</t>
        </is>
      </c>
      <c r="O7039" t="inlineStr">
        <is>
          <t>Docking protein 2</t>
        </is>
      </c>
    </row>
    <row r="7040">
      <c r="A7040" t="inlineStr"/>
      <c r="B7040" t="inlineStr"/>
      <c r="C7040" t="inlineStr"/>
      <c r="D7040" t="inlineStr"/>
      <c r="E7040">
        <f>HYPERLINK("https://www.uniprot.org/uniprotkb/A7MBB8/entry", "A7MBB8")</f>
        <v/>
      </c>
      <c r="F7040" t="n">
        <v>42.6</v>
      </c>
      <c r="G7040" t="n">
        <v>47</v>
      </c>
      <c r="H7040" t="n">
        <v>0.000563</v>
      </c>
      <c r="I7040" t="inlineStr">
        <is>
          <t>Swiss-Prot</t>
        </is>
      </c>
      <c r="J7040" t="inlineStr">
        <is>
          <t>DOK2</t>
        </is>
      </c>
      <c r="K7040" t="inlineStr">
        <is>
          <t>DOK2_BOVIN</t>
        </is>
      </c>
      <c r="L7040" t="inlineStr">
        <is>
          <t>sp|A7MBB8|DOK2_BOVIN Docking protein 2 OS=Bos taurus OX=9913 GN=DOK2 PE=2 SV=1</t>
        </is>
      </c>
      <c r="M7040" t="n">
        <v>413</v>
      </c>
      <c r="N7040" t="inlineStr">
        <is>
          <t>Bos taurus</t>
        </is>
      </c>
      <c r="O7040" t="inlineStr">
        <is>
          <t>Docking protein 2</t>
        </is>
      </c>
    </row>
    <row r="7041">
      <c r="A7041" t="inlineStr"/>
      <c r="B7041" t="inlineStr"/>
      <c r="C7041" t="inlineStr"/>
      <c r="D7041" t="inlineStr"/>
      <c r="E7041">
        <f>HYPERLINK("https://www.uniprot.org/uniprotkb/Q9P104/entry", "Q9P104")</f>
        <v/>
      </c>
      <c r="F7041" t="n">
        <v>38.6</v>
      </c>
      <c r="G7041" t="n">
        <v>44</v>
      </c>
      <c r="H7041" t="n">
        <v>0.000768</v>
      </c>
      <c r="I7041" t="inlineStr">
        <is>
          <t>Swiss-Prot</t>
        </is>
      </c>
      <c r="J7041" t="inlineStr">
        <is>
          <t>DOK5</t>
        </is>
      </c>
      <c r="K7041" t="inlineStr">
        <is>
          <t>DOK5_HUMAN</t>
        </is>
      </c>
      <c r="L7041" t="inlineStr">
        <is>
          <t>sp|Q9P104|DOK5_HUMAN Docking protein 5 OS=Homo sapiens OX=9606 GN=DOK5 PE=1 SV=2</t>
        </is>
      </c>
      <c r="M7041" t="n">
        <v>306</v>
      </c>
      <c r="N7041" t="inlineStr">
        <is>
          <t>Homo sapiens</t>
        </is>
      </c>
      <c r="O7041" t="inlineStr">
        <is>
          <t>Docking protein 5</t>
        </is>
      </c>
    </row>
    <row r="7042">
      <c r="A7042" t="inlineStr"/>
      <c r="B7042" t="inlineStr"/>
      <c r="C7042" t="inlineStr"/>
      <c r="D7042" t="inlineStr"/>
      <c r="E7042">
        <f>HYPERLINK("https://www.uniprot.org/uniprotkb/Q91ZM9/entry", "Q91ZM9")</f>
        <v/>
      </c>
      <c r="F7042" t="n">
        <v>38.6</v>
      </c>
      <c r="G7042" t="n">
        <v>44</v>
      </c>
      <c r="H7042" t="n">
        <v>0.000768</v>
      </c>
      <c r="I7042" t="inlineStr">
        <is>
          <t>Swiss-Prot</t>
        </is>
      </c>
      <c r="J7042" t="inlineStr">
        <is>
          <t>Dok5</t>
        </is>
      </c>
      <c r="K7042" t="inlineStr">
        <is>
          <t>DOK5_MOUSE</t>
        </is>
      </c>
      <c r="L7042" t="inlineStr">
        <is>
          <t>sp|Q91ZM9|DOK5_MOUSE Docking protein 5 OS=Mus musculus OX=10090 GN=Dok5 PE=1 SV=1</t>
        </is>
      </c>
      <c r="M7042" t="n">
        <v>306</v>
      </c>
      <c r="N7042" t="inlineStr">
        <is>
          <t>Mus musculus</t>
        </is>
      </c>
      <c r="O7042" t="inlineStr">
        <is>
          <t>Docking protein 5</t>
        </is>
      </c>
    </row>
    <row r="7043">
      <c r="A7043" t="inlineStr"/>
      <c r="B7043" t="inlineStr"/>
      <c r="C7043" t="inlineStr"/>
      <c r="D7043" t="inlineStr"/>
      <c r="E7043">
        <f>HYPERLINK("https://www.uniprot.org/uniprotkb/O60496/entry", "O60496")</f>
        <v/>
      </c>
      <c r="F7043" t="n">
        <v>43.5</v>
      </c>
      <c r="G7043" t="n">
        <v>46</v>
      </c>
      <c r="H7043" t="n">
        <v>0.0009840000000000001</v>
      </c>
      <c r="I7043" t="inlineStr">
        <is>
          <t>Swiss-Prot</t>
        </is>
      </c>
      <c r="J7043" t="inlineStr">
        <is>
          <t>DOK2</t>
        </is>
      </c>
      <c r="K7043" t="inlineStr">
        <is>
          <t>DOK2_HUMAN</t>
        </is>
      </c>
      <c r="L7043" t="inlineStr">
        <is>
          <t>sp|O60496|DOK2_HUMAN Docking protein 2 OS=Homo sapiens OX=9606 GN=DOK2 PE=1 SV=2</t>
        </is>
      </c>
      <c r="M7043" t="n">
        <v>412</v>
      </c>
      <c r="N7043" t="inlineStr">
        <is>
          <t>Homo sapiens</t>
        </is>
      </c>
      <c r="O7043" t="inlineStr">
        <is>
          <t>Docking protein 2</t>
        </is>
      </c>
    </row>
    <row r="7044">
      <c r="A7044" t="inlineStr">
        <is>
          <t>NODE_47219_length_3110_cov_5.566546_g16103_i0</t>
        </is>
      </c>
      <c r="B7044" t="inlineStr">
        <is>
          <t>bombina_pachypus_blastx</t>
        </is>
      </c>
      <c r="C7044" t="n">
        <v>-3.77498227786016</v>
      </c>
      <c r="D7044" t="n">
        <v>0.0114764709583009</v>
      </c>
      <c r="E7044">
        <f>HYPERLINK("https://www.uniprot.org/uniprotkb/A0A8C5P7I8/entry", "A0A8C5P7I8")</f>
        <v/>
      </c>
      <c r="F7044" t="n">
        <v>44.6</v>
      </c>
      <c r="G7044" t="n">
        <v>372</v>
      </c>
      <c r="H7044" t="n">
        <v>2.45e-95</v>
      </c>
      <c r="I7044" t="inlineStr">
        <is>
          <t>TrEMBL</t>
        </is>
      </c>
      <c r="J7044" t="inlineStr"/>
      <c r="K7044" t="inlineStr">
        <is>
          <t>A0A8C5P7I8_9ANUR</t>
        </is>
      </c>
      <c r="L7044" t="inlineStr">
        <is>
          <t>tr|A0A8C5P7I8|A0A8C5P7I8_9ANUR Reverse transcriptase domain-containing protein OS=Leptobrachium leishanense OX=445787 PE=4 SV=1</t>
        </is>
      </c>
      <c r="M7044" t="n">
        <v>728</v>
      </c>
      <c r="N7044" t="inlineStr">
        <is>
          <t>Leptobrachium leishanense</t>
        </is>
      </c>
      <c r="O7044" t="inlineStr">
        <is>
          <t>Reverse transcriptase domain-containing protein</t>
        </is>
      </c>
    </row>
    <row r="7045">
      <c r="A7045" t="inlineStr"/>
      <c r="B7045" t="inlineStr"/>
      <c r="C7045" t="inlineStr"/>
      <c r="D7045" t="inlineStr"/>
      <c r="E7045">
        <f>HYPERLINK("https://www.uniprot.org/uniprotkb/A0A803JIM5/entry", "A0A803JIM5")</f>
        <v/>
      </c>
      <c r="F7045" t="n">
        <v>40.5</v>
      </c>
      <c r="G7045" t="n">
        <v>388</v>
      </c>
      <c r="H7045" t="n">
        <v>2.82e-91</v>
      </c>
      <c r="I7045" t="inlineStr">
        <is>
          <t>TrEMBL</t>
        </is>
      </c>
      <c r="J7045" t="inlineStr"/>
      <c r="K7045" t="inlineStr">
        <is>
          <t>A0A803JIM5_XENTR</t>
        </is>
      </c>
      <c r="L7045" t="inlineStr">
        <is>
          <t>tr|A0A803JIM5|A0A803JIM5_XENTR GIY-YIG domain-containing protein OS=Xenopus tropicalis OX=8364 PE=4 SV=1</t>
        </is>
      </c>
      <c r="M7045" t="n">
        <v>661</v>
      </c>
      <c r="N7045" t="inlineStr">
        <is>
          <t>Xenopus tropicalis</t>
        </is>
      </c>
      <c r="O7045" t="inlineStr">
        <is>
          <t>GIY-YIG domain-containing protein</t>
        </is>
      </c>
    </row>
    <row r="7046">
      <c r="A7046" t="inlineStr"/>
      <c r="B7046" t="inlineStr"/>
      <c r="C7046" t="inlineStr"/>
      <c r="D7046" t="inlineStr"/>
      <c r="E7046">
        <f>HYPERLINK("https://www.ncbi.nlm.nih.gov/gene/?term=XP_040196442.1", "XP_040196442.1")</f>
        <v/>
      </c>
      <c r="F7046" t="n">
        <v>38.1</v>
      </c>
      <c r="G7046" t="n">
        <v>381</v>
      </c>
      <c r="H7046" t="n">
        <v>1.18e-90</v>
      </c>
      <c r="I7046" t="inlineStr">
        <is>
          <t>Nr</t>
        </is>
      </c>
      <c r="J7046" t="inlineStr"/>
      <c r="K7046" t="inlineStr"/>
      <c r="L7046" t="inlineStr">
        <is>
          <t>XP_040196442.1 uncharacterized protein LOC120929219 [Rana temporaria]</t>
        </is>
      </c>
      <c r="M7046" t="n">
        <v>545</v>
      </c>
      <c r="N7046" t="inlineStr">
        <is>
          <t>Rana temporaria</t>
        </is>
      </c>
      <c r="O7046" t="inlineStr">
        <is>
          <t>uncharacterized protein LOC120929219</t>
        </is>
      </c>
    </row>
    <row r="7047">
      <c r="A7047" t="inlineStr"/>
      <c r="B7047" t="inlineStr"/>
      <c r="C7047" t="inlineStr"/>
      <c r="D7047" t="inlineStr"/>
      <c r="E7047">
        <f>HYPERLINK("https://www.uniprot.org/uniprotkb/A0A8C5R1Q4/entry", "A0A8C5R1Q4")</f>
        <v/>
      </c>
      <c r="F7047" t="n">
        <v>43.3</v>
      </c>
      <c r="G7047" t="n">
        <v>372</v>
      </c>
      <c r="H7047" t="n">
        <v>8.430000000000001e-90</v>
      </c>
      <c r="I7047" t="inlineStr">
        <is>
          <t>TrEMBL</t>
        </is>
      </c>
      <c r="J7047" t="inlineStr"/>
      <c r="K7047" t="inlineStr">
        <is>
          <t>A0A8C5R1Q4_9ANUR</t>
        </is>
      </c>
      <c r="L7047" t="inlineStr">
        <is>
          <t>tr|A0A8C5R1Q4|A0A8C5R1Q4_9ANUR Reverse transcriptase domain-containing protein OS=Leptobrachium leishanense OX=445787 PE=4 SV=1</t>
        </is>
      </c>
      <c r="M7047" t="n">
        <v>564</v>
      </c>
      <c r="N7047" t="inlineStr">
        <is>
          <t>Leptobrachium leishanense</t>
        </is>
      </c>
      <c r="O7047" t="inlineStr">
        <is>
          <t>Reverse transcriptase domain-containing protein</t>
        </is>
      </c>
    </row>
    <row r="7048">
      <c r="A7048" t="inlineStr"/>
      <c r="B7048" t="inlineStr"/>
      <c r="C7048" t="inlineStr"/>
      <c r="D7048" t="inlineStr"/>
      <c r="E7048">
        <f>HYPERLINK("https://www.uniprot.org/uniprotkb/A0A8C5MMS5/entry", "A0A8C5MMS5")</f>
        <v/>
      </c>
      <c r="F7048" t="n">
        <v>43.3</v>
      </c>
      <c r="G7048" t="n">
        <v>372</v>
      </c>
      <c r="H7048" t="n">
        <v>9.959999999999999e-89</v>
      </c>
      <c r="I7048" t="inlineStr">
        <is>
          <t>TrEMBL</t>
        </is>
      </c>
      <c r="J7048" t="inlineStr"/>
      <c r="K7048" t="inlineStr">
        <is>
          <t>A0A8C5MMS5_9ANUR</t>
        </is>
      </c>
      <c r="L7048" t="inlineStr">
        <is>
          <t>tr|A0A8C5MMS5|A0A8C5MMS5_9ANUR Reverse transcriptase domain-containing protein OS=Leptobrachium leishanense OX=445787 PE=4 SV=1</t>
        </is>
      </c>
      <c r="M7048" t="n">
        <v>664</v>
      </c>
      <c r="N7048" t="inlineStr">
        <is>
          <t>Leptobrachium leishanense</t>
        </is>
      </c>
      <c r="O7048" t="inlineStr">
        <is>
          <t>Reverse transcriptase domain-containing protein</t>
        </is>
      </c>
    </row>
    <row r="7049">
      <c r="A7049" t="inlineStr"/>
      <c r="B7049" t="inlineStr"/>
      <c r="C7049" t="inlineStr"/>
      <c r="D7049" t="inlineStr"/>
      <c r="E7049">
        <f>HYPERLINK("https://www.ncbi.nlm.nih.gov/gene/?term=XP_040188254.1", "XP_040188254.1")</f>
        <v/>
      </c>
      <c r="F7049" t="n">
        <v>38.3</v>
      </c>
      <c r="G7049" t="n">
        <v>381</v>
      </c>
      <c r="H7049" t="n">
        <v>1.2e-88</v>
      </c>
      <c r="I7049" t="inlineStr">
        <is>
          <t>Nr</t>
        </is>
      </c>
      <c r="J7049" t="inlineStr"/>
      <c r="K7049" t="inlineStr"/>
      <c r="L7049" t="inlineStr">
        <is>
          <t>XP_040188254.1 uncharacterized protein LOC120920313 [Rana temporaria]</t>
        </is>
      </c>
      <c r="M7049" t="n">
        <v>618</v>
      </c>
      <c r="N7049" t="inlineStr">
        <is>
          <t>Rana temporaria</t>
        </is>
      </c>
      <c r="O7049" t="inlineStr">
        <is>
          <t>uncharacterized protein LOC120920313</t>
        </is>
      </c>
    </row>
    <row r="7050">
      <c r="A7050" t="inlineStr"/>
      <c r="B7050" t="inlineStr"/>
      <c r="C7050" t="inlineStr"/>
      <c r="D7050" t="inlineStr"/>
      <c r="E7050">
        <f>HYPERLINK("https://www.ncbi.nlm.nih.gov/gene/?term=XP_040212985.1", "XP_040212985.1")</f>
        <v/>
      </c>
      <c r="F7050" t="n">
        <v>40.5</v>
      </c>
      <c r="G7050" t="n">
        <v>365</v>
      </c>
      <c r="H7050" t="n">
        <v>1.68e-88</v>
      </c>
      <c r="I7050" t="inlineStr">
        <is>
          <t>Nr</t>
        </is>
      </c>
      <c r="J7050" t="inlineStr"/>
      <c r="K7050" t="inlineStr"/>
      <c r="L7050" t="inlineStr">
        <is>
          <t>XP_040212985.1 uncharacterized protein LOC120943646 [Rana temporaria]</t>
        </is>
      </c>
      <c r="M7050" t="n">
        <v>646</v>
      </c>
      <c r="N7050" t="inlineStr">
        <is>
          <t>Rana temporaria</t>
        </is>
      </c>
      <c r="O7050" t="inlineStr">
        <is>
          <t>uncharacterized protein LOC120943646</t>
        </is>
      </c>
    </row>
    <row r="7051">
      <c r="A7051" t="inlineStr"/>
      <c r="B7051" t="inlineStr"/>
      <c r="C7051" t="inlineStr"/>
      <c r="D7051" t="inlineStr"/>
      <c r="E7051">
        <f>HYPERLINK("https://www.ncbi.nlm.nih.gov/gene/?term=OCT88234.1", "OCT88234.1")</f>
        <v/>
      </c>
      <c r="F7051" t="n">
        <v>42.2</v>
      </c>
      <c r="G7051" t="n">
        <v>358</v>
      </c>
      <c r="H7051" t="n">
        <v>3.23e-88</v>
      </c>
      <c r="I7051" t="inlineStr">
        <is>
          <t>Nr</t>
        </is>
      </c>
      <c r="J7051" t="inlineStr"/>
      <c r="K7051" t="inlineStr"/>
      <c r="L7051" t="inlineStr">
        <is>
          <t>OCT88234.1 hypothetical protein XELAEV_18016860mg [Xenopus laevis]</t>
        </is>
      </c>
      <c r="M7051" t="n">
        <v>486</v>
      </c>
      <c r="N7051" t="inlineStr">
        <is>
          <t>Xenopus laevis</t>
        </is>
      </c>
      <c r="O7051" t="inlineStr">
        <is>
          <t>hypothetical protein XELAEV_18016860mg</t>
        </is>
      </c>
    </row>
    <row r="7052">
      <c r="A7052" t="inlineStr"/>
      <c r="B7052" t="inlineStr"/>
      <c r="C7052" t="inlineStr"/>
      <c r="D7052" t="inlineStr"/>
      <c r="E7052">
        <f>HYPERLINK("https://www.uniprot.org/uniprotkb/A0A8C5M6S6/entry", "A0A8C5M6S6")</f>
        <v/>
      </c>
      <c r="F7052" t="n">
        <v>40.1</v>
      </c>
      <c r="G7052" t="n">
        <v>372</v>
      </c>
      <c r="H7052" t="n">
        <v>1.91e-87</v>
      </c>
      <c r="I7052" t="inlineStr">
        <is>
          <t>TrEMBL</t>
        </is>
      </c>
      <c r="J7052" t="inlineStr"/>
      <c r="K7052" t="inlineStr">
        <is>
          <t>A0A8C5M6S6_9ANUR</t>
        </is>
      </c>
      <c r="L7052" t="inlineStr">
        <is>
          <t>tr|A0A8C5M6S6|A0A8C5M6S6_9ANUR Reverse transcriptase domain-containing protein OS=Leptobrachium leishanense OX=445787 PE=4 SV=1</t>
        </is>
      </c>
      <c r="M7052" t="n">
        <v>752</v>
      </c>
      <c r="N7052" t="inlineStr">
        <is>
          <t>Leptobrachium leishanense</t>
        </is>
      </c>
      <c r="O7052" t="inlineStr">
        <is>
          <t>Reverse transcriptase domain-containing protein</t>
        </is>
      </c>
    </row>
    <row r="7053">
      <c r="A7053" t="inlineStr"/>
      <c r="B7053" t="inlineStr"/>
      <c r="C7053" t="inlineStr"/>
      <c r="D7053" t="inlineStr"/>
      <c r="E7053">
        <f>HYPERLINK("https://www.ncbi.nlm.nih.gov/gene/?term=XP_040212877.1", "XP_040212877.1")</f>
        <v/>
      </c>
      <c r="F7053" t="n">
        <v>40.5</v>
      </c>
      <c r="G7053" t="n">
        <v>365</v>
      </c>
      <c r="H7053" t="n">
        <v>2.32e-87</v>
      </c>
      <c r="I7053" t="inlineStr">
        <is>
          <t>Nr</t>
        </is>
      </c>
      <c r="J7053" t="inlineStr"/>
      <c r="K7053" t="inlineStr"/>
      <c r="L7053" t="inlineStr">
        <is>
          <t>XP_040212877.1 uncharacterized protein LOC120943569 [Rana temporaria]</t>
        </is>
      </c>
      <c r="M7053" t="n">
        <v>765</v>
      </c>
      <c r="N7053" t="inlineStr">
        <is>
          <t>Rana temporaria</t>
        </is>
      </c>
      <c r="O7053" t="inlineStr">
        <is>
          <t>uncharacterized protein LOC120943569</t>
        </is>
      </c>
    </row>
    <row r="7054">
      <c r="A7054" t="inlineStr"/>
      <c r="B7054" t="inlineStr"/>
      <c r="C7054" t="inlineStr"/>
      <c r="D7054" t="inlineStr"/>
      <c r="E7054">
        <f>HYPERLINK("https://www.uniprot.org/uniprotkb/A0A8C5WH29/entry", "A0A8C5WH29")</f>
        <v/>
      </c>
      <c r="F7054" t="n">
        <v>40.2</v>
      </c>
      <c r="G7054" t="n">
        <v>371</v>
      </c>
      <c r="H7054" t="n">
        <v>2.81e-87</v>
      </c>
      <c r="I7054" t="inlineStr">
        <is>
          <t>TrEMBL</t>
        </is>
      </c>
      <c r="J7054" t="inlineStr"/>
      <c r="K7054" t="inlineStr">
        <is>
          <t>A0A8C5WH29_9ANUR</t>
        </is>
      </c>
      <c r="L7054" t="inlineStr">
        <is>
          <t>tr|A0A8C5WH29|A0A8C5WH29_9ANUR Reverse transcriptase domain-containing protein OS=Leptobrachium leishanense OX=445787 PE=4 SV=1</t>
        </is>
      </c>
      <c r="M7054" t="n">
        <v>788</v>
      </c>
      <c r="N7054" t="inlineStr">
        <is>
          <t>Leptobrachium leishanense</t>
        </is>
      </c>
      <c r="O7054" t="inlineStr">
        <is>
          <t>Reverse transcriptase domain-containing protein</t>
        </is>
      </c>
    </row>
    <row r="7055">
      <c r="A7055" t="inlineStr"/>
      <c r="B7055" t="inlineStr"/>
      <c r="C7055" t="inlineStr"/>
      <c r="D7055" t="inlineStr"/>
      <c r="E7055">
        <f>HYPERLINK("https://www.ncbi.nlm.nih.gov/gene/?term=XP_040213597.1", "XP_040213597.1")</f>
        <v/>
      </c>
      <c r="F7055" t="n">
        <v>40.2</v>
      </c>
      <c r="G7055" t="n">
        <v>366</v>
      </c>
      <c r="H7055" t="n">
        <v>3.8e-86</v>
      </c>
      <c r="I7055" t="inlineStr">
        <is>
          <t>Nr</t>
        </is>
      </c>
      <c r="J7055" t="inlineStr"/>
      <c r="K7055" t="inlineStr"/>
      <c r="L7055" t="inlineStr">
        <is>
          <t>XP_040213597.1 uncharacterized protein LOC120943962 [Rana temporaria]</t>
        </is>
      </c>
      <c r="M7055" t="n">
        <v>753</v>
      </c>
      <c r="N7055" t="inlineStr">
        <is>
          <t>Rana temporaria</t>
        </is>
      </c>
      <c r="O7055" t="inlineStr">
        <is>
          <t>uncharacterized protein LOC120943962</t>
        </is>
      </c>
    </row>
    <row r="7056">
      <c r="A7056" t="inlineStr"/>
      <c r="B7056" t="inlineStr"/>
      <c r="C7056" t="inlineStr"/>
      <c r="D7056" t="inlineStr"/>
      <c r="E7056">
        <f>HYPERLINK("https://www.uniprot.org/uniprotkb/A0A1A8V764/entry", "A0A1A8V764")</f>
        <v/>
      </c>
      <c r="F7056" t="n">
        <v>40.3</v>
      </c>
      <c r="G7056" t="n">
        <v>372</v>
      </c>
      <c r="H7056" t="n">
        <v>7.390000000000001e-86</v>
      </c>
      <c r="I7056" t="inlineStr">
        <is>
          <t>TrEMBL</t>
        </is>
      </c>
      <c r="J7056" t="inlineStr">
        <is>
          <t>Nfu_g_1_024880</t>
        </is>
      </c>
      <c r="K7056" t="inlineStr">
        <is>
          <t>A0A1A8V764_NOTFU</t>
        </is>
      </c>
      <c r="L7056" t="inlineStr">
        <is>
          <t>tr|A0A1A8V764|A0A1A8V764_NOTFU GIY-YIG catalytic domain (Fragment) OS=Nothobranchius furzeri OX=105023 GN=Nfu_g_1_024880 PE=4 SV=1</t>
        </is>
      </c>
      <c r="M7056" t="n">
        <v>480</v>
      </c>
      <c r="N7056" t="inlineStr">
        <is>
          <t>Nothobranchius furzeri</t>
        </is>
      </c>
      <c r="O7056" t="inlineStr">
        <is>
          <t>GIY-YIG catalytic domain (Fragment)</t>
        </is>
      </c>
    </row>
    <row r="7057">
      <c r="A7057" t="inlineStr"/>
      <c r="B7057" t="inlineStr"/>
      <c r="C7057" t="inlineStr"/>
      <c r="D7057" t="inlineStr"/>
      <c r="E7057">
        <f>HYPERLINK("https://www.uniprot.org/uniprotkb/A0A8C5MH15/entry", "A0A8C5MH15")</f>
        <v/>
      </c>
      <c r="F7057" t="n">
        <v>41.7</v>
      </c>
      <c r="G7057" t="n">
        <v>372</v>
      </c>
      <c r="H7057" t="n">
        <v>1.03e-84</v>
      </c>
      <c r="I7057" t="inlineStr">
        <is>
          <t>TrEMBL</t>
        </is>
      </c>
      <c r="J7057" t="inlineStr"/>
      <c r="K7057" t="inlineStr">
        <is>
          <t>A0A8C5MH15_9ANUR</t>
        </is>
      </c>
      <c r="L7057" t="inlineStr">
        <is>
          <t>tr|A0A8C5MH15|A0A8C5MH15_9ANUR Reverse transcriptase domain-containing protein OS=Leptobrachium leishanense OX=445787 PE=4 SV=1</t>
        </is>
      </c>
      <c r="M7057" t="n">
        <v>608</v>
      </c>
      <c r="N7057" t="inlineStr">
        <is>
          <t>Leptobrachium leishanense</t>
        </is>
      </c>
      <c r="O7057" t="inlineStr">
        <is>
          <t>Reverse transcriptase domain-containing protein</t>
        </is>
      </c>
    </row>
    <row r="7058">
      <c r="A7058" t="inlineStr"/>
      <c r="B7058" t="inlineStr"/>
      <c r="C7058" t="inlineStr"/>
      <c r="D7058" t="inlineStr"/>
      <c r="E7058">
        <f>HYPERLINK("https://www.uniprot.org/uniprotkb/A0A8C5M1L9/entry", "A0A8C5M1L9")</f>
        <v/>
      </c>
      <c r="F7058" t="n">
        <v>41</v>
      </c>
      <c r="G7058" t="n">
        <v>378</v>
      </c>
      <c r="H7058" t="n">
        <v>5.11e-84</v>
      </c>
      <c r="I7058" t="inlineStr">
        <is>
          <t>TrEMBL</t>
        </is>
      </c>
      <c r="J7058" t="inlineStr"/>
      <c r="K7058" t="inlineStr">
        <is>
          <t>A0A8C5M1L9_9ANUR</t>
        </is>
      </c>
      <c r="L7058" t="inlineStr">
        <is>
          <t>tr|A0A8C5M1L9|A0A8C5M1L9_9ANUR Reverse transcriptase domain-containing protein OS=Leptobrachium leishanense OX=445787 PE=4 SV=1</t>
        </is>
      </c>
      <c r="M7058" t="n">
        <v>725</v>
      </c>
      <c r="N7058" t="inlineStr">
        <is>
          <t>Leptobrachium leishanense</t>
        </is>
      </c>
      <c r="O7058" t="inlineStr">
        <is>
          <t>Reverse transcriptase domain-containing protein</t>
        </is>
      </c>
    </row>
    <row r="7059">
      <c r="A7059" t="inlineStr"/>
      <c r="B7059" t="inlineStr"/>
      <c r="C7059" t="inlineStr"/>
      <c r="D7059" t="inlineStr"/>
      <c r="E7059">
        <f>HYPERLINK("https://www.uniprot.org/uniprotkb/A0A8C5W8X4/entry", "A0A8C5W8X4")</f>
        <v/>
      </c>
      <c r="F7059" t="n">
        <v>40</v>
      </c>
      <c r="G7059" t="n">
        <v>375</v>
      </c>
      <c r="H7059" t="n">
        <v>1.17e-83</v>
      </c>
      <c r="I7059" t="inlineStr">
        <is>
          <t>TrEMBL</t>
        </is>
      </c>
      <c r="J7059" t="inlineStr"/>
      <c r="K7059" t="inlineStr">
        <is>
          <t>A0A8C5W8X4_9ANUR</t>
        </is>
      </c>
      <c r="L7059" t="inlineStr">
        <is>
          <t>tr|A0A8C5W8X4|A0A8C5W8X4_9ANUR Reverse transcriptase domain-containing protein OS=Leptobrachium leishanense OX=445787 PE=4 SV=1</t>
        </is>
      </c>
      <c r="M7059" t="n">
        <v>716</v>
      </c>
      <c r="N7059" t="inlineStr">
        <is>
          <t>Leptobrachium leishanense</t>
        </is>
      </c>
      <c r="O7059" t="inlineStr">
        <is>
          <t>Reverse transcriptase domain-containing protein</t>
        </is>
      </c>
    </row>
    <row r="7060">
      <c r="A7060" t="inlineStr"/>
      <c r="B7060" t="inlineStr"/>
      <c r="C7060" t="inlineStr"/>
      <c r="D7060" t="inlineStr"/>
      <c r="E7060">
        <f>HYPERLINK("https://www.uniprot.org/uniprotkb/A0A8C5N1Z7/entry", "A0A8C5N1Z7")</f>
        <v/>
      </c>
      <c r="F7060" t="n">
        <v>39.9</v>
      </c>
      <c r="G7060" t="n">
        <v>366</v>
      </c>
      <c r="H7060" t="n">
        <v>2.82e-83</v>
      </c>
      <c r="I7060" t="inlineStr">
        <is>
          <t>TrEMBL</t>
        </is>
      </c>
      <c r="J7060" t="inlineStr"/>
      <c r="K7060" t="inlineStr">
        <is>
          <t>A0A8C5N1Z7_9ANUR</t>
        </is>
      </c>
      <c r="L7060" t="inlineStr">
        <is>
          <t>tr|A0A8C5N1Z7|A0A8C5N1Z7_9ANUR Reverse transcriptase domain-containing protein OS=Leptobrachium leishanense OX=445787 PE=4 SV=1</t>
        </is>
      </c>
      <c r="M7060" t="n">
        <v>471</v>
      </c>
      <c r="N7060" t="inlineStr">
        <is>
          <t>Leptobrachium leishanense</t>
        </is>
      </c>
      <c r="O7060" t="inlineStr">
        <is>
          <t>Reverse transcriptase domain-containing protein</t>
        </is>
      </c>
    </row>
    <row r="7061">
      <c r="A7061" t="inlineStr"/>
      <c r="B7061" t="inlineStr"/>
      <c r="C7061" t="inlineStr"/>
      <c r="D7061" t="inlineStr"/>
      <c r="E7061">
        <f>HYPERLINK("https://www.uniprot.org/uniprotkb/A0A8C5N1S5/entry", "A0A8C5N1S5")</f>
        <v/>
      </c>
      <c r="F7061" t="n">
        <v>41.5</v>
      </c>
      <c r="G7061" t="n">
        <v>376</v>
      </c>
      <c r="H7061" t="n">
        <v>6.03e-83</v>
      </c>
      <c r="I7061" t="inlineStr">
        <is>
          <t>TrEMBL</t>
        </is>
      </c>
      <c r="J7061" t="inlineStr"/>
      <c r="K7061" t="inlineStr">
        <is>
          <t>A0A8C5N1S5_9ANUR</t>
        </is>
      </c>
      <c r="L7061" t="inlineStr">
        <is>
          <t>tr|A0A8C5N1S5|A0A8C5N1S5_9ANUR Reverse transcriptase domain-containing protein OS=Leptobrachium leishanense OX=445787 PE=4 SV=1</t>
        </is>
      </c>
      <c r="M7061" t="n">
        <v>730</v>
      </c>
      <c r="N7061" t="inlineStr">
        <is>
          <t>Leptobrachium leishanense</t>
        </is>
      </c>
      <c r="O7061" t="inlineStr">
        <is>
          <t>Reverse transcriptase domain-containing protein</t>
        </is>
      </c>
    </row>
    <row r="7062">
      <c r="A7062" t="inlineStr"/>
      <c r="B7062" t="inlineStr"/>
      <c r="C7062" t="inlineStr"/>
      <c r="D7062" t="inlineStr"/>
      <c r="E7062">
        <f>HYPERLINK("https://www.ncbi.nlm.nih.gov/gene/?term=XP_040206073.1", "XP_040206073.1")</f>
        <v/>
      </c>
      <c r="F7062" t="n">
        <v>39.6</v>
      </c>
      <c r="G7062" t="n">
        <v>371</v>
      </c>
      <c r="H7062" t="n">
        <v>2.89e-82</v>
      </c>
      <c r="I7062" t="inlineStr">
        <is>
          <t>Nr</t>
        </is>
      </c>
      <c r="J7062" t="inlineStr"/>
      <c r="K7062" t="inlineStr"/>
      <c r="L7062" t="inlineStr">
        <is>
          <t>XP_040206073.1 uncharacterized protein LOC120937139 [Rana temporaria]</t>
        </is>
      </c>
      <c r="M7062" t="n">
        <v>619</v>
      </c>
      <c r="N7062" t="inlineStr">
        <is>
          <t>Rana temporaria</t>
        </is>
      </c>
      <c r="O7062" t="inlineStr">
        <is>
          <t>uncharacterized protein LOC120937139</t>
        </is>
      </c>
    </row>
    <row r="7063">
      <c r="A7063" t="inlineStr"/>
      <c r="B7063" t="inlineStr"/>
      <c r="C7063" t="inlineStr"/>
      <c r="D7063" t="inlineStr"/>
      <c r="E7063">
        <f>HYPERLINK("https://www.ncbi.nlm.nih.gov/gene/?term=OCT97158.1", "OCT97158.1")</f>
        <v/>
      </c>
      <c r="F7063" t="n">
        <v>39</v>
      </c>
      <c r="G7063" t="n">
        <v>372</v>
      </c>
      <c r="H7063" t="n">
        <v>1.91e-81</v>
      </c>
      <c r="I7063" t="inlineStr">
        <is>
          <t>Nr</t>
        </is>
      </c>
      <c r="J7063" t="inlineStr"/>
      <c r="K7063" t="inlineStr"/>
      <c r="L7063" t="inlineStr">
        <is>
          <t>OCT97158.1 hypothetical protein XELAEV_18009383mg [Xenopus laevis]</t>
        </is>
      </c>
      <c r="M7063" t="n">
        <v>516</v>
      </c>
      <c r="N7063" t="inlineStr">
        <is>
          <t>Xenopus laevis</t>
        </is>
      </c>
      <c r="O7063" t="inlineStr">
        <is>
          <t>hypothetical protein XELAEV_18009383mg</t>
        </is>
      </c>
    </row>
    <row r="7064">
      <c r="A7064" t="inlineStr"/>
      <c r="B7064" t="inlineStr"/>
      <c r="C7064" t="inlineStr"/>
      <c r="D7064" t="inlineStr"/>
      <c r="E7064">
        <f>HYPERLINK("https://www.uniprot.org/uniprotkb/A0A8C5N1Y7/entry", "A0A8C5N1Y7")</f>
        <v/>
      </c>
      <c r="F7064" t="n">
        <v>41</v>
      </c>
      <c r="G7064" t="n">
        <v>361</v>
      </c>
      <c r="H7064" t="n">
        <v>2.53e-81</v>
      </c>
      <c r="I7064" t="inlineStr">
        <is>
          <t>TrEMBL</t>
        </is>
      </c>
      <c r="J7064" t="inlineStr"/>
      <c r="K7064" t="inlineStr">
        <is>
          <t>A0A8C5N1Y7_9ANUR</t>
        </is>
      </c>
      <c r="L7064" t="inlineStr">
        <is>
          <t>tr|A0A8C5N1Y7|A0A8C5N1Y7_9ANUR Reverse transcriptase domain-containing protein OS=Leptobrachium leishanense OX=445787 PE=4 SV=1</t>
        </is>
      </c>
      <c r="M7064" t="n">
        <v>564</v>
      </c>
      <c r="N7064" t="inlineStr">
        <is>
          <t>Leptobrachium leishanense</t>
        </is>
      </c>
      <c r="O7064" t="inlineStr">
        <is>
          <t>Reverse transcriptase domain-containing protein</t>
        </is>
      </c>
    </row>
    <row r="7065">
      <c r="A7065" t="inlineStr"/>
      <c r="B7065" t="inlineStr"/>
      <c r="C7065" t="inlineStr"/>
      <c r="D7065" t="inlineStr"/>
      <c r="E7065">
        <f>HYPERLINK("https://www.ncbi.nlm.nih.gov/gene/?term=XP_040191613.1", "XP_040191613.1")</f>
        <v/>
      </c>
      <c r="F7065" t="n">
        <v>39.6</v>
      </c>
      <c r="G7065" t="n">
        <v>371</v>
      </c>
      <c r="H7065" t="n">
        <v>3.57e-81</v>
      </c>
      <c r="I7065" t="inlineStr">
        <is>
          <t>Nr</t>
        </is>
      </c>
      <c r="J7065" t="inlineStr"/>
      <c r="K7065" t="inlineStr"/>
      <c r="L7065" t="inlineStr">
        <is>
          <t>XP_040191613.1 uncharacterized protein LOC120924680 [Rana temporaria]</t>
        </is>
      </c>
      <c r="M7065" t="n">
        <v>735</v>
      </c>
      <c r="N7065" t="inlineStr">
        <is>
          <t>Rana temporaria</t>
        </is>
      </c>
      <c r="O7065" t="inlineStr">
        <is>
          <t>uncharacterized protein LOC120924680</t>
        </is>
      </c>
    </row>
    <row r="7066">
      <c r="A7066" t="inlineStr"/>
      <c r="B7066" t="inlineStr"/>
      <c r="C7066" t="inlineStr"/>
      <c r="D7066" t="inlineStr"/>
      <c r="E7066">
        <f>HYPERLINK("https://www.ncbi.nlm.nih.gov/gene/?term=XP_040275624.1", "XP_040275624.1")</f>
        <v/>
      </c>
      <c r="F7066" t="n">
        <v>40.5</v>
      </c>
      <c r="G7066" t="n">
        <v>353</v>
      </c>
      <c r="H7066" t="n">
        <v>3.77e-79</v>
      </c>
      <c r="I7066" t="inlineStr">
        <is>
          <t>Nr</t>
        </is>
      </c>
      <c r="J7066" t="inlineStr"/>
      <c r="K7066" t="inlineStr"/>
      <c r="L7066" t="inlineStr">
        <is>
          <t>XP_040275624.1 uncharacterized protein LOC120990787 [Bufo bufo]</t>
        </is>
      </c>
      <c r="M7066" t="n">
        <v>535</v>
      </c>
      <c r="N7066" t="inlineStr">
        <is>
          <t>Bufo bufo</t>
        </is>
      </c>
      <c r="O7066" t="inlineStr">
        <is>
          <t>uncharacterized protein LOC120990787</t>
        </is>
      </c>
    </row>
    <row r="7067">
      <c r="A7067" t="inlineStr"/>
      <c r="B7067" t="inlineStr"/>
      <c r="C7067" t="inlineStr"/>
      <c r="D7067" t="inlineStr"/>
      <c r="E7067">
        <f>HYPERLINK("https://www.ncbi.nlm.nih.gov/gene/?term=XP_040196440.1", "XP_040196440.1")</f>
        <v/>
      </c>
      <c r="F7067" t="n">
        <v>38.6</v>
      </c>
      <c r="G7067" t="n">
        <v>363</v>
      </c>
      <c r="H7067" t="n">
        <v>6.380000000000001e-79</v>
      </c>
      <c r="I7067" t="inlineStr">
        <is>
          <t>Nr</t>
        </is>
      </c>
      <c r="J7067" t="inlineStr"/>
      <c r="K7067" t="inlineStr"/>
      <c r="L7067" t="inlineStr">
        <is>
          <t>XP_040196440.1 uncharacterized protein LOC120929221 [Rana temporaria]</t>
        </is>
      </c>
      <c r="M7067" t="n">
        <v>742</v>
      </c>
      <c r="N7067" t="inlineStr">
        <is>
          <t>Rana temporaria</t>
        </is>
      </c>
      <c r="O7067" t="inlineStr">
        <is>
          <t>uncharacterized protein LOC120929221</t>
        </is>
      </c>
    </row>
    <row r="7068">
      <c r="A7068" t="inlineStr"/>
      <c r="B7068" t="inlineStr"/>
      <c r="C7068" t="inlineStr"/>
      <c r="D7068" t="inlineStr"/>
      <c r="E7068">
        <f>HYPERLINK("https://www.uniprot.org/uniprotkb/A0A8J1L5X3/entry", "A0A8J1L5X3")</f>
        <v/>
      </c>
      <c r="F7068" t="n">
        <v>43.7</v>
      </c>
      <c r="G7068" t="n">
        <v>334</v>
      </c>
      <c r="H7068" t="n">
        <v>7.880000000000001e-79</v>
      </c>
      <c r="I7068" t="inlineStr">
        <is>
          <t>TrEMBL</t>
        </is>
      </c>
      <c r="J7068" t="inlineStr">
        <is>
          <t>LOC121395456</t>
        </is>
      </c>
      <c r="K7068" t="inlineStr">
        <is>
          <t>A0A8J1L5X3_XENLA</t>
        </is>
      </c>
      <c r="L7068" t="inlineStr">
        <is>
          <t>tr|A0A8J1L5X3|A0A8J1L5X3_XENLA uncharacterized protein LOC121395456 isoform X1 OS=Xenopus laevis OX=8355 GN=LOC121395456 PE=4 SV=1</t>
        </is>
      </c>
      <c r="M7068" t="n">
        <v>494</v>
      </c>
      <c r="N7068" t="inlineStr">
        <is>
          <t>Xenopus laevis</t>
        </is>
      </c>
      <c r="O7068" t="inlineStr">
        <is>
          <t>uncharacterized protein LOC121395456 isoform X1</t>
        </is>
      </c>
    </row>
    <row r="7069">
      <c r="A7069" t="inlineStr"/>
      <c r="B7069" t="inlineStr"/>
      <c r="C7069" t="inlineStr"/>
      <c r="D7069" t="inlineStr"/>
      <c r="E7069">
        <f>HYPERLINK("https://www.ncbi.nlm.nih.gov/gene/?term=XP_041424947.1", "XP_041424947.1")</f>
        <v/>
      </c>
      <c r="F7069" t="n">
        <v>43.7</v>
      </c>
      <c r="G7069" t="n">
        <v>334</v>
      </c>
      <c r="H7069" t="n">
        <v>2.02e-78</v>
      </c>
      <c r="I7069" t="inlineStr">
        <is>
          <t>Nr</t>
        </is>
      </c>
      <c r="J7069" t="inlineStr"/>
      <c r="K7069" t="inlineStr"/>
      <c r="L7069" t="inlineStr">
        <is>
          <t>XP_041424947.1 uncharacterized protein LOC121395456 isoform X1 [Xenopus laevis]</t>
        </is>
      </c>
      <c r="M7069" t="n">
        <v>494</v>
      </c>
      <c r="N7069" t="inlineStr">
        <is>
          <t>Xenopus laevis</t>
        </is>
      </c>
      <c r="O7069" t="inlineStr">
        <is>
          <t>uncharacterized protein LOC121395456 isoform X1</t>
        </is>
      </c>
    </row>
    <row r="7070">
      <c r="A7070" t="inlineStr"/>
      <c r="B7070" t="inlineStr"/>
      <c r="C7070" t="inlineStr"/>
      <c r="D7070" t="inlineStr"/>
      <c r="E7070">
        <f>HYPERLINK("https://www.ncbi.nlm.nih.gov/gene/?term=XP_040176800.1", "XP_040176800.1")</f>
        <v/>
      </c>
      <c r="F7070" t="n">
        <v>39</v>
      </c>
      <c r="G7070" t="n">
        <v>364</v>
      </c>
      <c r="H7070" t="n">
        <v>3.98e-76</v>
      </c>
      <c r="I7070" t="inlineStr">
        <is>
          <t>Nr</t>
        </is>
      </c>
      <c r="J7070" t="inlineStr"/>
      <c r="K7070" t="inlineStr"/>
      <c r="L7070" t="inlineStr">
        <is>
          <t>XP_040176800.1 uncharacterized protein LOC120909160 [Rana temporaria]</t>
        </is>
      </c>
      <c r="M7070" t="n">
        <v>802</v>
      </c>
      <c r="N7070" t="inlineStr">
        <is>
          <t>Rana temporaria</t>
        </is>
      </c>
      <c r="O7070" t="inlineStr">
        <is>
          <t>uncharacterized protein LOC120909160</t>
        </is>
      </c>
    </row>
    <row r="7071">
      <c r="A7071" t="inlineStr"/>
      <c r="B7071" t="inlineStr"/>
      <c r="C7071" t="inlineStr"/>
      <c r="D7071" t="inlineStr"/>
      <c r="E7071">
        <f>HYPERLINK("https://www.uniprot.org/uniprotkb/A0A6P6MRC2/entry", "A0A6P6MRC2")</f>
        <v/>
      </c>
      <c r="F7071" t="n">
        <v>37.8</v>
      </c>
      <c r="G7071" t="n">
        <v>370</v>
      </c>
      <c r="H7071" t="n">
        <v>4.11e-76</v>
      </c>
      <c r="I7071" t="inlineStr">
        <is>
          <t>TrEMBL</t>
        </is>
      </c>
      <c r="J7071" t="inlineStr">
        <is>
          <t>LOC113069710</t>
        </is>
      </c>
      <c r="K7071" t="inlineStr">
        <is>
          <t>A0A6P6MRC2_CARAU</t>
        </is>
      </c>
      <c r="L7071" t="inlineStr">
        <is>
          <t>tr|A0A6P6MRC2|A0A6P6MRC2_CARAU uncharacterized protein LOC113069710 OS=Carassius auratus OX=7957 GN=LOC113069710 PE=4 SV=1</t>
        </is>
      </c>
      <c r="M7071" t="n">
        <v>581</v>
      </c>
      <c r="N7071" t="inlineStr">
        <is>
          <t>Carassius auratus</t>
        </is>
      </c>
      <c r="O7071" t="inlineStr">
        <is>
          <t>uncharacterized protein LOC113069710</t>
        </is>
      </c>
    </row>
    <row r="7072">
      <c r="A7072" t="inlineStr"/>
      <c r="B7072" t="inlineStr"/>
      <c r="C7072" t="inlineStr"/>
      <c r="D7072" t="inlineStr"/>
      <c r="E7072">
        <f>HYPERLINK("https://www.uniprot.org/uniprotkb/A0A803KCG6/entry", "A0A803KCG6")</f>
        <v/>
      </c>
      <c r="F7072" t="n">
        <v>39</v>
      </c>
      <c r="G7072" t="n">
        <v>364</v>
      </c>
      <c r="H7072" t="n">
        <v>8.05e-76</v>
      </c>
      <c r="I7072" t="inlineStr">
        <is>
          <t>TrEMBL</t>
        </is>
      </c>
      <c r="J7072" t="inlineStr"/>
      <c r="K7072" t="inlineStr">
        <is>
          <t>A0A803KCG6_XENTR</t>
        </is>
      </c>
      <c r="L7072" t="inlineStr">
        <is>
          <t>tr|A0A803KCG6|A0A803KCG6_XENTR Reverse transcriptase domain-containing protein OS=Xenopus tropicalis OX=8364 PE=4 SV=1</t>
        </is>
      </c>
      <c r="M7072" t="n">
        <v>762</v>
      </c>
      <c r="N7072" t="inlineStr">
        <is>
          <t>Xenopus tropicalis</t>
        </is>
      </c>
      <c r="O7072" t="inlineStr">
        <is>
          <t>Reverse transcriptase domain-containing protein</t>
        </is>
      </c>
    </row>
    <row r="7073">
      <c r="A7073" t="inlineStr"/>
      <c r="B7073" t="inlineStr"/>
      <c r="C7073" t="inlineStr"/>
      <c r="D7073" t="inlineStr"/>
      <c r="E7073">
        <f>HYPERLINK("https://www.ncbi.nlm.nih.gov/gene/?term=XP_026098621.1", "XP_026098621.1")</f>
        <v/>
      </c>
      <c r="F7073" t="n">
        <v>37.8</v>
      </c>
      <c r="G7073" t="n">
        <v>370</v>
      </c>
      <c r="H7073" t="n">
        <v>1.06e-75</v>
      </c>
      <c r="I7073" t="inlineStr">
        <is>
          <t>Nr</t>
        </is>
      </c>
      <c r="J7073" t="inlineStr"/>
      <c r="K7073" t="inlineStr"/>
      <c r="L7073" t="inlineStr">
        <is>
          <t>XP_026098621.1 uncharacterized protein LOC113069710 [Carassius auratus]</t>
        </is>
      </c>
      <c r="M7073" t="n">
        <v>581</v>
      </c>
      <c r="N7073" t="inlineStr">
        <is>
          <t>Carassius auratus</t>
        </is>
      </c>
      <c r="O7073" t="inlineStr">
        <is>
          <t>uncharacterized protein LOC113069710</t>
        </is>
      </c>
    </row>
    <row r="7074">
      <c r="A7074" t="inlineStr"/>
      <c r="B7074" t="inlineStr"/>
      <c r="C7074" t="inlineStr"/>
      <c r="D7074" t="inlineStr"/>
      <c r="E7074">
        <f>HYPERLINK("https://www.ncbi.nlm.nih.gov/gene/?term=XP_052468100.1", "XP_052468100.1")</f>
        <v/>
      </c>
      <c r="F7074" t="n">
        <v>38</v>
      </c>
      <c r="G7074" t="n">
        <v>353</v>
      </c>
      <c r="H7074" t="n">
        <v>1.05e-74</v>
      </c>
      <c r="I7074" t="inlineStr">
        <is>
          <t>Nr</t>
        </is>
      </c>
      <c r="J7074" t="inlineStr"/>
      <c r="K7074" t="inlineStr"/>
      <c r="L7074" t="inlineStr">
        <is>
          <t>XP_052468100.1 uncharacterized protein LOC128025655 [Carassius gibelio]</t>
        </is>
      </c>
      <c r="M7074" t="n">
        <v>417</v>
      </c>
      <c r="N7074" t="inlineStr">
        <is>
          <t>Carassius gibelio</t>
        </is>
      </c>
      <c r="O7074" t="inlineStr">
        <is>
          <t>uncharacterized protein LOC128025655</t>
        </is>
      </c>
    </row>
    <row r="7075">
      <c r="A7075" t="inlineStr"/>
      <c r="B7075" t="inlineStr"/>
      <c r="C7075" t="inlineStr"/>
      <c r="D7075" t="inlineStr"/>
      <c r="E7075">
        <f>HYPERLINK("https://www.uniprot.org/uniprotkb/A0A1B8XYH4/entry", "A0A1B8XYH4")</f>
        <v/>
      </c>
      <c r="F7075" t="n">
        <v>39.9</v>
      </c>
      <c r="G7075" t="n">
        <v>346</v>
      </c>
      <c r="H7075" t="n">
        <v>1.04e-73</v>
      </c>
      <c r="I7075" t="inlineStr">
        <is>
          <t>TrEMBL</t>
        </is>
      </c>
      <c r="J7075" t="inlineStr">
        <is>
          <t>XENTR_v90029288mg</t>
        </is>
      </c>
      <c r="K7075" t="inlineStr">
        <is>
          <t>A0A1B8XYH4_XENTR</t>
        </is>
      </c>
      <c r="L7075" t="inlineStr">
        <is>
          <t>tr|A0A1B8XYH4|A0A1B8XYH4_XENTR Reverse transcriptase domain-containing protein OS=Xenopus tropicalis OX=8364 GN=XENTR_v90029288mg PE=4 SV=1</t>
        </is>
      </c>
      <c r="M7075" t="n">
        <v>500</v>
      </c>
      <c r="N7075" t="inlineStr">
        <is>
          <t>Xenopus tropicalis</t>
        </is>
      </c>
      <c r="O7075" t="inlineStr">
        <is>
          <t>Reverse transcriptase domain-containing protein</t>
        </is>
      </c>
    </row>
    <row r="7076">
      <c r="A7076" t="inlineStr"/>
      <c r="B7076" t="inlineStr"/>
      <c r="C7076" t="inlineStr"/>
      <c r="D7076" t="inlineStr"/>
      <c r="E7076">
        <f>HYPERLINK("https://www.ncbi.nlm.nih.gov/gene/?term=XP_040179872.1", "XP_040179872.1")</f>
        <v/>
      </c>
      <c r="F7076" t="n">
        <v>37.1</v>
      </c>
      <c r="G7076" t="n">
        <v>385</v>
      </c>
      <c r="H7076" t="n">
        <v>3.05e-73</v>
      </c>
      <c r="I7076" t="inlineStr">
        <is>
          <t>Nr</t>
        </is>
      </c>
      <c r="J7076" t="inlineStr"/>
      <c r="K7076" t="inlineStr"/>
      <c r="L7076" t="inlineStr">
        <is>
          <t>XP_040179872.1 uncharacterized protein LOC120913749 [Rana temporaria]</t>
        </is>
      </c>
      <c r="M7076" t="n">
        <v>761</v>
      </c>
      <c r="N7076" t="inlineStr">
        <is>
          <t>Rana temporaria</t>
        </is>
      </c>
      <c r="O7076" t="inlineStr">
        <is>
          <t>uncharacterized protein LOC120913749</t>
        </is>
      </c>
    </row>
    <row r="7077">
      <c r="A7077" t="inlineStr"/>
      <c r="B7077" t="inlineStr"/>
      <c r="C7077" t="inlineStr"/>
      <c r="D7077" t="inlineStr"/>
      <c r="E7077">
        <f>HYPERLINK("https://www.ncbi.nlm.nih.gov/gene/?term=XP_044151417.1", "XP_044151417.1")</f>
        <v/>
      </c>
      <c r="F7077" t="n">
        <v>43.3</v>
      </c>
      <c r="G7077" t="n">
        <v>323</v>
      </c>
      <c r="H7077" t="n">
        <v>3.48e-73</v>
      </c>
      <c r="I7077" t="inlineStr">
        <is>
          <t>Nr</t>
        </is>
      </c>
      <c r="J7077" t="inlineStr"/>
      <c r="K7077" t="inlineStr"/>
      <c r="L7077" t="inlineStr">
        <is>
          <t>XP_044151417.1 A disintegrin and metalloproteinase with thrombospondin motifs 16 [Bufo gargarizans]</t>
        </is>
      </c>
      <c r="M7077" t="n">
        <v>1376</v>
      </c>
      <c r="N7077" t="inlineStr">
        <is>
          <t>Bufo gargarizans</t>
        </is>
      </c>
      <c r="O7077" t="inlineStr">
        <is>
          <t>A disintegrin and metalloproteinase with thrombospondin motifs 16</t>
        </is>
      </c>
    </row>
    <row r="7078">
      <c r="A7078" t="inlineStr"/>
      <c r="B7078" t="inlineStr"/>
      <c r="C7078" t="inlineStr"/>
      <c r="D7078" t="inlineStr"/>
      <c r="E7078">
        <f>HYPERLINK("https://www.uniprot.org/uniprotkb/A0A803K2L1/entry", "A0A803K2L1")</f>
        <v/>
      </c>
      <c r="F7078" t="n">
        <v>38.4</v>
      </c>
      <c r="G7078" t="n">
        <v>380</v>
      </c>
      <c r="H7078" t="n">
        <v>5.330000000000001e-73</v>
      </c>
      <c r="I7078" t="inlineStr">
        <is>
          <t>TrEMBL</t>
        </is>
      </c>
      <c r="J7078" t="inlineStr"/>
      <c r="K7078" t="inlineStr">
        <is>
          <t>A0A803K2L1_XENTR</t>
        </is>
      </c>
      <c r="L7078" t="inlineStr">
        <is>
          <t>tr|A0A803K2L1|A0A803K2L1_XENTR Reverse transcriptase domain-containing protein OS=Xenopus tropicalis OX=8364 PE=4 SV=1</t>
        </is>
      </c>
      <c r="M7078" t="n">
        <v>696</v>
      </c>
      <c r="N7078" t="inlineStr">
        <is>
          <t>Xenopus tropicalis</t>
        </is>
      </c>
      <c r="O7078" t="inlineStr">
        <is>
          <t>Reverse transcriptase domain-containing protein</t>
        </is>
      </c>
    </row>
    <row r="7079">
      <c r="A7079" t="inlineStr"/>
      <c r="B7079" t="inlineStr"/>
      <c r="C7079" t="inlineStr"/>
      <c r="D7079" t="inlineStr"/>
      <c r="E7079">
        <f>HYPERLINK("https://www.uniprot.org/uniprotkb/A0A803J844/entry", "A0A803J844")</f>
        <v/>
      </c>
      <c r="F7079" t="n">
        <v>37.6</v>
      </c>
      <c r="G7079" t="n">
        <v>359</v>
      </c>
      <c r="H7079" t="n">
        <v>3.59e-72</v>
      </c>
      <c r="I7079" t="inlineStr">
        <is>
          <t>TrEMBL</t>
        </is>
      </c>
      <c r="J7079" t="inlineStr"/>
      <c r="K7079" t="inlineStr">
        <is>
          <t>A0A803J844_XENTR</t>
        </is>
      </c>
      <c r="L7079" t="inlineStr">
        <is>
          <t>tr|A0A803J844|A0A803J844_XENTR Reverse transcriptase domain-containing protein OS=Xenopus tropicalis OX=8364 PE=4 SV=1</t>
        </is>
      </c>
      <c r="M7079" t="n">
        <v>673</v>
      </c>
      <c r="N7079" t="inlineStr">
        <is>
          <t>Xenopus tropicalis</t>
        </is>
      </c>
      <c r="O7079" t="inlineStr">
        <is>
          <t>Reverse transcriptase domain-containing protein</t>
        </is>
      </c>
    </row>
    <row r="7080">
      <c r="A7080" t="inlineStr"/>
      <c r="B7080" t="inlineStr"/>
      <c r="C7080" t="inlineStr"/>
      <c r="D7080" t="inlineStr"/>
      <c r="E7080">
        <f>HYPERLINK("https://www.ncbi.nlm.nih.gov/gene/?term=XP_035796656.1", "XP_035796656.1")</f>
        <v/>
      </c>
      <c r="F7080" t="n">
        <v>37.3</v>
      </c>
      <c r="G7080" t="n">
        <v>381</v>
      </c>
      <c r="H7080" t="n">
        <v>4.11e-72</v>
      </c>
      <c r="I7080" t="inlineStr">
        <is>
          <t>Nr</t>
        </is>
      </c>
      <c r="J7080" t="inlineStr"/>
      <c r="K7080" t="inlineStr"/>
      <c r="L7080" t="inlineStr">
        <is>
          <t>XP_035796656.1 uncharacterized protein LOC111584630 isoform X1 [Amphiprion ocellaris]</t>
        </is>
      </c>
      <c r="M7080" t="n">
        <v>633</v>
      </c>
      <c r="N7080" t="inlineStr">
        <is>
          <t>Amphiprion ocellaris</t>
        </is>
      </c>
      <c r="O7080" t="inlineStr">
        <is>
          <t>uncharacterized protein LOC111584630 isoform X1</t>
        </is>
      </c>
    </row>
    <row r="7081">
      <c r="A7081" t="inlineStr"/>
      <c r="B7081" t="inlineStr"/>
      <c r="C7081" t="inlineStr"/>
      <c r="D7081" t="inlineStr"/>
      <c r="E7081">
        <f>HYPERLINK("https://www.ncbi.nlm.nih.gov/gene/?term=XP_023143528.2", "XP_023143528.2")</f>
        <v/>
      </c>
      <c r="F7081" t="n">
        <v>37.3</v>
      </c>
      <c r="G7081" t="n">
        <v>381</v>
      </c>
      <c r="H7081" t="n">
        <v>4.11e-72</v>
      </c>
      <c r="I7081" t="inlineStr">
        <is>
          <t>Nr</t>
        </is>
      </c>
      <c r="J7081" t="inlineStr"/>
      <c r="K7081" t="inlineStr"/>
      <c r="L7081" t="inlineStr">
        <is>
          <t>XP_023143528.2 uncharacterized protein LOC111580143 isoform X2 [Amphiprion ocellaris]</t>
        </is>
      </c>
      <c r="M7081" t="n">
        <v>633</v>
      </c>
      <c r="N7081" t="inlineStr">
        <is>
          <t>Amphiprion ocellaris</t>
        </is>
      </c>
      <c r="O7081" t="inlineStr">
        <is>
          <t>uncharacterized protein LOC111580143 isoform X2</t>
        </is>
      </c>
    </row>
    <row r="7082">
      <c r="A7082" t="inlineStr"/>
      <c r="B7082" t="inlineStr"/>
      <c r="C7082" t="inlineStr"/>
      <c r="D7082" t="inlineStr"/>
      <c r="E7082">
        <f>HYPERLINK("https://www.ncbi.nlm.nih.gov/gene/?term=XP_040178452.1", "XP_040178452.1")</f>
        <v/>
      </c>
      <c r="F7082" t="n">
        <v>39.1</v>
      </c>
      <c r="G7082" t="n">
        <v>366</v>
      </c>
      <c r="H7082" t="n">
        <v>4.43e-72</v>
      </c>
      <c r="I7082" t="inlineStr">
        <is>
          <t>Nr</t>
        </is>
      </c>
      <c r="J7082" t="inlineStr"/>
      <c r="K7082" t="inlineStr"/>
      <c r="L7082" t="inlineStr">
        <is>
          <t>XP_040178452.1 uncharacterized protein LOC120911183 [Rana temporaria]</t>
        </is>
      </c>
      <c r="M7082" t="n">
        <v>705</v>
      </c>
      <c r="N7082" t="inlineStr">
        <is>
          <t>Rana temporaria</t>
        </is>
      </c>
      <c r="O7082" t="inlineStr">
        <is>
          <t>uncharacterized protein LOC120911183</t>
        </is>
      </c>
    </row>
    <row r="7083">
      <c r="A7083" t="inlineStr"/>
      <c r="B7083" t="inlineStr"/>
      <c r="C7083" t="inlineStr"/>
      <c r="D7083" t="inlineStr"/>
      <c r="E7083">
        <f>HYPERLINK("https://www.ncbi.nlm.nih.gov/gene/?term=XP_035799256.1", "XP_035799256.1")</f>
        <v/>
      </c>
      <c r="F7083" t="n">
        <v>37.3</v>
      </c>
      <c r="G7083" t="n">
        <v>381</v>
      </c>
      <c r="H7083" t="n">
        <v>7.42e-72</v>
      </c>
      <c r="I7083" t="inlineStr">
        <is>
          <t>Nr</t>
        </is>
      </c>
      <c r="J7083" t="inlineStr"/>
      <c r="K7083" t="inlineStr"/>
      <c r="L7083" t="inlineStr">
        <is>
          <t>XP_035799256.1 uncharacterized protein LOC111588690 isoform X1 [Amphiprion ocellaris]</t>
        </is>
      </c>
      <c r="M7083" t="n">
        <v>662</v>
      </c>
      <c r="N7083" t="inlineStr">
        <is>
          <t>Amphiprion ocellaris</t>
        </is>
      </c>
      <c r="O7083" t="inlineStr">
        <is>
          <t>uncharacterized protein LOC111588690 isoform X1</t>
        </is>
      </c>
    </row>
    <row r="7084">
      <c r="A7084" t="inlineStr"/>
      <c r="B7084" t="inlineStr"/>
      <c r="C7084" t="inlineStr"/>
      <c r="D7084" t="inlineStr"/>
      <c r="E7084">
        <f>HYPERLINK("https://www.uniprot.org/uniprotkb/A0A8C5LZ44/entry", "A0A8C5LZ44")</f>
        <v/>
      </c>
      <c r="F7084" t="n">
        <v>44.3</v>
      </c>
      <c r="G7084" t="n">
        <v>280</v>
      </c>
      <c r="H7084" t="n">
        <v>2.16e-70</v>
      </c>
      <c r="I7084" t="inlineStr">
        <is>
          <t>TrEMBL</t>
        </is>
      </c>
      <c r="J7084" t="inlineStr"/>
      <c r="K7084" t="inlineStr">
        <is>
          <t>A0A8C5LZ44_9ANUR</t>
        </is>
      </c>
      <c r="L7084" t="inlineStr">
        <is>
          <t>tr|A0A8C5LZ44|A0A8C5LZ44_9ANUR Reverse transcriptase domain-containing protein OS=Leptobrachium leishanense OX=445787 PE=4 SV=1</t>
        </is>
      </c>
      <c r="M7084" t="n">
        <v>563</v>
      </c>
      <c r="N7084" t="inlineStr">
        <is>
          <t>Leptobrachium leishanense</t>
        </is>
      </c>
      <c r="O7084" t="inlineStr">
        <is>
          <t>Reverse transcriptase domain-containing protein</t>
        </is>
      </c>
    </row>
    <row r="7085">
      <c r="A7085" t="inlineStr"/>
      <c r="B7085" t="inlineStr"/>
      <c r="C7085" t="inlineStr"/>
      <c r="D7085" t="inlineStr"/>
      <c r="E7085">
        <f>HYPERLINK("https://www.uniprot.org/uniprotkb/A0A673YIM5/entry", "A0A673YIM5")</f>
        <v/>
      </c>
      <c r="F7085" t="n">
        <v>36.6</v>
      </c>
      <c r="G7085" t="n">
        <v>361</v>
      </c>
      <c r="H7085" t="n">
        <v>6.030000000000001e-70</v>
      </c>
      <c r="I7085" t="inlineStr">
        <is>
          <t>TrEMBL</t>
        </is>
      </c>
      <c r="J7085" t="inlineStr"/>
      <c r="K7085" t="inlineStr">
        <is>
          <t>A0A673YIM5_SALTR</t>
        </is>
      </c>
      <c r="L7085" t="inlineStr">
        <is>
          <t>tr|A0A673YIM5|A0A673YIM5_SALTR Reverse transcriptase domain-containing protein OS=Salmo trutta OX=8032 PE=4 SV=1</t>
        </is>
      </c>
      <c r="M7085" t="n">
        <v>610</v>
      </c>
      <c r="N7085" t="inlineStr">
        <is>
          <t>Salmo trutta</t>
        </is>
      </c>
      <c r="O7085" t="inlineStr">
        <is>
          <t>Reverse transcriptase domain-containing protein</t>
        </is>
      </c>
    </row>
    <row r="7086">
      <c r="A7086" t="inlineStr"/>
      <c r="B7086" t="inlineStr"/>
      <c r="C7086" t="inlineStr"/>
      <c r="D7086" t="inlineStr"/>
      <c r="E7086">
        <f>HYPERLINK("https://www.ncbi.nlm.nih.gov/gene/?term=XP_029469168.1", "XP_029469168.1")</f>
        <v/>
      </c>
      <c r="F7086" t="n">
        <v>38.4</v>
      </c>
      <c r="G7086" t="n">
        <v>359</v>
      </c>
      <c r="H7086" t="n">
        <v>1.85e-69</v>
      </c>
      <c r="I7086" t="inlineStr">
        <is>
          <t>Nr</t>
        </is>
      </c>
      <c r="J7086" t="inlineStr"/>
      <c r="K7086" t="inlineStr"/>
      <c r="L7086" t="inlineStr">
        <is>
          <t>XP_029469168.1 uncharacterized protein LOC115097463 [Rhinatrema bivittatum]</t>
        </is>
      </c>
      <c r="M7086" t="n">
        <v>687</v>
      </c>
      <c r="N7086" t="inlineStr">
        <is>
          <t>Rhinatrema bivittatum</t>
        </is>
      </c>
      <c r="O7086" t="inlineStr">
        <is>
          <t>uncharacterized protein LOC115097463</t>
        </is>
      </c>
    </row>
    <row r="7087">
      <c r="A7087" t="inlineStr"/>
      <c r="B7087" t="inlineStr"/>
      <c r="C7087" t="inlineStr"/>
      <c r="D7087" t="inlineStr"/>
      <c r="E7087">
        <f>HYPERLINK("https://www.uniprot.org/uniprotkb/A0A674BMX0/entry", "A0A674BMX0")</f>
        <v/>
      </c>
      <c r="F7087" t="n">
        <v>36.3</v>
      </c>
      <c r="G7087" t="n">
        <v>361</v>
      </c>
      <c r="H7087" t="n">
        <v>2.33e-69</v>
      </c>
      <c r="I7087" t="inlineStr">
        <is>
          <t>TrEMBL</t>
        </is>
      </c>
      <c r="J7087" t="inlineStr"/>
      <c r="K7087" t="inlineStr">
        <is>
          <t>A0A674BMX0_SALTR</t>
        </is>
      </c>
      <c r="L7087" t="inlineStr">
        <is>
          <t>tr|A0A674BMX0|A0A674BMX0_SALTR Reverse transcriptase domain-containing protein OS=Salmo trutta OX=8032 PE=4 SV=1</t>
        </is>
      </c>
      <c r="M7087" t="n">
        <v>610</v>
      </c>
      <c r="N7087" t="inlineStr">
        <is>
          <t>Salmo trutta</t>
        </is>
      </c>
      <c r="O7087" t="inlineStr">
        <is>
          <t>Reverse transcriptase domain-containing protein</t>
        </is>
      </c>
    </row>
    <row r="7088">
      <c r="A7088" t="inlineStr"/>
      <c r="B7088" t="inlineStr"/>
      <c r="C7088" t="inlineStr"/>
      <c r="D7088" t="inlineStr"/>
      <c r="E7088">
        <f>HYPERLINK("https://www.uniprot.org/uniprotkb/A0A674ADI8/entry", "A0A674ADI8")</f>
        <v/>
      </c>
      <c r="F7088" t="n">
        <v>36.3</v>
      </c>
      <c r="G7088" t="n">
        <v>361</v>
      </c>
      <c r="H7088" t="n">
        <v>3.26e-69</v>
      </c>
      <c r="I7088" t="inlineStr">
        <is>
          <t>TrEMBL</t>
        </is>
      </c>
      <c r="J7088" t="inlineStr"/>
      <c r="K7088" t="inlineStr">
        <is>
          <t>A0A674ADI8_SALTR</t>
        </is>
      </c>
      <c r="L7088" t="inlineStr">
        <is>
          <t>tr|A0A674ADI8|A0A674ADI8_SALTR Reverse transcriptase domain-containing protein OS=Salmo trutta OX=8032 PE=4 SV=1</t>
        </is>
      </c>
      <c r="M7088" t="n">
        <v>610</v>
      </c>
      <c r="N7088" t="inlineStr">
        <is>
          <t>Salmo trutta</t>
        </is>
      </c>
      <c r="O7088" t="inlineStr">
        <is>
          <t>Reverse transcriptase domain-containing protein</t>
        </is>
      </c>
    </row>
    <row r="7089">
      <c r="A7089" t="inlineStr"/>
      <c r="B7089" t="inlineStr"/>
      <c r="C7089" t="inlineStr"/>
      <c r="D7089" t="inlineStr"/>
      <c r="E7089">
        <f>HYPERLINK("https://www.uniprot.org/uniprotkb/A0A3P8U3H0/entry", "A0A3P8U3H0")</f>
        <v/>
      </c>
      <c r="F7089" t="n">
        <v>38.4</v>
      </c>
      <c r="G7089" t="n">
        <v>328</v>
      </c>
      <c r="H7089" t="n">
        <v>3.48e-69</v>
      </c>
      <c r="I7089" t="inlineStr">
        <is>
          <t>TrEMBL</t>
        </is>
      </c>
      <c r="J7089" t="inlineStr"/>
      <c r="K7089" t="inlineStr">
        <is>
          <t>A0A3P8U3H0_AMPPE</t>
        </is>
      </c>
      <c r="L7089" t="inlineStr">
        <is>
          <t>tr|A0A3P8U3H0|A0A3P8U3H0_AMPPE Reverse transcriptase domain-containing protein OS=Amphiprion percula OX=161767 PE=4 SV=1</t>
        </is>
      </c>
      <c r="M7089" t="n">
        <v>440</v>
      </c>
      <c r="N7089" t="inlineStr">
        <is>
          <t>Amphiprion percula</t>
        </is>
      </c>
      <c r="O7089" t="inlineStr">
        <is>
          <t>Reverse transcriptase domain-containing protein</t>
        </is>
      </c>
    </row>
    <row r="7090">
      <c r="A7090" t="inlineStr"/>
      <c r="B7090" t="inlineStr"/>
      <c r="C7090" t="inlineStr"/>
      <c r="D7090" t="inlineStr"/>
      <c r="E7090">
        <f>HYPERLINK("https://www.uniprot.org/uniprotkb/A0A673X8A3/entry", "A0A673X8A3")</f>
        <v/>
      </c>
      <c r="F7090" t="n">
        <v>36.3</v>
      </c>
      <c r="G7090" t="n">
        <v>361</v>
      </c>
      <c r="H7090" t="n">
        <v>3.86e-69</v>
      </c>
      <c r="I7090" t="inlineStr">
        <is>
          <t>TrEMBL</t>
        </is>
      </c>
      <c r="J7090" t="inlineStr"/>
      <c r="K7090" t="inlineStr">
        <is>
          <t>A0A673X8A3_SALTR</t>
        </is>
      </c>
      <c r="L7090" t="inlineStr">
        <is>
          <t>tr|A0A673X8A3|A0A673X8A3_SALTR Reverse transcriptase domain-containing protein OS=Salmo trutta OX=8032 PE=4 SV=1</t>
        </is>
      </c>
      <c r="M7090" t="n">
        <v>602</v>
      </c>
      <c r="N7090" t="inlineStr">
        <is>
          <t>Salmo trutta</t>
        </is>
      </c>
      <c r="O7090" t="inlineStr">
        <is>
          <t>Reverse transcriptase domain-containing protein</t>
        </is>
      </c>
    </row>
    <row r="7091">
      <c r="A7091" t="inlineStr"/>
      <c r="B7091" t="inlineStr"/>
      <c r="C7091" t="inlineStr"/>
      <c r="D7091" t="inlineStr"/>
      <c r="E7091">
        <f>HYPERLINK("https://www.ncbi.nlm.nih.gov/gene/?term=KAJ0060014.1", "KAJ0060014.1")</f>
        <v/>
      </c>
      <c r="F7091" t="n">
        <v>39.6</v>
      </c>
      <c r="G7091" t="n">
        <v>326</v>
      </c>
      <c r="H7091" t="n">
        <v>7.339999999999999e-69</v>
      </c>
      <c r="I7091" t="inlineStr">
        <is>
          <t>Nr</t>
        </is>
      </c>
      <c r="J7091" t="inlineStr"/>
      <c r="K7091" t="inlineStr"/>
      <c r="L7091" t="inlineStr">
        <is>
          <t>KAJ0060014.1 hypothetical protein NL108_018667 [Boleophthalmus pectinirostris]</t>
        </is>
      </c>
      <c r="M7091" t="n">
        <v>472</v>
      </c>
      <c r="N7091" t="inlineStr">
        <is>
          <t>Boleophthalmus pectinirostris</t>
        </is>
      </c>
      <c r="O7091" t="inlineStr">
        <is>
          <t>hypothetical protein NL108_018667</t>
        </is>
      </c>
    </row>
    <row r="7092">
      <c r="A7092" t="inlineStr"/>
      <c r="B7092" t="inlineStr"/>
      <c r="C7092" t="inlineStr"/>
      <c r="D7092" t="inlineStr"/>
      <c r="E7092">
        <f>HYPERLINK("https://www.ncbi.nlm.nih.gov/gene/?term=XP_049904368.1", "XP_049904368.1")</f>
        <v/>
      </c>
      <c r="F7092" t="n">
        <v>33.8</v>
      </c>
      <c r="G7092" t="n">
        <v>355</v>
      </c>
      <c r="H7092" t="n">
        <v>1.78e-67</v>
      </c>
      <c r="I7092" t="inlineStr">
        <is>
          <t>Nr</t>
        </is>
      </c>
      <c r="J7092" t="inlineStr"/>
      <c r="K7092" t="inlineStr"/>
      <c r="L7092" t="inlineStr">
        <is>
          <t>XP_049904368.1 uncharacterized protein LOC126392789 [Epinephelus moara]</t>
        </is>
      </c>
      <c r="M7092" t="n">
        <v>386</v>
      </c>
      <c r="N7092" t="inlineStr">
        <is>
          <t>Epinephelus moara</t>
        </is>
      </c>
      <c r="O7092" t="inlineStr">
        <is>
          <t>uncharacterized protein LOC126392789</t>
        </is>
      </c>
    </row>
    <row r="7093">
      <c r="A7093" t="inlineStr"/>
      <c r="B7093" t="inlineStr"/>
      <c r="C7093" t="inlineStr"/>
      <c r="D7093" t="inlineStr"/>
      <c r="E7093">
        <f>HYPERLINK("https://www.ncbi.nlm.nih.gov/gene/?term=XP_041418569.1", "XP_041418569.1")</f>
        <v/>
      </c>
      <c r="F7093" t="n">
        <v>37.8</v>
      </c>
      <c r="G7093" t="n">
        <v>360</v>
      </c>
      <c r="H7093" t="n">
        <v>3.48e-67</v>
      </c>
      <c r="I7093" t="inlineStr">
        <is>
          <t>Nr</t>
        </is>
      </c>
      <c r="J7093" t="inlineStr"/>
      <c r="K7093" t="inlineStr"/>
      <c r="L7093" t="inlineStr">
        <is>
          <t>XP_041418569.1 uncharacterized protein LOC121393620 [Xenopus laevis]</t>
        </is>
      </c>
      <c r="M7093" t="n">
        <v>611</v>
      </c>
      <c r="N7093" t="inlineStr">
        <is>
          <t>Xenopus laevis</t>
        </is>
      </c>
      <c r="O7093" t="inlineStr">
        <is>
          <t>uncharacterized protein LOC121393620</t>
        </is>
      </c>
    </row>
    <row r="7094">
      <c r="A7094" t="inlineStr">
        <is>
          <t>NODE_4737_length_7835_cov_422.486612_g661_i6</t>
        </is>
      </c>
      <c r="B7094" t="inlineStr">
        <is>
          <t>bombina_pachypus_blastx</t>
        </is>
      </c>
      <c r="C7094" t="n">
        <v>-7.84671619125594</v>
      </c>
      <c r="D7094" t="n">
        <v>1.2188308273578e-33</v>
      </c>
      <c r="E7094">
        <f>HYPERLINK("https://www.uniprot.org/uniprotkb/A0A444TXB3/entry", "A0A444TXB3")</f>
        <v/>
      </c>
      <c r="F7094" t="n">
        <v>38.3</v>
      </c>
      <c r="G7094" t="n">
        <v>120</v>
      </c>
      <c r="H7094" t="n">
        <v>1.51e-11</v>
      </c>
      <c r="I7094" t="inlineStr">
        <is>
          <t>TrEMBL</t>
        </is>
      </c>
      <c r="J7094" t="inlineStr">
        <is>
          <t>EOD39_10605</t>
        </is>
      </c>
      <c r="K7094" t="inlineStr">
        <is>
          <t>A0A444TXB3_ACIRT</t>
        </is>
      </c>
      <c r="L7094" t="inlineStr">
        <is>
          <t>tr|A0A444TXB3|A0A444TXB3_ACIRT HTH_Tnp_Tc3_2 domain-containing protein OS=Acipenser ruthenus OX=7906 GN=EOD39_10605 PE=4 SV=1</t>
        </is>
      </c>
      <c r="M7094" t="n">
        <v>138</v>
      </c>
      <c r="N7094" t="inlineStr">
        <is>
          <t>Acipenser ruthenus</t>
        </is>
      </c>
      <c r="O7094" t="inlineStr">
        <is>
          <t>HTH_Tnp_Tc3_2 domain-containing protein</t>
        </is>
      </c>
    </row>
    <row r="7095">
      <c r="A7095" t="inlineStr"/>
      <c r="B7095" t="inlineStr"/>
      <c r="C7095" t="inlineStr"/>
      <c r="D7095" t="inlineStr"/>
      <c r="E7095">
        <f>HYPERLINK("https://www.uniprot.org/uniprotkb/A0A8C4T0Q5/entry", "A0A8C4T0Q5")</f>
        <v/>
      </c>
      <c r="F7095" t="n">
        <v>42.6</v>
      </c>
      <c r="G7095" t="n">
        <v>122</v>
      </c>
      <c r="H7095" t="n">
        <v>1.57e-11</v>
      </c>
      <c r="I7095" t="inlineStr">
        <is>
          <t>TrEMBL</t>
        </is>
      </c>
      <c r="J7095" t="inlineStr"/>
      <c r="K7095" t="inlineStr">
        <is>
          <t>A0A8C4T0Q5_ERPCA</t>
        </is>
      </c>
      <c r="L7095" t="inlineStr">
        <is>
          <t>tr|A0A8C4T0Q5|A0A8C4T0Q5_ERPCA Transposable element Tcb1 transposase OS=Erpetoichthys calabaricus OX=27687 PE=4 SV=1</t>
        </is>
      </c>
      <c r="M7095" t="n">
        <v>303</v>
      </c>
      <c r="N7095" t="inlineStr">
        <is>
          <t>Erpetoichthys calabaricus</t>
        </is>
      </c>
      <c r="O7095" t="inlineStr">
        <is>
          <t>Transposable element Tcb1 transposase</t>
        </is>
      </c>
    </row>
    <row r="7096">
      <c r="A7096" t="inlineStr"/>
      <c r="B7096" t="inlineStr"/>
      <c r="C7096" t="inlineStr"/>
      <c r="D7096" t="inlineStr"/>
      <c r="E7096">
        <f>HYPERLINK("https://www.ncbi.nlm.nih.gov/gene/?term=RXM27583.1", "RXM27583.1")</f>
        <v/>
      </c>
      <c r="F7096" t="n">
        <v>38.3</v>
      </c>
      <c r="G7096" t="n">
        <v>120</v>
      </c>
      <c r="H7096" t="n">
        <v>3.87e-11</v>
      </c>
      <c r="I7096" t="inlineStr">
        <is>
          <t>Nr</t>
        </is>
      </c>
      <c r="J7096" t="inlineStr"/>
      <c r="K7096" t="inlineStr"/>
      <c r="L7096" t="inlineStr">
        <is>
          <t>RXM27583.1 hypothetical protein EOD39_10605 [Acipenser ruthenus]</t>
        </is>
      </c>
      <c r="M7096" t="n">
        <v>138</v>
      </c>
      <c r="N7096" t="inlineStr">
        <is>
          <t>Acipenser ruthenus</t>
        </is>
      </c>
      <c r="O7096" t="inlineStr">
        <is>
          <t>hypothetical protein EOD39_10605</t>
        </is>
      </c>
    </row>
    <row r="7097">
      <c r="A7097" t="inlineStr"/>
      <c r="B7097" t="inlineStr"/>
      <c r="C7097" t="inlineStr"/>
      <c r="D7097" t="inlineStr"/>
      <c r="E7097">
        <f>HYPERLINK("https://www.ncbi.nlm.nih.gov/gene/?term=MBN3272199.1", "MBN3272199.1")</f>
        <v/>
      </c>
      <c r="F7097" t="n">
        <v>39.2</v>
      </c>
      <c r="G7097" t="n">
        <v>120</v>
      </c>
      <c r="H7097" t="n">
        <v>9.54e-11</v>
      </c>
      <c r="I7097" t="inlineStr">
        <is>
          <t>Nr</t>
        </is>
      </c>
      <c r="J7097" t="inlineStr"/>
      <c r="K7097" t="inlineStr"/>
      <c r="L7097" t="inlineStr">
        <is>
          <t>MBN3272199.1 TCB2 transposase [Polyodon spathula]</t>
        </is>
      </c>
      <c r="M7097" t="n">
        <v>341</v>
      </c>
      <c r="N7097" t="inlineStr">
        <is>
          <t>Polyodon spathula</t>
        </is>
      </c>
      <c r="O7097" t="inlineStr">
        <is>
          <t>TCB2 transposase</t>
        </is>
      </c>
    </row>
    <row r="7098">
      <c r="A7098" t="inlineStr"/>
      <c r="B7098" t="inlineStr"/>
      <c r="C7098" t="inlineStr"/>
      <c r="D7098" t="inlineStr"/>
      <c r="E7098">
        <f>HYPERLINK("https://www.uniprot.org/uniprotkb/A0A8C4S3S5/entry", "A0A8C4S3S5")</f>
        <v/>
      </c>
      <c r="F7098" t="n">
        <v>39.7</v>
      </c>
      <c r="G7098" t="n">
        <v>121</v>
      </c>
      <c r="H7098" t="n">
        <v>3.44e-10</v>
      </c>
      <c r="I7098" t="inlineStr">
        <is>
          <t>TrEMBL</t>
        </is>
      </c>
      <c r="J7098" t="inlineStr"/>
      <c r="K7098" t="inlineStr">
        <is>
          <t>A0A8C4S3S5_ERPCA</t>
        </is>
      </c>
      <c r="L7098" t="inlineStr">
        <is>
          <t>tr|A0A8C4S3S5|A0A8C4S3S5_ERPCA Transposable element Tcb1 transposase OS=Erpetoichthys calabaricus OX=27687 PE=4 SV=1</t>
        </is>
      </c>
      <c r="M7098" t="n">
        <v>341</v>
      </c>
      <c r="N7098" t="inlineStr">
        <is>
          <t>Erpetoichthys calabaricus</t>
        </is>
      </c>
      <c r="O7098" t="inlineStr">
        <is>
          <t>Transposable element Tcb1 transposase</t>
        </is>
      </c>
    </row>
    <row r="7099">
      <c r="A7099" t="inlineStr"/>
      <c r="B7099" t="inlineStr"/>
      <c r="C7099" t="inlineStr"/>
      <c r="D7099" t="inlineStr"/>
      <c r="E7099">
        <f>HYPERLINK("https://www.uniprot.org/uniprotkb/A0A3Q3J1W1/entry", "A0A3Q3J1W1")</f>
        <v/>
      </c>
      <c r="F7099" t="n">
        <v>50</v>
      </c>
      <c r="G7099" t="n">
        <v>100</v>
      </c>
      <c r="H7099" t="n">
        <v>2.09e-09</v>
      </c>
      <c r="I7099" t="inlineStr">
        <is>
          <t>TrEMBL</t>
        </is>
      </c>
      <c r="J7099" t="inlineStr"/>
      <c r="K7099" t="inlineStr">
        <is>
          <t>A0A3Q3J1W1_MONAL</t>
        </is>
      </c>
      <c r="L7099" t="inlineStr">
        <is>
          <t>tr|A0A3Q3J1W1|A0A3Q3J1W1_MONAL HTH_Tnp_Tc3_2 domain-containing protein OS=Monopterus albus OX=43700 PE=4 SV=1</t>
        </is>
      </c>
      <c r="M7099" t="n">
        <v>128</v>
      </c>
      <c r="N7099" t="inlineStr">
        <is>
          <t>Monopterus albus</t>
        </is>
      </c>
      <c r="O7099" t="inlineStr">
        <is>
          <t>HTH_Tnp_Tc3_2 domain-containing protein</t>
        </is>
      </c>
    </row>
    <row r="7100">
      <c r="A7100" t="inlineStr"/>
      <c r="B7100" t="inlineStr"/>
      <c r="C7100" t="inlineStr"/>
      <c r="D7100" t="inlineStr"/>
      <c r="E7100">
        <f>HYPERLINK("https://www.uniprot.org/uniprotkb/A0A8C4S2L1/entry", "A0A8C4S2L1")</f>
        <v/>
      </c>
      <c r="F7100" t="n">
        <v>43.1</v>
      </c>
      <c r="G7100" t="n">
        <v>109</v>
      </c>
      <c r="H7100" t="n">
        <v>5.6e-09</v>
      </c>
      <c r="I7100" t="inlineStr">
        <is>
          <t>TrEMBL</t>
        </is>
      </c>
      <c r="J7100" t="inlineStr"/>
      <c r="K7100" t="inlineStr">
        <is>
          <t>A0A8C4S2L1_ERPCA</t>
        </is>
      </c>
      <c r="L7100" t="inlineStr">
        <is>
          <t>tr|A0A8C4S2L1|A0A8C4S2L1_ERPCA HTH_Tnp_Tc3_2 domain-containing protein OS=Erpetoichthys calabaricus OX=27687 PE=4 SV=1</t>
        </is>
      </c>
      <c r="M7100" t="n">
        <v>323</v>
      </c>
      <c r="N7100" t="inlineStr">
        <is>
          <t>Erpetoichthys calabaricus</t>
        </is>
      </c>
      <c r="O7100" t="inlineStr">
        <is>
          <t>HTH_Tnp_Tc3_2 domain-containing protein</t>
        </is>
      </c>
    </row>
    <row r="7101">
      <c r="A7101" t="inlineStr"/>
      <c r="B7101" t="inlineStr"/>
      <c r="C7101" t="inlineStr"/>
      <c r="D7101" t="inlineStr"/>
      <c r="E7101">
        <f>HYPERLINK("https://www.ncbi.nlm.nih.gov/gene/?term=XP_044130795.1", "XP_044130795.1")</f>
        <v/>
      </c>
      <c r="F7101" t="n">
        <v>37</v>
      </c>
      <c r="G7101" t="n">
        <v>119</v>
      </c>
      <c r="H7101" t="n">
        <v>3.49e-08</v>
      </c>
      <c r="I7101" t="inlineStr">
        <is>
          <t>Nr</t>
        </is>
      </c>
      <c r="J7101" t="inlineStr"/>
      <c r="K7101" t="inlineStr"/>
      <c r="L7101" t="inlineStr">
        <is>
          <t>XP_044130795.1 zinc finger protein 219-like isoform X4 [Bufo gargarizans]</t>
        </is>
      </c>
      <c r="M7101" t="n">
        <v>306</v>
      </c>
      <c r="N7101" t="inlineStr">
        <is>
          <t>Bufo gargarizans</t>
        </is>
      </c>
      <c r="O7101" t="inlineStr">
        <is>
          <t>zinc finger protein 219-like isoform X4</t>
        </is>
      </c>
    </row>
    <row r="7102">
      <c r="A7102" t="inlineStr"/>
      <c r="B7102" t="inlineStr"/>
      <c r="C7102" t="inlineStr"/>
      <c r="D7102" t="inlineStr"/>
      <c r="E7102">
        <f>HYPERLINK("https://www.ncbi.nlm.nih.gov/gene/?term=XP_044130794.1", "XP_044130794.1")</f>
        <v/>
      </c>
      <c r="F7102" t="n">
        <v>37</v>
      </c>
      <c r="G7102" t="n">
        <v>119</v>
      </c>
      <c r="H7102" t="n">
        <v>4.38e-08</v>
      </c>
      <c r="I7102" t="inlineStr">
        <is>
          <t>Nr</t>
        </is>
      </c>
      <c r="J7102" t="inlineStr"/>
      <c r="K7102" t="inlineStr"/>
      <c r="L7102" t="inlineStr">
        <is>
          <t>XP_044130794.1 zinc finger protein 174-like isoform X3 [Bufo gargarizans]</t>
        </is>
      </c>
      <c r="M7102" t="n">
        <v>429</v>
      </c>
      <c r="N7102" t="inlineStr">
        <is>
          <t>Bufo gargarizans</t>
        </is>
      </c>
      <c r="O7102" t="inlineStr">
        <is>
          <t>zinc finger protein 174-like isoform X3</t>
        </is>
      </c>
    </row>
    <row r="7103">
      <c r="A7103" t="inlineStr"/>
      <c r="B7103" t="inlineStr"/>
      <c r="C7103" t="inlineStr"/>
      <c r="D7103" t="inlineStr"/>
      <c r="E7103">
        <f>HYPERLINK("https://www.ncbi.nlm.nih.gov/gene/?term=XP_044130793.1", "XP_044130793.1")</f>
        <v/>
      </c>
      <c r="F7103" t="n">
        <v>37</v>
      </c>
      <c r="G7103" t="n">
        <v>119</v>
      </c>
      <c r="H7103" t="n">
        <v>4.38e-08</v>
      </c>
      <c r="I7103" t="inlineStr">
        <is>
          <t>Nr</t>
        </is>
      </c>
      <c r="J7103" t="inlineStr"/>
      <c r="K7103" t="inlineStr"/>
      <c r="L7103" t="inlineStr">
        <is>
          <t>XP_044130793.1 zinc finger protein 219-like isoform X2 [Bufo gargarizans]</t>
        </is>
      </c>
      <c r="M7103" t="n">
        <v>432</v>
      </c>
      <c r="N7103" t="inlineStr">
        <is>
          <t>Bufo gargarizans</t>
        </is>
      </c>
      <c r="O7103" t="inlineStr">
        <is>
          <t>zinc finger protein 219-like isoform X2</t>
        </is>
      </c>
    </row>
    <row r="7104">
      <c r="A7104" t="inlineStr"/>
      <c r="B7104" t="inlineStr"/>
      <c r="C7104" t="inlineStr"/>
      <c r="D7104" t="inlineStr"/>
      <c r="E7104">
        <f>HYPERLINK("https://www.ncbi.nlm.nih.gov/gene/?term=XP_044130792.1", "XP_044130792.1")</f>
        <v/>
      </c>
      <c r="F7104" t="n">
        <v>37</v>
      </c>
      <c r="G7104" t="n">
        <v>119</v>
      </c>
      <c r="H7104" t="n">
        <v>4.39e-08</v>
      </c>
      <c r="I7104" t="inlineStr">
        <is>
          <t>Nr</t>
        </is>
      </c>
      <c r="J7104" t="inlineStr"/>
      <c r="K7104" t="inlineStr"/>
      <c r="L7104" t="inlineStr">
        <is>
          <t>XP_044130792.1 zinc finger protein 219-like isoform X1 [Bufo gargarizans]</t>
        </is>
      </c>
      <c r="M7104" t="n">
        <v>434</v>
      </c>
      <c r="N7104" t="inlineStr">
        <is>
          <t>Bufo gargarizans</t>
        </is>
      </c>
      <c r="O7104" t="inlineStr">
        <is>
          <t>zinc finger protein 219-like isoform X1</t>
        </is>
      </c>
    </row>
    <row r="7105">
      <c r="A7105" t="inlineStr"/>
      <c r="B7105" t="inlineStr"/>
      <c r="C7105" t="inlineStr"/>
      <c r="D7105" t="inlineStr"/>
      <c r="E7105">
        <f>HYPERLINK("https://www.uniprot.org/uniprotkb/A0A8C4X9M9/entry", "A0A8C4X9M9")</f>
        <v/>
      </c>
      <c r="F7105" t="n">
        <v>37.8</v>
      </c>
      <c r="G7105" t="n">
        <v>119</v>
      </c>
      <c r="H7105" t="n">
        <v>1e-07</v>
      </c>
      <c r="I7105" t="inlineStr">
        <is>
          <t>TrEMBL</t>
        </is>
      </c>
      <c r="J7105" t="inlineStr"/>
      <c r="K7105" t="inlineStr">
        <is>
          <t>A0A8C4X9M9_ERPCA</t>
        </is>
      </c>
      <c r="L7105" t="inlineStr">
        <is>
          <t>tr|A0A8C4X9M9|A0A8C4X9M9_ERPCA Transposable element Tcb1 transposase OS=Erpetoichthys calabaricus OX=27687 PE=4 SV=1</t>
        </is>
      </c>
      <c r="M7105" t="n">
        <v>339</v>
      </c>
      <c r="N7105" t="inlineStr">
        <is>
          <t>Erpetoichthys calabaricus</t>
        </is>
      </c>
      <c r="O7105" t="inlineStr">
        <is>
          <t>Transposable element Tcb1 transposase</t>
        </is>
      </c>
    </row>
    <row r="7106">
      <c r="A7106" t="inlineStr"/>
      <c r="B7106" t="inlineStr"/>
      <c r="C7106" t="inlineStr"/>
      <c r="D7106" t="inlineStr"/>
      <c r="E7106">
        <f>HYPERLINK("https://www.ncbi.nlm.nih.gov/gene/?term=XP_053304125.1", "XP_053304125.1")</f>
        <v/>
      </c>
      <c r="F7106" t="n">
        <v>37</v>
      </c>
      <c r="G7106" t="n">
        <v>119</v>
      </c>
      <c r="H7106" t="n">
        <v>1.68e-07</v>
      </c>
      <c r="I7106" t="inlineStr">
        <is>
          <t>Nr</t>
        </is>
      </c>
      <c r="J7106" t="inlineStr"/>
      <c r="K7106" t="inlineStr"/>
      <c r="L7106" t="inlineStr">
        <is>
          <t>XP_053304125.1 activated RNA polymerase II transcriptional coactivator p15 isoform X1 [Spea bombifrons]</t>
        </is>
      </c>
      <c r="M7106" t="n">
        <v>247</v>
      </c>
      <c r="N7106" t="inlineStr">
        <is>
          <t>Spea bombifrons</t>
        </is>
      </c>
      <c r="O7106" t="inlineStr">
        <is>
          <t>activated RNA polymerase II transcriptional coactivator p15 isoform X1</t>
        </is>
      </c>
    </row>
    <row r="7107">
      <c r="A7107" t="inlineStr"/>
      <c r="B7107" t="inlineStr"/>
      <c r="C7107" t="inlineStr"/>
      <c r="D7107" t="inlineStr"/>
      <c r="E7107">
        <f>HYPERLINK("https://www.ncbi.nlm.nih.gov/gene/?term=XP_040293991.1", "XP_040293991.1")</f>
        <v/>
      </c>
      <c r="F7107" t="n">
        <v>37</v>
      </c>
      <c r="G7107" t="n">
        <v>119</v>
      </c>
      <c r="H7107" t="n">
        <v>3.18e-07</v>
      </c>
      <c r="I7107" t="inlineStr">
        <is>
          <t>Nr</t>
        </is>
      </c>
      <c r="J7107" t="inlineStr"/>
      <c r="K7107" t="inlineStr"/>
      <c r="L7107" t="inlineStr">
        <is>
          <t>XP_040293991.1 zinc finger protein with KRAB and SCAN domains 1-like isoform X2 [Bufo bufo]</t>
        </is>
      </c>
      <c r="M7107" t="n">
        <v>302</v>
      </c>
      <c r="N7107" t="inlineStr">
        <is>
          <t>Bufo bufo</t>
        </is>
      </c>
      <c r="O7107" t="inlineStr">
        <is>
          <t>zinc finger protein with KRAB and SCAN domains 1-like isoform X2</t>
        </is>
      </c>
    </row>
    <row r="7108">
      <c r="A7108" t="inlineStr"/>
      <c r="B7108" t="inlineStr"/>
      <c r="C7108" t="inlineStr"/>
      <c r="D7108" t="inlineStr"/>
      <c r="E7108">
        <f>HYPERLINK("https://www.ncbi.nlm.nih.gov/gene/?term=XP_040293989.1", "XP_040293989.1")</f>
        <v/>
      </c>
      <c r="F7108" t="n">
        <v>37</v>
      </c>
      <c r="G7108" t="n">
        <v>119</v>
      </c>
      <c r="H7108" t="n">
        <v>3.24e-07</v>
      </c>
      <c r="I7108" t="inlineStr">
        <is>
          <t>Nr</t>
        </is>
      </c>
      <c r="J7108" t="inlineStr"/>
      <c r="K7108" t="inlineStr"/>
      <c r="L7108" t="inlineStr">
        <is>
          <t>XP_040293989.1 zinc finger protein with KRAB and SCAN domains 1-like isoform X1 [Bufo bufo]</t>
        </is>
      </c>
      <c r="M7108" t="n">
        <v>307</v>
      </c>
      <c r="N7108" t="inlineStr">
        <is>
          <t>Bufo bufo</t>
        </is>
      </c>
      <c r="O7108" t="inlineStr">
        <is>
          <t>zinc finger protein with KRAB and SCAN domains 1-like isoform X1</t>
        </is>
      </c>
    </row>
    <row r="7109">
      <c r="A7109" t="inlineStr"/>
      <c r="B7109" t="inlineStr"/>
      <c r="C7109" t="inlineStr"/>
      <c r="D7109" t="inlineStr"/>
      <c r="E7109">
        <f>HYPERLINK("https://www.ncbi.nlm.nih.gov/gene/?term=KAG7474592.1", "KAG7474592.1")</f>
        <v/>
      </c>
      <c r="F7109" t="n">
        <v>38.2</v>
      </c>
      <c r="G7109" t="n">
        <v>110</v>
      </c>
      <c r="H7109" t="n">
        <v>3.26e-07</v>
      </c>
      <c r="I7109" t="inlineStr">
        <is>
          <t>Nr</t>
        </is>
      </c>
      <c r="J7109" t="inlineStr"/>
      <c r="K7109" t="inlineStr"/>
      <c r="L7109" t="inlineStr">
        <is>
          <t>KAG7474592.1 26S proteasome non-ATPase regulatory subunit 4-like [Solea senegalensis]</t>
        </is>
      </c>
      <c r="M7109" t="n">
        <v>165</v>
      </c>
      <c r="N7109" t="inlineStr">
        <is>
          <t>Solea senegalensis</t>
        </is>
      </c>
      <c r="O7109" t="inlineStr">
        <is>
          <t>26S proteasome non-ATPase regulatory subunit 4-like</t>
        </is>
      </c>
    </row>
    <row r="7110">
      <c r="A7110" t="inlineStr"/>
      <c r="B7110" t="inlineStr"/>
      <c r="C7110" t="inlineStr"/>
      <c r="D7110" t="inlineStr"/>
      <c r="E7110">
        <f>HYPERLINK("https://www.ncbi.nlm.nih.gov/gene/?term=XP_043889608.1", "XP_043889608.1")</f>
        <v/>
      </c>
      <c r="F7110" t="n">
        <v>38.2</v>
      </c>
      <c r="G7110" t="n">
        <v>110</v>
      </c>
      <c r="H7110" t="n">
        <v>7.66e-07</v>
      </c>
      <c r="I7110" t="inlineStr">
        <is>
          <t>Nr</t>
        </is>
      </c>
      <c r="J7110" t="inlineStr"/>
      <c r="K7110" t="inlineStr"/>
      <c r="L7110" t="inlineStr">
        <is>
          <t>XP_043889608.1 26S proteasome non-ATPase regulatory subunit 4-like isoform X1 [Solea senegalensis]</t>
        </is>
      </c>
      <c r="M7110" t="n">
        <v>234</v>
      </c>
      <c r="N7110" t="inlineStr">
        <is>
          <t>Solea senegalensis</t>
        </is>
      </c>
      <c r="O7110" t="inlineStr">
        <is>
          <t>26S proteasome non-ATPase regulatory subunit 4-like isoform X1</t>
        </is>
      </c>
    </row>
    <row r="7111">
      <c r="A7111" t="inlineStr"/>
      <c r="B7111" t="inlineStr"/>
      <c r="C7111" t="inlineStr"/>
      <c r="D7111" t="inlineStr"/>
      <c r="E7111">
        <f>HYPERLINK("https://www.ncbi.nlm.nih.gov/gene/?term=MBN3283429.1", "MBN3283429.1")</f>
        <v/>
      </c>
      <c r="F7111" t="n">
        <v>37.2</v>
      </c>
      <c r="G7111" t="n">
        <v>121</v>
      </c>
      <c r="H7111" t="n">
        <v>1.24e-06</v>
      </c>
      <c r="I7111" t="inlineStr">
        <is>
          <t>Nr</t>
        </is>
      </c>
      <c r="J7111" t="inlineStr"/>
      <c r="K7111" t="inlineStr"/>
      <c r="L7111" t="inlineStr">
        <is>
          <t>MBN3283429.1 TCB2 transposase [Polyodon spathula]</t>
        </is>
      </c>
      <c r="M7111" t="n">
        <v>341</v>
      </c>
      <c r="N7111" t="inlineStr">
        <is>
          <t>Polyodon spathula</t>
        </is>
      </c>
      <c r="O7111" t="inlineStr">
        <is>
          <t>TCB2 transposase</t>
        </is>
      </c>
    </row>
    <row r="7112">
      <c r="A7112" t="inlineStr"/>
      <c r="B7112" t="inlineStr"/>
      <c r="C7112" t="inlineStr"/>
      <c r="D7112" t="inlineStr"/>
      <c r="E7112">
        <f>HYPERLINK("https://www.ncbi.nlm.nih.gov/gene/?term=XP_028416821.1", "XP_028416821.1")</f>
        <v/>
      </c>
      <c r="F7112" t="n">
        <v>50.8</v>
      </c>
      <c r="G7112" t="n">
        <v>61</v>
      </c>
      <c r="H7112" t="n">
        <v>1.83e-06</v>
      </c>
      <c r="I7112" t="inlineStr">
        <is>
          <t>Nr</t>
        </is>
      </c>
      <c r="J7112" t="inlineStr"/>
      <c r="K7112" t="inlineStr"/>
      <c r="L7112" t="inlineStr">
        <is>
          <t>XP_028416821.1 uncharacterized protein LOC114541028 [Dendronephthya gigantea]</t>
        </is>
      </c>
      <c r="M7112" t="n">
        <v>439</v>
      </c>
      <c r="N7112" t="inlineStr">
        <is>
          <t>Dendronephthya gigantea</t>
        </is>
      </c>
      <c r="O7112" t="inlineStr">
        <is>
          <t>uncharacterized protein LOC114541028</t>
        </is>
      </c>
    </row>
    <row r="7113">
      <c r="A7113" t="inlineStr"/>
      <c r="B7113" t="inlineStr"/>
      <c r="C7113" t="inlineStr"/>
      <c r="D7113" t="inlineStr"/>
      <c r="E7113">
        <f>HYPERLINK("https://www.ncbi.nlm.nih.gov/gene/?term=MBN3280001.1", "MBN3280001.1")</f>
        <v/>
      </c>
      <c r="F7113" t="n">
        <v>37.2</v>
      </c>
      <c r="G7113" t="n">
        <v>121</v>
      </c>
      <c r="H7113" t="n">
        <v>3.17e-06</v>
      </c>
      <c r="I7113" t="inlineStr">
        <is>
          <t>Nr</t>
        </is>
      </c>
      <c r="J7113" t="inlineStr"/>
      <c r="K7113" t="inlineStr"/>
      <c r="L7113" t="inlineStr">
        <is>
          <t>MBN3280001.1 TCB1 transposase [Polyodon spathula]</t>
        </is>
      </c>
      <c r="M7113" t="n">
        <v>341</v>
      </c>
      <c r="N7113" t="inlineStr">
        <is>
          <t>Polyodon spathula</t>
        </is>
      </c>
      <c r="O7113" t="inlineStr">
        <is>
          <t>TCB1 transposase</t>
        </is>
      </c>
    </row>
    <row r="7114">
      <c r="A7114" t="inlineStr"/>
      <c r="B7114" t="inlineStr"/>
      <c r="C7114" t="inlineStr"/>
      <c r="D7114" t="inlineStr"/>
      <c r="E7114">
        <f>HYPERLINK("https://www.ncbi.nlm.nih.gov/gene/?term=MBN3280205.1", "MBN3280205.1")</f>
        <v/>
      </c>
      <c r="F7114" t="n">
        <v>40.6</v>
      </c>
      <c r="G7114" t="n">
        <v>106</v>
      </c>
      <c r="H7114" t="n">
        <v>5.17e-05</v>
      </c>
      <c r="I7114" t="inlineStr">
        <is>
          <t>Nr</t>
        </is>
      </c>
      <c r="J7114" t="inlineStr"/>
      <c r="K7114" t="inlineStr"/>
      <c r="L7114" t="inlineStr">
        <is>
          <t>MBN3280205.1 TCB2 transposase [Polyodon spathula]</t>
        </is>
      </c>
      <c r="M7114" t="n">
        <v>326</v>
      </c>
      <c r="N7114" t="inlineStr">
        <is>
          <t>Polyodon spathula</t>
        </is>
      </c>
      <c r="O7114" t="inlineStr">
        <is>
          <t>TCB2 transposase</t>
        </is>
      </c>
    </row>
    <row r="7115">
      <c r="A7115" t="inlineStr"/>
      <c r="B7115" t="inlineStr"/>
      <c r="C7115" t="inlineStr"/>
      <c r="D7115" t="inlineStr"/>
      <c r="E7115">
        <f>HYPERLINK("https://www.uniprot.org/uniprotkb/A0A8C5EI92/entry", "A0A8C5EI92")</f>
        <v/>
      </c>
      <c r="F7115" t="n">
        <v>37.6</v>
      </c>
      <c r="G7115" t="n">
        <v>117</v>
      </c>
      <c r="H7115" t="n">
        <v>6.889999999999999e-05</v>
      </c>
      <c r="I7115" t="inlineStr">
        <is>
          <t>TrEMBL</t>
        </is>
      </c>
      <c r="J7115" t="inlineStr"/>
      <c r="K7115" t="inlineStr">
        <is>
          <t>A0A8C5EI92_9TELE</t>
        </is>
      </c>
      <c r="L7115" t="inlineStr">
        <is>
          <t>tr|A0A8C5EI92|A0A8C5EI92_9TELE HTH_Tnp_Tc3_2 domain-containing protein OS=Gouania willdenowi OX=441366 PE=4 SV=1</t>
        </is>
      </c>
      <c r="M7115" t="n">
        <v>313</v>
      </c>
      <c r="N7115" t="inlineStr">
        <is>
          <t>Gouania willdenowi</t>
        </is>
      </c>
      <c r="O7115" t="inlineStr">
        <is>
          <t>HTH_Tnp_Tc3_2 domain-containing protein</t>
        </is>
      </c>
    </row>
    <row r="7116">
      <c r="A7116" t="inlineStr"/>
      <c r="B7116" t="inlineStr"/>
      <c r="C7116" t="inlineStr"/>
      <c r="D7116" t="inlineStr"/>
      <c r="E7116">
        <f>HYPERLINK("https://www.uniprot.org/uniprotkb/A0A8C5N4C5/entry", "A0A8C5N4C5")</f>
        <v/>
      </c>
      <c r="F7116" t="n">
        <v>37.6</v>
      </c>
      <c r="G7116" t="n">
        <v>117</v>
      </c>
      <c r="H7116" t="n">
        <v>7.29e-05</v>
      </c>
      <c r="I7116" t="inlineStr">
        <is>
          <t>TrEMBL</t>
        </is>
      </c>
      <c r="J7116" t="inlineStr"/>
      <c r="K7116" t="inlineStr">
        <is>
          <t>A0A8C5N4C5_9TELE</t>
        </is>
      </c>
      <c r="L7116" t="inlineStr">
        <is>
          <t>tr|A0A8C5N4C5|A0A8C5N4C5_9TELE Transposase OS=Gouania willdenowi OX=441366 PE=4 SV=1</t>
        </is>
      </c>
      <c r="M7116" t="n">
        <v>372</v>
      </c>
      <c r="N7116" t="inlineStr">
        <is>
          <t>Gouania willdenowi</t>
        </is>
      </c>
      <c r="O7116" t="inlineStr">
        <is>
          <t>Transposase</t>
        </is>
      </c>
    </row>
    <row r="7117">
      <c r="A7117" t="inlineStr"/>
      <c r="B7117" t="inlineStr"/>
      <c r="C7117" t="inlineStr"/>
      <c r="D7117" t="inlineStr"/>
      <c r="E7117">
        <f>HYPERLINK("https://www.uniprot.org/uniprotkb/A0A8C5FY71/entry", "A0A8C5FY71")</f>
        <v/>
      </c>
      <c r="F7117" t="n">
        <v>37.6</v>
      </c>
      <c r="G7117" t="n">
        <v>117</v>
      </c>
      <c r="H7117" t="n">
        <v>7.29e-05</v>
      </c>
      <c r="I7117" t="inlineStr">
        <is>
          <t>TrEMBL</t>
        </is>
      </c>
      <c r="J7117" t="inlineStr"/>
      <c r="K7117" t="inlineStr">
        <is>
          <t>A0A8C5FY71_9TELE</t>
        </is>
      </c>
      <c r="L7117" t="inlineStr">
        <is>
          <t>tr|A0A8C5FY71|A0A8C5FY71_9TELE DDE_3 domain-containing protein OS=Gouania willdenowi OX=441366 PE=4 SV=1</t>
        </is>
      </c>
      <c r="M7117" t="n">
        <v>372</v>
      </c>
      <c r="N7117" t="inlineStr">
        <is>
          <t>Gouania willdenowi</t>
        </is>
      </c>
      <c r="O7117" t="inlineStr">
        <is>
          <t>DDE_3 domain-containing protein</t>
        </is>
      </c>
    </row>
    <row r="7118">
      <c r="A7118" t="inlineStr"/>
      <c r="B7118" t="inlineStr"/>
      <c r="C7118" t="inlineStr"/>
      <c r="D7118" t="inlineStr"/>
      <c r="E7118">
        <f>HYPERLINK("https://www.uniprot.org/uniprotkb/A0A8C5DSB5/entry", "A0A8C5DSB5")</f>
        <v/>
      </c>
      <c r="F7118" t="n">
        <v>37.6</v>
      </c>
      <c r="G7118" t="n">
        <v>117</v>
      </c>
      <c r="H7118" t="n">
        <v>9.85e-05</v>
      </c>
      <c r="I7118" t="inlineStr">
        <is>
          <t>TrEMBL</t>
        </is>
      </c>
      <c r="J7118" t="inlineStr"/>
      <c r="K7118" t="inlineStr">
        <is>
          <t>A0A8C5DSB5_9TELE</t>
        </is>
      </c>
      <c r="L7118" t="inlineStr">
        <is>
          <t>tr|A0A8C5DSB5|A0A8C5DSB5_9TELE Transposase OS=Gouania willdenowi OX=441366 PE=4 SV=1</t>
        </is>
      </c>
      <c r="M7118" t="n">
        <v>358</v>
      </c>
      <c r="N7118" t="inlineStr">
        <is>
          <t>Gouania willdenowi</t>
        </is>
      </c>
      <c r="O7118" t="inlineStr">
        <is>
          <t>Transposase</t>
        </is>
      </c>
    </row>
    <row r="7119">
      <c r="A7119" t="inlineStr"/>
      <c r="B7119" t="inlineStr"/>
      <c r="C7119" t="inlineStr"/>
      <c r="D7119" t="inlineStr"/>
      <c r="E7119">
        <f>HYPERLINK("https://www.uniprot.org/uniprotkb/A0A3Q3JX60/entry", "A0A3Q3JX60")</f>
        <v/>
      </c>
      <c r="F7119" t="n">
        <v>40.5</v>
      </c>
      <c r="G7119" t="n">
        <v>84</v>
      </c>
      <c r="H7119" t="n">
        <v>0.000162</v>
      </c>
      <c r="I7119" t="inlineStr">
        <is>
          <t>TrEMBL</t>
        </is>
      </c>
      <c r="J7119" t="inlineStr"/>
      <c r="K7119" t="inlineStr">
        <is>
          <t>A0A3Q3JX60_MONAL</t>
        </is>
      </c>
      <c r="L7119" t="inlineStr">
        <is>
          <t>tr|A0A3Q3JX60|A0A3Q3JX60_MONAL HTH_Tnp_Tc3_2 domain-containing protein OS=Monopterus albus OX=43700 PE=4 SV=1</t>
        </is>
      </c>
      <c r="M7119" t="n">
        <v>111</v>
      </c>
      <c r="N7119" t="inlineStr">
        <is>
          <t>Monopterus albus</t>
        </is>
      </c>
      <c r="O7119" t="inlineStr">
        <is>
          <t>HTH_Tnp_Tc3_2 domain-containing protein</t>
        </is>
      </c>
    </row>
    <row r="7120">
      <c r="A7120" t="inlineStr"/>
      <c r="B7120" t="inlineStr"/>
      <c r="C7120" t="inlineStr"/>
      <c r="D7120" t="inlineStr"/>
      <c r="E7120">
        <f>HYPERLINK("https://www.ncbi.nlm.nih.gov/gene/?term=XP_034036224.1", "XP_034036224.1")</f>
        <v/>
      </c>
      <c r="F7120" t="n">
        <v>34.8</v>
      </c>
      <c r="G7120" t="n">
        <v>115</v>
      </c>
      <c r="H7120" t="n">
        <v>0.000361</v>
      </c>
      <c r="I7120" t="inlineStr">
        <is>
          <t>Nr</t>
        </is>
      </c>
      <c r="J7120" t="inlineStr"/>
      <c r="K7120" t="inlineStr"/>
      <c r="L7120" t="inlineStr">
        <is>
          <t>XP_034036224.1 aldo-keto reductase family 1 member A1-B isoform X1 [Thalassophryne amazonica]</t>
        </is>
      </c>
      <c r="M7120" t="n">
        <v>456</v>
      </c>
      <c r="N7120" t="inlineStr">
        <is>
          <t>Thalassophryne amazonica</t>
        </is>
      </c>
      <c r="O7120" t="inlineStr">
        <is>
          <t>aldo-keto reductase family 1 member A1-B isoform X1</t>
        </is>
      </c>
    </row>
    <row r="7121">
      <c r="A7121" t="inlineStr"/>
      <c r="B7121" t="inlineStr"/>
      <c r="C7121" t="inlineStr"/>
      <c r="D7121" t="inlineStr"/>
      <c r="E7121">
        <f>HYPERLINK("https://www.ncbi.nlm.nih.gov/gene/?term=XP_047141438.1", "XP_047141438.1")</f>
        <v/>
      </c>
      <c r="F7121" t="n">
        <v>45.9</v>
      </c>
      <c r="G7121" t="n">
        <v>61</v>
      </c>
      <c r="H7121" t="n">
        <v>0.000672</v>
      </c>
      <c r="I7121" t="inlineStr">
        <is>
          <t>Nr</t>
        </is>
      </c>
      <c r="J7121" t="inlineStr"/>
      <c r="K7121" t="inlineStr"/>
      <c r="L7121" t="inlineStr">
        <is>
          <t>XP_047141438.1 uncharacterized protein LOC124816333 [Hydra vulgaris]</t>
        </is>
      </c>
      <c r="M7121" t="n">
        <v>101</v>
      </c>
      <c r="N7121" t="inlineStr">
        <is>
          <t>Hydra vulgaris</t>
        </is>
      </c>
      <c r="O7121" t="inlineStr">
        <is>
          <t>uncharacterized protein LOC124816333</t>
        </is>
      </c>
    </row>
    <row r="7122">
      <c r="A7122" t="inlineStr"/>
      <c r="B7122" t="inlineStr"/>
      <c r="C7122" t="inlineStr"/>
      <c r="D7122" t="inlineStr"/>
      <c r="E7122">
        <f>HYPERLINK("https://www.uniprot.org/uniprotkb/A0A8B6Y523/entry", "A0A8B6Y523")</f>
        <v/>
      </c>
      <c r="F7122" t="n">
        <v>31.9</v>
      </c>
      <c r="G7122" t="n">
        <v>116</v>
      </c>
      <c r="H7122" t="n">
        <v>0.0006890000000000001</v>
      </c>
      <c r="I7122" t="inlineStr">
        <is>
          <t>TrEMBL</t>
        </is>
      </c>
      <c r="J7122" t="inlineStr">
        <is>
          <t>LOC101236062</t>
        </is>
      </c>
      <c r="K7122" t="inlineStr">
        <is>
          <t>A0A8B6Y523_HYDVU</t>
        </is>
      </c>
      <c r="L7122" t="inlineStr">
        <is>
          <t>tr|A0A8B6Y523|A0A8B6Y523_HYDVU uncharacterized protein LOC101236062 OS=Hydra vulgaris OX=6087 GN=LOC101236062 PE=4 SV=1</t>
        </is>
      </c>
      <c r="M7122" t="n">
        <v>116</v>
      </c>
      <c r="N7122" t="inlineStr">
        <is>
          <t>Hydra vulgaris</t>
        </is>
      </c>
      <c r="O7122" t="inlineStr">
        <is>
          <t>uncharacterized protein LOC101236062</t>
        </is>
      </c>
    </row>
    <row r="7123">
      <c r="A7123" t="inlineStr">
        <is>
          <t>NODE_47893_length_3080_cov_25.373714_g16344_i0</t>
        </is>
      </c>
      <c r="B7123" t="inlineStr">
        <is>
          <t>bombina_pachypus_blastx</t>
        </is>
      </c>
      <c r="C7123" t="n">
        <v>3.28414720556014</v>
      </c>
      <c r="D7123" t="n">
        <v>0.0006296106698663</v>
      </c>
      <c r="E7123">
        <f>HYPERLINK("https://www.uniprot.org/uniprotkb/A0A8C5MP19/entry", "A0A8C5MP19")</f>
        <v/>
      </c>
      <c r="F7123" t="n">
        <v>42.4</v>
      </c>
      <c r="G7123" t="n">
        <v>443</v>
      </c>
      <c r="H7123" t="n">
        <v>1.39e-96</v>
      </c>
      <c r="I7123" t="inlineStr">
        <is>
          <t>TrEMBL</t>
        </is>
      </c>
      <c r="J7123" t="inlineStr"/>
      <c r="K7123" t="inlineStr">
        <is>
          <t>A0A8C5MP19_9ANUR</t>
        </is>
      </c>
      <c r="L7123" t="inlineStr">
        <is>
          <t>tr|A0A8C5MP19|A0A8C5MP19_9ANUR Reverse transcriptase domain-containing protein OS=Leptobrachium leishanense OX=445787 PE=4 SV=1</t>
        </is>
      </c>
      <c r="M7123" t="n">
        <v>729</v>
      </c>
      <c r="N7123" t="inlineStr">
        <is>
          <t>Leptobrachium leishanense</t>
        </is>
      </c>
      <c r="O7123" t="inlineStr">
        <is>
          <t>Reverse transcriptase domain-containing protein</t>
        </is>
      </c>
    </row>
    <row r="7124">
      <c r="A7124" t="inlineStr"/>
      <c r="B7124" t="inlineStr"/>
      <c r="C7124" t="inlineStr"/>
      <c r="D7124" t="inlineStr"/>
      <c r="E7124">
        <f>HYPERLINK("https://www.ncbi.nlm.nih.gov/gene/?term=CAH2329928.1", "CAH2329928.1")</f>
        <v/>
      </c>
      <c r="F7124" t="n">
        <v>36.6</v>
      </c>
      <c r="G7124" t="n">
        <v>453</v>
      </c>
      <c r="H7124" t="n">
        <v>3.54e-91</v>
      </c>
      <c r="I7124" t="inlineStr">
        <is>
          <t>Nr</t>
        </is>
      </c>
      <c r="J7124" t="inlineStr"/>
      <c r="K7124" t="inlineStr"/>
      <c r="L7124" t="inlineStr">
        <is>
          <t>CAH2329928.1 Hypothetical predicted protein, partial [Pelobates cultripes]</t>
        </is>
      </c>
      <c r="M7124" t="n">
        <v>535</v>
      </c>
      <c r="N7124" t="inlineStr">
        <is>
          <t>Pelobates cultripes</t>
        </is>
      </c>
      <c r="O7124" t="inlineStr">
        <is>
          <t>Hypothetical predicted protein, partial</t>
        </is>
      </c>
    </row>
    <row r="7125">
      <c r="A7125" t="inlineStr"/>
      <c r="B7125" t="inlineStr"/>
      <c r="C7125" t="inlineStr"/>
      <c r="D7125" t="inlineStr"/>
      <c r="E7125">
        <f>HYPERLINK("https://www.ncbi.nlm.nih.gov/gene/?term=OCT89306.1", "OCT89306.1")</f>
        <v/>
      </c>
      <c r="F7125" t="n">
        <v>37.3</v>
      </c>
      <c r="G7125" t="n">
        <v>450</v>
      </c>
      <c r="H7125" t="n">
        <v>1.33e-89</v>
      </c>
      <c r="I7125" t="inlineStr">
        <is>
          <t>Nr</t>
        </is>
      </c>
      <c r="J7125" t="inlineStr"/>
      <c r="K7125" t="inlineStr"/>
      <c r="L7125" t="inlineStr">
        <is>
          <t>OCT89306.1 hypothetical protein XELAEV_18017926mg [Xenopus laevis]</t>
        </is>
      </c>
      <c r="M7125" t="n">
        <v>723</v>
      </c>
      <c r="N7125" t="inlineStr">
        <is>
          <t>Xenopus laevis</t>
        </is>
      </c>
      <c r="O7125" t="inlineStr">
        <is>
          <t>hypothetical protein XELAEV_18017926mg</t>
        </is>
      </c>
    </row>
    <row r="7126">
      <c r="A7126" t="inlineStr"/>
      <c r="B7126" t="inlineStr"/>
      <c r="C7126" t="inlineStr"/>
      <c r="D7126" t="inlineStr"/>
      <c r="E7126">
        <f>HYPERLINK("https://www.ncbi.nlm.nih.gov/gene/?term=KAJ0060014.1", "KAJ0060014.1")</f>
        <v/>
      </c>
      <c r="F7126" t="n">
        <v>37.5</v>
      </c>
      <c r="G7126" t="n">
        <v>443</v>
      </c>
      <c r="H7126" t="n">
        <v>4.41e-85</v>
      </c>
      <c r="I7126" t="inlineStr">
        <is>
          <t>Nr</t>
        </is>
      </c>
      <c r="J7126" t="inlineStr"/>
      <c r="K7126" t="inlineStr"/>
      <c r="L7126" t="inlineStr">
        <is>
          <t>KAJ0060014.1 hypothetical protein NL108_018667 [Boleophthalmus pectinirostris]</t>
        </is>
      </c>
      <c r="M7126" t="n">
        <v>472</v>
      </c>
      <c r="N7126" t="inlineStr">
        <is>
          <t>Boleophthalmus pectinirostris</t>
        </is>
      </c>
      <c r="O7126" t="inlineStr">
        <is>
          <t>hypothetical protein NL108_018667</t>
        </is>
      </c>
    </row>
    <row r="7127">
      <c r="A7127" t="inlineStr"/>
      <c r="B7127" t="inlineStr"/>
      <c r="C7127" t="inlineStr"/>
      <c r="D7127" t="inlineStr"/>
      <c r="E7127">
        <f>HYPERLINK("https://www.uniprot.org/uniprotkb/A0A8J1L5X3/entry", "A0A8J1L5X3")</f>
        <v/>
      </c>
      <c r="F7127" t="n">
        <v>38.1</v>
      </c>
      <c r="G7127" t="n">
        <v>454</v>
      </c>
      <c r="H7127" t="n">
        <v>1.24e-84</v>
      </c>
      <c r="I7127" t="inlineStr">
        <is>
          <t>TrEMBL</t>
        </is>
      </c>
      <c r="J7127" t="inlineStr">
        <is>
          <t>LOC121395456</t>
        </is>
      </c>
      <c r="K7127" t="inlineStr">
        <is>
          <t>A0A8J1L5X3_XENLA</t>
        </is>
      </c>
      <c r="L7127" t="inlineStr">
        <is>
          <t>tr|A0A8J1L5X3|A0A8J1L5X3_XENLA uncharacterized protein LOC121395456 isoform X1 OS=Xenopus laevis OX=8355 GN=LOC121395456 PE=4 SV=1</t>
        </is>
      </c>
      <c r="M7127" t="n">
        <v>494</v>
      </c>
      <c r="N7127" t="inlineStr">
        <is>
          <t>Xenopus laevis</t>
        </is>
      </c>
      <c r="O7127" t="inlineStr">
        <is>
          <t>uncharacterized protein LOC121395456 isoform X1</t>
        </is>
      </c>
    </row>
    <row r="7128">
      <c r="A7128" t="inlineStr"/>
      <c r="B7128" t="inlineStr"/>
      <c r="C7128" t="inlineStr"/>
      <c r="D7128" t="inlineStr"/>
      <c r="E7128">
        <f>HYPERLINK("https://www.ncbi.nlm.nih.gov/gene/?term=XP_041424947.1", "XP_041424947.1")</f>
        <v/>
      </c>
      <c r="F7128" t="n">
        <v>38.1</v>
      </c>
      <c r="G7128" t="n">
        <v>454</v>
      </c>
      <c r="H7128" t="n">
        <v>3.2e-84</v>
      </c>
      <c r="I7128" t="inlineStr">
        <is>
          <t>Nr</t>
        </is>
      </c>
      <c r="J7128" t="inlineStr"/>
      <c r="K7128" t="inlineStr"/>
      <c r="L7128" t="inlineStr">
        <is>
          <t>XP_041424947.1 uncharacterized protein LOC121395456 isoform X1 [Xenopus laevis]</t>
        </is>
      </c>
      <c r="M7128" t="n">
        <v>494</v>
      </c>
      <c r="N7128" t="inlineStr">
        <is>
          <t>Xenopus laevis</t>
        </is>
      </c>
      <c r="O7128" t="inlineStr">
        <is>
          <t>uncharacterized protein LOC121395456 isoform X1</t>
        </is>
      </c>
    </row>
    <row r="7129">
      <c r="A7129" t="inlineStr"/>
      <c r="B7129" t="inlineStr"/>
      <c r="C7129" t="inlineStr"/>
      <c r="D7129" t="inlineStr"/>
      <c r="E7129">
        <f>HYPERLINK("https://www.uniprot.org/uniprotkb/A0A8C5LIJ5/entry", "A0A8C5LIJ5")</f>
        <v/>
      </c>
      <c r="F7129" t="n">
        <v>36.3</v>
      </c>
      <c r="G7129" t="n">
        <v>465</v>
      </c>
      <c r="H7129" t="n">
        <v>2.77e-83</v>
      </c>
      <c r="I7129" t="inlineStr">
        <is>
          <t>TrEMBL</t>
        </is>
      </c>
      <c r="J7129" t="inlineStr"/>
      <c r="K7129" t="inlineStr">
        <is>
          <t>A0A8C5LIJ5_9ANUR</t>
        </is>
      </c>
      <c r="L7129" t="inlineStr">
        <is>
          <t>tr|A0A8C5LIJ5|A0A8C5LIJ5_9ANUR GIY-YIG domain-containing protein OS=Leptobrachium leishanense OX=445787 PE=4 SV=1</t>
        </is>
      </c>
      <c r="M7129" t="n">
        <v>721</v>
      </c>
      <c r="N7129" t="inlineStr">
        <is>
          <t>Leptobrachium leishanense</t>
        </is>
      </c>
      <c r="O7129" t="inlineStr">
        <is>
          <t>GIY-YIG domain-containing protein</t>
        </is>
      </c>
    </row>
    <row r="7130">
      <c r="A7130" t="inlineStr"/>
      <c r="B7130" t="inlineStr"/>
      <c r="C7130" t="inlineStr"/>
      <c r="D7130" t="inlineStr"/>
      <c r="E7130">
        <f>HYPERLINK("https://www.uniprot.org/uniprotkb/A0A8C5QN04/entry", "A0A8C5QN04")</f>
        <v/>
      </c>
      <c r="F7130" t="n">
        <v>39.2</v>
      </c>
      <c r="G7130" t="n">
        <v>444</v>
      </c>
      <c r="H7130" t="n">
        <v>2.41e-82</v>
      </c>
      <c r="I7130" t="inlineStr">
        <is>
          <t>TrEMBL</t>
        </is>
      </c>
      <c r="J7130" t="inlineStr"/>
      <c r="K7130" t="inlineStr">
        <is>
          <t>A0A8C5QN04_9ANUR</t>
        </is>
      </c>
      <c r="L7130" t="inlineStr">
        <is>
          <t>tr|A0A8C5QN04|A0A8C5QN04_9ANUR GIY-YIG domain-containing protein OS=Leptobrachium leishanense OX=445787 PE=4 SV=1</t>
        </is>
      </c>
      <c r="M7130" t="n">
        <v>815</v>
      </c>
      <c r="N7130" t="inlineStr">
        <is>
          <t>Leptobrachium leishanense</t>
        </is>
      </c>
      <c r="O7130" t="inlineStr">
        <is>
          <t>GIY-YIG domain-containing protein</t>
        </is>
      </c>
    </row>
    <row r="7131">
      <c r="A7131" t="inlineStr"/>
      <c r="B7131" t="inlineStr"/>
      <c r="C7131" t="inlineStr"/>
      <c r="D7131" t="inlineStr"/>
      <c r="E7131">
        <f>HYPERLINK("https://www.uniprot.org/uniprotkb/A0A8C5W8X4/entry", "A0A8C5W8X4")</f>
        <v/>
      </c>
      <c r="F7131" t="n">
        <v>36.2</v>
      </c>
      <c r="G7131" t="n">
        <v>442</v>
      </c>
      <c r="H7131" t="n">
        <v>5.17e-82</v>
      </c>
      <c r="I7131" t="inlineStr">
        <is>
          <t>TrEMBL</t>
        </is>
      </c>
      <c r="J7131" t="inlineStr"/>
      <c r="K7131" t="inlineStr">
        <is>
          <t>A0A8C5W8X4_9ANUR</t>
        </is>
      </c>
      <c r="L7131" t="inlineStr">
        <is>
          <t>tr|A0A8C5W8X4|A0A8C5W8X4_9ANUR Reverse transcriptase domain-containing protein OS=Leptobrachium leishanense OX=445787 PE=4 SV=1</t>
        </is>
      </c>
      <c r="M7131" t="n">
        <v>716</v>
      </c>
      <c r="N7131" t="inlineStr">
        <is>
          <t>Leptobrachium leishanense</t>
        </is>
      </c>
      <c r="O7131" t="inlineStr">
        <is>
          <t>Reverse transcriptase domain-containing protein</t>
        </is>
      </c>
    </row>
    <row r="7132">
      <c r="A7132" t="inlineStr"/>
      <c r="B7132" t="inlineStr"/>
      <c r="C7132" t="inlineStr"/>
      <c r="D7132" t="inlineStr"/>
      <c r="E7132">
        <f>HYPERLINK("https://www.uniprot.org/uniprotkb/A0A8C5M1L9/entry", "A0A8C5M1L9")</f>
        <v/>
      </c>
      <c r="F7132" t="n">
        <v>36.9</v>
      </c>
      <c r="G7132" t="n">
        <v>442</v>
      </c>
      <c r="H7132" t="n">
        <v>2.39e-81</v>
      </c>
      <c r="I7132" t="inlineStr">
        <is>
          <t>TrEMBL</t>
        </is>
      </c>
      <c r="J7132" t="inlineStr"/>
      <c r="K7132" t="inlineStr">
        <is>
          <t>A0A8C5M1L9_9ANUR</t>
        </is>
      </c>
      <c r="L7132" t="inlineStr">
        <is>
          <t>tr|A0A8C5M1L9|A0A8C5M1L9_9ANUR Reverse transcriptase domain-containing protein OS=Leptobrachium leishanense OX=445787 PE=4 SV=1</t>
        </is>
      </c>
      <c r="M7132" t="n">
        <v>725</v>
      </c>
      <c r="N7132" t="inlineStr">
        <is>
          <t>Leptobrachium leishanense</t>
        </is>
      </c>
      <c r="O7132" t="inlineStr">
        <is>
          <t>Reverse transcriptase domain-containing protein</t>
        </is>
      </c>
    </row>
    <row r="7133">
      <c r="A7133" t="inlineStr"/>
      <c r="B7133" t="inlineStr"/>
      <c r="C7133" t="inlineStr"/>
      <c r="D7133" t="inlineStr"/>
      <c r="E7133">
        <f>HYPERLINK("https://www.uniprot.org/uniprotkb/A0A803JIM5/entry", "A0A803JIM5")</f>
        <v/>
      </c>
      <c r="F7133" t="n">
        <v>36</v>
      </c>
      <c r="G7133" t="n">
        <v>450</v>
      </c>
      <c r="H7133" t="n">
        <v>3.52e-80</v>
      </c>
      <c r="I7133" t="inlineStr">
        <is>
          <t>TrEMBL</t>
        </is>
      </c>
      <c r="J7133" t="inlineStr"/>
      <c r="K7133" t="inlineStr">
        <is>
          <t>A0A803JIM5_XENTR</t>
        </is>
      </c>
      <c r="L7133" t="inlineStr">
        <is>
          <t>tr|A0A803JIM5|A0A803JIM5_XENTR GIY-YIG domain-containing protein OS=Xenopus tropicalis OX=8364 PE=4 SV=1</t>
        </is>
      </c>
      <c r="M7133" t="n">
        <v>661</v>
      </c>
      <c r="N7133" t="inlineStr">
        <is>
          <t>Xenopus tropicalis</t>
        </is>
      </c>
      <c r="O7133" t="inlineStr">
        <is>
          <t>GIY-YIG domain-containing protein</t>
        </is>
      </c>
    </row>
    <row r="7134">
      <c r="A7134" t="inlineStr"/>
      <c r="B7134" t="inlineStr"/>
      <c r="C7134" t="inlineStr"/>
      <c r="D7134" t="inlineStr"/>
      <c r="E7134">
        <f>HYPERLINK("https://www.uniprot.org/uniprotkb/A0A6P6MRC2/entry", "A0A6P6MRC2")</f>
        <v/>
      </c>
      <c r="F7134" t="n">
        <v>36</v>
      </c>
      <c r="G7134" t="n">
        <v>444</v>
      </c>
      <c r="H7134" t="n">
        <v>4.24e-80</v>
      </c>
      <c r="I7134" t="inlineStr">
        <is>
          <t>TrEMBL</t>
        </is>
      </c>
      <c r="J7134" t="inlineStr">
        <is>
          <t>LOC113069710</t>
        </is>
      </c>
      <c r="K7134" t="inlineStr">
        <is>
          <t>A0A6P6MRC2_CARAU</t>
        </is>
      </c>
      <c r="L7134" t="inlineStr">
        <is>
          <t>tr|A0A6P6MRC2|A0A6P6MRC2_CARAU uncharacterized protein LOC113069710 OS=Carassius auratus OX=7957 GN=LOC113069710 PE=4 SV=1</t>
        </is>
      </c>
      <c r="M7134" t="n">
        <v>581</v>
      </c>
      <c r="N7134" t="inlineStr">
        <is>
          <t>Carassius auratus</t>
        </is>
      </c>
      <c r="O7134" t="inlineStr">
        <is>
          <t>uncharacterized protein LOC113069710</t>
        </is>
      </c>
    </row>
    <row r="7135">
      <c r="A7135" t="inlineStr"/>
      <c r="B7135" t="inlineStr"/>
      <c r="C7135" t="inlineStr"/>
      <c r="D7135" t="inlineStr"/>
      <c r="E7135">
        <f>HYPERLINK("https://www.uniprot.org/uniprotkb/A0A8C5PKA4/entry", "A0A8C5PKA4")</f>
        <v/>
      </c>
      <c r="F7135" t="n">
        <v>37.3</v>
      </c>
      <c r="G7135" t="n">
        <v>440</v>
      </c>
      <c r="H7135" t="n">
        <v>4.47e-80</v>
      </c>
      <c r="I7135" t="inlineStr">
        <is>
          <t>TrEMBL</t>
        </is>
      </c>
      <c r="J7135" t="inlineStr"/>
      <c r="K7135" t="inlineStr">
        <is>
          <t>A0A8C5PKA4_9ANUR</t>
        </is>
      </c>
      <c r="L7135" t="inlineStr">
        <is>
          <t>tr|A0A8C5PKA4|A0A8C5PKA4_9ANUR Reverse transcriptase domain-containing protein OS=Leptobrachium leishanense OX=445787 PE=4 SV=1</t>
        </is>
      </c>
      <c r="M7135" t="n">
        <v>672</v>
      </c>
      <c r="N7135" t="inlineStr">
        <is>
          <t>Leptobrachium leishanense</t>
        </is>
      </c>
      <c r="O7135" t="inlineStr">
        <is>
          <t>Reverse transcriptase domain-containing protein</t>
        </is>
      </c>
    </row>
    <row r="7136">
      <c r="A7136" t="inlineStr"/>
      <c r="B7136" t="inlineStr"/>
      <c r="C7136" t="inlineStr"/>
      <c r="D7136" t="inlineStr"/>
      <c r="E7136">
        <f>HYPERLINK("https://www.ncbi.nlm.nih.gov/gene/?term=XP_026098621.1", "XP_026098621.1")</f>
        <v/>
      </c>
      <c r="F7136" t="n">
        <v>36</v>
      </c>
      <c r="G7136" t="n">
        <v>444</v>
      </c>
      <c r="H7136" t="n">
        <v>1.09e-79</v>
      </c>
      <c r="I7136" t="inlineStr">
        <is>
          <t>Nr</t>
        </is>
      </c>
      <c r="J7136" t="inlineStr"/>
      <c r="K7136" t="inlineStr"/>
      <c r="L7136" t="inlineStr">
        <is>
          <t>XP_026098621.1 uncharacterized protein LOC113069710 [Carassius auratus]</t>
        </is>
      </c>
      <c r="M7136" t="n">
        <v>581</v>
      </c>
      <c r="N7136" t="inlineStr">
        <is>
          <t>Carassius auratus</t>
        </is>
      </c>
      <c r="O7136" t="inlineStr">
        <is>
          <t>uncharacterized protein LOC113069710</t>
        </is>
      </c>
    </row>
    <row r="7137">
      <c r="A7137" t="inlineStr"/>
      <c r="B7137" t="inlineStr"/>
      <c r="C7137" t="inlineStr"/>
      <c r="D7137" t="inlineStr"/>
      <c r="E7137">
        <f>HYPERLINK("https://www.ncbi.nlm.nih.gov/gene/?term=OCT55832.1", "OCT55832.1")</f>
        <v/>
      </c>
      <c r="F7137" t="n">
        <v>35.8</v>
      </c>
      <c r="G7137" t="n">
        <v>411</v>
      </c>
      <c r="H7137" t="n">
        <v>1.62e-79</v>
      </c>
      <c r="I7137" t="inlineStr">
        <is>
          <t>Nr</t>
        </is>
      </c>
      <c r="J7137" t="inlineStr"/>
      <c r="K7137" t="inlineStr"/>
      <c r="L7137" t="inlineStr">
        <is>
          <t>OCT55832.1 hypothetical protein XELAEV_18003247mg [Xenopus laevis]</t>
        </is>
      </c>
      <c r="M7137" t="n">
        <v>404</v>
      </c>
      <c r="N7137" t="inlineStr">
        <is>
          <t>Xenopus laevis</t>
        </is>
      </c>
      <c r="O7137" t="inlineStr">
        <is>
          <t>hypothetical protein XELAEV_18003247mg</t>
        </is>
      </c>
    </row>
    <row r="7138">
      <c r="A7138" t="inlineStr"/>
      <c r="B7138" t="inlineStr"/>
      <c r="C7138" t="inlineStr"/>
      <c r="D7138" t="inlineStr"/>
      <c r="E7138">
        <f>HYPERLINK("https://www.uniprot.org/uniprotkb/A0A8C5P7I8/entry", "A0A8C5P7I8")</f>
        <v/>
      </c>
      <c r="F7138" t="n">
        <v>36.5</v>
      </c>
      <c r="G7138" t="n">
        <v>447</v>
      </c>
      <c r="H7138" t="n">
        <v>2e-79</v>
      </c>
      <c r="I7138" t="inlineStr">
        <is>
          <t>TrEMBL</t>
        </is>
      </c>
      <c r="J7138" t="inlineStr"/>
      <c r="K7138" t="inlineStr">
        <is>
          <t>A0A8C5P7I8_9ANUR</t>
        </is>
      </c>
      <c r="L7138" t="inlineStr">
        <is>
          <t>tr|A0A8C5P7I8|A0A8C5P7I8_9ANUR Reverse transcriptase domain-containing protein OS=Leptobrachium leishanense OX=445787 PE=4 SV=1</t>
        </is>
      </c>
      <c r="M7138" t="n">
        <v>728</v>
      </c>
      <c r="N7138" t="inlineStr">
        <is>
          <t>Leptobrachium leishanense</t>
        </is>
      </c>
      <c r="O7138" t="inlineStr">
        <is>
          <t>Reverse transcriptase domain-containing protein</t>
        </is>
      </c>
    </row>
    <row r="7139">
      <c r="A7139" t="inlineStr"/>
      <c r="B7139" t="inlineStr"/>
      <c r="C7139" t="inlineStr"/>
      <c r="D7139" t="inlineStr"/>
      <c r="E7139">
        <f>HYPERLINK("https://www.uniprot.org/uniprotkb/A0A8C5WDY6/entry", "A0A8C5WDY6")</f>
        <v/>
      </c>
      <c r="F7139" t="n">
        <v>34.5</v>
      </c>
      <c r="G7139" t="n">
        <v>440</v>
      </c>
      <c r="H7139" t="n">
        <v>4.35e-79</v>
      </c>
      <c r="I7139" t="inlineStr">
        <is>
          <t>TrEMBL</t>
        </is>
      </c>
      <c r="J7139" t="inlineStr"/>
      <c r="K7139" t="inlineStr">
        <is>
          <t>A0A8C5WDY6_9ANUR</t>
        </is>
      </c>
      <c r="L7139" t="inlineStr">
        <is>
          <t>tr|A0A8C5WDY6|A0A8C5WDY6_9ANUR Reverse transcriptase domain-containing protein OS=Leptobrachium leishanense OX=445787 PE=4 SV=1</t>
        </is>
      </c>
      <c r="M7139" t="n">
        <v>668</v>
      </c>
      <c r="N7139" t="inlineStr">
        <is>
          <t>Leptobrachium leishanense</t>
        </is>
      </c>
      <c r="O7139" t="inlineStr">
        <is>
          <t>Reverse transcriptase domain-containing protein</t>
        </is>
      </c>
    </row>
    <row r="7140">
      <c r="A7140" t="inlineStr"/>
      <c r="B7140" t="inlineStr"/>
      <c r="C7140" t="inlineStr"/>
      <c r="D7140" t="inlineStr"/>
      <c r="E7140">
        <f>HYPERLINK("https://www.ncbi.nlm.nih.gov/gene/?term=XP_040204899.1", "XP_040204899.1")</f>
        <v/>
      </c>
      <c r="F7140" t="n">
        <v>34.2</v>
      </c>
      <c r="G7140" t="n">
        <v>444</v>
      </c>
      <c r="H7140" t="n">
        <v>2.22e-78</v>
      </c>
      <c r="I7140" t="inlineStr">
        <is>
          <t>Nr</t>
        </is>
      </c>
      <c r="J7140" t="inlineStr"/>
      <c r="K7140" t="inlineStr"/>
      <c r="L7140" t="inlineStr">
        <is>
          <t>XP_040204899.1 uncharacterized protein LOC120936529 [Rana temporaria]</t>
        </is>
      </c>
      <c r="M7140" t="n">
        <v>608</v>
      </c>
      <c r="N7140" t="inlineStr">
        <is>
          <t>Rana temporaria</t>
        </is>
      </c>
      <c r="O7140" t="inlineStr">
        <is>
          <t>uncharacterized protein LOC120936529</t>
        </is>
      </c>
    </row>
    <row r="7141">
      <c r="A7141" t="inlineStr"/>
      <c r="B7141" t="inlineStr"/>
      <c r="C7141" t="inlineStr"/>
      <c r="D7141" t="inlineStr"/>
      <c r="E7141">
        <f>HYPERLINK("https://www.uniprot.org/uniprotkb/A0A2G9RVM5/entry", "A0A2G9RVM5")</f>
        <v/>
      </c>
      <c r="F7141" t="n">
        <v>34.2</v>
      </c>
      <c r="G7141" t="n">
        <v>445</v>
      </c>
      <c r="H7141" t="n">
        <v>2.62e-78</v>
      </c>
      <c r="I7141" t="inlineStr">
        <is>
          <t>TrEMBL</t>
        </is>
      </c>
      <c r="J7141" t="inlineStr">
        <is>
          <t>AB205_0011770</t>
        </is>
      </c>
      <c r="K7141" t="inlineStr">
        <is>
          <t>A0A2G9RVM5_LITCT</t>
        </is>
      </c>
      <c r="L7141" t="inlineStr">
        <is>
          <t>tr|A0A2G9RVM5|A0A2G9RVM5_LITCT Reverse transcriptase domain-containing protein OS=Lithobates catesbeianus OX=8400 GN=AB205_0011770 PE=4 SV=1</t>
        </is>
      </c>
      <c r="M7141" t="n">
        <v>612</v>
      </c>
      <c r="N7141" t="inlineStr">
        <is>
          <t>Lithobates catesbeianus</t>
        </is>
      </c>
      <c r="O7141" t="inlineStr">
        <is>
          <t>Reverse transcriptase domain-containing protein</t>
        </is>
      </c>
    </row>
    <row r="7142">
      <c r="A7142" t="inlineStr"/>
      <c r="B7142" t="inlineStr"/>
      <c r="C7142" t="inlineStr"/>
      <c r="D7142" t="inlineStr"/>
      <c r="E7142">
        <f>HYPERLINK("https://www.ncbi.nlm.nih.gov/gene/?term=PIO31912.1", "PIO31912.1")</f>
        <v/>
      </c>
      <c r="F7142" t="n">
        <v>34.2</v>
      </c>
      <c r="G7142" t="n">
        <v>445</v>
      </c>
      <c r="H7142" t="n">
        <v>6.72e-78</v>
      </c>
      <c r="I7142" t="inlineStr">
        <is>
          <t>Nr</t>
        </is>
      </c>
      <c r="J7142" t="inlineStr"/>
      <c r="K7142" t="inlineStr"/>
      <c r="L7142" t="inlineStr">
        <is>
          <t>PIO31912.1 hypothetical protein AB205_0011770 [Lithobates catesbeianus]</t>
        </is>
      </c>
      <c r="M7142" t="n">
        <v>612</v>
      </c>
      <c r="N7142" t="inlineStr">
        <is>
          <t>Lithobates catesbeianus</t>
        </is>
      </c>
      <c r="O7142" t="inlineStr">
        <is>
          <t>hypothetical protein AB205_0011770</t>
        </is>
      </c>
    </row>
    <row r="7143">
      <c r="A7143" t="inlineStr"/>
      <c r="B7143" t="inlineStr"/>
      <c r="C7143" t="inlineStr"/>
      <c r="D7143" t="inlineStr"/>
      <c r="E7143">
        <f>HYPERLINK("https://www.uniprot.org/uniprotkb/A0A8C5W849/entry", "A0A8C5W849")</f>
        <v/>
      </c>
      <c r="F7143" t="n">
        <v>35.9</v>
      </c>
      <c r="G7143" t="n">
        <v>440</v>
      </c>
      <c r="H7143" t="n">
        <v>7.52e-78</v>
      </c>
      <c r="I7143" t="inlineStr">
        <is>
          <t>TrEMBL</t>
        </is>
      </c>
      <c r="J7143" t="inlineStr"/>
      <c r="K7143" t="inlineStr">
        <is>
          <t>A0A8C5W849_9ANUR</t>
        </is>
      </c>
      <c r="L7143" t="inlineStr">
        <is>
          <t>tr|A0A8C5W849|A0A8C5W849_9ANUR Reverse transcriptase domain-containing protein OS=Leptobrachium leishanense OX=445787 PE=4 SV=1</t>
        </is>
      </c>
      <c r="M7143" t="n">
        <v>797</v>
      </c>
      <c r="N7143" t="inlineStr">
        <is>
          <t>Leptobrachium leishanense</t>
        </is>
      </c>
      <c r="O7143" t="inlineStr">
        <is>
          <t>Reverse transcriptase domain-containing protein</t>
        </is>
      </c>
    </row>
    <row r="7144">
      <c r="A7144" t="inlineStr"/>
      <c r="B7144" t="inlineStr"/>
      <c r="C7144" t="inlineStr"/>
      <c r="D7144" t="inlineStr"/>
      <c r="E7144">
        <f>HYPERLINK("https://www.uniprot.org/uniprotkb/A0A803JVB3/entry", "A0A803JVB3")</f>
        <v/>
      </c>
      <c r="F7144" t="n">
        <v>34.8</v>
      </c>
      <c r="G7144" t="n">
        <v>451</v>
      </c>
      <c r="H7144" t="n">
        <v>8.3e-78</v>
      </c>
      <c r="I7144" t="inlineStr">
        <is>
          <t>TrEMBL</t>
        </is>
      </c>
      <c r="J7144" t="inlineStr"/>
      <c r="K7144" t="inlineStr">
        <is>
          <t>A0A803JVB3_XENTR</t>
        </is>
      </c>
      <c r="L7144" t="inlineStr">
        <is>
          <t>tr|A0A803JVB3|A0A803JVB3_XENTR Reverse transcriptase domain-containing protein OS=Xenopus tropicalis OX=8364 PE=4 SV=1</t>
        </is>
      </c>
      <c r="M7144" t="n">
        <v>680</v>
      </c>
      <c r="N7144" t="inlineStr">
        <is>
          <t>Xenopus tropicalis</t>
        </is>
      </c>
      <c r="O7144" t="inlineStr">
        <is>
          <t>Reverse transcriptase domain-containing protein</t>
        </is>
      </c>
    </row>
    <row r="7145">
      <c r="A7145" t="inlineStr"/>
      <c r="B7145" t="inlineStr"/>
      <c r="C7145" t="inlineStr"/>
      <c r="D7145" t="inlineStr"/>
      <c r="E7145">
        <f>HYPERLINK("https://www.uniprot.org/uniprotkb/A0A8C5MP74/entry", "A0A8C5MP74")</f>
        <v/>
      </c>
      <c r="F7145" t="n">
        <v>34.4</v>
      </c>
      <c r="G7145" t="n">
        <v>456</v>
      </c>
      <c r="H7145" t="n">
        <v>1.73e-77</v>
      </c>
      <c r="I7145" t="inlineStr">
        <is>
          <t>TrEMBL</t>
        </is>
      </c>
      <c r="J7145" t="inlineStr"/>
      <c r="K7145" t="inlineStr">
        <is>
          <t>A0A8C5MP74_9ANUR</t>
        </is>
      </c>
      <c r="L7145" t="inlineStr">
        <is>
          <t>tr|A0A8C5MP74|A0A8C5MP74_9ANUR Reverse transcriptase domain-containing protein OS=Leptobrachium leishanense OX=445787 PE=4 SV=1</t>
        </is>
      </c>
      <c r="M7145" t="n">
        <v>667</v>
      </c>
      <c r="N7145" t="inlineStr">
        <is>
          <t>Leptobrachium leishanense</t>
        </is>
      </c>
      <c r="O7145" t="inlineStr">
        <is>
          <t>Reverse transcriptase domain-containing protein</t>
        </is>
      </c>
    </row>
    <row r="7146">
      <c r="A7146" t="inlineStr"/>
      <c r="B7146" t="inlineStr"/>
      <c r="C7146" t="inlineStr"/>
      <c r="D7146" t="inlineStr"/>
      <c r="E7146">
        <f>HYPERLINK("https://www.uniprot.org/uniprotkb/A0A803J6K6/entry", "A0A803J6K6")</f>
        <v/>
      </c>
      <c r="F7146" t="n">
        <v>36.1</v>
      </c>
      <c r="G7146" t="n">
        <v>443</v>
      </c>
      <c r="H7146" t="n">
        <v>4.3e-77</v>
      </c>
      <c r="I7146" t="inlineStr">
        <is>
          <t>TrEMBL</t>
        </is>
      </c>
      <c r="J7146" t="inlineStr"/>
      <c r="K7146" t="inlineStr">
        <is>
          <t>A0A803J6K6_XENTR</t>
        </is>
      </c>
      <c r="L7146" t="inlineStr">
        <is>
          <t>tr|A0A803J6K6|A0A803J6K6_XENTR GIY-YIG domain-containing protein OS=Xenopus tropicalis OX=8364 PE=4 SV=1</t>
        </is>
      </c>
      <c r="M7146" t="n">
        <v>764</v>
      </c>
      <c r="N7146" t="inlineStr">
        <is>
          <t>Xenopus tropicalis</t>
        </is>
      </c>
      <c r="O7146" t="inlineStr">
        <is>
          <t>GIY-YIG domain-containing protein</t>
        </is>
      </c>
    </row>
    <row r="7147">
      <c r="A7147" t="inlineStr"/>
      <c r="B7147" t="inlineStr"/>
      <c r="C7147" t="inlineStr"/>
      <c r="D7147" t="inlineStr"/>
      <c r="E7147">
        <f>HYPERLINK("https://www.uniprot.org/uniprotkb/A0A8C5QWJ2/entry", "A0A8C5QWJ2")</f>
        <v/>
      </c>
      <c r="F7147" t="n">
        <v>34.8</v>
      </c>
      <c r="G7147" t="n">
        <v>440</v>
      </c>
      <c r="H7147" t="n">
        <v>7.360000000000001e-77</v>
      </c>
      <c r="I7147" t="inlineStr">
        <is>
          <t>TrEMBL</t>
        </is>
      </c>
      <c r="J7147" t="inlineStr"/>
      <c r="K7147" t="inlineStr">
        <is>
          <t>A0A8C5QWJ2_9ANUR</t>
        </is>
      </c>
      <c r="L7147" t="inlineStr">
        <is>
          <t>tr|A0A8C5QWJ2|A0A8C5QWJ2_9ANUR Reverse transcriptase domain-containing protein OS=Leptobrachium leishanense OX=445787 PE=4 SV=1</t>
        </is>
      </c>
      <c r="M7147" t="n">
        <v>688</v>
      </c>
      <c r="N7147" t="inlineStr">
        <is>
          <t>Leptobrachium leishanense</t>
        </is>
      </c>
      <c r="O7147" t="inlineStr">
        <is>
          <t>Reverse transcriptase domain-containing protein</t>
        </is>
      </c>
    </row>
    <row r="7148">
      <c r="A7148" t="inlineStr"/>
      <c r="B7148" t="inlineStr"/>
      <c r="C7148" t="inlineStr"/>
      <c r="D7148" t="inlineStr"/>
      <c r="E7148">
        <f>HYPERLINK("https://www.uniprot.org/uniprotkb/A0A803J3S0/entry", "A0A803J3S0")</f>
        <v/>
      </c>
      <c r="F7148" t="n">
        <v>35.3</v>
      </c>
      <c r="G7148" t="n">
        <v>453</v>
      </c>
      <c r="H7148" t="n">
        <v>1.68e-76</v>
      </c>
      <c r="I7148" t="inlineStr">
        <is>
          <t>TrEMBL</t>
        </is>
      </c>
      <c r="J7148" t="inlineStr"/>
      <c r="K7148" t="inlineStr">
        <is>
          <t>A0A803J3S0_XENTR</t>
        </is>
      </c>
      <c r="L7148" t="inlineStr">
        <is>
          <t>tr|A0A803J3S0|A0A803J3S0_XENTR Reverse transcriptase domain-containing protein OS=Xenopus tropicalis OX=8364 PE=4 SV=1</t>
        </is>
      </c>
      <c r="M7148" t="n">
        <v>679</v>
      </c>
      <c r="N7148" t="inlineStr">
        <is>
          <t>Xenopus tropicalis</t>
        </is>
      </c>
      <c r="O7148" t="inlineStr">
        <is>
          <t>Reverse transcriptase domain-containing protein</t>
        </is>
      </c>
    </row>
    <row r="7149">
      <c r="A7149" t="inlineStr"/>
      <c r="B7149" t="inlineStr"/>
      <c r="C7149" t="inlineStr"/>
      <c r="D7149" t="inlineStr"/>
      <c r="E7149">
        <f>HYPERLINK("https://www.ncbi.nlm.nih.gov/gene/?term=OCT65597.1", "OCT65597.1")</f>
        <v/>
      </c>
      <c r="F7149" t="n">
        <v>35.6</v>
      </c>
      <c r="G7149" t="n">
        <v>433</v>
      </c>
      <c r="H7149" t="n">
        <v>5.72e-76</v>
      </c>
      <c r="I7149" t="inlineStr">
        <is>
          <t>Nr</t>
        </is>
      </c>
      <c r="J7149" t="inlineStr"/>
      <c r="K7149" t="inlineStr"/>
      <c r="L7149" t="inlineStr">
        <is>
          <t>OCT65597.1 hypothetical protein XELAEV_18041835mg [Xenopus laevis]</t>
        </is>
      </c>
      <c r="M7149" t="n">
        <v>426</v>
      </c>
      <c r="N7149" t="inlineStr">
        <is>
          <t>Xenopus laevis</t>
        </is>
      </c>
      <c r="O7149" t="inlineStr">
        <is>
          <t>hypothetical protein XELAEV_18041835mg</t>
        </is>
      </c>
    </row>
    <row r="7150">
      <c r="A7150" t="inlineStr"/>
      <c r="B7150" t="inlineStr"/>
      <c r="C7150" t="inlineStr"/>
      <c r="D7150" t="inlineStr"/>
      <c r="E7150">
        <f>HYPERLINK("https://www.uniprot.org/uniprotkb/A0A8C5QEN8/entry", "A0A8C5QEN8")</f>
        <v/>
      </c>
      <c r="F7150" t="n">
        <v>34.1</v>
      </c>
      <c r="G7150" t="n">
        <v>443</v>
      </c>
      <c r="H7150" t="n">
        <v>1.6e-75</v>
      </c>
      <c r="I7150" t="inlineStr">
        <is>
          <t>TrEMBL</t>
        </is>
      </c>
      <c r="J7150" t="inlineStr"/>
      <c r="K7150" t="inlineStr">
        <is>
          <t>A0A8C5QEN8_9ANUR</t>
        </is>
      </c>
      <c r="L7150" t="inlineStr">
        <is>
          <t>tr|A0A8C5QEN8|A0A8C5QEN8_9ANUR Reverse transcriptase domain-containing protein OS=Leptobrachium leishanense OX=445787 PE=4 SV=1</t>
        </is>
      </c>
      <c r="M7150" t="n">
        <v>780</v>
      </c>
      <c r="N7150" t="inlineStr">
        <is>
          <t>Leptobrachium leishanense</t>
        </is>
      </c>
      <c r="O7150" t="inlineStr">
        <is>
          <t>Reverse transcriptase domain-containing protein</t>
        </is>
      </c>
    </row>
    <row r="7151">
      <c r="A7151" t="inlineStr"/>
      <c r="B7151" t="inlineStr"/>
      <c r="C7151" t="inlineStr"/>
      <c r="D7151" t="inlineStr"/>
      <c r="E7151">
        <f>HYPERLINK("https://www.ncbi.nlm.nih.gov/gene/?term=KAE8601590.1", "KAE8601590.1")</f>
        <v/>
      </c>
      <c r="F7151" t="n">
        <v>35.3</v>
      </c>
      <c r="G7151" t="n">
        <v>453</v>
      </c>
      <c r="H7151" t="n">
        <v>2.75e-75</v>
      </c>
      <c r="I7151" t="inlineStr">
        <is>
          <t>Nr</t>
        </is>
      </c>
      <c r="J7151" t="inlineStr"/>
      <c r="K7151" t="inlineStr"/>
      <c r="L7151" t="inlineStr">
        <is>
          <t>KAE8601590.1 hypothetical protein XENTR_v10013728 [Xenopus tropicalis]</t>
        </is>
      </c>
      <c r="M7151" t="n">
        <v>1505</v>
      </c>
      <c r="N7151" t="inlineStr">
        <is>
          <t>Xenopus tropicalis</t>
        </is>
      </c>
      <c r="O7151" t="inlineStr">
        <is>
          <t>hypothetical protein XENTR_v10013728</t>
        </is>
      </c>
    </row>
    <row r="7152">
      <c r="A7152" t="inlineStr"/>
      <c r="B7152" t="inlineStr"/>
      <c r="C7152" t="inlineStr"/>
      <c r="D7152" t="inlineStr"/>
      <c r="E7152">
        <f>HYPERLINK("https://www.uniprot.org/uniprotkb/A0A803K2I9/entry", "A0A803K2I9")</f>
        <v/>
      </c>
      <c r="F7152" t="n">
        <v>34.9</v>
      </c>
      <c r="G7152" t="n">
        <v>444</v>
      </c>
      <c r="H7152" t="n">
        <v>4.13e-75</v>
      </c>
      <c r="I7152" t="inlineStr">
        <is>
          <t>TrEMBL</t>
        </is>
      </c>
      <c r="J7152" t="inlineStr"/>
      <c r="K7152" t="inlineStr">
        <is>
          <t>A0A803K2I9_XENTR</t>
        </is>
      </c>
      <c r="L7152" t="inlineStr">
        <is>
          <t>tr|A0A803K2I9|A0A803K2I9_XENTR Reverse transcriptase domain-containing protein OS=Xenopus tropicalis OX=8364 PE=4 SV=1</t>
        </is>
      </c>
      <c r="M7152" t="n">
        <v>688</v>
      </c>
      <c r="N7152" t="inlineStr">
        <is>
          <t>Xenopus tropicalis</t>
        </is>
      </c>
      <c r="O7152" t="inlineStr">
        <is>
          <t>Reverse transcriptase domain-containing protein</t>
        </is>
      </c>
    </row>
    <row r="7153">
      <c r="A7153" t="inlineStr"/>
      <c r="B7153" t="inlineStr"/>
      <c r="C7153" t="inlineStr"/>
      <c r="D7153" t="inlineStr"/>
      <c r="E7153">
        <f>HYPERLINK("https://www.uniprot.org/uniprotkb/A0A8C5MMS5/entry", "A0A8C5MMS5")</f>
        <v/>
      </c>
      <c r="F7153" t="n">
        <v>36.5</v>
      </c>
      <c r="G7153" t="n">
        <v>444</v>
      </c>
      <c r="H7153" t="n">
        <v>5.21e-74</v>
      </c>
      <c r="I7153" t="inlineStr">
        <is>
          <t>TrEMBL</t>
        </is>
      </c>
      <c r="J7153" t="inlineStr"/>
      <c r="K7153" t="inlineStr">
        <is>
          <t>A0A8C5MMS5_9ANUR</t>
        </is>
      </c>
      <c r="L7153" t="inlineStr">
        <is>
          <t>tr|A0A8C5MMS5|A0A8C5MMS5_9ANUR Reverse transcriptase domain-containing protein OS=Leptobrachium leishanense OX=445787 PE=4 SV=1</t>
        </is>
      </c>
      <c r="M7153" t="n">
        <v>664</v>
      </c>
      <c r="N7153" t="inlineStr">
        <is>
          <t>Leptobrachium leishanense</t>
        </is>
      </c>
      <c r="O7153" t="inlineStr">
        <is>
          <t>Reverse transcriptase domain-containing protein</t>
        </is>
      </c>
    </row>
    <row r="7154">
      <c r="A7154" t="inlineStr"/>
      <c r="B7154" t="inlineStr"/>
      <c r="C7154" t="inlineStr"/>
      <c r="D7154" t="inlineStr"/>
      <c r="E7154">
        <f>HYPERLINK("https://www.uniprot.org/uniprotkb/A0A803JX24/entry", "A0A803JX24")</f>
        <v/>
      </c>
      <c r="F7154" t="n">
        <v>34.2</v>
      </c>
      <c r="G7154" t="n">
        <v>444</v>
      </c>
      <c r="H7154" t="n">
        <v>6.409999999999999e-74</v>
      </c>
      <c r="I7154" t="inlineStr">
        <is>
          <t>TrEMBL</t>
        </is>
      </c>
      <c r="J7154" t="inlineStr"/>
      <c r="K7154" t="inlineStr">
        <is>
          <t>A0A803JX24_XENTR</t>
        </is>
      </c>
      <c r="L7154" t="inlineStr">
        <is>
          <t>tr|A0A803JX24|A0A803JX24_XENTR Reverse transcriptase domain-containing protein OS=Xenopus tropicalis OX=8364 PE=4 SV=1</t>
        </is>
      </c>
      <c r="M7154" t="n">
        <v>626</v>
      </c>
      <c r="N7154" t="inlineStr">
        <is>
          <t>Xenopus tropicalis</t>
        </is>
      </c>
      <c r="O7154" t="inlineStr">
        <is>
          <t>Reverse transcriptase domain-containing protein</t>
        </is>
      </c>
    </row>
    <row r="7155">
      <c r="A7155" t="inlineStr"/>
      <c r="B7155" t="inlineStr"/>
      <c r="C7155" t="inlineStr"/>
      <c r="D7155" t="inlineStr"/>
      <c r="E7155">
        <f>HYPERLINK("https://www.uniprot.org/uniprotkb/A0A8J1KX62/entry", "A0A8J1KX62")</f>
        <v/>
      </c>
      <c r="F7155" t="n">
        <v>34.9</v>
      </c>
      <c r="G7155" t="n">
        <v>441</v>
      </c>
      <c r="H7155" t="n">
        <v>6.79e-74</v>
      </c>
      <c r="I7155" t="inlineStr">
        <is>
          <t>TrEMBL</t>
        </is>
      </c>
      <c r="J7155" t="inlineStr">
        <is>
          <t>LOC121394310</t>
        </is>
      </c>
      <c r="K7155" t="inlineStr">
        <is>
          <t>A0A8J1KX62_XENLA</t>
        </is>
      </c>
      <c r="L7155" t="inlineStr">
        <is>
          <t>tr|A0A8J1KX62|A0A8J1KX62_XENLA uncharacterized protein LOC121394310 isoform X1 OS=Xenopus laevis OX=8355 GN=LOC121394310 PE=4 SV=1</t>
        </is>
      </c>
      <c r="M7155" t="n">
        <v>473</v>
      </c>
      <c r="N7155" t="inlineStr">
        <is>
          <t>Xenopus laevis</t>
        </is>
      </c>
      <c r="O7155" t="inlineStr">
        <is>
          <t>uncharacterized protein LOC121394310 isoform X1</t>
        </is>
      </c>
    </row>
    <row r="7156">
      <c r="A7156" t="inlineStr"/>
      <c r="B7156" t="inlineStr"/>
      <c r="C7156" t="inlineStr"/>
      <c r="D7156" t="inlineStr"/>
      <c r="E7156">
        <f>HYPERLINK("https://www.uniprot.org/uniprotkb/A0A803KAJ0/entry", "A0A803KAJ0")</f>
        <v/>
      </c>
      <c r="F7156" t="n">
        <v>34.9</v>
      </c>
      <c r="G7156" t="n">
        <v>444</v>
      </c>
      <c r="H7156" t="n">
        <v>7.63e-74</v>
      </c>
      <c r="I7156" t="inlineStr">
        <is>
          <t>TrEMBL</t>
        </is>
      </c>
      <c r="J7156" t="inlineStr"/>
      <c r="K7156" t="inlineStr">
        <is>
          <t>A0A803KAJ0_XENTR</t>
        </is>
      </c>
      <c r="L7156" t="inlineStr">
        <is>
          <t>tr|A0A803KAJ0|A0A803KAJ0_XENTR Reverse transcriptase domain-containing protein OS=Xenopus tropicalis OX=8364 PE=4 SV=1</t>
        </is>
      </c>
      <c r="M7156" t="n">
        <v>856</v>
      </c>
      <c r="N7156" t="inlineStr">
        <is>
          <t>Xenopus tropicalis</t>
        </is>
      </c>
      <c r="O7156" t="inlineStr">
        <is>
          <t>Reverse transcriptase domain-containing protein</t>
        </is>
      </c>
    </row>
    <row r="7157">
      <c r="A7157" t="inlineStr"/>
      <c r="B7157" t="inlineStr"/>
      <c r="C7157" t="inlineStr"/>
      <c r="D7157" t="inlineStr"/>
      <c r="E7157">
        <f>HYPERLINK("https://www.uniprot.org/uniprotkb/A0A8C5R7W1/entry", "A0A8C5R7W1")</f>
        <v/>
      </c>
      <c r="F7157" t="n">
        <v>35.2</v>
      </c>
      <c r="G7157" t="n">
        <v>440</v>
      </c>
      <c r="H7157" t="n">
        <v>8.609999999999999e-74</v>
      </c>
      <c r="I7157" t="inlineStr">
        <is>
          <t>TrEMBL</t>
        </is>
      </c>
      <c r="J7157" t="inlineStr"/>
      <c r="K7157" t="inlineStr">
        <is>
          <t>A0A8C5R7W1_9ANUR</t>
        </is>
      </c>
      <c r="L7157" t="inlineStr">
        <is>
          <t>tr|A0A8C5R7W1|A0A8C5R7W1_9ANUR Reverse transcriptase domain-containing protein OS=Leptobrachium leishanense OX=445787 PE=4 SV=1</t>
        </is>
      </c>
      <c r="M7157" t="n">
        <v>780</v>
      </c>
      <c r="N7157" t="inlineStr">
        <is>
          <t>Leptobrachium leishanense</t>
        </is>
      </c>
      <c r="O7157" t="inlineStr">
        <is>
          <t>Reverse transcriptase domain-containing protein</t>
        </is>
      </c>
    </row>
    <row r="7158">
      <c r="A7158" t="inlineStr"/>
      <c r="B7158" t="inlineStr"/>
      <c r="C7158" t="inlineStr"/>
      <c r="D7158" t="inlineStr"/>
      <c r="E7158">
        <f>HYPERLINK("https://www.ncbi.nlm.nih.gov/gene/?term=XP_041420849.1", "XP_041420849.1")</f>
        <v/>
      </c>
      <c r="F7158" t="n">
        <v>34.9</v>
      </c>
      <c r="G7158" t="n">
        <v>441</v>
      </c>
      <c r="H7158" t="n">
        <v>1.74e-73</v>
      </c>
      <c r="I7158" t="inlineStr">
        <is>
          <t>Nr</t>
        </is>
      </c>
      <c r="J7158" t="inlineStr"/>
      <c r="K7158" t="inlineStr"/>
      <c r="L7158" t="inlineStr">
        <is>
          <t>XP_041420849.1 uncharacterized protein LOC121394310 isoform X1 [Xenopus laevis]</t>
        </is>
      </c>
      <c r="M7158" t="n">
        <v>473</v>
      </c>
      <c r="N7158" t="inlineStr">
        <is>
          <t>Xenopus laevis</t>
        </is>
      </c>
      <c r="O7158" t="inlineStr">
        <is>
          <t>uncharacterized protein LOC121394310 isoform X1</t>
        </is>
      </c>
    </row>
    <row r="7159">
      <c r="A7159" t="inlineStr"/>
      <c r="B7159" t="inlineStr"/>
      <c r="C7159" t="inlineStr"/>
      <c r="D7159" t="inlineStr"/>
      <c r="E7159">
        <f>HYPERLINK("https://www.ncbi.nlm.nih.gov/gene/?term=XP_035796656.1", "XP_035796656.1")</f>
        <v/>
      </c>
      <c r="F7159" t="n">
        <v>36.2</v>
      </c>
      <c r="G7159" t="n">
        <v>442</v>
      </c>
      <c r="H7159" t="n">
        <v>4.36e-70</v>
      </c>
      <c r="I7159" t="inlineStr">
        <is>
          <t>Nr</t>
        </is>
      </c>
      <c r="J7159" t="inlineStr"/>
      <c r="K7159" t="inlineStr"/>
      <c r="L7159" t="inlineStr">
        <is>
          <t>XP_035796656.1 uncharacterized protein LOC111584630 isoform X1 [Amphiprion ocellaris]</t>
        </is>
      </c>
      <c r="M7159" t="n">
        <v>633</v>
      </c>
      <c r="N7159" t="inlineStr">
        <is>
          <t>Amphiprion ocellaris</t>
        </is>
      </c>
      <c r="O7159" t="inlineStr">
        <is>
          <t>uncharacterized protein LOC111584630 isoform X1</t>
        </is>
      </c>
    </row>
    <row r="7160">
      <c r="A7160" t="inlineStr"/>
      <c r="B7160" t="inlineStr"/>
      <c r="C7160" t="inlineStr"/>
      <c r="D7160" t="inlineStr"/>
      <c r="E7160">
        <f>HYPERLINK("https://www.ncbi.nlm.nih.gov/gene/?term=XP_023143528.2", "XP_023143528.2")</f>
        <v/>
      </c>
      <c r="F7160" t="n">
        <v>36.2</v>
      </c>
      <c r="G7160" t="n">
        <v>442</v>
      </c>
      <c r="H7160" t="n">
        <v>6.09e-70</v>
      </c>
      <c r="I7160" t="inlineStr">
        <is>
          <t>Nr</t>
        </is>
      </c>
      <c r="J7160" t="inlineStr"/>
      <c r="K7160" t="inlineStr"/>
      <c r="L7160" t="inlineStr">
        <is>
          <t>XP_023143528.2 uncharacterized protein LOC111580143 isoform X2 [Amphiprion ocellaris]</t>
        </is>
      </c>
      <c r="M7160" t="n">
        <v>633</v>
      </c>
      <c r="N7160" t="inlineStr">
        <is>
          <t>Amphiprion ocellaris</t>
        </is>
      </c>
      <c r="O7160" t="inlineStr">
        <is>
          <t>uncharacterized protein LOC111580143 isoform X2</t>
        </is>
      </c>
    </row>
    <row r="7161">
      <c r="A7161" t="inlineStr"/>
      <c r="B7161" t="inlineStr"/>
      <c r="C7161" t="inlineStr"/>
      <c r="D7161" t="inlineStr"/>
      <c r="E7161">
        <f>HYPERLINK("https://www.ncbi.nlm.nih.gov/gene/?term=XP_035799256.1", "XP_035799256.1")</f>
        <v/>
      </c>
      <c r="F7161" t="n">
        <v>36.2</v>
      </c>
      <c r="G7161" t="n">
        <v>442</v>
      </c>
      <c r="H7161" t="n">
        <v>7.820000000000001e-70</v>
      </c>
      <c r="I7161" t="inlineStr">
        <is>
          <t>Nr</t>
        </is>
      </c>
      <c r="J7161" t="inlineStr"/>
      <c r="K7161" t="inlineStr"/>
      <c r="L7161" t="inlineStr">
        <is>
          <t>XP_035799256.1 uncharacterized protein LOC111588690 isoform X1 [Amphiprion ocellaris]</t>
        </is>
      </c>
      <c r="M7161" t="n">
        <v>662</v>
      </c>
      <c r="N7161" t="inlineStr">
        <is>
          <t>Amphiprion ocellaris</t>
        </is>
      </c>
      <c r="O7161" t="inlineStr">
        <is>
          <t>uncharacterized protein LOC111588690 isoform X1</t>
        </is>
      </c>
    </row>
    <row r="7162">
      <c r="A7162" t="inlineStr"/>
      <c r="B7162" t="inlineStr"/>
      <c r="C7162" t="inlineStr"/>
      <c r="D7162" t="inlineStr"/>
      <c r="E7162">
        <f>HYPERLINK("https://www.ncbi.nlm.nih.gov/gene/?term=OCT87659.1", "OCT87659.1")</f>
        <v/>
      </c>
      <c r="F7162" t="n">
        <v>34.2</v>
      </c>
      <c r="G7162" t="n">
        <v>445</v>
      </c>
      <c r="H7162" t="n">
        <v>9.150000000000001e-70</v>
      </c>
      <c r="I7162" t="inlineStr">
        <is>
          <t>Nr</t>
        </is>
      </c>
      <c r="J7162" t="inlineStr"/>
      <c r="K7162" t="inlineStr"/>
      <c r="L7162" t="inlineStr">
        <is>
          <t>OCT87659.1 hypothetical protein XELAEV_18021356mg [Xenopus laevis]</t>
        </is>
      </c>
      <c r="M7162" t="n">
        <v>462</v>
      </c>
      <c r="N7162" t="inlineStr">
        <is>
          <t>Xenopus laevis</t>
        </is>
      </c>
      <c r="O7162" t="inlineStr">
        <is>
          <t>hypothetical protein XELAEV_18021356mg</t>
        </is>
      </c>
    </row>
    <row r="7163">
      <c r="A7163" t="inlineStr"/>
      <c r="B7163" t="inlineStr"/>
      <c r="C7163" t="inlineStr"/>
      <c r="D7163" t="inlineStr"/>
      <c r="E7163">
        <f>HYPERLINK("https://www.ncbi.nlm.nih.gov/gene/?term=XP_018108445.1", "XP_018108445.1")</f>
        <v/>
      </c>
      <c r="F7163" t="n">
        <v>33</v>
      </c>
      <c r="G7163" t="n">
        <v>421</v>
      </c>
      <c r="H7163" t="n">
        <v>9.510000000000001e-70</v>
      </c>
      <c r="I7163" t="inlineStr">
        <is>
          <t>Nr</t>
        </is>
      </c>
      <c r="J7163" t="inlineStr"/>
      <c r="K7163" t="inlineStr"/>
      <c r="L7163" t="inlineStr">
        <is>
          <t>XP_018108445.1 uncharacterized protein LOC108711328 [Xenopus laevis]</t>
        </is>
      </c>
      <c r="M7163" t="n">
        <v>425</v>
      </c>
      <c r="N7163" t="inlineStr">
        <is>
          <t>Xenopus laevis</t>
        </is>
      </c>
      <c r="O7163" t="inlineStr">
        <is>
          <t>uncharacterized protein LOC108711328</t>
        </is>
      </c>
    </row>
    <row r="7164">
      <c r="A7164" t="inlineStr"/>
      <c r="B7164" t="inlineStr"/>
      <c r="C7164" t="inlineStr"/>
      <c r="D7164" t="inlineStr"/>
      <c r="E7164">
        <f>HYPERLINK("https://www.ncbi.nlm.nih.gov/gene/?term=XP_041420379.1", "XP_041420379.1")</f>
        <v/>
      </c>
      <c r="F7164" t="n">
        <v>34.4</v>
      </c>
      <c r="G7164" t="n">
        <v>430</v>
      </c>
      <c r="H7164" t="n">
        <v>1.14e-69</v>
      </c>
      <c r="I7164" t="inlineStr">
        <is>
          <t>Nr</t>
        </is>
      </c>
      <c r="J7164" t="inlineStr"/>
      <c r="K7164" t="inlineStr"/>
      <c r="L7164" t="inlineStr">
        <is>
          <t>XP_041420379.1 uncharacterized protein LOC121394196 [Xenopus laevis]</t>
        </is>
      </c>
      <c r="M7164" t="n">
        <v>419</v>
      </c>
      <c r="N7164" t="inlineStr">
        <is>
          <t>Xenopus laevis</t>
        </is>
      </c>
      <c r="O7164" t="inlineStr">
        <is>
          <t>uncharacterized protein LOC121394196</t>
        </is>
      </c>
    </row>
    <row r="7165">
      <c r="A7165" t="inlineStr"/>
      <c r="B7165" t="inlineStr"/>
      <c r="C7165" t="inlineStr"/>
      <c r="D7165" t="inlineStr"/>
      <c r="E7165">
        <f>HYPERLINK("https://www.ncbi.nlm.nih.gov/gene/?term=XP_040212985.1", "XP_040212985.1")</f>
        <v/>
      </c>
      <c r="F7165" t="n">
        <v>34.2</v>
      </c>
      <c r="G7165" t="n">
        <v>444</v>
      </c>
      <c r="H7165" t="n">
        <v>1.55e-69</v>
      </c>
      <c r="I7165" t="inlineStr">
        <is>
          <t>Nr</t>
        </is>
      </c>
      <c r="J7165" t="inlineStr"/>
      <c r="K7165" t="inlineStr"/>
      <c r="L7165" t="inlineStr">
        <is>
          <t>XP_040212985.1 uncharacterized protein LOC120943646 [Rana temporaria]</t>
        </is>
      </c>
      <c r="M7165" t="n">
        <v>646</v>
      </c>
      <c r="N7165" t="inlineStr">
        <is>
          <t>Rana temporaria</t>
        </is>
      </c>
      <c r="O7165" t="inlineStr">
        <is>
          <t>uncharacterized protein LOC120943646</t>
        </is>
      </c>
    </row>
    <row r="7166">
      <c r="A7166" t="inlineStr"/>
      <c r="B7166" t="inlineStr"/>
      <c r="C7166" t="inlineStr"/>
      <c r="D7166" t="inlineStr"/>
      <c r="E7166">
        <f>HYPERLINK("https://www.ncbi.nlm.nih.gov/gene/?term=XP_041422161.1", "XP_041422161.1")</f>
        <v/>
      </c>
      <c r="F7166" t="n">
        <v>32.7</v>
      </c>
      <c r="G7166" t="n">
        <v>425</v>
      </c>
      <c r="H7166" t="n">
        <v>4.63e-69</v>
      </c>
      <c r="I7166" t="inlineStr">
        <is>
          <t>Nr</t>
        </is>
      </c>
      <c r="J7166" t="inlineStr"/>
      <c r="K7166" t="inlineStr"/>
      <c r="L7166" t="inlineStr">
        <is>
          <t>XP_041422161.1 uncharacterized protein LOC121394669 [Xenopus laevis]</t>
        </is>
      </c>
      <c r="M7166" t="n">
        <v>408</v>
      </c>
      <c r="N7166" t="inlineStr">
        <is>
          <t>Xenopus laevis</t>
        </is>
      </c>
      <c r="O7166" t="inlineStr">
        <is>
          <t>uncharacterized protein LOC121394669</t>
        </is>
      </c>
    </row>
    <row r="7167">
      <c r="A7167" t="inlineStr"/>
      <c r="B7167" t="inlineStr"/>
      <c r="C7167" t="inlineStr"/>
      <c r="D7167" t="inlineStr"/>
      <c r="E7167">
        <f>HYPERLINK("https://www.ncbi.nlm.nih.gov/gene/?term=XP_041424610.1", "XP_041424610.1")</f>
        <v/>
      </c>
      <c r="F7167" t="n">
        <v>33.9</v>
      </c>
      <c r="G7167" t="n">
        <v>463</v>
      </c>
      <c r="H7167" t="n">
        <v>5.72e-69</v>
      </c>
      <c r="I7167" t="inlineStr">
        <is>
          <t>Nr</t>
        </is>
      </c>
      <c r="J7167" t="inlineStr"/>
      <c r="K7167" t="inlineStr"/>
      <c r="L7167" t="inlineStr">
        <is>
          <t>XP_041424610.1 uncharacterized protein LOC121395346 isoform X1 [Xenopus laevis]</t>
        </is>
      </c>
      <c r="M7167" t="n">
        <v>840</v>
      </c>
      <c r="N7167" t="inlineStr">
        <is>
          <t>Xenopus laevis</t>
        </is>
      </c>
      <c r="O7167" t="inlineStr">
        <is>
          <t>uncharacterized protein LOC121395346 isoform X1</t>
        </is>
      </c>
    </row>
    <row r="7168">
      <c r="A7168" t="inlineStr"/>
      <c r="B7168" t="inlineStr"/>
      <c r="C7168" t="inlineStr"/>
      <c r="D7168" t="inlineStr"/>
      <c r="E7168">
        <f>HYPERLINK("https://www.ncbi.nlm.nih.gov/gene/?term=XP_041431933.1", "XP_041431933.1")</f>
        <v/>
      </c>
      <c r="F7168" t="n">
        <v>33</v>
      </c>
      <c r="G7168" t="n">
        <v>442</v>
      </c>
      <c r="H7168" t="n">
        <v>7.41e-69</v>
      </c>
      <c r="I7168" t="inlineStr">
        <is>
          <t>Nr</t>
        </is>
      </c>
      <c r="J7168" t="inlineStr"/>
      <c r="K7168" t="inlineStr"/>
      <c r="L7168" t="inlineStr">
        <is>
          <t>XP_041431933.1 uncharacterized protein LOC121397896 [Xenopus laevis]</t>
        </is>
      </c>
      <c r="M7168" t="n">
        <v>464</v>
      </c>
      <c r="N7168" t="inlineStr">
        <is>
          <t>Xenopus laevis</t>
        </is>
      </c>
      <c r="O7168" t="inlineStr">
        <is>
          <t>uncharacterized protein LOC121397896</t>
        </is>
      </c>
    </row>
    <row r="7169">
      <c r="A7169" t="inlineStr"/>
      <c r="B7169" t="inlineStr"/>
      <c r="C7169" t="inlineStr"/>
      <c r="D7169" t="inlineStr"/>
      <c r="E7169">
        <f>HYPERLINK("https://www.ncbi.nlm.nih.gov/gene/?term=XP_040212877.1", "XP_040212877.1")</f>
        <v/>
      </c>
      <c r="F7169" t="n">
        <v>34.2</v>
      </c>
      <c r="G7169" t="n">
        <v>444</v>
      </c>
      <c r="H7169" t="n">
        <v>1.34e-68</v>
      </c>
      <c r="I7169" t="inlineStr">
        <is>
          <t>Nr</t>
        </is>
      </c>
      <c r="J7169" t="inlineStr"/>
      <c r="K7169" t="inlineStr"/>
      <c r="L7169" t="inlineStr">
        <is>
          <t>XP_040212877.1 uncharacterized protein LOC120943569 [Rana temporaria]</t>
        </is>
      </c>
      <c r="M7169" t="n">
        <v>765</v>
      </c>
      <c r="N7169" t="inlineStr">
        <is>
          <t>Rana temporaria</t>
        </is>
      </c>
      <c r="O7169" t="inlineStr">
        <is>
          <t>uncharacterized protein LOC120943569</t>
        </is>
      </c>
    </row>
    <row r="7170">
      <c r="A7170" t="inlineStr"/>
      <c r="B7170" t="inlineStr"/>
      <c r="C7170" t="inlineStr"/>
      <c r="D7170" t="inlineStr"/>
      <c r="E7170">
        <f>HYPERLINK("https://www.ncbi.nlm.nih.gov/gene/?term=OCT65627.1", "OCT65627.1")</f>
        <v/>
      </c>
      <c r="F7170" t="n">
        <v>36.1</v>
      </c>
      <c r="G7170" t="n">
        <v>374</v>
      </c>
      <c r="H7170" t="n">
        <v>1.95e-68</v>
      </c>
      <c r="I7170" t="inlineStr">
        <is>
          <t>Nr</t>
        </is>
      </c>
      <c r="J7170" t="inlineStr"/>
      <c r="K7170" t="inlineStr"/>
      <c r="L7170" t="inlineStr">
        <is>
          <t>OCT65627.1 hypothetical protein XELAEV_18041866mg, partial [Xenopus laevis]</t>
        </is>
      </c>
      <c r="M7170" t="n">
        <v>374</v>
      </c>
      <c r="N7170" t="inlineStr">
        <is>
          <t>Xenopus laevis</t>
        </is>
      </c>
      <c r="O7170" t="inlineStr">
        <is>
          <t>hypothetical protein XELAEV_18041866mg, partial</t>
        </is>
      </c>
    </row>
    <row r="7171">
      <c r="A7171" t="inlineStr"/>
      <c r="B7171" t="inlineStr"/>
      <c r="C7171" t="inlineStr"/>
      <c r="D7171" t="inlineStr"/>
      <c r="E7171">
        <f>HYPERLINK("https://www.ncbi.nlm.nih.gov/gene/?term=OCT58440.1", "OCT58440.1")</f>
        <v/>
      </c>
      <c r="F7171" t="n">
        <v>36</v>
      </c>
      <c r="G7171" t="n">
        <v>389</v>
      </c>
      <c r="H7171" t="n">
        <v>2.38e-68</v>
      </c>
      <c r="I7171" t="inlineStr">
        <is>
          <t>Nr</t>
        </is>
      </c>
      <c r="J7171" t="inlineStr"/>
      <c r="K7171" t="inlineStr"/>
      <c r="L7171" t="inlineStr">
        <is>
          <t>OCT58440.1 hypothetical protein XELAEV_18002112mg [Xenopus laevis]</t>
        </is>
      </c>
      <c r="M7171" t="n">
        <v>381</v>
      </c>
      <c r="N7171" t="inlineStr">
        <is>
          <t>Xenopus laevis</t>
        </is>
      </c>
      <c r="O7171" t="inlineStr">
        <is>
          <t>hypothetical protein XELAEV_18002112mg</t>
        </is>
      </c>
    </row>
    <row r="7172">
      <c r="A7172" t="inlineStr"/>
      <c r="B7172" t="inlineStr"/>
      <c r="C7172" t="inlineStr"/>
      <c r="D7172" t="inlineStr"/>
      <c r="E7172">
        <f>HYPERLINK("https://www.ncbi.nlm.nih.gov/gene/?term=OCT74329.1", "OCT74329.1")</f>
        <v/>
      </c>
      <c r="F7172" t="n">
        <v>35.4</v>
      </c>
      <c r="G7172" t="n">
        <v>395</v>
      </c>
      <c r="H7172" t="n">
        <v>1.11e-65</v>
      </c>
      <c r="I7172" t="inlineStr">
        <is>
          <t>Nr</t>
        </is>
      </c>
      <c r="J7172" t="inlineStr"/>
      <c r="K7172" t="inlineStr"/>
      <c r="L7172" t="inlineStr">
        <is>
          <t>OCT74329.1 hypothetical protein XELAEV_18033295mg [Xenopus laevis]</t>
        </is>
      </c>
      <c r="M7172" t="n">
        <v>513</v>
      </c>
      <c r="N7172" t="inlineStr">
        <is>
          <t>Xenopus laevis</t>
        </is>
      </c>
      <c r="O7172" t="inlineStr">
        <is>
          <t>hypothetical protein XELAEV_18033295mg</t>
        </is>
      </c>
    </row>
    <row r="7173">
      <c r="A7173" t="inlineStr">
        <is>
          <t>NODE_49100_length_3027_cov_29.006081_g561_i164</t>
        </is>
      </c>
      <c r="B7173" t="inlineStr">
        <is>
          <t>bombina_pachypus_blastx</t>
        </is>
      </c>
      <c r="C7173" t="n">
        <v>6.51685383672666</v>
      </c>
      <c r="D7173" t="n">
        <v>0.0009693287814642</v>
      </c>
      <c r="E7173">
        <f>HYPERLINK("https://www.uniprot.org/uniprotkb/B7ZU96/entry", "B7ZU96")</f>
        <v/>
      </c>
      <c r="F7173" t="n">
        <v>77.59999999999999</v>
      </c>
      <c r="G7173" t="n">
        <v>165</v>
      </c>
      <c r="H7173" t="n">
        <v>1.72e-94</v>
      </c>
      <c r="I7173" t="inlineStr">
        <is>
          <t>TrEMBL</t>
        </is>
      </c>
      <c r="J7173" t="inlineStr">
        <is>
          <t>MGC108272</t>
        </is>
      </c>
      <c r="K7173" t="inlineStr">
        <is>
          <t>B7ZU96_XENTR</t>
        </is>
      </c>
      <c r="L7173" t="inlineStr">
        <is>
          <t>tr|B7ZU96|B7ZU96_XENTR MGC108272 protein OS=Xenopus tropicalis OX=8364 GN=MGC108272 PE=2 SV=1</t>
        </is>
      </c>
      <c r="M7173" t="n">
        <v>194</v>
      </c>
      <c r="N7173" t="inlineStr">
        <is>
          <t>Xenopus tropicalis</t>
        </is>
      </c>
      <c r="O7173" t="inlineStr">
        <is>
          <t>MGC108272 protein</t>
        </is>
      </c>
    </row>
    <row r="7174">
      <c r="A7174" t="inlineStr"/>
      <c r="B7174" t="inlineStr"/>
      <c r="C7174" t="inlineStr"/>
      <c r="D7174" t="inlineStr"/>
      <c r="E7174">
        <f>HYPERLINK("https://www.ncbi.nlm.nih.gov/gene/?term=OCT99806.1", "OCT99806.1")</f>
        <v/>
      </c>
      <c r="F7174" t="n">
        <v>77</v>
      </c>
      <c r="G7174" t="n">
        <v>165</v>
      </c>
      <c r="H7174" t="n">
        <v>3.12e-94</v>
      </c>
      <c r="I7174" t="inlineStr">
        <is>
          <t>Nr</t>
        </is>
      </c>
      <c r="J7174" t="inlineStr"/>
      <c r="K7174" t="inlineStr"/>
      <c r="L7174" t="inlineStr">
        <is>
          <t>OCT99806.1 hypothetical protein XELAEV_18005587mg [Xenopus laevis]</t>
        </is>
      </c>
      <c r="M7174" t="n">
        <v>194</v>
      </c>
      <c r="N7174" t="inlineStr">
        <is>
          <t>Xenopus laevis</t>
        </is>
      </c>
      <c r="O7174" t="inlineStr">
        <is>
          <t>hypothetical protein XELAEV_18005587mg</t>
        </is>
      </c>
    </row>
    <row r="7175">
      <c r="A7175" t="inlineStr"/>
      <c r="B7175" t="inlineStr"/>
      <c r="C7175" t="inlineStr"/>
      <c r="D7175" t="inlineStr"/>
      <c r="E7175">
        <f>HYPERLINK("https://www.ncbi.nlm.nih.gov/gene/?term=AAH90367.1", "AAH90367.1")</f>
        <v/>
      </c>
      <c r="F7175" t="n">
        <v>77.59999999999999</v>
      </c>
      <c r="G7175" t="n">
        <v>165</v>
      </c>
      <c r="H7175" t="n">
        <v>4.43e-94</v>
      </c>
      <c r="I7175" t="inlineStr">
        <is>
          <t>Nr</t>
        </is>
      </c>
      <c r="J7175" t="inlineStr"/>
      <c r="K7175" t="inlineStr"/>
      <c r="L7175" t="inlineStr">
        <is>
          <t>AAH90367.1 MGC108272 protein [Xenopus tropicalis]</t>
        </is>
      </c>
      <c r="M7175" t="n">
        <v>194</v>
      </c>
      <c r="N7175" t="inlineStr">
        <is>
          <t>Xenopus tropicalis</t>
        </is>
      </c>
      <c r="O7175" t="inlineStr">
        <is>
          <t>MGC108272 protein</t>
        </is>
      </c>
    </row>
    <row r="7176">
      <c r="A7176" t="inlineStr"/>
      <c r="B7176" t="inlineStr"/>
      <c r="C7176" t="inlineStr"/>
      <c r="D7176" t="inlineStr"/>
      <c r="E7176">
        <f>HYPERLINK("https://www.uniprot.org/uniprotkb/A0A8J0TKX3/entry", "A0A8J0TKX3")</f>
        <v/>
      </c>
      <c r="F7176" t="n">
        <v>77</v>
      </c>
      <c r="G7176" t="n">
        <v>165</v>
      </c>
      <c r="H7176" t="n">
        <v>4.43e-94</v>
      </c>
      <c r="I7176" t="inlineStr">
        <is>
          <t>TrEMBL</t>
        </is>
      </c>
      <c r="J7176" t="inlineStr">
        <is>
          <t>LOC108699678</t>
        </is>
      </c>
      <c r="K7176" t="inlineStr">
        <is>
          <t>A0A8J0TKX3_XENLA</t>
        </is>
      </c>
      <c r="L7176" t="inlineStr">
        <is>
          <t>tr|A0A8J0TKX3|A0A8J0TKX3_XENLA UPF0462 protein C4orf33 homolog OS=Xenopus laevis OX=8355 GN=LOC108699678 PE=4 SV=1</t>
        </is>
      </c>
      <c r="M7176" t="n">
        <v>232</v>
      </c>
      <c r="N7176" t="inlineStr">
        <is>
          <t>Xenopus laevis</t>
        </is>
      </c>
      <c r="O7176" t="inlineStr">
        <is>
          <t>UPF0462 protein C4orf33 homolog</t>
        </is>
      </c>
    </row>
    <row r="7177">
      <c r="A7177" t="inlineStr"/>
      <c r="B7177" t="inlineStr"/>
      <c r="C7177" t="inlineStr"/>
      <c r="D7177" t="inlineStr"/>
      <c r="E7177">
        <f>HYPERLINK("https://www.uniprot.org/uniprotkb/A0A8C5PAM1/entry", "A0A8C5PAM1")</f>
        <v/>
      </c>
      <c r="F7177" t="n">
        <v>77</v>
      </c>
      <c r="G7177" t="n">
        <v>165</v>
      </c>
      <c r="H7177" t="n">
        <v>7.01e-94</v>
      </c>
      <c r="I7177" t="inlineStr">
        <is>
          <t>TrEMBL</t>
        </is>
      </c>
      <c r="J7177" t="inlineStr">
        <is>
          <t>C4orf33</t>
        </is>
      </c>
      <c r="K7177" t="inlineStr">
        <is>
          <t>A0A8C5PAM1_9ANUR</t>
        </is>
      </c>
      <c r="L7177" t="inlineStr">
        <is>
          <t>tr|A0A8C5PAM1|A0A8C5PAM1_9ANUR Chromosome 4 open reading frame 33 OS=Leptobrachium leishanense OX=445787 GN=C4orf33 PE=4 SV=1</t>
        </is>
      </c>
      <c r="M7177" t="n">
        <v>194</v>
      </c>
      <c r="N7177" t="inlineStr">
        <is>
          <t>Leptobrachium leishanense</t>
        </is>
      </c>
      <c r="O7177" t="inlineStr">
        <is>
          <t>Chromosome 4 open reading frame 33</t>
        </is>
      </c>
    </row>
    <row r="7178">
      <c r="A7178" t="inlineStr"/>
      <c r="B7178" t="inlineStr"/>
      <c r="C7178" t="inlineStr"/>
      <c r="D7178" t="inlineStr"/>
      <c r="E7178">
        <f>HYPERLINK("https://www.ncbi.nlm.nih.gov/gene/?term=XP_018087341.1", "XP_018087341.1")</f>
        <v/>
      </c>
      <c r="F7178" t="n">
        <v>77</v>
      </c>
      <c r="G7178" t="n">
        <v>165</v>
      </c>
      <c r="H7178" t="n">
        <v>1.14e-93</v>
      </c>
      <c r="I7178" t="inlineStr">
        <is>
          <t>Nr</t>
        </is>
      </c>
      <c r="J7178" t="inlineStr"/>
      <c r="K7178" t="inlineStr"/>
      <c r="L7178" t="inlineStr">
        <is>
          <t>XP_018087341.1 UPF0462 protein C4orf33 homolog [Xenopus laevis]</t>
        </is>
      </c>
      <c r="M7178" t="n">
        <v>232</v>
      </c>
      <c r="N7178" t="inlineStr">
        <is>
          <t>Xenopus laevis</t>
        </is>
      </c>
      <c r="O7178" t="inlineStr">
        <is>
          <t>UPF0462 protein C4orf33 homolog</t>
        </is>
      </c>
    </row>
    <row r="7179">
      <c r="A7179" t="inlineStr"/>
      <c r="B7179" t="inlineStr"/>
      <c r="C7179" t="inlineStr"/>
      <c r="D7179" t="inlineStr"/>
      <c r="E7179">
        <f>HYPERLINK("https://www.uniprot.org/uniprotkb/Q28GP0/entry", "Q28GP0")</f>
        <v/>
      </c>
      <c r="F7179" t="n">
        <v>75.8</v>
      </c>
      <c r="G7179" t="n">
        <v>165</v>
      </c>
      <c r="H7179" t="n">
        <v>2.82e-93</v>
      </c>
      <c r="I7179" t="inlineStr">
        <is>
          <t>Swiss-Prot</t>
        </is>
      </c>
      <c r="J7179" t="inlineStr">
        <is>
          <t>TEgg072n04.1</t>
        </is>
      </c>
      <c r="K7179" t="inlineStr">
        <is>
          <t>CD033_XENTR</t>
        </is>
      </c>
      <c r="L7179" t="inlineStr">
        <is>
          <t>sp|Q28GP0|CD033_XENTR UPF0462 protein C4orf33 homolog OS=Xenopus tropicalis OX=8364 GN=TEgg072n04.1 PE=2 SV=1</t>
        </is>
      </c>
      <c r="M7179" t="n">
        <v>194</v>
      </c>
      <c r="N7179" t="inlineStr">
        <is>
          <t>Xenopus tropicalis</t>
        </is>
      </c>
      <c r="O7179" t="inlineStr">
        <is>
          <t>UPF0462 protein C4orf33 homolog</t>
        </is>
      </c>
    </row>
    <row r="7180">
      <c r="A7180" t="inlineStr"/>
      <c r="B7180" t="inlineStr"/>
      <c r="C7180" t="inlineStr"/>
      <c r="D7180" t="inlineStr"/>
      <c r="E7180">
        <f>HYPERLINK("https://www.uniprot.org/uniprotkb/A0A1L8HLY4/entry", "A0A1L8HLY4")</f>
        <v/>
      </c>
      <c r="F7180" t="n">
        <v>75.8</v>
      </c>
      <c r="G7180" t="n">
        <v>165</v>
      </c>
      <c r="H7180" t="n">
        <v>6.7e-92</v>
      </c>
      <c r="I7180" t="inlineStr">
        <is>
          <t>TrEMBL</t>
        </is>
      </c>
      <c r="J7180" t="inlineStr">
        <is>
          <t>c4orf33.1.S</t>
        </is>
      </c>
      <c r="K7180" t="inlineStr">
        <is>
          <t>A0A1L8HLY4_XENLA</t>
        </is>
      </c>
      <c r="L7180" t="inlineStr">
        <is>
          <t>tr|A0A1L8HLY4|A0A1L8HLY4_XENLA UPF0462 protein C4orf33 homolog OS=Xenopus laevis OX=8355 GN=c4orf33.1.S PE=4 SV=1</t>
        </is>
      </c>
      <c r="M7180" t="n">
        <v>194</v>
      </c>
      <c r="N7180" t="inlineStr">
        <is>
          <t>Xenopus laevis</t>
        </is>
      </c>
      <c r="O7180" t="inlineStr">
        <is>
          <t>UPF0462 protein C4orf33 homolog</t>
        </is>
      </c>
    </row>
    <row r="7181">
      <c r="A7181" t="inlineStr"/>
      <c r="B7181" t="inlineStr"/>
      <c r="C7181" t="inlineStr"/>
      <c r="D7181" t="inlineStr"/>
      <c r="E7181">
        <f>HYPERLINK("https://www.ncbi.nlm.nih.gov/gene/?term=XP_018098801.1", "XP_018098801.1")</f>
        <v/>
      </c>
      <c r="F7181" t="n">
        <v>75.8</v>
      </c>
      <c r="G7181" t="n">
        <v>165</v>
      </c>
      <c r="H7181" t="n">
        <v>1.72e-91</v>
      </c>
      <c r="I7181" t="inlineStr">
        <is>
          <t>Nr</t>
        </is>
      </c>
      <c r="J7181" t="inlineStr"/>
      <c r="K7181" t="inlineStr"/>
      <c r="L7181" t="inlineStr">
        <is>
          <t>XP_018098801.1 UPF0462 protein C4orf33 homolog [Xenopus laevis]</t>
        </is>
      </c>
      <c r="M7181" t="n">
        <v>194</v>
      </c>
      <c r="N7181" t="inlineStr">
        <is>
          <t>Xenopus laevis</t>
        </is>
      </c>
      <c r="O7181" t="inlineStr">
        <is>
          <t>UPF0462 protein C4orf33 homolog</t>
        </is>
      </c>
    </row>
    <row r="7182">
      <c r="A7182" t="inlineStr"/>
      <c r="B7182" t="inlineStr"/>
      <c r="C7182" t="inlineStr"/>
      <c r="D7182" t="inlineStr"/>
      <c r="E7182">
        <f>HYPERLINK("https://www.ncbi.nlm.nih.gov/gene/?term=KAE8630363.1", "KAE8630363.1")</f>
        <v/>
      </c>
      <c r="F7182" t="n">
        <v>76.40000000000001</v>
      </c>
      <c r="G7182" t="n">
        <v>165</v>
      </c>
      <c r="H7182" t="n">
        <v>2.6e-91</v>
      </c>
      <c r="I7182" t="inlineStr">
        <is>
          <t>Nr</t>
        </is>
      </c>
      <c r="J7182" t="inlineStr"/>
      <c r="K7182" t="inlineStr"/>
      <c r="L7182" t="inlineStr">
        <is>
          <t>KAE8630363.1 hypothetical protein XENTR_v10000798 [Xenopus tropicalis]</t>
        </is>
      </c>
      <c r="M7182" t="n">
        <v>165</v>
      </c>
      <c r="N7182" t="inlineStr">
        <is>
          <t>Xenopus tropicalis</t>
        </is>
      </c>
      <c r="O7182" t="inlineStr">
        <is>
          <t>hypothetical protein XENTR_v10000798</t>
        </is>
      </c>
    </row>
    <row r="7183">
      <c r="A7183" t="inlineStr"/>
      <c r="B7183" t="inlineStr"/>
      <c r="C7183" t="inlineStr"/>
      <c r="D7183" t="inlineStr"/>
      <c r="E7183">
        <f>HYPERLINK("https://www.ncbi.nlm.nih.gov/gene/?term=KAE8630362.1", "KAE8630362.1")</f>
        <v/>
      </c>
      <c r="F7183" t="n">
        <v>76.40000000000001</v>
      </c>
      <c r="G7183" t="n">
        <v>165</v>
      </c>
      <c r="H7183" t="n">
        <v>2.78e-91</v>
      </c>
      <c r="I7183" t="inlineStr">
        <is>
          <t>Nr</t>
        </is>
      </c>
      <c r="J7183" t="inlineStr"/>
      <c r="K7183" t="inlineStr"/>
      <c r="L7183" t="inlineStr">
        <is>
          <t>KAE8630362.1 hypothetical protein XENTR_v10000798 [Xenopus tropicalis]</t>
        </is>
      </c>
      <c r="M7183" t="n">
        <v>167</v>
      </c>
      <c r="N7183" t="inlineStr">
        <is>
          <t>Xenopus tropicalis</t>
        </is>
      </c>
      <c r="O7183" t="inlineStr">
        <is>
          <t>hypothetical protein XENTR_v10000798</t>
        </is>
      </c>
    </row>
    <row r="7184">
      <c r="A7184" t="inlineStr"/>
      <c r="B7184" t="inlineStr"/>
      <c r="C7184" t="inlineStr"/>
      <c r="D7184" t="inlineStr"/>
      <c r="E7184">
        <f>HYPERLINK("https://www.uniprot.org/uniprotkb/B0JZ62/entry", "B0JZ62")</f>
        <v/>
      </c>
      <c r="F7184" t="n">
        <v>75.8</v>
      </c>
      <c r="G7184" t="n">
        <v>165</v>
      </c>
      <c r="H7184" t="n">
        <v>1.11e-90</v>
      </c>
      <c r="I7184" t="inlineStr">
        <is>
          <t>TrEMBL</t>
        </is>
      </c>
      <c r="J7184" t="inlineStr">
        <is>
          <t>LOC549116</t>
        </is>
      </c>
      <c r="K7184" t="inlineStr">
        <is>
          <t>B0JZ62_XENTR</t>
        </is>
      </c>
      <c r="L7184" t="inlineStr">
        <is>
          <t>tr|B0JZ62|B0JZ62_XENTR UPF0462 protein C4orf33 homolog OS=Xenopus tropicalis OX=8364 GN=LOC549116 PE=2 SV=1</t>
        </is>
      </c>
      <c r="M7184" t="n">
        <v>194</v>
      </c>
      <c r="N7184" t="inlineStr">
        <is>
          <t>Xenopus tropicalis</t>
        </is>
      </c>
      <c r="O7184" t="inlineStr">
        <is>
          <t>UPF0462 protein C4orf33 homolog</t>
        </is>
      </c>
    </row>
    <row r="7185">
      <c r="A7185" t="inlineStr"/>
      <c r="B7185" t="inlineStr"/>
      <c r="C7185" t="inlineStr"/>
      <c r="D7185" t="inlineStr"/>
      <c r="E7185">
        <f>HYPERLINK("https://www.uniprot.org/uniprotkb/A0A803KJF1/entry", "A0A803KJF1")</f>
        <v/>
      </c>
      <c r="F7185" t="n">
        <v>76.40000000000001</v>
      </c>
      <c r="G7185" t="n">
        <v>165</v>
      </c>
      <c r="H7185" t="n">
        <v>1.33e-90</v>
      </c>
      <c r="I7185" t="inlineStr">
        <is>
          <t>TrEMBL</t>
        </is>
      </c>
      <c r="J7185" t="inlineStr">
        <is>
          <t>c4orf33.1</t>
        </is>
      </c>
      <c r="K7185" t="inlineStr">
        <is>
          <t>A0A803KJF1_XENTR</t>
        </is>
      </c>
      <c r="L7185" t="inlineStr">
        <is>
          <t>tr|A0A803KJF1|A0A803KJF1_XENTR Chromosome 4 open reading frame 33, gene 1 OS=Xenopus tropicalis OX=8364 GN=c4orf33.1 PE=4 SV=1</t>
        </is>
      </c>
      <c r="M7185" t="n">
        <v>241</v>
      </c>
      <c r="N7185" t="inlineStr">
        <is>
          <t>Xenopus tropicalis</t>
        </is>
      </c>
      <c r="O7185" t="inlineStr">
        <is>
          <t>Chromosome 4 open reading frame 33, gene 1</t>
        </is>
      </c>
    </row>
    <row r="7186">
      <c r="A7186" t="inlineStr"/>
      <c r="B7186" t="inlineStr"/>
      <c r="C7186" t="inlineStr"/>
      <c r="D7186" t="inlineStr"/>
      <c r="E7186">
        <f>HYPERLINK("https://www.uniprot.org/uniprotkb/A0A8J1JCU2/entry", "A0A8J1JCU2")</f>
        <v/>
      </c>
      <c r="F7186" t="n">
        <v>75.8</v>
      </c>
      <c r="G7186" t="n">
        <v>165</v>
      </c>
      <c r="H7186" t="n">
        <v>2.5e-90</v>
      </c>
      <c r="I7186" t="inlineStr">
        <is>
          <t>TrEMBL</t>
        </is>
      </c>
      <c r="J7186" t="inlineStr">
        <is>
          <t>c4orf33.1</t>
        </is>
      </c>
      <c r="K7186" t="inlineStr">
        <is>
          <t>A0A8J1JCU2_XENTR</t>
        </is>
      </c>
      <c r="L7186" t="inlineStr">
        <is>
          <t>tr|A0A8J1JCU2|A0A8J1JCU2_XENTR UPF0462 protein C4orf33 homolog isoform X2 OS=Xenopus tropicalis OX=8364 GN=c4orf33.1 PE=4 SV=1</t>
        </is>
      </c>
      <c r="M7186" t="n">
        <v>218</v>
      </c>
      <c r="N7186" t="inlineStr">
        <is>
          <t>Xenopus tropicalis</t>
        </is>
      </c>
      <c r="O7186" t="inlineStr">
        <is>
          <t>UPF0462 protein C4orf33 homolog isoform X2</t>
        </is>
      </c>
    </row>
    <row r="7187">
      <c r="A7187" t="inlineStr"/>
      <c r="B7187" t="inlineStr"/>
      <c r="C7187" t="inlineStr"/>
      <c r="D7187" t="inlineStr"/>
      <c r="E7187">
        <f>HYPERLINK("https://www.ncbi.nlm.nih.gov/gene/?term=NP_001016362.1", "NP_001016362.1")</f>
        <v/>
      </c>
      <c r="F7187" t="n">
        <v>75.8</v>
      </c>
      <c r="G7187" t="n">
        <v>165</v>
      </c>
      <c r="H7187" t="n">
        <v>2.84e-90</v>
      </c>
      <c r="I7187" t="inlineStr">
        <is>
          <t>Nr</t>
        </is>
      </c>
      <c r="J7187" t="inlineStr"/>
      <c r="K7187" t="inlineStr"/>
      <c r="L7187" t="inlineStr">
        <is>
          <t>NP_001016362.1 UPF0462 protein C4orf33 homolog [Xenopus tropicalis]</t>
        </is>
      </c>
      <c r="M7187" t="n">
        <v>194</v>
      </c>
      <c r="N7187" t="inlineStr">
        <is>
          <t>Xenopus tropicalis</t>
        </is>
      </c>
      <c r="O7187" t="inlineStr">
        <is>
          <t>UPF0462 protein C4orf33 homolog</t>
        </is>
      </c>
    </row>
    <row r="7188">
      <c r="A7188" t="inlineStr"/>
      <c r="B7188" t="inlineStr"/>
      <c r="C7188" t="inlineStr"/>
      <c r="D7188" t="inlineStr"/>
      <c r="E7188">
        <f>HYPERLINK("https://www.ncbi.nlm.nih.gov/gene/?term=XP_031755708.1", "XP_031755708.1")</f>
        <v/>
      </c>
      <c r="F7188" t="n">
        <v>75.8</v>
      </c>
      <c r="G7188" t="n">
        <v>165</v>
      </c>
      <c r="H7188" t="n">
        <v>6.42e-90</v>
      </c>
      <c r="I7188" t="inlineStr">
        <is>
          <t>Nr</t>
        </is>
      </c>
      <c r="J7188" t="inlineStr"/>
      <c r="K7188" t="inlineStr"/>
      <c r="L7188" t="inlineStr">
        <is>
          <t>XP_031755708.1 UPF0462 protein C4orf33 homolog isoform X2 [Xenopus tropicalis]</t>
        </is>
      </c>
      <c r="M7188" t="n">
        <v>218</v>
      </c>
      <c r="N7188" t="inlineStr">
        <is>
          <t>Xenopus tropicalis</t>
        </is>
      </c>
      <c r="O7188" t="inlineStr">
        <is>
          <t>UPF0462 protein C4orf33 homolog isoform X2</t>
        </is>
      </c>
    </row>
    <row r="7189">
      <c r="A7189" t="inlineStr"/>
      <c r="B7189" t="inlineStr"/>
      <c r="C7189" t="inlineStr"/>
      <c r="D7189" t="inlineStr"/>
      <c r="E7189">
        <f>HYPERLINK("https://www.uniprot.org/uniprotkb/A0A8T2KER1/entry", "A0A8T2KER1")</f>
        <v/>
      </c>
      <c r="F7189" t="n">
        <v>73.90000000000001</v>
      </c>
      <c r="G7189" t="n">
        <v>165</v>
      </c>
      <c r="H7189" t="n">
        <v>1.77e-89</v>
      </c>
      <c r="I7189" t="inlineStr">
        <is>
          <t>TrEMBL</t>
        </is>
      </c>
      <c r="J7189" t="inlineStr">
        <is>
          <t>GDO86_000500</t>
        </is>
      </c>
      <c r="K7189" t="inlineStr">
        <is>
          <t>A0A8T2KER1_9PIPI</t>
        </is>
      </c>
      <c r="L7189" t="inlineStr">
        <is>
          <t>tr|A0A8T2KER1|A0A8T2KER1_9PIPI UPF0462 protein C4orf33 homolog OS=Hymenochirus boettgeri OX=247094 GN=GDO86_000500 PE=4 SV=1</t>
        </is>
      </c>
      <c r="M7189" t="n">
        <v>193</v>
      </c>
      <c r="N7189" t="inlineStr">
        <is>
          <t>Hymenochirus boettgeri</t>
        </is>
      </c>
      <c r="O7189" t="inlineStr">
        <is>
          <t>UPF0462 protein C4orf33 homolog</t>
        </is>
      </c>
    </row>
    <row r="7190">
      <c r="A7190" t="inlineStr"/>
      <c r="B7190" t="inlineStr"/>
      <c r="C7190" t="inlineStr"/>
      <c r="D7190" t="inlineStr"/>
      <c r="E7190">
        <f>HYPERLINK("https://www.ncbi.nlm.nih.gov/gene/?term=KAG8453897.1", "KAG8453897.1")</f>
        <v/>
      </c>
      <c r="F7190" t="n">
        <v>73.90000000000001</v>
      </c>
      <c r="G7190" t="n">
        <v>165</v>
      </c>
      <c r="H7190" t="n">
        <v>4.549999999999999e-89</v>
      </c>
      <c r="I7190" t="inlineStr">
        <is>
          <t>Nr</t>
        </is>
      </c>
      <c r="J7190" t="inlineStr"/>
      <c r="K7190" t="inlineStr"/>
      <c r="L7190" t="inlineStr">
        <is>
          <t>KAG8453897.1 hypothetical protein GDO86_000500 [Hymenochirus boettgeri]</t>
        </is>
      </c>
      <c r="M7190" t="n">
        <v>193</v>
      </c>
      <c r="N7190" t="inlineStr">
        <is>
          <t>Hymenochirus boettgeri</t>
        </is>
      </c>
      <c r="O7190" t="inlineStr">
        <is>
          <t>hypothetical protein GDO86_000500</t>
        </is>
      </c>
    </row>
    <row r="7191">
      <c r="A7191" t="inlineStr"/>
      <c r="B7191" t="inlineStr"/>
      <c r="C7191" t="inlineStr"/>
      <c r="D7191" t="inlineStr"/>
      <c r="E7191">
        <f>HYPERLINK("https://www.ncbi.nlm.nih.gov/gene/?term=XP_053317286.1", "XP_053317286.1")</f>
        <v/>
      </c>
      <c r="F7191" t="n">
        <v>72.7</v>
      </c>
      <c r="G7191" t="n">
        <v>165</v>
      </c>
      <c r="H7191" t="n">
        <v>9.479999999999999e-89</v>
      </c>
      <c r="I7191" t="inlineStr">
        <is>
          <t>Nr</t>
        </is>
      </c>
      <c r="J7191" t="inlineStr"/>
      <c r="K7191" t="inlineStr"/>
      <c r="L7191" t="inlineStr">
        <is>
          <t>XP_053317286.1 UPF0462 protein C4orf33 homolog [Spea bombifrons]</t>
        </is>
      </c>
      <c r="M7191" t="n">
        <v>194</v>
      </c>
      <c r="N7191" t="inlineStr">
        <is>
          <t>Spea bombifrons</t>
        </is>
      </c>
      <c r="O7191" t="inlineStr">
        <is>
          <t>UPF0462 protein C4orf33 homolog</t>
        </is>
      </c>
    </row>
    <row r="7192">
      <c r="A7192" t="inlineStr"/>
      <c r="B7192" t="inlineStr"/>
      <c r="C7192" t="inlineStr"/>
      <c r="D7192" t="inlineStr"/>
      <c r="E7192">
        <f>HYPERLINK("https://www.uniprot.org/uniprotkb/A0A8J0T237/entry", "A0A8J0T237")</f>
        <v/>
      </c>
      <c r="F7192" t="n">
        <v>73.5</v>
      </c>
      <c r="G7192" t="n">
        <v>170</v>
      </c>
      <c r="H7192" t="n">
        <v>3.59e-88</v>
      </c>
      <c r="I7192" t="inlineStr">
        <is>
          <t>TrEMBL</t>
        </is>
      </c>
      <c r="J7192" t="inlineStr">
        <is>
          <t>c4orf33.1</t>
        </is>
      </c>
      <c r="K7192" t="inlineStr">
        <is>
          <t>A0A8J0T237_XENTR</t>
        </is>
      </c>
      <c r="L7192" t="inlineStr">
        <is>
          <t>tr|A0A8J0T237|A0A8J0T237_XENTR UPF0462 protein C4orf33 homolog isoform X3 OS=Xenopus tropicalis OX=8364 GN=c4orf33.1 PE=4 SV=1</t>
        </is>
      </c>
      <c r="M7192" t="n">
        <v>199</v>
      </c>
      <c r="N7192" t="inlineStr">
        <is>
          <t>Xenopus tropicalis</t>
        </is>
      </c>
      <c r="O7192" t="inlineStr">
        <is>
          <t>UPF0462 protein C4orf33 homolog isoform X3</t>
        </is>
      </c>
    </row>
    <row r="7193">
      <c r="A7193" t="inlineStr"/>
      <c r="B7193" t="inlineStr"/>
      <c r="C7193" t="inlineStr"/>
      <c r="D7193" t="inlineStr"/>
      <c r="E7193">
        <f>HYPERLINK("https://www.uniprot.org/uniprotkb/A0A8J1JCU9/entry", "A0A8J1JCU9")</f>
        <v/>
      </c>
      <c r="F7193" t="n">
        <v>73.5</v>
      </c>
      <c r="G7193" t="n">
        <v>170</v>
      </c>
      <c r="H7193" t="n">
        <v>8.05e-88</v>
      </c>
      <c r="I7193" t="inlineStr">
        <is>
          <t>TrEMBL</t>
        </is>
      </c>
      <c r="J7193" t="inlineStr">
        <is>
          <t>c4orf33.1</t>
        </is>
      </c>
      <c r="K7193" t="inlineStr">
        <is>
          <t>A0A8J1JCU9_XENTR</t>
        </is>
      </c>
      <c r="L7193" t="inlineStr">
        <is>
          <t>tr|A0A8J1JCU9|A0A8J1JCU9_XENTR UPF0462 protein C4orf33 homolog isoform X1 OS=Xenopus tropicalis OX=8364 GN=c4orf33.1 PE=4 SV=1</t>
        </is>
      </c>
      <c r="M7193" t="n">
        <v>223</v>
      </c>
      <c r="N7193" t="inlineStr">
        <is>
          <t>Xenopus tropicalis</t>
        </is>
      </c>
      <c r="O7193" t="inlineStr">
        <is>
          <t>UPF0462 protein C4orf33 homolog isoform X1</t>
        </is>
      </c>
    </row>
    <row r="7194">
      <c r="A7194" t="inlineStr"/>
      <c r="B7194" t="inlineStr"/>
      <c r="C7194" t="inlineStr"/>
      <c r="D7194" t="inlineStr"/>
      <c r="E7194">
        <f>HYPERLINK("https://www.ncbi.nlm.nih.gov/gene/?term=XP_017948645.2", "XP_017948645.2")</f>
        <v/>
      </c>
      <c r="F7194" t="n">
        <v>73.5</v>
      </c>
      <c r="G7194" t="n">
        <v>170</v>
      </c>
      <c r="H7194" t="n">
        <v>9.21e-88</v>
      </c>
      <c r="I7194" t="inlineStr">
        <is>
          <t>Nr</t>
        </is>
      </c>
      <c r="J7194" t="inlineStr"/>
      <c r="K7194" t="inlineStr"/>
      <c r="L7194" t="inlineStr">
        <is>
          <t>XP_017948645.2 UPF0462 protein C4orf33 homolog isoform X3 [Xenopus tropicalis]</t>
        </is>
      </c>
      <c r="M7194" t="n">
        <v>199</v>
      </c>
      <c r="N7194" t="inlineStr">
        <is>
          <t>Xenopus tropicalis</t>
        </is>
      </c>
      <c r="O7194" t="inlineStr">
        <is>
          <t>UPF0462 protein C4orf33 homolog isoform X3</t>
        </is>
      </c>
    </row>
    <row r="7195">
      <c r="A7195" t="inlineStr"/>
      <c r="B7195" t="inlineStr"/>
      <c r="C7195" t="inlineStr"/>
      <c r="D7195" t="inlineStr"/>
      <c r="E7195">
        <f>HYPERLINK("https://www.ncbi.nlm.nih.gov/gene/?term=XP_031755707.1", "XP_031755707.1")</f>
        <v/>
      </c>
      <c r="F7195" t="n">
        <v>73.5</v>
      </c>
      <c r="G7195" t="n">
        <v>170</v>
      </c>
      <c r="H7195" t="n">
        <v>2.07e-87</v>
      </c>
      <c r="I7195" t="inlineStr">
        <is>
          <t>Nr</t>
        </is>
      </c>
      <c r="J7195" t="inlineStr"/>
      <c r="K7195" t="inlineStr"/>
      <c r="L7195" t="inlineStr">
        <is>
          <t>XP_031755707.1 UPF0462 protein C4orf33 homolog isoform X1 [Xenopus tropicalis]</t>
        </is>
      </c>
      <c r="M7195" t="n">
        <v>223</v>
      </c>
      <c r="N7195" t="inlineStr">
        <is>
          <t>Xenopus tropicalis</t>
        </is>
      </c>
      <c r="O7195" t="inlineStr">
        <is>
          <t>UPF0462 protein C4orf33 homolog isoform X1</t>
        </is>
      </c>
    </row>
    <row r="7196">
      <c r="A7196" t="inlineStr"/>
      <c r="B7196" t="inlineStr"/>
      <c r="C7196" t="inlineStr"/>
      <c r="D7196" t="inlineStr"/>
      <c r="E7196">
        <f>HYPERLINK("https://www.ncbi.nlm.nih.gov/gene/?term=XP_018415796.1", "XP_018415796.1")</f>
        <v/>
      </c>
      <c r="F7196" t="n">
        <v>73.3</v>
      </c>
      <c r="G7196" t="n">
        <v>165</v>
      </c>
      <c r="H7196" t="n">
        <v>3.16e-87</v>
      </c>
      <c r="I7196" t="inlineStr">
        <is>
          <t>Nr</t>
        </is>
      </c>
      <c r="J7196" t="inlineStr"/>
      <c r="K7196" t="inlineStr"/>
      <c r="L7196" t="inlineStr">
        <is>
          <t>XP_018415796.1 PREDICTED: UPF0462 protein C4orf33 homolog [Nanorana parkeri]</t>
        </is>
      </c>
      <c r="M7196" t="n">
        <v>194</v>
      </c>
      <c r="N7196" t="inlineStr">
        <is>
          <t>Nanorana parkeri</t>
        </is>
      </c>
      <c r="O7196" t="inlineStr">
        <is>
          <t>PREDICTED: UPF0462 protein C4orf33 homolog</t>
        </is>
      </c>
    </row>
    <row r="7197">
      <c r="A7197" t="inlineStr"/>
      <c r="B7197" t="inlineStr"/>
      <c r="C7197" t="inlineStr"/>
      <c r="D7197" t="inlineStr"/>
      <c r="E7197">
        <f>HYPERLINK("https://www.ncbi.nlm.nih.gov/gene/?term=XP_040186790.1", "XP_040186790.1")</f>
        <v/>
      </c>
      <c r="F7197" t="n">
        <v>73.90000000000001</v>
      </c>
      <c r="G7197" t="n">
        <v>165</v>
      </c>
      <c r="H7197" t="n">
        <v>3.16e-87</v>
      </c>
      <c r="I7197" t="inlineStr">
        <is>
          <t>Nr</t>
        </is>
      </c>
      <c r="J7197" t="inlineStr"/>
      <c r="K7197" t="inlineStr"/>
      <c r="L7197" t="inlineStr">
        <is>
          <t>XP_040186790.1 UPF0462 protein C4orf33 homolog [Rana temporaria]</t>
        </is>
      </c>
      <c r="M7197" t="n">
        <v>194</v>
      </c>
      <c r="N7197" t="inlineStr">
        <is>
          <t>Rana temporaria</t>
        </is>
      </c>
      <c r="O7197" t="inlineStr">
        <is>
          <t>UPF0462 protein C4orf33 homolog</t>
        </is>
      </c>
    </row>
    <row r="7198">
      <c r="A7198" t="inlineStr"/>
      <c r="B7198" t="inlineStr"/>
      <c r="C7198" t="inlineStr"/>
      <c r="D7198" t="inlineStr"/>
      <c r="E7198">
        <f>HYPERLINK("https://www.uniprot.org/uniprotkb/A0A7K9PEU9/entry", "A0A7K9PEU9")</f>
        <v/>
      </c>
      <c r="F7198" t="n">
        <v>69.7</v>
      </c>
      <c r="G7198" t="n">
        <v>165</v>
      </c>
      <c r="H7198" t="n">
        <v>1.97e-85</v>
      </c>
      <c r="I7198" t="inlineStr">
        <is>
          <t>TrEMBL</t>
        </is>
      </c>
      <c r="J7198" t="inlineStr">
        <is>
          <t>PACPHI_R06624</t>
        </is>
      </c>
      <c r="K7198" t="inlineStr">
        <is>
          <t>A0A7K9PEU9_9CORV</t>
        </is>
      </c>
      <c r="L7198" t="inlineStr">
        <is>
          <t>tr|A0A7K9PEU9|A0A7K9PEU9_9CORV CD033 protein (Fragment) OS=Pachycephala philippinensis OX=449367 GN=PACPHI_R06624 PE=4 SV=1</t>
        </is>
      </c>
      <c r="M7198" t="n">
        <v>199</v>
      </c>
      <c r="N7198" t="inlineStr">
        <is>
          <t>Pachycephala philippinensis</t>
        </is>
      </c>
      <c r="O7198" t="inlineStr">
        <is>
          <t>CD033 protein (Fragment)</t>
        </is>
      </c>
    </row>
    <row r="7199">
      <c r="A7199" t="inlineStr"/>
      <c r="B7199" t="inlineStr"/>
      <c r="C7199" t="inlineStr"/>
      <c r="D7199" t="inlineStr"/>
      <c r="E7199">
        <f>HYPERLINK("https://www.ncbi.nlm.nih.gov/gene/?term=NXH97804.1", "NXH97804.1")</f>
        <v/>
      </c>
      <c r="F7199" t="n">
        <v>69.7</v>
      </c>
      <c r="G7199" t="n">
        <v>165</v>
      </c>
      <c r="H7199" t="n">
        <v>5.07e-85</v>
      </c>
      <c r="I7199" t="inlineStr">
        <is>
          <t>Nr</t>
        </is>
      </c>
      <c r="J7199" t="inlineStr"/>
      <c r="K7199" t="inlineStr"/>
      <c r="L7199" t="inlineStr">
        <is>
          <t>NXH97804.1 CD033 protein [Pachycephala philippinensis]</t>
        </is>
      </c>
      <c r="M7199" t="n">
        <v>199</v>
      </c>
      <c r="N7199" t="inlineStr">
        <is>
          <t>Pachycephala philippinensis</t>
        </is>
      </c>
      <c r="O7199" t="inlineStr">
        <is>
          <t>CD033 protein</t>
        </is>
      </c>
    </row>
    <row r="7200">
      <c r="A7200" t="inlineStr"/>
      <c r="B7200" t="inlineStr"/>
      <c r="C7200" t="inlineStr"/>
      <c r="D7200" t="inlineStr"/>
      <c r="E7200">
        <f>HYPERLINK("https://www.ncbi.nlm.nih.gov/gene/?term=XP_044156942.1", "XP_044156942.1")</f>
        <v/>
      </c>
      <c r="F7200" t="n">
        <v>72.09999999999999</v>
      </c>
      <c r="G7200" t="n">
        <v>165</v>
      </c>
      <c r="H7200" t="n">
        <v>1.32e-84</v>
      </c>
      <c r="I7200" t="inlineStr">
        <is>
          <t>Nr</t>
        </is>
      </c>
      <c r="J7200" t="inlineStr"/>
      <c r="K7200" t="inlineStr"/>
      <c r="L7200" t="inlineStr">
        <is>
          <t>XP_044156942.1 UPF0462 protein C4orf33 homolog isoform X2 [Bufo gargarizans]</t>
        </is>
      </c>
      <c r="M7200" t="n">
        <v>165</v>
      </c>
      <c r="N7200" t="inlineStr">
        <is>
          <t>Bufo gargarizans</t>
        </is>
      </c>
      <c r="O7200" t="inlineStr">
        <is>
          <t>UPF0462 protein C4orf33 homolog isoform X2</t>
        </is>
      </c>
    </row>
    <row r="7201">
      <c r="A7201" t="inlineStr"/>
      <c r="B7201" t="inlineStr"/>
      <c r="C7201" t="inlineStr"/>
      <c r="D7201" t="inlineStr"/>
      <c r="E7201">
        <f>HYPERLINK("https://www.uniprot.org/uniprotkb/A0A850X3U7/entry", "A0A850X3U7")</f>
        <v/>
      </c>
      <c r="F7201" t="n">
        <v>69.09999999999999</v>
      </c>
      <c r="G7201" t="n">
        <v>165</v>
      </c>
      <c r="H7201" t="n">
        <v>6.35e-84</v>
      </c>
      <c r="I7201" t="inlineStr">
        <is>
          <t>TrEMBL</t>
        </is>
      </c>
      <c r="J7201" t="inlineStr">
        <is>
          <t>PIACAY_R01420</t>
        </is>
      </c>
      <c r="K7201" t="inlineStr">
        <is>
          <t>A0A850X3U7_PIACA</t>
        </is>
      </c>
      <c r="L7201" t="inlineStr">
        <is>
          <t>tr|A0A850X3U7|A0A850X3U7_PIACA CD033 protein (Fragment) OS=Piaya cayana OX=33601 GN=PIACAY_R01420 PE=4 SV=1</t>
        </is>
      </c>
      <c r="M7201" t="n">
        <v>198</v>
      </c>
      <c r="N7201" t="inlineStr">
        <is>
          <t>Piaya cayana</t>
        </is>
      </c>
      <c r="O7201" t="inlineStr">
        <is>
          <t>CD033 protein (Fragment)</t>
        </is>
      </c>
    </row>
    <row r="7202">
      <c r="A7202" t="inlineStr"/>
      <c r="B7202" t="inlineStr"/>
      <c r="C7202" t="inlineStr"/>
      <c r="D7202" t="inlineStr"/>
      <c r="E7202">
        <f>HYPERLINK("https://www.uniprot.org/uniprotkb/A0A850XYU5/entry", "A0A850XYU5")</f>
        <v/>
      </c>
      <c r="F7202" t="n">
        <v>69.7</v>
      </c>
      <c r="G7202" t="n">
        <v>165</v>
      </c>
      <c r="H7202" t="n">
        <v>8.149999999999999e-84</v>
      </c>
      <c r="I7202" t="inlineStr">
        <is>
          <t>TrEMBL</t>
        </is>
      </c>
      <c r="J7202" t="inlineStr">
        <is>
          <t>AEGCAU_R11341</t>
        </is>
      </c>
      <c r="K7202" t="inlineStr">
        <is>
          <t>A0A850XYU5_AEGCA</t>
        </is>
      </c>
      <c r="L7202" t="inlineStr">
        <is>
          <t>tr|A0A850XYU5|A0A850XYU5_AEGCA CD033 protein (Fragment) OS=Aegithalos caudatus OX=73327 GN=AEGCAU_R11341 PE=4 SV=1</t>
        </is>
      </c>
      <c r="M7202" t="n">
        <v>195</v>
      </c>
      <c r="N7202" t="inlineStr">
        <is>
          <t>Aegithalos caudatus</t>
        </is>
      </c>
      <c r="O7202" t="inlineStr">
        <is>
          <t>CD033 protein (Fragment)</t>
        </is>
      </c>
    </row>
    <row r="7203">
      <c r="A7203" t="inlineStr"/>
      <c r="B7203" t="inlineStr"/>
      <c r="C7203" t="inlineStr"/>
      <c r="D7203" t="inlineStr"/>
      <c r="E7203">
        <f>HYPERLINK("https://www.uniprot.org/uniprotkb/A0A7K6P4Q9/entry", "A0A7K6P4Q9")</f>
        <v/>
      </c>
      <c r="F7203" t="n">
        <v>69.09999999999999</v>
      </c>
      <c r="G7203" t="n">
        <v>165</v>
      </c>
      <c r="H7203" t="n">
        <v>9.32e-84</v>
      </c>
      <c r="I7203" t="inlineStr">
        <is>
          <t>TrEMBL</t>
        </is>
      </c>
      <c r="J7203" t="inlineStr">
        <is>
          <t>IFRKOW_R04625</t>
        </is>
      </c>
      <c r="K7203" t="inlineStr">
        <is>
          <t>A0A7K6P4Q9_9CORV</t>
        </is>
      </c>
      <c r="L7203" t="inlineStr">
        <is>
          <t>tr|A0A7K6P4Q9|A0A7K6P4Q9_9CORV CD033 protein (Fragment) OS=Ifrita kowaldi OX=461245 GN=IFRKOW_R04625 PE=4 SV=1</t>
        </is>
      </c>
      <c r="M7203" t="n">
        <v>199</v>
      </c>
      <c r="N7203" t="inlineStr">
        <is>
          <t>Ifrita kowaldi</t>
        </is>
      </c>
      <c r="O7203" t="inlineStr">
        <is>
          <t>CD033 protein (Fragment)</t>
        </is>
      </c>
    </row>
    <row r="7204">
      <c r="A7204" t="inlineStr"/>
      <c r="B7204" t="inlineStr"/>
      <c r="C7204" t="inlineStr"/>
      <c r="D7204" t="inlineStr"/>
      <c r="E7204">
        <f>HYPERLINK("https://www.uniprot.org/uniprotkb/A0A8D2Q1R3/entry", "A0A8D2Q1R3")</f>
        <v/>
      </c>
      <c r="F7204" t="n">
        <v>69.09999999999999</v>
      </c>
      <c r="G7204" t="n">
        <v>165</v>
      </c>
      <c r="H7204" t="n">
        <v>1.24e-83</v>
      </c>
      <c r="I7204" t="inlineStr">
        <is>
          <t>TrEMBL</t>
        </is>
      </c>
      <c r="J7204" t="inlineStr"/>
      <c r="K7204" t="inlineStr">
        <is>
          <t>A0A8D2Q1R3_ZOSLA</t>
        </is>
      </c>
      <c r="L7204" t="inlineStr">
        <is>
          <t>tr|A0A8D2Q1R3|A0A8D2Q1R3_ZOSLA Chromosome 4 open reading frame 33 OS=Zosterops lateralis melanops OX=1220523 PE=4 SV=1</t>
        </is>
      </c>
      <c r="M7204" t="n">
        <v>197</v>
      </c>
      <c r="N7204" t="inlineStr">
        <is>
          <t>Zosterops lateralis melanops</t>
        </is>
      </c>
      <c r="O7204" t="inlineStr">
        <is>
          <t>Chromosome 4 open reading frame 33</t>
        </is>
      </c>
    </row>
    <row r="7205">
      <c r="A7205" t="inlineStr"/>
      <c r="B7205" t="inlineStr"/>
      <c r="C7205" t="inlineStr"/>
      <c r="D7205" t="inlineStr"/>
      <c r="E7205">
        <f>HYPERLINK("https://www.uniprot.org/uniprotkb/A0A7K6LVS4/entry", "A0A7K6LVS4")</f>
        <v/>
      </c>
      <c r="F7205" t="n">
        <v>69.09999999999999</v>
      </c>
      <c r="G7205" t="n">
        <v>165</v>
      </c>
      <c r="H7205" t="n">
        <v>1.32e-83</v>
      </c>
      <c r="I7205" t="inlineStr">
        <is>
          <t>TrEMBL</t>
        </is>
      </c>
      <c r="J7205" t="inlineStr">
        <is>
          <t>FALFRO_R11295</t>
        </is>
      </c>
      <c r="K7205" t="inlineStr">
        <is>
          <t>A0A7K6LVS4_9CORV</t>
        </is>
      </c>
      <c r="L7205" t="inlineStr">
        <is>
          <t>tr|A0A7K6LVS4|A0A7K6LVS4_9CORV CD033 protein (Fragment) OS=Falcunculus frontatus OX=254539 GN=FALFRO_R11295 PE=4 SV=1</t>
        </is>
      </c>
      <c r="M7205" t="n">
        <v>199</v>
      </c>
      <c r="N7205" t="inlineStr">
        <is>
          <t>Falcunculus frontatus</t>
        </is>
      </c>
      <c r="O7205" t="inlineStr">
        <is>
          <t>CD033 protein (Fragment)</t>
        </is>
      </c>
    </row>
    <row r="7206">
      <c r="A7206" t="inlineStr"/>
      <c r="B7206" t="inlineStr"/>
      <c r="C7206" t="inlineStr"/>
      <c r="D7206" t="inlineStr"/>
      <c r="E7206">
        <f>HYPERLINK("https://www.ncbi.nlm.nih.gov/gene/?term=XP_044156926.1", "XP_044156926.1")</f>
        <v/>
      </c>
      <c r="F7206" t="n">
        <v>71.5</v>
      </c>
      <c r="G7206" t="n">
        <v>165</v>
      </c>
      <c r="H7206" t="n">
        <v>1.43e-83</v>
      </c>
      <c r="I7206" t="inlineStr">
        <is>
          <t>Nr</t>
        </is>
      </c>
      <c r="J7206" t="inlineStr"/>
      <c r="K7206" t="inlineStr"/>
      <c r="L7206" t="inlineStr">
        <is>
          <t>XP_044156926.1 UPF0462 protein C4orf33 homolog isoform X1 [Bufo gargarizans]</t>
        </is>
      </c>
      <c r="M7206" t="n">
        <v>194</v>
      </c>
      <c r="N7206" t="inlineStr">
        <is>
          <t>Bufo gargarizans</t>
        </is>
      </c>
      <c r="O7206" t="inlineStr">
        <is>
          <t>UPF0462 protein C4orf33 homolog isoform X1</t>
        </is>
      </c>
    </row>
    <row r="7207">
      <c r="A7207" t="inlineStr"/>
      <c r="B7207" t="inlineStr"/>
      <c r="C7207" t="inlineStr"/>
      <c r="D7207" t="inlineStr"/>
      <c r="E7207">
        <f>HYPERLINK("https://www.ncbi.nlm.nih.gov/gene/?term=XP_040276441.1", "XP_040276441.1")</f>
        <v/>
      </c>
      <c r="F7207" t="n">
        <v>71.5</v>
      </c>
      <c r="G7207" t="n">
        <v>165</v>
      </c>
      <c r="H7207" t="n">
        <v>1.43e-83</v>
      </c>
      <c r="I7207" t="inlineStr">
        <is>
          <t>Nr</t>
        </is>
      </c>
      <c r="J7207" t="inlineStr"/>
      <c r="K7207" t="inlineStr"/>
      <c r="L7207" t="inlineStr">
        <is>
          <t>XP_040276441.1 UPF0462 protein C4orf33 homolog [Bufo bufo]</t>
        </is>
      </c>
      <c r="M7207" t="n">
        <v>194</v>
      </c>
      <c r="N7207" t="inlineStr">
        <is>
          <t>Bufo bufo</t>
        </is>
      </c>
      <c r="O7207" t="inlineStr">
        <is>
          <t>UPF0462 protein C4orf33 homolog</t>
        </is>
      </c>
    </row>
    <row r="7208">
      <c r="A7208" t="inlineStr"/>
      <c r="B7208" t="inlineStr"/>
      <c r="C7208" t="inlineStr"/>
      <c r="D7208" t="inlineStr"/>
      <c r="E7208">
        <f>HYPERLINK("https://www.ncbi.nlm.nih.gov/gene/?term=NWH73573.1", "NWH73573.1")</f>
        <v/>
      </c>
      <c r="F7208" t="n">
        <v>69.09999999999999</v>
      </c>
      <c r="G7208" t="n">
        <v>165</v>
      </c>
      <c r="H7208" t="n">
        <v>1.63e-83</v>
      </c>
      <c r="I7208" t="inlineStr">
        <is>
          <t>Nr</t>
        </is>
      </c>
      <c r="J7208" t="inlineStr"/>
      <c r="K7208" t="inlineStr"/>
      <c r="L7208" t="inlineStr">
        <is>
          <t>NWH73573.1 CD033 protein [Piaya cayana]</t>
        </is>
      </c>
      <c r="M7208" t="n">
        <v>198</v>
      </c>
      <c r="N7208" t="inlineStr">
        <is>
          <t>Piaya cayana</t>
        </is>
      </c>
      <c r="O7208" t="inlineStr">
        <is>
          <t>CD033 protein</t>
        </is>
      </c>
    </row>
    <row r="7209">
      <c r="A7209" t="inlineStr"/>
      <c r="B7209" t="inlineStr"/>
      <c r="C7209" t="inlineStr"/>
      <c r="D7209" t="inlineStr"/>
      <c r="E7209">
        <f>HYPERLINK("https://www.uniprot.org/uniprotkb/A0A8K1LIB3/entry", "A0A8K1LIB3")</f>
        <v/>
      </c>
      <c r="F7209" t="n">
        <v>69.09999999999999</v>
      </c>
      <c r="G7209" t="n">
        <v>165</v>
      </c>
      <c r="H7209" t="n">
        <v>1.73e-83</v>
      </c>
      <c r="I7209" t="inlineStr">
        <is>
          <t>TrEMBL</t>
        </is>
      </c>
      <c r="J7209" t="inlineStr">
        <is>
          <t>HGM15179_012194</t>
        </is>
      </c>
      <c r="K7209" t="inlineStr">
        <is>
          <t>A0A8K1LIB3_9PASS</t>
        </is>
      </c>
      <c r="L7209" t="inlineStr">
        <is>
          <t>tr|A0A8K1LIB3|A0A8K1LIB3_9PASS CD033 protein OS=Zosterops borbonicus OX=364589 GN=HGM15179_012194 PE=4 SV=1</t>
        </is>
      </c>
      <c r="M7209" t="n">
        <v>207</v>
      </c>
      <c r="N7209" t="inlineStr">
        <is>
          <t>Zosterops borbonicus</t>
        </is>
      </c>
      <c r="O7209" t="inlineStr">
        <is>
          <t>CD033 protein</t>
        </is>
      </c>
    </row>
    <row r="7210">
      <c r="A7210" t="inlineStr"/>
      <c r="B7210" t="inlineStr"/>
      <c r="C7210" t="inlineStr"/>
      <c r="D7210" t="inlineStr"/>
      <c r="E7210">
        <f>HYPERLINK("https://www.uniprot.org/uniprotkb/A0A7L4EVV6/entry", "A0A7L4EVV6")</f>
        <v/>
      </c>
      <c r="F7210" t="n">
        <v>69.7</v>
      </c>
      <c r="G7210" t="n">
        <v>165</v>
      </c>
      <c r="H7210" t="n">
        <v>1.88e-83</v>
      </c>
      <c r="I7210" t="inlineStr">
        <is>
          <t>TrEMBL</t>
        </is>
      </c>
      <c r="J7210" t="inlineStr">
        <is>
          <t>HIRRUS_R12993</t>
        </is>
      </c>
      <c r="K7210" t="inlineStr">
        <is>
          <t>A0A7L4EVV6_HIRRU</t>
        </is>
      </c>
      <c r="L7210" t="inlineStr">
        <is>
          <t>tr|A0A7L4EVV6|A0A7L4EVV6_HIRRU CD033 protein (Fragment) OS=Hirundo rustica OX=43150 GN=HIRRUS_R12993 PE=4 SV=1</t>
        </is>
      </c>
      <c r="M7210" t="n">
        <v>199</v>
      </c>
      <c r="N7210" t="inlineStr">
        <is>
          <t>Hirundo rustica</t>
        </is>
      </c>
      <c r="O7210" t="inlineStr">
        <is>
          <t>CD033 protein (Fragment)</t>
        </is>
      </c>
    </row>
    <row r="7211">
      <c r="A7211" t="inlineStr"/>
      <c r="B7211" t="inlineStr"/>
      <c r="C7211" t="inlineStr"/>
      <c r="D7211" t="inlineStr"/>
      <c r="E7211">
        <f>HYPERLINK("https://www.uniprot.org/uniprotkb/A0A7K8IS38/entry", "A0A7K8IS38")</f>
        <v/>
      </c>
      <c r="F7211" t="n">
        <v>69.09999999999999</v>
      </c>
      <c r="G7211" t="n">
        <v>165</v>
      </c>
      <c r="H7211" t="n">
        <v>1.88e-83</v>
      </c>
      <c r="I7211" t="inlineStr">
        <is>
          <t>TrEMBL</t>
        </is>
      </c>
      <c r="J7211" t="inlineStr">
        <is>
          <t>CHAPAP_R02147</t>
        </is>
      </c>
      <c r="K7211" t="inlineStr">
        <is>
          <t>A0A7K8IS38_9PASS</t>
        </is>
      </c>
      <c r="L7211" t="inlineStr">
        <is>
          <t>tr|A0A7K8IS38|A0A7K8IS38_9PASS CD033 protein (Fragment) OS=Chaetorhynchus papuensis OX=254446 GN=CHAPAP_R02147 PE=4 SV=1</t>
        </is>
      </c>
      <c r="M7211" t="n">
        <v>199</v>
      </c>
      <c r="N7211" t="inlineStr">
        <is>
          <t>Chaetorhynchus papuensis</t>
        </is>
      </c>
      <c r="O7211" t="inlineStr">
        <is>
          <t>CD033 protein (Fragment)</t>
        </is>
      </c>
    </row>
    <row r="7212">
      <c r="A7212" t="inlineStr"/>
      <c r="B7212" t="inlineStr"/>
      <c r="C7212" t="inlineStr"/>
      <c r="D7212" t="inlineStr"/>
      <c r="E7212">
        <f>HYPERLINK("https://www.uniprot.org/uniprotkb/A0A7K6KN22/entry", "A0A7K6KN22")</f>
        <v/>
      </c>
      <c r="F7212" t="n">
        <v>69.09999999999999</v>
      </c>
      <c r="G7212" t="n">
        <v>165</v>
      </c>
      <c r="H7212" t="n">
        <v>1.88e-83</v>
      </c>
      <c r="I7212" t="inlineStr">
        <is>
          <t>TrEMBL</t>
        </is>
      </c>
      <c r="J7212" t="inlineStr">
        <is>
          <t>OREARF_R00353</t>
        </is>
      </c>
      <c r="K7212" t="inlineStr">
        <is>
          <t>A0A7K6KN22_9PASE</t>
        </is>
      </c>
      <c r="L7212" t="inlineStr">
        <is>
          <t>tr|A0A7K6KN22|A0A7K6KN22_9PASE CD033 protein (Fragment) OS=Oreocharis arfaki OX=979223 GN=OREARF_R00353 PE=4 SV=1</t>
        </is>
      </c>
      <c r="M7212" t="n">
        <v>199</v>
      </c>
      <c r="N7212" t="inlineStr">
        <is>
          <t>Oreocharis arfaki</t>
        </is>
      </c>
      <c r="O7212" t="inlineStr">
        <is>
          <t>CD033 protein (Fragment)</t>
        </is>
      </c>
    </row>
    <row r="7213">
      <c r="A7213" t="inlineStr"/>
      <c r="B7213" t="inlineStr"/>
      <c r="C7213" t="inlineStr"/>
      <c r="D7213" t="inlineStr"/>
      <c r="E7213">
        <f>HYPERLINK("https://www.uniprot.org/uniprotkb/A0A7L2KKF8/entry", "A0A7L2KKF8")</f>
        <v/>
      </c>
      <c r="F7213" t="n">
        <v>69.09999999999999</v>
      </c>
      <c r="G7213" t="n">
        <v>165</v>
      </c>
      <c r="H7213" t="n">
        <v>1.88e-83</v>
      </c>
      <c r="I7213" t="inlineStr">
        <is>
          <t>TrEMBL</t>
        </is>
      </c>
      <c r="J7213" t="inlineStr">
        <is>
          <t>ZOSHYP_R12059</t>
        </is>
      </c>
      <c r="K7213" t="inlineStr">
        <is>
          <t>A0A7L2KKF8_9PASS</t>
        </is>
      </c>
      <c r="L7213" t="inlineStr">
        <is>
          <t>tr|A0A7L2KKF8|A0A7L2KKF8_9PASS CD033 protein (Fragment) OS=Zosterops hypoxanthus OX=2485327 GN=ZOSHYP_R12059 PE=4 SV=1</t>
        </is>
      </c>
      <c r="M7213" t="n">
        <v>199</v>
      </c>
      <c r="N7213" t="inlineStr">
        <is>
          <t>Zosterops hypoxanthus</t>
        </is>
      </c>
      <c r="O7213" t="inlineStr">
        <is>
          <t>CD033 protein (Fragment)</t>
        </is>
      </c>
    </row>
    <row r="7214">
      <c r="A7214" t="inlineStr"/>
      <c r="B7214" t="inlineStr"/>
      <c r="C7214" t="inlineStr"/>
      <c r="D7214" t="inlineStr"/>
      <c r="E7214">
        <f>HYPERLINK("https://www.ncbi.nlm.nih.gov/gene/?term=NWH86252.1", "NWH86252.1")</f>
        <v/>
      </c>
      <c r="F7214" t="n">
        <v>69.7</v>
      </c>
      <c r="G7214" t="n">
        <v>165</v>
      </c>
      <c r="H7214" t="n">
        <v>2.09e-83</v>
      </c>
      <c r="I7214" t="inlineStr">
        <is>
          <t>Nr</t>
        </is>
      </c>
      <c r="J7214" t="inlineStr"/>
      <c r="K7214" t="inlineStr"/>
      <c r="L7214" t="inlineStr">
        <is>
          <t>NWH86252.1 CD033 protein [Aegithalos caudatus]</t>
        </is>
      </c>
      <c r="M7214" t="n">
        <v>195</v>
      </c>
      <c r="N7214" t="inlineStr">
        <is>
          <t>Aegithalos caudatus</t>
        </is>
      </c>
      <c r="O7214" t="inlineStr">
        <is>
          <t>CD033 protein</t>
        </is>
      </c>
    </row>
    <row r="7215">
      <c r="A7215" t="inlineStr"/>
      <c r="B7215" t="inlineStr"/>
      <c r="C7215" t="inlineStr"/>
      <c r="D7215" t="inlineStr"/>
      <c r="E7215">
        <f>HYPERLINK("https://www.ncbi.nlm.nih.gov/gene/?term=KAG8592762.1", "KAG8592762.1")</f>
        <v/>
      </c>
      <c r="F7215" t="n">
        <v>67.3</v>
      </c>
      <c r="G7215" t="n">
        <v>165</v>
      </c>
      <c r="H7215" t="n">
        <v>2.18e-83</v>
      </c>
      <c r="I7215" t="inlineStr">
        <is>
          <t>Nr</t>
        </is>
      </c>
      <c r="J7215" t="inlineStr"/>
      <c r="K7215" t="inlineStr"/>
      <c r="L7215" t="inlineStr">
        <is>
          <t>KAG8592762.1 hypothetical protein GDO81_000618 [Engystomops pustulosus]</t>
        </is>
      </c>
      <c r="M7215" t="n">
        <v>165</v>
      </c>
      <c r="N7215" t="inlineStr">
        <is>
          <t>Engystomops pustulosus</t>
        </is>
      </c>
      <c r="O7215" t="inlineStr">
        <is>
          <t>hypothetical protein GDO81_000618</t>
        </is>
      </c>
    </row>
    <row r="7216">
      <c r="A7216" t="inlineStr"/>
      <c r="B7216" t="inlineStr"/>
      <c r="C7216" t="inlineStr"/>
      <c r="D7216" t="inlineStr"/>
      <c r="E7216">
        <f>HYPERLINK("https://www.ncbi.nlm.nih.gov/gene/?term=NWW56328.1", "NWW56328.1")</f>
        <v/>
      </c>
      <c r="F7216" t="n">
        <v>69.09999999999999</v>
      </c>
      <c r="G7216" t="n">
        <v>165</v>
      </c>
      <c r="H7216" t="n">
        <v>2.39e-83</v>
      </c>
      <c r="I7216" t="inlineStr">
        <is>
          <t>Nr</t>
        </is>
      </c>
      <c r="J7216" t="inlineStr"/>
      <c r="K7216" t="inlineStr"/>
      <c r="L7216" t="inlineStr">
        <is>
          <t>NWW56328.1 CD033 protein [Ifrita kowaldi]</t>
        </is>
      </c>
      <c r="M7216" t="n">
        <v>199</v>
      </c>
      <c r="N7216" t="inlineStr">
        <is>
          <t>Ifrita kowaldi</t>
        </is>
      </c>
      <c r="O7216" t="inlineStr">
        <is>
          <t>CD033 protein</t>
        </is>
      </c>
    </row>
    <row r="7217">
      <c r="A7217" t="inlineStr"/>
      <c r="B7217" t="inlineStr"/>
      <c r="C7217" t="inlineStr"/>
      <c r="D7217" t="inlineStr"/>
      <c r="E7217">
        <f>HYPERLINK("https://www.ncbi.nlm.nih.gov/gene/?term=NWW28977.1", "NWW28977.1")</f>
        <v/>
      </c>
      <c r="F7217" t="n">
        <v>69.09999999999999</v>
      </c>
      <c r="G7217" t="n">
        <v>165</v>
      </c>
      <c r="H7217" t="n">
        <v>3.4e-83</v>
      </c>
      <c r="I7217" t="inlineStr">
        <is>
          <t>Nr</t>
        </is>
      </c>
      <c r="J7217" t="inlineStr"/>
      <c r="K7217" t="inlineStr"/>
      <c r="L7217" t="inlineStr">
        <is>
          <t>NWW28977.1 CD033 protein [Falcunculus frontatus]</t>
        </is>
      </c>
      <c r="M7217" t="n">
        <v>199</v>
      </c>
      <c r="N7217" t="inlineStr">
        <is>
          <t>Falcunculus frontatus</t>
        </is>
      </c>
      <c r="O7217" t="inlineStr">
        <is>
          <t>CD033 protein</t>
        </is>
      </c>
    </row>
    <row r="7218">
      <c r="A7218" t="inlineStr"/>
      <c r="B7218" t="inlineStr"/>
      <c r="C7218" t="inlineStr"/>
      <c r="D7218" t="inlineStr"/>
      <c r="E7218">
        <f>HYPERLINK("https://www.ncbi.nlm.nih.gov/gene/?term=TRZ14912.1", "TRZ14912.1")</f>
        <v/>
      </c>
      <c r="F7218" t="n">
        <v>69.09999999999999</v>
      </c>
      <c r="G7218" t="n">
        <v>165</v>
      </c>
      <c r="H7218" t="n">
        <v>4.45e-83</v>
      </c>
      <c r="I7218" t="inlineStr">
        <is>
          <t>Nr</t>
        </is>
      </c>
      <c r="J7218" t="inlineStr"/>
      <c r="K7218" t="inlineStr"/>
      <c r="L7218" t="inlineStr">
        <is>
          <t>TRZ14912.1 hypothetical protein HGM15179_012194 [Zosterops borbonicus]</t>
        </is>
      </c>
      <c r="M7218" t="n">
        <v>207</v>
      </c>
      <c r="N7218" t="inlineStr">
        <is>
          <t>Zosterops borbonicus</t>
        </is>
      </c>
      <c r="O7218" t="inlineStr">
        <is>
          <t>hypothetical protein HGM15179_012194</t>
        </is>
      </c>
    </row>
    <row r="7219">
      <c r="A7219" t="inlineStr"/>
      <c r="B7219" t="inlineStr"/>
      <c r="C7219" t="inlineStr"/>
      <c r="D7219" t="inlineStr"/>
      <c r="E7219">
        <f>HYPERLINK("https://www.ncbi.nlm.nih.gov/gene/?term=NXD95170.1", "NXD95170.1")</f>
        <v/>
      </c>
      <c r="F7219" t="n">
        <v>69.09999999999999</v>
      </c>
      <c r="G7219" t="n">
        <v>165</v>
      </c>
      <c r="H7219" t="n">
        <v>4.83e-83</v>
      </c>
      <c r="I7219" t="inlineStr">
        <is>
          <t>Nr</t>
        </is>
      </c>
      <c r="J7219" t="inlineStr"/>
      <c r="K7219" t="inlineStr"/>
      <c r="L7219" t="inlineStr">
        <is>
          <t>NXD95170.1 CD033 protein [Chaetorhynchus papuensis]</t>
        </is>
      </c>
      <c r="M7219" t="n">
        <v>199</v>
      </c>
      <c r="N7219" t="inlineStr">
        <is>
          <t>Chaetorhynchus papuensis</t>
        </is>
      </c>
      <c r="O7219" t="inlineStr">
        <is>
          <t>CD033 protein</t>
        </is>
      </c>
    </row>
    <row r="7220">
      <c r="A7220" t="inlineStr"/>
      <c r="B7220" t="inlineStr"/>
      <c r="C7220" t="inlineStr"/>
      <c r="D7220" t="inlineStr"/>
      <c r="E7220">
        <f>HYPERLINK("https://www.uniprot.org/uniprotkb/A0A7L2BNJ1/entry", "A0A7L2BNJ1")</f>
        <v/>
      </c>
      <c r="F7220" t="n">
        <v>69.09999999999999</v>
      </c>
      <c r="G7220" t="n">
        <v>165</v>
      </c>
      <c r="H7220" t="n">
        <v>5.24e-83</v>
      </c>
      <c r="I7220" t="inlineStr">
        <is>
          <t>TrEMBL</t>
        </is>
      </c>
      <c r="J7220" t="inlineStr">
        <is>
          <t>ALACHE_R05815</t>
        </is>
      </c>
      <c r="K7220" t="inlineStr">
        <is>
          <t>A0A7L2BNJ1_9PASS</t>
        </is>
      </c>
      <c r="L7220" t="inlineStr">
        <is>
          <t>tr|A0A7L2BNJ1|A0A7L2BNJ1_9PASS CD033 protein (Fragment) OS=Alaudala cheleensis OX=670337 GN=ALACHE_R05815 PE=4 SV=1</t>
        </is>
      </c>
      <c r="M7220" t="n">
        <v>167</v>
      </c>
      <c r="N7220" t="inlineStr">
        <is>
          <t>Alaudala cheleensis</t>
        </is>
      </c>
      <c r="O7220" t="inlineStr">
        <is>
          <t>CD033 protein (Fragment)</t>
        </is>
      </c>
    </row>
    <row r="7221">
      <c r="A7221" t="inlineStr"/>
      <c r="B7221" t="inlineStr"/>
      <c r="C7221" t="inlineStr"/>
      <c r="D7221" t="inlineStr"/>
      <c r="E7221">
        <f>HYPERLINK("https://www.uniprot.org/uniprotkb/A0A7K7DWD5/entry", "A0A7K7DWD5")</f>
        <v/>
      </c>
      <c r="F7221" t="n">
        <v>68.5</v>
      </c>
      <c r="G7221" t="n">
        <v>165</v>
      </c>
      <c r="H7221" t="n">
        <v>5.38e-83</v>
      </c>
      <c r="I7221" t="inlineStr">
        <is>
          <t>TrEMBL</t>
        </is>
      </c>
      <c r="J7221" t="inlineStr">
        <is>
          <t>SYLATR_R00039</t>
        </is>
      </c>
      <c r="K7221" t="inlineStr">
        <is>
          <t>A0A7K7DWD5_9SYLV</t>
        </is>
      </c>
      <c r="L7221" t="inlineStr">
        <is>
          <t>tr|A0A7K7DWD5|A0A7K7DWD5_9SYLV CD033 protein (Fragment) OS=Sylvia atricapilla OX=48155 GN=SYLATR_R00039 PE=4 SV=1</t>
        </is>
      </c>
      <c r="M7221" t="n">
        <v>199</v>
      </c>
      <c r="N7221" t="inlineStr">
        <is>
          <t>Sylvia atricapilla</t>
        </is>
      </c>
      <c r="O7221" t="inlineStr">
        <is>
          <t>CD033 protein (Fragment)</t>
        </is>
      </c>
    </row>
    <row r="7222">
      <c r="A7222" t="inlineStr"/>
      <c r="B7222" t="inlineStr"/>
      <c r="C7222" t="inlineStr"/>
      <c r="D7222" t="inlineStr"/>
      <c r="E7222">
        <f>HYPERLINK("https://www.uniprot.org/uniprotkb/A0A7K9WXL4/entry", "A0A7K9WXL4")</f>
        <v/>
      </c>
      <c r="F7222" t="n">
        <v>68.5</v>
      </c>
      <c r="G7222" t="n">
        <v>165</v>
      </c>
      <c r="H7222" t="n">
        <v>6.45e-83</v>
      </c>
      <c r="I7222" t="inlineStr">
        <is>
          <t>TrEMBL</t>
        </is>
      </c>
      <c r="J7222" t="inlineStr">
        <is>
          <t>PSOCRE_R03352</t>
        </is>
      </c>
      <c r="K7222" t="inlineStr">
        <is>
          <t>A0A7K9WXL4_9GRUI</t>
        </is>
      </c>
      <c r="L7222" t="inlineStr">
        <is>
          <t>tr|A0A7K9WXL4|A0A7K9WXL4_9GRUI CD033 protein (Fragment) OS=Psophia crepitans OX=54359 GN=PSOCRE_R03352 PE=4 SV=1</t>
        </is>
      </c>
      <c r="M7222" t="n">
        <v>194</v>
      </c>
      <c r="N7222" t="inlineStr">
        <is>
          <t>Psophia crepitans</t>
        </is>
      </c>
      <c r="O7222" t="inlineStr">
        <is>
          <t>CD033 protein (Fragment)</t>
        </is>
      </c>
    </row>
    <row r="7223">
      <c r="A7223" t="inlineStr"/>
      <c r="B7223" t="inlineStr"/>
      <c r="C7223" t="inlineStr"/>
      <c r="D7223" t="inlineStr"/>
      <c r="E7223">
        <f>HYPERLINK("https://www.uniprot.org/uniprotkb/A0A7L4L577/entry", "A0A7L4L577")</f>
        <v/>
      </c>
      <c r="F7223" t="n">
        <v>68.5</v>
      </c>
      <c r="G7223" t="n">
        <v>165</v>
      </c>
      <c r="H7223" t="n">
        <v>7.38e-83</v>
      </c>
      <c r="I7223" t="inlineStr">
        <is>
          <t>TrEMBL</t>
        </is>
      </c>
      <c r="J7223" t="inlineStr">
        <is>
          <t>CALWIL_R13632</t>
        </is>
      </c>
      <c r="K7223" t="inlineStr">
        <is>
          <t>A0A7L4L577_9CORV</t>
        </is>
      </c>
      <c r="L7223" t="inlineStr">
        <is>
          <t>tr|A0A7L4L577|A0A7L4L577_9CORV CD033 protein (Fragment) OS=Callaeas wilsoni OX=1347786 GN=CALWIL_R13632 PE=4 SV=1</t>
        </is>
      </c>
      <c r="M7223" t="n">
        <v>198</v>
      </c>
      <c r="N7223" t="inlineStr">
        <is>
          <t>Callaeas wilsoni</t>
        </is>
      </c>
      <c r="O7223" t="inlineStr">
        <is>
          <t>CD033 protein (Fragment)</t>
        </is>
      </c>
    </row>
    <row r="7224">
      <c r="A7224" t="inlineStr"/>
      <c r="B7224" t="inlineStr"/>
      <c r="C7224" t="inlineStr"/>
      <c r="D7224" t="inlineStr"/>
      <c r="E7224">
        <f>HYPERLINK("https://www.uniprot.org/uniprotkb/Q8N1A6/entry", "Q8N1A6")</f>
        <v/>
      </c>
      <c r="F7224" t="n">
        <v>63.6</v>
      </c>
      <c r="G7224" t="n">
        <v>165</v>
      </c>
      <c r="H7224" t="n">
        <v>2.75e-78</v>
      </c>
      <c r="I7224" t="inlineStr">
        <is>
          <t>Swiss-Prot</t>
        </is>
      </c>
      <c r="J7224" t="inlineStr">
        <is>
          <t>C4orf33</t>
        </is>
      </c>
      <c r="K7224" t="inlineStr">
        <is>
          <t>CD033_HUMAN</t>
        </is>
      </c>
      <c r="L7224" t="inlineStr">
        <is>
          <t>sp|Q8N1A6|CD033_HUMAN UPF0462 protein C4orf33 OS=Homo sapiens OX=9606 GN=C4orf33 PE=1 SV=2</t>
        </is>
      </c>
      <c r="M7224" t="n">
        <v>199</v>
      </c>
      <c r="N7224" t="inlineStr">
        <is>
          <t>Homo sapiens</t>
        </is>
      </c>
      <c r="O7224" t="inlineStr">
        <is>
          <t>UPF0462 protein C4orf33</t>
        </is>
      </c>
    </row>
    <row r="7225">
      <c r="A7225" t="inlineStr"/>
      <c r="B7225" t="inlineStr"/>
      <c r="C7225" t="inlineStr"/>
      <c r="D7225" t="inlineStr"/>
      <c r="E7225">
        <f>HYPERLINK("https://www.uniprot.org/uniprotkb/Q5M845/entry", "Q5M845")</f>
        <v/>
      </c>
      <c r="F7225" t="n">
        <v>64.8</v>
      </c>
      <c r="G7225" t="n">
        <v>165</v>
      </c>
      <c r="H7225" t="n">
        <v>1.12e-77</v>
      </c>
      <c r="I7225" t="inlineStr">
        <is>
          <t>Swiss-Prot</t>
        </is>
      </c>
      <c r="J7225" t="inlineStr"/>
      <c r="K7225" t="inlineStr">
        <is>
          <t>CD033_RAT</t>
        </is>
      </c>
      <c r="L7225" t="inlineStr">
        <is>
          <t>sp|Q5M845|CD033_RAT UPF0462 protein C4orf33 homolog OS=Rattus norvegicus OX=10116 PE=2 SV=1</t>
        </is>
      </c>
      <c r="M7225" t="n">
        <v>199</v>
      </c>
      <c r="N7225" t="inlineStr">
        <is>
          <t>Rattus norvegicus</t>
        </is>
      </c>
      <c r="O7225" t="inlineStr">
        <is>
          <t>UPF0462 protein C4orf33 homolog</t>
        </is>
      </c>
    </row>
    <row r="7226">
      <c r="A7226" t="inlineStr"/>
      <c r="B7226" t="inlineStr"/>
      <c r="C7226" t="inlineStr"/>
      <c r="D7226" t="inlineStr"/>
      <c r="E7226">
        <f>HYPERLINK("https://www.uniprot.org/uniprotkb/Q6P2T7/entry", "Q6P2T7")</f>
        <v/>
      </c>
      <c r="F7226" t="n">
        <v>60</v>
      </c>
      <c r="G7226" t="n">
        <v>165</v>
      </c>
      <c r="H7226" t="n">
        <v>2.32e-74</v>
      </c>
      <c r="I7226" t="inlineStr">
        <is>
          <t>Swiss-Prot</t>
        </is>
      </c>
      <c r="J7226" t="inlineStr">
        <is>
          <t>zgc:77739</t>
        </is>
      </c>
      <c r="K7226" t="inlineStr">
        <is>
          <t>CD033_DANRE</t>
        </is>
      </c>
      <c r="L7226" t="inlineStr">
        <is>
          <t>sp|Q6P2T7|CD033_DANRE UPF0462 protein C4orf33 homolog OS=Danio rerio OX=7955 GN=zgc:77739 PE=2 SV=1</t>
        </is>
      </c>
      <c r="M7226" t="n">
        <v>197</v>
      </c>
      <c r="N7226" t="inlineStr">
        <is>
          <t>Danio rerio</t>
        </is>
      </c>
      <c r="O7226" t="inlineStr">
        <is>
          <t>UPF0462 protein C4orf33 homolog</t>
        </is>
      </c>
    </row>
    <row r="7227">
      <c r="A7227" t="inlineStr"/>
      <c r="B7227" t="inlineStr"/>
      <c r="C7227" t="inlineStr"/>
      <c r="D7227" t="inlineStr"/>
      <c r="E7227">
        <f>HYPERLINK("https://www.uniprot.org/uniprotkb/Q8BGN2/entry", "Q8BGN2")</f>
        <v/>
      </c>
      <c r="F7227" t="n">
        <v>58.8</v>
      </c>
      <c r="G7227" t="n">
        <v>165</v>
      </c>
      <c r="H7227" t="n">
        <v>3.97e-74</v>
      </c>
      <c r="I7227" t="inlineStr">
        <is>
          <t>Swiss-Prot</t>
        </is>
      </c>
      <c r="J7227" t="inlineStr">
        <is>
          <t>D3Ertd751e</t>
        </is>
      </c>
      <c r="K7227" t="inlineStr">
        <is>
          <t>CD033_MOUSE</t>
        </is>
      </c>
      <c r="L7227" t="inlineStr">
        <is>
          <t>sp|Q8BGN2|CD033_MOUSE UPF0462 protein C4orf33 homolog OS=Mus musculus OX=10090 GN=D3Ertd751e PE=2 SV=1</t>
        </is>
      </c>
      <c r="M7227" t="n">
        <v>192</v>
      </c>
      <c r="N7227" t="inlineStr">
        <is>
          <t>Mus musculus</t>
        </is>
      </c>
      <c r="O7227" t="inlineStr">
        <is>
          <t>UPF0462 protein C4orf33 homolog</t>
        </is>
      </c>
    </row>
    <row r="7228">
      <c r="A7228" t="inlineStr">
        <is>
          <t>NODE_49463_length_3011_cov_931.268342_g131_i111</t>
        </is>
      </c>
      <c r="B7228" t="inlineStr">
        <is>
          <t>bombina_pachypus_blastx</t>
        </is>
      </c>
      <c r="C7228" t="n">
        <v>-9.136663549001319</v>
      </c>
      <c r="D7228" t="n">
        <v>0.0143216583508234</v>
      </c>
      <c r="E7228">
        <f>HYPERLINK("https://www.uniprot.org/uniprotkb/A0A7L1ZWI3/entry", "A0A7L1ZWI3")</f>
        <v/>
      </c>
      <c r="F7228" t="n">
        <v>93.90000000000001</v>
      </c>
      <c r="G7228" t="n">
        <v>131</v>
      </c>
      <c r="H7228" t="n">
        <v>1.08e-89</v>
      </c>
      <c r="I7228" t="inlineStr">
        <is>
          <t>TrEMBL</t>
        </is>
      </c>
      <c r="J7228" t="inlineStr">
        <is>
          <t>Ptpa</t>
        </is>
      </c>
      <c r="K7228" t="inlineStr">
        <is>
          <t>A0A7L1ZWI3_LEILU</t>
        </is>
      </c>
      <c r="L7228" t="inlineStr">
        <is>
          <t>tr|A0A7L1ZWI3|A0A7L1ZWI3_LEILU Serine/threonine-protein phosphatase 2A activator (Fragment) OS=Leiothrix lutea OX=36275 GN=Ptpa PE=3 SV=1</t>
        </is>
      </c>
      <c r="M7228" t="n">
        <v>209</v>
      </c>
      <c r="N7228" t="inlineStr">
        <is>
          <t>Leiothrix lutea</t>
        </is>
      </c>
      <c r="O7228" t="inlineStr">
        <is>
          <t>Serine/threonine-protein phosphatase 2A activator (Fragment)</t>
        </is>
      </c>
    </row>
    <row r="7229">
      <c r="A7229" t="inlineStr"/>
      <c r="B7229" t="inlineStr"/>
      <c r="C7229" t="inlineStr"/>
      <c r="D7229" t="inlineStr"/>
      <c r="E7229">
        <f>HYPERLINK("https://www.uniprot.org/uniprotkb/A0A8D2J016/entry", "A0A8D2J016")</f>
        <v/>
      </c>
      <c r="F7229" t="n">
        <v>95.40000000000001</v>
      </c>
      <c r="G7229" t="n">
        <v>131</v>
      </c>
      <c r="H7229" t="n">
        <v>1.85e-89</v>
      </c>
      <c r="I7229" t="inlineStr">
        <is>
          <t>TrEMBL</t>
        </is>
      </c>
      <c r="J7229" t="inlineStr"/>
      <c r="K7229" t="inlineStr">
        <is>
          <t>A0A8D2J016_VARKO</t>
        </is>
      </c>
      <c r="L7229" t="inlineStr">
        <is>
          <t>tr|A0A8D2J016|A0A8D2J016_VARKO Serine/threonine-protein phosphatase 2A activator OS=Varanus komodoensis OX=61221 PE=3 SV=1</t>
        </is>
      </c>
      <c r="M7229" t="n">
        <v>321</v>
      </c>
      <c r="N7229" t="inlineStr">
        <is>
          <t>Varanus komodoensis</t>
        </is>
      </c>
      <c r="O7229" t="inlineStr">
        <is>
          <t>Serine/threonine-protein phosphatase 2A activator</t>
        </is>
      </c>
    </row>
    <row r="7230">
      <c r="A7230" t="inlineStr"/>
      <c r="B7230" t="inlineStr"/>
      <c r="C7230" t="inlineStr"/>
      <c r="D7230" t="inlineStr"/>
      <c r="E7230">
        <f>HYPERLINK("https://www.uniprot.org/uniprotkb/Q28717/entry", "Q28717")</f>
        <v/>
      </c>
      <c r="F7230" t="n">
        <v>93.09999999999999</v>
      </c>
      <c r="G7230" t="n">
        <v>131</v>
      </c>
      <c r="H7230" t="n">
        <v>1.9e-89</v>
      </c>
      <c r="I7230" t="inlineStr">
        <is>
          <t>Swiss-Prot</t>
        </is>
      </c>
      <c r="J7230" t="inlineStr">
        <is>
          <t>PTPA</t>
        </is>
      </c>
      <c r="K7230" t="inlineStr">
        <is>
          <t>PTPA_RABIT</t>
        </is>
      </c>
      <c r="L7230" t="inlineStr">
        <is>
          <t>sp|Q28717|PTPA_RABIT Serine/threonine-protein phosphatase 2A activator OS=Oryctolagus cuniculus OX=9986 GN=PTPA PE=1 SV=1</t>
        </is>
      </c>
      <c r="M7230" t="n">
        <v>323</v>
      </c>
      <c r="N7230" t="inlineStr">
        <is>
          <t>Oryctolagus cuniculus</t>
        </is>
      </c>
      <c r="O7230" t="inlineStr">
        <is>
          <t>Serine/threonine-protein phosphatase 2A activator</t>
        </is>
      </c>
    </row>
    <row r="7231">
      <c r="A7231" t="inlineStr"/>
      <c r="B7231" t="inlineStr"/>
      <c r="C7231" t="inlineStr"/>
      <c r="D7231" t="inlineStr"/>
      <c r="E7231">
        <f>HYPERLINK("https://www.uniprot.org/uniprotkb/Q2KJ44/entry", "Q2KJ44")</f>
        <v/>
      </c>
      <c r="F7231" t="n">
        <v>93.09999999999999</v>
      </c>
      <c r="G7231" t="n">
        <v>131</v>
      </c>
      <c r="H7231" t="n">
        <v>1.96e-89</v>
      </c>
      <c r="I7231" t="inlineStr">
        <is>
          <t>Swiss-Prot</t>
        </is>
      </c>
      <c r="J7231" t="inlineStr">
        <is>
          <t>PTPA</t>
        </is>
      </c>
      <c r="K7231" t="inlineStr">
        <is>
          <t>PTPA_BOVIN</t>
        </is>
      </c>
      <c r="L7231" t="inlineStr">
        <is>
          <t>sp|Q2KJ44|PTPA_BOVIN Serine/threonine-protein phosphatase 2A activator OS=Bos taurus OX=9913 GN=PTPA PE=2 SV=1</t>
        </is>
      </c>
      <c r="M7231" t="n">
        <v>324</v>
      </c>
      <c r="N7231" t="inlineStr">
        <is>
          <t>Bos taurus</t>
        </is>
      </c>
      <c r="O7231" t="inlineStr">
        <is>
          <t>Serine/threonine-protein phosphatase 2A activator</t>
        </is>
      </c>
    </row>
    <row r="7232">
      <c r="A7232" t="inlineStr"/>
      <c r="B7232" t="inlineStr"/>
      <c r="C7232" t="inlineStr"/>
      <c r="D7232" t="inlineStr"/>
      <c r="E7232">
        <f>HYPERLINK("https://www.ncbi.nlm.nih.gov/gene/?term=NXP38282.1", "NXP38282.1")</f>
        <v/>
      </c>
      <c r="F7232" t="n">
        <v>93.90000000000001</v>
      </c>
      <c r="G7232" t="n">
        <v>131</v>
      </c>
      <c r="H7232" t="n">
        <v>2.78e-89</v>
      </c>
      <c r="I7232" t="inlineStr">
        <is>
          <t>Nr</t>
        </is>
      </c>
      <c r="J7232" t="inlineStr"/>
      <c r="K7232" t="inlineStr"/>
      <c r="L7232" t="inlineStr">
        <is>
          <t>NXP38282.1 PTPA phosphatase [Leiothrix lutea]</t>
        </is>
      </c>
      <c r="M7232" t="n">
        <v>209</v>
      </c>
      <c r="N7232" t="inlineStr">
        <is>
          <t>Leiothrix lutea</t>
        </is>
      </c>
      <c r="O7232" t="inlineStr">
        <is>
          <t>PTPA phosphatase</t>
        </is>
      </c>
    </row>
    <row r="7233">
      <c r="A7233" t="inlineStr"/>
      <c r="B7233" t="inlineStr"/>
      <c r="C7233" t="inlineStr"/>
      <c r="D7233" t="inlineStr"/>
      <c r="E7233">
        <f>HYPERLINK("https://www.uniprot.org/uniprotkb/A0A6J0TPS1/entry", "A0A6J0TPS1")</f>
        <v/>
      </c>
      <c r="F7233" t="n">
        <v>94.7</v>
      </c>
      <c r="G7233" t="n">
        <v>131</v>
      </c>
      <c r="H7233" t="n">
        <v>2.86e-89</v>
      </c>
      <c r="I7233" t="inlineStr">
        <is>
          <t>TrEMBL</t>
        </is>
      </c>
      <c r="J7233" t="inlineStr">
        <is>
          <t>PTPA</t>
        </is>
      </c>
      <c r="K7233" t="inlineStr">
        <is>
          <t>A0A6J0TPS1_9SAUR</t>
        </is>
      </c>
      <c r="L7233" t="inlineStr">
        <is>
          <t>tr|A0A6J0TPS1|A0A6J0TPS1_9SAUR Serine/threonine-protein phosphatase 2A activator OS=Pogona vitticeps OX=103695 GN=PTPA PE=3 SV=1</t>
        </is>
      </c>
      <c r="M7233" t="n">
        <v>291</v>
      </c>
      <c r="N7233" t="inlineStr">
        <is>
          <t>Pogona vitticeps</t>
        </is>
      </c>
      <c r="O7233" t="inlineStr">
        <is>
          <t>Serine/threonine-protein phosphatase 2A activator</t>
        </is>
      </c>
    </row>
    <row r="7234">
      <c r="A7234" t="inlineStr"/>
      <c r="B7234" t="inlineStr"/>
      <c r="C7234" t="inlineStr"/>
      <c r="D7234" t="inlineStr"/>
      <c r="E7234">
        <f>HYPERLINK("https://www.ncbi.nlm.nih.gov/gene/?term=EAW87879.1", "EAW87879.1")</f>
        <v/>
      </c>
      <c r="F7234" t="n">
        <v>93.09999999999999</v>
      </c>
      <c r="G7234" t="n">
        <v>131</v>
      </c>
      <c r="H7234" t="n">
        <v>3.38e-89</v>
      </c>
      <c r="I7234" t="inlineStr">
        <is>
          <t>Nr</t>
        </is>
      </c>
      <c r="J7234" t="inlineStr"/>
      <c r="K7234" t="inlineStr"/>
      <c r="L7234" t="inlineStr">
        <is>
          <t>EAW87879.1 protein phosphatase 2A, regulatory subunit B' (PR 53), isoform CRA_d [Homo sapiens]</t>
        </is>
      </c>
      <c r="M7234" t="n">
        <v>132</v>
      </c>
      <c r="N7234" t="inlineStr">
        <is>
          <t>Homo sapiens</t>
        </is>
      </c>
      <c r="O7234" t="inlineStr">
        <is>
          <t>protein phosphatase 2A, regulatory subunit B' (PR 53), isoform CRA_d</t>
        </is>
      </c>
    </row>
    <row r="7235">
      <c r="A7235" t="inlineStr"/>
      <c r="B7235" t="inlineStr"/>
      <c r="C7235" t="inlineStr"/>
      <c r="D7235" t="inlineStr"/>
      <c r="E7235">
        <f>HYPERLINK("https://www.uniprot.org/uniprotkb/A0A8D2NX57/entry", "A0A8D2NX57")</f>
        <v/>
      </c>
      <c r="F7235" t="n">
        <v>94.7</v>
      </c>
      <c r="G7235" t="n">
        <v>131</v>
      </c>
      <c r="H7235" t="n">
        <v>3.7e-89</v>
      </c>
      <c r="I7235" t="inlineStr">
        <is>
          <t>TrEMBL</t>
        </is>
      </c>
      <c r="J7235" t="inlineStr"/>
      <c r="K7235" t="inlineStr">
        <is>
          <t>A0A8D2NX57_ZOSLA</t>
        </is>
      </c>
      <c r="L7235" t="inlineStr">
        <is>
          <t>tr|A0A8D2NX57|A0A8D2NX57_ZOSLA Serine/threonine-protein phosphatase 2A activator OS=Zosterops lateralis melanops OX=1220523 PE=3 SV=1</t>
        </is>
      </c>
      <c r="M7235" t="n">
        <v>299</v>
      </c>
      <c r="N7235" t="inlineStr">
        <is>
          <t>Zosterops lateralis melanops</t>
        </is>
      </c>
      <c r="O7235" t="inlineStr">
        <is>
          <t>Serine/threonine-protein phosphatase 2A activator</t>
        </is>
      </c>
    </row>
    <row r="7236">
      <c r="A7236" t="inlineStr"/>
      <c r="B7236" t="inlineStr"/>
      <c r="C7236" t="inlineStr"/>
      <c r="D7236" t="inlineStr"/>
      <c r="E7236">
        <f>HYPERLINK("https://www.uniprot.org/uniprotkb/A0A2D4FQE2/entry", "A0A2D4FQE2")</f>
        <v/>
      </c>
      <c r="F7236" t="n">
        <v>93.8</v>
      </c>
      <c r="G7236" t="n">
        <v>129</v>
      </c>
      <c r="H7236" t="n">
        <v>3.85e-89</v>
      </c>
      <c r="I7236" t="inlineStr">
        <is>
          <t>TrEMBL</t>
        </is>
      </c>
      <c r="J7236" t="inlineStr"/>
      <c r="K7236" t="inlineStr">
        <is>
          <t>A0A2D4FQE2_MICCO</t>
        </is>
      </c>
      <c r="L7236" t="inlineStr">
        <is>
          <t>tr|A0A2D4FQE2|A0A2D4FQE2_MICCO Serine/threonine-protein phosphatase 2A activator (Fragment) OS=Micrurus corallinus OX=54390 PE=3 SV=1</t>
        </is>
      </c>
      <c r="M7236" t="n">
        <v>174</v>
      </c>
      <c r="N7236" t="inlineStr">
        <is>
          <t>Micrurus corallinus</t>
        </is>
      </c>
      <c r="O7236" t="inlineStr">
        <is>
          <t>Serine/threonine-protein phosphatase 2A activator (Fragment)</t>
        </is>
      </c>
    </row>
    <row r="7237">
      <c r="A7237" t="inlineStr"/>
      <c r="B7237" t="inlineStr"/>
      <c r="C7237" t="inlineStr"/>
      <c r="D7237" t="inlineStr"/>
      <c r="E7237">
        <f>HYPERLINK("https://www.ncbi.nlm.nih.gov/gene/?term=XP_044309084.1", "XP_044309084.1")</f>
        <v/>
      </c>
      <c r="F7237" t="n">
        <v>95.40000000000001</v>
      </c>
      <c r="G7237" t="n">
        <v>131</v>
      </c>
      <c r="H7237" t="n">
        <v>4.749999999999999e-89</v>
      </c>
      <c r="I7237" t="inlineStr">
        <is>
          <t>Nr</t>
        </is>
      </c>
      <c r="J7237" t="inlineStr"/>
      <c r="K7237" t="inlineStr"/>
      <c r="L7237" t="inlineStr">
        <is>
          <t>XP_044309084.1 serine/threonine-protein phosphatase 2A activator [Varanus komodoensis]</t>
        </is>
      </c>
      <c r="M7237" t="n">
        <v>321</v>
      </c>
      <c r="N7237" t="inlineStr">
        <is>
          <t>Varanus komodoensis</t>
        </is>
      </c>
      <c r="O7237" t="inlineStr">
        <is>
          <t>serine/threonine-protein phosphatase 2A activator</t>
        </is>
      </c>
    </row>
    <row r="7238">
      <c r="A7238" t="inlineStr"/>
      <c r="B7238" t="inlineStr"/>
      <c r="C7238" t="inlineStr"/>
      <c r="D7238" t="inlineStr"/>
      <c r="E7238">
        <f>HYPERLINK("https://www.uniprot.org/uniprotkb/A0A8C6JDV9/entry", "A0A8C6JDV9")</f>
        <v/>
      </c>
      <c r="F7238" t="n">
        <v>94.7</v>
      </c>
      <c r="G7238" t="n">
        <v>131</v>
      </c>
      <c r="H7238" t="n">
        <v>5.25e-89</v>
      </c>
      <c r="I7238" t="inlineStr">
        <is>
          <t>TrEMBL</t>
        </is>
      </c>
      <c r="J7238" t="inlineStr">
        <is>
          <t>LOC101876322</t>
        </is>
      </c>
      <c r="K7238" t="inlineStr">
        <is>
          <t>A0A8C6JDV9_MELUD</t>
        </is>
      </c>
      <c r="L7238" t="inlineStr">
        <is>
          <t>tr|A0A8C6JDV9|A0A8C6JDV9_MELUD Serine/threonine-protein phosphatase 2A activator OS=Melopsittacus undulatus OX=13146 GN=LOC101876322 PE=3 SV=1</t>
        </is>
      </c>
      <c r="M7238" t="n">
        <v>299</v>
      </c>
      <c r="N7238" t="inlineStr">
        <is>
          <t>Melopsittacus undulatus</t>
        </is>
      </c>
      <c r="O7238" t="inlineStr">
        <is>
          <t>Serine/threonine-protein phosphatase 2A activator</t>
        </is>
      </c>
    </row>
    <row r="7239">
      <c r="A7239" t="inlineStr"/>
      <c r="B7239" t="inlineStr"/>
      <c r="C7239" t="inlineStr"/>
      <c r="D7239" t="inlineStr"/>
      <c r="E7239">
        <f>HYPERLINK("https://www.uniprot.org/uniprotkb/Q4QR04/entry", "Q4QR04")</f>
        <v/>
      </c>
      <c r="F7239" t="n">
        <v>95.40000000000001</v>
      </c>
      <c r="G7239" t="n">
        <v>131</v>
      </c>
      <c r="H7239" t="n">
        <v>5.62e-89</v>
      </c>
      <c r="I7239" t="inlineStr">
        <is>
          <t>TrEMBL</t>
        </is>
      </c>
      <c r="J7239" t="inlineStr">
        <is>
          <t>ptpa.L</t>
        </is>
      </c>
      <c r="K7239" t="inlineStr">
        <is>
          <t>Q4QR04_XENLA</t>
        </is>
      </c>
      <c r="L7239" t="inlineStr">
        <is>
          <t>tr|Q4QR04|Q4QR04_XENLA Serine/threonine-protein phosphatase 2A activator OS=Xenopus laevis OX=8355 GN=ptpa.L PE=2 SV=1</t>
        </is>
      </c>
      <c r="M7239" t="n">
        <v>323</v>
      </c>
      <c r="N7239" t="inlineStr">
        <is>
          <t>Xenopus laevis</t>
        </is>
      </c>
      <c r="O7239" t="inlineStr">
        <is>
          <t>Serine/threonine-protein phosphatase 2A activator</t>
        </is>
      </c>
    </row>
    <row r="7240">
      <c r="A7240" t="inlineStr"/>
      <c r="B7240" t="inlineStr"/>
      <c r="C7240" t="inlineStr"/>
      <c r="D7240" t="inlineStr"/>
      <c r="E7240">
        <f>HYPERLINK("https://www.uniprot.org/uniprotkb/Q15257/entry", "Q15257")</f>
        <v/>
      </c>
      <c r="F7240" t="n">
        <v>93.09999999999999</v>
      </c>
      <c r="G7240" t="n">
        <v>131</v>
      </c>
      <c r="H7240" t="n">
        <v>5.629999999999999e-89</v>
      </c>
      <c r="I7240" t="inlineStr">
        <is>
          <t>Swiss-Prot</t>
        </is>
      </c>
      <c r="J7240" t="inlineStr">
        <is>
          <t>PTPA</t>
        </is>
      </c>
      <c r="K7240" t="inlineStr">
        <is>
          <t>PTPA_HUMAN</t>
        </is>
      </c>
      <c r="L7240" t="inlineStr">
        <is>
          <t>sp|Q15257|PTPA_HUMAN Serine/threonine-protein phosphatase 2A activator OS=Homo sapiens OX=9606 GN=PTPA PE=1 SV=3</t>
        </is>
      </c>
      <c r="M7240" t="n">
        <v>358</v>
      </c>
      <c r="N7240" t="inlineStr">
        <is>
          <t>Homo sapiens</t>
        </is>
      </c>
      <c r="O7240" t="inlineStr">
        <is>
          <t>Serine/threonine-protein phosphatase 2A activator</t>
        </is>
      </c>
    </row>
    <row r="7241">
      <c r="A7241" t="inlineStr"/>
      <c r="B7241" t="inlineStr"/>
      <c r="C7241" t="inlineStr"/>
      <c r="D7241" t="inlineStr"/>
      <c r="E7241">
        <f>HYPERLINK("https://www.uniprot.org/uniprotkb/A0A7L0WX80/entry", "A0A7L0WX80")</f>
        <v/>
      </c>
      <c r="F7241" t="n">
        <v>93.90000000000001</v>
      </c>
      <c r="G7241" t="n">
        <v>131</v>
      </c>
      <c r="H7241" t="n">
        <v>6.079999999999999e-89</v>
      </c>
      <c r="I7241" t="inlineStr">
        <is>
          <t>TrEMBL</t>
        </is>
      </c>
      <c r="J7241" t="inlineStr">
        <is>
          <t>Ptpa</t>
        </is>
      </c>
      <c r="K7241" t="inlineStr">
        <is>
          <t>A0A7L0WX80_ALELA</t>
        </is>
      </c>
      <c r="L7241" t="inlineStr">
        <is>
          <t>tr|A0A7L0WX80|A0A7L0WX80_ALELA Serine/threonine-protein phosphatase 2A activator (Fragment) OS=Alectura lathami OX=81907 GN=Ptpa PE=3 SV=1</t>
        </is>
      </c>
      <c r="M7241" t="n">
        <v>250</v>
      </c>
      <c r="N7241" t="inlineStr">
        <is>
          <t>Alectura lathami</t>
        </is>
      </c>
      <c r="O7241" t="inlineStr">
        <is>
          <t>Serine/threonine-protein phosphatase 2A activator (Fragment)</t>
        </is>
      </c>
    </row>
    <row r="7242">
      <c r="A7242" t="inlineStr"/>
      <c r="B7242" t="inlineStr"/>
      <c r="C7242" t="inlineStr"/>
      <c r="D7242" t="inlineStr"/>
      <c r="E7242">
        <f>HYPERLINK("https://www.uniprot.org/uniprotkb/A0A091PRQ5/entry", "A0A091PRQ5")</f>
        <v/>
      </c>
      <c r="F7242" t="n">
        <v>93.90000000000001</v>
      </c>
      <c r="G7242" t="n">
        <v>131</v>
      </c>
      <c r="H7242" t="n">
        <v>6.079999999999999e-89</v>
      </c>
      <c r="I7242" t="inlineStr">
        <is>
          <t>TrEMBL</t>
        </is>
      </c>
      <c r="J7242" t="inlineStr">
        <is>
          <t>N329_04917</t>
        </is>
      </c>
      <c r="K7242" t="inlineStr">
        <is>
          <t>A0A091PRQ5_HALAL</t>
        </is>
      </c>
      <c r="L7242" t="inlineStr">
        <is>
          <t>tr|A0A091PRQ5|A0A091PRQ5_HALAL Serine/threonine-protein phosphatase 2A activator (Fragment) OS=Haliaeetus albicilla OX=8969 GN=N329_04917 PE=3 SV=1</t>
        </is>
      </c>
      <c r="M7242" t="n">
        <v>250</v>
      </c>
      <c r="N7242" t="inlineStr">
        <is>
          <t>Haliaeetus albicilla</t>
        </is>
      </c>
      <c r="O7242" t="inlineStr">
        <is>
          <t>Serine/threonine-protein phosphatase 2A activator (Fragment)</t>
        </is>
      </c>
    </row>
    <row r="7243">
      <c r="A7243" t="inlineStr"/>
      <c r="B7243" t="inlineStr"/>
      <c r="C7243" t="inlineStr"/>
      <c r="D7243" t="inlineStr"/>
      <c r="E7243">
        <f>HYPERLINK("https://www.uniprot.org/uniprotkb/A0A7L3NQC2/entry", "A0A7L3NQC2")</f>
        <v/>
      </c>
      <c r="F7243" t="n">
        <v>93.90000000000001</v>
      </c>
      <c r="G7243" t="n">
        <v>131</v>
      </c>
      <c r="H7243" t="n">
        <v>6.079999999999999e-89</v>
      </c>
      <c r="I7243" t="inlineStr">
        <is>
          <t>TrEMBL</t>
        </is>
      </c>
      <c r="J7243" t="inlineStr">
        <is>
          <t>Ptpa</t>
        </is>
      </c>
      <c r="K7243" t="inlineStr">
        <is>
          <t>A0A7L3NQC2_9AVES</t>
        </is>
      </c>
      <c r="L7243" t="inlineStr">
        <is>
          <t>tr|A0A7L3NQC2|A0A7L3NQC2_9AVES Serine/threonine-protein phosphatase 2A activator (Fragment) OS=Oreotrochilus melanogaster OX=689266 GN=Ptpa PE=3 SV=1</t>
        </is>
      </c>
      <c r="M7243" t="n">
        <v>250</v>
      </c>
      <c r="N7243" t="inlineStr">
        <is>
          <t>Oreotrochilus melanogaster</t>
        </is>
      </c>
      <c r="O7243" t="inlineStr">
        <is>
          <t>Serine/threonine-protein phosphatase 2A activator (Fragment)</t>
        </is>
      </c>
    </row>
    <row r="7244">
      <c r="A7244" t="inlineStr"/>
      <c r="B7244" t="inlineStr"/>
      <c r="C7244" t="inlineStr"/>
      <c r="D7244" t="inlineStr"/>
      <c r="E7244">
        <f>HYPERLINK("https://www.ncbi.nlm.nih.gov/gene/?term=XP_020650541.1", "XP_020650541.1")</f>
        <v/>
      </c>
      <c r="F7244" t="n">
        <v>94.7</v>
      </c>
      <c r="G7244" t="n">
        <v>131</v>
      </c>
      <c r="H7244" t="n">
        <v>7.339999999999999e-89</v>
      </c>
      <c r="I7244" t="inlineStr">
        <is>
          <t>Nr</t>
        </is>
      </c>
      <c r="J7244" t="inlineStr"/>
      <c r="K7244" t="inlineStr"/>
      <c r="L7244" t="inlineStr">
        <is>
          <t>XP_020650541.1 serine/threonine-protein phosphatase 2A activator isoform X2 [Pogona vitticeps]</t>
        </is>
      </c>
      <c r="M7244" t="n">
        <v>291</v>
      </c>
      <c r="N7244" t="inlineStr">
        <is>
          <t>Pogona vitticeps</t>
        </is>
      </c>
      <c r="O7244" t="inlineStr">
        <is>
          <t>serine/threonine-protein phosphatase 2A activator isoform X2</t>
        </is>
      </c>
    </row>
    <row r="7245">
      <c r="A7245" t="inlineStr"/>
      <c r="B7245" t="inlineStr"/>
      <c r="C7245" t="inlineStr"/>
      <c r="D7245" t="inlineStr"/>
      <c r="E7245">
        <f>HYPERLINK("https://www.uniprot.org/uniprotkb/A0A6J0TU57/entry", "A0A6J0TU57")</f>
        <v/>
      </c>
      <c r="F7245" t="n">
        <v>94.7</v>
      </c>
      <c r="G7245" t="n">
        <v>131</v>
      </c>
      <c r="H7245" t="n">
        <v>7.48e-89</v>
      </c>
      <c r="I7245" t="inlineStr">
        <is>
          <t>TrEMBL</t>
        </is>
      </c>
      <c r="J7245" t="inlineStr">
        <is>
          <t>PTPA</t>
        </is>
      </c>
      <c r="K7245" t="inlineStr">
        <is>
          <t>A0A6J0TU57_9SAUR</t>
        </is>
      </c>
      <c r="L7245" t="inlineStr">
        <is>
          <t>tr|A0A6J0TU57|A0A6J0TU57_9SAUR Serine/threonine-protein phosphatase 2A activator OS=Pogona vitticeps OX=103695 GN=PTPA PE=3 SV=1</t>
        </is>
      </c>
      <c r="M7245" t="n">
        <v>321</v>
      </c>
      <c r="N7245" t="inlineStr">
        <is>
          <t>Pogona vitticeps</t>
        </is>
      </c>
      <c r="O7245" t="inlineStr">
        <is>
          <t>Serine/threonine-protein phosphatase 2A activator</t>
        </is>
      </c>
    </row>
    <row r="7246">
      <c r="A7246" t="inlineStr"/>
      <c r="B7246" t="inlineStr"/>
      <c r="C7246" t="inlineStr"/>
      <c r="D7246" t="inlineStr"/>
      <c r="E7246">
        <f>HYPERLINK("https://www.uniprot.org/uniprotkb/A0A8K1GLB5/entry", "A0A8K1GLB5")</f>
        <v/>
      </c>
      <c r="F7246" t="n">
        <v>94.7</v>
      </c>
      <c r="G7246" t="n">
        <v>131</v>
      </c>
      <c r="H7246" t="n">
        <v>7.48e-89</v>
      </c>
      <c r="I7246" t="inlineStr">
        <is>
          <t>TrEMBL</t>
        </is>
      </c>
      <c r="J7246" t="inlineStr">
        <is>
          <t>HGM15179_006031</t>
        </is>
      </c>
      <c r="K7246" t="inlineStr">
        <is>
          <t>A0A8K1GLB5_9PASS</t>
        </is>
      </c>
      <c r="L7246" t="inlineStr">
        <is>
          <t>tr|A0A8K1GLB5|A0A8K1GLB5_9PASS Serine/threonine-protein phosphatase 2A activator OS=Zosterops borbonicus OX=364589 GN=HGM15179_006031 PE=3 SV=1</t>
        </is>
      </c>
      <c r="M7246" t="n">
        <v>321</v>
      </c>
      <c r="N7246" t="inlineStr">
        <is>
          <t>Zosterops borbonicus</t>
        </is>
      </c>
      <c r="O7246" t="inlineStr">
        <is>
          <t>Serine/threonine-protein phosphatase 2A activator</t>
        </is>
      </c>
    </row>
    <row r="7247">
      <c r="A7247" t="inlineStr"/>
      <c r="B7247" t="inlineStr"/>
      <c r="C7247" t="inlineStr"/>
      <c r="D7247" t="inlineStr"/>
      <c r="E7247">
        <f>HYPERLINK("https://www.uniprot.org/uniprotkb/A0A7K9S4B3/entry", "A0A7K9S4B3")</f>
        <v/>
      </c>
      <c r="F7247" t="n">
        <v>94.7</v>
      </c>
      <c r="G7247" t="n">
        <v>131</v>
      </c>
      <c r="H7247" t="n">
        <v>7.48e-89</v>
      </c>
      <c r="I7247" t="inlineStr">
        <is>
          <t>TrEMBL</t>
        </is>
      </c>
      <c r="J7247" t="inlineStr">
        <is>
          <t>Ptpa</t>
        </is>
      </c>
      <c r="K7247" t="inlineStr">
        <is>
          <t>A0A7K9S4B3_9PASS</t>
        </is>
      </c>
      <c r="L7247" t="inlineStr">
        <is>
          <t>tr|A0A7K9S4B3|A0A7K9S4B3_9PASS Serine/threonine-protein phosphatase 2A activator (Fragment) OS=Sterrhoptilus dennistouni OX=2585820 GN=Ptpa PE=3 SV=1</t>
        </is>
      </c>
      <c r="M7247" t="n">
        <v>321</v>
      </c>
      <c r="N7247" t="inlineStr">
        <is>
          <t>Sterrhoptilus dennistouni</t>
        </is>
      </c>
      <c r="O7247" t="inlineStr">
        <is>
          <t>Serine/threonine-protein phosphatase 2A activator (Fragment)</t>
        </is>
      </c>
    </row>
    <row r="7248">
      <c r="A7248" t="inlineStr"/>
      <c r="B7248" t="inlineStr"/>
      <c r="C7248" t="inlineStr"/>
      <c r="D7248" t="inlineStr"/>
      <c r="E7248">
        <f>HYPERLINK("https://www.ncbi.nlm.nih.gov/gene/?term=KAF7237265.1", "KAF7237265.1")</f>
        <v/>
      </c>
      <c r="F7248" t="n">
        <v>95.40000000000001</v>
      </c>
      <c r="G7248" t="n">
        <v>131</v>
      </c>
      <c r="H7248" t="n">
        <v>8.109999999999999e-89</v>
      </c>
      <c r="I7248" t="inlineStr">
        <is>
          <t>Nr</t>
        </is>
      </c>
      <c r="J7248" t="inlineStr"/>
      <c r="K7248" t="inlineStr"/>
      <c r="L7248" t="inlineStr">
        <is>
          <t>KAF7237265.1 Serine/threonine-protein phosphatase 2A activator [Varanus komodoensis]</t>
        </is>
      </c>
      <c r="M7248" t="n">
        <v>338</v>
      </c>
      <c r="N7248" t="inlineStr">
        <is>
          <t>Varanus komodoensis</t>
        </is>
      </c>
      <c r="O7248" t="inlineStr">
        <is>
          <t>Serine/threonine-protein phosphatase 2A activator</t>
        </is>
      </c>
    </row>
    <row r="7249">
      <c r="A7249" t="inlineStr"/>
      <c r="B7249" t="inlineStr"/>
      <c r="C7249" t="inlineStr"/>
      <c r="D7249" t="inlineStr"/>
      <c r="E7249">
        <f>HYPERLINK("https://www.uniprot.org/uniprotkb/A0A7L1BDD4/entry", "A0A7L1BDD4")</f>
        <v/>
      </c>
      <c r="F7249" t="n">
        <v>94.7</v>
      </c>
      <c r="G7249" t="n">
        <v>131</v>
      </c>
      <c r="H7249" t="n">
        <v>8.22e-89</v>
      </c>
      <c r="I7249" t="inlineStr">
        <is>
          <t>TrEMBL</t>
        </is>
      </c>
      <c r="J7249" t="inlineStr">
        <is>
          <t>Ptpa</t>
        </is>
      </c>
      <c r="K7249" t="inlineStr">
        <is>
          <t>A0A7L1BDD4_GYMTI</t>
        </is>
      </c>
      <c r="L7249" t="inlineStr">
        <is>
          <t>tr|A0A7L1BDD4|A0A7L1BDD4_GYMTI Serine/threonine-protein phosphatase 2A activator (Fragment) OS=Gymnorhina tibicen OX=9132 GN=Ptpa PE=3 SV=1</t>
        </is>
      </c>
      <c r="M7249" t="n">
        <v>313</v>
      </c>
      <c r="N7249" t="inlineStr">
        <is>
          <t>Gymnorhina tibicen</t>
        </is>
      </c>
      <c r="O7249" t="inlineStr">
        <is>
          <t>Serine/threonine-protein phosphatase 2A activator (Fragment)</t>
        </is>
      </c>
    </row>
    <row r="7250">
      <c r="A7250" t="inlineStr"/>
      <c r="B7250" t="inlineStr"/>
      <c r="C7250" t="inlineStr"/>
      <c r="D7250" t="inlineStr"/>
      <c r="E7250">
        <f>HYPERLINK("https://www.ncbi.nlm.nih.gov/gene/?term=XP_009081644.1", "XP_009081644.1")</f>
        <v/>
      </c>
      <c r="F7250" t="n">
        <v>93.90000000000001</v>
      </c>
      <c r="G7250" t="n">
        <v>131</v>
      </c>
      <c r="H7250" t="n">
        <v>9.32e-89</v>
      </c>
      <c r="I7250" t="inlineStr">
        <is>
          <t>Nr</t>
        </is>
      </c>
      <c r="J7250" t="inlineStr"/>
      <c r="K7250" t="inlineStr"/>
      <c r="L7250" t="inlineStr">
        <is>
          <t>XP_009081644.1 PREDICTED: serine/threonine-protein phosphatase 2A activator isoform X3 [Acanthisitta chloris]</t>
        </is>
      </c>
      <c r="M7250" t="n">
        <v>245</v>
      </c>
      <c r="N7250" t="inlineStr">
        <is>
          <t>Acanthisitta chloris</t>
        </is>
      </c>
      <c r="O7250" t="inlineStr">
        <is>
          <t>PREDICTED: serine/threonine-protein phosphatase 2A activator isoform X3</t>
        </is>
      </c>
    </row>
    <row r="7251">
      <c r="A7251" t="inlineStr"/>
      <c r="B7251" t="inlineStr"/>
      <c r="C7251" t="inlineStr"/>
      <c r="D7251" t="inlineStr"/>
      <c r="E7251">
        <f>HYPERLINK("https://www.uniprot.org/uniprotkb/A0A8V5GRP0/entry", "A0A8V5GRP0")</f>
        <v/>
      </c>
      <c r="F7251" t="n">
        <v>94.7</v>
      </c>
      <c r="G7251" t="n">
        <v>131</v>
      </c>
      <c r="H7251" t="n">
        <v>1.06e-88</v>
      </c>
      <c r="I7251" t="inlineStr">
        <is>
          <t>TrEMBL</t>
        </is>
      </c>
      <c r="J7251" t="inlineStr">
        <is>
          <t>LOC101876322</t>
        </is>
      </c>
      <c r="K7251" t="inlineStr">
        <is>
          <t>A0A8V5GRP0_MELUD</t>
        </is>
      </c>
      <c r="L7251" t="inlineStr">
        <is>
          <t>tr|A0A8V5GRP0|A0A8V5GRP0_MELUD Uncharacterized protein OS=Melopsittacus undulatus OX=13146 GN=LOC101876322 PE=4 SV=1</t>
        </is>
      </c>
      <c r="M7251" t="n">
        <v>321</v>
      </c>
      <c r="N7251" t="inlineStr">
        <is>
          <t>Melopsittacus undulatus</t>
        </is>
      </c>
      <c r="O7251" t="inlineStr">
        <is>
          <t>Uncharacterized protein</t>
        </is>
      </c>
    </row>
    <row r="7252">
      <c r="A7252" t="inlineStr"/>
      <c r="B7252" t="inlineStr"/>
      <c r="C7252" t="inlineStr"/>
      <c r="D7252" t="inlineStr"/>
      <c r="E7252">
        <f>HYPERLINK("https://www.uniprot.org/uniprotkb/A0A7J8EFG3/entry", "A0A7J8EFG3")</f>
        <v/>
      </c>
      <c r="F7252" t="n">
        <v>93</v>
      </c>
      <c r="G7252" t="n">
        <v>129</v>
      </c>
      <c r="H7252" t="n">
        <v>1.08e-88</v>
      </c>
      <c r="I7252" t="inlineStr">
        <is>
          <t>TrEMBL</t>
        </is>
      </c>
      <c r="J7252" t="inlineStr">
        <is>
          <t>HJG59_015048</t>
        </is>
      </c>
      <c r="K7252" t="inlineStr">
        <is>
          <t>A0A7J8EFG3_MOLMO</t>
        </is>
      </c>
      <c r="L7252" t="inlineStr">
        <is>
          <t>tr|A0A7J8EFG3|A0A7J8EFG3_MOLMO Serine/threonine-protein phosphatase 2A activator OS=Molossus molossus OX=27622 GN=HJG59_015048 PE=3 SV=1</t>
        </is>
      </c>
      <c r="M7252" t="n">
        <v>132</v>
      </c>
      <c r="N7252" t="inlineStr">
        <is>
          <t>Molossus molossus</t>
        </is>
      </c>
      <c r="O7252" t="inlineStr">
        <is>
          <t>Serine/threonine-protein phosphatase 2A activator</t>
        </is>
      </c>
    </row>
    <row r="7253">
      <c r="A7253" t="inlineStr"/>
      <c r="B7253" t="inlineStr"/>
      <c r="C7253" t="inlineStr"/>
      <c r="D7253" t="inlineStr"/>
      <c r="E7253">
        <f>HYPERLINK("https://www.uniprot.org/uniprotkb/A0A7L1NCM5/entry", "A0A7L1NCM5")</f>
        <v/>
      </c>
      <c r="F7253" t="n">
        <v>94.7</v>
      </c>
      <c r="G7253" t="n">
        <v>131</v>
      </c>
      <c r="H7253" t="n">
        <v>1.17e-88</v>
      </c>
      <c r="I7253" t="inlineStr">
        <is>
          <t>TrEMBL</t>
        </is>
      </c>
      <c r="J7253" t="inlineStr">
        <is>
          <t>Ptpa</t>
        </is>
      </c>
      <c r="K7253" t="inlineStr">
        <is>
          <t>A0A7L1NCM5_RHICY</t>
        </is>
      </c>
      <c r="L7253" t="inlineStr">
        <is>
          <t>tr|A0A7L1NCM5|A0A7L1NCM5_RHICY Serine/threonine-protein phosphatase 2A activator (Fragment) OS=Rhinopomastus cyanomelas OX=113115 GN=Ptpa PE=3 SV=1</t>
        </is>
      </c>
      <c r="M7253" t="n">
        <v>313</v>
      </c>
      <c r="N7253" t="inlineStr">
        <is>
          <t>Rhinopomastus cyanomelas</t>
        </is>
      </c>
      <c r="O7253" t="inlineStr">
        <is>
          <t>Serine/threonine-protein phosphatase 2A activator (Fragment)</t>
        </is>
      </c>
    </row>
    <row r="7254">
      <c r="A7254" t="inlineStr"/>
      <c r="B7254" t="inlineStr"/>
      <c r="C7254" t="inlineStr"/>
      <c r="D7254" t="inlineStr"/>
      <c r="E7254">
        <f>HYPERLINK("https://www.ncbi.nlm.nih.gov/gene/?term=XP_033923224.1", "XP_033923224.1")</f>
        <v/>
      </c>
      <c r="F7254" t="n">
        <v>94.7</v>
      </c>
      <c r="G7254" t="n">
        <v>131</v>
      </c>
      <c r="H7254" t="n">
        <v>1.35e-88</v>
      </c>
      <c r="I7254" t="inlineStr">
        <is>
          <t>Nr</t>
        </is>
      </c>
      <c r="J7254" t="inlineStr"/>
      <c r="K7254" t="inlineStr"/>
      <c r="L7254" t="inlineStr">
        <is>
          <t>XP_033923224.1 serine/threonine-protein phosphatase 2A activator isoform X1 [Melopsittacus undulatus]</t>
        </is>
      </c>
      <c r="M7254" t="n">
        <v>299</v>
      </c>
      <c r="N7254" t="inlineStr">
        <is>
          <t>Melopsittacus undulatus</t>
        </is>
      </c>
      <c r="O7254" t="inlineStr">
        <is>
          <t>serine/threonine-protein phosphatase 2A activator isoform X1</t>
        </is>
      </c>
    </row>
    <row r="7255">
      <c r="A7255" t="inlineStr"/>
      <c r="B7255" t="inlineStr"/>
      <c r="C7255" t="inlineStr"/>
      <c r="D7255" t="inlineStr"/>
      <c r="E7255">
        <f>HYPERLINK("https://www.ncbi.nlm.nih.gov/gene/?term=XP_009081643.1", "XP_009081643.1")</f>
        <v/>
      </c>
      <c r="F7255" t="n">
        <v>93.90000000000001</v>
      </c>
      <c r="G7255" t="n">
        <v>131</v>
      </c>
      <c r="H7255" t="n">
        <v>1.43e-88</v>
      </c>
      <c r="I7255" t="inlineStr">
        <is>
          <t>Nr</t>
        </is>
      </c>
      <c r="J7255" t="inlineStr"/>
      <c r="K7255" t="inlineStr"/>
      <c r="L7255" t="inlineStr">
        <is>
          <t>XP_009081643.1 PREDICTED: serine/threonine-protein phosphatase 2A activator isoform X2 [Acanthisitta chloris]</t>
        </is>
      </c>
      <c r="M7255" t="n">
        <v>258</v>
      </c>
      <c r="N7255" t="inlineStr">
        <is>
          <t>Acanthisitta chloris</t>
        </is>
      </c>
      <c r="O7255" t="inlineStr">
        <is>
          <t>PREDICTED: serine/threonine-protein phosphatase 2A activator isoform X2</t>
        </is>
      </c>
    </row>
    <row r="7256">
      <c r="A7256" t="inlineStr"/>
      <c r="B7256" t="inlineStr"/>
      <c r="C7256" t="inlineStr"/>
      <c r="D7256" t="inlineStr"/>
      <c r="E7256">
        <f>HYPERLINK("https://www.ncbi.nlm.nih.gov/gene/?term=NP_001089500.1", "NP_001089500.1")</f>
        <v/>
      </c>
      <c r="F7256" t="n">
        <v>95.40000000000001</v>
      </c>
      <c r="G7256" t="n">
        <v>131</v>
      </c>
      <c r="H7256" t="n">
        <v>1.44e-88</v>
      </c>
      <c r="I7256" t="inlineStr">
        <is>
          <t>Nr</t>
        </is>
      </c>
      <c r="J7256" t="inlineStr"/>
      <c r="K7256" t="inlineStr"/>
      <c r="L7256" t="inlineStr">
        <is>
          <t>NP_001089500.1 protein phosphatase 2 phosphatase activator L homeolog [Xenopus laevis]</t>
        </is>
      </c>
      <c r="M7256" t="n">
        <v>323</v>
      </c>
      <c r="N7256" t="inlineStr">
        <is>
          <t>Xenopus laevis</t>
        </is>
      </c>
      <c r="O7256" t="inlineStr">
        <is>
          <t>protein phosphatase 2 phosphatase activator L homeolog</t>
        </is>
      </c>
    </row>
    <row r="7257">
      <c r="A7257" t="inlineStr"/>
      <c r="B7257" t="inlineStr"/>
      <c r="C7257" t="inlineStr"/>
      <c r="D7257" t="inlineStr"/>
      <c r="E7257">
        <f>HYPERLINK("https://www.ncbi.nlm.nih.gov/gene/?term=XP_009886314.1", "XP_009886314.1")</f>
        <v/>
      </c>
      <c r="F7257" t="n">
        <v>93.90000000000001</v>
      </c>
      <c r="G7257" t="n">
        <v>131</v>
      </c>
      <c r="H7257" t="n">
        <v>1.51e-88</v>
      </c>
      <c r="I7257" t="inlineStr">
        <is>
          <t>Nr</t>
        </is>
      </c>
      <c r="J7257" t="inlineStr"/>
      <c r="K7257" t="inlineStr"/>
      <c r="L7257" t="inlineStr">
        <is>
          <t>XP_009886314.1 PREDICTED: serine/threonine-protein phosphatase 2A activator isoform X3 [Charadrius vociferus]</t>
        </is>
      </c>
      <c r="M7257" t="n">
        <v>249</v>
      </c>
      <c r="N7257" t="inlineStr">
        <is>
          <t>Charadrius vociferus</t>
        </is>
      </c>
      <c r="O7257" t="inlineStr">
        <is>
          <t>PREDICTED: serine/threonine-protein phosphatase 2A activator isoform X3</t>
        </is>
      </c>
    </row>
    <row r="7258">
      <c r="A7258" t="inlineStr"/>
      <c r="B7258" t="inlineStr"/>
      <c r="C7258" t="inlineStr"/>
      <c r="D7258" t="inlineStr"/>
      <c r="E7258">
        <f>HYPERLINK("https://www.ncbi.nlm.nih.gov/gene/?term=XP_009929200.1", "XP_009929200.1")</f>
        <v/>
      </c>
      <c r="F7258" t="n">
        <v>93.90000000000001</v>
      </c>
      <c r="G7258" t="n">
        <v>131</v>
      </c>
      <c r="H7258" t="n">
        <v>1.56e-88</v>
      </c>
      <c r="I7258" t="inlineStr">
        <is>
          <t>Nr</t>
        </is>
      </c>
      <c r="J7258" t="inlineStr"/>
      <c r="K7258" t="inlineStr"/>
      <c r="L7258" t="inlineStr">
        <is>
          <t>XP_009929200.1 PREDICTED: serine/threonine-protein phosphatase 2A activator, partial [Haliaeetus albicilla]</t>
        </is>
      </c>
      <c r="M7258" t="n">
        <v>250</v>
      </c>
      <c r="N7258" t="inlineStr">
        <is>
          <t>Haliaeetus albicilla</t>
        </is>
      </c>
      <c r="O7258" t="inlineStr">
        <is>
          <t>PREDICTED: serine/threonine-protein phosphatase 2A activator, partial</t>
        </is>
      </c>
    </row>
    <row r="7259">
      <c r="A7259" t="inlineStr"/>
      <c r="B7259" t="inlineStr"/>
      <c r="C7259" t="inlineStr"/>
      <c r="D7259" t="inlineStr"/>
      <c r="E7259">
        <f>HYPERLINK("https://www.ncbi.nlm.nih.gov/gene/?term=NXU81155.1", "NXU81155.1")</f>
        <v/>
      </c>
      <c r="F7259" t="n">
        <v>93.90000000000001</v>
      </c>
      <c r="G7259" t="n">
        <v>131</v>
      </c>
      <c r="H7259" t="n">
        <v>1.56e-88</v>
      </c>
      <c r="I7259" t="inlineStr">
        <is>
          <t>Nr</t>
        </is>
      </c>
      <c r="J7259" t="inlineStr"/>
      <c r="K7259" t="inlineStr"/>
      <c r="L7259" t="inlineStr">
        <is>
          <t>NXU81155.1 PTPA phosphatase [Oreotrochilus melanogaster]</t>
        </is>
      </c>
      <c r="M7259" t="n">
        <v>250</v>
      </c>
      <c r="N7259" t="inlineStr">
        <is>
          <t>Oreotrochilus melanogaster</t>
        </is>
      </c>
      <c r="O7259" t="inlineStr">
        <is>
          <t>PTPA phosphatase</t>
        </is>
      </c>
    </row>
    <row r="7260">
      <c r="A7260" t="inlineStr"/>
      <c r="B7260" t="inlineStr"/>
      <c r="C7260" t="inlineStr"/>
      <c r="D7260" t="inlineStr"/>
      <c r="E7260">
        <f>HYPERLINK("https://www.ncbi.nlm.nih.gov/gene/?term=NXL95819.1", "NXL95819.1")</f>
        <v/>
      </c>
      <c r="F7260" t="n">
        <v>93.90000000000001</v>
      </c>
      <c r="G7260" t="n">
        <v>131</v>
      </c>
      <c r="H7260" t="n">
        <v>1.56e-88</v>
      </c>
      <c r="I7260" t="inlineStr">
        <is>
          <t>Nr</t>
        </is>
      </c>
      <c r="J7260" t="inlineStr"/>
      <c r="K7260" t="inlineStr"/>
      <c r="L7260" t="inlineStr">
        <is>
          <t>NXL95819.1 PTPA phosphatase [Alectura lathami]</t>
        </is>
      </c>
      <c r="M7260" t="n">
        <v>250</v>
      </c>
      <c r="N7260" t="inlineStr">
        <is>
          <t>Alectura lathami</t>
        </is>
      </c>
      <c r="O7260" t="inlineStr">
        <is>
          <t>PTPA phosphatase</t>
        </is>
      </c>
    </row>
    <row r="7261">
      <c r="A7261" t="inlineStr"/>
      <c r="B7261" t="inlineStr"/>
      <c r="C7261" t="inlineStr"/>
      <c r="D7261" t="inlineStr"/>
      <c r="E7261">
        <f>HYPERLINK("https://www.uniprot.org/uniprotkb/A0A2D4JX63/entry", "A0A2D4JX63")</f>
        <v/>
      </c>
      <c r="F7261" t="n">
        <v>93.8</v>
      </c>
      <c r="G7261" t="n">
        <v>129</v>
      </c>
      <c r="H7261" t="n">
        <v>1.65e-88</v>
      </c>
      <c r="I7261" t="inlineStr">
        <is>
          <t>TrEMBL</t>
        </is>
      </c>
      <c r="J7261" t="inlineStr"/>
      <c r="K7261" t="inlineStr">
        <is>
          <t>A0A2D4JX63_9SAUR</t>
        </is>
      </c>
      <c r="L7261" t="inlineStr">
        <is>
          <t>tr|A0A2D4JX63|A0A2D4JX63_9SAUR Serine/threonine-protein phosphatase 2A activator (Fragment) OS=Micrurus paraensis OX=1970185 PE=3 SV=1</t>
        </is>
      </c>
      <c r="M7261" t="n">
        <v>217</v>
      </c>
      <c r="N7261" t="inlineStr">
        <is>
          <t>Micrurus paraensis</t>
        </is>
      </c>
      <c r="O7261" t="inlineStr">
        <is>
          <t>Serine/threonine-protein phosphatase 2A activator (Fragment)</t>
        </is>
      </c>
    </row>
    <row r="7262">
      <c r="A7262" t="inlineStr"/>
      <c r="B7262" t="inlineStr"/>
      <c r="C7262" t="inlineStr"/>
      <c r="D7262" t="inlineStr"/>
      <c r="E7262">
        <f>HYPERLINK("https://www.ncbi.nlm.nih.gov/gene/?term=XP_042335102.1", "XP_042335102.1")</f>
        <v/>
      </c>
      <c r="F7262" t="n">
        <v>94.7</v>
      </c>
      <c r="G7262" t="n">
        <v>131</v>
      </c>
      <c r="H7262" t="n">
        <v>1.92e-88</v>
      </c>
      <c r="I7262" t="inlineStr">
        <is>
          <t>Nr</t>
        </is>
      </c>
      <c r="J7262" t="inlineStr"/>
      <c r="K7262" t="inlineStr"/>
      <c r="L7262" t="inlineStr">
        <is>
          <t>XP_042335102.1 serine/threonine-protein phosphatase 2A activator isoform X2 [Sceloporus undulatus]</t>
        </is>
      </c>
      <c r="M7262" t="n">
        <v>321</v>
      </c>
      <c r="N7262" t="inlineStr">
        <is>
          <t>Sceloporus undulatus</t>
        </is>
      </c>
      <c r="O7262" t="inlineStr">
        <is>
          <t>serine/threonine-protein phosphatase 2A activator isoform X2</t>
        </is>
      </c>
    </row>
    <row r="7263">
      <c r="A7263" t="inlineStr"/>
      <c r="B7263" t="inlineStr"/>
      <c r="C7263" t="inlineStr"/>
      <c r="D7263" t="inlineStr"/>
      <c r="E7263">
        <f>HYPERLINK("https://www.ncbi.nlm.nih.gov/gene/?term=NXI31012.1", "NXI31012.1")</f>
        <v/>
      </c>
      <c r="F7263" t="n">
        <v>94.7</v>
      </c>
      <c r="G7263" t="n">
        <v>131</v>
      </c>
      <c r="H7263" t="n">
        <v>1.92e-88</v>
      </c>
      <c r="I7263" t="inlineStr">
        <is>
          <t>Nr</t>
        </is>
      </c>
      <c r="J7263" t="inlineStr"/>
      <c r="K7263" t="inlineStr"/>
      <c r="L7263" t="inlineStr">
        <is>
          <t>NXI31012.1 PTPA phosphatase [Sterrhoptilus dennistouni]</t>
        </is>
      </c>
      <c r="M7263" t="n">
        <v>321</v>
      </c>
      <c r="N7263" t="inlineStr">
        <is>
          <t>Sterrhoptilus dennistouni</t>
        </is>
      </c>
      <c r="O7263" t="inlineStr">
        <is>
          <t>PTPA phosphatase</t>
        </is>
      </c>
    </row>
    <row r="7264">
      <c r="A7264" t="inlineStr"/>
      <c r="B7264" t="inlineStr"/>
      <c r="C7264" t="inlineStr"/>
      <c r="D7264" t="inlineStr"/>
      <c r="E7264">
        <f>HYPERLINK("https://www.ncbi.nlm.nih.gov/gene/?term=TRZ21096.1", "TRZ21096.1")</f>
        <v/>
      </c>
      <c r="F7264" t="n">
        <v>94.7</v>
      </c>
      <c r="G7264" t="n">
        <v>131</v>
      </c>
      <c r="H7264" t="n">
        <v>1.92e-88</v>
      </c>
      <c r="I7264" t="inlineStr">
        <is>
          <t>Nr</t>
        </is>
      </c>
      <c r="J7264" t="inlineStr"/>
      <c r="K7264" t="inlineStr"/>
      <c r="L7264" t="inlineStr">
        <is>
          <t>TRZ21096.1 hypothetical protein HGM15179_006031 [Zosterops borbonicus]</t>
        </is>
      </c>
      <c r="M7264" t="n">
        <v>321</v>
      </c>
      <c r="N7264" t="inlineStr">
        <is>
          <t>Zosterops borbonicus</t>
        </is>
      </c>
      <c r="O7264" t="inlineStr">
        <is>
          <t>hypothetical protein HGM15179_006031</t>
        </is>
      </c>
    </row>
    <row r="7265">
      <c r="A7265" t="inlineStr"/>
      <c r="B7265" t="inlineStr"/>
      <c r="C7265" t="inlineStr"/>
      <c r="D7265" t="inlineStr"/>
      <c r="E7265">
        <f>HYPERLINK("https://www.ncbi.nlm.nih.gov/gene/?term=XP_020650540.1", "XP_020650540.1")</f>
        <v/>
      </c>
      <c r="F7265" t="n">
        <v>94.7</v>
      </c>
      <c r="G7265" t="n">
        <v>131</v>
      </c>
      <c r="H7265" t="n">
        <v>1.92e-88</v>
      </c>
      <c r="I7265" t="inlineStr">
        <is>
          <t>Nr</t>
        </is>
      </c>
      <c r="J7265" t="inlineStr"/>
      <c r="K7265" t="inlineStr"/>
      <c r="L7265" t="inlineStr">
        <is>
          <t>XP_020650540.1 serine/threonine-protein phosphatase 2A activator isoform X1 [Pogona vitticeps]</t>
        </is>
      </c>
      <c r="M7265" t="n">
        <v>321</v>
      </c>
      <c r="N7265" t="inlineStr">
        <is>
          <t>Pogona vitticeps</t>
        </is>
      </c>
      <c r="O7265" t="inlineStr">
        <is>
          <t>serine/threonine-protein phosphatase 2A activator isoform X1</t>
        </is>
      </c>
    </row>
    <row r="7266">
      <c r="A7266" t="inlineStr"/>
      <c r="B7266" t="inlineStr"/>
      <c r="C7266" t="inlineStr"/>
      <c r="D7266" t="inlineStr"/>
      <c r="E7266">
        <f>HYPERLINK("https://www.ncbi.nlm.nih.gov/gene/?term=XP_009997207.1", "XP_009997207.1")</f>
        <v/>
      </c>
      <c r="F7266" t="n">
        <v>93.90000000000001</v>
      </c>
      <c r="G7266" t="n">
        <v>131</v>
      </c>
      <c r="H7266" t="n">
        <v>1.97e-88</v>
      </c>
      <c r="I7266" t="inlineStr">
        <is>
          <t>Nr</t>
        </is>
      </c>
      <c r="J7266" t="inlineStr"/>
      <c r="K7266" t="inlineStr"/>
      <c r="L7266" t="inlineStr">
        <is>
          <t>XP_009997207.1 PREDICTED: serine/threonine-protein phosphatase 2A activator isoform X3 [Chaetura pelagica]</t>
        </is>
      </c>
      <c r="M7266" t="n">
        <v>257</v>
      </c>
      <c r="N7266" t="inlineStr">
        <is>
          <t>Chaetura pelagica</t>
        </is>
      </c>
      <c r="O7266" t="inlineStr">
        <is>
          <t>PREDICTED: serine/threonine-protein phosphatase 2A activator isoform X3</t>
        </is>
      </c>
    </row>
    <row r="7267">
      <c r="A7267" t="inlineStr"/>
      <c r="B7267" t="inlineStr"/>
      <c r="C7267" t="inlineStr"/>
      <c r="D7267" t="inlineStr"/>
      <c r="E7267">
        <f>HYPERLINK("https://www.ncbi.nlm.nih.gov/gene/?term=XP_010299361.1", "XP_010299361.1")</f>
        <v/>
      </c>
      <c r="F7267" t="n">
        <v>93.90000000000001</v>
      </c>
      <c r="G7267" t="n">
        <v>131</v>
      </c>
      <c r="H7267" t="n">
        <v>1.97e-88</v>
      </c>
      <c r="I7267" t="inlineStr">
        <is>
          <t>Nr</t>
        </is>
      </c>
      <c r="J7267" t="inlineStr"/>
      <c r="K7267" t="inlineStr"/>
      <c r="L7267" t="inlineStr">
        <is>
          <t>XP_010299361.1 PREDICTED: serine/threonine-protein phosphatase 2A activator isoform X3 [Balearica regulorum gibbericeps]</t>
        </is>
      </c>
      <c r="M7267" t="n">
        <v>257</v>
      </c>
      <c r="N7267" t="inlineStr">
        <is>
          <t>Balearica regulorum gibbericeps</t>
        </is>
      </c>
      <c r="O7267" t="inlineStr">
        <is>
          <t>PREDICTED: serine/threonine-protein phosphatase 2A activator isoform X3</t>
        </is>
      </c>
    </row>
    <row r="7268">
      <c r="A7268" t="inlineStr"/>
      <c r="B7268" t="inlineStr"/>
      <c r="C7268" t="inlineStr"/>
      <c r="D7268" t="inlineStr"/>
      <c r="E7268">
        <f>HYPERLINK("https://www.ncbi.nlm.nih.gov/gene/?term=XP_009948991.1", "XP_009948991.1")</f>
        <v/>
      </c>
      <c r="F7268" t="n">
        <v>93.90000000000001</v>
      </c>
      <c r="G7268" t="n">
        <v>131</v>
      </c>
      <c r="H7268" t="n">
        <v>1.97e-88</v>
      </c>
      <c r="I7268" t="inlineStr">
        <is>
          <t>Nr</t>
        </is>
      </c>
      <c r="J7268" t="inlineStr"/>
      <c r="K7268" t="inlineStr"/>
      <c r="L7268" t="inlineStr">
        <is>
          <t>XP_009948991.1 PREDICTED: serine/threonine-protein phosphatase 2A activator isoform X3 [Leptosomus discolor]</t>
        </is>
      </c>
      <c r="M7268" t="n">
        <v>257</v>
      </c>
      <c r="N7268" t="inlineStr">
        <is>
          <t>Leptosomus discolor</t>
        </is>
      </c>
      <c r="O7268" t="inlineStr">
        <is>
          <t>PREDICTED: serine/threonine-protein phosphatase 2A activator isoform X3</t>
        </is>
      </c>
    </row>
    <row r="7269">
      <c r="A7269" t="inlineStr"/>
      <c r="B7269" t="inlineStr"/>
      <c r="C7269" t="inlineStr"/>
      <c r="D7269" t="inlineStr"/>
      <c r="E7269">
        <f>HYPERLINK("https://www.ncbi.nlm.nih.gov/gene/?term=XP_009475219.1", "XP_009475219.1")</f>
        <v/>
      </c>
      <c r="F7269" t="n">
        <v>93.90000000000001</v>
      </c>
      <c r="G7269" t="n">
        <v>131</v>
      </c>
      <c r="H7269" t="n">
        <v>1.97e-88</v>
      </c>
      <c r="I7269" t="inlineStr">
        <is>
          <t>Nr</t>
        </is>
      </c>
      <c r="J7269" t="inlineStr"/>
      <c r="K7269" t="inlineStr"/>
      <c r="L7269" t="inlineStr">
        <is>
          <t>XP_009475219.1 PREDICTED: serine/threonine-protein phosphatase 2A activator isoform X3 [Nipponia nippon]</t>
        </is>
      </c>
      <c r="M7269" t="n">
        <v>257</v>
      </c>
      <c r="N7269" t="inlineStr">
        <is>
          <t>Nipponia nippon</t>
        </is>
      </c>
      <c r="O7269" t="inlineStr">
        <is>
          <t>PREDICTED: serine/threonine-protein phosphatase 2A activator isoform X3</t>
        </is>
      </c>
    </row>
    <row r="7270">
      <c r="A7270" t="inlineStr"/>
      <c r="B7270" t="inlineStr"/>
      <c r="C7270" t="inlineStr"/>
      <c r="D7270" t="inlineStr"/>
      <c r="E7270">
        <f>HYPERLINK("https://www.ncbi.nlm.nih.gov/gene/?term=XP_010084139.1", "XP_010084139.1")</f>
        <v/>
      </c>
      <c r="F7270" t="n">
        <v>93.90000000000001</v>
      </c>
      <c r="G7270" t="n">
        <v>131</v>
      </c>
      <c r="H7270" t="n">
        <v>1.97e-88</v>
      </c>
      <c r="I7270" t="inlineStr">
        <is>
          <t>Nr</t>
        </is>
      </c>
      <c r="J7270" t="inlineStr"/>
      <c r="K7270" t="inlineStr"/>
      <c r="L7270" t="inlineStr">
        <is>
          <t>XP_010084139.1 PREDICTED: serine/threonine-protein phosphatase 2A activator isoform X3 [Pterocles gutturalis]</t>
        </is>
      </c>
      <c r="M7270" t="n">
        <v>257</v>
      </c>
      <c r="N7270" t="inlineStr">
        <is>
          <t>Pterocles gutturalis</t>
        </is>
      </c>
      <c r="O7270" t="inlineStr">
        <is>
          <t>PREDICTED: serine/threonine-protein phosphatase 2A activator isoform X3</t>
        </is>
      </c>
    </row>
    <row r="7271">
      <c r="A7271" t="inlineStr"/>
      <c r="B7271" t="inlineStr"/>
      <c r="C7271" t="inlineStr"/>
      <c r="D7271" t="inlineStr"/>
      <c r="E7271">
        <f>HYPERLINK("https://www.ncbi.nlm.nih.gov/gene/?term=NXM49048.1", "NXM49048.1")</f>
        <v/>
      </c>
      <c r="F7271" t="n">
        <v>94.7</v>
      </c>
      <c r="G7271" t="n">
        <v>131</v>
      </c>
      <c r="H7271" t="n">
        <v>2.11e-88</v>
      </c>
      <c r="I7271" t="inlineStr">
        <is>
          <t>Nr</t>
        </is>
      </c>
      <c r="J7271" t="inlineStr"/>
      <c r="K7271" t="inlineStr"/>
      <c r="L7271" t="inlineStr">
        <is>
          <t>NXM49048.1 PTPA phosphatase [Gymnorhina tibicen]</t>
        </is>
      </c>
      <c r="M7271" t="n">
        <v>313</v>
      </c>
      <c r="N7271" t="inlineStr">
        <is>
          <t>Gymnorhina tibicen</t>
        </is>
      </c>
      <c r="O7271" t="inlineStr">
        <is>
          <t>PTPA phosphatase</t>
        </is>
      </c>
    </row>
    <row r="7272">
      <c r="A7272" t="inlineStr"/>
      <c r="B7272" t="inlineStr"/>
      <c r="C7272" t="inlineStr"/>
      <c r="D7272" t="inlineStr"/>
      <c r="E7272">
        <f>HYPERLINK("https://www.uniprot.org/uniprotkb/A0A384B5M4/entry", "A0A384B5M4")</f>
        <v/>
      </c>
      <c r="F7272" t="n">
        <v>93.90000000000001</v>
      </c>
      <c r="G7272" t="n">
        <v>131</v>
      </c>
      <c r="H7272" t="n">
        <v>2.12e-88</v>
      </c>
      <c r="I7272" t="inlineStr">
        <is>
          <t>TrEMBL</t>
        </is>
      </c>
      <c r="J7272" t="inlineStr">
        <is>
          <t>PTPA</t>
        </is>
      </c>
      <c r="K7272" t="inlineStr">
        <is>
          <t>A0A384B5M4_BALAS</t>
        </is>
      </c>
      <c r="L7272" t="inlineStr">
        <is>
          <t>tr|A0A384B5M4|A0A384B5M4_BALAS Serine/threonine-protein phosphatase 2A activator OS=Balaenoptera acutorostrata scammoni OX=310752 GN=PTPA PE=3 SV=1</t>
        </is>
      </c>
      <c r="M7272" t="n">
        <v>288</v>
      </c>
      <c r="N7272" t="inlineStr">
        <is>
          <t>Balaenoptera acutorostrata scammoni</t>
        </is>
      </c>
      <c r="O7272" t="inlineStr">
        <is>
          <t>Serine/threonine-protein phosphatase 2A activator</t>
        </is>
      </c>
    </row>
    <row r="7273">
      <c r="A7273" t="inlineStr"/>
      <c r="B7273" t="inlineStr"/>
      <c r="C7273" t="inlineStr"/>
      <c r="D7273" t="inlineStr"/>
      <c r="E7273">
        <f>HYPERLINK("https://www.uniprot.org/uniprotkb/A0A8D2QC64/entry", "A0A8D2QC64")</f>
        <v/>
      </c>
      <c r="F7273" t="n">
        <v>93.90000000000001</v>
      </c>
      <c r="G7273" t="n">
        <v>131</v>
      </c>
      <c r="H7273" t="n">
        <v>2.13e-88</v>
      </c>
      <c r="I7273" t="inlineStr">
        <is>
          <t>TrEMBL</t>
        </is>
      </c>
      <c r="J7273" t="inlineStr">
        <is>
          <t>PTPA</t>
        </is>
      </c>
      <c r="K7273" t="inlineStr">
        <is>
          <t>A0A8D2QC64_ZONAL</t>
        </is>
      </c>
      <c r="L7273" t="inlineStr">
        <is>
          <t>tr|A0A8D2QC64|A0A8D2QC64_ZONAL Serine/threonine-protein phosphatase 2A activator OS=Zonotrichia albicollis OX=44394 GN=PTPA PE=3 SV=1</t>
        </is>
      </c>
      <c r="M7273" t="n">
        <v>299</v>
      </c>
      <c r="N7273" t="inlineStr">
        <is>
          <t>Zonotrichia albicollis</t>
        </is>
      </c>
      <c r="O7273" t="inlineStr">
        <is>
          <t>Serine/threonine-protein phosphatase 2A activator</t>
        </is>
      </c>
    </row>
    <row r="7274">
      <c r="A7274" t="inlineStr"/>
      <c r="B7274" t="inlineStr"/>
      <c r="C7274" t="inlineStr"/>
      <c r="D7274" t="inlineStr"/>
      <c r="E7274">
        <f>HYPERLINK("https://www.uniprot.org/uniprotkb/A0A6I9HHL1/entry", "A0A6I9HHL1")</f>
        <v/>
      </c>
      <c r="F7274" t="n">
        <v>93.90000000000001</v>
      </c>
      <c r="G7274" t="n">
        <v>131</v>
      </c>
      <c r="H7274" t="n">
        <v>2.13e-88</v>
      </c>
      <c r="I7274" t="inlineStr">
        <is>
          <t>TrEMBL</t>
        </is>
      </c>
      <c r="J7274" t="inlineStr">
        <is>
          <t>PTPA</t>
        </is>
      </c>
      <c r="K7274" t="inlineStr">
        <is>
          <t>A0A6I9HHL1_GEOFO</t>
        </is>
      </c>
      <c r="L7274" t="inlineStr">
        <is>
          <t>tr|A0A6I9HHL1|A0A6I9HHL1_GEOFO Serine/threonine-protein phosphatase 2A activator OS=Geospiza fortis OX=48883 GN=PTPA PE=3 SV=1</t>
        </is>
      </c>
      <c r="M7274" t="n">
        <v>299</v>
      </c>
      <c r="N7274" t="inlineStr">
        <is>
          <t>Geospiza fortis</t>
        </is>
      </c>
      <c r="O7274" t="inlineStr">
        <is>
          <t>Serine/threonine-protein phosphatase 2A activator</t>
        </is>
      </c>
    </row>
    <row r="7275">
      <c r="A7275" t="inlineStr"/>
      <c r="B7275" t="inlineStr"/>
      <c r="C7275" t="inlineStr"/>
      <c r="D7275" t="inlineStr"/>
      <c r="E7275">
        <f>HYPERLINK("https://www.uniprot.org/uniprotkb/A0A6J0GVZ4/entry", "A0A6J0GVZ4")</f>
        <v/>
      </c>
      <c r="F7275" t="n">
        <v>93.90000000000001</v>
      </c>
      <c r="G7275" t="n">
        <v>131</v>
      </c>
      <c r="H7275" t="n">
        <v>2.13e-88</v>
      </c>
      <c r="I7275" t="inlineStr">
        <is>
          <t>TrEMBL</t>
        </is>
      </c>
      <c r="J7275" t="inlineStr">
        <is>
          <t>PTPA</t>
        </is>
      </c>
      <c r="K7275" t="inlineStr">
        <is>
          <t>A0A6J0GVZ4_9PASS</t>
        </is>
      </c>
      <c r="L7275" t="inlineStr">
        <is>
          <t>tr|A0A6J0GVZ4|A0A6J0GVZ4_9PASS Serine/threonine-protein phosphatase 2A activator OS=Lepidothrix coronata OX=321398 GN=PTPA PE=3 SV=1</t>
        </is>
      </c>
      <c r="M7275" t="n">
        <v>299</v>
      </c>
      <c r="N7275" t="inlineStr">
        <is>
          <t>Lepidothrix coronata</t>
        </is>
      </c>
      <c r="O7275" t="inlineStr">
        <is>
          <t>Serine/threonine-protein phosphatase 2A activator</t>
        </is>
      </c>
    </row>
    <row r="7276">
      <c r="A7276" t="inlineStr"/>
      <c r="B7276" t="inlineStr"/>
      <c r="C7276" t="inlineStr"/>
      <c r="D7276" t="inlineStr"/>
      <c r="E7276">
        <f>HYPERLINK("https://www.uniprot.org/uniprotkb/A0A8C3QA61/entry", "A0A8C3QA61")</f>
        <v/>
      </c>
      <c r="F7276" t="n">
        <v>93.90000000000001</v>
      </c>
      <c r="G7276" t="n">
        <v>131</v>
      </c>
      <c r="H7276" t="n">
        <v>2.13e-88</v>
      </c>
      <c r="I7276" t="inlineStr">
        <is>
          <t>TrEMBL</t>
        </is>
      </c>
      <c r="J7276" t="inlineStr">
        <is>
          <t>PTPA</t>
        </is>
      </c>
      <c r="K7276" t="inlineStr">
        <is>
          <t>A0A8C3QA61_GEOPR</t>
        </is>
      </c>
      <c r="L7276" t="inlineStr">
        <is>
          <t>tr|A0A8C3QA61|A0A8C3QA61_GEOPR Serine/threonine-protein phosphatase 2A activator OS=Geospiza parvula OX=87175 GN=PTPA PE=3 SV=1</t>
        </is>
      </c>
      <c r="M7276" t="n">
        <v>299</v>
      </c>
      <c r="N7276" t="inlineStr">
        <is>
          <t>Geospiza parvula</t>
        </is>
      </c>
      <c r="O7276" t="inlineStr">
        <is>
          <t>Serine/threonine-protein phosphatase 2A activator</t>
        </is>
      </c>
    </row>
    <row r="7277">
      <c r="A7277" t="inlineStr"/>
      <c r="B7277" t="inlineStr"/>
      <c r="C7277" t="inlineStr"/>
      <c r="D7277" t="inlineStr"/>
      <c r="E7277">
        <f>HYPERLINK("https://www.ncbi.nlm.nih.gov/gene/?term=XP_009886313.1", "XP_009886313.1")</f>
        <v/>
      </c>
      <c r="F7277" t="n">
        <v>93.90000000000001</v>
      </c>
      <c r="G7277" t="n">
        <v>131</v>
      </c>
      <c r="H7277" t="n">
        <v>2.32e-88</v>
      </c>
      <c r="I7277" t="inlineStr">
        <is>
          <t>Nr</t>
        </is>
      </c>
      <c r="J7277" t="inlineStr"/>
      <c r="K7277" t="inlineStr"/>
      <c r="L7277" t="inlineStr">
        <is>
          <t>XP_009886313.1 PREDICTED: serine/threonine-protein phosphatase 2A activator isoform X2 [Charadrius vociferus]</t>
        </is>
      </c>
      <c r="M7277" t="n">
        <v>262</v>
      </c>
      <c r="N7277" t="inlineStr">
        <is>
          <t>Charadrius vociferus</t>
        </is>
      </c>
      <c r="O7277" t="inlineStr">
        <is>
          <t>PREDICTED: serine/threonine-protein phosphatase 2A activator isoform X2</t>
        </is>
      </c>
    </row>
    <row r="7278">
      <c r="A7278" t="inlineStr"/>
      <c r="B7278" t="inlineStr"/>
      <c r="C7278" t="inlineStr"/>
      <c r="D7278" t="inlineStr"/>
      <c r="E7278">
        <f>HYPERLINK("https://www.uniprot.org/uniprotkb/A0A8C3C9K5/entry", "A0A8C3C9K5")</f>
        <v/>
      </c>
      <c r="F7278" t="n">
        <v>93.90000000000001</v>
      </c>
      <c r="G7278" t="n">
        <v>131</v>
      </c>
      <c r="H7278" t="n">
        <v>2.33e-88</v>
      </c>
      <c r="I7278" t="inlineStr">
        <is>
          <t>TrEMBL</t>
        </is>
      </c>
      <c r="J7278" t="inlineStr"/>
      <c r="K7278" t="inlineStr">
        <is>
          <t>A0A8C3C9K5_CAIMO</t>
        </is>
      </c>
      <c r="L7278" t="inlineStr">
        <is>
          <t>tr|A0A8C3C9K5|A0A8C3C9K5_CAIMO Serine/threonine-protein phosphatase 2A activator OS=Cairina moschata domestica OX=1240228 PE=3 SV=1</t>
        </is>
      </c>
      <c r="M7278" t="n">
        <v>291</v>
      </c>
      <c r="N7278" t="inlineStr">
        <is>
          <t>Cairina moschata domestica</t>
        </is>
      </c>
      <c r="O7278" t="inlineStr">
        <is>
          <t>Serine/threonine-protein phosphatase 2A activator</t>
        </is>
      </c>
    </row>
    <row r="7279">
      <c r="A7279" t="inlineStr"/>
      <c r="B7279" t="inlineStr"/>
      <c r="C7279" t="inlineStr"/>
      <c r="D7279" t="inlineStr"/>
      <c r="E7279">
        <f>HYPERLINK("https://www.ncbi.nlm.nih.gov/gene/?term=XP_009567757.1", "XP_009567757.1")</f>
        <v/>
      </c>
      <c r="F7279" t="n">
        <v>93.90000000000001</v>
      </c>
      <c r="G7279" t="n">
        <v>131</v>
      </c>
      <c r="H7279" t="n">
        <v>2.65e-88</v>
      </c>
      <c r="I7279" t="inlineStr">
        <is>
          <t>Nr</t>
        </is>
      </c>
      <c r="J7279" t="inlineStr"/>
      <c r="K7279" t="inlineStr"/>
      <c r="L7279" t="inlineStr">
        <is>
          <t>XP_009567757.1 PREDICTED: serine/threonine-protein phosphatase 2A activator isoform X3 [Cuculus canorus]</t>
        </is>
      </c>
      <c r="M7279" t="n">
        <v>266</v>
      </c>
      <c r="N7279" t="inlineStr">
        <is>
          <t>Cuculus canorus</t>
        </is>
      </c>
      <c r="O7279" t="inlineStr">
        <is>
          <t>PREDICTED: serine/threonine-protein phosphatase 2A activator isoform X3</t>
        </is>
      </c>
    </row>
    <row r="7280">
      <c r="A7280" t="inlineStr"/>
      <c r="B7280" t="inlineStr"/>
      <c r="C7280" t="inlineStr"/>
      <c r="D7280" t="inlineStr"/>
      <c r="E7280">
        <f>HYPERLINK("https://www.uniprot.org/uniprotkb/A0A8C0B973/entry", "A0A8C0B973")</f>
        <v/>
      </c>
      <c r="F7280" t="n">
        <v>93.90000000000001</v>
      </c>
      <c r="G7280" t="n">
        <v>131</v>
      </c>
      <c r="H7280" t="n">
        <v>3.02e-88</v>
      </c>
      <c r="I7280" t="inlineStr">
        <is>
          <t>TrEMBL</t>
        </is>
      </c>
      <c r="J7280" t="inlineStr"/>
      <c r="K7280" t="inlineStr">
        <is>
          <t>A0A8C0B973_9AVES</t>
        </is>
      </c>
      <c r="L7280" t="inlineStr">
        <is>
          <t>tr|A0A8C0B973|A0A8C0B973_9AVES Serine/threonine-protein phosphatase 2A activator OS=Buteo japonicus OX=224669 PE=3 SV=1</t>
        </is>
      </c>
      <c r="M7280" t="n">
        <v>299</v>
      </c>
      <c r="N7280" t="inlineStr">
        <is>
          <t>Buteo japonicus</t>
        </is>
      </c>
      <c r="O7280" t="inlineStr">
        <is>
          <t>Serine/threonine-protein phosphatase 2A activator</t>
        </is>
      </c>
    </row>
    <row r="7281">
      <c r="A7281" t="inlineStr"/>
      <c r="B7281" t="inlineStr"/>
      <c r="C7281" t="inlineStr"/>
      <c r="D7281" t="inlineStr"/>
      <c r="E7281">
        <f>HYPERLINK("https://www.uniprot.org/uniprotkb/P58389/entry", "P58389")</f>
        <v/>
      </c>
      <c r="F7281" t="n">
        <v>91.59999999999999</v>
      </c>
      <c r="G7281" t="n">
        <v>131</v>
      </c>
      <c r="H7281" t="n">
        <v>3.11e-88</v>
      </c>
      <c r="I7281" t="inlineStr">
        <is>
          <t>Swiss-Prot</t>
        </is>
      </c>
      <c r="J7281" t="inlineStr">
        <is>
          <t>Ptpa</t>
        </is>
      </c>
      <c r="K7281" t="inlineStr">
        <is>
          <t>PTPA_MOUSE</t>
        </is>
      </c>
      <c r="L7281" t="inlineStr">
        <is>
          <t>sp|P58389|PTPA_MOUSE Serine/threonine-protein phosphatase 2A activator OS=Mus musculus OX=10090 GN=Ptpa PE=1 SV=1</t>
        </is>
      </c>
      <c r="M7281" t="n">
        <v>323</v>
      </c>
      <c r="N7281" t="inlineStr">
        <is>
          <t>Mus musculus</t>
        </is>
      </c>
      <c r="O7281" t="inlineStr">
        <is>
          <t>Serine/threonine-protein phosphatase 2A activator</t>
        </is>
      </c>
    </row>
    <row r="7282">
      <c r="A7282" t="inlineStr"/>
      <c r="B7282" t="inlineStr"/>
      <c r="C7282" t="inlineStr"/>
      <c r="D7282" t="inlineStr"/>
      <c r="E7282">
        <f>HYPERLINK("https://www.uniprot.org/uniprotkb/O36016/entry", "O36016")</f>
        <v/>
      </c>
      <c r="F7282" t="n">
        <v>53.8</v>
      </c>
      <c r="G7282" t="n">
        <v>130</v>
      </c>
      <c r="H7282" t="n">
        <v>4.68e-45</v>
      </c>
      <c r="I7282" t="inlineStr">
        <is>
          <t>Swiss-Prot</t>
        </is>
      </c>
      <c r="J7282" t="inlineStr">
        <is>
          <t>rrd1</t>
        </is>
      </c>
      <c r="K7282" t="inlineStr">
        <is>
          <t>PTPA1_SCHPO</t>
        </is>
      </c>
      <c r="L7282" t="inlineStr">
        <is>
          <t>sp|O36016|PTPA1_SCHPO Serine/threonine-protein phosphatase 2A activator 1 OS=Schizosaccharomyces pombe (strain 972 / ATCC 24843) OX=284812 GN=rrd1 PE=3 SV=1</t>
        </is>
      </c>
      <c r="M7282" t="n">
        <v>325</v>
      </c>
      <c r="N7282" t="inlineStr">
        <is>
          <t>Schizosaccharomyces pombe (strain 972 / ATCC 24843)</t>
        </is>
      </c>
      <c r="O7282" t="inlineStr">
        <is>
          <t>Serine/threonine-protein phosphatase 2A activator 1</t>
        </is>
      </c>
    </row>
    <row r="7283">
      <c r="A7283" t="inlineStr"/>
      <c r="B7283" t="inlineStr"/>
      <c r="C7283" t="inlineStr"/>
      <c r="D7283" t="inlineStr"/>
      <c r="E7283">
        <f>HYPERLINK("https://www.uniprot.org/uniprotkb/Q55CJ3/entry", "Q55CJ3")</f>
        <v/>
      </c>
      <c r="F7283" t="n">
        <v>50.4</v>
      </c>
      <c r="G7283" t="n">
        <v>125</v>
      </c>
      <c r="H7283" t="n">
        <v>1.31e-44</v>
      </c>
      <c r="I7283" t="inlineStr">
        <is>
          <t>Swiss-Prot</t>
        </is>
      </c>
      <c r="J7283" t="inlineStr">
        <is>
          <t>ppp2r4A</t>
        </is>
      </c>
      <c r="K7283" t="inlineStr">
        <is>
          <t>PTPA1_DICDI</t>
        </is>
      </c>
      <c r="L7283" t="inlineStr">
        <is>
          <t>sp|Q55CJ3|PTPA1_DICDI Probable serine/threonine-protein phosphatase 2A activator 1 OS=Dictyostelium discoideum OX=44689 GN=ppp2r4A PE=3 SV=1</t>
        </is>
      </c>
      <c r="M7283" t="n">
        <v>325</v>
      </c>
      <c r="N7283" t="inlineStr">
        <is>
          <t>Dictyostelium discoideum</t>
        </is>
      </c>
      <c r="O7283" t="inlineStr">
        <is>
          <t>Probable serine/threonine-protein phosphatase 2A activator 1</t>
        </is>
      </c>
    </row>
    <row r="7284">
      <c r="A7284" t="inlineStr"/>
      <c r="B7284" t="inlineStr"/>
      <c r="C7284" t="inlineStr"/>
      <c r="D7284" t="inlineStr"/>
      <c r="E7284">
        <f>HYPERLINK("https://www.uniprot.org/uniprotkb/P0CQ03/entry", "P0CQ03")</f>
        <v/>
      </c>
      <c r="F7284" t="n">
        <v>56</v>
      </c>
      <c r="G7284" t="n">
        <v>125</v>
      </c>
      <c r="H7284" t="n">
        <v>1.81e-43</v>
      </c>
      <c r="I7284" t="inlineStr">
        <is>
          <t>Swiss-Prot</t>
        </is>
      </c>
      <c r="J7284" t="inlineStr">
        <is>
          <t>RRD2</t>
        </is>
      </c>
      <c r="K7284" t="inlineStr">
        <is>
          <t>PTPA2_CRYNB</t>
        </is>
      </c>
      <c r="L7284" t="inlineStr">
        <is>
          <t>sp|P0CQ03|PTPA2_CRYNB Serine/threonine-protein phosphatase 2A activator 2 OS=Cryptococcus neoformans var. neoformans serotype D (strain B-3501A) OX=283643 GN=RRD2 PE=3 SV=1</t>
        </is>
      </c>
      <c r="M7284" t="n">
        <v>382</v>
      </c>
      <c r="N7284" t="inlineStr">
        <is>
          <t>Cryptococcus neoformans var. neoformans serotype D (strain B-3501A)</t>
        </is>
      </c>
      <c r="O7284" t="inlineStr">
        <is>
          <t>Serine/threonine-protein phosphatase 2A activator 2</t>
        </is>
      </c>
    </row>
    <row r="7285">
      <c r="A7285" t="inlineStr"/>
      <c r="B7285" t="inlineStr"/>
      <c r="C7285" t="inlineStr"/>
      <c r="D7285" t="inlineStr"/>
      <c r="E7285">
        <f>HYPERLINK("https://www.uniprot.org/uniprotkb/P0CQ02/entry", "P0CQ02")</f>
        <v/>
      </c>
      <c r="F7285" t="n">
        <v>56</v>
      </c>
      <c r="G7285" t="n">
        <v>125</v>
      </c>
      <c r="H7285" t="n">
        <v>1.81e-43</v>
      </c>
      <c r="I7285" t="inlineStr">
        <is>
          <t>Swiss-Prot</t>
        </is>
      </c>
      <c r="J7285" t="inlineStr">
        <is>
          <t>RRD2</t>
        </is>
      </c>
      <c r="K7285" t="inlineStr">
        <is>
          <t>PTPA2_CRYNJ</t>
        </is>
      </c>
      <c r="L7285" t="inlineStr">
        <is>
          <t>sp|P0CQ02|PTPA2_CRYNJ Serine/threonine-protein phosphatase 2A activator 2 OS=Cryptococcus neoformans var. neoformans serotype D (strain JEC21 / ATCC MYA-565) OX=214684 GN=RRD2 PE=3 SV=1</t>
        </is>
      </c>
      <c r="M7285" t="n">
        <v>382</v>
      </c>
      <c r="N7285" t="inlineStr">
        <is>
          <t>Cryptococcus neoformans var. neoformans serotype D (strain JEC21 / ATCC MYA-565)</t>
        </is>
      </c>
      <c r="O7285" t="inlineStr">
        <is>
          <t>Serine/threonine-protein phosphatase 2A activator 2</t>
        </is>
      </c>
    </row>
    <row r="7286">
      <c r="A7286" t="inlineStr"/>
      <c r="B7286" t="inlineStr"/>
      <c r="C7286" t="inlineStr"/>
      <c r="D7286" t="inlineStr"/>
      <c r="E7286">
        <f>HYPERLINK("https://www.uniprot.org/uniprotkb/Q6BU97/entry", "Q6BU97")</f>
        <v/>
      </c>
      <c r="F7286" t="n">
        <v>50.4</v>
      </c>
      <c r="G7286" t="n">
        <v>133</v>
      </c>
      <c r="H7286" t="n">
        <v>5.2e-43</v>
      </c>
      <c r="I7286" t="inlineStr">
        <is>
          <t>Swiss-Prot</t>
        </is>
      </c>
      <c r="J7286" t="inlineStr">
        <is>
          <t>RRD2</t>
        </is>
      </c>
      <c r="K7286" t="inlineStr">
        <is>
          <t>PTPA2_DEBHA</t>
        </is>
      </c>
      <c r="L7286" t="inlineStr">
        <is>
          <t>sp|Q6BU97|PTPA2_DEBHA Serine/threonine-protein phosphatase 2A activator 2 OS=Debaryomyces hansenii (strain ATCC 36239 / CBS 767 / BCRC 21394 / JCM 1990 / NBRC 0083 / IGC 2968) OX=284592 GN=RRD2 PE=3 SV=2</t>
        </is>
      </c>
      <c r="M7286" t="n">
        <v>367</v>
      </c>
      <c r="N7286" t="inlineStr">
        <is>
          <t>Debaryomyces hansenii (strain ATCC 36239 / CBS 767 / BCRC 21394 / JCM 1990 / NBRC 0083 / IGC 2968)</t>
        </is>
      </c>
      <c r="O7286" t="inlineStr">
        <is>
          <t>Serine/threonine-protein phosphatase 2A activator 2</t>
        </is>
      </c>
    </row>
    <row r="7287">
      <c r="A7287" t="inlineStr"/>
      <c r="B7287" t="inlineStr"/>
      <c r="C7287" t="inlineStr"/>
      <c r="D7287" t="inlineStr"/>
      <c r="E7287">
        <f>HYPERLINK("https://www.uniprot.org/uniprotkb/Q4PCR0/entry", "Q4PCR0")</f>
        <v/>
      </c>
      <c r="F7287" t="n">
        <v>54</v>
      </c>
      <c r="G7287" t="n">
        <v>124</v>
      </c>
      <c r="H7287" t="n">
        <v>1.48e-41</v>
      </c>
      <c r="I7287" t="inlineStr">
        <is>
          <t>Swiss-Prot</t>
        </is>
      </c>
      <c r="J7287" t="inlineStr">
        <is>
          <t>RRD2</t>
        </is>
      </c>
      <c r="K7287" t="inlineStr">
        <is>
          <t>PTPA2_USTMA</t>
        </is>
      </c>
      <c r="L7287" t="inlineStr">
        <is>
          <t>sp|Q4PCR0|PTPA2_USTMA Serine/threonine-protein phosphatase 2A activator 2 OS=Ustilago maydis (strain 521 / FGSC 9021) OX=237631 GN=RRD2 PE=3 SV=1</t>
        </is>
      </c>
      <c r="M7287" t="n">
        <v>457</v>
      </c>
      <c r="N7287" t="inlineStr">
        <is>
          <t>Ustilago maydis (strain 521 / FGSC 9021)</t>
        </is>
      </c>
      <c r="O7287" t="inlineStr">
        <is>
          <t>Serine/threonine-protein phosphatase 2A activator 2</t>
        </is>
      </c>
    </row>
    <row r="7288">
      <c r="A7288" t="inlineStr"/>
      <c r="B7288" t="inlineStr"/>
      <c r="C7288" t="inlineStr"/>
      <c r="D7288" t="inlineStr"/>
      <c r="E7288">
        <f>HYPERLINK("https://www.uniprot.org/uniprotkb/Q9P7H4/entry", "Q9P7H4")</f>
        <v/>
      </c>
      <c r="F7288" t="n">
        <v>49.2</v>
      </c>
      <c r="G7288" t="n">
        <v>132</v>
      </c>
      <c r="H7288" t="n">
        <v>1.78e-40</v>
      </c>
      <c r="I7288" t="inlineStr">
        <is>
          <t>Swiss-Prot</t>
        </is>
      </c>
      <c r="J7288" t="inlineStr">
        <is>
          <t>rrd2</t>
        </is>
      </c>
      <c r="K7288" t="inlineStr">
        <is>
          <t>PTPA2_SCHPO</t>
        </is>
      </c>
      <c r="L7288" t="inlineStr">
        <is>
          <t>sp|Q9P7H4|PTPA2_SCHPO Serine/threonine-protein phosphatase 2A activator 2 OS=Schizosaccharomyces pombe (strain 972 / ATCC 24843) OX=284812 GN=rrd2 PE=3 SV=1</t>
        </is>
      </c>
      <c r="M7288" t="n">
        <v>352</v>
      </c>
      <c r="N7288" t="inlineStr">
        <is>
          <t>Schizosaccharomyces pombe (strain 972 / ATCC 24843)</t>
        </is>
      </c>
      <c r="O7288" t="inlineStr">
        <is>
          <t>Serine/threonine-protein phosphatase 2A activator 2</t>
        </is>
      </c>
    </row>
    <row r="7289">
      <c r="A7289" t="inlineStr"/>
      <c r="B7289" t="inlineStr"/>
      <c r="C7289" t="inlineStr"/>
      <c r="D7289" t="inlineStr"/>
      <c r="E7289">
        <f>HYPERLINK("https://www.uniprot.org/uniprotkb/Q59ST6/entry", "Q59ST6")</f>
        <v/>
      </c>
      <c r="F7289" t="n">
        <v>48.9</v>
      </c>
      <c r="G7289" t="n">
        <v>131</v>
      </c>
      <c r="H7289" t="n">
        <v>2.19e-39</v>
      </c>
      <c r="I7289" t="inlineStr">
        <is>
          <t>Swiss-Prot</t>
        </is>
      </c>
      <c r="J7289" t="inlineStr">
        <is>
          <t>RRD2</t>
        </is>
      </c>
      <c r="K7289" t="inlineStr">
        <is>
          <t>PTPA2_CANAL</t>
        </is>
      </c>
      <c r="L7289" t="inlineStr">
        <is>
          <t>sp|Q59ST6|PTPA2_CANAL Serine/threonine-protein phosphatase 2A activator 2 OS=Candida albicans (strain SC5314 / ATCC MYA-2876) OX=237561 GN=RRD2 PE=3 SV=1</t>
        </is>
      </c>
      <c r="M7289" t="n">
        <v>358</v>
      </c>
      <c r="N7289" t="inlineStr">
        <is>
          <t>Candida albicans (strain SC5314 / ATCC MYA-2876)</t>
        </is>
      </c>
      <c r="O7289" t="inlineStr">
        <is>
          <t>Serine/threonine-protein phosphatase 2A activator 2</t>
        </is>
      </c>
    </row>
    <row r="7290">
      <c r="A7290" t="inlineStr"/>
      <c r="B7290" t="inlineStr"/>
      <c r="C7290" t="inlineStr"/>
      <c r="D7290" t="inlineStr"/>
      <c r="E7290">
        <f>HYPERLINK("https://www.uniprot.org/uniprotkb/Q54WH6/entry", "Q54WH6")</f>
        <v/>
      </c>
      <c r="F7290" t="n">
        <v>49.2</v>
      </c>
      <c r="G7290" t="n">
        <v>126</v>
      </c>
      <c r="H7290" t="n">
        <v>7.23e-39</v>
      </c>
      <c r="I7290" t="inlineStr">
        <is>
          <t>Swiss-Prot</t>
        </is>
      </c>
      <c r="J7290" t="inlineStr">
        <is>
          <t>ppp2r4B</t>
        </is>
      </c>
      <c r="K7290" t="inlineStr">
        <is>
          <t>PTPA2_DICDI</t>
        </is>
      </c>
      <c r="L7290" t="inlineStr">
        <is>
          <t>sp|Q54WH6|PTPA2_DICDI Probable serine/threonine-protein phosphatase 2A activator 2 OS=Dictyostelium discoideum OX=44689 GN=ppp2r4B PE=3 SV=1</t>
        </is>
      </c>
      <c r="M7290" t="n">
        <v>468</v>
      </c>
      <c r="N7290" t="inlineStr">
        <is>
          <t>Dictyostelium discoideum</t>
        </is>
      </c>
      <c r="O7290" t="inlineStr">
        <is>
          <t>Probable serine/threonine-protein phosphatase 2A activator 2</t>
        </is>
      </c>
    </row>
    <row r="7291">
      <c r="A7291" t="inlineStr"/>
      <c r="B7291" t="inlineStr"/>
      <c r="C7291" t="inlineStr"/>
      <c r="D7291" t="inlineStr"/>
      <c r="E7291">
        <f>HYPERLINK("https://www.uniprot.org/uniprotkb/Q6C712/entry", "Q6C712")</f>
        <v/>
      </c>
      <c r="F7291" t="n">
        <v>48</v>
      </c>
      <c r="G7291" t="n">
        <v>125</v>
      </c>
      <c r="H7291" t="n">
        <v>7.09e-36</v>
      </c>
      <c r="I7291" t="inlineStr">
        <is>
          <t>Swiss-Prot</t>
        </is>
      </c>
      <c r="J7291" t="inlineStr">
        <is>
          <t>RRD2</t>
        </is>
      </c>
      <c r="K7291" t="inlineStr">
        <is>
          <t>PTPA2_YARLI</t>
        </is>
      </c>
      <c r="L7291" t="inlineStr">
        <is>
          <t>sp|Q6C712|PTPA2_YARLI Serine/threonine-protein phosphatase 2A activator 2 OS=Yarrowia lipolytica (strain CLIB 122 / E 150) OX=284591 GN=RRD2 PE=3 SV=2</t>
        </is>
      </c>
      <c r="M7291" t="n">
        <v>354</v>
      </c>
      <c r="N7291" t="inlineStr">
        <is>
          <t>Yarrowia lipolytica (strain CLIB 122 / E 150)</t>
        </is>
      </c>
      <c r="O7291" t="inlineStr">
        <is>
          <t>Serine/threonine-protein phosphatase 2A activator 2</t>
        </is>
      </c>
    </row>
    <row r="7292">
      <c r="A7292" t="inlineStr"/>
      <c r="B7292" t="inlineStr"/>
      <c r="C7292" t="inlineStr"/>
      <c r="D7292" t="inlineStr"/>
      <c r="E7292">
        <f>HYPERLINK("https://www.uniprot.org/uniprotkb/Q2UN27/entry", "Q2UN27")</f>
        <v/>
      </c>
      <c r="F7292" t="n">
        <v>47.8</v>
      </c>
      <c r="G7292" t="n">
        <v>138</v>
      </c>
      <c r="H7292" t="n">
        <v>8.78e-36</v>
      </c>
      <c r="I7292" t="inlineStr">
        <is>
          <t>Swiss-Prot</t>
        </is>
      </c>
      <c r="J7292" t="inlineStr">
        <is>
          <t>rrd1</t>
        </is>
      </c>
      <c r="K7292" t="inlineStr">
        <is>
          <t>PTPA1_ASPOR</t>
        </is>
      </c>
      <c r="L7292" t="inlineStr">
        <is>
          <t>sp|Q2UN27|PTPA1_ASPOR Serine/threonine-protein phosphatase 2A activator 1 OS=Aspergillus oryzae (strain ATCC 42149 / RIB 40) OX=510516 GN=rrd1 PE=3 SV=1</t>
        </is>
      </c>
      <c r="M7292" t="n">
        <v>478</v>
      </c>
      <c r="N7292" t="inlineStr">
        <is>
          <t>Aspergillus oryzae (strain ATCC 42149 / RIB 40)</t>
        </is>
      </c>
      <c r="O7292" t="inlineStr">
        <is>
          <t>Serine/threonine-protein phosphatase 2A activator 1</t>
        </is>
      </c>
    </row>
    <row r="7293">
      <c r="A7293" t="inlineStr"/>
      <c r="B7293" t="inlineStr"/>
      <c r="C7293" t="inlineStr"/>
      <c r="D7293" t="inlineStr"/>
      <c r="E7293">
        <f>HYPERLINK("https://www.uniprot.org/uniprotkb/Q6CYH1/entry", "Q6CYH1")</f>
        <v/>
      </c>
      <c r="F7293" t="n">
        <v>48.4</v>
      </c>
      <c r="G7293" t="n">
        <v>124</v>
      </c>
      <c r="H7293" t="n">
        <v>2.06e-34</v>
      </c>
      <c r="I7293" t="inlineStr">
        <is>
          <t>Swiss-Prot</t>
        </is>
      </c>
      <c r="J7293" t="inlineStr">
        <is>
          <t>RRD1</t>
        </is>
      </c>
      <c r="K7293" t="inlineStr">
        <is>
          <t>PTPA1_KLULA</t>
        </is>
      </c>
      <c r="L7293" t="inlineStr">
        <is>
          <t>sp|Q6CYH1|PTPA1_KLULA Serine/threonine-protein phosphatase 2A activator 1 OS=Kluyveromyces lactis (strain ATCC 8585 / CBS 2359 / DSM 70799 / NBRC 1267 / NRRL Y-1140 / WM37) OX=284590 GN=RRD1 PE=3 SV=1</t>
        </is>
      </c>
      <c r="M7293" t="n">
        <v>353</v>
      </c>
      <c r="N7293" t="inlineStr">
        <is>
          <t>Kluyveromyces lactis (strain ATCC 8585 / CBS 2359 / DSM 70799 / NBRC 1267 / NRRL Y-1140 / WM37)</t>
        </is>
      </c>
      <c r="O7293" t="inlineStr">
        <is>
          <t>Serine/threonine-protein phosphatase 2A activator 1</t>
        </is>
      </c>
    </row>
    <row r="7294">
      <c r="A7294" t="inlineStr"/>
      <c r="B7294" t="inlineStr"/>
      <c r="C7294" t="inlineStr"/>
      <c r="D7294" t="inlineStr"/>
      <c r="E7294">
        <f>HYPERLINK("https://www.uniprot.org/uniprotkb/Q75BY1/entry", "Q75BY1")</f>
        <v/>
      </c>
      <c r="F7294" t="n">
        <v>45.5</v>
      </c>
      <c r="G7294" t="n">
        <v>132</v>
      </c>
      <c r="H7294" t="n">
        <v>3.22e-34</v>
      </c>
      <c r="I7294" t="inlineStr">
        <is>
          <t>Swiss-Prot</t>
        </is>
      </c>
      <c r="J7294" t="inlineStr">
        <is>
          <t>RRD2</t>
        </is>
      </c>
      <c r="K7294" t="inlineStr">
        <is>
          <t>PTPA2_ASHGO</t>
        </is>
      </c>
      <c r="L7294" t="inlineStr">
        <is>
          <t>sp|Q75BY1|PTPA2_ASHGO Serine/threonine-protein phosphatase 2A activator 2 OS=Ashbya gossypii (strain ATCC 10895 / CBS 109.51 / FGSC 9923 / NRRL Y-1056) OX=284811 GN=RRD2 PE=3 SV=1</t>
        </is>
      </c>
      <c r="M7294" t="n">
        <v>359</v>
      </c>
      <c r="N7294" t="inlineStr">
        <is>
          <t>Ashbya gossypii (strain ATCC 10895 / CBS 109.51 / FGSC 9923 / NRRL Y-1056)</t>
        </is>
      </c>
      <c r="O7294" t="inlineStr">
        <is>
          <t>Serine/threonine-protein phosphatase 2A activator 2</t>
        </is>
      </c>
    </row>
    <row r="7295">
      <c r="A7295" t="inlineStr"/>
      <c r="B7295" t="inlineStr"/>
      <c r="C7295" t="inlineStr"/>
      <c r="D7295" t="inlineStr"/>
      <c r="E7295">
        <f>HYPERLINK("https://www.uniprot.org/uniprotkb/Q4INW6/entry", "Q4INW6")</f>
        <v/>
      </c>
      <c r="F7295" t="n">
        <v>46.2</v>
      </c>
      <c r="G7295" t="n">
        <v>132</v>
      </c>
      <c r="H7295" t="n">
        <v>3.71e-34</v>
      </c>
      <c r="I7295" t="inlineStr">
        <is>
          <t>Swiss-Prot</t>
        </is>
      </c>
      <c r="J7295" t="inlineStr">
        <is>
          <t>RRD2</t>
        </is>
      </c>
      <c r="K7295" t="inlineStr">
        <is>
          <t>PTPA2_GIBZE</t>
        </is>
      </c>
      <c r="L7295" t="inlineStr">
        <is>
          <t>sp|Q4INW6|PTPA2_GIBZE Serine/threonine-protein phosphatase 2A activator 2 OS=Gibberella zeae (strain ATCC MYA-4620 / CBS 123657 / FGSC 9075 / NRRL 31084 / PH-1) OX=229533 GN=RRD2 PE=3 SV=2</t>
        </is>
      </c>
      <c r="M7295" t="n">
        <v>433</v>
      </c>
      <c r="N7295" t="inlineStr">
        <is>
          <t>Gibberella zeae (strain ATCC MYA-4620 / CBS 123657 / FGSC 9075 / NRRL 31084 / PH-1)</t>
        </is>
      </c>
      <c r="O7295" t="inlineStr">
        <is>
          <t>Serine/threonine-protein phosphatase 2A activator 2</t>
        </is>
      </c>
    </row>
    <row r="7296">
      <c r="A7296" t="inlineStr"/>
      <c r="B7296" t="inlineStr"/>
      <c r="C7296" t="inlineStr"/>
      <c r="D7296" t="inlineStr"/>
      <c r="E7296">
        <f>HYPERLINK("https://www.uniprot.org/uniprotkb/P0C153/entry", "P0C153")</f>
        <v/>
      </c>
      <c r="F7296" t="n">
        <v>43.1</v>
      </c>
      <c r="G7296" t="n">
        <v>130</v>
      </c>
      <c r="H7296" t="n">
        <v>1.18e-33</v>
      </c>
      <c r="I7296" t="inlineStr">
        <is>
          <t>Swiss-Prot</t>
        </is>
      </c>
      <c r="J7296" t="inlineStr">
        <is>
          <t>rrd2</t>
        </is>
      </c>
      <c r="K7296" t="inlineStr">
        <is>
          <t>PTPA2_EMENI</t>
        </is>
      </c>
      <c r="L7296" t="inlineStr">
        <is>
          <t>sp|P0C153|PTPA2_EMENI Serine/threonine-protein phosphatase 2A activator 2 OS=Emericella nidulans (strain FGSC A4 / ATCC 38163 / CBS 112.46 / NRRL 194 / M139) OX=227321 GN=rrd2 PE=3 SV=1</t>
        </is>
      </c>
      <c r="M7296" t="n">
        <v>420</v>
      </c>
      <c r="N7296" t="inlineStr">
        <is>
          <t>Emericella nidulans (strain FGSC A4 / ATCC 38163 / CBS 112.46 / NRRL 194 / M139)</t>
        </is>
      </c>
      <c r="O7296" t="inlineStr">
        <is>
          <t>Serine/threonine-protein phosphatase 2A activator 2</t>
        </is>
      </c>
    </row>
    <row r="7297">
      <c r="A7297" t="inlineStr"/>
      <c r="B7297" t="inlineStr"/>
      <c r="C7297" t="inlineStr"/>
      <c r="D7297" t="inlineStr"/>
      <c r="E7297">
        <f>HYPERLINK("https://www.uniprot.org/uniprotkb/Q4WSA8/entry", "Q4WSA8")</f>
        <v/>
      </c>
      <c r="F7297" t="n">
        <v>44.6</v>
      </c>
      <c r="G7297" t="n">
        <v>130</v>
      </c>
      <c r="H7297" t="n">
        <v>1.21e-33</v>
      </c>
      <c r="I7297" t="inlineStr">
        <is>
          <t>Swiss-Prot</t>
        </is>
      </c>
      <c r="J7297" t="inlineStr">
        <is>
          <t>rrd2</t>
        </is>
      </c>
      <c r="K7297" t="inlineStr">
        <is>
          <t>PTPA2_ASPFU</t>
        </is>
      </c>
      <c r="L7297" t="inlineStr">
        <is>
          <t>sp|Q4WSA8|PTPA2_ASPFU Serine/threonine-protein phosphatase 2A activator 2 OS=Neosartorya fumigata (strain ATCC MYA-4609 / Af293 / CBS 101355 / FGSC A1100) OX=330879 GN=rrd2 PE=3 SV=1</t>
        </is>
      </c>
      <c r="M7297" t="n">
        <v>422</v>
      </c>
      <c r="N7297" t="inlineStr">
        <is>
          <t>Neosartorya fumigata (strain ATCC MYA-4609 / Af293 / CBS 101355 / FGSC A1100)</t>
        </is>
      </c>
      <c r="O7297" t="inlineStr">
        <is>
          <t>Serine/threonine-protein phosphatase 2A activator 2</t>
        </is>
      </c>
    </row>
    <row r="7298">
      <c r="A7298" t="inlineStr"/>
      <c r="B7298" t="inlineStr"/>
      <c r="C7298" t="inlineStr"/>
      <c r="D7298" t="inlineStr"/>
      <c r="E7298">
        <f>HYPERLINK("https://www.uniprot.org/uniprotkb/Q6CKF0/entry", "Q6CKF0")</f>
        <v/>
      </c>
      <c r="F7298" t="n">
        <v>47.2</v>
      </c>
      <c r="G7298" t="n">
        <v>125</v>
      </c>
      <c r="H7298" t="n">
        <v>1.78e-33</v>
      </c>
      <c r="I7298" t="inlineStr">
        <is>
          <t>Swiss-Prot</t>
        </is>
      </c>
      <c r="J7298" t="inlineStr">
        <is>
          <t>RRD2</t>
        </is>
      </c>
      <c r="K7298" t="inlineStr">
        <is>
          <t>PTPA2_KLULA</t>
        </is>
      </c>
      <c r="L7298" t="inlineStr">
        <is>
          <t>sp|Q6CKF0|PTPA2_KLULA Serine/threonine-protein phosphatase 2A activator 2 OS=Kluyveromyces lactis (strain ATCC 8585 / CBS 2359 / DSM 70799 / NBRC 1267 / NRRL Y-1140 / WM37) OX=284590 GN=RRD2 PE=3 SV=1</t>
        </is>
      </c>
      <c r="M7298" t="n">
        <v>360</v>
      </c>
      <c r="N7298" t="inlineStr">
        <is>
          <t>Kluyveromyces lactis (strain ATCC 8585 / CBS 2359 / DSM 70799 / NBRC 1267 / NRRL Y-1140 / WM37)</t>
        </is>
      </c>
      <c r="O7298" t="inlineStr">
        <is>
          <t>Serine/threonine-protein phosphatase 2A activator 2</t>
        </is>
      </c>
    </row>
    <row r="7299">
      <c r="A7299" t="inlineStr"/>
      <c r="B7299" t="inlineStr"/>
      <c r="C7299" t="inlineStr"/>
      <c r="D7299" t="inlineStr"/>
      <c r="E7299">
        <f>HYPERLINK("https://www.uniprot.org/uniprotkb/P40454/entry", "P40454")</f>
        <v/>
      </c>
      <c r="F7299" t="n">
        <v>50.8</v>
      </c>
      <c r="G7299" t="n">
        <v>126</v>
      </c>
      <c r="H7299" t="n">
        <v>3.03e-33</v>
      </c>
      <c r="I7299" t="inlineStr">
        <is>
          <t>Swiss-Prot</t>
        </is>
      </c>
      <c r="J7299" t="inlineStr">
        <is>
          <t>RRD1</t>
        </is>
      </c>
      <c r="K7299" t="inlineStr">
        <is>
          <t>PTPA1_YEAST</t>
        </is>
      </c>
      <c r="L7299" t="inlineStr">
        <is>
          <t>sp|P40454|PTPA1_YEAST Serine/threonine-protein phosphatase 2A activator 1 OS=Saccharomyces cerevisiae (strain ATCC 204508 / S288c) OX=559292 GN=RRD1 PE=1 SV=1</t>
        </is>
      </c>
      <c r="M7299" t="n">
        <v>393</v>
      </c>
      <c r="N7299" t="inlineStr">
        <is>
          <t>Saccharomyces cerevisiae (strain ATCC 204508 / S288c)</t>
        </is>
      </c>
      <c r="O7299" t="inlineStr">
        <is>
          <t>Serine/threonine-protein phosphatase 2A activator 1</t>
        </is>
      </c>
    </row>
    <row r="7300">
      <c r="A7300" t="inlineStr"/>
      <c r="B7300" t="inlineStr"/>
      <c r="C7300" t="inlineStr"/>
      <c r="D7300" t="inlineStr"/>
      <c r="E7300">
        <f>HYPERLINK("https://www.uniprot.org/uniprotkb/Q6FK00/entry", "Q6FK00")</f>
        <v/>
      </c>
      <c r="F7300" t="n">
        <v>46.4</v>
      </c>
      <c r="G7300" t="n">
        <v>125</v>
      </c>
      <c r="H7300" t="n">
        <v>3.37e-33</v>
      </c>
      <c r="I7300" t="inlineStr">
        <is>
          <t>Swiss-Prot</t>
        </is>
      </c>
      <c r="J7300" t="inlineStr">
        <is>
          <t>RRD2</t>
        </is>
      </c>
      <c r="K7300" t="inlineStr">
        <is>
          <t>PTPA2_CANGA</t>
        </is>
      </c>
      <c r="L7300" t="inlineStr">
        <is>
          <t>sp|Q6FK00|PTPA2_CANGA Serine/threonine-protein phosphatase 2A activator 2 OS=Candida glabrata (strain ATCC 2001 / CBS 138 / JCM 3761 / NBRC 0622 / NRRL Y-65) OX=284593 GN=RRD2 PE=3 SV=1</t>
        </is>
      </c>
      <c r="M7300" t="n">
        <v>358</v>
      </c>
      <c r="N7300" t="inlineStr">
        <is>
          <t>Candida glabrata (strain ATCC 2001 / CBS 138 / JCM 3761 / NBRC 0622 / NRRL Y-65)</t>
        </is>
      </c>
      <c r="O7300" t="inlineStr">
        <is>
          <t>Serine/threonine-protein phosphatase 2A activator 2</t>
        </is>
      </c>
    </row>
    <row r="7301">
      <c r="A7301" t="inlineStr"/>
      <c r="B7301" t="inlineStr"/>
      <c r="C7301" t="inlineStr"/>
      <c r="D7301" t="inlineStr"/>
      <c r="E7301">
        <f>HYPERLINK("https://www.uniprot.org/uniprotkb/Q5B6C5/entry", "Q5B6C5")</f>
        <v/>
      </c>
      <c r="F7301" t="n">
        <v>44.3</v>
      </c>
      <c r="G7301" t="n">
        <v>140</v>
      </c>
      <c r="H7301" t="n">
        <v>1.02e-32</v>
      </c>
      <c r="I7301" t="inlineStr">
        <is>
          <t>Swiss-Prot</t>
        </is>
      </c>
      <c r="J7301" t="inlineStr">
        <is>
          <t>rrd1</t>
        </is>
      </c>
      <c r="K7301" t="inlineStr">
        <is>
          <t>PTPA1_EMENI</t>
        </is>
      </c>
      <c r="L7301" t="inlineStr">
        <is>
          <t>sp|Q5B6C5|PTPA1_EMENI Serine/threonine-protein phosphatase 2A activator 1 OS=Emericella nidulans (strain FGSC A4 / ATCC 38163 / CBS 112.46 / NRRL 194 / M139) OX=227321 GN=rrd1 PE=3 SV=1</t>
        </is>
      </c>
      <c r="M7301" t="n">
        <v>432</v>
      </c>
      <c r="N7301" t="inlineStr">
        <is>
          <t>Emericella nidulans (strain FGSC A4 / ATCC 38163 / CBS 112.46 / NRRL 194 / M139)</t>
        </is>
      </c>
      <c r="O7301" t="inlineStr">
        <is>
          <t>Serine/threonine-protein phosphatase 2A activator 1</t>
        </is>
      </c>
    </row>
    <row r="7302">
      <c r="A7302" t="inlineStr"/>
      <c r="B7302" t="inlineStr"/>
      <c r="C7302" t="inlineStr"/>
      <c r="D7302" t="inlineStr"/>
      <c r="E7302">
        <f>HYPERLINK("https://www.uniprot.org/uniprotkb/Q4I0M9/entry", "Q4I0M9")</f>
        <v/>
      </c>
      <c r="F7302" t="n">
        <v>45.7</v>
      </c>
      <c r="G7302" t="n">
        <v>138</v>
      </c>
      <c r="H7302" t="n">
        <v>1.19e-32</v>
      </c>
      <c r="I7302" t="inlineStr">
        <is>
          <t>Swiss-Prot</t>
        </is>
      </c>
      <c r="J7302" t="inlineStr">
        <is>
          <t>RRD1</t>
        </is>
      </c>
      <c r="K7302" t="inlineStr">
        <is>
          <t>PTPA1_GIBZE</t>
        </is>
      </c>
      <c r="L7302" t="inlineStr">
        <is>
          <t>sp|Q4I0M9|PTPA1_GIBZE Serine/threonine-protein phosphatase 2A activator 1 OS=Gibberella zeae (strain ATCC MYA-4620 / CBS 123657 / FGSC 9075 / NRRL 31084 / PH-1) OX=229533 GN=RRD1 PE=3 SV=1</t>
        </is>
      </c>
      <c r="M7302" t="n">
        <v>445</v>
      </c>
      <c r="N7302" t="inlineStr">
        <is>
          <t>Gibberella zeae (strain ATCC MYA-4620 / CBS 123657 / FGSC 9075 / NRRL 31084 / PH-1)</t>
        </is>
      </c>
      <c r="O7302" t="inlineStr">
        <is>
          <t>Serine/threonine-protein phosphatase 2A activator 1</t>
        </is>
      </c>
    </row>
    <row r="7303">
      <c r="A7303" t="inlineStr">
        <is>
          <t>NODE_49550_length_3008_cov_360.906494_g10510_i2</t>
        </is>
      </c>
      <c r="B7303" t="inlineStr">
        <is>
          <t>bombina_pachypus_blastx</t>
        </is>
      </c>
      <c r="C7303" t="n">
        <v>-5.07050696668667</v>
      </c>
      <c r="D7303" t="n">
        <v>0.0121119607692745</v>
      </c>
      <c r="E7303">
        <f>HYPERLINK("https://www.ncbi.nlm.nih.gov/gene/?term=XP_029453730.1", "XP_029453730.1")</f>
        <v/>
      </c>
      <c r="F7303" t="n">
        <v>70.8</v>
      </c>
      <c r="G7303" t="n">
        <v>411</v>
      </c>
      <c r="H7303" t="n">
        <v>5.97e-184</v>
      </c>
      <c r="I7303" t="inlineStr">
        <is>
          <t>Nr</t>
        </is>
      </c>
      <c r="J7303" t="inlineStr"/>
      <c r="K7303" t="inlineStr"/>
      <c r="L7303" t="inlineStr">
        <is>
          <t>XP_029453730.1 serine/threonine-protein phosphatase 4 regulatory subunit 4 isoform X4 [Rhinatrema bivittatum]</t>
        </is>
      </c>
      <c r="M7303" t="n">
        <v>858</v>
      </c>
      <c r="N7303" t="inlineStr">
        <is>
          <t>Rhinatrema bivittatum</t>
        </is>
      </c>
      <c r="O7303" t="inlineStr">
        <is>
          <t>serine/threonine-protein phosphatase 4 regulatory subunit 4 isoform X4</t>
        </is>
      </c>
    </row>
    <row r="7304">
      <c r="A7304" t="inlineStr"/>
      <c r="B7304" t="inlineStr"/>
      <c r="C7304" t="inlineStr"/>
      <c r="D7304" t="inlineStr"/>
      <c r="E7304">
        <f>HYPERLINK("https://www.ncbi.nlm.nih.gov/gene/?term=XP_029453728.1", "XP_029453728.1")</f>
        <v/>
      </c>
      <c r="F7304" t="n">
        <v>70.8</v>
      </c>
      <c r="G7304" t="n">
        <v>411</v>
      </c>
      <c r="H7304" t="n">
        <v>3.24e-183</v>
      </c>
      <c r="I7304" t="inlineStr">
        <is>
          <t>Nr</t>
        </is>
      </c>
      <c r="J7304" t="inlineStr"/>
      <c r="K7304" t="inlineStr"/>
      <c r="L7304" t="inlineStr">
        <is>
          <t>XP_029453728.1 serine/threonine-protein phosphatase 4 regulatory subunit 4 isoform X2 [Rhinatrema bivittatum]</t>
        </is>
      </c>
      <c r="M7304" t="n">
        <v>916</v>
      </c>
      <c r="N7304" t="inlineStr">
        <is>
          <t>Rhinatrema bivittatum</t>
        </is>
      </c>
      <c r="O7304" t="inlineStr">
        <is>
          <t>serine/threonine-protein phosphatase 4 regulatory subunit 4 isoform X2</t>
        </is>
      </c>
    </row>
    <row r="7305">
      <c r="A7305" t="inlineStr"/>
      <c r="B7305" t="inlineStr"/>
      <c r="C7305" t="inlineStr"/>
      <c r="D7305" t="inlineStr"/>
      <c r="E7305">
        <f>HYPERLINK("https://www.uniprot.org/uniprotkb/A0A8J6BEY9/entry", "A0A8J6BEY9")</f>
        <v/>
      </c>
      <c r="F7305" t="n">
        <v>71.90000000000001</v>
      </c>
      <c r="G7305" t="n">
        <v>413</v>
      </c>
      <c r="H7305" t="n">
        <v>5.04e-183</v>
      </c>
      <c r="I7305" t="inlineStr">
        <is>
          <t>TrEMBL</t>
        </is>
      </c>
      <c r="J7305" t="inlineStr">
        <is>
          <t>GDO78_017408</t>
        </is>
      </c>
      <c r="K7305" t="inlineStr">
        <is>
          <t>A0A8J6BEY9_ELECQ</t>
        </is>
      </c>
      <c r="L7305" t="inlineStr">
        <is>
          <t>tr|A0A8J6BEY9|A0A8J6BEY9_ELECQ Serine/threonine-protein phosphatase 4 regulatory subunit 4 OS=Eleutherodactylus coqui OX=57060 GN=GDO78_017408 PE=4 SV=1</t>
        </is>
      </c>
      <c r="M7305" t="n">
        <v>720</v>
      </c>
      <c r="N7305" t="inlineStr">
        <is>
          <t>Eleutherodactylus coqui</t>
        </is>
      </c>
      <c r="O7305" t="inlineStr">
        <is>
          <t>Serine/threonine-protein phosphatase 4 regulatory subunit 4</t>
        </is>
      </c>
    </row>
    <row r="7306">
      <c r="A7306" t="inlineStr"/>
      <c r="B7306" t="inlineStr"/>
      <c r="C7306" t="inlineStr"/>
      <c r="D7306" t="inlineStr"/>
      <c r="E7306">
        <f>HYPERLINK("https://www.ncbi.nlm.nih.gov/gene/?term=KAG9465976.1", "KAG9465976.1")</f>
        <v/>
      </c>
      <c r="F7306" t="n">
        <v>71.90000000000001</v>
      </c>
      <c r="G7306" t="n">
        <v>413</v>
      </c>
      <c r="H7306" t="n">
        <v>1.29e-182</v>
      </c>
      <c r="I7306" t="inlineStr">
        <is>
          <t>Nr</t>
        </is>
      </c>
      <c r="J7306" t="inlineStr"/>
      <c r="K7306" t="inlineStr"/>
      <c r="L7306" t="inlineStr">
        <is>
          <t>KAG9465976.1 hypothetical protein GDO78_017408 [Eleutherodactylus coqui]</t>
        </is>
      </c>
      <c r="M7306" t="n">
        <v>720</v>
      </c>
      <c r="N7306" t="inlineStr">
        <is>
          <t>Eleutherodactylus coqui</t>
        </is>
      </c>
      <c r="O7306" t="inlineStr">
        <is>
          <t>hypothetical protein GDO78_017408</t>
        </is>
      </c>
    </row>
    <row r="7307">
      <c r="A7307" t="inlineStr"/>
      <c r="B7307" t="inlineStr"/>
      <c r="C7307" t="inlineStr"/>
      <c r="D7307" t="inlineStr"/>
      <c r="E7307">
        <f>HYPERLINK("https://www.uniprot.org/uniprotkb/A0A8J6BLH7/entry", "A0A8J6BLH7")</f>
        <v/>
      </c>
      <c r="F7307" t="n">
        <v>71.90000000000001</v>
      </c>
      <c r="G7307" t="n">
        <v>413</v>
      </c>
      <c r="H7307" t="n">
        <v>1.99e-182</v>
      </c>
      <c r="I7307" t="inlineStr">
        <is>
          <t>TrEMBL</t>
        </is>
      </c>
      <c r="J7307" t="inlineStr">
        <is>
          <t>GDO78_017408</t>
        </is>
      </c>
      <c r="K7307" t="inlineStr">
        <is>
          <t>A0A8J6BLH7_ELECQ</t>
        </is>
      </c>
      <c r="L7307" t="inlineStr">
        <is>
          <t>tr|A0A8J6BLH7|A0A8J6BLH7_ELECQ Serine/threonine-protein phosphatase 4 regulatory subunit 4 (Fragment) OS=Eleutherodactylus coqui OX=57060 GN=GDO78_017408 PE=4 SV=1</t>
        </is>
      </c>
      <c r="M7307" t="n">
        <v>764</v>
      </c>
      <c r="N7307" t="inlineStr">
        <is>
          <t>Eleutherodactylus coqui</t>
        </is>
      </c>
      <c r="O7307" t="inlineStr">
        <is>
          <t>Serine/threonine-protein phosphatase 4 regulatory subunit 4 (Fragment)</t>
        </is>
      </c>
    </row>
    <row r="7308">
      <c r="A7308" t="inlineStr"/>
      <c r="B7308" t="inlineStr"/>
      <c r="C7308" t="inlineStr"/>
      <c r="D7308" t="inlineStr"/>
      <c r="E7308">
        <f>HYPERLINK("https://www.ncbi.nlm.nih.gov/gene/?term=XP_053331652.1", "XP_053331652.1")</f>
        <v/>
      </c>
      <c r="F7308" t="n">
        <v>72.40000000000001</v>
      </c>
      <c r="G7308" t="n">
        <v>413</v>
      </c>
      <c r="H7308" t="n">
        <v>3.05e-182</v>
      </c>
      <c r="I7308" t="inlineStr">
        <is>
          <t>Nr</t>
        </is>
      </c>
      <c r="J7308" t="inlineStr"/>
      <c r="K7308" t="inlineStr"/>
      <c r="L7308" t="inlineStr">
        <is>
          <t>XP_053331652.1 serine/threonine-protein phosphatase 4 regulatory subunit 4 isoform X1 [Spea bombifrons]</t>
        </is>
      </c>
      <c r="M7308" t="n">
        <v>862</v>
      </c>
      <c r="N7308" t="inlineStr">
        <is>
          <t>Spea bombifrons</t>
        </is>
      </c>
      <c r="O7308" t="inlineStr">
        <is>
          <t>serine/threonine-protein phosphatase 4 regulatory subunit 4 isoform X1</t>
        </is>
      </c>
    </row>
    <row r="7309">
      <c r="A7309" t="inlineStr"/>
      <c r="B7309" t="inlineStr"/>
      <c r="C7309" t="inlineStr"/>
      <c r="D7309" t="inlineStr"/>
      <c r="E7309">
        <f>HYPERLINK("https://www.ncbi.nlm.nih.gov/gene/?term=KAG9465975.1", "KAG9465975.1")</f>
        <v/>
      </c>
      <c r="F7309" t="n">
        <v>71.90000000000001</v>
      </c>
      <c r="G7309" t="n">
        <v>413</v>
      </c>
      <c r="H7309" t="n">
        <v>5.11e-182</v>
      </c>
      <c r="I7309" t="inlineStr">
        <is>
          <t>Nr</t>
        </is>
      </c>
      <c r="J7309" t="inlineStr"/>
      <c r="K7309" t="inlineStr"/>
      <c r="L7309" t="inlineStr">
        <is>
          <t>KAG9465975.1 hypothetical protein GDO78_017408, partial [Eleutherodactylus coqui]</t>
        </is>
      </c>
      <c r="M7309" t="n">
        <v>764</v>
      </c>
      <c r="N7309" t="inlineStr">
        <is>
          <t>Eleutherodactylus coqui</t>
        </is>
      </c>
      <c r="O7309" t="inlineStr">
        <is>
          <t>hypothetical protein GDO78_017408, partial</t>
        </is>
      </c>
    </row>
    <row r="7310">
      <c r="A7310" t="inlineStr"/>
      <c r="B7310" t="inlineStr"/>
      <c r="C7310" t="inlineStr"/>
      <c r="D7310" t="inlineStr"/>
      <c r="E7310">
        <f>HYPERLINK("https://www.ncbi.nlm.nih.gov/gene/?term=XP_018414895.1", "XP_018414895.1")</f>
        <v/>
      </c>
      <c r="F7310" t="n">
        <v>72.2</v>
      </c>
      <c r="G7310" t="n">
        <v>413</v>
      </c>
      <c r="H7310" t="n">
        <v>7.9e-182</v>
      </c>
      <c r="I7310" t="inlineStr">
        <is>
          <t>Nr</t>
        </is>
      </c>
      <c r="J7310" t="inlineStr"/>
      <c r="K7310" t="inlineStr"/>
      <c r="L7310" t="inlineStr">
        <is>
          <t>XP_018414895.1 PREDICTED: serine/threonine-protein phosphatase 4 regulatory subunit 4 [Nanorana parkeri]</t>
        </is>
      </c>
      <c r="M7310" t="n">
        <v>859</v>
      </c>
      <c r="N7310" t="inlineStr">
        <is>
          <t>Nanorana parkeri</t>
        </is>
      </c>
      <c r="O7310" t="inlineStr">
        <is>
          <t>PREDICTED: serine/threonine-protein phosphatase 4 regulatory subunit 4</t>
        </is>
      </c>
    </row>
    <row r="7311">
      <c r="A7311" t="inlineStr"/>
      <c r="B7311" t="inlineStr"/>
      <c r="C7311" t="inlineStr"/>
      <c r="D7311" t="inlineStr"/>
      <c r="E7311">
        <f>HYPERLINK("https://www.ncbi.nlm.nih.gov/gene/?term=XP_029453729.1", "XP_029453729.1")</f>
        <v/>
      </c>
      <c r="F7311" t="n">
        <v>69.09999999999999</v>
      </c>
      <c r="G7311" t="n">
        <v>421</v>
      </c>
      <c r="H7311" t="n">
        <v>2.33e-180</v>
      </c>
      <c r="I7311" t="inlineStr">
        <is>
          <t>Nr</t>
        </is>
      </c>
      <c r="J7311" t="inlineStr"/>
      <c r="K7311" t="inlineStr"/>
      <c r="L7311" t="inlineStr">
        <is>
          <t>XP_029453729.1 serine/threonine-protein phosphatase 4 regulatory subunit 4 isoform X3 [Rhinatrema bivittatum]</t>
        </is>
      </c>
      <c r="M7311" t="n">
        <v>868</v>
      </c>
      <c r="N7311" t="inlineStr">
        <is>
          <t>Rhinatrema bivittatum</t>
        </is>
      </c>
      <c r="O7311" t="inlineStr">
        <is>
          <t>serine/threonine-protein phosphatase 4 regulatory subunit 4 isoform X3</t>
        </is>
      </c>
    </row>
    <row r="7312">
      <c r="A7312" t="inlineStr"/>
      <c r="B7312" t="inlineStr"/>
      <c r="C7312" t="inlineStr"/>
      <c r="D7312" t="inlineStr"/>
      <c r="E7312">
        <f>HYPERLINK("https://www.ncbi.nlm.nih.gov/gene/?term=XP_053331653.1", "XP_053331653.1")</f>
        <v/>
      </c>
      <c r="F7312" t="n">
        <v>72.2</v>
      </c>
      <c r="G7312" t="n">
        <v>413</v>
      </c>
      <c r="H7312" t="n">
        <v>1.07e-179</v>
      </c>
      <c r="I7312" t="inlineStr">
        <is>
          <t>Nr</t>
        </is>
      </c>
      <c r="J7312" t="inlineStr"/>
      <c r="K7312" t="inlineStr"/>
      <c r="L7312" t="inlineStr">
        <is>
          <t>XP_053331653.1 serine/threonine-protein phosphatase 4 regulatory subunit 4 isoform X2 [Spea bombifrons]</t>
        </is>
      </c>
      <c r="M7312" t="n">
        <v>861</v>
      </c>
      <c r="N7312" t="inlineStr">
        <is>
          <t>Spea bombifrons</t>
        </is>
      </c>
      <c r="O7312" t="inlineStr">
        <is>
          <t>serine/threonine-protein phosphatase 4 regulatory subunit 4 isoform X2</t>
        </is>
      </c>
    </row>
    <row r="7313">
      <c r="A7313" t="inlineStr"/>
      <c r="B7313" t="inlineStr"/>
      <c r="C7313" t="inlineStr"/>
      <c r="D7313" t="inlineStr"/>
      <c r="E7313">
        <f>HYPERLINK("https://www.ncbi.nlm.nih.gov/gene/?term=XP_029453727.1", "XP_029453727.1")</f>
        <v/>
      </c>
      <c r="F7313" t="n">
        <v>69.09999999999999</v>
      </c>
      <c r="G7313" t="n">
        <v>421</v>
      </c>
      <c r="H7313" t="n">
        <v>1.24e-179</v>
      </c>
      <c r="I7313" t="inlineStr">
        <is>
          <t>Nr</t>
        </is>
      </c>
      <c r="J7313" t="inlineStr"/>
      <c r="K7313" t="inlineStr"/>
      <c r="L7313" t="inlineStr">
        <is>
          <t>XP_029453727.1 serine/threonine-protein phosphatase 4 regulatory subunit 4 isoform X1 [Rhinatrema bivittatum]</t>
        </is>
      </c>
      <c r="M7313" t="n">
        <v>926</v>
      </c>
      <c r="N7313" t="inlineStr">
        <is>
          <t>Rhinatrema bivittatum</t>
        </is>
      </c>
      <c r="O7313" t="inlineStr">
        <is>
          <t>serine/threonine-protein phosphatase 4 regulatory subunit 4 isoform X1</t>
        </is>
      </c>
    </row>
    <row r="7314">
      <c r="A7314" t="inlineStr"/>
      <c r="B7314" t="inlineStr"/>
      <c r="C7314" t="inlineStr"/>
      <c r="D7314" t="inlineStr"/>
      <c r="E7314">
        <f>HYPERLINK("https://www.ncbi.nlm.nih.gov/gene/?term=XP_040189498.1", "XP_040189498.1")</f>
        <v/>
      </c>
      <c r="F7314" t="n">
        <v>70.2</v>
      </c>
      <c r="G7314" t="n">
        <v>413</v>
      </c>
      <c r="H7314" t="n">
        <v>1.47e-179</v>
      </c>
      <c r="I7314" t="inlineStr">
        <is>
          <t>Nr</t>
        </is>
      </c>
      <c r="J7314" t="inlineStr"/>
      <c r="K7314" t="inlineStr"/>
      <c r="L7314" t="inlineStr">
        <is>
          <t>XP_040189498.1 serine/threonine-protein phosphatase 4 regulatory subunit 4 [Rana temporaria]</t>
        </is>
      </c>
      <c r="M7314" t="n">
        <v>756</v>
      </c>
      <c r="N7314" t="inlineStr">
        <is>
          <t>Rana temporaria</t>
        </is>
      </c>
      <c r="O7314" t="inlineStr">
        <is>
          <t>serine/threonine-protein phosphatase 4 regulatory subunit 4</t>
        </is>
      </c>
    </row>
    <row r="7315">
      <c r="A7315" t="inlineStr"/>
      <c r="B7315" t="inlineStr"/>
      <c r="C7315" t="inlineStr"/>
      <c r="D7315" t="inlineStr"/>
      <c r="E7315">
        <f>HYPERLINK("https://www.ncbi.nlm.nih.gov/gene/?term=KAG8546425.1", "KAG8546425.1")</f>
        <v/>
      </c>
      <c r="F7315" t="n">
        <v>68.09999999999999</v>
      </c>
      <c r="G7315" t="n">
        <v>442</v>
      </c>
      <c r="H7315" t="n">
        <v>1.78e-179</v>
      </c>
      <c r="I7315" t="inlineStr">
        <is>
          <t>Nr</t>
        </is>
      </c>
      <c r="J7315" t="inlineStr"/>
      <c r="K7315" t="inlineStr"/>
      <c r="L7315" t="inlineStr">
        <is>
          <t>KAG8546425.1 hypothetical protein GDO81_018934 [Engystomops pustulosus]</t>
        </is>
      </c>
      <c r="M7315" t="n">
        <v>785</v>
      </c>
      <c r="N7315" t="inlineStr">
        <is>
          <t>Engystomops pustulosus</t>
        </is>
      </c>
      <c r="O7315" t="inlineStr">
        <is>
          <t>hypothetical protein GDO81_018934</t>
        </is>
      </c>
    </row>
    <row r="7316">
      <c r="A7316" t="inlineStr"/>
      <c r="B7316" t="inlineStr"/>
      <c r="C7316" t="inlineStr"/>
      <c r="D7316" t="inlineStr"/>
      <c r="E7316">
        <f>HYPERLINK("https://www.uniprot.org/uniprotkb/A0A6I8PMI3/entry", "A0A6I8PMI3")</f>
        <v/>
      </c>
      <c r="F7316" t="n">
        <v>69.2</v>
      </c>
      <c r="G7316" t="n">
        <v>413</v>
      </c>
      <c r="H7316" t="n">
        <v>1.24e-176</v>
      </c>
      <c r="I7316" t="inlineStr">
        <is>
          <t>TrEMBL</t>
        </is>
      </c>
      <c r="J7316" t="inlineStr">
        <is>
          <t>ppp4r4</t>
        </is>
      </c>
      <c r="K7316" t="inlineStr">
        <is>
          <t>A0A6I8PMI3_XENTR</t>
        </is>
      </c>
      <c r="L7316" t="inlineStr">
        <is>
          <t>tr|A0A6I8PMI3|A0A6I8PMI3_XENTR Protein phosphatase 4, regulatory subunit 4 OS=Xenopus tropicalis OX=8364 GN=ppp4r4 PE=4 SV=2</t>
        </is>
      </c>
      <c r="M7316" t="n">
        <v>874</v>
      </c>
      <c r="N7316" t="inlineStr">
        <is>
          <t>Xenopus tropicalis</t>
        </is>
      </c>
      <c r="O7316" t="inlineStr">
        <is>
          <t>Protein phosphatase 4, regulatory subunit 4</t>
        </is>
      </c>
    </row>
    <row r="7317">
      <c r="A7317" t="inlineStr"/>
      <c r="B7317" t="inlineStr"/>
      <c r="C7317" t="inlineStr"/>
      <c r="D7317" t="inlineStr"/>
      <c r="E7317">
        <f>HYPERLINK("https://www.ncbi.nlm.nih.gov/gene/?term=XP_002933259.3", "XP_002933259.3")</f>
        <v/>
      </c>
      <c r="F7317" t="n">
        <v>69.2</v>
      </c>
      <c r="G7317" t="n">
        <v>413</v>
      </c>
      <c r="H7317" t="n">
        <v>3.2e-176</v>
      </c>
      <c r="I7317" t="inlineStr">
        <is>
          <t>Nr</t>
        </is>
      </c>
      <c r="J7317" t="inlineStr"/>
      <c r="K7317" t="inlineStr"/>
      <c r="L7317" t="inlineStr">
        <is>
          <t>XP_002933259.3 serine/threonine-protein phosphatase 4 regulatory subunit 4 [Xenopus tropicalis]</t>
        </is>
      </c>
      <c r="M7317" t="n">
        <v>874</v>
      </c>
      <c r="N7317" t="inlineStr">
        <is>
          <t>Xenopus tropicalis</t>
        </is>
      </c>
      <c r="O7317" t="inlineStr">
        <is>
          <t>serine/threonine-protein phosphatase 4 regulatory subunit 4</t>
        </is>
      </c>
    </row>
    <row r="7318">
      <c r="A7318" t="inlineStr"/>
      <c r="B7318" t="inlineStr"/>
      <c r="C7318" t="inlineStr"/>
      <c r="D7318" t="inlineStr"/>
      <c r="E7318">
        <f>HYPERLINK("https://www.ncbi.nlm.nih.gov/gene/?term=XP_044127964.1", "XP_044127964.1")</f>
        <v/>
      </c>
      <c r="F7318" t="n">
        <v>70.7</v>
      </c>
      <c r="G7318" t="n">
        <v>413</v>
      </c>
      <c r="H7318" t="n">
        <v>7.84e-176</v>
      </c>
      <c r="I7318" t="inlineStr">
        <is>
          <t>Nr</t>
        </is>
      </c>
      <c r="J7318" t="inlineStr"/>
      <c r="K7318" t="inlineStr"/>
      <c r="L7318" t="inlineStr">
        <is>
          <t>XP_044127964.1 serine/threonine-protein phosphatase 4 regulatory subunit 4 [Bufo gargarizans]</t>
        </is>
      </c>
      <c r="M7318" t="n">
        <v>980</v>
      </c>
      <c r="N7318" t="inlineStr">
        <is>
          <t>Bufo gargarizans</t>
        </is>
      </c>
      <c r="O7318" t="inlineStr">
        <is>
          <t>serine/threonine-protein phosphatase 4 regulatory subunit 4</t>
        </is>
      </c>
    </row>
    <row r="7319">
      <c r="A7319" t="inlineStr"/>
      <c r="B7319" t="inlineStr"/>
      <c r="C7319" t="inlineStr"/>
      <c r="D7319" t="inlineStr"/>
      <c r="E7319">
        <f>HYPERLINK("https://www.uniprot.org/uniprotkb/A0A1L8F9K1/entry", "A0A1L8F9K1")</f>
        <v/>
      </c>
      <c r="F7319" t="n">
        <v>69.7</v>
      </c>
      <c r="G7319" t="n">
        <v>413</v>
      </c>
      <c r="H7319" t="n">
        <v>3.86e-175</v>
      </c>
      <c r="I7319" t="inlineStr">
        <is>
          <t>TrEMBL</t>
        </is>
      </c>
      <c r="J7319" t="inlineStr">
        <is>
          <t>ppp4r4.L</t>
        </is>
      </c>
      <c r="K7319" t="inlineStr">
        <is>
          <t>A0A1L8F9K1_XENLA</t>
        </is>
      </c>
      <c r="L7319" t="inlineStr">
        <is>
          <t>tr|A0A1L8F9K1|A0A1L8F9K1_XENLA serine/threonine-protein phosphatase 4 regulatory subunit 4 OS=Xenopus laevis OX=8355 GN=ppp4r4.L PE=4 SV=1</t>
        </is>
      </c>
      <c r="M7319" t="n">
        <v>873</v>
      </c>
      <c r="N7319" t="inlineStr">
        <is>
          <t>Xenopus laevis</t>
        </is>
      </c>
      <c r="O7319" t="inlineStr">
        <is>
          <t>serine/threonine-protein phosphatase 4 regulatory subunit 4</t>
        </is>
      </c>
    </row>
    <row r="7320">
      <c r="A7320" t="inlineStr"/>
      <c r="B7320" t="inlineStr"/>
      <c r="C7320" t="inlineStr"/>
      <c r="D7320" t="inlineStr"/>
      <c r="E7320">
        <f>HYPERLINK("https://www.ncbi.nlm.nih.gov/gene/?term=XP_018085944.1", "XP_018085944.1")</f>
        <v/>
      </c>
      <c r="F7320" t="n">
        <v>69.7</v>
      </c>
      <c r="G7320" t="n">
        <v>413</v>
      </c>
      <c r="H7320" t="n">
        <v>9.91e-175</v>
      </c>
      <c r="I7320" t="inlineStr">
        <is>
          <t>Nr</t>
        </is>
      </c>
      <c r="J7320" t="inlineStr"/>
      <c r="K7320" t="inlineStr"/>
      <c r="L7320" t="inlineStr">
        <is>
          <t>XP_018085944.1 serine/threonine-protein phosphatase 4 regulatory subunit 4 [Xenopus laevis]</t>
        </is>
      </c>
      <c r="M7320" t="n">
        <v>873</v>
      </c>
      <c r="N7320" t="inlineStr">
        <is>
          <t>Xenopus laevis</t>
        </is>
      </c>
      <c r="O7320" t="inlineStr">
        <is>
          <t>serine/threonine-protein phosphatase 4 regulatory subunit 4</t>
        </is>
      </c>
    </row>
    <row r="7321">
      <c r="A7321" t="inlineStr"/>
      <c r="B7321" t="inlineStr"/>
      <c r="C7321" t="inlineStr"/>
      <c r="D7321" t="inlineStr"/>
      <c r="E7321">
        <f>HYPERLINK("https://www.ncbi.nlm.nih.gov/gene/?term=KAG8546434.1", "KAG8546434.1")</f>
        <v/>
      </c>
      <c r="F7321" t="n">
        <v>69.5</v>
      </c>
      <c r="G7321" t="n">
        <v>413</v>
      </c>
      <c r="H7321" t="n">
        <v>1.03e-174</v>
      </c>
      <c r="I7321" t="inlineStr">
        <is>
          <t>Nr</t>
        </is>
      </c>
      <c r="J7321" t="inlineStr"/>
      <c r="K7321" t="inlineStr"/>
      <c r="L7321" t="inlineStr">
        <is>
          <t>KAG8546434.1 hypothetical protein GDO81_018934 [Engystomops pustulosus]</t>
        </is>
      </c>
      <c r="M7321" t="n">
        <v>530</v>
      </c>
      <c r="N7321" t="inlineStr">
        <is>
          <t>Engystomops pustulosus</t>
        </is>
      </c>
      <c r="O7321" t="inlineStr">
        <is>
          <t>hypothetical protein GDO81_018934</t>
        </is>
      </c>
    </row>
    <row r="7322">
      <c r="A7322" t="inlineStr"/>
      <c r="B7322" t="inlineStr"/>
      <c r="C7322" t="inlineStr"/>
      <c r="D7322" t="inlineStr"/>
      <c r="E7322">
        <f>HYPERLINK("https://www.uniprot.org/uniprotkb/A0A6P8RU31/entry", "A0A6P8RU31")</f>
        <v/>
      </c>
      <c r="F7322" t="n">
        <v>67.59999999999999</v>
      </c>
      <c r="G7322" t="n">
        <v>411</v>
      </c>
      <c r="H7322" t="n">
        <v>2.99e-174</v>
      </c>
      <c r="I7322" t="inlineStr">
        <is>
          <t>TrEMBL</t>
        </is>
      </c>
      <c r="J7322" t="inlineStr">
        <is>
          <t>PPP4R4</t>
        </is>
      </c>
      <c r="K7322" t="inlineStr">
        <is>
          <t>A0A6P8RU31_GEOSA</t>
        </is>
      </c>
      <c r="L7322" t="inlineStr">
        <is>
          <t>tr|A0A6P8RU31|A0A6P8RU31_GEOSA serine/threonine-protein phosphatase 4 regulatory subunit 4 isoform X8 OS=Geotrypetes seraphini OX=260995 GN=PPP4R4 PE=4 SV=1</t>
        </is>
      </c>
      <c r="M7322" t="n">
        <v>860</v>
      </c>
      <c r="N7322" t="inlineStr">
        <is>
          <t>Geotrypetes seraphini</t>
        </is>
      </c>
      <c r="O7322" t="inlineStr">
        <is>
          <t>serine/threonine-protein phosphatase 4 regulatory subunit 4 isoform X8</t>
        </is>
      </c>
    </row>
    <row r="7323">
      <c r="A7323" t="inlineStr"/>
      <c r="B7323" t="inlineStr"/>
      <c r="C7323" t="inlineStr"/>
      <c r="D7323" t="inlineStr"/>
      <c r="E7323">
        <f>HYPERLINK("https://www.ncbi.nlm.nih.gov/gene/?term=KAG8546433.1", "KAG8546433.1")</f>
        <v/>
      </c>
      <c r="F7323" t="n">
        <v>69.5</v>
      </c>
      <c r="G7323" t="n">
        <v>413</v>
      </c>
      <c r="H7323" t="n">
        <v>6.04e-174</v>
      </c>
      <c r="I7323" t="inlineStr">
        <is>
          <t>Nr</t>
        </is>
      </c>
      <c r="J7323" t="inlineStr"/>
      <c r="K7323" t="inlineStr"/>
      <c r="L7323" t="inlineStr">
        <is>
          <t>KAG8546433.1 hypothetical protein GDO81_018934 [Engystomops pustulosus]</t>
        </is>
      </c>
      <c r="M7323" t="n">
        <v>583</v>
      </c>
      <c r="N7323" t="inlineStr">
        <is>
          <t>Engystomops pustulosus</t>
        </is>
      </c>
      <c r="O7323" t="inlineStr">
        <is>
          <t>hypothetical protein GDO81_018934</t>
        </is>
      </c>
    </row>
    <row r="7324">
      <c r="A7324" t="inlineStr"/>
      <c r="B7324" t="inlineStr"/>
      <c r="C7324" t="inlineStr"/>
      <c r="D7324" t="inlineStr"/>
      <c r="E7324">
        <f>HYPERLINK("https://www.ncbi.nlm.nih.gov/gene/?term=XP_033809155.1", "XP_033809155.1")</f>
        <v/>
      </c>
      <c r="F7324" t="n">
        <v>67.59999999999999</v>
      </c>
      <c r="G7324" t="n">
        <v>411</v>
      </c>
      <c r="H7324" t="n">
        <v>7.69e-174</v>
      </c>
      <c r="I7324" t="inlineStr">
        <is>
          <t>Nr</t>
        </is>
      </c>
      <c r="J7324" t="inlineStr"/>
      <c r="K7324" t="inlineStr"/>
      <c r="L7324" t="inlineStr">
        <is>
          <t>XP_033809155.1 serine/threonine-protein phosphatase 4 regulatory subunit 4 isoform X8 [Geotrypetes seraphini]</t>
        </is>
      </c>
      <c r="M7324" t="n">
        <v>860</v>
      </c>
      <c r="N7324" t="inlineStr">
        <is>
          <t>Geotrypetes seraphini</t>
        </is>
      </c>
      <c r="O7324" t="inlineStr">
        <is>
          <t>serine/threonine-protein phosphatase 4 regulatory subunit 4 isoform X8</t>
        </is>
      </c>
    </row>
    <row r="7325">
      <c r="A7325" t="inlineStr"/>
      <c r="B7325" t="inlineStr"/>
      <c r="C7325" t="inlineStr"/>
      <c r="D7325" t="inlineStr"/>
      <c r="E7325">
        <f>HYPERLINK("https://www.uniprot.org/uniprotkb/A0A1L8F0A0/entry", "A0A1L8F0A0")</f>
        <v/>
      </c>
      <c r="F7325" t="n">
        <v>69</v>
      </c>
      <c r="G7325" t="n">
        <v>413</v>
      </c>
      <c r="H7325" t="n">
        <v>1.26e-173</v>
      </c>
      <c r="I7325" t="inlineStr">
        <is>
          <t>TrEMBL</t>
        </is>
      </c>
      <c r="J7325" t="inlineStr">
        <is>
          <t>ppp4r4.S</t>
        </is>
      </c>
      <c r="K7325" t="inlineStr">
        <is>
          <t>A0A1L8F0A0_XENLA</t>
        </is>
      </c>
      <c r="L7325" t="inlineStr">
        <is>
          <t>tr|A0A1L8F0A0|A0A1L8F0A0_XENLA serine/threonine-protein phosphatase 4 regulatory subunit 4 isoform X1 OS=Xenopus laevis OX=8355 GN=ppp4r4.S PE=4 SV=1</t>
        </is>
      </c>
      <c r="M7325" t="n">
        <v>874</v>
      </c>
      <c r="N7325" t="inlineStr">
        <is>
          <t>Xenopus laevis</t>
        </is>
      </c>
      <c r="O7325" t="inlineStr">
        <is>
          <t>serine/threonine-protein phosphatase 4 regulatory subunit 4 isoform X1</t>
        </is>
      </c>
    </row>
    <row r="7326">
      <c r="A7326" t="inlineStr"/>
      <c r="B7326" t="inlineStr"/>
      <c r="C7326" t="inlineStr"/>
      <c r="D7326" t="inlineStr"/>
      <c r="E7326">
        <f>HYPERLINK("https://www.ncbi.nlm.nih.gov/gene/?term=XP_018087892.1", "XP_018087892.1")</f>
        <v/>
      </c>
      <c r="F7326" t="n">
        <v>69</v>
      </c>
      <c r="G7326" t="n">
        <v>413</v>
      </c>
      <c r="H7326" t="n">
        <v>3.25e-173</v>
      </c>
      <c r="I7326" t="inlineStr">
        <is>
          <t>Nr</t>
        </is>
      </c>
      <c r="J7326" t="inlineStr"/>
      <c r="K7326" t="inlineStr"/>
      <c r="L7326" t="inlineStr">
        <is>
          <t>XP_018087892.1 serine/threonine-protein phosphatase 4 regulatory subunit 4 isoform X1 [Xenopus laevis]</t>
        </is>
      </c>
      <c r="M7326" t="n">
        <v>874</v>
      </c>
      <c r="N7326" t="inlineStr">
        <is>
          <t>Xenopus laevis</t>
        </is>
      </c>
      <c r="O7326" t="inlineStr">
        <is>
          <t>serine/threonine-protein phosphatase 4 regulatory subunit 4 isoform X1</t>
        </is>
      </c>
    </row>
    <row r="7327">
      <c r="A7327" t="inlineStr"/>
      <c r="B7327" t="inlineStr"/>
      <c r="C7327" t="inlineStr"/>
      <c r="D7327" t="inlineStr"/>
      <c r="E7327">
        <f>HYPERLINK("https://www.uniprot.org/uniprotkb/A0A8J0TQD0/entry", "A0A8J0TQD0")</f>
        <v/>
      </c>
      <c r="F7327" t="n">
        <v>68.8</v>
      </c>
      <c r="G7327" t="n">
        <v>413</v>
      </c>
      <c r="H7327" t="n">
        <v>2.77e-172</v>
      </c>
      <c r="I7327" t="inlineStr">
        <is>
          <t>TrEMBL</t>
        </is>
      </c>
      <c r="J7327" t="inlineStr">
        <is>
          <t>ppp4r4.S</t>
        </is>
      </c>
      <c r="K7327" t="inlineStr">
        <is>
          <t>A0A8J0TQD0_XENLA</t>
        </is>
      </c>
      <c r="L7327" t="inlineStr">
        <is>
          <t>tr|A0A8J0TQD0|A0A8J0TQD0_XENLA serine/threonine-protein phosphatase 4 regulatory subunit 4 isoform X2 OS=Xenopus laevis OX=8355 GN=ppp4r4.S PE=4 SV=1</t>
        </is>
      </c>
      <c r="M7327" t="n">
        <v>873</v>
      </c>
      <c r="N7327" t="inlineStr">
        <is>
          <t>Xenopus laevis</t>
        </is>
      </c>
      <c r="O7327" t="inlineStr">
        <is>
          <t>serine/threonine-protein phosphatase 4 regulatory subunit 4 isoform X2</t>
        </is>
      </c>
    </row>
    <row r="7328">
      <c r="A7328" t="inlineStr"/>
      <c r="B7328" t="inlineStr"/>
      <c r="C7328" t="inlineStr"/>
      <c r="D7328" t="inlineStr"/>
      <c r="E7328">
        <f>HYPERLINK("https://www.ncbi.nlm.nih.gov/gene/?term=XP_018087893.1", "XP_018087893.1")</f>
        <v/>
      </c>
      <c r="F7328" t="n">
        <v>68.8</v>
      </c>
      <c r="G7328" t="n">
        <v>413</v>
      </c>
      <c r="H7328" t="n">
        <v>7.109999999999999e-172</v>
      </c>
      <c r="I7328" t="inlineStr">
        <is>
          <t>Nr</t>
        </is>
      </c>
      <c r="J7328" t="inlineStr"/>
      <c r="K7328" t="inlineStr"/>
      <c r="L7328" t="inlineStr">
        <is>
          <t>XP_018087893.1 serine/threonine-protein phosphatase 4 regulatory subunit 4 isoform X2 [Xenopus laevis]</t>
        </is>
      </c>
      <c r="M7328" t="n">
        <v>873</v>
      </c>
      <c r="N7328" t="inlineStr">
        <is>
          <t>Xenopus laevis</t>
        </is>
      </c>
      <c r="O7328" t="inlineStr">
        <is>
          <t>serine/threonine-protein phosphatase 4 regulatory subunit 4 isoform X2</t>
        </is>
      </c>
    </row>
    <row r="7329">
      <c r="A7329" t="inlineStr"/>
      <c r="B7329" t="inlineStr"/>
      <c r="C7329" t="inlineStr"/>
      <c r="D7329" t="inlineStr"/>
      <c r="E7329">
        <f>HYPERLINK("https://www.ncbi.nlm.nih.gov/gene/?term=KAG8546427.1", "KAG8546427.1")</f>
        <v/>
      </c>
      <c r="F7329" t="n">
        <v>69.5</v>
      </c>
      <c r="G7329" t="n">
        <v>413</v>
      </c>
      <c r="H7329" t="n">
        <v>1.45e-171</v>
      </c>
      <c r="I7329" t="inlineStr">
        <is>
          <t>Nr</t>
        </is>
      </c>
      <c r="J7329" t="inlineStr"/>
      <c r="K7329" t="inlineStr"/>
      <c r="L7329" t="inlineStr">
        <is>
          <t>KAG8546427.1 hypothetical protein GDO81_018934 [Engystomops pustulosus]</t>
        </is>
      </c>
      <c r="M7329" t="n">
        <v>756</v>
      </c>
      <c r="N7329" t="inlineStr">
        <is>
          <t>Engystomops pustulosus</t>
        </is>
      </c>
      <c r="O7329" t="inlineStr">
        <is>
          <t>hypothetical protein GDO81_018934</t>
        </is>
      </c>
    </row>
    <row r="7330">
      <c r="A7330" t="inlineStr"/>
      <c r="B7330" t="inlineStr"/>
      <c r="C7330" t="inlineStr"/>
      <c r="D7330" t="inlineStr"/>
      <c r="E7330">
        <f>HYPERLINK("https://www.uniprot.org/uniprotkb/A0A6P8RVB5/entry", "A0A6P8RVB5")</f>
        <v/>
      </c>
      <c r="F7330" t="n">
        <v>66</v>
      </c>
      <c r="G7330" t="n">
        <v>421</v>
      </c>
      <c r="H7330" t="n">
        <v>1.14e-170</v>
      </c>
      <c r="I7330" t="inlineStr">
        <is>
          <t>TrEMBL</t>
        </is>
      </c>
      <c r="J7330" t="inlineStr">
        <is>
          <t>PPP4R4</t>
        </is>
      </c>
      <c r="K7330" t="inlineStr">
        <is>
          <t>A0A6P8RVB5_GEOSA</t>
        </is>
      </c>
      <c r="L7330" t="inlineStr">
        <is>
          <t>tr|A0A6P8RVB5|A0A6P8RVB5_GEOSA serine/threonine-protein phosphatase 4 regulatory subunit 4 isoform X6 OS=Geotrypetes seraphini OX=260995 GN=PPP4R4 PE=4 SV=1</t>
        </is>
      </c>
      <c r="M7330" t="n">
        <v>870</v>
      </c>
      <c r="N7330" t="inlineStr">
        <is>
          <t>Geotrypetes seraphini</t>
        </is>
      </c>
      <c r="O7330" t="inlineStr">
        <is>
          <t>serine/threonine-protein phosphatase 4 regulatory subunit 4 isoform X6</t>
        </is>
      </c>
    </row>
    <row r="7331">
      <c r="A7331" t="inlineStr"/>
      <c r="B7331" t="inlineStr"/>
      <c r="C7331" t="inlineStr"/>
      <c r="D7331" t="inlineStr"/>
      <c r="E7331">
        <f>HYPERLINK("https://www.ncbi.nlm.nih.gov/gene/?term=UKB39463.1", "UKB39463.1")</f>
        <v/>
      </c>
      <c r="F7331" t="n">
        <v>67.59999999999999</v>
      </c>
      <c r="G7331" t="n">
        <v>413</v>
      </c>
      <c r="H7331" t="n">
        <v>1.65e-170</v>
      </c>
      <c r="I7331" t="inlineStr">
        <is>
          <t>Nr</t>
        </is>
      </c>
      <c r="J7331" t="inlineStr"/>
      <c r="K7331" t="inlineStr"/>
      <c r="L7331" t="inlineStr">
        <is>
          <t>UKB39463.1 protein phosphatase 4, regulatory subunit 4 protein, partial [synthetic construct]</t>
        </is>
      </c>
      <c r="M7331" t="n">
        <v>874</v>
      </c>
      <c r="N7331" t="inlineStr">
        <is>
          <t>synthetic construct</t>
        </is>
      </c>
      <c r="O7331" t="inlineStr">
        <is>
          <t>protein phosphatase 4, regulatory subunit 4 protein, partial</t>
        </is>
      </c>
    </row>
    <row r="7332">
      <c r="A7332" t="inlineStr"/>
      <c r="B7332" t="inlineStr"/>
      <c r="C7332" t="inlineStr"/>
      <c r="D7332" t="inlineStr"/>
      <c r="E7332">
        <f>HYPERLINK("https://www.ncbi.nlm.nih.gov/gene/?term=XP_033809153.1", "XP_033809153.1")</f>
        <v/>
      </c>
      <c r="F7332" t="n">
        <v>66</v>
      </c>
      <c r="G7332" t="n">
        <v>421</v>
      </c>
      <c r="H7332" t="n">
        <v>2.94e-170</v>
      </c>
      <c r="I7332" t="inlineStr">
        <is>
          <t>Nr</t>
        </is>
      </c>
      <c r="J7332" t="inlineStr"/>
      <c r="K7332" t="inlineStr"/>
      <c r="L7332" t="inlineStr">
        <is>
          <t>XP_033809153.1 serine/threonine-protein phosphatase 4 regulatory subunit 4 isoform X6 [Geotrypetes seraphini]</t>
        </is>
      </c>
      <c r="M7332" t="n">
        <v>870</v>
      </c>
      <c r="N7332" t="inlineStr">
        <is>
          <t>Geotrypetes seraphini</t>
        </is>
      </c>
      <c r="O7332" t="inlineStr">
        <is>
          <t>serine/threonine-protein phosphatase 4 regulatory subunit 4 isoform X6</t>
        </is>
      </c>
    </row>
    <row r="7333">
      <c r="A7333" t="inlineStr"/>
      <c r="B7333" t="inlineStr"/>
      <c r="C7333" t="inlineStr"/>
      <c r="D7333" t="inlineStr"/>
      <c r="E7333">
        <f>HYPERLINK("https://www.uniprot.org/uniprotkb/A0A6P8RUF9/entry", "A0A6P8RUF9")</f>
        <v/>
      </c>
      <c r="F7333" t="n">
        <v>66</v>
      </c>
      <c r="G7333" t="n">
        <v>421</v>
      </c>
      <c r="H7333" t="n">
        <v>5.799999999999999e-170</v>
      </c>
      <c r="I7333" t="inlineStr">
        <is>
          <t>TrEMBL</t>
        </is>
      </c>
      <c r="J7333" t="inlineStr">
        <is>
          <t>PPP4R4</t>
        </is>
      </c>
      <c r="K7333" t="inlineStr">
        <is>
          <t>A0A6P8RUF9_GEOSA</t>
        </is>
      </c>
      <c r="L7333" t="inlineStr">
        <is>
          <t>tr|A0A6P8RUF9|A0A6P8RUF9_GEOSA serine/threonine-protein phosphatase 4 regulatory subunit 4 isoform X3 OS=Geotrypetes seraphini OX=260995 GN=PPP4R4 PE=4 SV=1</t>
        </is>
      </c>
      <c r="M7333" t="n">
        <v>928</v>
      </c>
      <c r="N7333" t="inlineStr">
        <is>
          <t>Geotrypetes seraphini</t>
        </is>
      </c>
      <c r="O7333" t="inlineStr">
        <is>
          <t>serine/threonine-protein phosphatase 4 regulatory subunit 4 isoform X3</t>
        </is>
      </c>
    </row>
    <row r="7334">
      <c r="A7334" t="inlineStr"/>
      <c r="B7334" t="inlineStr"/>
      <c r="C7334" t="inlineStr"/>
      <c r="D7334" t="inlineStr"/>
      <c r="E7334">
        <f>HYPERLINK("https://www.ncbi.nlm.nih.gov/gene/?term=KAJ1105205.1", "KAJ1105205.1")</f>
        <v/>
      </c>
      <c r="F7334" t="n">
        <v>66.90000000000001</v>
      </c>
      <c r="G7334" t="n">
        <v>411</v>
      </c>
      <c r="H7334" t="n">
        <v>6.77e-170</v>
      </c>
      <c r="I7334" t="inlineStr">
        <is>
          <t>Nr</t>
        </is>
      </c>
      <c r="J7334" t="inlineStr"/>
      <c r="K7334" t="inlineStr"/>
      <c r="L7334" t="inlineStr">
        <is>
          <t>KAJ1105205.1 hypothetical protein NDU88_002613 [Pleurodeles waltl]</t>
        </is>
      </c>
      <c r="M7334" t="n">
        <v>815</v>
      </c>
      <c r="N7334" t="inlineStr">
        <is>
          <t>Pleurodeles waltl</t>
        </is>
      </c>
      <c r="O7334" t="inlineStr">
        <is>
          <t>hypothetical protein NDU88_002613</t>
        </is>
      </c>
    </row>
    <row r="7335">
      <c r="A7335" t="inlineStr"/>
      <c r="B7335" t="inlineStr"/>
      <c r="C7335" t="inlineStr"/>
      <c r="D7335" t="inlineStr"/>
      <c r="E7335">
        <f>HYPERLINK("https://www.ncbi.nlm.nih.gov/gene/?term=XP_019375452.1", "XP_019375452.1")</f>
        <v/>
      </c>
      <c r="F7335" t="n">
        <v>66.2</v>
      </c>
      <c r="G7335" t="n">
        <v>417</v>
      </c>
      <c r="H7335" t="n">
        <v>1.48e-169</v>
      </c>
      <c r="I7335" t="inlineStr">
        <is>
          <t>Nr</t>
        </is>
      </c>
      <c r="J7335" t="inlineStr"/>
      <c r="K7335" t="inlineStr"/>
      <c r="L7335" t="inlineStr">
        <is>
          <t>XP_019375452.1 PREDICTED: serine/threonine-protein phosphatase 4 regulatory subunit 4 [Gavialis gangeticus]</t>
        </is>
      </c>
      <c r="M7335" t="n">
        <v>866</v>
      </c>
      <c r="N7335" t="inlineStr">
        <is>
          <t>Gavialis gangeticus</t>
        </is>
      </c>
      <c r="O7335" t="inlineStr">
        <is>
          <t>PREDICTED: serine/threonine-protein phosphatase 4 regulatory subunit 4</t>
        </is>
      </c>
    </row>
    <row r="7336">
      <c r="A7336" t="inlineStr"/>
      <c r="B7336" t="inlineStr"/>
      <c r="C7336" t="inlineStr"/>
      <c r="D7336" t="inlineStr"/>
      <c r="E7336">
        <f>HYPERLINK("https://www.ncbi.nlm.nih.gov/gene/?term=XP_033809149.1", "XP_033809149.1")</f>
        <v/>
      </c>
      <c r="F7336" t="n">
        <v>66</v>
      </c>
      <c r="G7336" t="n">
        <v>421</v>
      </c>
      <c r="H7336" t="n">
        <v>1.49e-169</v>
      </c>
      <c r="I7336" t="inlineStr">
        <is>
          <t>Nr</t>
        </is>
      </c>
      <c r="J7336" t="inlineStr"/>
      <c r="K7336" t="inlineStr"/>
      <c r="L7336" t="inlineStr">
        <is>
          <t>XP_033809149.1 serine/threonine-protein phosphatase 4 regulatory subunit 4 isoform X3 [Geotrypetes seraphini]</t>
        </is>
      </c>
      <c r="M7336" t="n">
        <v>928</v>
      </c>
      <c r="N7336" t="inlineStr">
        <is>
          <t>Geotrypetes seraphini</t>
        </is>
      </c>
      <c r="O7336" t="inlineStr">
        <is>
          <t>serine/threonine-protein phosphatase 4 regulatory subunit 4 isoform X3</t>
        </is>
      </c>
    </row>
    <row r="7337">
      <c r="A7337" t="inlineStr"/>
      <c r="B7337" t="inlineStr"/>
      <c r="C7337" t="inlineStr"/>
      <c r="D7337" t="inlineStr"/>
      <c r="E7337">
        <f>HYPERLINK("https://www.uniprot.org/uniprotkb/A0A6P8RVB0/entry", "A0A6P8RVB0")</f>
        <v/>
      </c>
      <c r="F7337" t="n">
        <v>68</v>
      </c>
      <c r="G7337" t="n">
        <v>403</v>
      </c>
      <c r="H7337" t="n">
        <v>3.67e-169</v>
      </c>
      <c r="I7337" t="inlineStr">
        <is>
          <t>TrEMBL</t>
        </is>
      </c>
      <c r="J7337" t="inlineStr">
        <is>
          <t>PPP4R4</t>
        </is>
      </c>
      <c r="K7337" t="inlineStr">
        <is>
          <t>A0A6P8RVB0_GEOSA</t>
        </is>
      </c>
      <c r="L7337" t="inlineStr">
        <is>
          <t>tr|A0A6P8RVB0|A0A6P8RVB0_GEOSA serine/threonine-protein phosphatase 4 regulatory subunit 4 isoform X2 OS=Geotrypetes seraphini OX=260995 GN=PPP4R4 PE=4 SV=1</t>
        </is>
      </c>
      <c r="M7337" t="n">
        <v>945</v>
      </c>
      <c r="N7337" t="inlineStr">
        <is>
          <t>Geotrypetes seraphini</t>
        </is>
      </c>
      <c r="O7337" t="inlineStr">
        <is>
          <t>serine/threonine-protein phosphatase 4 regulatory subunit 4 isoform X2</t>
        </is>
      </c>
    </row>
    <row r="7338">
      <c r="A7338" t="inlineStr"/>
      <c r="B7338" t="inlineStr"/>
      <c r="C7338" t="inlineStr"/>
      <c r="D7338" t="inlineStr"/>
      <c r="E7338">
        <f>HYPERLINK("https://www.uniprot.org/uniprotkb/A0A3Q0GRM5/entry", "A0A3Q0GRM5")</f>
        <v/>
      </c>
      <c r="F7338" t="n">
        <v>65.2</v>
      </c>
      <c r="G7338" t="n">
        <v>417</v>
      </c>
      <c r="H7338" t="n">
        <v>9.06e-169</v>
      </c>
      <c r="I7338" t="inlineStr">
        <is>
          <t>TrEMBL</t>
        </is>
      </c>
      <c r="J7338" t="inlineStr">
        <is>
          <t>PPP4R4</t>
        </is>
      </c>
      <c r="K7338" t="inlineStr">
        <is>
          <t>A0A3Q0GRM5_ALLSI</t>
        </is>
      </c>
      <c r="L7338" t="inlineStr">
        <is>
          <t>tr|A0A3Q0GRM5|A0A3Q0GRM5_ALLSI serine/threonine-protein phosphatase 4 regulatory subunit 4 isoform X10 OS=Alligator sinensis OX=38654 GN=PPP4R4 PE=4 SV=1</t>
        </is>
      </c>
      <c r="M7338" t="n">
        <v>736</v>
      </c>
      <c r="N7338" t="inlineStr">
        <is>
          <t>Alligator sinensis</t>
        </is>
      </c>
      <c r="O7338" t="inlineStr">
        <is>
          <t>serine/threonine-protein phosphatase 4 regulatory subunit 4 isoform X10</t>
        </is>
      </c>
    </row>
    <row r="7339">
      <c r="A7339" t="inlineStr"/>
      <c r="B7339" t="inlineStr"/>
      <c r="C7339" t="inlineStr"/>
      <c r="D7339" t="inlineStr"/>
      <c r="E7339">
        <f>HYPERLINK("https://www.uniprot.org/uniprotkb/A0A3Q0GQN2/entry", "A0A3Q0GQN2")</f>
        <v/>
      </c>
      <c r="F7339" t="n">
        <v>65.2</v>
      </c>
      <c r="G7339" t="n">
        <v>417</v>
      </c>
      <c r="H7339" t="n">
        <v>2.24e-168</v>
      </c>
      <c r="I7339" t="inlineStr">
        <is>
          <t>TrEMBL</t>
        </is>
      </c>
      <c r="J7339" t="inlineStr">
        <is>
          <t>PPP4R4</t>
        </is>
      </c>
      <c r="K7339" t="inlineStr">
        <is>
          <t>A0A3Q0GQN2_ALLSI</t>
        </is>
      </c>
      <c r="L7339" t="inlineStr">
        <is>
          <t>tr|A0A3Q0GQN2|A0A3Q0GQN2_ALLSI serine/threonine-protein phosphatase 4 regulatory subunit 4 isoform X9 OS=Alligator sinensis OX=38654 GN=PPP4R4 PE=4 SV=1</t>
        </is>
      </c>
      <c r="M7339" t="n">
        <v>766</v>
      </c>
      <c r="N7339" t="inlineStr">
        <is>
          <t>Alligator sinensis</t>
        </is>
      </c>
      <c r="O7339" t="inlineStr">
        <is>
          <t>serine/threonine-protein phosphatase 4 regulatory subunit 4 isoform X9</t>
        </is>
      </c>
    </row>
    <row r="7340">
      <c r="A7340" t="inlineStr"/>
      <c r="B7340" t="inlineStr"/>
      <c r="C7340" t="inlineStr"/>
      <c r="D7340" t="inlineStr"/>
      <c r="E7340">
        <f>HYPERLINK("https://www.uniprot.org/uniprotkb/A0A3Q0GRM2/entry", "A0A3Q0GRM2")</f>
        <v/>
      </c>
      <c r="F7340" t="n">
        <v>65.2</v>
      </c>
      <c r="G7340" t="n">
        <v>417</v>
      </c>
      <c r="H7340" t="n">
        <v>4.57e-168</v>
      </c>
      <c r="I7340" t="inlineStr">
        <is>
          <t>TrEMBL</t>
        </is>
      </c>
      <c r="J7340" t="inlineStr">
        <is>
          <t>PPP4R4</t>
        </is>
      </c>
      <c r="K7340" t="inlineStr">
        <is>
          <t>A0A3Q0GRM2_ALLSI</t>
        </is>
      </c>
      <c r="L7340" t="inlineStr">
        <is>
          <t>tr|A0A3Q0GRM2|A0A3Q0GRM2_ALLSI serine/threonine-protein phosphatase 4 regulatory subunit 4 isoform X7 OS=Alligator sinensis OX=38654 GN=PPP4R4 PE=4 SV=1</t>
        </is>
      </c>
      <c r="M7340" t="n">
        <v>790</v>
      </c>
      <c r="N7340" t="inlineStr">
        <is>
          <t>Alligator sinensis</t>
        </is>
      </c>
      <c r="O7340" t="inlineStr">
        <is>
          <t>serine/threonine-protein phosphatase 4 regulatory subunit 4 isoform X7</t>
        </is>
      </c>
    </row>
    <row r="7341">
      <c r="A7341" t="inlineStr"/>
      <c r="B7341" t="inlineStr"/>
      <c r="C7341" t="inlineStr"/>
      <c r="D7341" t="inlineStr"/>
      <c r="E7341">
        <f>HYPERLINK("https://www.uniprot.org/uniprotkb/A0A151P8W2/entry", "A0A151P8W2")</f>
        <v/>
      </c>
      <c r="F7341" t="n">
        <v>65.5</v>
      </c>
      <c r="G7341" t="n">
        <v>417</v>
      </c>
      <c r="H7341" t="n">
        <v>9.739999999999999e-168</v>
      </c>
      <c r="I7341" t="inlineStr">
        <is>
          <t>TrEMBL</t>
        </is>
      </c>
      <c r="J7341" t="inlineStr">
        <is>
          <t>PPP4R4</t>
        </is>
      </c>
      <c r="K7341" t="inlineStr">
        <is>
          <t>A0A151P8W2_ALLMI</t>
        </is>
      </c>
      <c r="L7341" t="inlineStr">
        <is>
          <t>tr|A0A151P8W2|A0A151P8W2_ALLMI Serine/threonine-protein phosphatase 4 regulatory subunit 4 isoform A OS=Alligator mississippiensis OX=8496 GN=PPP4R4 PE=4 SV=1</t>
        </is>
      </c>
      <c r="M7341" t="n">
        <v>864</v>
      </c>
      <c r="N7341" t="inlineStr">
        <is>
          <t>Alligator mississippiensis</t>
        </is>
      </c>
      <c r="O7341" t="inlineStr">
        <is>
          <t>Serine/threonine-protein phosphatase 4 regulatory subunit 4 isoform A</t>
        </is>
      </c>
    </row>
    <row r="7342">
      <c r="A7342" t="inlineStr"/>
      <c r="B7342" t="inlineStr"/>
      <c r="C7342" t="inlineStr"/>
      <c r="D7342" t="inlineStr"/>
      <c r="E7342">
        <f>HYPERLINK("https://www.uniprot.org/uniprotkb/A0A1U7RTB7/entry", "A0A1U7RTB7")</f>
        <v/>
      </c>
      <c r="F7342" t="n">
        <v>65.2</v>
      </c>
      <c r="G7342" t="n">
        <v>417</v>
      </c>
      <c r="H7342" t="n">
        <v>3.89e-167</v>
      </c>
      <c r="I7342" t="inlineStr">
        <is>
          <t>TrEMBL</t>
        </is>
      </c>
      <c r="J7342" t="inlineStr">
        <is>
          <t>PPP4R4</t>
        </is>
      </c>
      <c r="K7342" t="inlineStr">
        <is>
          <t>A0A1U7RTB7_ALLSI</t>
        </is>
      </c>
      <c r="L7342" t="inlineStr">
        <is>
          <t>tr|A0A1U7RTB7|A0A1U7RTB7_ALLSI serine/threonine-protein phosphatase 4 regulatory subunit 4 isoform X1 OS=Alligator sinensis OX=38654 GN=PPP4R4 PE=4 SV=2</t>
        </is>
      </c>
      <c r="M7342" t="n">
        <v>864</v>
      </c>
      <c r="N7342" t="inlineStr">
        <is>
          <t>Alligator sinensis</t>
        </is>
      </c>
      <c r="O7342" t="inlineStr">
        <is>
          <t>serine/threonine-protein phosphatase 4 regulatory subunit 4 isoform X1</t>
        </is>
      </c>
    </row>
    <row r="7343">
      <c r="A7343" t="inlineStr"/>
      <c r="B7343" t="inlineStr"/>
      <c r="C7343" t="inlineStr"/>
      <c r="D7343" t="inlineStr"/>
      <c r="E7343">
        <f>HYPERLINK("https://www.uniprot.org/uniprotkb/A0A6P8RUG3/entry", "A0A6P8RUG3")</f>
        <v/>
      </c>
      <c r="F7343" t="n">
        <v>66.3</v>
      </c>
      <c r="G7343" t="n">
        <v>413</v>
      </c>
      <c r="H7343" t="n">
        <v>1.19e-166</v>
      </c>
      <c r="I7343" t="inlineStr">
        <is>
          <t>TrEMBL</t>
        </is>
      </c>
      <c r="J7343" t="inlineStr">
        <is>
          <t>PPP4R4</t>
        </is>
      </c>
      <c r="K7343" t="inlineStr">
        <is>
          <t>A0A6P8RUG3_GEOSA</t>
        </is>
      </c>
      <c r="L7343" t="inlineStr">
        <is>
          <t>tr|A0A6P8RUG3|A0A6P8RUG3_GEOSA serine/threonine-protein phosphatase 4 regulatory subunit 4 isoform X7 OS=Geotrypetes seraphini OX=260995 GN=PPP4R4 PE=4 SV=1</t>
        </is>
      </c>
      <c r="M7343" t="n">
        <v>867</v>
      </c>
      <c r="N7343" t="inlineStr">
        <is>
          <t>Geotrypetes seraphini</t>
        </is>
      </c>
      <c r="O7343" t="inlineStr">
        <is>
          <t>serine/threonine-protein phosphatase 4 regulatory subunit 4 isoform X7</t>
        </is>
      </c>
    </row>
    <row r="7344">
      <c r="A7344" t="inlineStr"/>
      <c r="B7344" t="inlineStr"/>
      <c r="C7344" t="inlineStr"/>
      <c r="D7344" t="inlineStr"/>
      <c r="E7344">
        <f>HYPERLINK("https://www.uniprot.org/uniprotkb/A0A6P8RU78/entry", "A0A6P8RU78")</f>
        <v/>
      </c>
      <c r="F7344" t="n">
        <v>66.3</v>
      </c>
      <c r="G7344" t="n">
        <v>413</v>
      </c>
      <c r="H7344" t="n">
        <v>2.76e-166</v>
      </c>
      <c r="I7344" t="inlineStr">
        <is>
          <t>TrEMBL</t>
        </is>
      </c>
      <c r="J7344" t="inlineStr">
        <is>
          <t>PPP4R4</t>
        </is>
      </c>
      <c r="K7344" t="inlineStr">
        <is>
          <t>A0A6P8RU78_GEOSA</t>
        </is>
      </c>
      <c r="L7344" t="inlineStr">
        <is>
          <t>tr|A0A6P8RU78|A0A6P8RU78_GEOSA serine/threonine-protein phosphatase 4 regulatory subunit 4 isoform X5 OS=Geotrypetes seraphini OX=260995 GN=PPP4R4 PE=4 SV=1</t>
        </is>
      </c>
      <c r="M7344" t="n">
        <v>897</v>
      </c>
      <c r="N7344" t="inlineStr">
        <is>
          <t>Geotrypetes seraphini</t>
        </is>
      </c>
      <c r="O7344" t="inlineStr">
        <is>
          <t>serine/threonine-protein phosphatase 4 regulatory subunit 4 isoform X5</t>
        </is>
      </c>
    </row>
    <row r="7345">
      <c r="A7345" t="inlineStr"/>
      <c r="B7345" t="inlineStr"/>
      <c r="C7345" t="inlineStr"/>
      <c r="D7345" t="inlineStr"/>
      <c r="E7345">
        <f>HYPERLINK("https://www.uniprot.org/uniprotkb/A0A6P8RU73/entry", "A0A6P8RU73")</f>
        <v/>
      </c>
      <c r="F7345" t="n">
        <v>66.3</v>
      </c>
      <c r="G7345" t="n">
        <v>413</v>
      </c>
      <c r="H7345" t="n">
        <v>1.34e-165</v>
      </c>
      <c r="I7345" t="inlineStr">
        <is>
          <t>TrEMBL</t>
        </is>
      </c>
      <c r="J7345" t="inlineStr">
        <is>
          <t>PPP4R4</t>
        </is>
      </c>
      <c r="K7345" t="inlineStr">
        <is>
          <t>A0A6P8RU73_GEOSA</t>
        </is>
      </c>
      <c r="L7345" t="inlineStr">
        <is>
          <t>tr|A0A6P8RU73|A0A6P8RU73_GEOSA serine/threonine-protein phosphatase 4 regulatory subunit 4 isoform X1 OS=Geotrypetes seraphini OX=260995 GN=PPP4R4 PE=4 SV=1</t>
        </is>
      </c>
      <c r="M7345" t="n">
        <v>955</v>
      </c>
      <c r="N7345" t="inlineStr">
        <is>
          <t>Geotrypetes seraphini</t>
        </is>
      </c>
      <c r="O7345" t="inlineStr">
        <is>
          <t>serine/threonine-protein phosphatase 4 regulatory subunit 4 isoform X1</t>
        </is>
      </c>
    </row>
    <row r="7346">
      <c r="A7346" t="inlineStr"/>
      <c r="B7346" t="inlineStr"/>
      <c r="C7346" t="inlineStr"/>
      <c r="D7346" t="inlineStr"/>
      <c r="E7346">
        <f>HYPERLINK("https://www.uniprot.org/uniprotkb/A0A8C4XSL4/entry", "A0A8C4XSL4")</f>
        <v/>
      </c>
      <c r="F7346" t="n">
        <v>64.59999999999999</v>
      </c>
      <c r="G7346" t="n">
        <v>418</v>
      </c>
      <c r="H7346" t="n">
        <v>1.46e-165</v>
      </c>
      <c r="I7346" t="inlineStr">
        <is>
          <t>TrEMBL</t>
        </is>
      </c>
      <c r="J7346" t="inlineStr"/>
      <c r="K7346" t="inlineStr">
        <is>
          <t>A0A8C4XSL4_FALTI</t>
        </is>
      </c>
      <c r="L7346" t="inlineStr">
        <is>
          <t>tr|A0A8C4XSL4|A0A8C4XSL4_FALTI Protein phosphatase 4 regulatory subunit 4 OS=Falco tinnunculus OX=100819 PE=4 SV=1</t>
        </is>
      </c>
      <c r="M7346" t="n">
        <v>870</v>
      </c>
      <c r="N7346" t="inlineStr">
        <is>
          <t>Falco tinnunculus</t>
        </is>
      </c>
      <c r="O7346" t="inlineStr">
        <is>
          <t>Protein phosphatase 4 regulatory subunit 4</t>
        </is>
      </c>
    </row>
    <row r="7347">
      <c r="A7347" t="inlineStr"/>
      <c r="B7347" t="inlineStr"/>
      <c r="C7347" t="inlineStr"/>
      <c r="D7347" t="inlineStr"/>
      <c r="E7347">
        <f>HYPERLINK("https://www.uniprot.org/uniprotkb/A0A663M524/entry", "A0A663M524")</f>
        <v/>
      </c>
      <c r="F7347" t="n">
        <v>64.40000000000001</v>
      </c>
      <c r="G7347" t="n">
        <v>418</v>
      </c>
      <c r="H7347" t="n">
        <v>2.92e-165</v>
      </c>
      <c r="I7347" t="inlineStr">
        <is>
          <t>TrEMBL</t>
        </is>
      </c>
      <c r="J7347" t="inlineStr">
        <is>
          <t>PPP4R4</t>
        </is>
      </c>
      <c r="K7347" t="inlineStr">
        <is>
          <t>A0A663M524_ATHCN</t>
        </is>
      </c>
      <c r="L7347" t="inlineStr">
        <is>
          <t>tr|A0A663M524|A0A663M524_ATHCN Protein phosphatase 4 regulatory subunit 4 OS=Athene cunicularia OX=194338 GN=PPP4R4 PE=4 SV=1</t>
        </is>
      </c>
      <c r="M7347" t="n">
        <v>870</v>
      </c>
      <c r="N7347" t="inlineStr">
        <is>
          <t>Athene cunicularia</t>
        </is>
      </c>
      <c r="O7347" t="inlineStr">
        <is>
          <t>Protein phosphatase 4 regulatory subunit 4</t>
        </is>
      </c>
    </row>
    <row r="7348">
      <c r="A7348" t="inlineStr"/>
      <c r="B7348" t="inlineStr"/>
      <c r="C7348" t="inlineStr"/>
      <c r="D7348" t="inlineStr"/>
      <c r="E7348">
        <f>HYPERLINK("https://www.uniprot.org/uniprotkb/A0A8C8ABY9/entry", "A0A8C8ABY9")</f>
        <v/>
      </c>
      <c r="F7348" t="n">
        <v>64.59999999999999</v>
      </c>
      <c r="G7348" t="n">
        <v>418</v>
      </c>
      <c r="H7348" t="n">
        <v>4.12e-165</v>
      </c>
      <c r="I7348" t="inlineStr">
        <is>
          <t>TrEMBL</t>
        </is>
      </c>
      <c r="J7348" t="inlineStr"/>
      <c r="K7348" t="inlineStr">
        <is>
          <t>A0A8C8ABY9_9STRI</t>
        </is>
      </c>
      <c r="L7348" t="inlineStr">
        <is>
          <t>tr|A0A8C8ABY9|A0A8C8ABY9_9STRI Protein phosphatase 4 regulatory subunit 4 OS=Otus sunia OX=257818 PE=4 SV=1</t>
        </is>
      </c>
      <c r="M7348" t="n">
        <v>870</v>
      </c>
      <c r="N7348" t="inlineStr">
        <is>
          <t>Otus sunia</t>
        </is>
      </c>
      <c r="O7348" t="inlineStr">
        <is>
          <t>Protein phosphatase 4 regulatory subunit 4</t>
        </is>
      </c>
    </row>
    <row r="7349">
      <c r="A7349" t="inlineStr"/>
      <c r="B7349" t="inlineStr"/>
      <c r="C7349" t="inlineStr"/>
      <c r="D7349" t="inlineStr"/>
      <c r="E7349">
        <f>HYPERLINK("https://www.uniprot.org/uniprotkb/A0A091RZP8/entry", "A0A091RZP8")</f>
        <v/>
      </c>
      <c r="F7349" t="n">
        <v>65.3</v>
      </c>
      <c r="G7349" t="n">
        <v>409</v>
      </c>
      <c r="H7349" t="n">
        <v>6.33e-165</v>
      </c>
      <c r="I7349" t="inlineStr">
        <is>
          <t>TrEMBL</t>
        </is>
      </c>
      <c r="J7349" t="inlineStr">
        <is>
          <t>N333_10024</t>
        </is>
      </c>
      <c r="K7349" t="inlineStr">
        <is>
          <t>A0A091RZP8_NESNO</t>
        </is>
      </c>
      <c r="L7349" t="inlineStr">
        <is>
          <t>tr|A0A091RZP8|A0A091RZP8_NESNO Serine/threonine-protein phosphatase 4 regulatory subunit 4 (Fragment) OS=Nestor notabilis OX=176057 GN=N333_10024 PE=4 SV=1</t>
        </is>
      </c>
      <c r="M7349" t="n">
        <v>765</v>
      </c>
      <c r="N7349" t="inlineStr">
        <is>
          <t>Nestor notabilis</t>
        </is>
      </c>
      <c r="O7349" t="inlineStr">
        <is>
          <t>Serine/threonine-protein phosphatase 4 regulatory subunit 4 (Fragment)</t>
        </is>
      </c>
    </row>
    <row r="7350">
      <c r="A7350" t="inlineStr"/>
      <c r="B7350" t="inlineStr"/>
      <c r="C7350" t="inlineStr"/>
      <c r="D7350" t="inlineStr"/>
      <c r="E7350">
        <f>HYPERLINK("https://www.uniprot.org/uniprotkb/A0A7L4GJN3/entry", "A0A7L4GJN3")</f>
        <v/>
      </c>
      <c r="F7350" t="n">
        <v>64.40000000000001</v>
      </c>
      <c r="G7350" t="n">
        <v>410</v>
      </c>
      <c r="H7350" t="n">
        <v>3.43e-164</v>
      </c>
      <c r="I7350" t="inlineStr">
        <is>
          <t>TrEMBL</t>
        </is>
      </c>
      <c r="J7350" t="inlineStr">
        <is>
          <t>Ppp4r4</t>
        </is>
      </c>
      <c r="K7350" t="inlineStr">
        <is>
          <t>A0A7L4GJN3_PODST</t>
        </is>
      </c>
      <c r="L7350" t="inlineStr">
        <is>
          <t>tr|A0A7L4GJN3|A0A7L4GJN3_PODST PP4R4 phosphatase (Fragment) OS=Podargus strigoides OX=8905 GN=Ppp4r4 PE=4 SV=1</t>
        </is>
      </c>
      <c r="M7350" t="n">
        <v>617</v>
      </c>
      <c r="N7350" t="inlineStr">
        <is>
          <t>Podargus strigoides</t>
        </is>
      </c>
      <c r="O7350" t="inlineStr">
        <is>
          <t>PP4R4 phosphatase (Fragment)</t>
        </is>
      </c>
    </row>
    <row r="7351">
      <c r="A7351" t="inlineStr"/>
      <c r="B7351" t="inlineStr"/>
      <c r="C7351" t="inlineStr"/>
      <c r="D7351" t="inlineStr"/>
      <c r="E7351">
        <f>HYPERLINK("https://www.uniprot.org/uniprotkb/A0A493T000/entry", "A0A493T000")</f>
        <v/>
      </c>
      <c r="F7351" t="n">
        <v>63.9</v>
      </c>
      <c r="G7351" t="n">
        <v>415</v>
      </c>
      <c r="H7351" t="n">
        <v>5.78e-164</v>
      </c>
      <c r="I7351" t="inlineStr">
        <is>
          <t>TrEMBL</t>
        </is>
      </c>
      <c r="J7351" t="inlineStr">
        <is>
          <t>PPP4R4</t>
        </is>
      </c>
      <c r="K7351" t="inlineStr">
        <is>
          <t>A0A493T000_ANAPP</t>
        </is>
      </c>
      <c r="L7351" t="inlineStr">
        <is>
          <t>tr|A0A493T000|A0A493T000_ANAPP Protein phosphatase 4 regulatory subunit 4 OS=Anas platyrhynchos platyrhynchos OX=8840 GN=PPP4R4 PE=4 SV=1</t>
        </is>
      </c>
      <c r="M7351" t="n">
        <v>793</v>
      </c>
      <c r="N7351" t="inlineStr">
        <is>
          <t>Anas platyrhynchos platyrhynchos</t>
        </is>
      </c>
      <c r="O7351" t="inlineStr">
        <is>
          <t>Protein phosphatase 4 regulatory subunit 4</t>
        </is>
      </c>
    </row>
    <row r="7352">
      <c r="A7352" t="inlineStr"/>
      <c r="B7352" t="inlineStr"/>
      <c r="C7352" t="inlineStr"/>
      <c r="D7352" t="inlineStr"/>
      <c r="E7352">
        <f>HYPERLINK("https://www.uniprot.org/uniprotkb/A0A8B9BI57/entry", "A0A8B9BI57")</f>
        <v/>
      </c>
      <c r="F7352" t="n">
        <v>64.09999999999999</v>
      </c>
      <c r="G7352" t="n">
        <v>418</v>
      </c>
      <c r="H7352" t="n">
        <v>6.730000000000001e-164</v>
      </c>
      <c r="I7352" t="inlineStr">
        <is>
          <t>TrEMBL</t>
        </is>
      </c>
      <c r="J7352" t="inlineStr">
        <is>
          <t>PPP4R4</t>
        </is>
      </c>
      <c r="K7352" t="inlineStr">
        <is>
          <t>A0A8B9BI57_9AVES</t>
        </is>
      </c>
      <c r="L7352" t="inlineStr">
        <is>
          <t>tr|A0A8B9BI57|A0A8B9BI57_9AVES Protein phosphatase 4 regulatory subunit 4 OS=Anser brachyrhynchus OX=132585 GN=PPP4R4 PE=4 SV=1</t>
        </is>
      </c>
      <c r="M7352" t="n">
        <v>871</v>
      </c>
      <c r="N7352" t="inlineStr">
        <is>
          <t>Anser brachyrhynchus</t>
        </is>
      </c>
      <c r="O7352" t="inlineStr">
        <is>
          <t>Protein phosphatase 4 regulatory subunit 4</t>
        </is>
      </c>
    </row>
    <row r="7353">
      <c r="A7353" t="inlineStr"/>
      <c r="B7353" t="inlineStr"/>
      <c r="C7353" t="inlineStr"/>
      <c r="D7353" t="inlineStr"/>
      <c r="E7353">
        <f>HYPERLINK("https://www.uniprot.org/uniprotkb/Q6NUP7/entry", "Q6NUP7")</f>
        <v/>
      </c>
      <c r="F7353" t="n">
        <v>59</v>
      </c>
      <c r="G7353" t="n">
        <v>415</v>
      </c>
      <c r="H7353" t="n">
        <v>6.56e-145</v>
      </c>
      <c r="I7353" t="inlineStr">
        <is>
          <t>Swiss-Prot</t>
        </is>
      </c>
      <c r="J7353" t="inlineStr">
        <is>
          <t>PPP4R4</t>
        </is>
      </c>
      <c r="K7353" t="inlineStr">
        <is>
          <t>PP4R4_HUMAN</t>
        </is>
      </c>
      <c r="L7353" t="inlineStr">
        <is>
          <t>sp|Q6NUP7|PP4R4_HUMAN Serine/threonine-protein phosphatase 4 regulatory subunit 4 OS=Homo sapiens OX=9606 GN=PPP4R4 PE=1 SV=1</t>
        </is>
      </c>
      <c r="M7353" t="n">
        <v>873</v>
      </c>
      <c r="N7353" t="inlineStr">
        <is>
          <t>Homo sapiens</t>
        </is>
      </c>
      <c r="O7353" t="inlineStr">
        <is>
          <t>Serine/threonine-protein phosphatase 4 regulatory subunit 4</t>
        </is>
      </c>
    </row>
    <row r="7354">
      <c r="A7354" t="inlineStr"/>
      <c r="B7354" t="inlineStr"/>
      <c r="C7354" t="inlineStr"/>
      <c r="D7354" t="inlineStr"/>
      <c r="E7354">
        <f>HYPERLINK("https://www.uniprot.org/uniprotkb/Q8C0Y0/entry", "Q8C0Y0")</f>
        <v/>
      </c>
      <c r="F7354" t="n">
        <v>57.1</v>
      </c>
      <c r="G7354" t="n">
        <v>415</v>
      </c>
      <c r="H7354" t="n">
        <v>5.02e-138</v>
      </c>
      <c r="I7354" t="inlineStr">
        <is>
          <t>Swiss-Prot</t>
        </is>
      </c>
      <c r="J7354" t="inlineStr">
        <is>
          <t>Ppp4r4</t>
        </is>
      </c>
      <c r="K7354" t="inlineStr">
        <is>
          <t>PP4R4_MOUSE</t>
        </is>
      </c>
      <c r="L7354" t="inlineStr">
        <is>
          <t>sp|Q8C0Y0|PP4R4_MOUSE Serine/threonine-protein phosphatase 4 regulatory subunit 4 OS=Mus musculus OX=10090 GN=Ppp4r4 PE=1 SV=2</t>
        </is>
      </c>
      <c r="M7354" t="n">
        <v>875</v>
      </c>
      <c r="N7354" t="inlineStr">
        <is>
          <t>Mus musculus</t>
        </is>
      </c>
      <c r="O7354" t="inlineStr">
        <is>
          <t>Serine/threonine-protein phosphatase 4 regulatory subunit 4</t>
        </is>
      </c>
    </row>
    <row r="7355">
      <c r="A7355" t="inlineStr">
        <is>
          <t>NODE_49742_length_3000_cov_3592.451415_g13189_i3</t>
        </is>
      </c>
      <c r="B7355" t="inlineStr">
        <is>
          <t>bombina_pachypus_blastx</t>
        </is>
      </c>
      <c r="C7355" t="n">
        <v>-4.13800891329631</v>
      </c>
      <c r="D7355" t="n">
        <v>1.77236095459684e-16</v>
      </c>
      <c r="E7355">
        <f>HYPERLINK("https://www.uniprot.org/uniprotkb/Q6DDU5/entry", "Q6DDU5")</f>
        <v/>
      </c>
      <c r="F7355" t="n">
        <v>93.5</v>
      </c>
      <c r="G7355" t="n">
        <v>46</v>
      </c>
      <c r="H7355" t="n">
        <v>1.41e-23</v>
      </c>
      <c r="I7355" t="inlineStr">
        <is>
          <t>Swiss-Prot</t>
        </is>
      </c>
      <c r="J7355" t="inlineStr">
        <is>
          <t>smap</t>
        </is>
      </c>
      <c r="K7355" t="inlineStr">
        <is>
          <t>SMAP_XENLA</t>
        </is>
      </c>
      <c r="L7355" t="inlineStr">
        <is>
          <t>sp|Q6DDU5|SMAP_XENLA Small acidic protein OS=Xenopus laevis OX=8355 GN=smap PE=2 SV=1</t>
        </is>
      </c>
      <c r="M7355" t="n">
        <v>188</v>
      </c>
      <c r="N7355" t="inlineStr">
        <is>
          <t>Xenopus laevis</t>
        </is>
      </c>
      <c r="O7355" t="inlineStr">
        <is>
          <t>Small acidic protein</t>
        </is>
      </c>
    </row>
    <row r="7356">
      <c r="A7356" t="inlineStr"/>
      <c r="B7356" t="inlineStr"/>
      <c r="C7356" t="inlineStr"/>
      <c r="D7356" t="inlineStr"/>
      <c r="E7356">
        <f>HYPERLINK("https://www.uniprot.org/uniprotkb/Q0IIX4/entry", "Q0IIX4")</f>
        <v/>
      </c>
      <c r="F7356" t="n">
        <v>95.5</v>
      </c>
      <c r="G7356" t="n">
        <v>44</v>
      </c>
      <c r="H7356" t="n">
        <v>1.16e-22</v>
      </c>
      <c r="I7356" t="inlineStr">
        <is>
          <t>Swiss-Prot</t>
        </is>
      </c>
      <c r="J7356" t="inlineStr">
        <is>
          <t>smap</t>
        </is>
      </c>
      <c r="K7356" t="inlineStr">
        <is>
          <t>SMAP_XENTR</t>
        </is>
      </c>
      <c r="L7356" t="inlineStr">
        <is>
          <t>sp|Q0IIX4|SMAP_XENTR Small acidic protein OS=Xenopus tropicalis OX=8364 GN=smap PE=2 SV=1</t>
        </is>
      </c>
      <c r="M7356" t="n">
        <v>190</v>
      </c>
      <c r="N7356" t="inlineStr">
        <is>
          <t>Xenopus tropicalis</t>
        </is>
      </c>
      <c r="O7356" t="inlineStr">
        <is>
          <t>Small acidic protein</t>
        </is>
      </c>
    </row>
    <row r="7357">
      <c r="A7357" t="inlineStr"/>
      <c r="B7357" t="inlineStr"/>
      <c r="C7357" t="inlineStr"/>
      <c r="D7357" t="inlineStr"/>
      <c r="E7357">
        <f>HYPERLINK("https://www.ncbi.nlm.nih.gov/gene/?term=XP_041131068.1", "XP_041131068.1")</f>
        <v/>
      </c>
      <c r="F7357" t="n">
        <v>68.2</v>
      </c>
      <c r="G7357" t="n">
        <v>66</v>
      </c>
      <c r="H7357" t="n">
        <v>1.47e-22</v>
      </c>
      <c r="I7357" t="inlineStr">
        <is>
          <t>Nr</t>
        </is>
      </c>
      <c r="J7357" t="inlineStr"/>
      <c r="K7357" t="inlineStr"/>
      <c r="L7357" t="inlineStr">
        <is>
          <t>XP_041131068.1 small acidic protein isoform X2 [Polyodon spathula]</t>
        </is>
      </c>
      <c r="M7357" t="n">
        <v>170</v>
      </c>
      <c r="N7357" t="inlineStr">
        <is>
          <t>Polyodon spathula</t>
        </is>
      </c>
      <c r="O7357" t="inlineStr">
        <is>
          <t>small acidic protein isoform X2</t>
        </is>
      </c>
    </row>
    <row r="7358">
      <c r="A7358" t="inlineStr"/>
      <c r="B7358" t="inlineStr"/>
      <c r="C7358" t="inlineStr"/>
      <c r="D7358" t="inlineStr"/>
      <c r="E7358">
        <f>HYPERLINK("https://www.uniprot.org/uniprotkb/Q7ZVC9/entry", "Q7ZVC9")</f>
        <v/>
      </c>
      <c r="F7358" t="n">
        <v>77.40000000000001</v>
      </c>
      <c r="G7358" t="n">
        <v>53</v>
      </c>
      <c r="H7358" t="n">
        <v>4.11e-22</v>
      </c>
      <c r="I7358" t="inlineStr">
        <is>
          <t>Swiss-Prot</t>
        </is>
      </c>
      <c r="J7358" t="inlineStr">
        <is>
          <t>smap</t>
        </is>
      </c>
      <c r="K7358" t="inlineStr">
        <is>
          <t>SMAP_DANRE</t>
        </is>
      </c>
      <c r="L7358" t="inlineStr">
        <is>
          <t>sp|Q7ZVC9|SMAP_DANRE Small acidic protein OS=Danio rerio OX=7955 GN=smap PE=1 SV=1</t>
        </is>
      </c>
      <c r="M7358" t="n">
        <v>171</v>
      </c>
      <c r="N7358" t="inlineStr">
        <is>
          <t>Danio rerio</t>
        </is>
      </c>
      <c r="O7358" t="inlineStr">
        <is>
          <t>Small acidic protein</t>
        </is>
      </c>
    </row>
    <row r="7359">
      <c r="A7359" t="inlineStr"/>
      <c r="B7359" t="inlineStr"/>
      <c r="C7359" t="inlineStr"/>
      <c r="D7359" t="inlineStr"/>
      <c r="E7359">
        <f>HYPERLINK("https://www.uniprot.org/uniprotkb/Q3MHL8/entry", "Q3MHL8")</f>
        <v/>
      </c>
      <c r="F7359" t="n">
        <v>75.5</v>
      </c>
      <c r="G7359" t="n">
        <v>53</v>
      </c>
      <c r="H7359" t="n">
        <v>7.34e-22</v>
      </c>
      <c r="I7359" t="inlineStr">
        <is>
          <t>Swiss-Prot</t>
        </is>
      </c>
      <c r="J7359" t="inlineStr">
        <is>
          <t>SMAP</t>
        </is>
      </c>
      <c r="K7359" t="inlineStr">
        <is>
          <t>SMAP_BOVIN</t>
        </is>
      </c>
      <c r="L7359" t="inlineStr">
        <is>
          <t>sp|Q3MHL8|SMAP_BOVIN Small acidic protein OS=Bos taurus OX=9913 GN=SMAP PE=2 SV=1</t>
        </is>
      </c>
      <c r="M7359" t="n">
        <v>181</v>
      </c>
      <c r="N7359" t="inlineStr">
        <is>
          <t>Bos taurus</t>
        </is>
      </c>
      <c r="O7359" t="inlineStr">
        <is>
          <t>Small acidic protein</t>
        </is>
      </c>
    </row>
    <row r="7360">
      <c r="A7360" t="inlineStr"/>
      <c r="B7360" t="inlineStr"/>
      <c r="C7360" t="inlineStr"/>
      <c r="D7360" t="inlineStr"/>
      <c r="E7360">
        <f>HYPERLINK("https://www.uniprot.org/uniprotkb/Q9R0P4/entry", "Q9R0P4")</f>
        <v/>
      </c>
      <c r="F7360" t="n">
        <v>75.5</v>
      </c>
      <c r="G7360" t="n">
        <v>53</v>
      </c>
      <c r="H7360" t="n">
        <v>7.34e-22</v>
      </c>
      <c r="I7360" t="inlineStr">
        <is>
          <t>Swiss-Prot</t>
        </is>
      </c>
      <c r="J7360" t="inlineStr">
        <is>
          <t>Smap</t>
        </is>
      </c>
      <c r="K7360" t="inlineStr">
        <is>
          <t>SMAP_MOUSE</t>
        </is>
      </c>
      <c r="L7360" t="inlineStr">
        <is>
          <t>sp|Q9R0P4|SMAP_MOUSE Small acidic protein OS=Mus musculus OX=10090 GN=Smap PE=1 SV=1</t>
        </is>
      </c>
      <c r="M7360" t="n">
        <v>181</v>
      </c>
      <c r="N7360" t="inlineStr">
        <is>
          <t>Mus musculus</t>
        </is>
      </c>
      <c r="O7360" t="inlineStr">
        <is>
          <t>Small acidic protein</t>
        </is>
      </c>
    </row>
    <row r="7361">
      <c r="A7361" t="inlineStr"/>
      <c r="B7361" t="inlineStr"/>
      <c r="C7361" t="inlineStr"/>
      <c r="D7361" t="inlineStr"/>
      <c r="E7361">
        <f>HYPERLINK("https://www.uniprot.org/uniprotkb/O00193/entry", "O00193")</f>
        <v/>
      </c>
      <c r="F7361" t="n">
        <v>75.5</v>
      </c>
      <c r="G7361" t="n">
        <v>53</v>
      </c>
      <c r="H7361" t="n">
        <v>7.690000000000001e-22</v>
      </c>
      <c r="I7361" t="inlineStr">
        <is>
          <t>Swiss-Prot</t>
        </is>
      </c>
      <c r="J7361" t="inlineStr">
        <is>
          <t>SMAP</t>
        </is>
      </c>
      <c r="K7361" t="inlineStr">
        <is>
          <t>SMAP_HUMAN</t>
        </is>
      </c>
      <c r="L7361" t="inlineStr">
        <is>
          <t>sp|O00193|SMAP_HUMAN Small acidic protein OS=Homo sapiens OX=9606 GN=SMAP PE=1 SV=1</t>
        </is>
      </c>
      <c r="M7361" t="n">
        <v>183</v>
      </c>
      <c r="N7361" t="inlineStr">
        <is>
          <t>Homo sapiens</t>
        </is>
      </c>
      <c r="O7361" t="inlineStr">
        <is>
          <t>Small acidic protein</t>
        </is>
      </c>
    </row>
    <row r="7362">
      <c r="A7362" t="inlineStr"/>
      <c r="B7362" t="inlineStr"/>
      <c r="C7362" t="inlineStr"/>
      <c r="D7362" t="inlineStr"/>
      <c r="E7362">
        <f>HYPERLINK("https://www.uniprot.org/uniprotkb/Q5RD18/entry", "Q5RD18")</f>
        <v/>
      </c>
      <c r="F7362" t="n">
        <v>75.5</v>
      </c>
      <c r="G7362" t="n">
        <v>53</v>
      </c>
      <c r="H7362" t="n">
        <v>7.690000000000001e-22</v>
      </c>
      <c r="I7362" t="inlineStr">
        <is>
          <t>Swiss-Prot</t>
        </is>
      </c>
      <c r="J7362" t="inlineStr">
        <is>
          <t>SMAP</t>
        </is>
      </c>
      <c r="K7362" t="inlineStr">
        <is>
          <t>SMAP_PONAB</t>
        </is>
      </c>
      <c r="L7362" t="inlineStr">
        <is>
          <t>sp|Q5RD18|SMAP_PONAB Small acidic protein OS=Pongo abelii OX=9601 GN=SMAP PE=2 SV=1</t>
        </is>
      </c>
      <c r="M7362" t="n">
        <v>183</v>
      </c>
      <c r="N7362" t="inlineStr">
        <is>
          <t>Pongo abelii</t>
        </is>
      </c>
      <c r="O7362" t="inlineStr">
        <is>
          <t>Small acidic protein</t>
        </is>
      </c>
    </row>
    <row r="7363">
      <c r="A7363" t="inlineStr"/>
      <c r="B7363" t="inlineStr"/>
      <c r="C7363" t="inlineStr"/>
      <c r="D7363" t="inlineStr"/>
      <c r="E7363">
        <f>HYPERLINK("https://www.uniprot.org/uniprotkb/H3BDH7/entry", "H3BDH7")</f>
        <v/>
      </c>
      <c r="F7363" t="n">
        <v>87.5</v>
      </c>
      <c r="G7363" t="n">
        <v>48</v>
      </c>
      <c r="H7363" t="n">
        <v>2.87e-21</v>
      </c>
      <c r="I7363" t="inlineStr">
        <is>
          <t>TrEMBL</t>
        </is>
      </c>
      <c r="J7363" t="inlineStr">
        <is>
          <t>C11orf58</t>
        </is>
      </c>
      <c r="K7363" t="inlineStr">
        <is>
          <t>H3BDH7_LATCH</t>
        </is>
      </c>
      <c r="L7363" t="inlineStr">
        <is>
          <t>tr|H3BDH7|H3BDH7_LATCH Small acidic protein OS=Latimeria chalumnae OX=7897 GN=C11orf58 PE=3 SV=1</t>
        </is>
      </c>
      <c r="M7363" t="n">
        <v>175</v>
      </c>
      <c r="N7363" t="inlineStr">
        <is>
          <t>Latimeria chalumnae</t>
        </is>
      </c>
      <c r="O7363" t="inlineStr">
        <is>
          <t>Small acidic protein</t>
        </is>
      </c>
    </row>
    <row r="7364">
      <c r="A7364" t="inlineStr"/>
      <c r="B7364" t="inlineStr"/>
      <c r="C7364" t="inlineStr"/>
      <c r="D7364" t="inlineStr"/>
      <c r="E7364">
        <f>HYPERLINK("https://www.uniprot.org/uniprotkb/Q90368/entry", "Q90368")</f>
        <v/>
      </c>
      <c r="F7364" t="n">
        <v>60.3</v>
      </c>
      <c r="G7364" t="n">
        <v>68</v>
      </c>
      <c r="H7364" t="n">
        <v>4.66e-21</v>
      </c>
      <c r="I7364" t="inlineStr">
        <is>
          <t>Swiss-Prot</t>
        </is>
      </c>
      <c r="J7364" t="inlineStr">
        <is>
          <t>SMAP</t>
        </is>
      </c>
      <c r="K7364" t="inlineStr">
        <is>
          <t>SMAP_COTJA</t>
        </is>
      </c>
      <c r="L7364" t="inlineStr">
        <is>
          <t>sp|Q90368|SMAP_COTJA Small acidic protein OS=Coturnix japonica OX=93934 GN=SMAP PE=2 SV=1</t>
        </is>
      </c>
      <c r="M7364" t="n">
        <v>172</v>
      </c>
      <c r="N7364" t="inlineStr">
        <is>
          <t>Coturnix japonica</t>
        </is>
      </c>
      <c r="O7364" t="inlineStr">
        <is>
          <t>Small acidic protein</t>
        </is>
      </c>
    </row>
    <row r="7365">
      <c r="A7365" t="inlineStr"/>
      <c r="B7365" t="inlineStr"/>
      <c r="C7365" t="inlineStr"/>
      <c r="D7365" t="inlineStr"/>
      <c r="E7365">
        <f>HYPERLINK("https://www.uniprot.org/uniprotkb/D6RI64/entry", "D6RI64")</f>
        <v/>
      </c>
      <c r="F7365" t="n">
        <v>85.40000000000001</v>
      </c>
      <c r="G7365" t="n">
        <v>48</v>
      </c>
      <c r="H7365" t="n">
        <v>5.240000000000001e-21</v>
      </c>
      <c r="I7365" t="inlineStr">
        <is>
          <t>TrEMBL</t>
        </is>
      </c>
      <c r="J7365" t="inlineStr">
        <is>
          <t>1110004F10Rik</t>
        </is>
      </c>
      <c r="K7365" t="inlineStr">
        <is>
          <t>D6RI64_MOUSE</t>
        </is>
      </c>
      <c r="L7365" t="inlineStr">
        <is>
          <t>tr|D6RI64|D6RI64_MOUSE Small acidic protein OS=Mus musculus OX=10090 GN=1110004F10Rik PE=1 SV=1</t>
        </is>
      </c>
      <c r="M7365" t="n">
        <v>81</v>
      </c>
      <c r="N7365" t="inlineStr">
        <is>
          <t>Mus musculus</t>
        </is>
      </c>
      <c r="O7365" t="inlineStr">
        <is>
          <t>Small acidic protein</t>
        </is>
      </c>
    </row>
    <row r="7366">
      <c r="A7366" t="inlineStr"/>
      <c r="B7366" t="inlineStr"/>
      <c r="C7366" t="inlineStr"/>
      <c r="D7366" t="inlineStr"/>
      <c r="E7366">
        <f>HYPERLINK("https://www.uniprot.org/uniprotkb/G5AW29/entry", "G5AW29")</f>
        <v/>
      </c>
      <c r="F7366" t="n">
        <v>78.8</v>
      </c>
      <c r="G7366" t="n">
        <v>52</v>
      </c>
      <c r="H7366" t="n">
        <v>6.300000000000001e-21</v>
      </c>
      <c r="I7366" t="inlineStr">
        <is>
          <t>TrEMBL</t>
        </is>
      </c>
      <c r="J7366" t="inlineStr">
        <is>
          <t>GW7_16745</t>
        </is>
      </c>
      <c r="K7366" t="inlineStr">
        <is>
          <t>G5AW29_HETGA</t>
        </is>
      </c>
      <c r="L7366" t="inlineStr">
        <is>
          <t>tr|G5AW29|G5AW29_HETGA Small acidic protein OS=Heterocephalus glaber OX=10181 GN=GW7_16745 PE=3 SV=1</t>
        </is>
      </c>
      <c r="M7366" t="n">
        <v>75</v>
      </c>
      <c r="N7366" t="inlineStr">
        <is>
          <t>Heterocephalus glaber</t>
        </is>
      </c>
      <c r="O7366" t="inlineStr">
        <is>
          <t>Small acidic protein</t>
        </is>
      </c>
    </row>
    <row r="7367">
      <c r="A7367" t="inlineStr"/>
      <c r="B7367" t="inlineStr"/>
      <c r="C7367" t="inlineStr"/>
      <c r="D7367" t="inlineStr"/>
      <c r="E7367">
        <f>HYPERLINK("https://www.uniprot.org/uniprotkb/Q9I9J6/entry", "Q9I9J6")</f>
        <v/>
      </c>
      <c r="F7367" t="n">
        <v>71.7</v>
      </c>
      <c r="G7367" t="n">
        <v>53</v>
      </c>
      <c r="H7367" t="n">
        <v>6.560000000000001e-21</v>
      </c>
      <c r="I7367" t="inlineStr">
        <is>
          <t>Swiss-Prot</t>
        </is>
      </c>
      <c r="J7367" t="inlineStr">
        <is>
          <t>SMAP</t>
        </is>
      </c>
      <c r="K7367" t="inlineStr">
        <is>
          <t>SMAP_CHICK</t>
        </is>
      </c>
      <c r="L7367" t="inlineStr">
        <is>
          <t>sp|Q9I9J6|SMAP_CHICK Small acidic protein OS=Gallus gallus OX=9031 GN=SMAP PE=2 SV=1</t>
        </is>
      </c>
      <c r="M7367" t="n">
        <v>172</v>
      </c>
      <c r="N7367" t="inlineStr">
        <is>
          <t>Gallus gallus</t>
        </is>
      </c>
      <c r="O7367" t="inlineStr">
        <is>
          <t>Small acidic protein</t>
        </is>
      </c>
    </row>
    <row r="7368">
      <c r="A7368" t="inlineStr"/>
      <c r="B7368" t="inlineStr"/>
      <c r="C7368" t="inlineStr"/>
      <c r="D7368" t="inlineStr"/>
      <c r="E7368">
        <f>HYPERLINK("https://www.ncbi.nlm.nih.gov/gene/?term=XP_005990577.1", "XP_005990577.1")</f>
        <v/>
      </c>
      <c r="F7368" t="n">
        <v>87.5</v>
      </c>
      <c r="G7368" t="n">
        <v>48</v>
      </c>
      <c r="H7368" t="n">
        <v>7.37e-21</v>
      </c>
      <c r="I7368" t="inlineStr">
        <is>
          <t>Nr</t>
        </is>
      </c>
      <c r="J7368" t="inlineStr"/>
      <c r="K7368" t="inlineStr"/>
      <c r="L7368" t="inlineStr">
        <is>
          <t>XP_005990577.1 PREDICTED: small acidic protein [Latimeria chalumnae]</t>
        </is>
      </c>
      <c r="M7368" t="n">
        <v>175</v>
      </c>
      <c r="N7368" t="inlineStr">
        <is>
          <t>Latimeria chalumnae</t>
        </is>
      </c>
      <c r="O7368" t="inlineStr">
        <is>
          <t>PREDICTED: small acidic protein</t>
        </is>
      </c>
    </row>
    <row r="7369">
      <c r="A7369" t="inlineStr"/>
      <c r="B7369" t="inlineStr"/>
      <c r="C7369" t="inlineStr"/>
      <c r="D7369" t="inlineStr"/>
      <c r="E7369">
        <f>HYPERLINK("https://www.ncbi.nlm.nih.gov/gene/?term=XP_033914007.2", "XP_033914007.2")</f>
        <v/>
      </c>
      <c r="F7369" t="n">
        <v>68.3</v>
      </c>
      <c r="G7369" t="n">
        <v>63</v>
      </c>
      <c r="H7369" t="n">
        <v>7.740000000000001e-21</v>
      </c>
      <c r="I7369" t="inlineStr">
        <is>
          <t>Nr</t>
        </is>
      </c>
      <c r="J7369" t="inlineStr"/>
      <c r="K7369" t="inlineStr"/>
      <c r="L7369" t="inlineStr">
        <is>
          <t>XP_033914007.2 small acidic protein isoform X1 [Acipenser ruthenus]</t>
        </is>
      </c>
      <c r="M7369" t="n">
        <v>177</v>
      </c>
      <c r="N7369" t="inlineStr">
        <is>
          <t>Acipenser ruthenus</t>
        </is>
      </c>
      <c r="O7369" t="inlineStr">
        <is>
          <t>small acidic protein isoform X1</t>
        </is>
      </c>
    </row>
    <row r="7370">
      <c r="A7370" t="inlineStr"/>
      <c r="B7370" t="inlineStr"/>
      <c r="C7370" t="inlineStr"/>
      <c r="D7370" t="inlineStr"/>
      <c r="E7370">
        <f>HYPERLINK("https://www.uniprot.org/uniprotkb/A2BDB9/entry", "A2BDB9")</f>
        <v/>
      </c>
      <c r="F7370" t="n">
        <v>93.5</v>
      </c>
      <c r="G7370" t="n">
        <v>46</v>
      </c>
      <c r="H7370" t="n">
        <v>7.99e-21</v>
      </c>
      <c r="I7370" t="inlineStr">
        <is>
          <t>TrEMBL</t>
        </is>
      </c>
      <c r="J7370" t="inlineStr">
        <is>
          <t>c11orf58.L</t>
        </is>
      </c>
      <c r="K7370" t="inlineStr">
        <is>
          <t>A2BDB9_XENLA</t>
        </is>
      </c>
      <c r="L7370" t="inlineStr">
        <is>
          <t>tr|A2BDB9|A2BDB9_XENLA Small acidic protein OS=Xenopus laevis OX=8355 GN=c11orf58.L PE=2 SV=1</t>
        </is>
      </c>
      <c r="M7370" t="n">
        <v>189</v>
      </c>
      <c r="N7370" t="inlineStr">
        <is>
          <t>Xenopus laevis</t>
        </is>
      </c>
      <c r="O7370" t="inlineStr">
        <is>
          <t>Small acidic protein</t>
        </is>
      </c>
    </row>
    <row r="7371">
      <c r="A7371" t="inlineStr"/>
      <c r="B7371" t="inlineStr"/>
      <c r="C7371" t="inlineStr"/>
      <c r="D7371" t="inlineStr"/>
      <c r="E7371">
        <f>HYPERLINK("https://www.uniprot.org/uniprotkb/A0A662Z1I0/entry", "A0A662Z1I0")</f>
        <v/>
      </c>
      <c r="F7371" t="n">
        <v>77.40000000000001</v>
      </c>
      <c r="G7371" t="n">
        <v>53</v>
      </c>
      <c r="H7371" t="n">
        <v>1.34e-20</v>
      </c>
      <c r="I7371" t="inlineStr">
        <is>
          <t>TrEMBL</t>
        </is>
      </c>
      <c r="J7371" t="inlineStr">
        <is>
          <t>EOD39_3719</t>
        </is>
      </c>
      <c r="K7371" t="inlineStr">
        <is>
          <t>A0A662Z1I0_ACIRT</t>
        </is>
      </c>
      <c r="L7371" t="inlineStr">
        <is>
          <t>tr|A0A662Z1I0|A0A662Z1I0_ACIRT Small acidic protein (Fragment) OS=Acipenser ruthenus OX=7906 GN=EOD39_3719 PE=3 SV=1</t>
        </is>
      </c>
      <c r="M7371" t="n">
        <v>154</v>
      </c>
      <c r="N7371" t="inlineStr">
        <is>
          <t>Acipenser ruthenus</t>
        </is>
      </c>
      <c r="O7371" t="inlineStr">
        <is>
          <t>Small acidic protein (Fragment)</t>
        </is>
      </c>
    </row>
    <row r="7372">
      <c r="A7372" t="inlineStr"/>
      <c r="B7372" t="inlineStr"/>
      <c r="C7372" t="inlineStr"/>
      <c r="D7372" t="inlineStr"/>
      <c r="E7372">
        <f>HYPERLINK("https://www.uniprot.org/uniprotkb/A0A444U9B8/entry", "A0A444U9B8")</f>
        <v/>
      </c>
      <c r="F7372" t="n">
        <v>77.40000000000001</v>
      </c>
      <c r="G7372" t="n">
        <v>53</v>
      </c>
      <c r="H7372" t="n">
        <v>1.34e-20</v>
      </c>
      <c r="I7372" t="inlineStr">
        <is>
          <t>TrEMBL</t>
        </is>
      </c>
      <c r="J7372" t="inlineStr">
        <is>
          <t>EOD39_6682</t>
        </is>
      </c>
      <c r="K7372" t="inlineStr">
        <is>
          <t>A0A444U9B8_ACIRT</t>
        </is>
      </c>
      <c r="L7372" t="inlineStr">
        <is>
          <t>tr|A0A444U9B8|A0A444U9B8_ACIRT Small acidic protein (Fragment) OS=Acipenser ruthenus OX=7906 GN=EOD39_6682 PE=3 SV=1</t>
        </is>
      </c>
      <c r="M7372" t="n">
        <v>154</v>
      </c>
      <c r="N7372" t="inlineStr">
        <is>
          <t>Acipenser ruthenus</t>
        </is>
      </c>
      <c r="O7372" t="inlineStr">
        <is>
          <t>Small acidic protein (Fragment)</t>
        </is>
      </c>
    </row>
    <row r="7373">
      <c r="A7373" t="inlineStr"/>
      <c r="B7373" t="inlineStr"/>
      <c r="C7373" t="inlineStr"/>
      <c r="D7373" t="inlineStr"/>
      <c r="E7373">
        <f>HYPERLINK("https://www.ncbi.nlm.nih.gov/gene/?term=CAH6792984.1", "CAH6792984.1")</f>
        <v/>
      </c>
      <c r="F7373" t="n">
        <v>85.40000000000001</v>
      </c>
      <c r="G7373" t="n">
        <v>48</v>
      </c>
      <c r="H7373" t="n">
        <v>1.35e-20</v>
      </c>
      <c r="I7373" t="inlineStr">
        <is>
          <t>Nr</t>
        </is>
      </c>
      <c r="J7373" t="inlineStr"/>
      <c r="K7373" t="inlineStr"/>
      <c r="L7373" t="inlineStr">
        <is>
          <t>CAH6792984.1 1110004F10Rik [Phodopus roborovskii]</t>
        </is>
      </c>
      <c r="M7373" t="n">
        <v>81</v>
      </c>
      <c r="N7373" t="inlineStr">
        <is>
          <t>Phodopus roborovskii</t>
        </is>
      </c>
      <c r="O7373" t="inlineStr">
        <is>
          <t>1110004F10Rik</t>
        </is>
      </c>
    </row>
    <row r="7374">
      <c r="A7374" t="inlineStr"/>
      <c r="B7374" t="inlineStr"/>
      <c r="C7374" t="inlineStr"/>
      <c r="D7374" t="inlineStr"/>
      <c r="E7374">
        <f>HYPERLINK("https://www.ncbi.nlm.nih.gov/gene/?term=NP_001086765.1", "NP_001086765.1")</f>
        <v/>
      </c>
      <c r="F7374" t="n">
        <v>93.5</v>
      </c>
      <c r="G7374" t="n">
        <v>46</v>
      </c>
      <c r="H7374" t="n">
        <v>1.42e-20</v>
      </c>
      <c r="I7374" t="inlineStr">
        <is>
          <t>Nr</t>
        </is>
      </c>
      <c r="J7374" t="inlineStr"/>
      <c r="K7374" t="inlineStr"/>
      <c r="L7374" t="inlineStr">
        <is>
          <t>NP_001086765.1 small acidic protein [Xenopus laevis]</t>
        </is>
      </c>
      <c r="M7374" t="n">
        <v>188</v>
      </c>
      <c r="N7374" t="inlineStr">
        <is>
          <t>Xenopus laevis</t>
        </is>
      </c>
      <c r="O7374" t="inlineStr">
        <is>
          <t>small acidic protein</t>
        </is>
      </c>
    </row>
    <row r="7375">
      <c r="A7375" t="inlineStr"/>
      <c r="B7375" t="inlineStr"/>
      <c r="C7375" t="inlineStr"/>
      <c r="D7375" t="inlineStr"/>
      <c r="E7375">
        <f>HYPERLINK("https://www.uniprot.org/uniprotkb/A0A8C2S854/entry", "A0A8C2S854")</f>
        <v/>
      </c>
      <c r="F7375" t="n">
        <v>83.7</v>
      </c>
      <c r="G7375" t="n">
        <v>49</v>
      </c>
      <c r="H7375" t="n">
        <v>1.52e-20</v>
      </c>
      <c r="I7375" t="inlineStr">
        <is>
          <t>TrEMBL</t>
        </is>
      </c>
      <c r="J7375" t="inlineStr"/>
      <c r="K7375" t="inlineStr">
        <is>
          <t>A0A8C2S854_CAPHI</t>
        </is>
      </c>
      <c r="L7375" t="inlineStr">
        <is>
          <t>tr|A0A8C2S854|A0A8C2S854_CAPHI Small acidic protein OS=Capra hircus OX=9925 PE=3 SV=1</t>
        </is>
      </c>
      <c r="M7375" t="n">
        <v>107</v>
      </c>
      <c r="N7375" t="inlineStr">
        <is>
          <t>Capra hircus</t>
        </is>
      </c>
      <c r="O7375" t="inlineStr">
        <is>
          <t>Small acidic protein</t>
        </is>
      </c>
    </row>
    <row r="7376">
      <c r="A7376" t="inlineStr"/>
      <c r="B7376" t="inlineStr"/>
      <c r="C7376" t="inlineStr"/>
      <c r="D7376" t="inlineStr"/>
      <c r="E7376">
        <f>HYPERLINK("https://www.uniprot.org/uniprotkb/A0A7L3C442/entry", "A0A7L3C442")</f>
        <v/>
      </c>
      <c r="F7376" t="n">
        <v>67.2</v>
      </c>
      <c r="G7376" t="n">
        <v>61</v>
      </c>
      <c r="H7376" t="n">
        <v>1.53e-20</v>
      </c>
      <c r="I7376" t="inlineStr">
        <is>
          <t>TrEMBL</t>
        </is>
      </c>
      <c r="J7376" t="inlineStr">
        <is>
          <t>Smap</t>
        </is>
      </c>
      <c r="K7376" t="inlineStr">
        <is>
          <t>A0A7L3C442_PELUR</t>
        </is>
      </c>
      <c r="L7376" t="inlineStr">
        <is>
          <t>tr|A0A7L3C442|A0A7L3C442_PELUR Small acidic protein (Fragment) OS=Pelecanoides urinatrix OX=37079 GN=Smap PE=3 SV=1</t>
        </is>
      </c>
      <c r="M7376" t="n">
        <v>173</v>
      </c>
      <c r="N7376" t="inlineStr">
        <is>
          <t>Pelecanoides urinatrix</t>
        </is>
      </c>
      <c r="O7376" t="inlineStr">
        <is>
          <t>Small acidic protein (Fragment)</t>
        </is>
      </c>
    </row>
    <row r="7377">
      <c r="A7377" t="inlineStr"/>
      <c r="B7377" t="inlineStr"/>
      <c r="C7377" t="inlineStr"/>
      <c r="D7377" t="inlineStr"/>
      <c r="E7377">
        <f>HYPERLINK("https://www.ncbi.nlm.nih.gov/gene/?term=EHB01240.1", "EHB01240.1")</f>
        <v/>
      </c>
      <c r="F7377" t="n">
        <v>78.8</v>
      </c>
      <c r="G7377" t="n">
        <v>52</v>
      </c>
      <c r="H7377" t="n">
        <v>1.62e-20</v>
      </c>
      <c r="I7377" t="inlineStr">
        <is>
          <t>Nr</t>
        </is>
      </c>
      <c r="J7377" t="inlineStr"/>
      <c r="K7377" t="inlineStr"/>
      <c r="L7377" t="inlineStr">
        <is>
          <t>EHB01240.1 Small acidic protein [Heterocephalus glaber]</t>
        </is>
      </c>
      <c r="M7377" t="n">
        <v>75</v>
      </c>
      <c r="N7377" t="inlineStr">
        <is>
          <t>Heterocephalus glaber</t>
        </is>
      </c>
      <c r="O7377" t="inlineStr">
        <is>
          <t>Small acidic protein</t>
        </is>
      </c>
    </row>
    <row r="7378">
      <c r="A7378" t="inlineStr"/>
      <c r="B7378" t="inlineStr"/>
      <c r="C7378" t="inlineStr"/>
      <c r="D7378" t="inlineStr"/>
      <c r="E7378">
        <f>HYPERLINK("https://www.uniprot.org/uniprotkb/A0A3Q3JC16/entry", "A0A3Q3JC16")</f>
        <v/>
      </c>
      <c r="F7378" t="n">
        <v>75.40000000000001</v>
      </c>
      <c r="G7378" t="n">
        <v>57</v>
      </c>
      <c r="H7378" t="n">
        <v>1.72e-20</v>
      </c>
      <c r="I7378" t="inlineStr">
        <is>
          <t>TrEMBL</t>
        </is>
      </c>
      <c r="J7378" t="inlineStr"/>
      <c r="K7378" t="inlineStr">
        <is>
          <t>A0A3Q3JC16_MONAL</t>
        </is>
      </c>
      <c r="L7378" t="inlineStr">
        <is>
          <t>tr|A0A3Q3JC16|A0A3Q3JC16_MONAL Small acidic protein OS=Monopterus albus OX=43700 PE=3 SV=1</t>
        </is>
      </c>
      <c r="M7378" t="n">
        <v>178</v>
      </c>
      <c r="N7378" t="inlineStr">
        <is>
          <t>Monopterus albus</t>
        </is>
      </c>
      <c r="O7378" t="inlineStr">
        <is>
          <t>Small acidic protein</t>
        </is>
      </c>
    </row>
    <row r="7379">
      <c r="A7379" t="inlineStr"/>
      <c r="B7379" t="inlineStr"/>
      <c r="C7379" t="inlineStr"/>
      <c r="D7379" t="inlineStr"/>
      <c r="E7379">
        <f>HYPERLINK("https://www.uniprot.org/uniprotkb/A0A8X7X4B1/entry", "A0A8X7X4B1")</f>
        <v/>
      </c>
      <c r="F7379" t="n">
        <v>63.4</v>
      </c>
      <c r="G7379" t="n">
        <v>71</v>
      </c>
      <c r="H7379" t="n">
        <v>1.82e-20</v>
      </c>
      <c r="I7379" t="inlineStr">
        <is>
          <t>TrEMBL</t>
        </is>
      </c>
      <c r="J7379" t="inlineStr">
        <is>
          <t>Smap</t>
        </is>
      </c>
      <c r="K7379" t="inlineStr">
        <is>
          <t>A0A8X7X4B1_POLSE</t>
        </is>
      </c>
      <c r="L7379" t="inlineStr">
        <is>
          <t>tr|A0A8X7X4B1|A0A8X7X4B1_POLSE SMAP protein (Fragment) OS=Polypterus senegalus OX=55291 GN=Smap PE=4 SV=1</t>
        </is>
      </c>
      <c r="M7379" t="n">
        <v>195</v>
      </c>
      <c r="N7379" t="inlineStr">
        <is>
          <t>Polypterus senegalus</t>
        </is>
      </c>
      <c r="O7379" t="inlineStr">
        <is>
          <t>SMAP protein (Fragment)</t>
        </is>
      </c>
    </row>
    <row r="7380">
      <c r="A7380" t="inlineStr"/>
      <c r="B7380" t="inlineStr"/>
      <c r="C7380" t="inlineStr"/>
      <c r="D7380" t="inlineStr"/>
      <c r="E7380">
        <f>HYPERLINK("https://www.ncbi.nlm.nih.gov/gene/?term=XP_041445601.1", "XP_041445601.1")</f>
        <v/>
      </c>
      <c r="F7380" t="n">
        <v>93.5</v>
      </c>
      <c r="G7380" t="n">
        <v>46</v>
      </c>
      <c r="H7380" t="n">
        <v>2.05e-20</v>
      </c>
      <c r="I7380" t="inlineStr">
        <is>
          <t>Nr</t>
        </is>
      </c>
      <c r="J7380" t="inlineStr"/>
      <c r="K7380" t="inlineStr"/>
      <c r="L7380" t="inlineStr">
        <is>
          <t>XP_041445601.1 small acidic protein-like [Xenopus laevis]</t>
        </is>
      </c>
      <c r="M7380" t="n">
        <v>189</v>
      </c>
      <c r="N7380" t="inlineStr">
        <is>
          <t>Xenopus laevis</t>
        </is>
      </c>
      <c r="O7380" t="inlineStr">
        <is>
          <t>small acidic protein-like</t>
        </is>
      </c>
    </row>
    <row r="7381">
      <c r="A7381" t="inlineStr"/>
      <c r="B7381" t="inlineStr"/>
      <c r="C7381" t="inlineStr"/>
      <c r="D7381" t="inlineStr"/>
      <c r="E7381">
        <f>HYPERLINK("https://www.uniprot.org/uniprotkb/A0A8J4KNY7/entry", "A0A8J4KNY7")</f>
        <v/>
      </c>
      <c r="F7381" t="n">
        <v>70.7</v>
      </c>
      <c r="G7381" t="n">
        <v>58</v>
      </c>
      <c r="H7381" t="n">
        <v>2.05e-20</v>
      </c>
      <c r="I7381" t="inlineStr">
        <is>
          <t>TrEMBL</t>
        </is>
      </c>
      <c r="J7381" t="inlineStr">
        <is>
          <t>SMAP</t>
        </is>
      </c>
      <c r="K7381" t="inlineStr">
        <is>
          <t>A0A8J4KNY7_EUDCH</t>
        </is>
      </c>
      <c r="L7381" t="inlineStr">
        <is>
          <t>tr|A0A8J4KNY7|A0A8J4KNY7_EUDCH Small acidic protein (Fragment) OS=Eudyptes chrysocome OX=79626 GN=SMAP PE=3 SV=1</t>
        </is>
      </c>
      <c r="M7381" t="n">
        <v>171</v>
      </c>
      <c r="N7381" t="inlineStr">
        <is>
          <t>Eudyptes chrysocome</t>
        </is>
      </c>
      <c r="O7381" t="inlineStr">
        <is>
          <t>Small acidic protein (Fragment)</t>
        </is>
      </c>
    </row>
    <row r="7382">
      <c r="A7382" t="inlineStr"/>
      <c r="B7382" t="inlineStr"/>
      <c r="C7382" t="inlineStr"/>
      <c r="D7382" t="inlineStr"/>
      <c r="E7382">
        <f>HYPERLINK("https://www.uniprot.org/uniprotkb/A0A8J4MMN5/entry", "A0A8J4MMN5")</f>
        <v/>
      </c>
      <c r="F7382" t="n">
        <v>70.7</v>
      </c>
      <c r="G7382" t="n">
        <v>58</v>
      </c>
      <c r="H7382" t="n">
        <v>2.15e-20</v>
      </c>
      <c r="I7382" t="inlineStr">
        <is>
          <t>TrEMBL</t>
        </is>
      </c>
      <c r="J7382" t="inlineStr">
        <is>
          <t>SMAP</t>
        </is>
      </c>
      <c r="K7382" t="inlineStr">
        <is>
          <t>A0A8J4MMN5_SPHME</t>
        </is>
      </c>
      <c r="L7382" t="inlineStr">
        <is>
          <t>tr|A0A8J4MMN5|A0A8J4MMN5_SPHME Small acidic protein (Fragment) OS=Spheniscus mendiculus OX=156760 GN=SMAP PE=3 SV=1</t>
        </is>
      </c>
      <c r="M7382" t="n">
        <v>173</v>
      </c>
      <c r="N7382" t="inlineStr">
        <is>
          <t>Spheniscus mendiculus</t>
        </is>
      </c>
      <c r="O7382" t="inlineStr">
        <is>
          <t>Small acidic protein (Fragment)</t>
        </is>
      </c>
    </row>
    <row r="7383">
      <c r="A7383" t="inlineStr"/>
      <c r="B7383" t="inlineStr"/>
      <c r="C7383" t="inlineStr"/>
      <c r="D7383" t="inlineStr"/>
      <c r="E7383">
        <f>HYPERLINK("https://www.uniprot.org/uniprotkb/A0A852NSX3/entry", "A0A852NSX3")</f>
        <v/>
      </c>
      <c r="F7383" t="n">
        <v>70.7</v>
      </c>
      <c r="G7383" t="n">
        <v>58</v>
      </c>
      <c r="H7383" t="n">
        <v>2.15e-20</v>
      </c>
      <c r="I7383" t="inlineStr">
        <is>
          <t>TrEMBL</t>
        </is>
      </c>
      <c r="J7383" t="inlineStr">
        <is>
          <t>Smap</t>
        </is>
      </c>
      <c r="K7383" t="inlineStr">
        <is>
          <t>A0A852NSX3_9PASS</t>
        </is>
      </c>
      <c r="L7383" t="inlineStr">
        <is>
          <t>tr|A0A852NSX3|A0A852NSX3_9PASS Small acidic protein (Fragment) OS=Atrichornis clamosus OX=449594 GN=Smap PE=3 SV=1</t>
        </is>
      </c>
      <c r="M7383" t="n">
        <v>173</v>
      </c>
      <c r="N7383" t="inlineStr">
        <is>
          <t>Atrichornis clamosus</t>
        </is>
      </c>
      <c r="O7383" t="inlineStr">
        <is>
          <t>Small acidic protein (Fragment)</t>
        </is>
      </c>
    </row>
    <row r="7384">
      <c r="A7384" t="inlineStr"/>
      <c r="B7384" t="inlineStr"/>
      <c r="C7384" t="inlineStr"/>
      <c r="D7384" t="inlineStr"/>
      <c r="E7384">
        <f>HYPERLINK("https://www.uniprot.org/uniprotkb/A0A851DF98/entry", "A0A851DF98")</f>
        <v/>
      </c>
      <c r="F7384" t="n">
        <v>70.7</v>
      </c>
      <c r="G7384" t="n">
        <v>58</v>
      </c>
      <c r="H7384" t="n">
        <v>2.15e-20</v>
      </c>
      <c r="I7384" t="inlineStr">
        <is>
          <t>TrEMBL</t>
        </is>
      </c>
      <c r="J7384" t="inlineStr">
        <is>
          <t>Smap</t>
        </is>
      </c>
      <c r="K7384" t="inlineStr">
        <is>
          <t>A0A851DF98_TODME</t>
        </is>
      </c>
      <c r="L7384" t="inlineStr">
        <is>
          <t>tr|A0A851DF98|A0A851DF98_TODME Small acidic protein (Fragment) OS=Todus mexicanus OX=135184 GN=Smap PE=3 SV=1</t>
        </is>
      </c>
      <c r="M7384" t="n">
        <v>173</v>
      </c>
      <c r="N7384" t="inlineStr">
        <is>
          <t>Todus mexicanus</t>
        </is>
      </c>
      <c r="O7384" t="inlineStr">
        <is>
          <t>Small acidic protein (Fragment)</t>
        </is>
      </c>
    </row>
    <row r="7385">
      <c r="A7385" t="inlineStr"/>
      <c r="B7385" t="inlineStr"/>
      <c r="C7385" t="inlineStr"/>
      <c r="D7385" t="inlineStr"/>
      <c r="E7385">
        <f>HYPERLINK("https://www.uniprot.org/uniprotkb/A0A7K8HT26/entry", "A0A7K8HT26")</f>
        <v/>
      </c>
      <c r="F7385" t="n">
        <v>70.7</v>
      </c>
      <c r="G7385" t="n">
        <v>58</v>
      </c>
      <c r="H7385" t="n">
        <v>2.15e-20</v>
      </c>
      <c r="I7385" t="inlineStr">
        <is>
          <t>TrEMBL</t>
        </is>
      </c>
      <c r="J7385" t="inlineStr">
        <is>
          <t>Smap</t>
        </is>
      </c>
      <c r="K7385" t="inlineStr">
        <is>
          <t>A0A7K8HT26_9CORV</t>
        </is>
      </c>
      <c r="L7385" t="inlineStr">
        <is>
          <t>tr|A0A7K8HT26|A0A7K8HT26_9CORV Small acidic protein (Fragment) OS=Aleadryas rufinucha OX=461220 GN=Smap PE=3 SV=1</t>
        </is>
      </c>
      <c r="M7385" t="n">
        <v>173</v>
      </c>
      <c r="N7385" t="inlineStr">
        <is>
          <t>Aleadryas rufinucha</t>
        </is>
      </c>
      <c r="O7385" t="inlineStr">
        <is>
          <t>Small acidic protein (Fragment)</t>
        </is>
      </c>
    </row>
    <row r="7386">
      <c r="A7386" t="inlineStr"/>
      <c r="B7386" t="inlineStr"/>
      <c r="C7386" t="inlineStr"/>
      <c r="D7386" t="inlineStr"/>
      <c r="E7386">
        <f>HYPERLINK("https://www.uniprot.org/uniprotkb/A0A8J4JTH5/entry", "A0A8J4JTH5")</f>
        <v/>
      </c>
      <c r="F7386" t="n">
        <v>70.7</v>
      </c>
      <c r="G7386" t="n">
        <v>58</v>
      </c>
      <c r="H7386" t="n">
        <v>2.15e-20</v>
      </c>
      <c r="I7386" t="inlineStr">
        <is>
          <t>TrEMBL</t>
        </is>
      </c>
      <c r="J7386" t="inlineStr">
        <is>
          <t>SMAP</t>
        </is>
      </c>
      <c r="K7386" t="inlineStr">
        <is>
          <t>A0A8J4JTH5_EUDMI</t>
        </is>
      </c>
      <c r="L7386" t="inlineStr">
        <is>
          <t>tr|A0A8J4JTH5|A0A8J4JTH5_EUDMI Small acidic protein (Fragment) OS=Eudyptula minor OX=37083 GN=SMAP PE=3 SV=1</t>
        </is>
      </c>
      <c r="M7386" t="n">
        <v>173</v>
      </c>
      <c r="N7386" t="inlineStr">
        <is>
          <t>Eudyptula minor</t>
        </is>
      </c>
      <c r="O7386" t="inlineStr">
        <is>
          <t>Small acidic protein (Fragment)</t>
        </is>
      </c>
    </row>
    <row r="7387">
      <c r="A7387" t="inlineStr"/>
      <c r="B7387" t="inlineStr"/>
      <c r="C7387" t="inlineStr"/>
      <c r="D7387" t="inlineStr"/>
      <c r="E7387">
        <f>HYPERLINK("https://www.uniprot.org/uniprotkb/A0A7K5DS65/entry", "A0A7K5DS65")</f>
        <v/>
      </c>
      <c r="F7387" t="n">
        <v>70.7</v>
      </c>
      <c r="G7387" t="n">
        <v>58</v>
      </c>
      <c r="H7387" t="n">
        <v>2.21e-20</v>
      </c>
      <c r="I7387" t="inlineStr">
        <is>
          <t>TrEMBL</t>
        </is>
      </c>
      <c r="J7387" t="inlineStr">
        <is>
          <t>Smap</t>
        </is>
      </c>
      <c r="K7387" t="inlineStr">
        <is>
          <t>A0A7K5DS65_9TYRA</t>
        </is>
      </c>
      <c r="L7387" t="inlineStr">
        <is>
          <t>tr|A0A7K5DS65|A0A7K5DS65_9TYRA Small acidic protein (Fragment) OS=Pachyramphus minor OX=369605 GN=Smap PE=3 SV=1</t>
        </is>
      </c>
      <c r="M7387" t="n">
        <v>174</v>
      </c>
      <c r="N7387" t="inlineStr">
        <is>
          <t>Pachyramphus minor</t>
        </is>
      </c>
      <c r="O7387" t="inlineStr">
        <is>
          <t>Small acidic protein (Fragment)</t>
        </is>
      </c>
    </row>
    <row r="7388">
      <c r="A7388" t="inlineStr"/>
      <c r="B7388" t="inlineStr"/>
      <c r="C7388" t="inlineStr"/>
      <c r="D7388" t="inlineStr"/>
      <c r="E7388">
        <f>HYPERLINK("https://www.uniprot.org/uniprotkb/A0A8J4USW8/entry", "A0A8J4USW8")</f>
        <v/>
      </c>
      <c r="F7388" t="n">
        <v>70.7</v>
      </c>
      <c r="G7388" t="n">
        <v>58</v>
      </c>
      <c r="H7388" t="n">
        <v>2.21e-20</v>
      </c>
      <c r="I7388" t="inlineStr">
        <is>
          <t>TrEMBL</t>
        </is>
      </c>
      <c r="J7388" t="inlineStr">
        <is>
          <t>SMAP</t>
        </is>
      </c>
      <c r="K7388" t="inlineStr">
        <is>
          <t>A0A8J4USW8_APTPA</t>
        </is>
      </c>
      <c r="L7388" t="inlineStr">
        <is>
          <t>tr|A0A8J4USW8|A0A8J4USW8_APTPA Small acidic protein (Fragment) OS=Aptenodytes patagonicus OX=9234 GN=SMAP PE=3 SV=1</t>
        </is>
      </c>
      <c r="M7388" t="n">
        <v>174</v>
      </c>
      <c r="N7388" t="inlineStr">
        <is>
          <t>Aptenodytes patagonicus</t>
        </is>
      </c>
      <c r="O7388" t="inlineStr">
        <is>
          <t>Small acidic protein (Fragment)</t>
        </is>
      </c>
    </row>
    <row r="7389">
      <c r="A7389" t="inlineStr"/>
      <c r="B7389" t="inlineStr"/>
      <c r="C7389" t="inlineStr"/>
      <c r="D7389" t="inlineStr"/>
      <c r="E7389">
        <f>HYPERLINK("https://www.uniprot.org/uniprotkb/A0A6P3VBF3/entry", "A0A6P3VBF3")</f>
        <v/>
      </c>
      <c r="F7389" t="n">
        <v>77.40000000000001</v>
      </c>
      <c r="G7389" t="n">
        <v>53</v>
      </c>
      <c r="H7389" t="n">
        <v>2.77e-20</v>
      </c>
      <c r="I7389" t="inlineStr">
        <is>
          <t>TrEMBL</t>
        </is>
      </c>
      <c r="J7389" t="inlineStr">
        <is>
          <t>CUNH11orf58</t>
        </is>
      </c>
      <c r="K7389" t="inlineStr">
        <is>
          <t>A0A6P3VBF3_OCTDE</t>
        </is>
      </c>
      <c r="L7389" t="inlineStr">
        <is>
          <t>tr|A0A6P3VBF3|A0A6P3VBF3_OCTDE Small acidic protein OS=Octodon degus OX=10160 GN=CUNH11orf58 PE=3 SV=1</t>
        </is>
      </c>
      <c r="M7389" t="n">
        <v>129</v>
      </c>
      <c r="N7389" t="inlineStr">
        <is>
          <t>Octodon degus</t>
        </is>
      </c>
      <c r="O7389" t="inlineStr">
        <is>
          <t>Small acidic protein</t>
        </is>
      </c>
    </row>
    <row r="7390">
      <c r="A7390" t="inlineStr"/>
      <c r="B7390" t="inlineStr"/>
      <c r="C7390" t="inlineStr"/>
      <c r="D7390" t="inlineStr"/>
      <c r="E7390">
        <f>HYPERLINK("https://www.uniprot.org/uniprotkb/G1SZ25/entry", "G1SZ25")</f>
        <v/>
      </c>
      <c r="F7390" t="n">
        <v>75.5</v>
      </c>
      <c r="G7390" t="n">
        <v>53</v>
      </c>
      <c r="H7390" t="n">
        <v>3.27e-20</v>
      </c>
      <c r="I7390" t="inlineStr">
        <is>
          <t>TrEMBL</t>
        </is>
      </c>
      <c r="J7390" t="inlineStr"/>
      <c r="K7390" t="inlineStr">
        <is>
          <t>G1SZ25_RABIT</t>
        </is>
      </c>
      <c r="L7390" t="inlineStr">
        <is>
          <t>tr|G1SZ25|G1SZ25_RABIT Small acidic protein OS=Oryctolagus cuniculus OX=9986 PE=3 SV=2</t>
        </is>
      </c>
      <c r="M7390" t="n">
        <v>97</v>
      </c>
      <c r="N7390" t="inlineStr">
        <is>
          <t>Oryctolagus cuniculus</t>
        </is>
      </c>
      <c r="O7390" t="inlineStr">
        <is>
          <t>Small acidic protein</t>
        </is>
      </c>
    </row>
    <row r="7391">
      <c r="A7391" t="inlineStr"/>
      <c r="B7391" t="inlineStr"/>
      <c r="C7391" t="inlineStr"/>
      <c r="D7391" t="inlineStr"/>
      <c r="E7391">
        <f>HYPERLINK("https://www.ncbi.nlm.nih.gov/gene/?term=RXM31759.1", "RXM31759.1")</f>
        <v/>
      </c>
      <c r="F7391" t="n">
        <v>77.40000000000001</v>
      </c>
      <c r="G7391" t="n">
        <v>53</v>
      </c>
      <c r="H7391" t="n">
        <v>3.44e-20</v>
      </c>
      <c r="I7391" t="inlineStr">
        <is>
          <t>Nr</t>
        </is>
      </c>
      <c r="J7391" t="inlineStr"/>
      <c r="K7391" t="inlineStr"/>
      <c r="L7391" t="inlineStr">
        <is>
          <t>RXM31759.1 Small acidic protein, partial [Acipenser ruthenus]</t>
        </is>
      </c>
      <c r="M7391" t="n">
        <v>154</v>
      </c>
      <c r="N7391" t="inlineStr">
        <is>
          <t>Acipenser ruthenus</t>
        </is>
      </c>
      <c r="O7391" t="inlineStr">
        <is>
          <t>Small acidic protein, partial</t>
        </is>
      </c>
    </row>
    <row r="7392">
      <c r="A7392" t="inlineStr"/>
      <c r="B7392" t="inlineStr"/>
      <c r="C7392" t="inlineStr"/>
      <c r="D7392" t="inlineStr"/>
      <c r="E7392">
        <f>HYPERLINK("https://www.ncbi.nlm.nih.gov/gene/?term=RXN01924.1", "RXN01924.1")</f>
        <v/>
      </c>
      <c r="F7392" t="n">
        <v>77.40000000000001</v>
      </c>
      <c r="G7392" t="n">
        <v>53</v>
      </c>
      <c r="H7392" t="n">
        <v>3.44e-20</v>
      </c>
      <c r="I7392" t="inlineStr">
        <is>
          <t>Nr</t>
        </is>
      </c>
      <c r="J7392" t="inlineStr"/>
      <c r="K7392" t="inlineStr"/>
      <c r="L7392" t="inlineStr">
        <is>
          <t>RXN01924.1 Small acidic protein, partial [Acipenser ruthenus]</t>
        </is>
      </c>
      <c r="M7392" t="n">
        <v>154</v>
      </c>
      <c r="N7392" t="inlineStr">
        <is>
          <t>Acipenser ruthenus</t>
        </is>
      </c>
      <c r="O7392" t="inlineStr">
        <is>
          <t>Small acidic protein, partial</t>
        </is>
      </c>
    </row>
    <row r="7393">
      <c r="A7393" t="inlineStr"/>
      <c r="B7393" t="inlineStr"/>
      <c r="C7393" t="inlineStr"/>
      <c r="D7393" t="inlineStr"/>
      <c r="E7393">
        <f>HYPERLINK("https://www.ncbi.nlm.nih.gov/gene/?term=NXT38299.1", "NXT38299.1")</f>
        <v/>
      </c>
      <c r="F7393" t="n">
        <v>67.2</v>
      </c>
      <c r="G7393" t="n">
        <v>61</v>
      </c>
      <c r="H7393" t="n">
        <v>3.92e-20</v>
      </c>
      <c r="I7393" t="inlineStr">
        <is>
          <t>Nr</t>
        </is>
      </c>
      <c r="J7393" t="inlineStr"/>
      <c r="K7393" t="inlineStr"/>
      <c r="L7393" t="inlineStr">
        <is>
          <t>NXT38299.1 SMAP protein [Pelecanoides urinatrix]</t>
        </is>
      </c>
      <c r="M7393" t="n">
        <v>173</v>
      </c>
      <c r="N7393" t="inlineStr">
        <is>
          <t>Pelecanoides urinatrix</t>
        </is>
      </c>
      <c r="O7393" t="inlineStr">
        <is>
          <t>SMAP protein</t>
        </is>
      </c>
    </row>
    <row r="7394">
      <c r="A7394" t="inlineStr"/>
      <c r="B7394" t="inlineStr"/>
      <c r="C7394" t="inlineStr"/>
      <c r="D7394" t="inlineStr"/>
      <c r="E7394">
        <f>HYPERLINK("https://www.uniprot.org/uniprotkb/G1TQR4/entry", "G1TQR4")</f>
        <v/>
      </c>
      <c r="F7394" t="n">
        <v>75.5</v>
      </c>
      <c r="G7394" t="n">
        <v>53</v>
      </c>
      <c r="H7394" t="n">
        <v>3.97e-20</v>
      </c>
      <c r="I7394" t="inlineStr">
        <is>
          <t>TrEMBL</t>
        </is>
      </c>
      <c r="J7394" t="inlineStr"/>
      <c r="K7394" t="inlineStr">
        <is>
          <t>G1TQR4_RABIT</t>
        </is>
      </c>
      <c r="L7394" t="inlineStr">
        <is>
          <t>tr|G1TQR4|G1TQR4_RABIT Small acidic protein OS=Oryctolagus cuniculus OX=9986 PE=3 SV=2</t>
        </is>
      </c>
      <c r="M7394" t="n">
        <v>104</v>
      </c>
      <c r="N7394" t="inlineStr">
        <is>
          <t>Oryctolagus cuniculus</t>
        </is>
      </c>
      <c r="O7394" t="inlineStr">
        <is>
          <t>Small acidic protein</t>
        </is>
      </c>
    </row>
    <row r="7395">
      <c r="A7395" t="inlineStr"/>
      <c r="B7395" t="inlineStr"/>
      <c r="C7395" t="inlineStr"/>
      <c r="D7395" t="inlineStr"/>
      <c r="E7395">
        <f>HYPERLINK("https://www.uniprot.org/uniprotkb/A0A2U3YG44/entry", "A0A2U3YG44")</f>
        <v/>
      </c>
      <c r="F7395" t="n">
        <v>70.7</v>
      </c>
      <c r="G7395" t="n">
        <v>58</v>
      </c>
      <c r="H7395" t="n">
        <v>4.28e-20</v>
      </c>
      <c r="I7395" t="inlineStr">
        <is>
          <t>TrEMBL</t>
        </is>
      </c>
      <c r="J7395" t="inlineStr">
        <is>
          <t>CUNH11orf58</t>
        </is>
      </c>
      <c r="K7395" t="inlineStr">
        <is>
          <t>A0A2U3YG44_LEPWE</t>
        </is>
      </c>
      <c r="L7395" t="inlineStr">
        <is>
          <t>tr|A0A2U3YG44|A0A2U3YG44_LEPWE Small acidic protein OS=Leptonychotes weddellii OX=9713 GN=CUNH11orf58 PE=3 SV=1</t>
        </is>
      </c>
      <c r="M7395" t="n">
        <v>173</v>
      </c>
      <c r="N7395" t="inlineStr">
        <is>
          <t>Leptonychotes weddellii</t>
        </is>
      </c>
      <c r="O7395" t="inlineStr">
        <is>
          <t>Small acidic protein</t>
        </is>
      </c>
    </row>
    <row r="7396">
      <c r="A7396" t="inlineStr"/>
      <c r="B7396" t="inlineStr"/>
      <c r="C7396" t="inlineStr"/>
      <c r="D7396" t="inlineStr"/>
      <c r="E7396">
        <f>HYPERLINK("https://www.uniprot.org/uniprotkb/W5M5D3/entry", "W5M5D3")</f>
        <v/>
      </c>
      <c r="F7396" t="n">
        <v>72.7</v>
      </c>
      <c r="G7396" t="n">
        <v>55</v>
      </c>
      <c r="H7396" t="n">
        <v>4.28e-20</v>
      </c>
      <c r="I7396" t="inlineStr">
        <is>
          <t>TrEMBL</t>
        </is>
      </c>
      <c r="J7396" t="inlineStr">
        <is>
          <t>C11orf58</t>
        </is>
      </c>
      <c r="K7396" t="inlineStr">
        <is>
          <t>W5M5D3_LEPOC</t>
        </is>
      </c>
      <c r="L7396" t="inlineStr">
        <is>
          <t>tr|W5M5D3|W5M5D3_LEPOC Small acidic protein OS=Lepisosteus oculatus OX=7918 GN=C11orf58 PE=3 SV=1</t>
        </is>
      </c>
      <c r="M7396" t="n">
        <v>173</v>
      </c>
      <c r="N7396" t="inlineStr">
        <is>
          <t>Lepisosteus oculatus</t>
        </is>
      </c>
      <c r="O7396" t="inlineStr">
        <is>
          <t>Small acidic protein</t>
        </is>
      </c>
    </row>
    <row r="7397">
      <c r="A7397" t="inlineStr"/>
      <c r="B7397" t="inlineStr"/>
      <c r="C7397" t="inlineStr"/>
      <c r="D7397" t="inlineStr"/>
      <c r="E7397">
        <f>HYPERLINK("https://www.ncbi.nlm.nih.gov/gene/?term=XP_020449126.1", "XP_020449126.1")</f>
        <v/>
      </c>
      <c r="F7397" t="n">
        <v>75.40000000000001</v>
      </c>
      <c r="G7397" t="n">
        <v>57</v>
      </c>
      <c r="H7397" t="n">
        <v>4.43e-20</v>
      </c>
      <c r="I7397" t="inlineStr">
        <is>
          <t>Nr</t>
        </is>
      </c>
      <c r="J7397" t="inlineStr"/>
      <c r="K7397" t="inlineStr"/>
      <c r="L7397" t="inlineStr">
        <is>
          <t>XP_020449126.1 small acidic protein isoform X2 [Monopterus albus]</t>
        </is>
      </c>
      <c r="M7397" t="n">
        <v>178</v>
      </c>
      <c r="N7397" t="inlineStr">
        <is>
          <t>Monopterus albus</t>
        </is>
      </c>
      <c r="O7397" t="inlineStr">
        <is>
          <t>small acidic protein isoform X2</t>
        </is>
      </c>
    </row>
    <row r="7398">
      <c r="A7398" t="inlineStr"/>
      <c r="B7398" t="inlineStr"/>
      <c r="C7398" t="inlineStr"/>
      <c r="D7398" t="inlineStr"/>
      <c r="E7398">
        <f>HYPERLINK("https://www.ncbi.nlm.nih.gov/gene/?term=XP_015193634.1", "XP_015193634.1")</f>
        <v/>
      </c>
      <c r="F7398" t="n">
        <v>69</v>
      </c>
      <c r="G7398" t="n">
        <v>58</v>
      </c>
      <c r="H7398" t="n">
        <v>4.66e-20</v>
      </c>
      <c r="I7398" t="inlineStr">
        <is>
          <t>Nr</t>
        </is>
      </c>
      <c r="J7398" t="inlineStr"/>
      <c r="K7398" t="inlineStr"/>
      <c r="L7398" t="inlineStr">
        <is>
          <t>XP_015193634.1 PREDICTED: small acidic protein isoform X2 [Lepisosteus oculatus]</t>
        </is>
      </c>
      <c r="M7398" t="n">
        <v>166</v>
      </c>
      <c r="N7398" t="inlineStr">
        <is>
          <t>Lepisosteus oculatus</t>
        </is>
      </c>
      <c r="O7398" t="inlineStr">
        <is>
          <t>PREDICTED: small acidic protein isoform X2</t>
        </is>
      </c>
    </row>
    <row r="7399">
      <c r="A7399" t="inlineStr"/>
      <c r="B7399" t="inlineStr"/>
      <c r="C7399" t="inlineStr"/>
      <c r="D7399" t="inlineStr"/>
      <c r="E7399">
        <f>HYPERLINK("https://www.ncbi.nlm.nih.gov/gene/?term=KAG2462168.1", "KAG2462168.1")</f>
        <v/>
      </c>
      <c r="F7399" t="n">
        <v>63.4</v>
      </c>
      <c r="G7399" t="n">
        <v>71</v>
      </c>
      <c r="H7399" t="n">
        <v>4.68e-20</v>
      </c>
      <c r="I7399" t="inlineStr">
        <is>
          <t>Nr</t>
        </is>
      </c>
      <c r="J7399" t="inlineStr"/>
      <c r="K7399" t="inlineStr"/>
      <c r="L7399" t="inlineStr">
        <is>
          <t>KAG2462168.1 SMAP protein, partial [Polypterus senegalus]</t>
        </is>
      </c>
      <c r="M7399" t="n">
        <v>195</v>
      </c>
      <c r="N7399" t="inlineStr">
        <is>
          <t>Polypterus senegalus</t>
        </is>
      </c>
      <c r="O7399" t="inlineStr">
        <is>
          <t>SMAP protein, partial</t>
        </is>
      </c>
    </row>
    <row r="7400">
      <c r="A7400" t="inlineStr"/>
      <c r="B7400" t="inlineStr"/>
      <c r="C7400" t="inlineStr"/>
      <c r="D7400" t="inlineStr"/>
      <c r="E7400">
        <f>HYPERLINK("https://www.uniprot.org/uniprotkb/A0A2K5SIE5/entry", "A0A2K5SIE5")</f>
        <v/>
      </c>
      <c r="F7400" t="n">
        <v>83.7</v>
      </c>
      <c r="G7400" t="n">
        <v>49</v>
      </c>
      <c r="H7400" t="n">
        <v>4.68e-20</v>
      </c>
      <c r="I7400" t="inlineStr">
        <is>
          <t>TrEMBL</t>
        </is>
      </c>
      <c r="J7400" t="inlineStr">
        <is>
          <t>C11orf58</t>
        </is>
      </c>
      <c r="K7400" t="inlineStr">
        <is>
          <t>A0A2K5SIE5_CEBIM</t>
        </is>
      </c>
      <c r="L7400" t="inlineStr">
        <is>
          <t>tr|A0A2K5SIE5|A0A2K5SIE5_CEBIM Chromosome 11 open reading frame 58 OS=Cebus imitator OX=2715852 GN=C11orf58 PE=4 SV=1</t>
        </is>
      </c>
      <c r="M7400" t="n">
        <v>149</v>
      </c>
      <c r="N7400" t="inlineStr">
        <is>
          <t>Cebus imitator</t>
        </is>
      </c>
      <c r="O7400" t="inlineStr">
        <is>
          <t>Chromosome 11 open reading frame 58</t>
        </is>
      </c>
    </row>
    <row r="7401">
      <c r="A7401" t="inlineStr"/>
      <c r="B7401" t="inlineStr"/>
      <c r="C7401" t="inlineStr"/>
      <c r="D7401" t="inlineStr"/>
      <c r="E7401">
        <f>HYPERLINK("https://www.ncbi.nlm.nih.gov/gene/?term=XP_009993714.1", "XP_009993714.1")</f>
        <v/>
      </c>
      <c r="F7401" t="n">
        <v>70.7</v>
      </c>
      <c r="G7401" t="n">
        <v>58</v>
      </c>
      <c r="H7401" t="n">
        <v>4.89e-20</v>
      </c>
      <c r="I7401" t="inlineStr">
        <is>
          <t>Nr</t>
        </is>
      </c>
      <c r="J7401" t="inlineStr"/>
      <c r="K7401" t="inlineStr"/>
      <c r="L7401" t="inlineStr">
        <is>
          <t>XP_009993714.1 PREDICTED: small acidic protein [Chaetura pelagica]</t>
        </is>
      </c>
      <c r="M7401" t="n">
        <v>168</v>
      </c>
      <c r="N7401" t="inlineStr">
        <is>
          <t>Chaetura pelagica</t>
        </is>
      </c>
      <c r="O7401" t="inlineStr">
        <is>
          <t>PREDICTED: small acidic protein</t>
        </is>
      </c>
    </row>
    <row r="7402">
      <c r="A7402" t="inlineStr"/>
      <c r="B7402" t="inlineStr"/>
      <c r="C7402" t="inlineStr"/>
      <c r="D7402" t="inlineStr"/>
      <c r="E7402">
        <f>HYPERLINK("https://www.ncbi.nlm.nih.gov/gene/?term=KAF1645577.1", "KAF1645577.1")</f>
        <v/>
      </c>
      <c r="F7402" t="n">
        <v>70.7</v>
      </c>
      <c r="G7402" t="n">
        <v>58</v>
      </c>
      <c r="H7402" t="n">
        <v>5.27e-20</v>
      </c>
      <c r="I7402" t="inlineStr">
        <is>
          <t>Nr</t>
        </is>
      </c>
      <c r="J7402" t="inlineStr"/>
      <c r="K7402" t="inlineStr"/>
      <c r="L7402" t="inlineStr">
        <is>
          <t>KAF1645577.1 Small acidic protein, partial [Eudyptes chrysocome]</t>
        </is>
      </c>
      <c r="M7402" t="n">
        <v>171</v>
      </c>
      <c r="N7402" t="inlineStr">
        <is>
          <t>Eudyptes chrysocome</t>
        </is>
      </c>
      <c r="O7402" t="inlineStr">
        <is>
          <t>Small acidic protein, partial</t>
        </is>
      </c>
    </row>
    <row r="7403">
      <c r="A7403" t="inlineStr"/>
      <c r="B7403" t="inlineStr"/>
      <c r="C7403" t="inlineStr"/>
      <c r="D7403" t="inlineStr"/>
      <c r="E7403">
        <f>HYPERLINK("https://www.ncbi.nlm.nih.gov/gene/?term=KAF1549805.1", "KAF1549805.1")</f>
        <v/>
      </c>
      <c r="F7403" t="n">
        <v>70.7</v>
      </c>
      <c r="G7403" t="n">
        <v>58</v>
      </c>
      <c r="H7403" t="n">
        <v>5.27e-20</v>
      </c>
      <c r="I7403" t="inlineStr">
        <is>
          <t>Nr</t>
        </is>
      </c>
      <c r="J7403" t="inlineStr"/>
      <c r="K7403" t="inlineStr"/>
      <c r="L7403" t="inlineStr">
        <is>
          <t>KAF1549805.1 Small acidic protein, partial [Eudyptes schlegeli]</t>
        </is>
      </c>
      <c r="M7403" t="n">
        <v>171</v>
      </c>
      <c r="N7403" t="inlineStr">
        <is>
          <t>Eudyptes schlegeli</t>
        </is>
      </c>
      <c r="O7403" t="inlineStr">
        <is>
          <t>Small acidic protein, partial</t>
        </is>
      </c>
    </row>
    <row r="7404">
      <c r="A7404" t="inlineStr"/>
      <c r="B7404" t="inlineStr"/>
      <c r="C7404" t="inlineStr"/>
      <c r="D7404" t="inlineStr"/>
      <c r="E7404">
        <f>HYPERLINK("https://www.ncbi.nlm.nih.gov/gene/?term=XP_041075085.1", "XP_041075085.1")</f>
        <v/>
      </c>
      <c r="F7404" t="n">
        <v>77.40000000000001</v>
      </c>
      <c r="G7404" t="n">
        <v>53</v>
      </c>
      <c r="H7404" t="n">
        <v>5.27e-20</v>
      </c>
      <c r="I7404" t="inlineStr">
        <is>
          <t>Nr</t>
        </is>
      </c>
      <c r="J7404" t="inlineStr"/>
      <c r="K7404" t="inlineStr"/>
      <c r="L7404" t="inlineStr">
        <is>
          <t>XP_041075085.1 small acidic protein-like [Polyodon spathula]</t>
        </is>
      </c>
      <c r="M7404" t="n">
        <v>171</v>
      </c>
      <c r="N7404" t="inlineStr">
        <is>
          <t>Polyodon spathula</t>
        </is>
      </c>
      <c r="O7404" t="inlineStr">
        <is>
          <t>small acidic protein-like</t>
        </is>
      </c>
    </row>
    <row r="7405">
      <c r="A7405" t="inlineStr"/>
      <c r="B7405" t="inlineStr"/>
      <c r="C7405" t="inlineStr"/>
      <c r="D7405" t="inlineStr"/>
      <c r="E7405">
        <f>HYPERLINK("https://www.ncbi.nlm.nih.gov/gene/?term=NXC59354.1", "NXC59354.1")</f>
        <v/>
      </c>
      <c r="F7405" t="n">
        <v>70.7</v>
      </c>
      <c r="G7405" t="n">
        <v>58</v>
      </c>
      <c r="H7405" t="n">
        <v>5.529999999999999e-20</v>
      </c>
      <c r="I7405" t="inlineStr">
        <is>
          <t>Nr</t>
        </is>
      </c>
      <c r="J7405" t="inlineStr"/>
      <c r="K7405" t="inlineStr"/>
      <c r="L7405" t="inlineStr">
        <is>
          <t>NXC59354.1 SMAP protein [Aleadryas rufinucha]</t>
        </is>
      </c>
      <c r="M7405" t="n">
        <v>173</v>
      </c>
      <c r="N7405" t="inlineStr">
        <is>
          <t>Aleadryas rufinucha</t>
        </is>
      </c>
      <c r="O7405" t="inlineStr">
        <is>
          <t>SMAP protein</t>
        </is>
      </c>
    </row>
    <row r="7406">
      <c r="A7406" t="inlineStr"/>
      <c r="B7406" t="inlineStr"/>
      <c r="C7406" t="inlineStr"/>
      <c r="D7406" t="inlineStr"/>
      <c r="E7406">
        <f>HYPERLINK("https://www.ncbi.nlm.nih.gov/gene/?term=KAF1477362.1", "KAF1477362.1")</f>
        <v/>
      </c>
      <c r="F7406" t="n">
        <v>70.7</v>
      </c>
      <c r="G7406" t="n">
        <v>58</v>
      </c>
      <c r="H7406" t="n">
        <v>5.529999999999999e-20</v>
      </c>
      <c r="I7406" t="inlineStr">
        <is>
          <t>Nr</t>
        </is>
      </c>
      <c r="J7406" t="inlineStr"/>
      <c r="K7406" t="inlineStr"/>
      <c r="L7406" t="inlineStr">
        <is>
          <t>KAF1477362.1 Small acidic protein, partial [Pygoscelis antarcticus]</t>
        </is>
      </c>
      <c r="M7406" t="n">
        <v>173</v>
      </c>
      <c r="N7406" t="inlineStr">
        <is>
          <t>Pygoscelis antarcticus</t>
        </is>
      </c>
      <c r="O7406" t="inlineStr">
        <is>
          <t>Small acidic protein, partial</t>
        </is>
      </c>
    </row>
    <row r="7407">
      <c r="A7407" t="inlineStr"/>
      <c r="B7407" t="inlineStr"/>
      <c r="C7407" t="inlineStr"/>
      <c r="D7407" t="inlineStr"/>
      <c r="E7407">
        <f>HYPERLINK("https://www.ncbi.nlm.nih.gov/gene/?term=NWI69231.1", "NWI69231.1")</f>
        <v/>
      </c>
      <c r="F7407" t="n">
        <v>70.7</v>
      </c>
      <c r="G7407" t="n">
        <v>58</v>
      </c>
      <c r="H7407" t="n">
        <v>5.529999999999999e-20</v>
      </c>
      <c r="I7407" t="inlineStr">
        <is>
          <t>Nr</t>
        </is>
      </c>
      <c r="J7407" t="inlineStr"/>
      <c r="K7407" t="inlineStr"/>
      <c r="L7407" t="inlineStr">
        <is>
          <t>NWI69231.1 SMAP protein [Todus mexicanus]</t>
        </is>
      </c>
      <c r="M7407" t="n">
        <v>173</v>
      </c>
      <c r="N7407" t="inlineStr">
        <is>
          <t>Todus mexicanus</t>
        </is>
      </c>
      <c r="O7407" t="inlineStr">
        <is>
          <t>SMAP protein</t>
        </is>
      </c>
    </row>
    <row r="7408">
      <c r="A7408" t="inlineStr"/>
      <c r="B7408" t="inlineStr"/>
      <c r="C7408" t="inlineStr"/>
      <c r="D7408" t="inlineStr"/>
      <c r="E7408">
        <f>HYPERLINK("https://www.ncbi.nlm.nih.gov/gene/?term=NXY18654.1", "NXY18654.1")</f>
        <v/>
      </c>
      <c r="F7408" t="n">
        <v>70.7</v>
      </c>
      <c r="G7408" t="n">
        <v>58</v>
      </c>
      <c r="H7408" t="n">
        <v>5.529999999999999e-20</v>
      </c>
      <c r="I7408" t="inlineStr">
        <is>
          <t>Nr</t>
        </is>
      </c>
      <c r="J7408" t="inlineStr"/>
      <c r="K7408" t="inlineStr"/>
      <c r="L7408" t="inlineStr">
        <is>
          <t>NXY18654.1 SMAP protein [Atrichornis clamosus]</t>
        </is>
      </c>
      <c r="M7408" t="n">
        <v>173</v>
      </c>
      <c r="N7408" t="inlineStr">
        <is>
          <t>Atrichornis clamosus</t>
        </is>
      </c>
      <c r="O7408" t="inlineStr">
        <is>
          <t>SMAP protein</t>
        </is>
      </c>
    </row>
    <row r="7409">
      <c r="A7409" t="inlineStr"/>
      <c r="B7409" t="inlineStr"/>
      <c r="C7409" t="inlineStr"/>
      <c r="D7409" t="inlineStr"/>
      <c r="E7409">
        <f>HYPERLINK("https://www.ncbi.nlm.nih.gov/gene/?term=KAF1413512.1", "KAF1413512.1")</f>
        <v/>
      </c>
      <c r="F7409" t="n">
        <v>70.7</v>
      </c>
      <c r="G7409" t="n">
        <v>58</v>
      </c>
      <c r="H7409" t="n">
        <v>5.529999999999999e-20</v>
      </c>
      <c r="I7409" t="inlineStr">
        <is>
          <t>Nr</t>
        </is>
      </c>
      <c r="J7409" t="inlineStr"/>
      <c r="K7409" t="inlineStr"/>
      <c r="L7409" t="inlineStr">
        <is>
          <t>KAF1413512.1 Small acidic protein, partial [Spheniscus magellanicus]</t>
        </is>
      </c>
      <c r="M7409" t="n">
        <v>173</v>
      </c>
      <c r="N7409" t="inlineStr">
        <is>
          <t>Spheniscus magellanicus</t>
        </is>
      </c>
      <c r="O7409" t="inlineStr">
        <is>
          <t>Small acidic protein, partial</t>
        </is>
      </c>
    </row>
    <row r="7410">
      <c r="A7410" t="inlineStr"/>
      <c r="B7410" t="inlineStr"/>
      <c r="C7410" t="inlineStr"/>
      <c r="D7410" t="inlineStr"/>
      <c r="E7410">
        <f>HYPERLINK("https://www.ncbi.nlm.nih.gov/gene/?term=XP_041131067.1", "XP_041131067.1")</f>
        <v/>
      </c>
      <c r="F7410" t="n">
        <v>77.40000000000001</v>
      </c>
      <c r="G7410" t="n">
        <v>53</v>
      </c>
      <c r="H7410" t="n">
        <v>5.529999999999999e-20</v>
      </c>
      <c r="I7410" t="inlineStr">
        <is>
          <t>Nr</t>
        </is>
      </c>
      <c r="J7410" t="inlineStr"/>
      <c r="K7410" t="inlineStr"/>
      <c r="L7410" t="inlineStr">
        <is>
          <t>XP_041131067.1 small acidic protein isoform X1 [Polyodon spathula]</t>
        </is>
      </c>
      <c r="M7410" t="n">
        <v>173</v>
      </c>
      <c r="N7410" t="inlineStr">
        <is>
          <t>Polyodon spathula</t>
        </is>
      </c>
      <c r="O7410" t="inlineStr">
        <is>
          <t>small acidic protein isoform X1</t>
        </is>
      </c>
    </row>
    <row r="7411">
      <c r="A7411" t="inlineStr"/>
      <c r="B7411" t="inlineStr"/>
      <c r="C7411" t="inlineStr"/>
      <c r="D7411" t="inlineStr"/>
      <c r="E7411">
        <f>HYPERLINK("https://www.uniprot.org/uniprotkb/G9L571/entry", "G9L571")</f>
        <v/>
      </c>
      <c r="F7411" t="n">
        <v>75.5</v>
      </c>
      <c r="G7411" t="n">
        <v>53</v>
      </c>
      <c r="H7411" t="n">
        <v>5.66e-20</v>
      </c>
      <c r="I7411" t="inlineStr">
        <is>
          <t>TrEMBL</t>
        </is>
      </c>
      <c r="J7411" t="inlineStr"/>
      <c r="K7411" t="inlineStr">
        <is>
          <t>G9L571_MUSPF</t>
        </is>
      </c>
      <c r="L7411" t="inlineStr">
        <is>
          <t>tr|G9L571|G9L571_MUSPF Small acidic protein (Fragment) OS=Mustela putorius furo OX=9669 PE=2 SV=1</t>
        </is>
      </c>
      <c r="M7411" t="n">
        <v>117</v>
      </c>
      <c r="N7411" t="inlineStr">
        <is>
          <t>Mustela putorius furo</t>
        </is>
      </c>
      <c r="O7411" t="inlineStr">
        <is>
          <t>Small acidic protein (Fragment)</t>
        </is>
      </c>
    </row>
    <row r="7412">
      <c r="A7412" t="inlineStr"/>
      <c r="B7412" t="inlineStr"/>
      <c r="C7412" t="inlineStr"/>
      <c r="D7412" t="inlineStr"/>
      <c r="E7412">
        <f>HYPERLINK("https://www.ncbi.nlm.nih.gov/gene/?term=XP_034760751.1", "XP_034760751.1")</f>
        <v/>
      </c>
      <c r="F7412" t="n">
        <v>77.40000000000001</v>
      </c>
      <c r="G7412" t="n">
        <v>53</v>
      </c>
      <c r="H7412" t="n">
        <v>5.67e-20</v>
      </c>
      <c r="I7412" t="inlineStr">
        <is>
          <t>Nr</t>
        </is>
      </c>
      <c r="J7412" t="inlineStr"/>
      <c r="K7412" t="inlineStr"/>
      <c r="L7412" t="inlineStr">
        <is>
          <t>XP_034760751.1 small acidic protein-like [Acipenser ruthenus]</t>
        </is>
      </c>
      <c r="M7412" t="n">
        <v>174</v>
      </c>
      <c r="N7412" t="inlineStr">
        <is>
          <t>Acipenser ruthenus</t>
        </is>
      </c>
      <c r="O7412" t="inlineStr">
        <is>
          <t>small acidic protein-like</t>
        </is>
      </c>
    </row>
    <row r="7413">
      <c r="A7413" t="inlineStr"/>
      <c r="B7413" t="inlineStr"/>
      <c r="C7413" t="inlineStr"/>
      <c r="D7413" t="inlineStr"/>
      <c r="E7413">
        <f>HYPERLINK("https://www.ncbi.nlm.nih.gov/gene/?term=NWS23281.1", "NWS23281.1")</f>
        <v/>
      </c>
      <c r="F7413" t="n">
        <v>70.7</v>
      </c>
      <c r="G7413" t="n">
        <v>58</v>
      </c>
      <c r="H7413" t="n">
        <v>5.67e-20</v>
      </c>
      <c r="I7413" t="inlineStr">
        <is>
          <t>Nr</t>
        </is>
      </c>
      <c r="J7413" t="inlineStr"/>
      <c r="K7413" t="inlineStr"/>
      <c r="L7413" t="inlineStr">
        <is>
          <t>NWS23281.1 SMAP protein [Pachyramphus minor]</t>
        </is>
      </c>
      <c r="M7413" t="n">
        <v>174</v>
      </c>
      <c r="N7413" t="inlineStr">
        <is>
          <t>Pachyramphus minor</t>
        </is>
      </c>
      <c r="O7413" t="inlineStr">
        <is>
          <t>SMAP protein</t>
        </is>
      </c>
    </row>
    <row r="7414">
      <c r="A7414" t="inlineStr"/>
      <c r="B7414" t="inlineStr"/>
      <c r="C7414" t="inlineStr"/>
      <c r="D7414" t="inlineStr"/>
      <c r="E7414">
        <f>HYPERLINK("https://www.uniprot.org/uniprotkb/Q6DDU5/entry", "Q6DDU5")</f>
        <v/>
      </c>
      <c r="F7414" t="n">
        <v>65.09999999999999</v>
      </c>
      <c r="G7414" t="n">
        <v>43</v>
      </c>
      <c r="H7414" t="n">
        <v>6.21e-13</v>
      </c>
      <c r="I7414" t="inlineStr">
        <is>
          <t>Swiss-Prot</t>
        </is>
      </c>
      <c r="J7414" t="inlineStr">
        <is>
          <t>smap</t>
        </is>
      </c>
      <c r="K7414" t="inlineStr">
        <is>
          <t>SMAP_XENLA</t>
        </is>
      </c>
      <c r="L7414" t="inlineStr">
        <is>
          <t>sp|Q6DDU5|SMAP_XENLA Small acidic protein OS=Xenopus laevis OX=8355 GN=smap PE=2 SV=1</t>
        </is>
      </c>
      <c r="M7414" t="n">
        <v>188</v>
      </c>
      <c r="N7414" t="inlineStr">
        <is>
          <t>Xenopus laevis</t>
        </is>
      </c>
      <c r="O7414" t="inlineStr">
        <is>
          <t>Small acidic protein</t>
        </is>
      </c>
    </row>
    <row r="7415">
      <c r="A7415" t="inlineStr"/>
      <c r="B7415" t="inlineStr"/>
      <c r="C7415" t="inlineStr"/>
      <c r="D7415" t="inlineStr"/>
      <c r="E7415">
        <f>HYPERLINK("https://www.uniprot.org/uniprotkb/Q7ZVC9/entry", "Q7ZVC9")</f>
        <v/>
      </c>
      <c r="F7415" t="n">
        <v>78.40000000000001</v>
      </c>
      <c r="G7415" t="n">
        <v>37</v>
      </c>
      <c r="H7415" t="n">
        <v>6.5e-13</v>
      </c>
      <c r="I7415" t="inlineStr">
        <is>
          <t>Swiss-Prot</t>
        </is>
      </c>
      <c r="J7415" t="inlineStr">
        <is>
          <t>smap</t>
        </is>
      </c>
      <c r="K7415" t="inlineStr">
        <is>
          <t>SMAP_DANRE</t>
        </is>
      </c>
      <c r="L7415" t="inlineStr">
        <is>
          <t>sp|Q7ZVC9|SMAP_DANRE Small acidic protein OS=Danio rerio OX=7955 GN=smap PE=1 SV=1</t>
        </is>
      </c>
      <c r="M7415" t="n">
        <v>171</v>
      </c>
      <c r="N7415" t="inlineStr">
        <is>
          <t>Danio rerio</t>
        </is>
      </c>
      <c r="O7415" t="inlineStr">
        <is>
          <t>Small acidic protein</t>
        </is>
      </c>
    </row>
    <row r="7416">
      <c r="A7416" t="inlineStr"/>
      <c r="B7416" t="inlineStr"/>
      <c r="C7416" t="inlineStr"/>
      <c r="D7416" t="inlineStr"/>
      <c r="E7416">
        <f>HYPERLINK("https://www.uniprot.org/uniprotkb/A0A672QR14/entry", "A0A672QR14")</f>
        <v/>
      </c>
      <c r="F7416" t="n">
        <v>52.1</v>
      </c>
      <c r="G7416" t="n">
        <v>71</v>
      </c>
      <c r="H7416" t="n">
        <v>7.77e-13</v>
      </c>
      <c r="I7416" t="inlineStr">
        <is>
          <t>TrEMBL</t>
        </is>
      </c>
      <c r="J7416" t="inlineStr">
        <is>
          <t>LOC107554557</t>
        </is>
      </c>
      <c r="K7416" t="inlineStr">
        <is>
          <t>A0A672QR14_SINGR</t>
        </is>
      </c>
      <c r="L7416" t="inlineStr">
        <is>
          <t>tr|A0A672QR14|A0A672QR14_SINGR Small acidic protein OS=Sinocyclocheilus grahami OX=75366 GN=LOC107554557 PE=3 SV=1</t>
        </is>
      </c>
      <c r="M7416" t="n">
        <v>171</v>
      </c>
      <c r="N7416" t="inlineStr">
        <is>
          <t>Sinocyclocheilus grahami</t>
        </is>
      </c>
      <c r="O7416" t="inlineStr">
        <is>
          <t>Small acidic protein</t>
        </is>
      </c>
    </row>
    <row r="7417">
      <c r="A7417" t="inlineStr"/>
      <c r="B7417" t="inlineStr"/>
      <c r="C7417" t="inlineStr"/>
      <c r="D7417" t="inlineStr"/>
      <c r="E7417">
        <f>HYPERLINK("https://www.uniprot.org/uniprotkb/A0A2I4D906/entry", "A0A2I4D906")</f>
        <v/>
      </c>
      <c r="F7417" t="n">
        <v>60.3</v>
      </c>
      <c r="G7417" t="n">
        <v>58</v>
      </c>
      <c r="H7417" t="n">
        <v>1.23e-12</v>
      </c>
      <c r="I7417" t="inlineStr">
        <is>
          <t>TrEMBL</t>
        </is>
      </c>
      <c r="J7417" t="inlineStr">
        <is>
          <t>LOC106536087</t>
        </is>
      </c>
      <c r="K7417" t="inlineStr">
        <is>
          <t>A0A2I4D906_9TELE</t>
        </is>
      </c>
      <c r="L7417" t="inlineStr">
        <is>
          <t>tr|A0A2I4D906|A0A2I4D906_9TELE Small acidic protein OS=Austrofundulus limnaeus OX=52670 GN=LOC106536087 PE=3 SV=1</t>
        </is>
      </c>
      <c r="M7417" t="n">
        <v>177</v>
      </c>
      <c r="N7417" t="inlineStr">
        <is>
          <t>Austrofundulus limnaeus</t>
        </is>
      </c>
      <c r="O7417" t="inlineStr">
        <is>
          <t>Small acidic protein</t>
        </is>
      </c>
    </row>
    <row r="7418">
      <c r="A7418" t="inlineStr"/>
      <c r="B7418" t="inlineStr"/>
      <c r="C7418" t="inlineStr"/>
      <c r="D7418" t="inlineStr"/>
      <c r="E7418">
        <f>HYPERLINK("https://www.ncbi.nlm.nih.gov/gene/?term=XP_016092593.1", "XP_016092593.1")</f>
        <v/>
      </c>
      <c r="F7418" t="n">
        <v>52.1</v>
      </c>
      <c r="G7418" t="n">
        <v>71</v>
      </c>
      <c r="H7418" t="n">
        <v>2e-12</v>
      </c>
      <c r="I7418" t="inlineStr">
        <is>
          <t>Nr</t>
        </is>
      </c>
      <c r="J7418" t="inlineStr"/>
      <c r="K7418" t="inlineStr"/>
      <c r="L7418" t="inlineStr">
        <is>
          <t>XP_016092593.1 PREDICTED: small acidic protein-like [Sinocyclocheilus grahami]</t>
        </is>
      </c>
      <c r="M7418" t="n">
        <v>171</v>
      </c>
      <c r="N7418" t="inlineStr">
        <is>
          <t>Sinocyclocheilus grahami</t>
        </is>
      </c>
      <c r="O7418" t="inlineStr">
        <is>
          <t>PREDICTED: small acidic protein-like</t>
        </is>
      </c>
    </row>
    <row r="7419">
      <c r="A7419" t="inlineStr"/>
      <c r="B7419" t="inlineStr"/>
      <c r="C7419" t="inlineStr"/>
      <c r="D7419" t="inlineStr"/>
      <c r="E7419">
        <f>HYPERLINK("https://www.ncbi.nlm.nih.gov/gene/?term=XP_013888712.1", "XP_013888712.1")</f>
        <v/>
      </c>
      <c r="F7419" t="n">
        <v>60.3</v>
      </c>
      <c r="G7419" t="n">
        <v>58</v>
      </c>
      <c r="H7419" t="n">
        <v>3.16e-12</v>
      </c>
      <c r="I7419" t="inlineStr">
        <is>
          <t>Nr</t>
        </is>
      </c>
      <c r="J7419" t="inlineStr"/>
      <c r="K7419" t="inlineStr"/>
      <c r="L7419" t="inlineStr">
        <is>
          <t>XP_013888712.1 PREDICTED: small acidic protein [Austrofundulus limnaeus]</t>
        </is>
      </c>
      <c r="M7419" t="n">
        <v>177</v>
      </c>
      <c r="N7419" t="inlineStr">
        <is>
          <t>Austrofundulus limnaeus</t>
        </is>
      </c>
      <c r="O7419" t="inlineStr">
        <is>
          <t>PREDICTED: small acidic protein</t>
        </is>
      </c>
    </row>
    <row r="7420">
      <c r="A7420" t="inlineStr"/>
      <c r="B7420" t="inlineStr"/>
      <c r="C7420" t="inlineStr"/>
      <c r="D7420" t="inlineStr"/>
      <c r="E7420">
        <f>HYPERLINK("https://www.uniprot.org/uniprotkb/Q0IIX4/entry", "Q0IIX4")</f>
        <v/>
      </c>
      <c r="F7420" t="n">
        <v>76.5</v>
      </c>
      <c r="G7420" t="n">
        <v>34</v>
      </c>
      <c r="H7420" t="n">
        <v>3.46e-12</v>
      </c>
      <c r="I7420" t="inlineStr">
        <is>
          <t>Swiss-Prot</t>
        </is>
      </c>
      <c r="J7420" t="inlineStr">
        <is>
          <t>smap</t>
        </is>
      </c>
      <c r="K7420" t="inlineStr">
        <is>
          <t>SMAP_XENTR</t>
        </is>
      </c>
      <c r="L7420" t="inlineStr">
        <is>
          <t>sp|Q0IIX4|SMAP_XENTR Small acidic protein OS=Xenopus tropicalis OX=8364 GN=smap PE=2 SV=1</t>
        </is>
      </c>
      <c r="M7420" t="n">
        <v>190</v>
      </c>
      <c r="N7420" t="inlineStr">
        <is>
          <t>Xenopus tropicalis</t>
        </is>
      </c>
      <c r="O7420" t="inlineStr">
        <is>
          <t>Small acidic protein</t>
        </is>
      </c>
    </row>
    <row r="7421">
      <c r="A7421" t="inlineStr"/>
      <c r="B7421" t="inlineStr"/>
      <c r="C7421" t="inlineStr"/>
      <c r="D7421" t="inlineStr"/>
      <c r="E7421">
        <f>HYPERLINK("https://www.ncbi.nlm.nih.gov/gene/?term=KAG1944712.1", "KAG1944712.1")</f>
        <v/>
      </c>
      <c r="F7421" t="n">
        <v>58.6</v>
      </c>
      <c r="G7421" t="n">
        <v>58</v>
      </c>
      <c r="H7421" t="n">
        <v>3.97e-12</v>
      </c>
      <c r="I7421" t="inlineStr">
        <is>
          <t>Nr</t>
        </is>
      </c>
      <c r="J7421" t="inlineStr"/>
      <c r="K7421" t="inlineStr"/>
      <c r="L7421" t="inlineStr">
        <is>
          <t>KAG1944712.1 hypothetical protein F2P79_014296 [Pimephales promelas]</t>
        </is>
      </c>
      <c r="M7421" t="n">
        <v>124</v>
      </c>
      <c r="N7421" t="inlineStr">
        <is>
          <t>Pimephales promelas</t>
        </is>
      </c>
      <c r="O7421" t="inlineStr">
        <is>
          <t>hypothetical protein F2P79_014296</t>
        </is>
      </c>
    </row>
    <row r="7422">
      <c r="A7422" t="inlineStr"/>
      <c r="B7422" t="inlineStr"/>
      <c r="C7422" t="inlineStr"/>
      <c r="D7422" t="inlineStr"/>
      <c r="E7422">
        <f>HYPERLINK("https://www.ncbi.nlm.nih.gov/gene/?term=XP_053305729.1", "XP_053305729.1")</f>
        <v/>
      </c>
      <c r="F7422" t="n">
        <v>77.5</v>
      </c>
      <c r="G7422" t="n">
        <v>40</v>
      </c>
      <c r="H7422" t="n">
        <v>4.18e-12</v>
      </c>
      <c r="I7422" t="inlineStr">
        <is>
          <t>Nr</t>
        </is>
      </c>
      <c r="J7422" t="inlineStr"/>
      <c r="K7422" t="inlineStr"/>
      <c r="L7422" t="inlineStr">
        <is>
          <t>XP_053305729.1 small acidic protein [Spea bombifrons]</t>
        </is>
      </c>
      <c r="M7422" t="n">
        <v>192</v>
      </c>
      <c r="N7422" t="inlineStr">
        <is>
          <t>Spea bombifrons</t>
        </is>
      </c>
      <c r="O7422" t="inlineStr">
        <is>
          <t>small acidic protein</t>
        </is>
      </c>
    </row>
    <row r="7423">
      <c r="A7423" t="inlineStr"/>
      <c r="B7423" t="inlineStr"/>
      <c r="C7423" t="inlineStr"/>
      <c r="D7423" t="inlineStr"/>
      <c r="E7423">
        <f>HYPERLINK("https://www.ncbi.nlm.nih.gov/gene/?term=XP_048112498.1", "XP_048112498.1")</f>
        <v/>
      </c>
      <c r="F7423" t="n">
        <v>62.5</v>
      </c>
      <c r="G7423" t="n">
        <v>56</v>
      </c>
      <c r="H7423" t="n">
        <v>5.79e-12</v>
      </c>
      <c r="I7423" t="inlineStr">
        <is>
          <t>Nr</t>
        </is>
      </c>
      <c r="J7423" t="inlineStr"/>
      <c r="K7423" t="inlineStr"/>
      <c r="L7423" t="inlineStr">
        <is>
          <t>XP_048112498.1 small acidic protein isoform X1 [Alosa alosa]</t>
        </is>
      </c>
      <c r="M7423" t="n">
        <v>173</v>
      </c>
      <c r="N7423" t="inlineStr">
        <is>
          <t>Alosa alosa</t>
        </is>
      </c>
      <c r="O7423" t="inlineStr">
        <is>
          <t>small acidic protein isoform X1</t>
        </is>
      </c>
    </row>
    <row r="7424">
      <c r="A7424" t="inlineStr"/>
      <c r="B7424" t="inlineStr"/>
      <c r="C7424" t="inlineStr"/>
      <c r="D7424" t="inlineStr"/>
      <c r="E7424">
        <f>HYPERLINK("https://www.ncbi.nlm.nih.gov/gene/?term=XP_041964942.1", "XP_041964942.1")</f>
        <v/>
      </c>
      <c r="F7424" t="n">
        <v>62.5</v>
      </c>
      <c r="G7424" t="n">
        <v>56</v>
      </c>
      <c r="H7424" t="n">
        <v>5.9e-12</v>
      </c>
      <c r="I7424" t="inlineStr">
        <is>
          <t>Nr</t>
        </is>
      </c>
      <c r="J7424" t="inlineStr"/>
      <c r="K7424" t="inlineStr"/>
      <c r="L7424" t="inlineStr">
        <is>
          <t>XP_041964942.1 small acidic protein isoform X1 [Alosa sapidissima]</t>
        </is>
      </c>
      <c r="M7424" t="n">
        <v>174</v>
      </c>
      <c r="N7424" t="inlineStr">
        <is>
          <t>Alosa sapidissima</t>
        </is>
      </c>
      <c r="O7424" t="inlineStr">
        <is>
          <t>small acidic protein isoform X1</t>
        </is>
      </c>
    </row>
    <row r="7425">
      <c r="A7425" t="inlineStr"/>
      <c r="B7425" t="inlineStr"/>
      <c r="C7425" t="inlineStr"/>
      <c r="D7425" t="inlineStr"/>
      <c r="E7425">
        <f>HYPERLINK("https://www.uniprot.org/uniprotkb/A0A673GWD6/entry", "A0A673GWD6")</f>
        <v/>
      </c>
      <c r="F7425" t="n">
        <v>52.1</v>
      </c>
      <c r="G7425" t="n">
        <v>71</v>
      </c>
      <c r="H7425" t="n">
        <v>6.03e-12</v>
      </c>
      <c r="I7425" t="inlineStr">
        <is>
          <t>TrEMBL</t>
        </is>
      </c>
      <c r="J7425" t="inlineStr"/>
      <c r="K7425" t="inlineStr">
        <is>
          <t>A0A673GWD6_9TELE</t>
        </is>
      </c>
      <c r="L7425" t="inlineStr">
        <is>
          <t>tr|A0A673GWD6|A0A673GWD6_9TELE Small acidic protein OS=Sinocyclocheilus rhinocerous OX=307959 PE=3 SV=1</t>
        </is>
      </c>
      <c r="M7425" t="n">
        <v>154</v>
      </c>
      <c r="N7425" t="inlineStr">
        <is>
          <t>Sinocyclocheilus rhinocerous</t>
        </is>
      </c>
      <c r="O7425" t="inlineStr">
        <is>
          <t>Small acidic protein</t>
        </is>
      </c>
    </row>
    <row r="7426">
      <c r="A7426" t="inlineStr"/>
      <c r="B7426" t="inlineStr"/>
      <c r="C7426" t="inlineStr"/>
      <c r="D7426" t="inlineStr"/>
      <c r="E7426">
        <f>HYPERLINK("https://www.uniprot.org/uniprotkb/A0A671SCX9/entry", "A0A671SCX9")</f>
        <v/>
      </c>
      <c r="F7426" t="n">
        <v>52.1</v>
      </c>
      <c r="G7426" t="n">
        <v>71</v>
      </c>
      <c r="H7426" t="n">
        <v>7.25e-12</v>
      </c>
      <c r="I7426" t="inlineStr">
        <is>
          <t>TrEMBL</t>
        </is>
      </c>
      <c r="J7426" t="inlineStr">
        <is>
          <t>LOC107690399</t>
        </is>
      </c>
      <c r="K7426" t="inlineStr">
        <is>
          <t>A0A671SCX9_9TELE</t>
        </is>
      </c>
      <c r="L7426" t="inlineStr">
        <is>
          <t>tr|A0A671SCX9|A0A671SCX9_9TELE Small acidic protein OS=Sinocyclocheilus anshuiensis OX=1608454 GN=LOC107690399 PE=3 SV=1</t>
        </is>
      </c>
      <c r="M7426" t="n">
        <v>163</v>
      </c>
      <c r="N7426" t="inlineStr">
        <is>
          <t>Sinocyclocheilus anshuiensis</t>
        </is>
      </c>
      <c r="O7426" t="inlineStr">
        <is>
          <t>Small acidic protein</t>
        </is>
      </c>
    </row>
    <row r="7427">
      <c r="A7427" t="inlineStr"/>
      <c r="B7427" t="inlineStr"/>
      <c r="C7427" t="inlineStr"/>
      <c r="D7427" t="inlineStr"/>
      <c r="E7427">
        <f>HYPERLINK("https://www.uniprot.org/uniprotkb/A0A8C1JDD8/entry", "A0A8C1JDD8")</f>
        <v/>
      </c>
      <c r="F7427" t="n">
        <v>52.1</v>
      </c>
      <c r="G7427" t="n">
        <v>71</v>
      </c>
      <c r="H7427" t="n">
        <v>8.49e-12</v>
      </c>
      <c r="I7427" t="inlineStr">
        <is>
          <t>TrEMBL</t>
        </is>
      </c>
      <c r="J7427" t="inlineStr"/>
      <c r="K7427" t="inlineStr">
        <is>
          <t>A0A8C1JDD8_CYPCA</t>
        </is>
      </c>
      <c r="L7427" t="inlineStr">
        <is>
          <t>tr|A0A8C1JDD8|A0A8C1JDD8_CYPCA Small acidic protein OS=Cyprinus carpio OX=7962 PE=3 SV=1</t>
        </is>
      </c>
      <c r="M7427" t="n">
        <v>171</v>
      </c>
      <c r="N7427" t="inlineStr">
        <is>
          <t>Cyprinus carpio</t>
        </is>
      </c>
      <c r="O7427" t="inlineStr">
        <is>
          <t>Small acidic protein</t>
        </is>
      </c>
    </row>
    <row r="7428">
      <c r="A7428" t="inlineStr"/>
      <c r="B7428" t="inlineStr"/>
      <c r="C7428" t="inlineStr"/>
      <c r="D7428" t="inlineStr"/>
      <c r="E7428">
        <f>HYPERLINK("https://www.uniprot.org/uniprotkb/A0A671S3D2/entry", "A0A671S3D2")</f>
        <v/>
      </c>
      <c r="F7428" t="n">
        <v>54.9</v>
      </c>
      <c r="G7428" t="n">
        <v>71</v>
      </c>
      <c r="H7428" t="n">
        <v>8.49e-12</v>
      </c>
      <c r="I7428" t="inlineStr">
        <is>
          <t>TrEMBL</t>
        </is>
      </c>
      <c r="J7428" t="inlineStr">
        <is>
          <t>LOC107691136</t>
        </is>
      </c>
      <c r="K7428" t="inlineStr">
        <is>
          <t>A0A671S3D2_9TELE</t>
        </is>
      </c>
      <c r="L7428" t="inlineStr">
        <is>
          <t>tr|A0A671S3D2|A0A671S3D2_9TELE Small acidic protein OS=Sinocyclocheilus anshuiensis OX=1608454 GN=LOC107691136 PE=3 SV=1</t>
        </is>
      </c>
      <c r="M7428" t="n">
        <v>171</v>
      </c>
      <c r="N7428" t="inlineStr">
        <is>
          <t>Sinocyclocheilus anshuiensis</t>
        </is>
      </c>
      <c r="O7428" t="inlineStr">
        <is>
          <t>Small acidic protein</t>
        </is>
      </c>
    </row>
    <row r="7429">
      <c r="A7429" t="inlineStr"/>
      <c r="B7429" t="inlineStr"/>
      <c r="C7429" t="inlineStr"/>
      <c r="D7429" t="inlineStr"/>
      <c r="E7429">
        <f>HYPERLINK("https://www.uniprot.org/uniprotkb/A0A673HU52/entry", "A0A673HU52")</f>
        <v/>
      </c>
      <c r="F7429" t="n">
        <v>54.9</v>
      </c>
      <c r="G7429" t="n">
        <v>71</v>
      </c>
      <c r="H7429" t="n">
        <v>8.49e-12</v>
      </c>
      <c r="I7429" t="inlineStr">
        <is>
          <t>TrEMBL</t>
        </is>
      </c>
      <c r="J7429" t="inlineStr">
        <is>
          <t>LOC107746577</t>
        </is>
      </c>
      <c r="K7429" t="inlineStr">
        <is>
          <t>A0A673HU52_9TELE</t>
        </is>
      </c>
      <c r="L7429" t="inlineStr">
        <is>
          <t>tr|A0A673HU52|A0A673HU52_9TELE Small acidic protein OS=Sinocyclocheilus rhinocerous OX=307959 GN=LOC107746577 PE=3 SV=1</t>
        </is>
      </c>
      <c r="M7429" t="n">
        <v>171</v>
      </c>
      <c r="N7429" t="inlineStr">
        <is>
          <t>Sinocyclocheilus rhinocerous</t>
        </is>
      </c>
      <c r="O7429" t="inlineStr">
        <is>
          <t>Small acidic protein</t>
        </is>
      </c>
    </row>
    <row r="7430">
      <c r="A7430" t="inlineStr"/>
      <c r="B7430" t="inlineStr"/>
      <c r="C7430" t="inlineStr"/>
      <c r="D7430" t="inlineStr"/>
      <c r="E7430">
        <f>HYPERLINK("https://www.uniprot.org/uniprotkb/A0A672MSZ4/entry", "A0A672MSZ4")</f>
        <v/>
      </c>
      <c r="F7430" t="n">
        <v>54.9</v>
      </c>
      <c r="G7430" t="n">
        <v>71</v>
      </c>
      <c r="H7430" t="n">
        <v>8.49e-12</v>
      </c>
      <c r="I7430" t="inlineStr">
        <is>
          <t>TrEMBL</t>
        </is>
      </c>
      <c r="J7430" t="inlineStr">
        <is>
          <t>LOC107554484</t>
        </is>
      </c>
      <c r="K7430" t="inlineStr">
        <is>
          <t>A0A672MSZ4_SINGR</t>
        </is>
      </c>
      <c r="L7430" t="inlineStr">
        <is>
          <t>tr|A0A672MSZ4|A0A672MSZ4_SINGR Small acidic protein OS=Sinocyclocheilus grahami OX=75366 GN=LOC107554484 PE=3 SV=1</t>
        </is>
      </c>
      <c r="M7430" t="n">
        <v>171</v>
      </c>
      <c r="N7430" t="inlineStr">
        <is>
          <t>Sinocyclocheilus grahami</t>
        </is>
      </c>
      <c r="O7430" t="inlineStr">
        <is>
          <t>Small acidic protein</t>
        </is>
      </c>
    </row>
    <row r="7431">
      <c r="A7431" t="inlineStr"/>
      <c r="B7431" t="inlineStr"/>
      <c r="C7431" t="inlineStr"/>
      <c r="D7431" t="inlineStr"/>
      <c r="E7431">
        <f>HYPERLINK("https://www.ncbi.nlm.nih.gov/gene/?term=XP_016376750.1", "XP_016376750.1")</f>
        <v/>
      </c>
      <c r="F7431" t="n">
        <v>52.1</v>
      </c>
      <c r="G7431" t="n">
        <v>71</v>
      </c>
      <c r="H7431" t="n">
        <v>8.91e-12</v>
      </c>
      <c r="I7431" t="inlineStr">
        <is>
          <t>Nr</t>
        </is>
      </c>
      <c r="J7431" t="inlineStr"/>
      <c r="K7431" t="inlineStr"/>
      <c r="L7431" t="inlineStr">
        <is>
          <t>XP_016376750.1 PREDICTED: small acidic protein-like [Sinocyclocheilus rhinocerous]</t>
        </is>
      </c>
      <c r="M7431" t="n">
        <v>129</v>
      </c>
      <c r="N7431" t="inlineStr">
        <is>
          <t>Sinocyclocheilus rhinocerous</t>
        </is>
      </c>
      <c r="O7431" t="inlineStr">
        <is>
          <t>PREDICTED: small acidic protein-like</t>
        </is>
      </c>
    </row>
    <row r="7432">
      <c r="A7432" t="inlineStr"/>
      <c r="B7432" t="inlineStr"/>
      <c r="C7432" t="inlineStr"/>
      <c r="D7432" t="inlineStr"/>
      <c r="E7432">
        <f>HYPERLINK("https://www.uniprot.org/uniprotkb/A0A8J7NW91/entry", "A0A8J7NW91")</f>
        <v/>
      </c>
      <c r="F7432" t="n">
        <v>78.40000000000001</v>
      </c>
      <c r="G7432" t="n">
        <v>37</v>
      </c>
      <c r="H7432" t="n">
        <v>1.02e-11</v>
      </c>
      <c r="I7432" t="inlineStr">
        <is>
          <t>TrEMBL</t>
        </is>
      </c>
      <c r="J7432" t="inlineStr">
        <is>
          <t>Smap</t>
        </is>
      </c>
      <c r="K7432" t="inlineStr">
        <is>
          <t>A0A8J7NW91_ATRSP</t>
        </is>
      </c>
      <c r="L7432" t="inlineStr">
        <is>
          <t>tr|A0A8J7NW91|A0A8J7NW91_ATRSP SMAP protein (Fragment) OS=Atractosteus spatula OX=7917 GN=Smap PE=4 SV=1</t>
        </is>
      </c>
      <c r="M7432" t="n">
        <v>131</v>
      </c>
      <c r="N7432" t="inlineStr">
        <is>
          <t>Atractosteus spatula</t>
        </is>
      </c>
      <c r="O7432" t="inlineStr">
        <is>
          <t>SMAP protein (Fragment)</t>
        </is>
      </c>
    </row>
    <row r="7433">
      <c r="A7433" t="inlineStr"/>
      <c r="B7433" t="inlineStr"/>
      <c r="C7433" t="inlineStr"/>
      <c r="D7433" t="inlineStr"/>
      <c r="E7433">
        <f>HYPERLINK("https://www.ncbi.nlm.nih.gov/gene/?term=XP_039539748.1", "XP_039539748.1")</f>
        <v/>
      </c>
      <c r="F7433" t="n">
        <v>58.6</v>
      </c>
      <c r="G7433" t="n">
        <v>58</v>
      </c>
      <c r="H7433" t="n">
        <v>1.04e-11</v>
      </c>
      <c r="I7433" t="inlineStr">
        <is>
          <t>Nr</t>
        </is>
      </c>
      <c r="J7433" t="inlineStr"/>
      <c r="K7433" t="inlineStr"/>
      <c r="L7433" t="inlineStr">
        <is>
          <t>XP_039539748.1 small acidic protein [Pimephales promelas]</t>
        </is>
      </c>
      <c r="M7433" t="n">
        <v>168</v>
      </c>
      <c r="N7433" t="inlineStr">
        <is>
          <t>Pimephales promelas</t>
        </is>
      </c>
      <c r="O7433" t="inlineStr">
        <is>
          <t>small acidic protein</t>
        </is>
      </c>
    </row>
    <row r="7434">
      <c r="A7434" t="inlineStr"/>
      <c r="B7434" t="inlineStr"/>
      <c r="C7434" t="inlineStr"/>
      <c r="D7434" t="inlineStr"/>
      <c r="E7434">
        <f>HYPERLINK("https://www.uniprot.org/uniprotkb/A0A8T2J518/entry", "A0A8T2J518")</f>
        <v/>
      </c>
      <c r="F7434" t="n">
        <v>59.3</v>
      </c>
      <c r="G7434" t="n">
        <v>59</v>
      </c>
      <c r="H7434" t="n">
        <v>1.18e-11</v>
      </c>
      <c r="I7434" t="inlineStr">
        <is>
          <t>TrEMBL</t>
        </is>
      </c>
      <c r="J7434" t="inlineStr">
        <is>
          <t>GDO86_008935</t>
        </is>
      </c>
      <c r="K7434" t="inlineStr">
        <is>
          <t>A0A8T2J518_9PIPI</t>
        </is>
      </c>
      <c r="L7434" t="inlineStr">
        <is>
          <t>tr|A0A8T2J518|A0A8T2J518_9PIPI Small acidic protein OS=Hymenochirus boettgeri OX=247094 GN=GDO86_008935 PE=3 SV=1</t>
        </is>
      </c>
      <c r="M7434" t="n">
        <v>189</v>
      </c>
      <c r="N7434" t="inlineStr">
        <is>
          <t>Hymenochirus boettgeri</t>
        </is>
      </c>
      <c r="O7434" t="inlineStr">
        <is>
          <t>Small acidic protein</t>
        </is>
      </c>
    </row>
    <row r="7435">
      <c r="A7435" t="inlineStr"/>
      <c r="B7435" t="inlineStr"/>
      <c r="C7435" t="inlineStr"/>
      <c r="D7435" t="inlineStr"/>
      <c r="E7435">
        <f>HYPERLINK("https://www.ncbi.nlm.nih.gov/gene/?term=KTF90395.1", "KTF90395.1")</f>
        <v/>
      </c>
      <c r="F7435" t="n">
        <v>62.7</v>
      </c>
      <c r="G7435" t="n">
        <v>51</v>
      </c>
      <c r="H7435" t="n">
        <v>1.22e-11</v>
      </c>
      <c r="I7435" t="inlineStr">
        <is>
          <t>Nr</t>
        </is>
      </c>
      <c r="J7435" t="inlineStr"/>
      <c r="K7435" t="inlineStr"/>
      <c r="L7435" t="inlineStr">
        <is>
          <t>KTF90395.1 hypothetical protein cypCar_00033500 [Cyprinus carpio]</t>
        </is>
      </c>
      <c r="M7435" t="n">
        <v>113</v>
      </c>
      <c r="N7435" t="inlineStr">
        <is>
          <t>Cyprinus carpio</t>
        </is>
      </c>
      <c r="O7435" t="inlineStr">
        <is>
          <t>hypothetical protein cypCar_00033500</t>
        </is>
      </c>
    </row>
    <row r="7436">
      <c r="A7436" t="inlineStr"/>
      <c r="B7436" t="inlineStr"/>
      <c r="C7436" t="inlineStr"/>
      <c r="D7436" t="inlineStr"/>
      <c r="E7436">
        <f>HYPERLINK("https://www.uniprot.org/uniprotkb/A0A3B1KFQ6/entry", "A0A3B1KFQ6")</f>
        <v/>
      </c>
      <c r="F7436" t="n">
        <v>69.59999999999999</v>
      </c>
      <c r="G7436" t="n">
        <v>46</v>
      </c>
      <c r="H7436" t="n">
        <v>1.36e-11</v>
      </c>
      <c r="I7436" t="inlineStr">
        <is>
          <t>TrEMBL</t>
        </is>
      </c>
      <c r="J7436" t="inlineStr"/>
      <c r="K7436" t="inlineStr">
        <is>
          <t>A0A3B1KFQ6_ASTMX</t>
        </is>
      </c>
      <c r="L7436" t="inlineStr">
        <is>
          <t>tr|A0A3B1KFQ6|A0A3B1KFQ6_ASTMX Small acidic protein OS=Astyanax mexicanus OX=7994 PE=3 SV=1</t>
        </is>
      </c>
      <c r="M7436" t="n">
        <v>178</v>
      </c>
      <c r="N7436" t="inlineStr">
        <is>
          <t>Astyanax mexicanus</t>
        </is>
      </c>
      <c r="O7436" t="inlineStr">
        <is>
          <t>Small acidic protein</t>
        </is>
      </c>
    </row>
    <row r="7437">
      <c r="A7437" t="inlineStr"/>
      <c r="B7437" t="inlineStr"/>
      <c r="C7437" t="inlineStr"/>
      <c r="D7437" t="inlineStr"/>
      <c r="E7437">
        <f>HYPERLINK("https://www.uniprot.org/uniprotkb/A0A7K5J362/entry", "A0A7K5J362")</f>
        <v/>
      </c>
      <c r="F7437" t="n">
        <v>75</v>
      </c>
      <c r="G7437" t="n">
        <v>40</v>
      </c>
      <c r="H7437" t="n">
        <v>1.37e-11</v>
      </c>
      <c r="I7437" t="inlineStr">
        <is>
          <t>TrEMBL</t>
        </is>
      </c>
      <c r="J7437" t="inlineStr">
        <is>
          <t>Smap_1</t>
        </is>
      </c>
      <c r="K7437" t="inlineStr">
        <is>
          <t>A0A7K5J362_TOXRE</t>
        </is>
      </c>
      <c r="L7437" t="inlineStr">
        <is>
          <t>tr|A0A7K5J362|A0A7K5J362_TOXRE SMAP protein (Fragment) OS=Toxostoma redivivum OX=99882 GN=Smap_1 PE=4 SV=1</t>
        </is>
      </c>
      <c r="M7437" t="n">
        <v>114</v>
      </c>
      <c r="N7437" t="inlineStr">
        <is>
          <t>Toxostoma redivivum</t>
        </is>
      </c>
      <c r="O7437" t="inlineStr">
        <is>
          <t>SMAP protein (Fragment)</t>
        </is>
      </c>
    </row>
    <row r="7438">
      <c r="A7438" t="inlineStr"/>
      <c r="B7438" t="inlineStr"/>
      <c r="C7438" t="inlineStr"/>
      <c r="D7438" t="inlineStr"/>
      <c r="E7438">
        <f>HYPERLINK("https://www.uniprot.org/uniprotkb/Q9I9J6/entry", "Q9I9J6")</f>
        <v/>
      </c>
      <c r="F7438" t="n">
        <v>70</v>
      </c>
      <c r="G7438" t="n">
        <v>40</v>
      </c>
      <c r="H7438" t="n">
        <v>1.4e-11</v>
      </c>
      <c r="I7438" t="inlineStr">
        <is>
          <t>Swiss-Prot</t>
        </is>
      </c>
      <c r="J7438" t="inlineStr">
        <is>
          <t>SMAP</t>
        </is>
      </c>
      <c r="K7438" t="inlineStr">
        <is>
          <t>SMAP_CHICK</t>
        </is>
      </c>
      <c r="L7438" t="inlineStr">
        <is>
          <t>sp|Q9I9J6|SMAP_CHICK Small acidic protein OS=Gallus gallus OX=9031 GN=SMAP PE=2 SV=1</t>
        </is>
      </c>
      <c r="M7438" t="n">
        <v>172</v>
      </c>
      <c r="N7438" t="inlineStr">
        <is>
          <t>Gallus gallus</t>
        </is>
      </c>
      <c r="O7438" t="inlineStr">
        <is>
          <t>Small acidic protein</t>
        </is>
      </c>
    </row>
    <row r="7439">
      <c r="A7439" t="inlineStr"/>
      <c r="B7439" t="inlineStr"/>
      <c r="C7439" t="inlineStr"/>
      <c r="D7439" t="inlineStr"/>
      <c r="E7439">
        <f>HYPERLINK("https://www.uniprot.org/uniprotkb/Q90368/entry", "Q90368")</f>
        <v/>
      </c>
      <c r="F7439" t="n">
        <v>70</v>
      </c>
      <c r="G7439" t="n">
        <v>40</v>
      </c>
      <c r="H7439" t="n">
        <v>1.4e-11</v>
      </c>
      <c r="I7439" t="inlineStr">
        <is>
          <t>Swiss-Prot</t>
        </is>
      </c>
      <c r="J7439" t="inlineStr">
        <is>
          <t>SMAP</t>
        </is>
      </c>
      <c r="K7439" t="inlineStr">
        <is>
          <t>SMAP_COTJA</t>
        </is>
      </c>
      <c r="L7439" t="inlineStr">
        <is>
          <t>sp|Q90368|SMAP_COTJA Small acidic protein OS=Coturnix japonica OX=93934 GN=SMAP PE=2 SV=1</t>
        </is>
      </c>
      <c r="M7439" t="n">
        <v>172</v>
      </c>
      <c r="N7439" t="inlineStr">
        <is>
          <t>Coturnix japonica</t>
        </is>
      </c>
      <c r="O7439" t="inlineStr">
        <is>
          <t>Small acidic protein</t>
        </is>
      </c>
    </row>
    <row r="7440">
      <c r="A7440" t="inlineStr"/>
      <c r="B7440" t="inlineStr"/>
      <c r="C7440" t="inlineStr"/>
      <c r="D7440" t="inlineStr"/>
      <c r="E7440">
        <f>HYPERLINK("https://www.uniprot.org/uniprotkb/A0A8C1EVI7/entry", "A0A8C1EVI7")</f>
        <v/>
      </c>
      <c r="F7440" t="n">
        <v>62.7</v>
      </c>
      <c r="G7440" t="n">
        <v>51</v>
      </c>
      <c r="H7440" t="n">
        <v>1.58e-11</v>
      </c>
      <c r="I7440" t="inlineStr">
        <is>
          <t>TrEMBL</t>
        </is>
      </c>
      <c r="J7440" t="inlineStr"/>
      <c r="K7440" t="inlineStr">
        <is>
          <t>A0A8C1EVI7_CYPCA</t>
        </is>
      </c>
      <c r="L7440" t="inlineStr">
        <is>
          <t>tr|A0A8C1EVI7|A0A8C1EVI7_CYPCA Small acidic protein OS=Cyprinus carpio OX=7962 PE=3 SV=1</t>
        </is>
      </c>
      <c r="M7440" t="n">
        <v>168</v>
      </c>
      <c r="N7440" t="inlineStr">
        <is>
          <t>Cyprinus carpio</t>
        </is>
      </c>
      <c r="O7440" t="inlineStr">
        <is>
          <t>Small acidic protein</t>
        </is>
      </c>
    </row>
    <row r="7441">
      <c r="A7441" t="inlineStr"/>
      <c r="B7441" t="inlineStr"/>
      <c r="C7441" t="inlineStr"/>
      <c r="D7441" t="inlineStr"/>
      <c r="E7441">
        <f>HYPERLINK("https://www.uniprot.org/uniprotkb/A0A8C9VYP1/entry", "A0A8C9VYP1")</f>
        <v/>
      </c>
      <c r="F7441" t="n">
        <v>76.3</v>
      </c>
      <c r="G7441" t="n">
        <v>38</v>
      </c>
      <c r="H7441" t="n">
        <v>1.62e-11</v>
      </c>
      <c r="I7441" t="inlineStr">
        <is>
          <t>TrEMBL</t>
        </is>
      </c>
      <c r="J7441" t="inlineStr">
        <is>
          <t>C11orf58</t>
        </is>
      </c>
      <c r="K7441" t="inlineStr">
        <is>
          <t>A0A8C9VYP1_SCLFO</t>
        </is>
      </c>
      <c r="L7441" t="inlineStr">
        <is>
          <t>tr|A0A8C9VYP1|A0A8C9VYP1_SCLFO Small acidic protein OS=Scleropages formosus OX=113540 GN=C11orf58 PE=3 SV=1</t>
        </is>
      </c>
      <c r="M7441" t="n">
        <v>169</v>
      </c>
      <c r="N7441" t="inlineStr">
        <is>
          <t>Scleropages formosus</t>
        </is>
      </c>
      <c r="O7441" t="inlineStr">
        <is>
          <t>Small acidic protein</t>
        </is>
      </c>
    </row>
    <row r="7442">
      <c r="A7442" t="inlineStr"/>
      <c r="B7442" t="inlineStr"/>
      <c r="C7442" t="inlineStr"/>
      <c r="D7442" t="inlineStr"/>
      <c r="E7442">
        <f>HYPERLINK("https://www.uniprot.org/uniprotkb/A0A8C1C532/entry", "A0A8C1C532")</f>
        <v/>
      </c>
      <c r="F7442" t="n">
        <v>62.7</v>
      </c>
      <c r="G7442" t="n">
        <v>51</v>
      </c>
      <c r="H7442" t="n">
        <v>1.65e-11</v>
      </c>
      <c r="I7442" t="inlineStr">
        <is>
          <t>TrEMBL</t>
        </is>
      </c>
      <c r="J7442" t="inlineStr">
        <is>
          <t>cunh11orf58</t>
        </is>
      </c>
      <c r="K7442" t="inlineStr">
        <is>
          <t>A0A8C1C532_CYPCA</t>
        </is>
      </c>
      <c r="L7442" t="inlineStr">
        <is>
          <t>tr|A0A8C1C532|A0A8C1C532_CYPCA Small acidic protein OS=Cyprinus carpio OX=7962 GN=cunh11orf58 PE=3 SV=1</t>
        </is>
      </c>
      <c r="M7442" t="n">
        <v>170</v>
      </c>
      <c r="N7442" t="inlineStr">
        <is>
          <t>Cyprinus carpio</t>
        </is>
      </c>
      <c r="O7442" t="inlineStr">
        <is>
          <t>Small acidic protein</t>
        </is>
      </c>
    </row>
    <row r="7443">
      <c r="A7443" t="inlineStr"/>
      <c r="B7443" t="inlineStr"/>
      <c r="C7443" t="inlineStr"/>
      <c r="D7443" t="inlineStr"/>
      <c r="E7443">
        <f>HYPERLINK("https://www.uniprot.org/uniprotkb/A0A8C2D6W9/entry", "A0A8C2D6W9")</f>
        <v/>
      </c>
      <c r="F7443" t="n">
        <v>62.7</v>
      </c>
      <c r="G7443" t="n">
        <v>51</v>
      </c>
      <c r="H7443" t="n">
        <v>1.68e-11</v>
      </c>
      <c r="I7443" t="inlineStr">
        <is>
          <t>TrEMBL</t>
        </is>
      </c>
      <c r="J7443" t="inlineStr"/>
      <c r="K7443" t="inlineStr">
        <is>
          <t>A0A8C2D6W9_CYPCA</t>
        </is>
      </c>
      <c r="L7443" t="inlineStr">
        <is>
          <t>tr|A0A8C2D6W9|A0A8C2D6W9_CYPCA Small acidic protein OS=Cyprinus carpio OX=7962 PE=3 SV=1</t>
        </is>
      </c>
      <c r="M7443" t="n">
        <v>171</v>
      </c>
      <c r="N7443" t="inlineStr">
        <is>
          <t>Cyprinus carpio</t>
        </is>
      </c>
      <c r="O7443" t="inlineStr">
        <is>
          <t>Small acidic protein</t>
        </is>
      </c>
    </row>
    <row r="7444">
      <c r="A7444" t="inlineStr"/>
      <c r="B7444" t="inlineStr"/>
      <c r="C7444" t="inlineStr"/>
      <c r="D7444" t="inlineStr"/>
      <c r="E7444">
        <f>HYPERLINK("https://www.uniprot.org/uniprotkb/A0A6P6LQD3/entry", "A0A6P6LQD3")</f>
        <v/>
      </c>
      <c r="F7444" t="n">
        <v>72.5</v>
      </c>
      <c r="G7444" t="n">
        <v>40</v>
      </c>
      <c r="H7444" t="n">
        <v>1.68e-11</v>
      </c>
      <c r="I7444" t="inlineStr">
        <is>
          <t>TrEMBL</t>
        </is>
      </c>
      <c r="J7444" t="inlineStr">
        <is>
          <t>LOC113061643</t>
        </is>
      </c>
      <c r="K7444" t="inlineStr">
        <is>
          <t>A0A6P6LQD3_CARAU</t>
        </is>
      </c>
      <c r="L7444" t="inlineStr">
        <is>
          <t>tr|A0A6P6LQD3|A0A6P6LQD3_CARAU Small acidic protein OS=Carassius auratus OX=7957 GN=LOC113061643 PE=3 SV=1</t>
        </is>
      </c>
      <c r="M7444" t="n">
        <v>171</v>
      </c>
      <c r="N7444" t="inlineStr">
        <is>
          <t>Carassius auratus</t>
        </is>
      </c>
      <c r="O7444" t="inlineStr">
        <is>
          <t>Small acidic protein</t>
        </is>
      </c>
    </row>
    <row r="7445">
      <c r="A7445" t="inlineStr"/>
      <c r="B7445" t="inlineStr"/>
      <c r="C7445" t="inlineStr"/>
      <c r="D7445" t="inlineStr"/>
      <c r="E7445">
        <f>HYPERLINK("https://www.uniprot.org/uniprotkb/A0A498LAZ6/entry", "A0A498LAZ6")</f>
        <v/>
      </c>
      <c r="F7445" t="n">
        <v>60.8</v>
      </c>
      <c r="G7445" t="n">
        <v>51</v>
      </c>
      <c r="H7445" t="n">
        <v>1.68e-11</v>
      </c>
      <c r="I7445" t="inlineStr">
        <is>
          <t>TrEMBL</t>
        </is>
      </c>
      <c r="J7445" t="inlineStr">
        <is>
          <t>ROHU_012702</t>
        </is>
      </c>
      <c r="K7445" t="inlineStr">
        <is>
          <t>A0A498LAZ6_LABRO</t>
        </is>
      </c>
      <c r="L7445" t="inlineStr">
        <is>
          <t>tr|A0A498LAZ6|A0A498LAZ6_LABRO Small acidic protein OS=Labeo rohita OX=84645 GN=ROHU_012702 PE=3 SV=1</t>
        </is>
      </c>
      <c r="M7445" t="n">
        <v>171</v>
      </c>
      <c r="N7445" t="inlineStr">
        <is>
          <t>Labeo rohita</t>
        </is>
      </c>
      <c r="O7445" t="inlineStr">
        <is>
          <t>Small acidic protein</t>
        </is>
      </c>
    </row>
    <row r="7446">
      <c r="A7446" t="inlineStr"/>
      <c r="B7446" t="inlineStr"/>
      <c r="C7446" t="inlineStr"/>
      <c r="D7446" t="inlineStr"/>
      <c r="E7446">
        <f>HYPERLINK("https://www.uniprot.org/uniprotkb/A0A7L3KQV9/entry", "A0A7L3KQV9")</f>
        <v/>
      </c>
      <c r="F7446" t="n">
        <v>75</v>
      </c>
      <c r="G7446" t="n">
        <v>40</v>
      </c>
      <c r="H7446" t="n">
        <v>1.73e-11</v>
      </c>
      <c r="I7446" t="inlineStr">
        <is>
          <t>TrEMBL</t>
        </is>
      </c>
      <c r="J7446" t="inlineStr">
        <is>
          <t>Smap</t>
        </is>
      </c>
      <c r="K7446" t="inlineStr">
        <is>
          <t>A0A7L3KQV9_9PASS</t>
        </is>
      </c>
      <c r="L7446" t="inlineStr">
        <is>
          <t>tr|A0A7L3KQV9|A0A7L3KQV9_9PASS SMAP protein (Fragment) OS=Drymodes brunneopygia OX=626378 GN=Smap PE=4 SV=1</t>
        </is>
      </c>
      <c r="M7446" t="n">
        <v>124</v>
      </c>
      <c r="N7446" t="inlineStr">
        <is>
          <t>Drymodes brunneopygia</t>
        </is>
      </c>
      <c r="O7446" t="inlineStr">
        <is>
          <t>SMAP protein (Fragment)</t>
        </is>
      </c>
    </row>
    <row r="7447">
      <c r="A7447" t="inlineStr"/>
      <c r="B7447" t="inlineStr"/>
      <c r="C7447" t="inlineStr"/>
      <c r="D7447" t="inlineStr"/>
      <c r="E7447">
        <f>HYPERLINK("https://www.uniprot.org/uniprotkb/W5M5D3/entry", "W5M5D3")</f>
        <v/>
      </c>
      <c r="F7447" t="n">
        <v>63</v>
      </c>
      <c r="G7447" t="n">
        <v>54</v>
      </c>
      <c r="H7447" t="n">
        <v>1.74e-11</v>
      </c>
      <c r="I7447" t="inlineStr">
        <is>
          <t>TrEMBL</t>
        </is>
      </c>
      <c r="J7447" t="inlineStr">
        <is>
          <t>C11orf58</t>
        </is>
      </c>
      <c r="K7447" t="inlineStr">
        <is>
          <t>W5M5D3_LEPOC</t>
        </is>
      </c>
      <c r="L7447" t="inlineStr">
        <is>
          <t>tr|W5M5D3|W5M5D3_LEPOC Small acidic protein OS=Lepisosteus oculatus OX=7918 GN=C11orf58 PE=3 SV=1</t>
        </is>
      </c>
      <c r="M7447" t="n">
        <v>173</v>
      </c>
      <c r="N7447" t="inlineStr">
        <is>
          <t>Lepisosteus oculatus</t>
        </is>
      </c>
      <c r="O7447" t="inlineStr">
        <is>
          <t>Small acidic protein</t>
        </is>
      </c>
    </row>
    <row r="7448">
      <c r="A7448" t="inlineStr"/>
      <c r="B7448" t="inlineStr"/>
      <c r="C7448" t="inlineStr"/>
      <c r="D7448" t="inlineStr"/>
      <c r="E7448">
        <f>HYPERLINK("https://www.ncbi.nlm.nih.gov/gene/?term=XP_016344218.1", "XP_016344218.1")</f>
        <v/>
      </c>
      <c r="F7448" t="n">
        <v>52.1</v>
      </c>
      <c r="G7448" t="n">
        <v>71</v>
      </c>
      <c r="H7448" t="n">
        <v>1.86e-11</v>
      </c>
      <c r="I7448" t="inlineStr">
        <is>
          <t>Nr</t>
        </is>
      </c>
      <c r="J7448" t="inlineStr"/>
      <c r="K7448" t="inlineStr"/>
      <c r="L7448" t="inlineStr">
        <is>
          <t>XP_016344218.1 PREDICTED: small acidic protein-like [Sinocyclocheilus anshuiensis]</t>
        </is>
      </c>
      <c r="M7448" t="n">
        <v>163</v>
      </c>
      <c r="N7448" t="inlineStr">
        <is>
          <t>Sinocyclocheilus anshuiensis</t>
        </is>
      </c>
      <c r="O7448" t="inlineStr">
        <is>
          <t>PREDICTED: small acidic protein-like</t>
        </is>
      </c>
    </row>
    <row r="7449">
      <c r="A7449" t="inlineStr"/>
      <c r="B7449" t="inlineStr"/>
      <c r="C7449" t="inlineStr"/>
      <c r="D7449" t="inlineStr"/>
      <c r="E7449">
        <f>HYPERLINK("https://www.ncbi.nlm.nih.gov/gene/?term=KTG01567.1", "KTG01567.1")</f>
        <v/>
      </c>
      <c r="F7449" t="n">
        <v>52.1</v>
      </c>
      <c r="G7449" t="n">
        <v>71</v>
      </c>
      <c r="H7449" t="n">
        <v>2.18e-11</v>
      </c>
      <c r="I7449" t="inlineStr">
        <is>
          <t>Nr</t>
        </is>
      </c>
      <c r="J7449" t="inlineStr"/>
      <c r="K7449" t="inlineStr"/>
      <c r="L7449" t="inlineStr">
        <is>
          <t>KTG01567.1 hypothetical protein cypCar_00014252 [Cyprinus carpio]</t>
        </is>
      </c>
      <c r="M7449" t="n">
        <v>171</v>
      </c>
      <c r="N7449" t="inlineStr">
        <is>
          <t>Cyprinus carpio</t>
        </is>
      </c>
      <c r="O7449" t="inlineStr">
        <is>
          <t>hypothetical protein cypCar_00014252</t>
        </is>
      </c>
    </row>
    <row r="7450">
      <c r="A7450" t="inlineStr"/>
      <c r="B7450" t="inlineStr"/>
      <c r="C7450" t="inlineStr"/>
      <c r="D7450" t="inlineStr"/>
      <c r="E7450">
        <f>HYPERLINK("https://www.ncbi.nlm.nih.gov/gene/?term=XP_016416325.1", "XP_016416325.1")</f>
        <v/>
      </c>
      <c r="F7450" t="n">
        <v>54.9</v>
      </c>
      <c r="G7450" t="n">
        <v>71</v>
      </c>
      <c r="H7450" t="n">
        <v>2.18e-11</v>
      </c>
      <c r="I7450" t="inlineStr">
        <is>
          <t>Nr</t>
        </is>
      </c>
      <c r="J7450" t="inlineStr"/>
      <c r="K7450" t="inlineStr"/>
      <c r="L7450" t="inlineStr">
        <is>
          <t>XP_016416325.1 PREDICTED: small acidic protein-like [Sinocyclocheilus rhinocerous]</t>
        </is>
      </c>
      <c r="M7450" t="n">
        <v>171</v>
      </c>
      <c r="N7450" t="inlineStr">
        <is>
          <t>Sinocyclocheilus rhinocerous</t>
        </is>
      </c>
      <c r="O7450" t="inlineStr">
        <is>
          <t>PREDICTED: small acidic protein-like</t>
        </is>
      </c>
    </row>
    <row r="7451">
      <c r="A7451" t="inlineStr"/>
      <c r="B7451" t="inlineStr"/>
      <c r="C7451" t="inlineStr"/>
      <c r="D7451" t="inlineStr"/>
      <c r="E7451">
        <f>HYPERLINK("https://www.ncbi.nlm.nih.gov/gene/?term=XP_016092474.1", "XP_016092474.1")</f>
        <v/>
      </c>
      <c r="F7451" t="n">
        <v>54.9</v>
      </c>
      <c r="G7451" t="n">
        <v>71</v>
      </c>
      <c r="H7451" t="n">
        <v>2.18e-11</v>
      </c>
      <c r="I7451" t="inlineStr">
        <is>
          <t>Nr</t>
        </is>
      </c>
      <c r="J7451" t="inlineStr"/>
      <c r="K7451" t="inlineStr"/>
      <c r="L7451" t="inlineStr">
        <is>
          <t>XP_016092474.1 PREDICTED: small acidic protein-like [Sinocyclocheilus grahami]</t>
        </is>
      </c>
      <c r="M7451" t="n">
        <v>171</v>
      </c>
      <c r="N7451" t="inlineStr">
        <is>
          <t>Sinocyclocheilus grahami</t>
        </is>
      </c>
      <c r="O7451" t="inlineStr">
        <is>
          <t>PREDICTED: small acidic protein-like</t>
        </is>
      </c>
    </row>
    <row r="7452">
      <c r="A7452" t="inlineStr"/>
      <c r="B7452" t="inlineStr"/>
      <c r="C7452" t="inlineStr"/>
      <c r="D7452" t="inlineStr"/>
      <c r="E7452">
        <f>HYPERLINK("https://www.uniprot.org/uniprotkb/G3NU12/entry", "G3NU12")</f>
        <v/>
      </c>
      <c r="F7452" t="n">
        <v>58.6</v>
      </c>
      <c r="G7452" t="n">
        <v>58</v>
      </c>
      <c r="H7452" t="n">
        <v>2.2e-11</v>
      </c>
      <c r="I7452" t="inlineStr">
        <is>
          <t>TrEMBL</t>
        </is>
      </c>
      <c r="J7452" t="inlineStr">
        <is>
          <t>C11orf58</t>
        </is>
      </c>
      <c r="K7452" t="inlineStr">
        <is>
          <t>G3NU12_GASAC</t>
        </is>
      </c>
      <c r="L7452" t="inlineStr">
        <is>
          <t>tr|G3NU12|G3NU12_GASAC Chromosome 11 open reading frame 58 OS=Gasterosteus aculeatus OX=69293 GN=C11orf58 PE=4 SV=1</t>
        </is>
      </c>
      <c r="M7452" t="n">
        <v>105</v>
      </c>
      <c r="N7452" t="inlineStr">
        <is>
          <t>Gasterosteus aculeatus</t>
        </is>
      </c>
      <c r="O7452" t="inlineStr">
        <is>
          <t>Chromosome 11 open reading frame 58</t>
        </is>
      </c>
    </row>
    <row r="7453">
      <c r="A7453" t="inlineStr"/>
      <c r="B7453" t="inlineStr"/>
      <c r="C7453" t="inlineStr"/>
      <c r="D7453" t="inlineStr"/>
      <c r="E7453">
        <f>HYPERLINK("https://www.uniprot.org/uniprotkb/A0A6P8FAZ8/entry", "A0A6P8FAZ8")</f>
        <v/>
      </c>
      <c r="F7453" t="n">
        <v>61.1</v>
      </c>
      <c r="G7453" t="n">
        <v>54</v>
      </c>
      <c r="H7453" t="n">
        <v>2.45e-11</v>
      </c>
      <c r="I7453" t="inlineStr">
        <is>
          <t>TrEMBL</t>
        </is>
      </c>
      <c r="J7453" t="inlineStr">
        <is>
          <t>c3h11orf58</t>
        </is>
      </c>
      <c r="K7453" t="inlineStr">
        <is>
          <t>A0A6P8FAZ8_CLUHA</t>
        </is>
      </c>
      <c r="L7453" t="inlineStr">
        <is>
          <t>tr|A0A6P8FAZ8|A0A6P8FAZ8_CLUHA Small acidic protein OS=Clupea harengus OX=7950 GN=c3h11orf58 PE=3 SV=1</t>
        </is>
      </c>
      <c r="M7453" t="n">
        <v>173</v>
      </c>
      <c r="N7453" t="inlineStr">
        <is>
          <t>Clupea harengus</t>
        </is>
      </c>
      <c r="O7453" t="inlineStr">
        <is>
          <t>Small acidic protein</t>
        </is>
      </c>
    </row>
    <row r="7454">
      <c r="A7454" t="inlineStr"/>
      <c r="B7454" t="inlineStr"/>
      <c r="C7454" t="inlineStr"/>
      <c r="D7454" t="inlineStr"/>
      <c r="E7454">
        <f>HYPERLINK("https://www.uniprot.org/uniprotkb/A0A6P3W433/entry", "A0A6P3W433")</f>
        <v/>
      </c>
      <c r="F7454" t="n">
        <v>61.1</v>
      </c>
      <c r="G7454" t="n">
        <v>54</v>
      </c>
      <c r="H7454" t="n">
        <v>2.5e-11</v>
      </c>
      <c r="I7454" t="inlineStr">
        <is>
          <t>TrEMBL</t>
        </is>
      </c>
      <c r="J7454" t="inlineStr">
        <is>
          <t>c3h11orf58</t>
        </is>
      </c>
      <c r="K7454" t="inlineStr">
        <is>
          <t>A0A6P3W433_CLUHA</t>
        </is>
      </c>
      <c r="L7454" t="inlineStr">
        <is>
          <t>tr|A0A6P3W433|A0A6P3W433_CLUHA Small acidic protein OS=Clupea harengus OX=7950 GN=c3h11orf58 PE=3 SV=1</t>
        </is>
      </c>
      <c r="M7454" t="n">
        <v>174</v>
      </c>
      <c r="N7454" t="inlineStr">
        <is>
          <t>Clupea harengus</t>
        </is>
      </c>
      <c r="O7454" t="inlineStr">
        <is>
          <t>Small acidic protein</t>
        </is>
      </c>
    </row>
    <row r="7455">
      <c r="A7455" t="inlineStr"/>
      <c r="B7455" t="inlineStr"/>
      <c r="C7455" t="inlineStr"/>
      <c r="D7455" t="inlineStr"/>
      <c r="E7455">
        <f>HYPERLINK("https://www.ncbi.nlm.nih.gov/gene/?term=MBN3318900.1", "MBN3318900.1")</f>
        <v/>
      </c>
      <c r="F7455" t="n">
        <v>78.40000000000001</v>
      </c>
      <c r="G7455" t="n">
        <v>37</v>
      </c>
      <c r="H7455" t="n">
        <v>2.63e-11</v>
      </c>
      <c r="I7455" t="inlineStr">
        <is>
          <t>Nr</t>
        </is>
      </c>
      <c r="J7455" t="inlineStr"/>
      <c r="K7455" t="inlineStr"/>
      <c r="L7455" t="inlineStr">
        <is>
          <t>MBN3318900.1 SMAP protein [Atractosteus spatula]</t>
        </is>
      </c>
      <c r="M7455" t="n">
        <v>131</v>
      </c>
      <c r="N7455" t="inlineStr">
        <is>
          <t>Atractosteus spatula</t>
        </is>
      </c>
      <c r="O7455" t="inlineStr">
        <is>
          <t>SMAP protein</t>
        </is>
      </c>
    </row>
    <row r="7456">
      <c r="A7456" t="inlineStr"/>
      <c r="B7456" t="inlineStr"/>
      <c r="C7456" t="inlineStr"/>
      <c r="D7456" t="inlineStr"/>
      <c r="E7456">
        <f>HYPERLINK("https://www.uniprot.org/uniprotkb/A0A8B9JI78/entry", "A0A8B9JI78")</f>
        <v/>
      </c>
      <c r="F7456" t="n">
        <v>67.40000000000001</v>
      </c>
      <c r="G7456" t="n">
        <v>46</v>
      </c>
      <c r="H7456" t="n">
        <v>2.69e-11</v>
      </c>
      <c r="I7456" t="inlineStr">
        <is>
          <t>TrEMBL</t>
        </is>
      </c>
      <c r="J7456" t="inlineStr"/>
      <c r="K7456" t="inlineStr">
        <is>
          <t>A0A8B9JI78_ASTMX</t>
        </is>
      </c>
      <c r="L7456" t="inlineStr">
        <is>
          <t>tr|A0A8B9JI78|A0A8B9JI78_ASTMX Small acidic protein OS=Astyanax mexicanus OX=7994 PE=3 SV=1</t>
        </is>
      </c>
      <c r="M7456" t="n">
        <v>178</v>
      </c>
      <c r="N7456" t="inlineStr">
        <is>
          <t>Astyanax mexicanus</t>
        </is>
      </c>
      <c r="O7456" t="inlineStr">
        <is>
          <t>Small acidic protein</t>
        </is>
      </c>
    </row>
    <row r="7457">
      <c r="A7457" t="inlineStr"/>
      <c r="B7457" t="inlineStr"/>
      <c r="C7457" t="inlineStr"/>
      <c r="D7457" t="inlineStr"/>
      <c r="E7457">
        <f>HYPERLINK("https://www.uniprot.org/uniprotkb/A0A8T2LW03/entry", "A0A8T2LW03")</f>
        <v/>
      </c>
      <c r="F7457" t="n">
        <v>67.40000000000001</v>
      </c>
      <c r="G7457" t="n">
        <v>46</v>
      </c>
      <c r="H7457" t="n">
        <v>2.69e-11</v>
      </c>
      <c r="I7457" t="inlineStr">
        <is>
          <t>TrEMBL</t>
        </is>
      </c>
      <c r="J7457" t="inlineStr">
        <is>
          <t>SMAP</t>
        </is>
      </c>
      <c r="K7457" t="inlineStr">
        <is>
          <t>A0A8T2LW03_ASTMX</t>
        </is>
      </c>
      <c r="L7457" t="inlineStr">
        <is>
          <t>tr|A0A8T2LW03|A0A8T2LW03_ASTMX Small acidic protein OS=Astyanax mexicanus OX=7994 GN=SMAP PE=3 SV=1</t>
        </is>
      </c>
      <c r="M7457" t="n">
        <v>178</v>
      </c>
      <c r="N7457" t="inlineStr">
        <is>
          <t>Astyanax mexicanus</t>
        </is>
      </c>
      <c r="O7457" t="inlineStr">
        <is>
          <t>Small acidic protein</t>
        </is>
      </c>
    </row>
    <row r="7458">
      <c r="A7458" t="inlineStr"/>
      <c r="B7458" t="inlineStr"/>
      <c r="C7458" t="inlineStr"/>
      <c r="D7458" t="inlineStr"/>
      <c r="E7458">
        <f>HYPERLINK("https://www.ncbi.nlm.nih.gov/gene/?term=KAG8438440.1", "KAG8438440.1")</f>
        <v/>
      </c>
      <c r="F7458" t="n">
        <v>59.3</v>
      </c>
      <c r="G7458" t="n">
        <v>59</v>
      </c>
      <c r="H7458" t="n">
        <v>3.03e-11</v>
      </c>
      <c r="I7458" t="inlineStr">
        <is>
          <t>Nr</t>
        </is>
      </c>
      <c r="J7458" t="inlineStr"/>
      <c r="K7458" t="inlineStr"/>
      <c r="L7458" t="inlineStr">
        <is>
          <t>KAG8438440.1 hypothetical protein GDO86_008935 [Hymenochirus boettgeri]</t>
        </is>
      </c>
      <c r="M7458" t="n">
        <v>189</v>
      </c>
      <c r="N7458" t="inlineStr">
        <is>
          <t>Hymenochirus boettgeri</t>
        </is>
      </c>
      <c r="O7458" t="inlineStr">
        <is>
          <t>hypothetical protein GDO86_008935</t>
        </is>
      </c>
    </row>
    <row r="7459">
      <c r="A7459" t="inlineStr"/>
      <c r="B7459" t="inlineStr"/>
      <c r="C7459" t="inlineStr"/>
      <c r="D7459" t="inlineStr"/>
      <c r="E7459">
        <f>HYPERLINK("https://www.ncbi.nlm.nih.gov/gene/?term=XP_007242938.3", "XP_007242938.3")</f>
        <v/>
      </c>
      <c r="F7459" t="n">
        <v>69.59999999999999</v>
      </c>
      <c r="G7459" t="n">
        <v>46</v>
      </c>
      <c r="H7459" t="n">
        <v>3.5e-11</v>
      </c>
      <c r="I7459" t="inlineStr">
        <is>
          <t>Nr</t>
        </is>
      </c>
      <c r="J7459" t="inlineStr"/>
      <c r="K7459" t="inlineStr"/>
      <c r="L7459" t="inlineStr">
        <is>
          <t>XP_007242938.3 small acidic protein [Astyanax mexicanus]</t>
        </is>
      </c>
      <c r="M7459" t="n">
        <v>178</v>
      </c>
      <c r="N7459" t="inlineStr">
        <is>
          <t>Astyanax mexicanus</t>
        </is>
      </c>
      <c r="O7459" t="inlineStr">
        <is>
          <t>small acidic protein</t>
        </is>
      </c>
    </row>
    <row r="7460">
      <c r="A7460" t="inlineStr"/>
      <c r="B7460" t="inlineStr"/>
      <c r="C7460" t="inlineStr"/>
      <c r="D7460" t="inlineStr"/>
      <c r="E7460">
        <f>HYPERLINK("https://www.ncbi.nlm.nih.gov/gene/?term=NWS87672.1", "NWS87672.1")</f>
        <v/>
      </c>
      <c r="F7460" t="n">
        <v>75</v>
      </c>
      <c r="G7460" t="n">
        <v>40</v>
      </c>
      <c r="H7460" t="n">
        <v>3.52e-11</v>
      </c>
      <c r="I7460" t="inlineStr">
        <is>
          <t>Nr</t>
        </is>
      </c>
      <c r="J7460" t="inlineStr"/>
      <c r="K7460" t="inlineStr"/>
      <c r="L7460" t="inlineStr">
        <is>
          <t>NWS87672.1 SMAP protein [Toxostoma redivivum]</t>
        </is>
      </c>
      <c r="M7460" t="n">
        <v>114</v>
      </c>
      <c r="N7460" t="inlineStr">
        <is>
          <t>Toxostoma redivivum</t>
        </is>
      </c>
      <c r="O7460" t="inlineStr">
        <is>
          <t>SMAP protein</t>
        </is>
      </c>
    </row>
    <row r="7461">
      <c r="A7461" t="inlineStr"/>
      <c r="B7461" t="inlineStr"/>
      <c r="C7461" t="inlineStr"/>
      <c r="D7461" t="inlineStr"/>
      <c r="E7461">
        <f>HYPERLINK("https://www.ncbi.nlm.nih.gov/gene/?term=XP_052008529.1", "XP_052008529.1")</f>
        <v/>
      </c>
      <c r="F7461" t="n">
        <v>61.8</v>
      </c>
      <c r="G7461" t="n">
        <v>55</v>
      </c>
      <c r="H7461" t="n">
        <v>3.82e-11</v>
      </c>
      <c r="I7461" t="inlineStr">
        <is>
          <t>Nr</t>
        </is>
      </c>
      <c r="J7461" t="inlineStr"/>
      <c r="K7461" t="inlineStr"/>
      <c r="L7461" t="inlineStr">
        <is>
          <t>XP_052008529.1 small acidic protein-like isoform X2 [Xyrauchen texanus]</t>
        </is>
      </c>
      <c r="M7461" t="n">
        <v>148</v>
      </c>
      <c r="N7461" t="inlineStr">
        <is>
          <t>Xyrauchen texanus</t>
        </is>
      </c>
      <c r="O7461" t="inlineStr">
        <is>
          <t>small acidic protein-like isoform X2</t>
        </is>
      </c>
    </row>
    <row r="7462">
      <c r="A7462" t="inlineStr"/>
      <c r="B7462" t="inlineStr"/>
      <c r="C7462" t="inlineStr"/>
      <c r="D7462" t="inlineStr"/>
      <c r="E7462">
        <f>HYPERLINK("https://www.ncbi.nlm.nih.gov/gene/?term=XP_015193634.1", "XP_015193634.1")</f>
        <v/>
      </c>
      <c r="F7462" t="n">
        <v>63</v>
      </c>
      <c r="G7462" t="n">
        <v>54</v>
      </c>
      <c r="H7462" t="n">
        <v>3.91e-11</v>
      </c>
      <c r="I7462" t="inlineStr">
        <is>
          <t>Nr</t>
        </is>
      </c>
      <c r="J7462" t="inlineStr"/>
      <c r="K7462" t="inlineStr"/>
      <c r="L7462" t="inlineStr">
        <is>
          <t>XP_015193634.1 PREDICTED: small acidic protein isoform X2 [Lepisosteus oculatus]</t>
        </is>
      </c>
      <c r="M7462" t="n">
        <v>166</v>
      </c>
      <c r="N7462" t="inlineStr">
        <is>
          <t>Lepisosteus oculatus</t>
        </is>
      </c>
      <c r="O7462" t="inlineStr">
        <is>
          <t>PREDICTED: small acidic protein isoform X2</t>
        </is>
      </c>
    </row>
    <row r="7463">
      <c r="A7463" t="inlineStr"/>
      <c r="B7463" t="inlineStr"/>
      <c r="C7463" t="inlineStr"/>
      <c r="D7463" t="inlineStr"/>
      <c r="E7463">
        <f>HYPERLINK("https://www.ncbi.nlm.nih.gov/gene/?term=XP_018615771.1", "XP_018615771.1")</f>
        <v/>
      </c>
      <c r="F7463" t="n">
        <v>76.3</v>
      </c>
      <c r="G7463" t="n">
        <v>38</v>
      </c>
      <c r="H7463" t="n">
        <v>4.07e-11</v>
      </c>
      <c r="I7463" t="inlineStr">
        <is>
          <t>Nr</t>
        </is>
      </c>
      <c r="J7463" t="inlineStr"/>
      <c r="K7463" t="inlineStr"/>
      <c r="L7463" t="inlineStr">
        <is>
          <t>XP_018615771.1 small acidic protein isoform X2 [Scleropages formosus]</t>
        </is>
      </c>
      <c r="M7463" t="n">
        <v>168</v>
      </c>
      <c r="N7463" t="inlineStr">
        <is>
          <t>Scleropages formosus</t>
        </is>
      </c>
      <c r="O7463" t="inlineStr">
        <is>
          <t>small acidic protein isoform X2</t>
        </is>
      </c>
    </row>
    <row r="7464">
      <c r="A7464" t="inlineStr"/>
      <c r="B7464" t="inlineStr"/>
      <c r="C7464" t="inlineStr"/>
      <c r="D7464" t="inlineStr"/>
      <c r="E7464">
        <f>HYPERLINK("https://www.ncbi.nlm.nih.gov/gene/?term=XP_018615766.1", "XP_018615766.1")</f>
        <v/>
      </c>
      <c r="F7464" t="n">
        <v>76.3</v>
      </c>
      <c r="G7464" t="n">
        <v>38</v>
      </c>
      <c r="H7464" t="n">
        <v>4.15e-11</v>
      </c>
      <c r="I7464" t="inlineStr">
        <is>
          <t>Nr</t>
        </is>
      </c>
      <c r="J7464" t="inlineStr"/>
      <c r="K7464" t="inlineStr"/>
      <c r="L7464" t="inlineStr">
        <is>
          <t>XP_018615766.1 small acidic protein isoform X1 [Scleropages formosus]</t>
        </is>
      </c>
      <c r="M7464" t="n">
        <v>169</v>
      </c>
      <c r="N7464" t="inlineStr">
        <is>
          <t>Scleropages formosus</t>
        </is>
      </c>
      <c r="O7464" t="inlineStr">
        <is>
          <t>small acidic protein isoform X1</t>
        </is>
      </c>
    </row>
    <row r="7465">
      <c r="A7465" t="inlineStr"/>
      <c r="B7465" t="inlineStr"/>
      <c r="C7465" t="inlineStr"/>
      <c r="D7465" t="inlineStr"/>
      <c r="E7465">
        <f>HYPERLINK("https://www.ncbi.nlm.nih.gov/gene/?term=RXN05470.1", "RXN05470.1")</f>
        <v/>
      </c>
      <c r="F7465" t="n">
        <v>60.8</v>
      </c>
      <c r="G7465" t="n">
        <v>51</v>
      </c>
      <c r="H7465" t="n">
        <v>4.31e-11</v>
      </c>
      <c r="I7465" t="inlineStr">
        <is>
          <t>Nr</t>
        </is>
      </c>
      <c r="J7465" t="inlineStr"/>
      <c r="K7465" t="inlineStr"/>
      <c r="L7465" t="inlineStr">
        <is>
          <t>RXN05470.1 small acidic [Labeo rohita]</t>
        </is>
      </c>
      <c r="M7465" t="n">
        <v>171</v>
      </c>
      <c r="N7465" t="inlineStr">
        <is>
          <t>Labeo rohita</t>
        </is>
      </c>
      <c r="O7465" t="inlineStr">
        <is>
          <t>small acidic</t>
        </is>
      </c>
    </row>
    <row r="7466">
      <c r="A7466" t="inlineStr"/>
      <c r="B7466" t="inlineStr"/>
      <c r="C7466" t="inlineStr"/>
      <c r="D7466" t="inlineStr"/>
      <c r="E7466">
        <f>HYPERLINK("https://www.ncbi.nlm.nih.gov/gene/?term=XP_026086739.1", "XP_026086739.1")</f>
        <v/>
      </c>
      <c r="F7466" t="n">
        <v>72.5</v>
      </c>
      <c r="G7466" t="n">
        <v>40</v>
      </c>
      <c r="H7466" t="n">
        <v>4.31e-11</v>
      </c>
      <c r="I7466" t="inlineStr">
        <is>
          <t>Nr</t>
        </is>
      </c>
      <c r="J7466" t="inlineStr"/>
      <c r="K7466" t="inlineStr"/>
      <c r="L7466" t="inlineStr">
        <is>
          <t>XP_026086739.1 small acidic protein-like [Carassius auratus]</t>
        </is>
      </c>
      <c r="M7466" t="n">
        <v>171</v>
      </c>
      <c r="N7466" t="inlineStr">
        <is>
          <t>Carassius auratus</t>
        </is>
      </c>
      <c r="O7466" t="inlineStr">
        <is>
          <t>small acidic protein-like</t>
        </is>
      </c>
    </row>
    <row r="7467">
      <c r="A7467" t="inlineStr"/>
      <c r="B7467" t="inlineStr"/>
      <c r="C7467" t="inlineStr"/>
      <c r="D7467" t="inlineStr"/>
      <c r="E7467">
        <f>HYPERLINK("https://www.ncbi.nlm.nih.gov/gene/?term=XP_052387725.1", "XP_052387725.1")</f>
        <v/>
      </c>
      <c r="F7467" t="n">
        <v>72.5</v>
      </c>
      <c r="G7467" t="n">
        <v>40</v>
      </c>
      <c r="H7467" t="n">
        <v>4.31e-11</v>
      </c>
      <c r="I7467" t="inlineStr">
        <is>
          <t>Nr</t>
        </is>
      </c>
      <c r="J7467" t="inlineStr"/>
      <c r="K7467" t="inlineStr"/>
      <c r="L7467" t="inlineStr">
        <is>
          <t>XP_052387725.1 small acidic protein-like [Carassius gibelio]</t>
        </is>
      </c>
      <c r="M7467" t="n">
        <v>171</v>
      </c>
      <c r="N7467" t="inlineStr">
        <is>
          <t>Carassius gibelio</t>
        </is>
      </c>
      <c r="O7467" t="inlineStr">
        <is>
          <t>small acidic protein-like</t>
        </is>
      </c>
    </row>
    <row r="7468">
      <c r="A7468" t="inlineStr"/>
      <c r="B7468" t="inlineStr"/>
      <c r="C7468" t="inlineStr"/>
      <c r="D7468" t="inlineStr"/>
      <c r="E7468">
        <f>HYPERLINK("https://www.ncbi.nlm.nih.gov/gene/?term=NXU43952.1", "NXU43952.1")</f>
        <v/>
      </c>
      <c r="F7468" t="n">
        <v>75</v>
      </c>
      <c r="G7468" t="n">
        <v>40</v>
      </c>
      <c r="H7468" t="n">
        <v>4.46e-11</v>
      </c>
      <c r="I7468" t="inlineStr">
        <is>
          <t>Nr</t>
        </is>
      </c>
      <c r="J7468" t="inlineStr"/>
      <c r="K7468" t="inlineStr"/>
      <c r="L7468" t="inlineStr">
        <is>
          <t>NXU43952.1 SMAP protein [Drymodes brunneopygia]</t>
        </is>
      </c>
      <c r="M7468" t="n">
        <v>124</v>
      </c>
      <c r="N7468" t="inlineStr">
        <is>
          <t>Drymodes brunneopygia</t>
        </is>
      </c>
      <c r="O7468" t="inlineStr">
        <is>
          <t>SMAP protein</t>
        </is>
      </c>
    </row>
    <row r="7469">
      <c r="A7469" t="inlineStr"/>
      <c r="B7469" t="inlineStr"/>
      <c r="C7469" t="inlineStr"/>
      <c r="D7469" t="inlineStr"/>
      <c r="E7469">
        <f>HYPERLINK("https://www.uniprot.org/uniprotkb/Q3MHL8/entry", "Q3MHL8")</f>
        <v/>
      </c>
      <c r="F7469" t="n">
        <v>75.8</v>
      </c>
      <c r="G7469" t="n">
        <v>33</v>
      </c>
      <c r="H7469" t="n">
        <v>2.38e-10</v>
      </c>
      <c r="I7469" t="inlineStr">
        <is>
          <t>Swiss-Prot</t>
        </is>
      </c>
      <c r="J7469" t="inlineStr">
        <is>
          <t>SMAP</t>
        </is>
      </c>
      <c r="K7469" t="inlineStr">
        <is>
          <t>SMAP_BOVIN</t>
        </is>
      </c>
      <c r="L7469" t="inlineStr">
        <is>
          <t>sp|Q3MHL8|SMAP_BOVIN Small acidic protein OS=Bos taurus OX=9913 GN=SMAP PE=2 SV=1</t>
        </is>
      </c>
      <c r="M7469" t="n">
        <v>181</v>
      </c>
      <c r="N7469" t="inlineStr">
        <is>
          <t>Bos taurus</t>
        </is>
      </c>
      <c r="O7469" t="inlineStr">
        <is>
          <t>Small acidic protein</t>
        </is>
      </c>
    </row>
    <row r="7470">
      <c r="A7470" t="inlineStr"/>
      <c r="B7470" t="inlineStr"/>
      <c r="C7470" t="inlineStr"/>
      <c r="D7470" t="inlineStr"/>
      <c r="E7470">
        <f>HYPERLINK("https://www.uniprot.org/uniprotkb/Q9R0P4/entry", "Q9R0P4")</f>
        <v/>
      </c>
      <c r="F7470" t="n">
        <v>72.7</v>
      </c>
      <c r="G7470" t="n">
        <v>33</v>
      </c>
      <c r="H7470" t="n">
        <v>9.07e-10</v>
      </c>
      <c r="I7470" t="inlineStr">
        <is>
          <t>Swiss-Prot</t>
        </is>
      </c>
      <c r="J7470" t="inlineStr">
        <is>
          <t>Smap</t>
        </is>
      </c>
      <c r="K7470" t="inlineStr">
        <is>
          <t>SMAP_MOUSE</t>
        </is>
      </c>
      <c r="L7470" t="inlineStr">
        <is>
          <t>sp|Q9R0P4|SMAP_MOUSE Small acidic protein OS=Mus musculus OX=10090 GN=Smap PE=1 SV=1</t>
        </is>
      </c>
      <c r="M7470" t="n">
        <v>181</v>
      </c>
      <c r="N7470" t="inlineStr">
        <is>
          <t>Mus musculus</t>
        </is>
      </c>
      <c r="O7470" t="inlineStr">
        <is>
          <t>Small acidic protein</t>
        </is>
      </c>
    </row>
    <row r="7471">
      <c r="A7471" t="inlineStr"/>
      <c r="B7471" t="inlineStr"/>
      <c r="C7471" t="inlineStr"/>
      <c r="D7471" t="inlineStr"/>
      <c r="E7471">
        <f>HYPERLINK("https://www.uniprot.org/uniprotkb/O00193/entry", "O00193")</f>
        <v/>
      </c>
      <c r="F7471" t="n">
        <v>72.7</v>
      </c>
      <c r="G7471" t="n">
        <v>33</v>
      </c>
      <c r="H7471" t="n">
        <v>9.33e-10</v>
      </c>
      <c r="I7471" t="inlineStr">
        <is>
          <t>Swiss-Prot</t>
        </is>
      </c>
      <c r="J7471" t="inlineStr">
        <is>
          <t>SMAP</t>
        </is>
      </c>
      <c r="K7471" t="inlineStr">
        <is>
          <t>SMAP_HUMAN</t>
        </is>
      </c>
      <c r="L7471" t="inlineStr">
        <is>
          <t>sp|O00193|SMAP_HUMAN Small acidic protein OS=Homo sapiens OX=9606 GN=SMAP PE=1 SV=1</t>
        </is>
      </c>
      <c r="M7471" t="n">
        <v>183</v>
      </c>
      <c r="N7471" t="inlineStr">
        <is>
          <t>Homo sapiens</t>
        </is>
      </c>
      <c r="O7471" t="inlineStr">
        <is>
          <t>Small acidic protein</t>
        </is>
      </c>
    </row>
    <row r="7472">
      <c r="A7472" t="inlineStr"/>
      <c r="B7472" t="inlineStr"/>
      <c r="C7472" t="inlineStr"/>
      <c r="D7472" t="inlineStr"/>
      <c r="E7472">
        <f>HYPERLINK("https://www.uniprot.org/uniprotkb/Q5RD18/entry", "Q5RD18")</f>
        <v/>
      </c>
      <c r="F7472" t="n">
        <v>72.7</v>
      </c>
      <c r="G7472" t="n">
        <v>33</v>
      </c>
      <c r="H7472" t="n">
        <v>9.33e-10</v>
      </c>
      <c r="I7472" t="inlineStr">
        <is>
          <t>Swiss-Prot</t>
        </is>
      </c>
      <c r="J7472" t="inlineStr">
        <is>
          <t>SMAP</t>
        </is>
      </c>
      <c r="K7472" t="inlineStr">
        <is>
          <t>SMAP_PONAB</t>
        </is>
      </c>
      <c r="L7472" t="inlineStr">
        <is>
          <t>sp|Q5RD18|SMAP_PONAB Small acidic protein OS=Pongo abelii OX=9601 GN=SMAP PE=2 SV=1</t>
        </is>
      </c>
      <c r="M7472" t="n">
        <v>183</v>
      </c>
      <c r="N7472" t="inlineStr">
        <is>
          <t>Pongo abelii</t>
        </is>
      </c>
      <c r="O7472" t="inlineStr">
        <is>
          <t>Small acidic protein</t>
        </is>
      </c>
    </row>
    <row r="7473">
      <c r="A7473" t="inlineStr">
        <is>
          <t>NODE_51545_length_2924_cov_338.634232_g11790_i8</t>
        </is>
      </c>
      <c r="B7473" t="inlineStr">
        <is>
          <t>bombina_pachypus_blastx</t>
        </is>
      </c>
      <c r="C7473" t="n">
        <v>8.44168500729954</v>
      </c>
      <c r="D7473" t="n">
        <v>1.8964945906817e-06</v>
      </c>
      <c r="E7473">
        <f>HYPERLINK("https://www.ncbi.nlm.nih.gov/gene/?term=OCT99923.1", "OCT99923.1")</f>
        <v/>
      </c>
      <c r="F7473" t="n">
        <v>44.1</v>
      </c>
      <c r="G7473" t="n">
        <v>204</v>
      </c>
      <c r="H7473" t="n">
        <v>2.36e-51</v>
      </c>
      <c r="I7473" t="inlineStr">
        <is>
          <t>Nr</t>
        </is>
      </c>
      <c r="J7473" t="inlineStr"/>
      <c r="K7473" t="inlineStr"/>
      <c r="L7473" t="inlineStr">
        <is>
          <t>OCT99923.1 hypothetical protein XELAEV_18005707mg, partial [Xenopus laevis]</t>
        </is>
      </c>
      <c r="M7473" t="n">
        <v>219</v>
      </c>
      <c r="N7473" t="inlineStr">
        <is>
          <t>Xenopus laevis</t>
        </is>
      </c>
      <c r="O7473" t="inlineStr">
        <is>
          <t>hypothetical protein XELAEV_18005707mg, partial</t>
        </is>
      </c>
    </row>
    <row r="7474">
      <c r="A7474" t="inlineStr"/>
      <c r="B7474" t="inlineStr"/>
      <c r="C7474" t="inlineStr"/>
      <c r="D7474" t="inlineStr"/>
      <c r="E7474">
        <f>HYPERLINK("https://www.uniprot.org/uniprotkb/A0A8J1IRY3/entry", "A0A8J1IRY3")</f>
        <v/>
      </c>
      <c r="F7474" t="n">
        <v>46.7</v>
      </c>
      <c r="G7474" t="n">
        <v>182</v>
      </c>
      <c r="H7474" t="n">
        <v>1.54e-48</v>
      </c>
      <c r="I7474" t="inlineStr">
        <is>
          <t>TrEMBL</t>
        </is>
      </c>
      <c r="J7474" t="inlineStr">
        <is>
          <t>LOC116406709</t>
        </is>
      </c>
      <c r="K7474" t="inlineStr">
        <is>
          <t>A0A8J1IRY3_XENTR</t>
        </is>
      </c>
      <c r="L7474" t="inlineStr">
        <is>
          <t>tr|A0A8J1IRY3|A0A8J1IRY3_XENTR hornerin-like isoform X2 OS=Xenopus tropicalis OX=8364 GN=LOC116406709 PE=4 SV=1</t>
        </is>
      </c>
      <c r="M7474" t="n">
        <v>705</v>
      </c>
      <c r="N7474" t="inlineStr">
        <is>
          <t>Xenopus tropicalis</t>
        </is>
      </c>
      <c r="O7474" t="inlineStr">
        <is>
          <t>hornerin-like isoform X2</t>
        </is>
      </c>
    </row>
    <row r="7475">
      <c r="A7475" t="inlineStr"/>
      <c r="B7475" t="inlineStr"/>
      <c r="C7475" t="inlineStr"/>
      <c r="D7475" t="inlineStr"/>
      <c r="E7475">
        <f>HYPERLINK("https://www.uniprot.org/uniprotkb/A0A8J1KWG8/entry", "A0A8J1KWG8")</f>
        <v/>
      </c>
      <c r="F7475" t="n">
        <v>42.9</v>
      </c>
      <c r="G7475" t="n">
        <v>184</v>
      </c>
      <c r="H7475" t="n">
        <v>2.18e-48</v>
      </c>
      <c r="I7475" t="inlineStr">
        <is>
          <t>TrEMBL</t>
        </is>
      </c>
      <c r="J7475" t="inlineStr">
        <is>
          <t>LOC121394254</t>
        </is>
      </c>
      <c r="K7475" t="inlineStr">
        <is>
          <t>A0A8J1KWG8_XENLA</t>
        </is>
      </c>
      <c r="L7475" t="inlineStr">
        <is>
          <t>tr|A0A8J1KWG8|A0A8J1KWG8_XENLA uncharacterized protein LOC121394254 OS=Xenopus laevis OX=8355 GN=LOC121394254 PE=4 SV=1</t>
        </is>
      </c>
      <c r="M7475" t="n">
        <v>235</v>
      </c>
      <c r="N7475" t="inlineStr">
        <is>
          <t>Xenopus laevis</t>
        </is>
      </c>
      <c r="O7475" t="inlineStr">
        <is>
          <t>uncharacterized protein LOC121394254</t>
        </is>
      </c>
    </row>
    <row r="7476">
      <c r="A7476" t="inlineStr"/>
      <c r="B7476" t="inlineStr"/>
      <c r="C7476" t="inlineStr"/>
      <c r="D7476" t="inlineStr"/>
      <c r="E7476">
        <f>HYPERLINK("https://www.ncbi.nlm.nih.gov/gene/?term=XP_031747246.1", "XP_031747246.1")</f>
        <v/>
      </c>
      <c r="F7476" t="n">
        <v>46.7</v>
      </c>
      <c r="G7476" t="n">
        <v>182</v>
      </c>
      <c r="H7476" t="n">
        <v>3.959999999999999e-48</v>
      </c>
      <c r="I7476" t="inlineStr">
        <is>
          <t>Nr</t>
        </is>
      </c>
      <c r="J7476" t="inlineStr"/>
      <c r="K7476" t="inlineStr"/>
      <c r="L7476" t="inlineStr">
        <is>
          <t>XP_031747246.1 hornerin-like isoform X2 [Xenopus tropicalis]</t>
        </is>
      </c>
      <c r="M7476" t="n">
        <v>705</v>
      </c>
      <c r="N7476" t="inlineStr">
        <is>
          <t>Xenopus tropicalis</t>
        </is>
      </c>
      <c r="O7476" t="inlineStr">
        <is>
          <t>hornerin-like isoform X2</t>
        </is>
      </c>
    </row>
    <row r="7477">
      <c r="A7477" t="inlineStr"/>
      <c r="B7477" t="inlineStr"/>
      <c r="C7477" t="inlineStr"/>
      <c r="D7477" t="inlineStr"/>
      <c r="E7477">
        <f>HYPERLINK("https://www.ncbi.nlm.nih.gov/gene/?term=OCT91926.1", "OCT91926.1")</f>
        <v/>
      </c>
      <c r="F7477" t="n">
        <v>45.5</v>
      </c>
      <c r="G7477" t="n">
        <v>178</v>
      </c>
      <c r="H7477" t="n">
        <v>5.449999999999999e-48</v>
      </c>
      <c r="I7477" t="inlineStr">
        <is>
          <t>Nr</t>
        </is>
      </c>
      <c r="J7477" t="inlineStr"/>
      <c r="K7477" t="inlineStr"/>
      <c r="L7477" t="inlineStr">
        <is>
          <t>OCT91926.1 hypothetical protein XELAEV_18014983mg, partial [Xenopus laevis]</t>
        </is>
      </c>
      <c r="M7477" t="n">
        <v>246</v>
      </c>
      <c r="N7477" t="inlineStr">
        <is>
          <t>Xenopus laevis</t>
        </is>
      </c>
      <c r="O7477" t="inlineStr">
        <is>
          <t>hypothetical protein XELAEV_18014983mg, partial</t>
        </is>
      </c>
    </row>
    <row r="7478">
      <c r="A7478" t="inlineStr"/>
      <c r="B7478" t="inlineStr"/>
      <c r="C7478" t="inlineStr"/>
      <c r="D7478" t="inlineStr"/>
      <c r="E7478">
        <f>HYPERLINK("https://www.ncbi.nlm.nih.gov/gene/?term=XP_041420599.1", "XP_041420599.1")</f>
        <v/>
      </c>
      <c r="F7478" t="n">
        <v>42.9</v>
      </c>
      <c r="G7478" t="n">
        <v>184</v>
      </c>
      <c r="H7478" t="n">
        <v>5.6e-48</v>
      </c>
      <c r="I7478" t="inlineStr">
        <is>
          <t>Nr</t>
        </is>
      </c>
      <c r="J7478" t="inlineStr"/>
      <c r="K7478" t="inlineStr"/>
      <c r="L7478" t="inlineStr">
        <is>
          <t>XP_041420599.1 uncharacterized protein LOC121394254 [Xenopus laevis]</t>
        </is>
      </c>
      <c r="M7478" t="n">
        <v>235</v>
      </c>
      <c r="N7478" t="inlineStr">
        <is>
          <t>Xenopus laevis</t>
        </is>
      </c>
      <c r="O7478" t="inlineStr">
        <is>
          <t>uncharacterized protein LOC121394254</t>
        </is>
      </c>
    </row>
    <row r="7479">
      <c r="A7479" t="inlineStr"/>
      <c r="B7479" t="inlineStr"/>
      <c r="C7479" t="inlineStr"/>
      <c r="D7479" t="inlineStr"/>
      <c r="E7479">
        <f>HYPERLINK("https://www.ncbi.nlm.nih.gov/gene/?term=OCT55985.1", "OCT55985.1")</f>
        <v/>
      </c>
      <c r="F7479" t="n">
        <v>47.1</v>
      </c>
      <c r="G7479" t="n">
        <v>174</v>
      </c>
      <c r="H7479" t="n">
        <v>2.12e-47</v>
      </c>
      <c r="I7479" t="inlineStr">
        <is>
          <t>Nr</t>
        </is>
      </c>
      <c r="J7479" t="inlineStr"/>
      <c r="K7479" t="inlineStr"/>
      <c r="L7479" t="inlineStr">
        <is>
          <t>OCT55985.1 hypothetical protein XELAEV_18004116mg, partial [Xenopus laevis]</t>
        </is>
      </c>
      <c r="M7479" t="n">
        <v>198</v>
      </c>
      <c r="N7479" t="inlineStr">
        <is>
          <t>Xenopus laevis</t>
        </is>
      </c>
      <c r="O7479" t="inlineStr">
        <is>
          <t>hypothetical protein XELAEV_18004116mg, partial</t>
        </is>
      </c>
    </row>
    <row r="7480">
      <c r="A7480" t="inlineStr"/>
      <c r="B7480" t="inlineStr"/>
      <c r="C7480" t="inlineStr"/>
      <c r="D7480" t="inlineStr"/>
      <c r="E7480">
        <f>HYPERLINK("https://www.uniprot.org/uniprotkb/A0A8J1JHZ1/entry", "A0A8J1JHZ1")</f>
        <v/>
      </c>
      <c r="F7480" t="n">
        <v>47</v>
      </c>
      <c r="G7480" t="n">
        <v>183</v>
      </c>
      <c r="H7480" t="n">
        <v>5.18e-47</v>
      </c>
      <c r="I7480" t="inlineStr">
        <is>
          <t>TrEMBL</t>
        </is>
      </c>
      <c r="J7480" t="inlineStr">
        <is>
          <t>LOC116410394</t>
        </is>
      </c>
      <c r="K7480" t="inlineStr">
        <is>
          <t>A0A8J1JHZ1_XENTR</t>
        </is>
      </c>
      <c r="L7480" t="inlineStr">
        <is>
          <t>tr|A0A8J1JHZ1|A0A8J1JHZ1_XENTR mucin-19-like OS=Xenopus tropicalis OX=8364 GN=LOC116410394 PE=4 SV=1</t>
        </is>
      </c>
      <c r="M7480" t="n">
        <v>636</v>
      </c>
      <c r="N7480" t="inlineStr">
        <is>
          <t>Xenopus tropicalis</t>
        </is>
      </c>
      <c r="O7480" t="inlineStr">
        <is>
          <t>mucin-19-like</t>
        </is>
      </c>
    </row>
    <row r="7481">
      <c r="A7481" t="inlineStr"/>
      <c r="B7481" t="inlineStr"/>
      <c r="C7481" t="inlineStr"/>
      <c r="D7481" t="inlineStr"/>
      <c r="E7481">
        <f>HYPERLINK("https://www.ncbi.nlm.nih.gov/gene/?term=XP_031756635.1", "XP_031756635.1")</f>
        <v/>
      </c>
      <c r="F7481" t="n">
        <v>47</v>
      </c>
      <c r="G7481" t="n">
        <v>183</v>
      </c>
      <c r="H7481" t="n">
        <v>1.33e-46</v>
      </c>
      <c r="I7481" t="inlineStr">
        <is>
          <t>Nr</t>
        </is>
      </c>
      <c r="J7481" t="inlineStr"/>
      <c r="K7481" t="inlineStr"/>
      <c r="L7481" t="inlineStr">
        <is>
          <t>XP_031756635.1 mucin-19-like [Xenopus tropicalis]</t>
        </is>
      </c>
      <c r="M7481" t="n">
        <v>636</v>
      </c>
      <c r="N7481" t="inlineStr">
        <is>
          <t>Xenopus tropicalis</t>
        </is>
      </c>
      <c r="O7481" t="inlineStr">
        <is>
          <t>mucin-19-like</t>
        </is>
      </c>
    </row>
    <row r="7482">
      <c r="A7482" t="inlineStr"/>
      <c r="B7482" t="inlineStr"/>
      <c r="C7482" t="inlineStr"/>
      <c r="D7482" t="inlineStr"/>
      <c r="E7482">
        <f>HYPERLINK("https://www.ncbi.nlm.nih.gov/gene/?term=OCT78430.1", "OCT78430.1")</f>
        <v/>
      </c>
      <c r="F7482" t="n">
        <v>45.9</v>
      </c>
      <c r="G7482" t="n">
        <v>170</v>
      </c>
      <c r="H7482" t="n">
        <v>1.55e-46</v>
      </c>
      <c r="I7482" t="inlineStr">
        <is>
          <t>Nr</t>
        </is>
      </c>
      <c r="J7482" t="inlineStr"/>
      <c r="K7482" t="inlineStr"/>
      <c r="L7482" t="inlineStr">
        <is>
          <t>OCT78430.1 hypothetical protein XELAEV_18029527mg [Xenopus laevis]</t>
        </is>
      </c>
      <c r="M7482" t="n">
        <v>279</v>
      </c>
      <c r="N7482" t="inlineStr">
        <is>
          <t>Xenopus laevis</t>
        </is>
      </c>
      <c r="O7482" t="inlineStr">
        <is>
          <t>hypothetical protein XELAEV_18029527mg</t>
        </is>
      </c>
    </row>
    <row r="7483">
      <c r="A7483" t="inlineStr"/>
      <c r="B7483" t="inlineStr"/>
      <c r="C7483" t="inlineStr"/>
      <c r="D7483" t="inlineStr"/>
      <c r="E7483">
        <f>HYPERLINK("https://www.uniprot.org/uniprotkb/A0A8J1KP48/entry", "A0A8J1KP48")</f>
        <v/>
      </c>
      <c r="F7483" t="n">
        <v>42.9</v>
      </c>
      <c r="G7483" t="n">
        <v>184</v>
      </c>
      <c r="H7483" t="n">
        <v>2.37e-46</v>
      </c>
      <c r="I7483" t="inlineStr">
        <is>
          <t>TrEMBL</t>
        </is>
      </c>
      <c r="J7483" t="inlineStr">
        <is>
          <t>LOC121393507</t>
        </is>
      </c>
      <c r="K7483" t="inlineStr">
        <is>
          <t>A0A8J1KP48_XENLA</t>
        </is>
      </c>
      <c r="L7483" t="inlineStr">
        <is>
          <t>tr|A0A8J1KP48|A0A8J1KP48_XENLA uncharacterized protein LOC121393507 OS=Xenopus laevis OX=8355 GN=LOC121393507 PE=4 SV=1</t>
        </is>
      </c>
      <c r="M7483" t="n">
        <v>421</v>
      </c>
      <c r="N7483" t="inlineStr">
        <is>
          <t>Xenopus laevis</t>
        </is>
      </c>
      <c r="O7483" t="inlineStr">
        <is>
          <t>uncharacterized protein LOC121393507</t>
        </is>
      </c>
    </row>
    <row r="7484">
      <c r="A7484" t="inlineStr"/>
      <c r="B7484" t="inlineStr"/>
      <c r="C7484" t="inlineStr"/>
      <c r="D7484" t="inlineStr"/>
      <c r="E7484">
        <f>HYPERLINK("https://www.ncbi.nlm.nih.gov/gene/?term=XP_041418009.1", "XP_041418009.1")</f>
        <v/>
      </c>
      <c r="F7484" t="n">
        <v>42.9</v>
      </c>
      <c r="G7484" t="n">
        <v>184</v>
      </c>
      <c r="H7484" t="n">
        <v>6.079999999999999e-46</v>
      </c>
      <c r="I7484" t="inlineStr">
        <is>
          <t>Nr</t>
        </is>
      </c>
      <c r="J7484" t="inlineStr"/>
      <c r="K7484" t="inlineStr"/>
      <c r="L7484" t="inlineStr">
        <is>
          <t>XP_041418009.1 uncharacterized protein LOC121393507 [Xenopus laevis]</t>
        </is>
      </c>
      <c r="M7484" t="n">
        <v>421</v>
      </c>
      <c r="N7484" t="inlineStr">
        <is>
          <t>Xenopus laevis</t>
        </is>
      </c>
      <c r="O7484" t="inlineStr">
        <is>
          <t>uncharacterized protein LOC121393507</t>
        </is>
      </c>
    </row>
    <row r="7485">
      <c r="A7485" t="inlineStr"/>
      <c r="B7485" t="inlineStr"/>
      <c r="C7485" t="inlineStr"/>
      <c r="D7485" t="inlineStr"/>
      <c r="E7485">
        <f>HYPERLINK("https://www.ncbi.nlm.nih.gov/gene/?term=OCT89953.1", "OCT89953.1")</f>
        <v/>
      </c>
      <c r="F7485" t="n">
        <v>44.4</v>
      </c>
      <c r="G7485" t="n">
        <v>178</v>
      </c>
      <c r="H7485" t="n">
        <v>6.86e-46</v>
      </c>
      <c r="I7485" t="inlineStr">
        <is>
          <t>Nr</t>
        </is>
      </c>
      <c r="J7485" t="inlineStr"/>
      <c r="K7485" t="inlineStr"/>
      <c r="L7485" t="inlineStr">
        <is>
          <t>OCT89953.1 hypothetical protein XELAEV_18018568mg, partial [Xenopus laevis]</t>
        </is>
      </c>
      <c r="M7485" t="n">
        <v>198</v>
      </c>
      <c r="N7485" t="inlineStr">
        <is>
          <t>Xenopus laevis</t>
        </is>
      </c>
      <c r="O7485" t="inlineStr">
        <is>
          <t>hypothetical protein XELAEV_18018568mg, partial</t>
        </is>
      </c>
    </row>
    <row r="7486">
      <c r="A7486" t="inlineStr"/>
      <c r="B7486" t="inlineStr"/>
      <c r="C7486" t="inlineStr"/>
      <c r="D7486" t="inlineStr"/>
      <c r="E7486">
        <f>HYPERLINK("https://www.uniprot.org/uniprotkb/A0A8J1MHE4/entry", "A0A8J1MHE4")</f>
        <v/>
      </c>
      <c r="F7486" t="n">
        <v>42.4</v>
      </c>
      <c r="G7486" t="n">
        <v>184</v>
      </c>
      <c r="H7486" t="n">
        <v>7.16e-46</v>
      </c>
      <c r="I7486" t="inlineStr">
        <is>
          <t>TrEMBL</t>
        </is>
      </c>
      <c r="J7486" t="inlineStr">
        <is>
          <t>LOC121400934</t>
        </is>
      </c>
      <c r="K7486" t="inlineStr">
        <is>
          <t>A0A8J1MHE4_XENLA</t>
        </is>
      </c>
      <c r="L7486" t="inlineStr">
        <is>
          <t>tr|A0A8J1MHE4|A0A8J1MHE4_XENLA uncharacterized protein LOC121400934 OS=Xenopus laevis OX=8355 GN=LOC121400934 PE=4 SV=1</t>
        </is>
      </c>
      <c r="M7486" t="n">
        <v>409</v>
      </c>
      <c r="N7486" t="inlineStr">
        <is>
          <t>Xenopus laevis</t>
        </is>
      </c>
      <c r="O7486" t="inlineStr">
        <is>
          <t>uncharacterized protein LOC121400934</t>
        </is>
      </c>
    </row>
    <row r="7487">
      <c r="A7487" t="inlineStr"/>
      <c r="B7487" t="inlineStr"/>
      <c r="C7487" t="inlineStr"/>
      <c r="D7487" t="inlineStr"/>
      <c r="E7487">
        <f>HYPERLINK("https://www.ncbi.nlm.nih.gov/gene/?term=OCT57528.1", "OCT57528.1")</f>
        <v/>
      </c>
      <c r="F7487" t="n">
        <v>43.3</v>
      </c>
      <c r="G7487" t="n">
        <v>178</v>
      </c>
      <c r="H7487" t="n">
        <v>1.37e-45</v>
      </c>
      <c r="I7487" t="inlineStr">
        <is>
          <t>Nr</t>
        </is>
      </c>
      <c r="J7487" t="inlineStr"/>
      <c r="K7487" t="inlineStr"/>
      <c r="L7487" t="inlineStr">
        <is>
          <t>OCT57528.1 hypothetical protein XELAEV_18003406mg, partial [Xenopus laevis]</t>
        </is>
      </c>
      <c r="M7487" t="n">
        <v>198</v>
      </c>
      <c r="N7487" t="inlineStr">
        <is>
          <t>Xenopus laevis</t>
        </is>
      </c>
      <c r="O7487" t="inlineStr">
        <is>
          <t>hypothetical protein XELAEV_18003406mg, partial</t>
        </is>
      </c>
    </row>
    <row r="7488">
      <c r="A7488" t="inlineStr"/>
      <c r="B7488" t="inlineStr"/>
      <c r="C7488" t="inlineStr"/>
      <c r="D7488" t="inlineStr"/>
      <c r="E7488">
        <f>HYPERLINK("https://www.ncbi.nlm.nih.gov/gene/?term=XP_041440943.1", "XP_041440943.1")</f>
        <v/>
      </c>
      <c r="F7488" t="n">
        <v>42.4</v>
      </c>
      <c r="G7488" t="n">
        <v>184</v>
      </c>
      <c r="H7488" t="n">
        <v>1.84e-45</v>
      </c>
      <c r="I7488" t="inlineStr">
        <is>
          <t>Nr</t>
        </is>
      </c>
      <c r="J7488" t="inlineStr"/>
      <c r="K7488" t="inlineStr"/>
      <c r="L7488" t="inlineStr">
        <is>
          <t>XP_041440943.1 uncharacterized protein LOC121400934 [Xenopus laevis]</t>
        </is>
      </c>
      <c r="M7488" t="n">
        <v>409</v>
      </c>
      <c r="N7488" t="inlineStr">
        <is>
          <t>Xenopus laevis</t>
        </is>
      </c>
      <c r="O7488" t="inlineStr">
        <is>
          <t>uncharacterized protein LOC121400934</t>
        </is>
      </c>
    </row>
    <row r="7489">
      <c r="A7489" t="inlineStr"/>
      <c r="B7489" t="inlineStr"/>
      <c r="C7489" t="inlineStr"/>
      <c r="D7489" t="inlineStr"/>
      <c r="E7489">
        <f>HYPERLINK("https://www.ncbi.nlm.nih.gov/gene/?term=OCT55780.1", "OCT55780.1")</f>
        <v/>
      </c>
      <c r="F7489" t="n">
        <v>45.4</v>
      </c>
      <c r="G7489" t="n">
        <v>183</v>
      </c>
      <c r="H7489" t="n">
        <v>4.3e-45</v>
      </c>
      <c r="I7489" t="inlineStr">
        <is>
          <t>Nr</t>
        </is>
      </c>
      <c r="J7489" t="inlineStr"/>
      <c r="K7489" t="inlineStr"/>
      <c r="L7489" t="inlineStr">
        <is>
          <t>OCT55780.1 hypothetical protein XELAEV_18004040mg [Xenopus laevis]</t>
        </is>
      </c>
      <c r="M7489" t="n">
        <v>213</v>
      </c>
      <c r="N7489" t="inlineStr">
        <is>
          <t>Xenopus laevis</t>
        </is>
      </c>
      <c r="O7489" t="inlineStr">
        <is>
          <t>hypothetical protein XELAEV_18004040mg</t>
        </is>
      </c>
    </row>
    <row r="7490">
      <c r="A7490" t="inlineStr"/>
      <c r="B7490" t="inlineStr"/>
      <c r="C7490" t="inlineStr"/>
      <c r="D7490" t="inlineStr"/>
      <c r="E7490">
        <f>HYPERLINK("https://www.uniprot.org/uniprotkb/A0A8J1MCS8/entry", "A0A8J1MCS8")</f>
        <v/>
      </c>
      <c r="F7490" t="n">
        <v>44.8</v>
      </c>
      <c r="G7490" t="n">
        <v>183</v>
      </c>
      <c r="H7490" t="n">
        <v>6.11e-45</v>
      </c>
      <c r="I7490" t="inlineStr">
        <is>
          <t>TrEMBL</t>
        </is>
      </c>
      <c r="J7490" t="inlineStr">
        <is>
          <t>LOC121400458</t>
        </is>
      </c>
      <c r="K7490" t="inlineStr">
        <is>
          <t>A0A8J1MCS8_XENLA</t>
        </is>
      </c>
      <c r="L7490" t="inlineStr">
        <is>
          <t>tr|A0A8J1MCS8|A0A8J1MCS8_XENLA uncharacterized protein LOC121400458 isoform X2 OS=Xenopus laevis OX=8355 GN=LOC121400458 PE=4 SV=1</t>
        </is>
      </c>
      <c r="M7490" t="n">
        <v>324</v>
      </c>
      <c r="N7490" t="inlineStr">
        <is>
          <t>Xenopus laevis</t>
        </is>
      </c>
      <c r="O7490" t="inlineStr">
        <is>
          <t>uncharacterized protein LOC121400458 isoform X2</t>
        </is>
      </c>
    </row>
    <row r="7491">
      <c r="A7491" t="inlineStr"/>
      <c r="B7491" t="inlineStr"/>
      <c r="C7491" t="inlineStr"/>
      <c r="D7491" t="inlineStr"/>
      <c r="E7491">
        <f>HYPERLINK("https://www.ncbi.nlm.nih.gov/gene/?term=OCT55986.1", "OCT55986.1")</f>
        <v/>
      </c>
      <c r="F7491" t="n">
        <v>42.8</v>
      </c>
      <c r="G7491" t="n">
        <v>187</v>
      </c>
      <c r="H7491" t="n">
        <v>8.8e-45</v>
      </c>
      <c r="I7491" t="inlineStr">
        <is>
          <t>Nr</t>
        </is>
      </c>
      <c r="J7491" t="inlineStr"/>
      <c r="K7491" t="inlineStr"/>
      <c r="L7491" t="inlineStr">
        <is>
          <t>OCT55986.1 hypothetical protein XELAEV_18004113mg, partial [Xenopus laevis]</t>
        </is>
      </c>
      <c r="M7491" t="n">
        <v>202</v>
      </c>
      <c r="N7491" t="inlineStr">
        <is>
          <t>Xenopus laevis</t>
        </is>
      </c>
      <c r="O7491" t="inlineStr">
        <is>
          <t>hypothetical protein XELAEV_18004113mg, partial</t>
        </is>
      </c>
    </row>
    <row r="7492">
      <c r="A7492" t="inlineStr"/>
      <c r="B7492" t="inlineStr"/>
      <c r="C7492" t="inlineStr"/>
      <c r="D7492" t="inlineStr"/>
      <c r="E7492">
        <f>HYPERLINK("https://www.ncbi.nlm.nih.gov/gene/?term=OCT78192.1", "OCT78192.1")</f>
        <v/>
      </c>
      <c r="F7492" t="n">
        <v>42</v>
      </c>
      <c r="G7492" t="n">
        <v>176</v>
      </c>
      <c r="H7492" t="n">
        <v>9.66e-45</v>
      </c>
      <c r="I7492" t="inlineStr">
        <is>
          <t>Nr</t>
        </is>
      </c>
      <c r="J7492" t="inlineStr"/>
      <c r="K7492" t="inlineStr"/>
      <c r="L7492" t="inlineStr">
        <is>
          <t>OCT78192.1 hypothetical protein XELAEV_18029300mg, partial [Xenopus laevis]</t>
        </is>
      </c>
      <c r="M7492" t="n">
        <v>182</v>
      </c>
      <c r="N7492" t="inlineStr">
        <is>
          <t>Xenopus laevis</t>
        </is>
      </c>
      <c r="O7492" t="inlineStr">
        <is>
          <t>hypothetical protein XELAEV_18029300mg, partial</t>
        </is>
      </c>
    </row>
    <row r="7493">
      <c r="A7493" t="inlineStr"/>
      <c r="B7493" t="inlineStr"/>
      <c r="C7493" t="inlineStr"/>
      <c r="D7493" t="inlineStr"/>
      <c r="E7493">
        <f>HYPERLINK("https://www.ncbi.nlm.nih.gov/gene/?term=XP_041439528.1", "XP_041439528.1")</f>
        <v/>
      </c>
      <c r="F7493" t="n">
        <v>44.8</v>
      </c>
      <c r="G7493" t="n">
        <v>183</v>
      </c>
      <c r="H7493" t="n">
        <v>1.57e-44</v>
      </c>
      <c r="I7493" t="inlineStr">
        <is>
          <t>Nr</t>
        </is>
      </c>
      <c r="J7493" t="inlineStr"/>
      <c r="K7493" t="inlineStr"/>
      <c r="L7493" t="inlineStr">
        <is>
          <t>XP_041439528.1 uncharacterized protein LOC121400458 isoform X2 [Xenopus laevis]</t>
        </is>
      </c>
      <c r="M7493" t="n">
        <v>324</v>
      </c>
      <c r="N7493" t="inlineStr">
        <is>
          <t>Xenopus laevis</t>
        </is>
      </c>
      <c r="O7493" t="inlineStr">
        <is>
          <t>uncharacterized protein LOC121400458 isoform X2</t>
        </is>
      </c>
    </row>
    <row r="7494">
      <c r="A7494" t="inlineStr"/>
      <c r="B7494" t="inlineStr"/>
      <c r="C7494" t="inlineStr"/>
      <c r="D7494" t="inlineStr"/>
      <c r="E7494">
        <f>HYPERLINK("https://www.ncbi.nlm.nih.gov/gene/?term=OCT57735.1", "OCT57735.1")</f>
        <v/>
      </c>
      <c r="F7494" t="n">
        <v>42.8</v>
      </c>
      <c r="G7494" t="n">
        <v>180</v>
      </c>
      <c r="H7494" t="n">
        <v>1.59e-44</v>
      </c>
      <c r="I7494" t="inlineStr">
        <is>
          <t>Nr</t>
        </is>
      </c>
      <c r="J7494" t="inlineStr"/>
      <c r="K7494" t="inlineStr"/>
      <c r="L7494" t="inlineStr">
        <is>
          <t>OCT57735.1 hypothetical protein XELAEV_18003071mg [Xenopus laevis]</t>
        </is>
      </c>
      <c r="M7494" t="n">
        <v>353</v>
      </c>
      <c r="N7494" t="inlineStr">
        <is>
          <t>Xenopus laevis</t>
        </is>
      </c>
      <c r="O7494" t="inlineStr">
        <is>
          <t>hypothetical protein XELAEV_18003071mg</t>
        </is>
      </c>
    </row>
    <row r="7495">
      <c r="A7495" t="inlineStr"/>
      <c r="B7495" t="inlineStr"/>
      <c r="C7495" t="inlineStr"/>
      <c r="D7495" t="inlineStr"/>
      <c r="E7495">
        <f>HYPERLINK("https://www.ncbi.nlm.nih.gov/gene/?term=OCT92937.1", "OCT92937.1")</f>
        <v/>
      </c>
      <c r="F7495" t="n">
        <v>45.3</v>
      </c>
      <c r="G7495" t="n">
        <v>170</v>
      </c>
      <c r="H7495" t="n">
        <v>1.69e-44</v>
      </c>
      <c r="I7495" t="inlineStr">
        <is>
          <t>Nr</t>
        </is>
      </c>
      <c r="J7495" t="inlineStr"/>
      <c r="K7495" t="inlineStr"/>
      <c r="L7495" t="inlineStr">
        <is>
          <t>OCT92937.1 hypothetical protein XELAEV_18016004mg [Xenopus laevis]</t>
        </is>
      </c>
      <c r="M7495" t="n">
        <v>261</v>
      </c>
      <c r="N7495" t="inlineStr">
        <is>
          <t>Xenopus laevis</t>
        </is>
      </c>
      <c r="O7495" t="inlineStr">
        <is>
          <t>hypothetical protein XELAEV_18016004mg</t>
        </is>
      </c>
    </row>
    <row r="7496">
      <c r="A7496" t="inlineStr"/>
      <c r="B7496" t="inlineStr"/>
      <c r="C7496" t="inlineStr"/>
      <c r="D7496" t="inlineStr"/>
      <c r="E7496">
        <f>HYPERLINK("https://www.uniprot.org/uniprotkb/A0A8J1N037/entry", "A0A8J1N037")</f>
        <v/>
      </c>
      <c r="F7496" t="n">
        <v>44.8</v>
      </c>
      <c r="G7496" t="n">
        <v>183</v>
      </c>
      <c r="H7496" t="n">
        <v>5.3e-44</v>
      </c>
      <c r="I7496" t="inlineStr">
        <is>
          <t>TrEMBL</t>
        </is>
      </c>
      <c r="J7496" t="inlineStr">
        <is>
          <t>LOC121403100</t>
        </is>
      </c>
      <c r="K7496" t="inlineStr">
        <is>
          <t>A0A8J1N037_XENLA</t>
        </is>
      </c>
      <c r="L7496" t="inlineStr">
        <is>
          <t>tr|A0A8J1N037|A0A8J1N037_XENLA serine/arginine repetitive matrix protein 2-like isoform X2 OS=Xenopus laevis OX=8355 GN=LOC121403100 PE=4 SV=1</t>
        </is>
      </c>
      <c r="M7496" t="n">
        <v>420</v>
      </c>
      <c r="N7496" t="inlineStr">
        <is>
          <t>Xenopus laevis</t>
        </is>
      </c>
      <c r="O7496" t="inlineStr">
        <is>
          <t>serine/arginine repetitive matrix protein 2-like isoform X2</t>
        </is>
      </c>
    </row>
    <row r="7497">
      <c r="A7497" t="inlineStr"/>
      <c r="B7497" t="inlineStr"/>
      <c r="C7497" t="inlineStr"/>
      <c r="D7497" t="inlineStr"/>
      <c r="E7497">
        <f>HYPERLINK("https://www.uniprot.org/uniprotkb/A0A8J1JJE2/entry", "A0A8J1JJE2")</f>
        <v/>
      </c>
      <c r="F7497" t="n">
        <v>44.1</v>
      </c>
      <c r="G7497" t="n">
        <v>186</v>
      </c>
      <c r="H7497" t="n">
        <v>9.409999999999999e-44</v>
      </c>
      <c r="I7497" t="inlineStr">
        <is>
          <t>TrEMBL</t>
        </is>
      </c>
      <c r="J7497" t="inlineStr">
        <is>
          <t>LOC116410420</t>
        </is>
      </c>
      <c r="K7497" t="inlineStr">
        <is>
          <t>A0A8J1JJE2_XENTR</t>
        </is>
      </c>
      <c r="L7497" t="inlineStr">
        <is>
          <t>tr|A0A8J1JJE2|A0A8J1JJE2_XENTR filaggrin-2-like isoform X2 OS=Xenopus tropicalis OX=8364 GN=LOC116410420 PE=4 SV=1</t>
        </is>
      </c>
      <c r="M7497" t="n">
        <v>603</v>
      </c>
      <c r="N7497" t="inlineStr">
        <is>
          <t>Xenopus tropicalis</t>
        </is>
      </c>
      <c r="O7497" t="inlineStr">
        <is>
          <t>filaggrin-2-like isoform X2</t>
        </is>
      </c>
    </row>
    <row r="7498">
      <c r="A7498" t="inlineStr"/>
      <c r="B7498" t="inlineStr"/>
      <c r="C7498" t="inlineStr"/>
      <c r="D7498" t="inlineStr"/>
      <c r="E7498">
        <f>HYPERLINK("https://www.ncbi.nlm.nih.gov/gene/?term=OCT75759.1", "OCT75759.1")</f>
        <v/>
      </c>
      <c r="F7498" t="n">
        <v>40.8</v>
      </c>
      <c r="G7498" t="n">
        <v>184</v>
      </c>
      <c r="H7498" t="n">
        <v>9.590000000000001e-44</v>
      </c>
      <c r="I7498" t="inlineStr">
        <is>
          <t>Nr</t>
        </is>
      </c>
      <c r="J7498" t="inlineStr"/>
      <c r="K7498" t="inlineStr"/>
      <c r="L7498" t="inlineStr">
        <is>
          <t>OCT75759.1 hypothetical protein XELAEV_18030946mg [Xenopus laevis]</t>
        </is>
      </c>
      <c r="M7498" t="n">
        <v>342</v>
      </c>
      <c r="N7498" t="inlineStr">
        <is>
          <t>Xenopus laevis</t>
        </is>
      </c>
      <c r="O7498" t="inlineStr">
        <is>
          <t>hypothetical protein XELAEV_18030946mg</t>
        </is>
      </c>
    </row>
    <row r="7499">
      <c r="A7499" t="inlineStr"/>
      <c r="B7499" t="inlineStr"/>
      <c r="C7499" t="inlineStr"/>
      <c r="D7499" t="inlineStr"/>
      <c r="E7499">
        <f>HYPERLINK("https://www.uniprot.org/uniprotkb/A0A8J1MXM3/entry", "A0A8J1MXM3")</f>
        <v/>
      </c>
      <c r="F7499" t="n">
        <v>44.8</v>
      </c>
      <c r="G7499" t="n">
        <v>183</v>
      </c>
      <c r="H7499" t="n">
        <v>1.27e-43</v>
      </c>
      <c r="I7499" t="inlineStr">
        <is>
          <t>TrEMBL</t>
        </is>
      </c>
      <c r="J7499" t="inlineStr">
        <is>
          <t>LOC121403100</t>
        </is>
      </c>
      <c r="K7499" t="inlineStr">
        <is>
          <t>A0A8J1MXM3_XENLA</t>
        </is>
      </c>
      <c r="L7499" t="inlineStr">
        <is>
          <t>tr|A0A8J1MXM3|A0A8J1MXM3_XENLA uncharacterized protein LOC121403100 isoform X1 OS=Xenopus laevis OX=8355 GN=LOC121403100 PE=4 SV=1</t>
        </is>
      </c>
      <c r="M7499" t="n">
        <v>466</v>
      </c>
      <c r="N7499" t="inlineStr">
        <is>
          <t>Xenopus laevis</t>
        </is>
      </c>
      <c r="O7499" t="inlineStr">
        <is>
          <t>uncharacterized protein LOC121403100 isoform X1</t>
        </is>
      </c>
    </row>
    <row r="7500">
      <c r="A7500" t="inlineStr"/>
      <c r="B7500" t="inlineStr"/>
      <c r="C7500" t="inlineStr"/>
      <c r="D7500" t="inlineStr"/>
      <c r="E7500">
        <f>HYPERLINK("https://www.uniprot.org/uniprotkb/A0A8J1MRM2/entry", "A0A8J1MRM2")</f>
        <v/>
      </c>
      <c r="F7500" t="n">
        <v>46.4</v>
      </c>
      <c r="G7500" t="n">
        <v>183</v>
      </c>
      <c r="H7500" t="n">
        <v>1.3e-43</v>
      </c>
      <c r="I7500" t="inlineStr">
        <is>
          <t>TrEMBL</t>
        </is>
      </c>
      <c r="J7500" t="inlineStr">
        <is>
          <t>LOC121402182</t>
        </is>
      </c>
      <c r="K7500" t="inlineStr">
        <is>
          <t>A0A8J1MRM2_XENLA</t>
        </is>
      </c>
      <c r="L7500" t="inlineStr">
        <is>
          <t>tr|A0A8J1MRM2|A0A8J1MRM2_XENLA serine/arginine repetitive matrix protein 2-like isoform X3 OS=Xenopus laevis OX=8355 GN=LOC121402182 PE=4 SV=1</t>
        </is>
      </c>
      <c r="M7500" t="n">
        <v>751</v>
      </c>
      <c r="N7500" t="inlineStr">
        <is>
          <t>Xenopus laevis</t>
        </is>
      </c>
      <c r="O7500" t="inlineStr">
        <is>
          <t>serine/arginine repetitive matrix protein 2-like isoform X3</t>
        </is>
      </c>
    </row>
    <row r="7501">
      <c r="A7501" t="inlineStr"/>
      <c r="B7501" t="inlineStr"/>
      <c r="C7501" t="inlineStr"/>
      <c r="D7501" t="inlineStr"/>
      <c r="E7501">
        <f>HYPERLINK("https://www.ncbi.nlm.nih.gov/gene/?term=XP_041446625.1", "XP_041446625.1")</f>
        <v/>
      </c>
      <c r="F7501" t="n">
        <v>44.8</v>
      </c>
      <c r="G7501" t="n">
        <v>183</v>
      </c>
      <c r="H7501" t="n">
        <v>1.36e-43</v>
      </c>
      <c r="I7501" t="inlineStr">
        <is>
          <t>Nr</t>
        </is>
      </c>
      <c r="J7501" t="inlineStr"/>
      <c r="K7501" t="inlineStr"/>
      <c r="L7501" t="inlineStr">
        <is>
          <t>XP_041446625.1 serine/arginine repetitive matrix protein 2-like isoform X2 [Xenopus laevis]</t>
        </is>
      </c>
      <c r="M7501" t="n">
        <v>420</v>
      </c>
      <c r="N7501" t="inlineStr">
        <is>
          <t>Xenopus laevis</t>
        </is>
      </c>
      <c r="O7501" t="inlineStr">
        <is>
          <t>serine/arginine repetitive matrix protein 2-like isoform X2</t>
        </is>
      </c>
    </row>
    <row r="7502">
      <c r="A7502" t="inlineStr"/>
      <c r="B7502" t="inlineStr"/>
      <c r="C7502" t="inlineStr"/>
      <c r="D7502" t="inlineStr"/>
      <c r="E7502">
        <f>HYPERLINK("https://www.uniprot.org/uniprotkb/A0A8J1MSH8/entry", "A0A8J1MSH8")</f>
        <v/>
      </c>
      <c r="F7502" t="n">
        <v>46.4</v>
      </c>
      <c r="G7502" t="n">
        <v>183</v>
      </c>
      <c r="H7502" t="n">
        <v>1.64e-43</v>
      </c>
      <c r="I7502" t="inlineStr">
        <is>
          <t>TrEMBL</t>
        </is>
      </c>
      <c r="J7502" t="inlineStr">
        <is>
          <t>LOC121402182</t>
        </is>
      </c>
      <c r="K7502" t="inlineStr">
        <is>
          <t>A0A8J1MSH8_XENLA</t>
        </is>
      </c>
      <c r="L7502" t="inlineStr">
        <is>
          <t>tr|A0A8J1MSH8|A0A8J1MSH8_XENLA serine/arginine repetitive matrix protein 2-like isoform X2 OS=Xenopus laevis OX=8355 GN=LOC121402182 PE=4 SV=1</t>
        </is>
      </c>
      <c r="M7502" t="n">
        <v>797</v>
      </c>
      <c r="N7502" t="inlineStr">
        <is>
          <t>Xenopus laevis</t>
        </is>
      </c>
      <c r="O7502" t="inlineStr">
        <is>
          <t>serine/arginine repetitive matrix protein 2-like isoform X2</t>
        </is>
      </c>
    </row>
    <row r="7503">
      <c r="A7503" t="inlineStr"/>
      <c r="B7503" t="inlineStr"/>
      <c r="C7503" t="inlineStr"/>
      <c r="D7503" t="inlineStr"/>
      <c r="E7503">
        <f>HYPERLINK("https://www.ncbi.nlm.nih.gov/gene/?term=XP_031756771.1", "XP_031756771.1")</f>
        <v/>
      </c>
      <c r="F7503" t="n">
        <v>44.1</v>
      </c>
      <c r="G7503" t="n">
        <v>186</v>
      </c>
      <c r="H7503" t="n">
        <v>2.42e-43</v>
      </c>
      <c r="I7503" t="inlineStr">
        <is>
          <t>Nr</t>
        </is>
      </c>
      <c r="J7503" t="inlineStr"/>
      <c r="K7503" t="inlineStr"/>
      <c r="L7503" t="inlineStr">
        <is>
          <t>XP_031756771.1 filaggrin-2-like isoform X2 [Xenopus tropicalis]</t>
        </is>
      </c>
      <c r="M7503" t="n">
        <v>603</v>
      </c>
      <c r="N7503" t="inlineStr">
        <is>
          <t>Xenopus tropicalis</t>
        </is>
      </c>
      <c r="O7503" t="inlineStr">
        <is>
          <t>filaggrin-2-like isoform X2</t>
        </is>
      </c>
    </row>
    <row r="7504">
      <c r="A7504" t="inlineStr"/>
      <c r="B7504" t="inlineStr"/>
      <c r="C7504" t="inlineStr"/>
      <c r="D7504" t="inlineStr"/>
      <c r="E7504">
        <f>HYPERLINK("https://www.ncbi.nlm.nih.gov/gene/?term=OCT61566.1", "OCT61566.1")</f>
        <v/>
      </c>
      <c r="F7504" t="n">
        <v>42.7</v>
      </c>
      <c r="G7504" t="n">
        <v>178</v>
      </c>
      <c r="H7504" t="n">
        <v>2.76e-43</v>
      </c>
      <c r="I7504" t="inlineStr">
        <is>
          <t>Nr</t>
        </is>
      </c>
      <c r="J7504" t="inlineStr"/>
      <c r="K7504" t="inlineStr"/>
      <c r="L7504" t="inlineStr">
        <is>
          <t>OCT61566.1 hypothetical protein XELAEV_18047593mg [Xenopus laevis]</t>
        </is>
      </c>
      <c r="M7504" t="n">
        <v>288</v>
      </c>
      <c r="N7504" t="inlineStr">
        <is>
          <t>Xenopus laevis</t>
        </is>
      </c>
      <c r="O7504" t="inlineStr">
        <is>
          <t>hypothetical protein XELAEV_18047593mg</t>
        </is>
      </c>
    </row>
    <row r="7505">
      <c r="A7505" t="inlineStr"/>
      <c r="B7505" t="inlineStr"/>
      <c r="C7505" t="inlineStr"/>
      <c r="D7505" t="inlineStr"/>
      <c r="E7505">
        <f>HYPERLINK("https://www.ncbi.nlm.nih.gov/gene/?term=XP_041446623.1", "XP_041446623.1")</f>
        <v/>
      </c>
      <c r="F7505" t="n">
        <v>44.8</v>
      </c>
      <c r="G7505" t="n">
        <v>183</v>
      </c>
      <c r="H7505" t="n">
        <v>3.27e-43</v>
      </c>
      <c r="I7505" t="inlineStr">
        <is>
          <t>Nr</t>
        </is>
      </c>
      <c r="J7505" t="inlineStr"/>
      <c r="K7505" t="inlineStr"/>
      <c r="L7505" t="inlineStr">
        <is>
          <t>XP_041446623.1 uncharacterized protein LOC121403100 isoform X1 [Xenopus laevis]</t>
        </is>
      </c>
      <c r="M7505" t="n">
        <v>466</v>
      </c>
      <c r="N7505" t="inlineStr">
        <is>
          <t>Xenopus laevis</t>
        </is>
      </c>
      <c r="O7505" t="inlineStr">
        <is>
          <t>uncharacterized protein LOC121403100 isoform X1</t>
        </is>
      </c>
    </row>
    <row r="7506">
      <c r="A7506" t="inlineStr"/>
      <c r="B7506" t="inlineStr"/>
      <c r="C7506" t="inlineStr"/>
      <c r="D7506" t="inlineStr"/>
      <c r="E7506">
        <f>HYPERLINK("https://www.ncbi.nlm.nih.gov/gene/?term=XP_041444407.1", "XP_041444407.1")</f>
        <v/>
      </c>
      <c r="F7506" t="n">
        <v>46.4</v>
      </c>
      <c r="G7506" t="n">
        <v>183</v>
      </c>
      <c r="H7506" t="n">
        <v>3.33e-43</v>
      </c>
      <c r="I7506" t="inlineStr">
        <is>
          <t>Nr</t>
        </is>
      </c>
      <c r="J7506" t="inlineStr"/>
      <c r="K7506" t="inlineStr"/>
      <c r="L7506" t="inlineStr">
        <is>
          <t>XP_041444407.1 serine/arginine repetitive matrix protein 2-like isoform X3 [Xenopus laevis]</t>
        </is>
      </c>
      <c r="M7506" t="n">
        <v>751</v>
      </c>
      <c r="N7506" t="inlineStr">
        <is>
          <t>Xenopus laevis</t>
        </is>
      </c>
      <c r="O7506" t="inlineStr">
        <is>
          <t>serine/arginine repetitive matrix protein 2-like isoform X3</t>
        </is>
      </c>
    </row>
    <row r="7507">
      <c r="A7507" t="inlineStr"/>
      <c r="B7507" t="inlineStr"/>
      <c r="C7507" t="inlineStr"/>
      <c r="D7507" t="inlineStr"/>
      <c r="E7507">
        <f>HYPERLINK("https://www.ncbi.nlm.nih.gov/gene/?term=XP_041444405.1", "XP_041444405.1")</f>
        <v/>
      </c>
      <c r="F7507" t="n">
        <v>46.4</v>
      </c>
      <c r="G7507" t="n">
        <v>183</v>
      </c>
      <c r="H7507" t="n">
        <v>4.210000000000001e-43</v>
      </c>
      <c r="I7507" t="inlineStr">
        <is>
          <t>Nr</t>
        </is>
      </c>
      <c r="J7507" t="inlineStr"/>
      <c r="K7507" t="inlineStr"/>
      <c r="L7507" t="inlineStr">
        <is>
          <t>XP_041444405.1 serine/arginine repetitive matrix protein 2-like isoform X2 [Xenopus laevis]</t>
        </is>
      </c>
      <c r="M7507" t="n">
        <v>797</v>
      </c>
      <c r="N7507" t="inlineStr">
        <is>
          <t>Xenopus laevis</t>
        </is>
      </c>
      <c r="O7507" t="inlineStr">
        <is>
          <t>serine/arginine repetitive matrix protein 2-like isoform X2</t>
        </is>
      </c>
    </row>
    <row r="7508">
      <c r="A7508" t="inlineStr"/>
      <c r="B7508" t="inlineStr"/>
      <c r="C7508" t="inlineStr"/>
      <c r="D7508" t="inlineStr"/>
      <c r="E7508">
        <f>HYPERLINK("https://www.ncbi.nlm.nih.gov/gene/?term=XP_053316325.1", "XP_053316325.1")</f>
        <v/>
      </c>
      <c r="F7508" t="n">
        <v>44.7</v>
      </c>
      <c r="G7508" t="n">
        <v>188</v>
      </c>
      <c r="H7508" t="n">
        <v>6.090000000000001e-43</v>
      </c>
      <c r="I7508" t="inlineStr">
        <is>
          <t>Nr</t>
        </is>
      </c>
      <c r="J7508" t="inlineStr"/>
      <c r="K7508" t="inlineStr"/>
      <c r="L7508" t="inlineStr">
        <is>
          <t>XP_053316325.1 uncharacterized protein LOC128484031 [Spea bombifrons]</t>
        </is>
      </c>
      <c r="M7508" t="n">
        <v>745</v>
      </c>
      <c r="N7508" t="inlineStr">
        <is>
          <t>Spea bombifrons</t>
        </is>
      </c>
      <c r="O7508" t="inlineStr">
        <is>
          <t>uncharacterized protein LOC128484031</t>
        </is>
      </c>
    </row>
    <row r="7509">
      <c r="A7509" t="inlineStr"/>
      <c r="B7509" t="inlineStr"/>
      <c r="C7509" t="inlineStr"/>
      <c r="D7509" t="inlineStr"/>
      <c r="E7509">
        <f>HYPERLINK("https://www.uniprot.org/uniprotkb/A0A8J1L0U9/entry", "A0A8J1L0U9")</f>
        <v/>
      </c>
      <c r="F7509" t="n">
        <v>41.4</v>
      </c>
      <c r="G7509" t="n">
        <v>186</v>
      </c>
      <c r="H7509" t="n">
        <v>1.11e-42</v>
      </c>
      <c r="I7509" t="inlineStr">
        <is>
          <t>TrEMBL</t>
        </is>
      </c>
      <c r="J7509" t="inlineStr">
        <is>
          <t>LOC108719068</t>
        </is>
      </c>
      <c r="K7509" t="inlineStr">
        <is>
          <t>A0A8J1L0U9_XENLA</t>
        </is>
      </c>
      <c r="L7509" t="inlineStr">
        <is>
          <t>tr|A0A8J1L0U9|A0A8J1L0U9_XENLA uncharacterized protein LOC108719068 isoform X1 OS=Xenopus laevis OX=8355 GN=LOC108719068 PE=4 SV=1</t>
        </is>
      </c>
      <c r="M7509" t="n">
        <v>285</v>
      </c>
      <c r="N7509" t="inlineStr">
        <is>
          <t>Xenopus laevis</t>
        </is>
      </c>
      <c r="O7509" t="inlineStr">
        <is>
          <t>uncharacterized protein LOC108719068 isoform X1</t>
        </is>
      </c>
    </row>
    <row r="7510">
      <c r="A7510" t="inlineStr"/>
      <c r="B7510" t="inlineStr"/>
      <c r="C7510" t="inlineStr"/>
      <c r="D7510" t="inlineStr"/>
      <c r="E7510">
        <f>HYPERLINK("https://www.uniprot.org/uniprotkb/A0A8J1M2H5/entry", "A0A8J1M2H5")</f>
        <v/>
      </c>
      <c r="F7510" t="n">
        <v>42.8</v>
      </c>
      <c r="G7510" t="n">
        <v>187</v>
      </c>
      <c r="H7510" t="n">
        <v>2.51e-42</v>
      </c>
      <c r="I7510" t="inlineStr">
        <is>
          <t>TrEMBL</t>
        </is>
      </c>
      <c r="J7510" t="inlineStr">
        <is>
          <t>LOC121399387</t>
        </is>
      </c>
      <c r="K7510" t="inlineStr">
        <is>
          <t>A0A8J1M2H5_XENLA</t>
        </is>
      </c>
      <c r="L7510" t="inlineStr">
        <is>
          <t>tr|A0A8J1M2H5|A0A8J1M2H5_XENLA uncharacterized protein LOC121399387 isoform X3 OS=Xenopus laevis OX=8355 GN=LOC121399387 PE=4 SV=1</t>
        </is>
      </c>
      <c r="M7510" t="n">
        <v>483</v>
      </c>
      <c r="N7510" t="inlineStr">
        <is>
          <t>Xenopus laevis</t>
        </is>
      </c>
      <c r="O7510" t="inlineStr">
        <is>
          <t>uncharacterized protein LOC121399387 isoform X3</t>
        </is>
      </c>
    </row>
    <row r="7511">
      <c r="A7511" t="inlineStr"/>
      <c r="B7511" t="inlineStr"/>
      <c r="C7511" t="inlineStr"/>
      <c r="D7511" t="inlineStr"/>
      <c r="E7511">
        <f>HYPERLINK("https://www.uniprot.org/uniprotkb/A0A8J1L3L8/entry", "A0A8J1L3L8")</f>
        <v/>
      </c>
      <c r="F7511" t="n">
        <v>44.8</v>
      </c>
      <c r="G7511" t="n">
        <v>183</v>
      </c>
      <c r="H7511" t="n">
        <v>3.15e-42</v>
      </c>
      <c r="I7511" t="inlineStr">
        <is>
          <t>TrEMBL</t>
        </is>
      </c>
      <c r="J7511" t="inlineStr">
        <is>
          <t>LOC121395085</t>
        </is>
      </c>
      <c r="K7511" t="inlineStr">
        <is>
          <t>A0A8J1L3L8_XENLA</t>
        </is>
      </c>
      <c r="L7511" t="inlineStr">
        <is>
          <t>tr|A0A8J1L3L8|A0A8J1L3L8_XENLA serine/arginine repetitive matrix protein 2-like isoform X2 OS=Xenopus laevis OX=8355 GN=LOC121395085 PE=4 SV=1</t>
        </is>
      </c>
      <c r="M7511" t="n">
        <v>751</v>
      </c>
      <c r="N7511" t="inlineStr">
        <is>
          <t>Xenopus laevis</t>
        </is>
      </c>
      <c r="O7511" t="inlineStr">
        <is>
          <t>serine/arginine repetitive matrix protein 2-like isoform X2</t>
        </is>
      </c>
    </row>
    <row r="7512">
      <c r="A7512" t="inlineStr"/>
      <c r="B7512" t="inlineStr"/>
      <c r="C7512" t="inlineStr"/>
      <c r="D7512" t="inlineStr"/>
      <c r="E7512">
        <f>HYPERLINK("https://www.uniprot.org/uniprotkb/A0A8J1IPL8/entry", "A0A8J1IPL8")</f>
        <v/>
      </c>
      <c r="F7512" t="n">
        <v>43.8</v>
      </c>
      <c r="G7512" t="n">
        <v>178</v>
      </c>
      <c r="H7512" t="n">
        <v>4.829999999999999e-42</v>
      </c>
      <c r="I7512" t="inlineStr">
        <is>
          <t>TrEMBL</t>
        </is>
      </c>
      <c r="J7512" t="inlineStr">
        <is>
          <t>LOC116406780</t>
        </is>
      </c>
      <c r="K7512" t="inlineStr">
        <is>
          <t>A0A8J1IPL8_XENTR</t>
        </is>
      </c>
      <c r="L7512" t="inlineStr">
        <is>
          <t>tr|A0A8J1IPL8|A0A8J1IPL8_XENTR collagen alpha-2(I) chain isoform X2 OS=Xenopus tropicalis OX=8364 GN=LOC116406780 PE=4 SV=1</t>
        </is>
      </c>
      <c r="M7512" t="n">
        <v>549</v>
      </c>
      <c r="N7512" t="inlineStr">
        <is>
          <t>Xenopus tropicalis</t>
        </is>
      </c>
      <c r="O7512" t="inlineStr">
        <is>
          <t>collagen alpha-2(I) chain isoform X2</t>
        </is>
      </c>
    </row>
    <row r="7513">
      <c r="A7513" t="inlineStr"/>
      <c r="B7513" t="inlineStr"/>
      <c r="C7513" t="inlineStr"/>
      <c r="D7513" t="inlineStr"/>
      <c r="E7513">
        <f>HYPERLINK("https://www.uniprot.org/uniprotkb/A0A8J1M3M4/entry", "A0A8J1M3M4")</f>
        <v/>
      </c>
      <c r="F7513" t="n">
        <v>42.8</v>
      </c>
      <c r="G7513" t="n">
        <v>187</v>
      </c>
      <c r="H7513" t="n">
        <v>1.41e-41</v>
      </c>
      <c r="I7513" t="inlineStr">
        <is>
          <t>TrEMBL</t>
        </is>
      </c>
      <c r="J7513" t="inlineStr">
        <is>
          <t>LOC121399387</t>
        </is>
      </c>
      <c r="K7513" t="inlineStr">
        <is>
          <t>A0A8J1M3M4_XENLA</t>
        </is>
      </c>
      <c r="L7513" t="inlineStr">
        <is>
          <t>tr|A0A8J1M3M4|A0A8J1M3M4_XENLA uncharacterized protein LOC121399387 isoform X1 OS=Xenopus laevis OX=8355 GN=LOC121399387 PE=4 SV=1</t>
        </is>
      </c>
      <c r="M7513" t="n">
        <v>611</v>
      </c>
      <c r="N7513" t="inlineStr">
        <is>
          <t>Xenopus laevis</t>
        </is>
      </c>
      <c r="O7513" t="inlineStr">
        <is>
          <t>uncharacterized protein LOC121399387 isoform X1</t>
        </is>
      </c>
    </row>
    <row r="7514">
      <c r="A7514" t="inlineStr"/>
      <c r="B7514" t="inlineStr"/>
      <c r="C7514" t="inlineStr"/>
      <c r="D7514" t="inlineStr"/>
      <c r="E7514">
        <f>HYPERLINK("https://www.uniprot.org/uniprotkb/A0A8J1LIH8/entry", "A0A8J1LIH8")</f>
        <v/>
      </c>
      <c r="F7514" t="n">
        <v>45.4</v>
      </c>
      <c r="G7514" t="n">
        <v>183</v>
      </c>
      <c r="H7514" t="n">
        <v>1.55e-41</v>
      </c>
      <c r="I7514" t="inlineStr">
        <is>
          <t>TrEMBL</t>
        </is>
      </c>
      <c r="J7514" t="inlineStr">
        <is>
          <t>LOC121397179</t>
        </is>
      </c>
      <c r="K7514" t="inlineStr">
        <is>
          <t>A0A8J1LIH8_XENLA</t>
        </is>
      </c>
      <c r="L7514" t="inlineStr">
        <is>
          <t>tr|A0A8J1LIH8|A0A8J1LIH8_XENLA serine/arginine repetitive matrix protein 2-like isoform X2 OS=Xenopus laevis OX=8355 GN=LOC121397179 PE=4 SV=1</t>
        </is>
      </c>
      <c r="M7514" t="n">
        <v>751</v>
      </c>
      <c r="N7514" t="inlineStr">
        <is>
          <t>Xenopus laevis</t>
        </is>
      </c>
      <c r="O7514" t="inlineStr">
        <is>
          <t>serine/arginine repetitive matrix protein 2-like isoform X2</t>
        </is>
      </c>
    </row>
    <row r="7515">
      <c r="A7515" t="inlineStr"/>
      <c r="B7515" t="inlineStr"/>
      <c r="C7515" t="inlineStr"/>
      <c r="D7515" t="inlineStr"/>
      <c r="E7515">
        <f>HYPERLINK("https://www.uniprot.org/uniprotkb/A0A8J1LNB1/entry", "A0A8J1LNB1")</f>
        <v/>
      </c>
      <c r="F7515" t="n">
        <v>39.9</v>
      </c>
      <c r="G7515" t="n">
        <v>178</v>
      </c>
      <c r="H7515" t="n">
        <v>5.06e-41</v>
      </c>
      <c r="I7515" t="inlineStr">
        <is>
          <t>TrEMBL</t>
        </is>
      </c>
      <c r="J7515" t="inlineStr">
        <is>
          <t>LOC121397661</t>
        </is>
      </c>
      <c r="K7515" t="inlineStr">
        <is>
          <t>A0A8J1LNB1_XENLA</t>
        </is>
      </c>
      <c r="L7515" t="inlineStr">
        <is>
          <t>tr|A0A8J1LNB1|A0A8J1LNB1_XENLA uncharacterized protein LOC121397661 isoform X2 OS=Xenopus laevis OX=8355 GN=LOC121397661 PE=4 SV=1</t>
        </is>
      </c>
      <c r="M7515" t="n">
        <v>210</v>
      </c>
      <c r="N7515" t="inlineStr">
        <is>
          <t>Xenopus laevis</t>
        </is>
      </c>
      <c r="O7515" t="inlineStr">
        <is>
          <t>uncharacterized protein LOC121397661 isoform X2</t>
        </is>
      </c>
    </row>
    <row r="7516">
      <c r="A7516" t="inlineStr"/>
      <c r="B7516" t="inlineStr"/>
      <c r="C7516" t="inlineStr"/>
      <c r="D7516" t="inlineStr"/>
      <c r="E7516">
        <f>HYPERLINK("https://www.uniprot.org/uniprotkb/A0A1B8XUR0/entry", "A0A1B8XUR0")</f>
        <v/>
      </c>
      <c r="F7516" t="n">
        <v>42.1</v>
      </c>
      <c r="G7516" t="n">
        <v>178</v>
      </c>
      <c r="H7516" t="n">
        <v>2.52e-38</v>
      </c>
      <c r="I7516" t="inlineStr">
        <is>
          <t>TrEMBL</t>
        </is>
      </c>
      <c r="J7516" t="inlineStr">
        <is>
          <t>XENTR_v90026959mg</t>
        </is>
      </c>
      <c r="K7516" t="inlineStr">
        <is>
          <t>A0A1B8XUR0_XENTR</t>
        </is>
      </c>
      <c r="L7516" t="inlineStr">
        <is>
          <t>tr|A0A1B8XUR0|A0A1B8XUR0_XENTR SGNH_hydro domain-containing protein OS=Xenopus tropicalis OX=8364 GN=XENTR_v90026959mg PE=4 SV=1</t>
        </is>
      </c>
      <c r="M7516" t="n">
        <v>433</v>
      </c>
      <c r="N7516" t="inlineStr">
        <is>
          <t>Xenopus tropicalis</t>
        </is>
      </c>
      <c r="O7516" t="inlineStr">
        <is>
          <t>SGNH_hydro domain-containing protein</t>
        </is>
      </c>
    </row>
    <row r="7517">
      <c r="A7517" t="inlineStr"/>
      <c r="B7517" t="inlineStr"/>
      <c r="C7517" t="inlineStr"/>
      <c r="D7517" t="inlineStr"/>
      <c r="E7517">
        <f>HYPERLINK("https://www.uniprot.org/uniprotkb/A0A8J1LIB9/entry", "A0A8J1LIB9")</f>
        <v/>
      </c>
      <c r="F7517" t="n">
        <v>39.3</v>
      </c>
      <c r="G7517" t="n">
        <v>178</v>
      </c>
      <c r="H7517" t="n">
        <v>4.29e-38</v>
      </c>
      <c r="I7517" t="inlineStr">
        <is>
          <t>TrEMBL</t>
        </is>
      </c>
      <c r="J7517" t="inlineStr">
        <is>
          <t>LOC121396885</t>
        </is>
      </c>
      <c r="K7517" t="inlineStr">
        <is>
          <t>A0A8J1LIB9_XENLA</t>
        </is>
      </c>
      <c r="L7517" t="inlineStr">
        <is>
          <t>tr|A0A8J1LIB9|A0A8J1LIB9_XENLA uncharacterized protein LOC121396885 isoform X2 OS=Xenopus laevis OX=8355 GN=LOC121396885 PE=4 SV=1</t>
        </is>
      </c>
      <c r="M7517" t="n">
        <v>566</v>
      </c>
      <c r="N7517" t="inlineStr">
        <is>
          <t>Xenopus laevis</t>
        </is>
      </c>
      <c r="O7517" t="inlineStr">
        <is>
          <t>uncharacterized protein LOC121396885 isoform X2</t>
        </is>
      </c>
    </row>
    <row r="7518">
      <c r="A7518" t="inlineStr"/>
      <c r="B7518" t="inlineStr"/>
      <c r="C7518" t="inlineStr"/>
      <c r="D7518" t="inlineStr"/>
      <c r="E7518">
        <f>HYPERLINK("https://www.uniprot.org/uniprotkb/A0A8J0VBB2/entry", "A0A8J0VBB2")</f>
        <v/>
      </c>
      <c r="F7518" t="n">
        <v>38.8</v>
      </c>
      <c r="G7518" t="n">
        <v>178</v>
      </c>
      <c r="H7518" t="n">
        <v>4.82e-38</v>
      </c>
      <c r="I7518" t="inlineStr">
        <is>
          <t>TrEMBL</t>
        </is>
      </c>
      <c r="J7518" t="inlineStr">
        <is>
          <t>LOC108717663</t>
        </is>
      </c>
      <c r="K7518" t="inlineStr">
        <is>
          <t>A0A8J0VBB2_XENLA</t>
        </is>
      </c>
      <c r="L7518" t="inlineStr">
        <is>
          <t>tr|A0A8J0VBB2|A0A8J0VBB2_XENLA uncharacterized protein LOC108717663 OS=Xenopus laevis OX=8355 GN=LOC108717663 PE=4 SV=1</t>
        </is>
      </c>
      <c r="M7518" t="n">
        <v>547</v>
      </c>
      <c r="N7518" t="inlineStr">
        <is>
          <t>Xenopus laevis</t>
        </is>
      </c>
      <c r="O7518" t="inlineStr">
        <is>
          <t>uncharacterized protein LOC108717663</t>
        </is>
      </c>
    </row>
    <row r="7519">
      <c r="A7519" t="inlineStr"/>
      <c r="B7519" t="inlineStr"/>
      <c r="C7519" t="inlineStr"/>
      <c r="D7519" t="inlineStr"/>
      <c r="E7519">
        <f>HYPERLINK("https://www.uniprot.org/uniprotkb/A0A8J1M924/entry", "A0A8J1M924")</f>
        <v/>
      </c>
      <c r="F7519" t="n">
        <v>39.9</v>
      </c>
      <c r="G7519" t="n">
        <v>178</v>
      </c>
      <c r="H7519" t="n">
        <v>6.61e-38</v>
      </c>
      <c r="I7519" t="inlineStr">
        <is>
          <t>TrEMBL</t>
        </is>
      </c>
      <c r="J7519" t="inlineStr">
        <is>
          <t>LOC121400005</t>
        </is>
      </c>
      <c r="K7519" t="inlineStr">
        <is>
          <t>A0A8J1M924_XENLA</t>
        </is>
      </c>
      <c r="L7519" t="inlineStr">
        <is>
          <t>tr|A0A8J1M924|A0A8J1M924_XENLA translation initiation factor IF-2-like isoform X3 OS=Xenopus laevis OX=8355 GN=LOC121400005 PE=4 SV=1</t>
        </is>
      </c>
      <c r="M7519" t="n">
        <v>546</v>
      </c>
      <c r="N7519" t="inlineStr">
        <is>
          <t>Xenopus laevis</t>
        </is>
      </c>
      <c r="O7519" t="inlineStr">
        <is>
          <t>translation initiation factor IF-2-like isoform X3</t>
        </is>
      </c>
    </row>
    <row r="7520">
      <c r="A7520" t="inlineStr"/>
      <c r="B7520" t="inlineStr"/>
      <c r="C7520" t="inlineStr"/>
      <c r="D7520" t="inlineStr"/>
      <c r="E7520">
        <f>HYPERLINK("https://www.uniprot.org/uniprotkb/A0A8J1MRG6/entry", "A0A8J1MRG6")</f>
        <v/>
      </c>
      <c r="F7520" t="n">
        <v>36.9</v>
      </c>
      <c r="G7520" t="n">
        <v>179</v>
      </c>
      <c r="H7520" t="n">
        <v>6.78e-38</v>
      </c>
      <c r="I7520" t="inlineStr">
        <is>
          <t>TrEMBL</t>
        </is>
      </c>
      <c r="J7520" t="inlineStr">
        <is>
          <t>LOC121402113</t>
        </is>
      </c>
      <c r="K7520" t="inlineStr">
        <is>
          <t>A0A8J1MRG6_XENLA</t>
        </is>
      </c>
      <c r="L7520" t="inlineStr">
        <is>
          <t>tr|A0A8J1MRG6|A0A8J1MRG6_XENLA uncharacterized protein LOC121402113 OS=Xenopus laevis OX=8355 GN=LOC121402113 PE=4 SV=1</t>
        </is>
      </c>
      <c r="M7520" t="n">
        <v>300</v>
      </c>
      <c r="N7520" t="inlineStr">
        <is>
          <t>Xenopus laevis</t>
        </is>
      </c>
      <c r="O7520" t="inlineStr">
        <is>
          <t>uncharacterized protein LOC121402113</t>
        </is>
      </c>
    </row>
    <row r="7521">
      <c r="A7521" t="inlineStr"/>
      <c r="B7521" t="inlineStr"/>
      <c r="C7521" t="inlineStr"/>
      <c r="D7521" t="inlineStr"/>
      <c r="E7521">
        <f>HYPERLINK("https://www.uniprot.org/uniprotkb/A0A8J1JN94/entry", "A0A8J1JN94")</f>
        <v/>
      </c>
      <c r="F7521" t="n">
        <v>42.1</v>
      </c>
      <c r="G7521" t="n">
        <v>178</v>
      </c>
      <c r="H7521" t="n">
        <v>8.2e-38</v>
      </c>
      <c r="I7521" t="inlineStr">
        <is>
          <t>TrEMBL</t>
        </is>
      </c>
      <c r="J7521" t="inlineStr">
        <is>
          <t>LOC116406467</t>
        </is>
      </c>
      <c r="K7521" t="inlineStr">
        <is>
          <t>A0A8J1JN94_XENTR</t>
        </is>
      </c>
      <c r="L7521" t="inlineStr">
        <is>
          <t>tr|A0A8J1JN94|A0A8J1JN94_XENTR collagen alpha-1(I) chain-like isoform X2 OS=Xenopus tropicalis OX=8364 GN=LOC116406467 PE=4 SV=1</t>
        </is>
      </c>
      <c r="M7521" t="n">
        <v>637</v>
      </c>
      <c r="N7521" t="inlineStr">
        <is>
          <t>Xenopus tropicalis</t>
        </is>
      </c>
      <c r="O7521" t="inlineStr">
        <is>
          <t>collagen alpha-1(I) chain-like isoform X2</t>
        </is>
      </c>
    </row>
    <row r="7522">
      <c r="A7522" t="inlineStr"/>
      <c r="B7522" t="inlineStr"/>
      <c r="C7522" t="inlineStr"/>
      <c r="D7522" t="inlineStr"/>
      <c r="E7522">
        <f>HYPERLINK("https://www.uniprot.org/uniprotkb/A0A8J1MA25/entry", "A0A8J1MA25")</f>
        <v/>
      </c>
      <c r="F7522" t="n">
        <v>39.9</v>
      </c>
      <c r="G7522" t="n">
        <v>178</v>
      </c>
      <c r="H7522" t="n">
        <v>9.25e-38</v>
      </c>
      <c r="I7522" t="inlineStr">
        <is>
          <t>TrEMBL</t>
        </is>
      </c>
      <c r="J7522" t="inlineStr">
        <is>
          <t>LOC121400005</t>
        </is>
      </c>
      <c r="K7522" t="inlineStr">
        <is>
          <t>A0A8J1MA25_XENLA</t>
        </is>
      </c>
      <c r="L7522" t="inlineStr">
        <is>
          <t>tr|A0A8J1MA25|A0A8J1MA25_XENLA fibroin heavy chain-like isoform X2 OS=Xenopus laevis OX=8355 GN=LOC121400005 PE=4 SV=1</t>
        </is>
      </c>
      <c r="M7522" t="n">
        <v>577</v>
      </c>
      <c r="N7522" t="inlineStr">
        <is>
          <t>Xenopus laevis</t>
        </is>
      </c>
      <c r="O7522" t="inlineStr">
        <is>
          <t>fibroin heavy chain-like isoform X2</t>
        </is>
      </c>
    </row>
    <row r="7523">
      <c r="A7523" t="inlineStr">
        <is>
          <t>NODE_54579_length_2809_cov_3.221371_g18751_i0</t>
        </is>
      </c>
      <c r="B7523" t="inlineStr">
        <is>
          <t>bombina_pachypus_blastx</t>
        </is>
      </c>
      <c r="C7523" t="n">
        <v>5.27670515100844</v>
      </c>
      <c r="D7523" t="n">
        <v>0.0360715765361937</v>
      </c>
      <c r="E7523">
        <f>HYPERLINK("https://www.uniprot.org/uniprotkb/A0A6I8QA10/entry", "A0A6I8QA10")</f>
        <v/>
      </c>
      <c r="F7523" t="n">
        <v>53.4</v>
      </c>
      <c r="G7523" t="n">
        <v>412</v>
      </c>
      <c r="H7523" t="n">
        <v>1.85e-111</v>
      </c>
      <c r="I7523" t="inlineStr">
        <is>
          <t>TrEMBL</t>
        </is>
      </c>
      <c r="J7523" t="inlineStr">
        <is>
          <t>tmem79</t>
        </is>
      </c>
      <c r="K7523" t="inlineStr">
        <is>
          <t>A0A6I8QA10_XENTR</t>
        </is>
      </c>
      <c r="L7523" t="inlineStr">
        <is>
          <t>tr|A0A6I8QA10|A0A6I8QA10_XENTR Transmembrane protein 79 OS=Xenopus tropicalis OX=8364 GN=tmem79 PE=4 SV=2</t>
        </is>
      </c>
      <c r="M7523" t="n">
        <v>513</v>
      </c>
      <c r="N7523" t="inlineStr">
        <is>
          <t>Xenopus tropicalis</t>
        </is>
      </c>
      <c r="O7523" t="inlineStr">
        <is>
          <t>Transmembrane protein 79</t>
        </is>
      </c>
    </row>
    <row r="7524">
      <c r="A7524" t="inlineStr"/>
      <c r="B7524" t="inlineStr"/>
      <c r="C7524" t="inlineStr"/>
      <c r="D7524" t="inlineStr"/>
      <c r="E7524">
        <f>HYPERLINK("https://www.ncbi.nlm.nih.gov/gene/?term=XP_012810128.2", "XP_012810128.2")</f>
        <v/>
      </c>
      <c r="F7524" t="n">
        <v>53.4</v>
      </c>
      <c r="G7524" t="n">
        <v>412</v>
      </c>
      <c r="H7524" t="n">
        <v>4.76e-111</v>
      </c>
      <c r="I7524" t="inlineStr">
        <is>
          <t>Nr</t>
        </is>
      </c>
      <c r="J7524" t="inlineStr"/>
      <c r="K7524" t="inlineStr"/>
      <c r="L7524" t="inlineStr">
        <is>
          <t>XP_012810128.2 transmembrane protein 79 [Xenopus tropicalis]</t>
        </is>
      </c>
      <c r="M7524" t="n">
        <v>513</v>
      </c>
      <c r="N7524" t="inlineStr">
        <is>
          <t>Xenopus tropicalis</t>
        </is>
      </c>
      <c r="O7524" t="inlineStr">
        <is>
          <t>transmembrane protein 79</t>
        </is>
      </c>
    </row>
    <row r="7525">
      <c r="A7525" t="inlineStr"/>
      <c r="B7525" t="inlineStr"/>
      <c r="C7525" t="inlineStr"/>
      <c r="D7525" t="inlineStr"/>
      <c r="E7525">
        <f>HYPERLINK("https://www.ncbi.nlm.nih.gov/gene/?term=UKB37546.1", "UKB37546.1")</f>
        <v/>
      </c>
      <c r="F7525" t="n">
        <v>53.2</v>
      </c>
      <c r="G7525" t="n">
        <v>412</v>
      </c>
      <c r="H7525" t="n">
        <v>3.7e-110</v>
      </c>
      <c r="I7525" t="inlineStr">
        <is>
          <t>Nr</t>
        </is>
      </c>
      <c r="J7525" t="inlineStr"/>
      <c r="K7525" t="inlineStr"/>
      <c r="L7525" t="inlineStr">
        <is>
          <t>UKB37546.1 transmembrane protein 79 protein, partial [synthetic construct]</t>
        </is>
      </c>
      <c r="M7525" t="n">
        <v>513</v>
      </c>
      <c r="N7525" t="inlineStr">
        <is>
          <t>synthetic construct</t>
        </is>
      </c>
      <c r="O7525" t="inlineStr">
        <is>
          <t>transmembrane protein 79 protein, partial</t>
        </is>
      </c>
    </row>
    <row r="7526">
      <c r="A7526" t="inlineStr"/>
      <c r="B7526" t="inlineStr"/>
      <c r="C7526" t="inlineStr"/>
      <c r="D7526" t="inlineStr"/>
      <c r="E7526">
        <f>HYPERLINK("https://www.uniprot.org/uniprotkb/A0A1L8FCY6/entry", "A0A1L8FCY6")</f>
        <v/>
      </c>
      <c r="F7526" t="n">
        <v>53.6</v>
      </c>
      <c r="G7526" t="n">
        <v>392</v>
      </c>
      <c r="H7526" t="n">
        <v>1.68e-106</v>
      </c>
      <c r="I7526" t="inlineStr">
        <is>
          <t>TrEMBL</t>
        </is>
      </c>
      <c r="J7526" t="inlineStr">
        <is>
          <t>tmem79.L</t>
        </is>
      </c>
      <c r="K7526" t="inlineStr">
        <is>
          <t>A0A1L8FCY6_XENLA</t>
        </is>
      </c>
      <c r="L7526" t="inlineStr">
        <is>
          <t>tr|A0A1L8FCY6|A0A1L8FCY6_XENLA uncharacterized protein tmem79.L isoform X1 OS=Xenopus laevis OX=8355 GN=tmem79.L PE=4 SV=1</t>
        </is>
      </c>
      <c r="M7526" t="n">
        <v>518</v>
      </c>
      <c r="N7526" t="inlineStr">
        <is>
          <t>Xenopus laevis</t>
        </is>
      </c>
      <c r="O7526" t="inlineStr">
        <is>
          <t>uncharacterized protein tmem79.L isoform X1</t>
        </is>
      </c>
    </row>
    <row r="7527">
      <c r="A7527" t="inlineStr"/>
      <c r="B7527" t="inlineStr"/>
      <c r="C7527" t="inlineStr"/>
      <c r="D7527" t="inlineStr"/>
      <c r="E7527">
        <f>HYPERLINK("https://www.ncbi.nlm.nih.gov/gene/?term=XP_018087169.1", "XP_018087169.1")</f>
        <v/>
      </c>
      <c r="F7527" t="n">
        <v>53.6</v>
      </c>
      <c r="G7527" t="n">
        <v>392</v>
      </c>
      <c r="H7527" t="n">
        <v>4.32e-106</v>
      </c>
      <c r="I7527" t="inlineStr">
        <is>
          <t>Nr</t>
        </is>
      </c>
      <c r="J7527" t="inlineStr"/>
      <c r="K7527" t="inlineStr"/>
      <c r="L7527" t="inlineStr">
        <is>
          <t>XP_018087169.1 uncharacterized protein tmem79.L isoform X1 [Xenopus laevis]</t>
        </is>
      </c>
      <c r="M7527" t="n">
        <v>518</v>
      </c>
      <c r="N7527" t="inlineStr">
        <is>
          <t>Xenopus laevis</t>
        </is>
      </c>
      <c r="O7527" t="inlineStr">
        <is>
          <t>uncharacterized protein tmem79.L isoform X1</t>
        </is>
      </c>
    </row>
    <row r="7528">
      <c r="A7528" t="inlineStr"/>
      <c r="B7528" t="inlineStr"/>
      <c r="C7528" t="inlineStr"/>
      <c r="D7528" t="inlineStr"/>
      <c r="E7528">
        <f>HYPERLINK("https://www.uniprot.org/uniprotkb/A0A1L8F4V5/entry", "A0A1L8F4V5")</f>
        <v/>
      </c>
      <c r="F7528" t="n">
        <v>52.8</v>
      </c>
      <c r="G7528" t="n">
        <v>390</v>
      </c>
      <c r="H7528" t="n">
        <v>2e-105</v>
      </c>
      <c r="I7528" t="inlineStr">
        <is>
          <t>TrEMBL</t>
        </is>
      </c>
      <c r="J7528" t="inlineStr">
        <is>
          <t>tmem79.S</t>
        </is>
      </c>
      <c r="K7528" t="inlineStr">
        <is>
          <t>A0A1L8F4V5_XENLA</t>
        </is>
      </c>
      <c r="L7528" t="inlineStr">
        <is>
          <t>tr|A0A1L8F4V5|A0A1L8F4V5_XENLA transmembrane protein 79 OS=Xenopus laevis OX=8355 GN=tmem79.S PE=4 SV=1</t>
        </is>
      </c>
      <c r="M7528" t="n">
        <v>521</v>
      </c>
      <c r="N7528" t="inlineStr">
        <is>
          <t>Xenopus laevis</t>
        </is>
      </c>
      <c r="O7528" t="inlineStr">
        <is>
          <t>transmembrane protein 79</t>
        </is>
      </c>
    </row>
    <row r="7529">
      <c r="A7529" t="inlineStr"/>
      <c r="B7529" t="inlineStr"/>
      <c r="C7529" t="inlineStr"/>
      <c r="D7529" t="inlineStr"/>
      <c r="E7529">
        <f>HYPERLINK("https://www.ncbi.nlm.nih.gov/gene/?term=XP_018089022.1", "XP_018089022.1")</f>
        <v/>
      </c>
      <c r="F7529" t="n">
        <v>52.8</v>
      </c>
      <c r="G7529" t="n">
        <v>390</v>
      </c>
      <c r="H7529" t="n">
        <v>5.14e-105</v>
      </c>
      <c r="I7529" t="inlineStr">
        <is>
          <t>Nr</t>
        </is>
      </c>
      <c r="J7529" t="inlineStr"/>
      <c r="K7529" t="inlineStr"/>
      <c r="L7529" t="inlineStr">
        <is>
          <t>XP_018089022.1 transmembrane protein 79 [Xenopus laevis]</t>
        </is>
      </c>
      <c r="M7529" t="n">
        <v>521</v>
      </c>
      <c r="N7529" t="inlineStr">
        <is>
          <t>Xenopus laevis</t>
        </is>
      </c>
      <c r="O7529" t="inlineStr">
        <is>
          <t>transmembrane protein 79</t>
        </is>
      </c>
    </row>
    <row r="7530">
      <c r="A7530" t="inlineStr"/>
      <c r="B7530" t="inlineStr"/>
      <c r="C7530" t="inlineStr"/>
      <c r="D7530" t="inlineStr"/>
      <c r="E7530">
        <f>HYPERLINK("https://www.uniprot.org/uniprotkb/A0A8J6E6Y6/entry", "A0A8J6E6Y6")</f>
        <v/>
      </c>
      <c r="F7530" t="n">
        <v>46.7</v>
      </c>
      <c r="G7530" t="n">
        <v>475</v>
      </c>
      <c r="H7530" t="n">
        <v>2.15e-102</v>
      </c>
      <c r="I7530" t="inlineStr">
        <is>
          <t>TrEMBL</t>
        </is>
      </c>
      <c r="J7530" t="inlineStr">
        <is>
          <t>GDO78_018331</t>
        </is>
      </c>
      <c r="K7530" t="inlineStr">
        <is>
          <t>A0A8J6E6Y6_ELECQ</t>
        </is>
      </c>
      <c r="L7530" t="inlineStr">
        <is>
          <t>tr|A0A8J6E6Y6|A0A8J6E6Y6_ELECQ Transmembrane protein 79 OS=Eleutherodactylus coqui OX=57060 GN=GDO78_018331 PE=4 SV=1</t>
        </is>
      </c>
      <c r="M7530" t="n">
        <v>481</v>
      </c>
      <c r="N7530" t="inlineStr">
        <is>
          <t>Eleutherodactylus coqui</t>
        </is>
      </c>
      <c r="O7530" t="inlineStr">
        <is>
          <t>Transmembrane protein 79</t>
        </is>
      </c>
    </row>
    <row r="7531">
      <c r="A7531" t="inlineStr"/>
      <c r="B7531" t="inlineStr"/>
      <c r="C7531" t="inlineStr"/>
      <c r="D7531" t="inlineStr"/>
      <c r="E7531">
        <f>HYPERLINK("https://www.ncbi.nlm.nih.gov/gene/?term=KAG9465459.1", "KAG9465459.1")</f>
        <v/>
      </c>
      <c r="F7531" t="n">
        <v>46.7</v>
      </c>
      <c r="G7531" t="n">
        <v>475</v>
      </c>
      <c r="H7531" t="n">
        <v>5.53e-102</v>
      </c>
      <c r="I7531" t="inlineStr">
        <is>
          <t>Nr</t>
        </is>
      </c>
      <c r="J7531" t="inlineStr"/>
      <c r="K7531" t="inlineStr"/>
      <c r="L7531" t="inlineStr">
        <is>
          <t>KAG9465459.1 hypothetical protein GDO78_018331 [Eleutherodactylus coqui]</t>
        </is>
      </c>
      <c r="M7531" t="n">
        <v>481</v>
      </c>
      <c r="N7531" t="inlineStr">
        <is>
          <t>Eleutherodactylus coqui</t>
        </is>
      </c>
      <c r="O7531" t="inlineStr">
        <is>
          <t>hypothetical protein GDO78_018331</t>
        </is>
      </c>
    </row>
    <row r="7532">
      <c r="A7532" t="inlineStr"/>
      <c r="B7532" t="inlineStr"/>
      <c r="C7532" t="inlineStr"/>
      <c r="D7532" t="inlineStr"/>
      <c r="E7532">
        <f>HYPERLINK("https://www.ncbi.nlm.nih.gov/gene/?term=XP_053330287.1", "XP_053330287.1")</f>
        <v/>
      </c>
      <c r="F7532" t="n">
        <v>60.6</v>
      </c>
      <c r="G7532" t="n">
        <v>302</v>
      </c>
      <c r="H7532" t="n">
        <v>5.97e-102</v>
      </c>
      <c r="I7532" t="inlineStr">
        <is>
          <t>Nr</t>
        </is>
      </c>
      <c r="J7532" t="inlineStr"/>
      <c r="K7532" t="inlineStr"/>
      <c r="L7532" t="inlineStr">
        <is>
          <t>XP_053330287.1 transmembrane protein 79 [Spea bombifrons]</t>
        </is>
      </c>
      <c r="M7532" t="n">
        <v>565</v>
      </c>
      <c r="N7532" t="inlineStr">
        <is>
          <t>Spea bombifrons</t>
        </is>
      </c>
      <c r="O7532" t="inlineStr">
        <is>
          <t>transmembrane protein 79</t>
        </is>
      </c>
    </row>
    <row r="7533">
      <c r="A7533" t="inlineStr"/>
      <c r="B7533" t="inlineStr"/>
      <c r="C7533" t="inlineStr"/>
      <c r="D7533" t="inlineStr"/>
      <c r="E7533">
        <f>HYPERLINK("https://www.ncbi.nlm.nih.gov/gene/?term=XP_040189690.1", "XP_040189690.1")</f>
        <v/>
      </c>
      <c r="F7533" t="n">
        <v>54.6</v>
      </c>
      <c r="G7533" t="n">
        <v>381</v>
      </c>
      <c r="H7533" t="n">
        <v>3.1e-101</v>
      </c>
      <c r="I7533" t="inlineStr">
        <is>
          <t>Nr</t>
        </is>
      </c>
      <c r="J7533" t="inlineStr"/>
      <c r="K7533" t="inlineStr"/>
      <c r="L7533" t="inlineStr">
        <is>
          <t>XP_040189690.1 transmembrane protein 79 [Rana temporaria]</t>
        </is>
      </c>
      <c r="M7533" t="n">
        <v>493</v>
      </c>
      <c r="N7533" t="inlineStr">
        <is>
          <t>Rana temporaria</t>
        </is>
      </c>
      <c r="O7533" t="inlineStr">
        <is>
          <t>transmembrane protein 79</t>
        </is>
      </c>
    </row>
    <row r="7534">
      <c r="A7534" t="inlineStr"/>
      <c r="B7534" t="inlineStr"/>
      <c r="C7534" t="inlineStr"/>
      <c r="D7534" t="inlineStr"/>
      <c r="E7534">
        <f>HYPERLINK("https://www.uniprot.org/uniprotkb/A0A8T2INF4/entry", "A0A8T2INF4")</f>
        <v/>
      </c>
      <c r="F7534" t="n">
        <v>50.9</v>
      </c>
      <c r="G7534" t="n">
        <v>399</v>
      </c>
      <c r="H7534" t="n">
        <v>3.81e-101</v>
      </c>
      <c r="I7534" t="inlineStr">
        <is>
          <t>TrEMBL</t>
        </is>
      </c>
      <c r="J7534" t="inlineStr">
        <is>
          <t>GDO86_019525</t>
        </is>
      </c>
      <c r="K7534" t="inlineStr">
        <is>
          <t>A0A8T2INF4_9PIPI</t>
        </is>
      </c>
      <c r="L7534" t="inlineStr">
        <is>
          <t>tr|A0A8T2INF4|A0A8T2INF4_9PIPI Transmembrane protein 79 OS=Hymenochirus boettgeri OX=247094 GN=GDO86_019525 PE=4 SV=1</t>
        </is>
      </c>
      <c r="M7534" t="n">
        <v>544</v>
      </c>
      <c r="N7534" t="inlineStr">
        <is>
          <t>Hymenochirus boettgeri</t>
        </is>
      </c>
      <c r="O7534" t="inlineStr">
        <is>
          <t>Transmembrane protein 79</t>
        </is>
      </c>
    </row>
    <row r="7535">
      <c r="A7535" t="inlineStr"/>
      <c r="B7535" t="inlineStr"/>
      <c r="C7535" t="inlineStr"/>
      <c r="D7535" t="inlineStr"/>
      <c r="E7535">
        <f>HYPERLINK("https://www.ncbi.nlm.nih.gov/gene/?term=KAG8432061.1", "KAG8432061.1")</f>
        <v/>
      </c>
      <c r="F7535" t="n">
        <v>50.9</v>
      </c>
      <c r="G7535" t="n">
        <v>399</v>
      </c>
      <c r="H7535" t="n">
        <v>9.8e-101</v>
      </c>
      <c r="I7535" t="inlineStr">
        <is>
          <t>Nr</t>
        </is>
      </c>
      <c r="J7535" t="inlineStr"/>
      <c r="K7535" t="inlineStr"/>
      <c r="L7535" t="inlineStr">
        <is>
          <t>KAG8432061.1 hypothetical protein GDO86_019525 [Hymenochirus boettgeri]</t>
        </is>
      </c>
      <c r="M7535" t="n">
        <v>544</v>
      </c>
      <c r="N7535" t="inlineStr">
        <is>
          <t>Hymenochirus boettgeri</t>
        </is>
      </c>
      <c r="O7535" t="inlineStr">
        <is>
          <t>hypothetical protein GDO86_019525</t>
        </is>
      </c>
    </row>
    <row r="7536">
      <c r="A7536" t="inlineStr"/>
      <c r="B7536" t="inlineStr"/>
      <c r="C7536" t="inlineStr"/>
      <c r="D7536" t="inlineStr"/>
      <c r="E7536">
        <f>HYPERLINK("https://www.uniprot.org/uniprotkb/A0A2G9SFQ6/entry", "A0A2G9SFQ6")</f>
        <v/>
      </c>
      <c r="F7536" t="n">
        <v>54.6</v>
      </c>
      <c r="G7536" t="n">
        <v>368</v>
      </c>
      <c r="H7536" t="n">
        <v>2.24e-99</v>
      </c>
      <c r="I7536" t="inlineStr">
        <is>
          <t>TrEMBL</t>
        </is>
      </c>
      <c r="J7536" t="inlineStr">
        <is>
          <t>AB205_0120480</t>
        </is>
      </c>
      <c r="K7536" t="inlineStr">
        <is>
          <t>A0A2G9SFQ6_LITCT</t>
        </is>
      </c>
      <c r="L7536" t="inlineStr">
        <is>
          <t>tr|A0A2G9SFQ6|A0A2G9SFQ6_LITCT Transmembrane protein 79 OS=Lithobates catesbeianus OX=8400 GN=AB205_0120480 PE=4 SV=1</t>
        </is>
      </c>
      <c r="M7536" t="n">
        <v>497</v>
      </c>
      <c r="N7536" t="inlineStr">
        <is>
          <t>Lithobates catesbeianus</t>
        </is>
      </c>
      <c r="O7536" t="inlineStr">
        <is>
          <t>Transmembrane protein 79</t>
        </is>
      </c>
    </row>
    <row r="7537">
      <c r="A7537" t="inlineStr"/>
      <c r="B7537" t="inlineStr"/>
      <c r="C7537" t="inlineStr"/>
      <c r="D7537" t="inlineStr"/>
      <c r="E7537">
        <f>HYPERLINK("https://www.ncbi.nlm.nih.gov/gene/?term=PIO38980.1", "PIO38980.1")</f>
        <v/>
      </c>
      <c r="F7537" t="n">
        <v>54.6</v>
      </c>
      <c r="G7537" t="n">
        <v>368</v>
      </c>
      <c r="H7537" t="n">
        <v>5.74e-99</v>
      </c>
      <c r="I7537" t="inlineStr">
        <is>
          <t>Nr</t>
        </is>
      </c>
      <c r="J7537" t="inlineStr"/>
      <c r="K7537" t="inlineStr"/>
      <c r="L7537" t="inlineStr">
        <is>
          <t>PIO38980.1 hypothetical protein AB205_0120480 [Lithobates catesbeianus]</t>
        </is>
      </c>
      <c r="M7537" t="n">
        <v>497</v>
      </c>
      <c r="N7537" t="inlineStr">
        <is>
          <t>Lithobates catesbeianus</t>
        </is>
      </c>
      <c r="O7537" t="inlineStr">
        <is>
          <t>hypothetical protein AB205_0120480</t>
        </is>
      </c>
    </row>
    <row r="7538">
      <c r="A7538" t="inlineStr"/>
      <c r="B7538" t="inlineStr"/>
      <c r="C7538" t="inlineStr"/>
      <c r="D7538" t="inlineStr"/>
      <c r="E7538">
        <f>HYPERLINK("https://www.ncbi.nlm.nih.gov/gene/?term=XP_044128829.1", "XP_044128829.1")</f>
        <v/>
      </c>
      <c r="F7538" t="n">
        <v>55.8</v>
      </c>
      <c r="G7538" t="n">
        <v>312</v>
      </c>
      <c r="H7538" t="n">
        <v>6.04e-96</v>
      </c>
      <c r="I7538" t="inlineStr">
        <is>
          <t>Nr</t>
        </is>
      </c>
      <c r="J7538" t="inlineStr"/>
      <c r="K7538" t="inlineStr"/>
      <c r="L7538" t="inlineStr">
        <is>
          <t>XP_044128829.1 transmembrane protein 79 isoform X2 [Bufo gargarizans]</t>
        </is>
      </c>
      <c r="M7538" t="n">
        <v>491</v>
      </c>
      <c r="N7538" t="inlineStr">
        <is>
          <t>Bufo gargarizans</t>
        </is>
      </c>
      <c r="O7538" t="inlineStr">
        <is>
          <t>transmembrane protein 79 isoform X2</t>
        </is>
      </c>
    </row>
    <row r="7539">
      <c r="A7539" t="inlineStr"/>
      <c r="B7539" t="inlineStr"/>
      <c r="C7539" t="inlineStr"/>
      <c r="D7539" t="inlineStr"/>
      <c r="E7539">
        <f>HYPERLINK("https://www.ncbi.nlm.nih.gov/gene/?term=XP_044128828.1", "XP_044128828.1")</f>
        <v/>
      </c>
      <c r="F7539" t="n">
        <v>55.8</v>
      </c>
      <c r="G7539" t="n">
        <v>312</v>
      </c>
      <c r="H7539" t="n">
        <v>1.08e-95</v>
      </c>
      <c r="I7539" t="inlineStr">
        <is>
          <t>Nr</t>
        </is>
      </c>
      <c r="J7539" t="inlineStr"/>
      <c r="K7539" t="inlineStr"/>
      <c r="L7539" t="inlineStr">
        <is>
          <t>XP_044128828.1 transmembrane protein 79 isoform X1 [Bufo gargarizans]</t>
        </is>
      </c>
      <c r="M7539" t="n">
        <v>511</v>
      </c>
      <c r="N7539" t="inlineStr">
        <is>
          <t>Bufo gargarizans</t>
        </is>
      </c>
      <c r="O7539" t="inlineStr">
        <is>
          <t>transmembrane protein 79 isoform X1</t>
        </is>
      </c>
    </row>
    <row r="7540">
      <c r="A7540" t="inlineStr"/>
      <c r="B7540" t="inlineStr"/>
      <c r="C7540" t="inlineStr"/>
      <c r="D7540" t="inlineStr"/>
      <c r="E7540">
        <f>HYPERLINK("https://www.ncbi.nlm.nih.gov/gene/?term=KAG8541135.1", "KAG8541135.1")</f>
        <v/>
      </c>
      <c r="F7540" t="n">
        <v>50.9</v>
      </c>
      <c r="G7540" t="n">
        <v>371</v>
      </c>
      <c r="H7540" t="n">
        <v>1.15e-95</v>
      </c>
      <c r="I7540" t="inlineStr">
        <is>
          <t>Nr</t>
        </is>
      </c>
      <c r="J7540" t="inlineStr"/>
      <c r="K7540" t="inlineStr"/>
      <c r="L7540" t="inlineStr">
        <is>
          <t>KAG8541135.1 hypothetical protein GDO81_029653 [Engystomops pustulosus]</t>
        </is>
      </c>
      <c r="M7540" t="n">
        <v>467</v>
      </c>
      <c r="N7540" t="inlineStr">
        <is>
          <t>Engystomops pustulosus</t>
        </is>
      </c>
      <c r="O7540" t="inlineStr">
        <is>
          <t>hypothetical protein GDO81_029653</t>
        </is>
      </c>
    </row>
    <row r="7541">
      <c r="A7541" t="inlineStr"/>
      <c r="B7541" t="inlineStr"/>
      <c r="C7541" t="inlineStr"/>
      <c r="D7541" t="inlineStr"/>
      <c r="E7541">
        <f>HYPERLINK("https://www.ncbi.nlm.nih.gov/gene/?term=XP_018421682.1", "XP_018421682.1")</f>
        <v/>
      </c>
      <c r="F7541" t="n">
        <v>55.7</v>
      </c>
      <c r="G7541" t="n">
        <v>327</v>
      </c>
      <c r="H7541" t="n">
        <v>1.38e-95</v>
      </c>
      <c r="I7541" t="inlineStr">
        <is>
          <t>Nr</t>
        </is>
      </c>
      <c r="J7541" t="inlineStr"/>
      <c r="K7541" t="inlineStr"/>
      <c r="L7541" t="inlineStr">
        <is>
          <t>XP_018421682.1 PREDICTED: transmembrane protein 79 [Nanorana parkeri]</t>
        </is>
      </c>
      <c r="M7541" t="n">
        <v>496</v>
      </c>
      <c r="N7541" t="inlineStr">
        <is>
          <t>Nanorana parkeri</t>
        </is>
      </c>
      <c r="O7541" t="inlineStr">
        <is>
          <t>PREDICTED: transmembrane protein 79</t>
        </is>
      </c>
    </row>
    <row r="7542">
      <c r="A7542" t="inlineStr"/>
      <c r="B7542" t="inlineStr"/>
      <c r="C7542" t="inlineStr"/>
      <c r="D7542" t="inlineStr"/>
      <c r="E7542">
        <f>HYPERLINK("https://www.ncbi.nlm.nih.gov/gene/?term=XP_040267653.1", "XP_040267653.1")</f>
        <v/>
      </c>
      <c r="F7542" t="n">
        <v>52.8</v>
      </c>
      <c r="G7542" t="n">
        <v>362</v>
      </c>
      <c r="H7542" t="n">
        <v>8.859999999999999e-95</v>
      </c>
      <c r="I7542" t="inlineStr">
        <is>
          <t>Nr</t>
        </is>
      </c>
      <c r="J7542" t="inlineStr"/>
      <c r="K7542" t="inlineStr"/>
      <c r="L7542" t="inlineStr">
        <is>
          <t>XP_040267653.1 transmembrane protein 79 [Bufo bufo]</t>
        </is>
      </c>
      <c r="M7542" t="n">
        <v>467</v>
      </c>
      <c r="N7542" t="inlineStr">
        <is>
          <t>Bufo bufo</t>
        </is>
      </c>
      <c r="O7542" t="inlineStr">
        <is>
          <t>transmembrane protein 79</t>
        </is>
      </c>
    </row>
    <row r="7543">
      <c r="A7543" t="inlineStr"/>
      <c r="B7543" t="inlineStr"/>
      <c r="C7543" t="inlineStr"/>
      <c r="D7543" t="inlineStr"/>
      <c r="E7543">
        <f>HYPERLINK("https://www.uniprot.org/uniprotkb/A0A8C5PJC4/entry", "A0A8C5PJC4")</f>
        <v/>
      </c>
      <c r="F7543" t="n">
        <v>52.3</v>
      </c>
      <c r="G7543" t="n">
        <v>310</v>
      </c>
      <c r="H7543" t="n">
        <v>8.489999999999999e-82</v>
      </c>
      <c r="I7543" t="inlineStr">
        <is>
          <t>TrEMBL</t>
        </is>
      </c>
      <c r="J7543" t="inlineStr">
        <is>
          <t>TMEM79</t>
        </is>
      </c>
      <c r="K7543" t="inlineStr">
        <is>
          <t>A0A8C5PJC4_9ANUR</t>
        </is>
      </c>
      <c r="L7543" t="inlineStr">
        <is>
          <t>tr|A0A8C5PJC4|A0A8C5PJC4_9ANUR Transmembrane protein 79 OS=Leptobrachium leishanense OX=445787 GN=TMEM79 PE=4 SV=1</t>
        </is>
      </c>
      <c r="M7543" t="n">
        <v>544</v>
      </c>
      <c r="N7543" t="inlineStr">
        <is>
          <t>Leptobrachium leishanense</t>
        </is>
      </c>
      <c r="O7543" t="inlineStr">
        <is>
          <t>Transmembrane protein 79</t>
        </is>
      </c>
    </row>
    <row r="7544">
      <c r="A7544" t="inlineStr"/>
      <c r="B7544" t="inlineStr"/>
      <c r="C7544" t="inlineStr"/>
      <c r="D7544" t="inlineStr"/>
      <c r="E7544">
        <f>HYPERLINK("https://www.uniprot.org/uniprotkb/A0A8J0TMV4/entry", "A0A8J0TMV4")</f>
        <v/>
      </c>
      <c r="F7544" t="n">
        <v>44.9</v>
      </c>
      <c r="G7544" t="n">
        <v>392</v>
      </c>
      <c r="H7544" t="n">
        <v>3.6e-75</v>
      </c>
      <c r="I7544" t="inlineStr">
        <is>
          <t>TrEMBL</t>
        </is>
      </c>
      <c r="J7544" t="inlineStr">
        <is>
          <t>tmem79.L</t>
        </is>
      </c>
      <c r="K7544" t="inlineStr">
        <is>
          <t>A0A8J0TMV4_XENLA</t>
        </is>
      </c>
      <c r="L7544" t="inlineStr">
        <is>
          <t>tr|A0A8J0TMV4|A0A8J0TMV4_XENLA uncharacterized protein tmem79.L isoform X2 OS=Xenopus laevis OX=8355 GN=tmem79.L PE=4 SV=1</t>
        </is>
      </c>
      <c r="M7544" t="n">
        <v>476</v>
      </c>
      <c r="N7544" t="inlineStr">
        <is>
          <t>Xenopus laevis</t>
        </is>
      </c>
      <c r="O7544" t="inlineStr">
        <is>
          <t>uncharacterized protein tmem79.L isoform X2</t>
        </is>
      </c>
    </row>
    <row r="7545">
      <c r="A7545" t="inlineStr"/>
      <c r="B7545" t="inlineStr"/>
      <c r="C7545" t="inlineStr"/>
      <c r="D7545" t="inlineStr"/>
      <c r="E7545">
        <f>HYPERLINK("https://www.ncbi.nlm.nih.gov/gene/?term=XP_018087173.1", "XP_018087173.1")</f>
        <v/>
      </c>
      <c r="F7545" t="n">
        <v>44.9</v>
      </c>
      <c r="G7545" t="n">
        <v>392</v>
      </c>
      <c r="H7545" t="n">
        <v>9.24e-75</v>
      </c>
      <c r="I7545" t="inlineStr">
        <is>
          <t>Nr</t>
        </is>
      </c>
      <c r="J7545" t="inlineStr"/>
      <c r="K7545" t="inlineStr"/>
      <c r="L7545" t="inlineStr">
        <is>
          <t>XP_018087173.1 uncharacterized protein tmem79.L isoform X2 [Xenopus laevis]</t>
        </is>
      </c>
      <c r="M7545" t="n">
        <v>476</v>
      </c>
      <c r="N7545" t="inlineStr">
        <is>
          <t>Xenopus laevis</t>
        </is>
      </c>
      <c r="O7545" t="inlineStr">
        <is>
          <t>uncharacterized protein tmem79.L isoform X2</t>
        </is>
      </c>
    </row>
    <row r="7546">
      <c r="A7546" t="inlineStr"/>
      <c r="B7546" t="inlineStr"/>
      <c r="C7546" t="inlineStr"/>
      <c r="D7546" t="inlineStr"/>
      <c r="E7546">
        <f>HYPERLINK("https://www.uniprot.org/uniprotkb/A0A1B8XYB2/entry", "A0A1B8XYB2")</f>
        <v/>
      </c>
      <c r="F7546" t="n">
        <v>49.1</v>
      </c>
      <c r="G7546" t="n">
        <v>338</v>
      </c>
      <c r="H7546" t="n">
        <v>1.43e-68</v>
      </c>
      <c r="I7546" t="inlineStr">
        <is>
          <t>TrEMBL</t>
        </is>
      </c>
      <c r="J7546" t="inlineStr">
        <is>
          <t>XENTR_v90029418mg</t>
        </is>
      </c>
      <c r="K7546" t="inlineStr">
        <is>
          <t>A0A1B8XYB2_XENTR</t>
        </is>
      </c>
      <c r="L7546" t="inlineStr">
        <is>
          <t>tr|A0A1B8XYB2|A0A1B8XYB2_XENTR Transmembrane protein 79-like OS=Xenopus tropicalis OX=8364 GN=XENTR_v90029418mg PE=4 SV=1</t>
        </is>
      </c>
      <c r="M7546" t="n">
        <v>434</v>
      </c>
      <c r="N7546" t="inlineStr">
        <is>
          <t>Xenopus tropicalis</t>
        </is>
      </c>
      <c r="O7546" t="inlineStr">
        <is>
          <t>Transmembrane protein 79-like</t>
        </is>
      </c>
    </row>
    <row r="7547">
      <c r="A7547" t="inlineStr"/>
      <c r="B7547" t="inlineStr"/>
      <c r="C7547" t="inlineStr"/>
      <c r="D7547" t="inlineStr"/>
      <c r="E7547">
        <f>HYPERLINK("https://www.ncbi.nlm.nih.gov/gene/?term=KAG8541136.1", "KAG8541136.1")</f>
        <v/>
      </c>
      <c r="F7547" t="n">
        <v>47.7</v>
      </c>
      <c r="G7547" t="n">
        <v>323</v>
      </c>
      <c r="H7547" t="n">
        <v>7.76e-67</v>
      </c>
      <c r="I7547" t="inlineStr">
        <is>
          <t>Nr</t>
        </is>
      </c>
      <c r="J7547" t="inlineStr"/>
      <c r="K7547" t="inlineStr"/>
      <c r="L7547" t="inlineStr">
        <is>
          <t>KAG8541136.1 hypothetical protein GDO81_029653 [Engystomops pustulosus]</t>
        </is>
      </c>
      <c r="M7547" t="n">
        <v>412</v>
      </c>
      <c r="N7547" t="inlineStr">
        <is>
          <t>Engystomops pustulosus</t>
        </is>
      </c>
      <c r="O7547" t="inlineStr">
        <is>
          <t>hypothetical protein GDO81_029653</t>
        </is>
      </c>
    </row>
    <row r="7548">
      <c r="A7548" t="inlineStr"/>
      <c r="B7548" t="inlineStr"/>
      <c r="C7548" t="inlineStr"/>
      <c r="D7548" t="inlineStr"/>
      <c r="E7548">
        <f>HYPERLINK("https://www.ncbi.nlm.nih.gov/gene/?term=KAJ1081144.1", "KAJ1081144.1")</f>
        <v/>
      </c>
      <c r="F7548" t="n">
        <v>54.9</v>
      </c>
      <c r="G7548" t="n">
        <v>206</v>
      </c>
      <c r="H7548" t="n">
        <v>2.43e-64</v>
      </c>
      <c r="I7548" t="inlineStr">
        <is>
          <t>Nr</t>
        </is>
      </c>
      <c r="J7548" t="inlineStr"/>
      <c r="K7548" t="inlineStr"/>
      <c r="L7548" t="inlineStr">
        <is>
          <t>KAJ1081144.1 hypothetical protein NDU88_001327 [Pleurodeles waltl]</t>
        </is>
      </c>
      <c r="M7548" t="n">
        <v>416</v>
      </c>
      <c r="N7548" t="inlineStr">
        <is>
          <t>Pleurodeles waltl</t>
        </is>
      </c>
      <c r="O7548" t="inlineStr">
        <is>
          <t>hypothetical protein NDU88_001327</t>
        </is>
      </c>
    </row>
    <row r="7549">
      <c r="A7549" t="inlineStr"/>
      <c r="B7549" t="inlineStr"/>
      <c r="C7549" t="inlineStr"/>
      <c r="D7549" t="inlineStr"/>
      <c r="E7549">
        <f>HYPERLINK("https://www.uniprot.org/uniprotkb/A0A6P8P7R3/entry", "A0A6P8P7R3")</f>
        <v/>
      </c>
      <c r="F7549" t="n">
        <v>53.8</v>
      </c>
      <c r="G7549" t="n">
        <v>212</v>
      </c>
      <c r="H7549" t="n">
        <v>2.35e-61</v>
      </c>
      <c r="I7549" t="inlineStr">
        <is>
          <t>TrEMBL</t>
        </is>
      </c>
      <c r="J7549" t="inlineStr">
        <is>
          <t>TMEM79</t>
        </is>
      </c>
      <c r="K7549" t="inlineStr">
        <is>
          <t>A0A6P8P7R3_GEOSA</t>
        </is>
      </c>
      <c r="L7549" t="inlineStr">
        <is>
          <t>tr|A0A6P8P7R3|A0A6P8P7R3_GEOSA transmembrane protein 79 OS=Geotrypetes seraphini OX=260995 GN=TMEM79 PE=4 SV=1</t>
        </is>
      </c>
      <c r="M7549" t="n">
        <v>412</v>
      </c>
      <c r="N7549" t="inlineStr">
        <is>
          <t>Geotrypetes seraphini</t>
        </is>
      </c>
      <c r="O7549" t="inlineStr">
        <is>
          <t>transmembrane protein 79</t>
        </is>
      </c>
    </row>
    <row r="7550">
      <c r="A7550" t="inlineStr"/>
      <c r="B7550" t="inlineStr"/>
      <c r="C7550" t="inlineStr"/>
      <c r="D7550" t="inlineStr"/>
      <c r="E7550">
        <f>HYPERLINK("https://www.ncbi.nlm.nih.gov/gene/?term=XP_033779749.1", "XP_033779749.1")</f>
        <v/>
      </c>
      <c r="F7550" t="n">
        <v>53.8</v>
      </c>
      <c r="G7550" t="n">
        <v>212</v>
      </c>
      <c r="H7550" t="n">
        <v>6.03e-61</v>
      </c>
      <c r="I7550" t="inlineStr">
        <is>
          <t>Nr</t>
        </is>
      </c>
      <c r="J7550" t="inlineStr"/>
      <c r="K7550" t="inlineStr"/>
      <c r="L7550" t="inlineStr">
        <is>
          <t>XP_033779749.1 transmembrane protein 79 [Geotrypetes seraphini]</t>
        </is>
      </c>
      <c r="M7550" t="n">
        <v>412</v>
      </c>
      <c r="N7550" t="inlineStr">
        <is>
          <t>Geotrypetes seraphini</t>
        </is>
      </c>
      <c r="O7550" t="inlineStr">
        <is>
          <t>transmembrane protein 79</t>
        </is>
      </c>
    </row>
    <row r="7551">
      <c r="A7551" t="inlineStr"/>
      <c r="B7551" t="inlineStr"/>
      <c r="C7551" t="inlineStr"/>
      <c r="D7551" t="inlineStr"/>
      <c r="E7551">
        <f>HYPERLINK("https://www.uniprot.org/uniprotkb/Q9BSE2/entry", "Q9BSE2")</f>
        <v/>
      </c>
      <c r="F7551" t="n">
        <v>59.7</v>
      </c>
      <c r="G7551" t="n">
        <v>176</v>
      </c>
      <c r="H7551" t="n">
        <v>9.899999999999999e-61</v>
      </c>
      <c r="I7551" t="inlineStr">
        <is>
          <t>Swiss-Prot</t>
        </is>
      </c>
      <c r="J7551" t="inlineStr">
        <is>
          <t>TMEM79</t>
        </is>
      </c>
      <c r="K7551" t="inlineStr">
        <is>
          <t>TMM79_HUMAN</t>
        </is>
      </c>
      <c r="L7551" t="inlineStr">
        <is>
          <t>sp|Q9BSE2|TMM79_HUMAN Transmembrane protein 79 OS=Homo sapiens OX=9606 GN=TMEM79 PE=1 SV=1</t>
        </is>
      </c>
      <c r="M7551" t="n">
        <v>394</v>
      </c>
      <c r="N7551" t="inlineStr">
        <is>
          <t>Homo sapiens</t>
        </is>
      </c>
      <c r="O7551" t="inlineStr">
        <is>
          <t>Transmembrane protein 79</t>
        </is>
      </c>
    </row>
    <row r="7552">
      <c r="A7552" t="inlineStr"/>
      <c r="B7552" t="inlineStr"/>
      <c r="C7552" t="inlineStr"/>
      <c r="D7552" t="inlineStr"/>
      <c r="E7552">
        <f>HYPERLINK("https://www.uniprot.org/uniprotkb/Q9D709/entry", "Q9D709")</f>
        <v/>
      </c>
      <c r="F7552" t="n">
        <v>59.4</v>
      </c>
      <c r="G7552" t="n">
        <v>175</v>
      </c>
      <c r="H7552" t="n">
        <v>6.54e-60</v>
      </c>
      <c r="I7552" t="inlineStr">
        <is>
          <t>Swiss-Prot</t>
        </is>
      </c>
      <c r="J7552" t="inlineStr">
        <is>
          <t>Tmem79</t>
        </is>
      </c>
      <c r="K7552" t="inlineStr">
        <is>
          <t>TMM79_MOUSE</t>
        </is>
      </c>
      <c r="L7552" t="inlineStr">
        <is>
          <t>sp|Q9D709|TMM79_MOUSE Transmembrane protein 79 OS=Mus musculus OX=10090 GN=Tmem79 PE=1 SV=1</t>
        </is>
      </c>
      <c r="M7552" t="n">
        <v>391</v>
      </c>
      <c r="N7552" t="inlineStr">
        <is>
          <t>Mus musculus</t>
        </is>
      </c>
      <c r="O7552" t="inlineStr">
        <is>
          <t>Transmembrane protein 79</t>
        </is>
      </c>
    </row>
    <row r="7553">
      <c r="A7553" t="inlineStr"/>
      <c r="B7553" t="inlineStr"/>
      <c r="C7553" t="inlineStr"/>
      <c r="D7553" t="inlineStr"/>
      <c r="E7553">
        <f>HYPERLINK("https://www.uniprot.org/uniprotkb/Q3T1H8/entry", "Q3T1H8")</f>
        <v/>
      </c>
      <c r="F7553" t="n">
        <v>59.4</v>
      </c>
      <c r="G7553" t="n">
        <v>175</v>
      </c>
      <c r="H7553" t="n">
        <v>6.54e-60</v>
      </c>
      <c r="I7553" t="inlineStr">
        <is>
          <t>Swiss-Prot</t>
        </is>
      </c>
      <c r="J7553" t="inlineStr">
        <is>
          <t>Tmem79</t>
        </is>
      </c>
      <c r="K7553" t="inlineStr">
        <is>
          <t>TMM79_RAT</t>
        </is>
      </c>
      <c r="L7553" t="inlineStr">
        <is>
          <t>sp|Q3T1H8|TMM79_RAT Transmembrane protein 79 OS=Rattus norvegicus OX=10116 GN=Tmem79 PE=2 SV=1</t>
        </is>
      </c>
      <c r="M7553" t="n">
        <v>391</v>
      </c>
      <c r="N7553" t="inlineStr">
        <is>
          <t>Rattus norvegicus</t>
        </is>
      </c>
      <c r="O7553" t="inlineStr">
        <is>
          <t>Transmembrane protein 79</t>
        </is>
      </c>
    </row>
    <row r="7554">
      <c r="A7554" t="inlineStr"/>
      <c r="B7554" t="inlineStr"/>
      <c r="C7554" t="inlineStr"/>
      <c r="D7554" t="inlineStr"/>
      <c r="E7554">
        <f>HYPERLINK("https://www.ncbi.nlm.nih.gov/gene/?term=EAW52970.1", "EAW52970.1")</f>
        <v/>
      </c>
      <c r="F7554" t="n">
        <v>59.7</v>
      </c>
      <c r="G7554" t="n">
        <v>176</v>
      </c>
      <c r="H7554" t="n">
        <v>9.659999999999999e-60</v>
      </c>
      <c r="I7554" t="inlineStr">
        <is>
          <t>Nr</t>
        </is>
      </c>
      <c r="J7554" t="inlineStr"/>
      <c r="K7554" t="inlineStr"/>
      <c r="L7554" t="inlineStr">
        <is>
          <t>EAW52970.1 transmembrane protein 79, isoform CRA_a [Homo sapiens]</t>
        </is>
      </c>
      <c r="M7554" t="n">
        <v>235</v>
      </c>
      <c r="N7554" t="inlineStr">
        <is>
          <t>Homo sapiens</t>
        </is>
      </c>
      <c r="O7554" t="inlineStr">
        <is>
          <t>transmembrane protein 79, isoform CRA_a</t>
        </is>
      </c>
    </row>
    <row r="7555">
      <c r="A7555" t="inlineStr"/>
      <c r="B7555" t="inlineStr"/>
      <c r="C7555" t="inlineStr"/>
      <c r="D7555" t="inlineStr"/>
      <c r="E7555">
        <f>HYPERLINK("https://www.ncbi.nlm.nih.gov/gene/?term=XP_029437339.1", "XP_029437339.1")</f>
        <v/>
      </c>
      <c r="F7555" t="n">
        <v>58.9</v>
      </c>
      <c r="G7555" t="n">
        <v>197</v>
      </c>
      <c r="H7555" t="n">
        <v>2.7e-59</v>
      </c>
      <c r="I7555" t="inlineStr">
        <is>
          <t>Nr</t>
        </is>
      </c>
      <c r="J7555" t="inlineStr"/>
      <c r="K7555" t="inlineStr"/>
      <c r="L7555" t="inlineStr">
        <is>
          <t>XP_029437339.1 transmembrane protein 79 [Rhinatrema bivittatum]</t>
        </is>
      </c>
      <c r="M7555" t="n">
        <v>419</v>
      </c>
      <c r="N7555" t="inlineStr">
        <is>
          <t>Rhinatrema bivittatum</t>
        </is>
      </c>
      <c r="O7555" t="inlineStr">
        <is>
          <t>transmembrane protein 79</t>
        </is>
      </c>
    </row>
    <row r="7556">
      <c r="A7556" t="inlineStr"/>
      <c r="B7556" t="inlineStr"/>
      <c r="C7556" t="inlineStr"/>
      <c r="D7556" t="inlineStr"/>
      <c r="E7556">
        <f>HYPERLINK("https://www.ncbi.nlm.nih.gov/gene/?term=XP_043819155.1", "XP_043819155.1")</f>
        <v/>
      </c>
      <c r="F7556" t="n">
        <v>53.8</v>
      </c>
      <c r="G7556" t="n">
        <v>212</v>
      </c>
      <c r="H7556" t="n">
        <v>9.310000000000001e-59</v>
      </c>
      <c r="I7556" t="inlineStr">
        <is>
          <t>Nr</t>
        </is>
      </c>
      <c r="J7556" t="inlineStr"/>
      <c r="K7556" t="inlineStr"/>
      <c r="L7556" t="inlineStr">
        <is>
          <t>XP_043819155.1 transmembrane protein 79 [Dromiciops gliroides]</t>
        </is>
      </c>
      <c r="M7556" t="n">
        <v>379</v>
      </c>
      <c r="N7556" t="inlineStr">
        <is>
          <t>Dromiciops gliroides</t>
        </is>
      </c>
      <c r="O7556" t="inlineStr">
        <is>
          <t>transmembrane protein 79</t>
        </is>
      </c>
    </row>
    <row r="7557">
      <c r="A7557" t="inlineStr"/>
      <c r="B7557" t="inlineStr"/>
      <c r="C7557" t="inlineStr"/>
      <c r="D7557" t="inlineStr"/>
      <c r="E7557">
        <f>HYPERLINK("https://www.uniprot.org/uniprotkb/F6XIM1/entry", "F6XIM1")</f>
        <v/>
      </c>
      <c r="F7557" t="n">
        <v>53.8</v>
      </c>
      <c r="G7557" t="n">
        <v>212</v>
      </c>
      <c r="H7557" t="n">
        <v>9.720000000000001e-59</v>
      </c>
      <c r="I7557" t="inlineStr">
        <is>
          <t>TrEMBL</t>
        </is>
      </c>
      <c r="J7557" t="inlineStr">
        <is>
          <t>TMEM79</t>
        </is>
      </c>
      <c r="K7557" t="inlineStr">
        <is>
          <t>F6XIM1_MONDO</t>
        </is>
      </c>
      <c r="L7557" t="inlineStr">
        <is>
          <t>tr|F6XIM1|F6XIM1_MONDO Transmembrane protein 79 OS=Monodelphis domestica OX=13616 GN=TMEM79 PE=4 SV=1</t>
        </is>
      </c>
      <c r="M7557" t="n">
        <v>379</v>
      </c>
      <c r="N7557" t="inlineStr">
        <is>
          <t>Monodelphis domestica</t>
        </is>
      </c>
      <c r="O7557" t="inlineStr">
        <is>
          <t>Transmembrane protein 79</t>
        </is>
      </c>
    </row>
    <row r="7558">
      <c r="A7558" t="inlineStr"/>
      <c r="B7558" t="inlineStr"/>
      <c r="C7558" t="inlineStr"/>
      <c r="D7558" t="inlineStr"/>
      <c r="E7558">
        <f>HYPERLINK("https://www.ncbi.nlm.nih.gov/gene/?term=XP_053134298.1", "XP_053134298.1")</f>
        <v/>
      </c>
      <c r="F7558" t="n">
        <v>58.6</v>
      </c>
      <c r="G7558" t="n">
        <v>181</v>
      </c>
      <c r="H7558" t="n">
        <v>1.03e-58</v>
      </c>
      <c r="I7558" t="inlineStr">
        <is>
          <t>Nr</t>
        </is>
      </c>
      <c r="J7558" t="inlineStr"/>
      <c r="K7558" t="inlineStr"/>
      <c r="L7558" t="inlineStr">
        <is>
          <t>XP_053134298.1 transmembrane protein 79 [Hemicordylus capensis]</t>
        </is>
      </c>
      <c r="M7558" t="n">
        <v>395</v>
      </c>
      <c r="N7558" t="inlineStr">
        <is>
          <t>Hemicordylus capensis</t>
        </is>
      </c>
      <c r="O7558" t="inlineStr">
        <is>
          <t>transmembrane protein 79</t>
        </is>
      </c>
    </row>
    <row r="7559">
      <c r="A7559" t="inlineStr"/>
      <c r="B7559" t="inlineStr"/>
      <c r="C7559" t="inlineStr"/>
      <c r="D7559" t="inlineStr"/>
      <c r="E7559">
        <f>HYPERLINK("https://www.uniprot.org/uniprotkb/A0A2K6DFN9/entry", "A0A2K6DFN9")</f>
        <v/>
      </c>
      <c r="F7559" t="n">
        <v>60.8</v>
      </c>
      <c r="G7559" t="n">
        <v>176</v>
      </c>
      <c r="H7559" t="n">
        <v>1.05e-58</v>
      </c>
      <c r="I7559" t="inlineStr">
        <is>
          <t>TrEMBL</t>
        </is>
      </c>
      <c r="J7559" t="inlineStr">
        <is>
          <t>TMEM79</t>
        </is>
      </c>
      <c r="K7559" t="inlineStr">
        <is>
          <t>A0A2K6DFN9_MACNE</t>
        </is>
      </c>
      <c r="L7559" t="inlineStr">
        <is>
          <t>tr|A0A2K6DFN9|A0A2K6DFN9_MACNE Transmembrane protein 79 OS=Macaca nemestrina OX=9545 GN=TMEM79 PE=4 SV=1</t>
        </is>
      </c>
      <c r="M7559" t="n">
        <v>394</v>
      </c>
      <c r="N7559" t="inlineStr">
        <is>
          <t>Macaca nemestrina</t>
        </is>
      </c>
      <c r="O7559" t="inlineStr">
        <is>
          <t>Transmembrane protein 79</t>
        </is>
      </c>
    </row>
    <row r="7560">
      <c r="A7560" t="inlineStr"/>
      <c r="B7560" t="inlineStr"/>
      <c r="C7560" t="inlineStr"/>
      <c r="D7560" t="inlineStr"/>
      <c r="E7560">
        <f>HYPERLINK("https://www.uniprot.org/uniprotkb/A0A8J8Y9F0/entry", "A0A8J8Y9F0")</f>
        <v/>
      </c>
      <c r="F7560" t="n">
        <v>60.8</v>
      </c>
      <c r="G7560" t="n">
        <v>176</v>
      </c>
      <c r="H7560" t="n">
        <v>1.05e-58</v>
      </c>
      <c r="I7560" t="inlineStr">
        <is>
          <t>TrEMBL</t>
        </is>
      </c>
      <c r="J7560" t="inlineStr">
        <is>
          <t>EGK_01415</t>
        </is>
      </c>
      <c r="K7560" t="inlineStr">
        <is>
          <t>A0A8J8Y9F0_MACMU</t>
        </is>
      </c>
      <c r="L7560" t="inlineStr">
        <is>
          <t>tr|A0A8J8Y9F0|A0A8J8Y9F0_MACMU Transmembrane protein 79 OS=Macaca mulatta OX=9544 GN=EGK_01415 PE=4 SV=1</t>
        </is>
      </c>
      <c r="M7560" t="n">
        <v>394</v>
      </c>
      <c r="N7560" t="inlineStr">
        <is>
          <t>Macaca mulatta</t>
        </is>
      </c>
      <c r="O7560" t="inlineStr">
        <is>
          <t>Transmembrane protein 79</t>
        </is>
      </c>
    </row>
    <row r="7561">
      <c r="A7561" t="inlineStr"/>
      <c r="B7561" t="inlineStr"/>
      <c r="C7561" t="inlineStr"/>
      <c r="D7561" t="inlineStr"/>
      <c r="E7561">
        <f>HYPERLINK("https://www.uniprot.org/uniprotkb/F7H8J8/entry", "F7H8J8")</f>
        <v/>
      </c>
      <c r="F7561" t="n">
        <v>60.8</v>
      </c>
      <c r="G7561" t="n">
        <v>176</v>
      </c>
      <c r="H7561" t="n">
        <v>1.05e-58</v>
      </c>
      <c r="I7561" t="inlineStr">
        <is>
          <t>TrEMBL</t>
        </is>
      </c>
      <c r="J7561" t="inlineStr">
        <is>
          <t>TMEM79</t>
        </is>
      </c>
      <c r="K7561" t="inlineStr">
        <is>
          <t>F7H8J8_MACMU</t>
        </is>
      </c>
      <c r="L7561" t="inlineStr">
        <is>
          <t>tr|F7H8J8|F7H8J8_MACMU Transmembrane protein 79 OS=Macaca mulatta OX=9544 GN=TMEM79 PE=4 SV=1</t>
        </is>
      </c>
      <c r="M7561" t="n">
        <v>394</v>
      </c>
      <c r="N7561" t="inlineStr">
        <is>
          <t>Macaca mulatta</t>
        </is>
      </c>
      <c r="O7561" t="inlineStr">
        <is>
          <t>Transmembrane protein 79</t>
        </is>
      </c>
    </row>
    <row r="7562">
      <c r="A7562" t="inlineStr"/>
      <c r="B7562" t="inlineStr"/>
      <c r="C7562" t="inlineStr"/>
      <c r="D7562" t="inlineStr"/>
      <c r="E7562">
        <f>HYPERLINK("https://www.uniprot.org/uniprotkb/A0A6G1RFP0/entry", "A0A6G1RFP0")</f>
        <v/>
      </c>
      <c r="F7562" t="n">
        <v>59.3</v>
      </c>
      <c r="G7562" t="n">
        <v>172</v>
      </c>
      <c r="H7562" t="n">
        <v>1.13e-58</v>
      </c>
      <c r="I7562" t="inlineStr">
        <is>
          <t>TrEMBL</t>
        </is>
      </c>
      <c r="J7562" t="inlineStr"/>
      <c r="K7562" t="inlineStr">
        <is>
          <t>A0A6G1RFP0_9GRUI</t>
        </is>
      </c>
      <c r="L7562" t="inlineStr">
        <is>
          <t>tr|A0A6G1RFP0|A0A6G1RFP0_9GRUI Transmembrane protein 79-like (Fragment) OS=Hypotaenidia okinawae OX=2861861 PE=4 SV=1</t>
        </is>
      </c>
      <c r="M7562" t="n">
        <v>238</v>
      </c>
      <c r="N7562" t="inlineStr">
        <is>
          <t>Hypotaenidia okinawae</t>
        </is>
      </c>
      <c r="O7562" t="inlineStr">
        <is>
          <t>Transmembrane protein 79-like (Fragment)</t>
        </is>
      </c>
    </row>
    <row r="7563">
      <c r="A7563" t="inlineStr"/>
      <c r="B7563" t="inlineStr"/>
      <c r="C7563" t="inlineStr"/>
      <c r="D7563" t="inlineStr"/>
      <c r="E7563">
        <f>HYPERLINK("https://www.uniprot.org/uniprotkb/A0A6P5KNE9/entry", "A0A6P5KNE9")</f>
        <v/>
      </c>
      <c r="F7563" t="n">
        <v>53.3</v>
      </c>
      <c r="G7563" t="n">
        <v>212</v>
      </c>
      <c r="H7563" t="n">
        <v>1.35e-58</v>
      </c>
      <c r="I7563" t="inlineStr">
        <is>
          <t>TrEMBL</t>
        </is>
      </c>
      <c r="J7563" t="inlineStr">
        <is>
          <t>TMEM79</t>
        </is>
      </c>
      <c r="K7563" t="inlineStr">
        <is>
          <t>A0A6P5KNE9_PHACI</t>
        </is>
      </c>
      <c r="L7563" t="inlineStr">
        <is>
          <t>tr|A0A6P5KNE9|A0A6P5KNE9_PHACI transmembrane protein 79 OS=Phascolarctos cinereus OX=38626 GN=TMEM79 PE=4 SV=1</t>
        </is>
      </c>
      <c r="M7563" t="n">
        <v>379</v>
      </c>
      <c r="N7563" t="inlineStr">
        <is>
          <t>Phascolarctos cinereus</t>
        </is>
      </c>
      <c r="O7563" t="inlineStr">
        <is>
          <t>transmembrane protein 79</t>
        </is>
      </c>
    </row>
    <row r="7564">
      <c r="A7564" t="inlineStr"/>
      <c r="B7564" t="inlineStr"/>
      <c r="C7564" t="inlineStr"/>
      <c r="D7564" t="inlineStr"/>
      <c r="E7564">
        <f>HYPERLINK("https://www.uniprot.org/uniprotkb/G1RPJ9/entry", "G1RPJ9")</f>
        <v/>
      </c>
      <c r="F7564" t="n">
        <v>52.3</v>
      </c>
      <c r="G7564" t="n">
        <v>220</v>
      </c>
      <c r="H7564" t="n">
        <v>2.02e-58</v>
      </c>
      <c r="I7564" t="inlineStr">
        <is>
          <t>TrEMBL</t>
        </is>
      </c>
      <c r="J7564" t="inlineStr">
        <is>
          <t>TMEM79</t>
        </is>
      </c>
      <c r="K7564" t="inlineStr">
        <is>
          <t>G1RPJ9_NOMLE</t>
        </is>
      </c>
      <c r="L7564" t="inlineStr">
        <is>
          <t>tr|G1RPJ9|G1RPJ9_NOMLE Transmembrane protein 79 OS=Nomascus leucogenys OX=61853 GN=TMEM79 PE=4 SV=1</t>
        </is>
      </c>
      <c r="M7564" t="n">
        <v>394</v>
      </c>
      <c r="N7564" t="inlineStr">
        <is>
          <t>Nomascus leucogenys</t>
        </is>
      </c>
      <c r="O7564" t="inlineStr">
        <is>
          <t>Transmembrane protein 79</t>
        </is>
      </c>
    </row>
    <row r="7565">
      <c r="A7565" t="inlineStr"/>
      <c r="B7565" t="inlineStr"/>
      <c r="C7565" t="inlineStr"/>
      <c r="D7565" t="inlineStr"/>
      <c r="E7565">
        <f>HYPERLINK("https://www.ncbi.nlm.nih.gov/gene/?term=XP_001374761.1", "XP_001374761.1")</f>
        <v/>
      </c>
      <c r="F7565" t="n">
        <v>53.8</v>
      </c>
      <c r="G7565" t="n">
        <v>212</v>
      </c>
      <c r="H7565" t="n">
        <v>2.5e-58</v>
      </c>
      <c r="I7565" t="inlineStr">
        <is>
          <t>Nr</t>
        </is>
      </c>
      <c r="J7565" t="inlineStr"/>
      <c r="K7565" t="inlineStr"/>
      <c r="L7565" t="inlineStr">
        <is>
          <t>XP_001374761.1 PREDICTED: transmembrane protein 79 [Monodelphis domestica]</t>
        </is>
      </c>
      <c r="M7565" t="n">
        <v>379</v>
      </c>
      <c r="N7565" t="inlineStr">
        <is>
          <t>Monodelphis domestica</t>
        </is>
      </c>
      <c r="O7565" t="inlineStr">
        <is>
          <t>PREDICTED: transmembrane protein 79</t>
        </is>
      </c>
    </row>
    <row r="7566">
      <c r="A7566" t="inlineStr"/>
      <c r="B7566" t="inlineStr"/>
      <c r="C7566" t="inlineStr"/>
      <c r="D7566" t="inlineStr"/>
      <c r="E7566">
        <f>HYPERLINK("https://www.ncbi.nlm.nih.gov/gene/?term=XP_050610841.1", "XP_050610841.1")</f>
        <v/>
      </c>
      <c r="F7566" t="n">
        <v>60.8</v>
      </c>
      <c r="G7566" t="n">
        <v>176</v>
      </c>
      <c r="H7566" t="n">
        <v>2.69e-58</v>
      </c>
      <c r="I7566" t="inlineStr">
        <is>
          <t>Nr</t>
        </is>
      </c>
      <c r="J7566" t="inlineStr"/>
      <c r="K7566" t="inlineStr"/>
      <c r="L7566" t="inlineStr">
        <is>
          <t>XP_050610841.1 transmembrane protein 79 [Macaca thibetana thibetana]</t>
        </is>
      </c>
      <c r="M7566" t="n">
        <v>394</v>
      </c>
      <c r="N7566" t="inlineStr">
        <is>
          <t>Macaca thibetana thibetana</t>
        </is>
      </c>
      <c r="O7566" t="inlineStr">
        <is>
          <t>transmembrane protein 79</t>
        </is>
      </c>
    </row>
    <row r="7567">
      <c r="A7567" t="inlineStr"/>
      <c r="B7567" t="inlineStr"/>
      <c r="C7567" t="inlineStr"/>
      <c r="D7567" t="inlineStr"/>
      <c r="E7567">
        <f>HYPERLINK("https://www.ncbi.nlm.nih.gov/gene/?term=XP_011768101.1", "XP_011768101.1")</f>
        <v/>
      </c>
      <c r="F7567" t="n">
        <v>60.8</v>
      </c>
      <c r="G7567" t="n">
        <v>176</v>
      </c>
      <c r="H7567" t="n">
        <v>2.69e-58</v>
      </c>
      <c r="I7567" t="inlineStr">
        <is>
          <t>Nr</t>
        </is>
      </c>
      <c r="J7567" t="inlineStr"/>
      <c r="K7567" t="inlineStr"/>
      <c r="L7567" t="inlineStr">
        <is>
          <t>XP_011768101.1 transmembrane protein 79 [Macaca nemestrina]</t>
        </is>
      </c>
      <c r="M7567" t="n">
        <v>394</v>
      </c>
      <c r="N7567" t="inlineStr">
        <is>
          <t>Macaca nemestrina</t>
        </is>
      </c>
      <c r="O7567" t="inlineStr">
        <is>
          <t>transmembrane protein 79</t>
        </is>
      </c>
    </row>
    <row r="7568">
      <c r="A7568" t="inlineStr"/>
      <c r="B7568" t="inlineStr"/>
      <c r="C7568" t="inlineStr"/>
      <c r="D7568" t="inlineStr"/>
      <c r="E7568">
        <f>HYPERLINK("https://www.uniprot.org/uniprotkb/G3REA6/entry", "G3REA6")</f>
        <v/>
      </c>
      <c r="F7568" t="n">
        <v>59.7</v>
      </c>
      <c r="G7568" t="n">
        <v>176</v>
      </c>
      <c r="H7568" t="n">
        <v>2.8e-58</v>
      </c>
      <c r="I7568" t="inlineStr">
        <is>
          <t>TrEMBL</t>
        </is>
      </c>
      <c r="J7568" t="inlineStr">
        <is>
          <t>TMEM79</t>
        </is>
      </c>
      <c r="K7568" t="inlineStr">
        <is>
          <t>G3REA6_GORGO</t>
        </is>
      </c>
      <c r="L7568" t="inlineStr">
        <is>
          <t>tr|G3REA6|G3REA6_GORGO Transmembrane protein 79 OS=Gorilla gorilla gorilla OX=9595 GN=TMEM79 PE=4 SV=1</t>
        </is>
      </c>
      <c r="M7568" t="n">
        <v>394</v>
      </c>
      <c r="N7568" t="inlineStr">
        <is>
          <t>Gorilla gorilla gorilla</t>
        </is>
      </c>
      <c r="O7568" t="inlineStr">
        <is>
          <t>Transmembrane protein 79</t>
        </is>
      </c>
    </row>
    <row r="7569">
      <c r="A7569" t="inlineStr"/>
      <c r="B7569" t="inlineStr"/>
      <c r="C7569" t="inlineStr"/>
      <c r="D7569" t="inlineStr"/>
      <c r="E7569">
        <f>HYPERLINK("https://www.uniprot.org/uniprotkb/A0A6P7WZ72/entry", "A0A6P7WZ72")</f>
        <v/>
      </c>
      <c r="F7569" t="n">
        <v>58.1</v>
      </c>
      <c r="G7569" t="n">
        <v>198</v>
      </c>
      <c r="H7569" t="n">
        <v>3.41e-58</v>
      </c>
      <c r="I7569" t="inlineStr">
        <is>
          <t>TrEMBL</t>
        </is>
      </c>
      <c r="J7569" t="inlineStr">
        <is>
          <t>TMEM79</t>
        </is>
      </c>
      <c r="K7569" t="inlineStr">
        <is>
          <t>A0A6P7WZ72_9AMPH</t>
        </is>
      </c>
      <c r="L7569" t="inlineStr">
        <is>
          <t>tr|A0A6P7WZ72|A0A6P7WZ72_9AMPH transmembrane protein 79 OS=Microcaecilia unicolor OX=1415580 GN=TMEM79 PE=4 SV=1</t>
        </is>
      </c>
      <c r="M7569" t="n">
        <v>414</v>
      </c>
      <c r="N7569" t="inlineStr">
        <is>
          <t>Microcaecilia unicolor</t>
        </is>
      </c>
      <c r="O7569" t="inlineStr">
        <is>
          <t>transmembrane protein 79</t>
        </is>
      </c>
    </row>
    <row r="7570">
      <c r="A7570" t="inlineStr"/>
      <c r="B7570" t="inlineStr"/>
      <c r="C7570" t="inlineStr"/>
      <c r="D7570" t="inlineStr"/>
      <c r="E7570">
        <f>HYPERLINK("https://www.uniprot.org/uniprotkb/G3WN02/entry", "G3WN02")</f>
        <v/>
      </c>
      <c r="F7570" t="n">
        <v>60.8</v>
      </c>
      <c r="G7570" t="n">
        <v>171</v>
      </c>
      <c r="H7570" t="n">
        <v>3.62e-58</v>
      </c>
      <c r="I7570" t="inlineStr">
        <is>
          <t>TrEMBL</t>
        </is>
      </c>
      <c r="J7570" t="inlineStr">
        <is>
          <t>TMEM79</t>
        </is>
      </c>
      <c r="K7570" t="inlineStr">
        <is>
          <t>G3WN02_SARHA</t>
        </is>
      </c>
      <c r="L7570" t="inlineStr">
        <is>
          <t>tr|G3WN02|G3WN02_SARHA Transmembrane protein 79 OS=Sarcophilus harrisii OX=9305 GN=TMEM79 PE=4 SV=1</t>
        </is>
      </c>
      <c r="M7570" t="n">
        <v>379</v>
      </c>
      <c r="N7570" t="inlineStr">
        <is>
          <t>Sarcophilus harrisii</t>
        </is>
      </c>
      <c r="O7570" t="inlineStr">
        <is>
          <t>Transmembrane protein 79</t>
        </is>
      </c>
    </row>
    <row r="7571">
      <c r="A7571" t="inlineStr"/>
      <c r="B7571" t="inlineStr"/>
      <c r="C7571" t="inlineStr"/>
      <c r="D7571" t="inlineStr"/>
      <c r="E7571">
        <f>HYPERLINK("https://www.uniprot.org/uniprotkb/A0A2J8VGS2/entry", "A0A2J8VGS2")</f>
        <v/>
      </c>
      <c r="F7571" t="n">
        <v>59.7</v>
      </c>
      <c r="G7571" t="n">
        <v>176</v>
      </c>
      <c r="H7571" t="n">
        <v>3.89e-58</v>
      </c>
      <c r="I7571" t="inlineStr">
        <is>
          <t>TrEMBL</t>
        </is>
      </c>
      <c r="J7571" t="inlineStr">
        <is>
          <t>TMEM79</t>
        </is>
      </c>
      <c r="K7571" t="inlineStr">
        <is>
          <t>A0A2J8VGS2_PONAB</t>
        </is>
      </c>
      <c r="L7571" t="inlineStr">
        <is>
          <t>tr|A0A2J8VGS2|A0A2J8VGS2_PONAB TMEM79 isoform 2 OS=Pongo abelii OX=9601 GN=TMEM79 PE=4 SV=1</t>
        </is>
      </c>
      <c r="M7571" t="n">
        <v>394</v>
      </c>
      <c r="N7571" t="inlineStr">
        <is>
          <t>Pongo abelii</t>
        </is>
      </c>
      <c r="O7571" t="inlineStr">
        <is>
          <t>TMEM79 isoform 2</t>
        </is>
      </c>
    </row>
    <row r="7572">
      <c r="A7572" t="inlineStr"/>
      <c r="B7572" t="inlineStr"/>
      <c r="C7572" t="inlineStr"/>
      <c r="D7572" t="inlineStr"/>
      <c r="E7572">
        <f>HYPERLINK("https://www.uniprot.org/uniprotkb/H2Q093/entry", "H2Q093")</f>
        <v/>
      </c>
      <c r="F7572" t="n">
        <v>59.7</v>
      </c>
      <c r="G7572" t="n">
        <v>176</v>
      </c>
      <c r="H7572" t="n">
        <v>3.89e-58</v>
      </c>
      <c r="I7572" t="inlineStr">
        <is>
          <t>TrEMBL</t>
        </is>
      </c>
      <c r="J7572" t="inlineStr">
        <is>
          <t>TMEM79</t>
        </is>
      </c>
      <c r="K7572" t="inlineStr">
        <is>
          <t>H2Q093_PANTR</t>
        </is>
      </c>
      <c r="L7572" t="inlineStr">
        <is>
          <t>tr|H2Q093|H2Q093_PANTR Transmembrane protein 79 OS=Pan troglodytes OX=9598 GN=TMEM79 PE=4 SV=1</t>
        </is>
      </c>
      <c r="M7572" t="n">
        <v>394</v>
      </c>
      <c r="N7572" t="inlineStr">
        <is>
          <t>Pan troglodytes</t>
        </is>
      </c>
      <c r="O7572" t="inlineStr">
        <is>
          <t>Transmembrane protein 79</t>
        </is>
      </c>
    </row>
    <row r="7573">
      <c r="A7573" t="inlineStr"/>
      <c r="B7573" t="inlineStr"/>
      <c r="C7573" t="inlineStr"/>
      <c r="D7573" t="inlineStr"/>
      <c r="E7573">
        <f>HYPERLINK("https://www.uniprot.org/uniprotkb/A0A6D2XD32/entry", "A0A6D2XD32")</f>
        <v/>
      </c>
      <c r="F7573" t="n">
        <v>59.7</v>
      </c>
      <c r="G7573" t="n">
        <v>176</v>
      </c>
      <c r="H7573" t="n">
        <v>3.89e-58</v>
      </c>
      <c r="I7573" t="inlineStr">
        <is>
          <t>TrEMBL</t>
        </is>
      </c>
      <c r="J7573" t="inlineStr">
        <is>
          <t>CK820_G0041303</t>
        </is>
      </c>
      <c r="K7573" t="inlineStr">
        <is>
          <t>A0A6D2XD32_PANTR</t>
        </is>
      </c>
      <c r="L7573" t="inlineStr">
        <is>
          <t>tr|A0A6D2XD32|A0A6D2XD32_PANTR TMEM79 isoform 2 OS=Pan troglodytes OX=9598 GN=CK820_G0041303 PE=4 SV=1</t>
        </is>
      </c>
      <c r="M7573" t="n">
        <v>394</v>
      </c>
      <c r="N7573" t="inlineStr">
        <is>
          <t>Pan troglodytes</t>
        </is>
      </c>
      <c r="O7573" t="inlineStr">
        <is>
          <t>TMEM79 isoform 2</t>
        </is>
      </c>
    </row>
    <row r="7574">
      <c r="A7574" t="inlineStr"/>
      <c r="B7574" t="inlineStr"/>
      <c r="C7574" t="inlineStr"/>
      <c r="D7574" t="inlineStr"/>
      <c r="E7574">
        <f>HYPERLINK("https://www.uniprot.org/uniprotkb/A0A2K6R7B7/entry", "A0A2K6R7B7")</f>
        <v/>
      </c>
      <c r="F7574" t="n">
        <v>60.2</v>
      </c>
      <c r="G7574" t="n">
        <v>176</v>
      </c>
      <c r="H7574" t="n">
        <v>3.89e-58</v>
      </c>
      <c r="I7574" t="inlineStr">
        <is>
          <t>TrEMBL</t>
        </is>
      </c>
      <c r="J7574" t="inlineStr"/>
      <c r="K7574" t="inlineStr">
        <is>
          <t>A0A2K6R7B7_RHIRO</t>
        </is>
      </c>
      <c r="L7574" t="inlineStr">
        <is>
          <t>tr|A0A2K6R7B7|A0A2K6R7B7_RHIRO Transmembrane protein 79 OS=Rhinopithecus roxellana OX=61622 PE=4 SV=1</t>
        </is>
      </c>
      <c r="M7574" t="n">
        <v>394</v>
      </c>
      <c r="N7574" t="inlineStr">
        <is>
          <t>Rhinopithecus roxellana</t>
        </is>
      </c>
      <c r="O7574" t="inlineStr">
        <is>
          <t>Transmembrane protein 79</t>
        </is>
      </c>
    </row>
    <row r="7575">
      <c r="A7575" t="inlineStr"/>
      <c r="B7575" t="inlineStr"/>
      <c r="C7575" t="inlineStr"/>
      <c r="D7575" t="inlineStr"/>
      <c r="E7575">
        <f>HYPERLINK("https://www.uniprot.org/uniprotkb/I2CW07/entry", "I2CW07")</f>
        <v/>
      </c>
      <c r="F7575" t="n">
        <v>60.2</v>
      </c>
      <c r="G7575" t="n">
        <v>176</v>
      </c>
      <c r="H7575" t="n">
        <v>3.89e-58</v>
      </c>
      <c r="I7575" t="inlineStr">
        <is>
          <t>TrEMBL</t>
        </is>
      </c>
      <c r="J7575" t="inlineStr">
        <is>
          <t>TMEM79</t>
        </is>
      </c>
      <c r="K7575" t="inlineStr">
        <is>
          <t>I2CW07_MACMU</t>
        </is>
      </c>
      <c r="L7575" t="inlineStr">
        <is>
          <t>tr|I2CW07|I2CW07_MACMU Transmembrane protein 79 OS=Macaca mulatta OX=9544 GN=TMEM79 PE=2 SV=1</t>
        </is>
      </c>
      <c r="M7575" t="n">
        <v>394</v>
      </c>
      <c r="N7575" t="inlineStr">
        <is>
          <t>Macaca mulatta</t>
        </is>
      </c>
      <c r="O7575" t="inlineStr">
        <is>
          <t>Transmembrane protein 79</t>
        </is>
      </c>
    </row>
    <row r="7576">
      <c r="A7576" t="inlineStr"/>
      <c r="B7576" t="inlineStr"/>
      <c r="C7576" t="inlineStr"/>
      <c r="D7576" t="inlineStr"/>
      <c r="E7576">
        <f>HYPERLINK("https://www.uniprot.org/uniprotkb/Q5E9U3/entry", "Q5E9U3")</f>
        <v/>
      </c>
      <c r="F7576" t="n">
        <v>57.7</v>
      </c>
      <c r="G7576" t="n">
        <v>175</v>
      </c>
      <c r="H7576" t="n">
        <v>5.1e-58</v>
      </c>
      <c r="I7576" t="inlineStr">
        <is>
          <t>Swiss-Prot</t>
        </is>
      </c>
      <c r="J7576" t="inlineStr">
        <is>
          <t>TMEM79</t>
        </is>
      </c>
      <c r="K7576" t="inlineStr">
        <is>
          <t>TMM79_BOVIN</t>
        </is>
      </c>
      <c r="L7576" t="inlineStr">
        <is>
          <t>sp|Q5E9U3|TMM79_BOVIN Transmembrane protein 79 OS=Bos taurus OX=9913 GN=TMEM79 PE=2 SV=1</t>
        </is>
      </c>
      <c r="M7576" t="n">
        <v>395</v>
      </c>
      <c r="N7576" t="inlineStr">
        <is>
          <t>Bos taurus</t>
        </is>
      </c>
      <c r="O7576" t="inlineStr">
        <is>
          <t>Transmembrane protein 79</t>
        </is>
      </c>
    </row>
    <row r="7577">
      <c r="A7577" t="inlineStr">
        <is>
          <t>NODE_55246_length_2785_cov_280.997057_g19006_i0</t>
        </is>
      </c>
      <c r="B7577" t="inlineStr">
        <is>
          <t>bombina_pachypus_blastx</t>
        </is>
      </c>
      <c r="C7577" t="n">
        <v>12.1469158996387</v>
      </c>
      <c r="D7577" t="n">
        <v>1.1094323063154e-17</v>
      </c>
      <c r="E7577">
        <f>HYPERLINK("https://www.ncbi.nlm.nih.gov/gene/?term=XP_053329276.1", "XP_053329276.1")</f>
        <v/>
      </c>
      <c r="F7577" t="n">
        <v>60.7</v>
      </c>
      <c r="G7577" t="n">
        <v>234</v>
      </c>
      <c r="H7577" t="n">
        <v>9.519999999999999e-96</v>
      </c>
      <c r="I7577" t="inlineStr">
        <is>
          <t>Nr</t>
        </is>
      </c>
      <c r="J7577" t="inlineStr"/>
      <c r="K7577" t="inlineStr"/>
      <c r="L7577" t="inlineStr">
        <is>
          <t>XP_053329276.1 RLA class II histocompatibility antigen, DP alpha-1 chain-like [Spea bombifrons]</t>
        </is>
      </c>
      <c r="M7577" t="n">
        <v>271</v>
      </c>
      <c r="N7577" t="inlineStr">
        <is>
          <t>Spea bombifrons</t>
        </is>
      </c>
      <c r="O7577" t="inlineStr">
        <is>
          <t>RLA class II histocompatibility antigen, DP alpha-1 chain-like</t>
        </is>
      </c>
    </row>
    <row r="7578">
      <c r="A7578" t="inlineStr"/>
      <c r="B7578" t="inlineStr"/>
      <c r="C7578" t="inlineStr"/>
      <c r="D7578" t="inlineStr"/>
      <c r="E7578">
        <f>HYPERLINK("https://www.ncbi.nlm.nih.gov/gene/?term=XP_044161238.1", "XP_044161238.1")</f>
        <v/>
      </c>
      <c r="F7578" t="n">
        <v>62.8</v>
      </c>
      <c r="G7578" t="n">
        <v>239</v>
      </c>
      <c r="H7578" t="n">
        <v>1.34e-95</v>
      </c>
      <c r="I7578" t="inlineStr">
        <is>
          <t>Nr</t>
        </is>
      </c>
      <c r="J7578" t="inlineStr"/>
      <c r="K7578" t="inlineStr"/>
      <c r="L7578" t="inlineStr">
        <is>
          <t>XP_044161238.1 HLA class II histocompatibility antigen, DR alpha chain-like [Bufo gargarizans]</t>
        </is>
      </c>
      <c r="M7578" t="n">
        <v>250</v>
      </c>
      <c r="N7578" t="inlineStr">
        <is>
          <t>Bufo gargarizans</t>
        </is>
      </c>
      <c r="O7578" t="inlineStr">
        <is>
          <t>HLA class II histocompatibility antigen, DR alpha chain-like</t>
        </is>
      </c>
    </row>
    <row r="7579">
      <c r="A7579" t="inlineStr"/>
      <c r="B7579" t="inlineStr"/>
      <c r="C7579" t="inlineStr"/>
      <c r="D7579" t="inlineStr"/>
      <c r="E7579">
        <f>HYPERLINK("https://www.uniprot.org/uniprotkb/A0A141QRY8/entry", "A0A141QRY8")</f>
        <v/>
      </c>
      <c r="F7579" t="n">
        <v>63.5</v>
      </c>
      <c r="G7579" t="n">
        <v>233</v>
      </c>
      <c r="H7579" t="n">
        <v>7.239999999999999e-95</v>
      </c>
      <c r="I7579" t="inlineStr">
        <is>
          <t>TrEMBL</t>
        </is>
      </c>
      <c r="J7579" t="inlineStr">
        <is>
          <t>RhmaDDA</t>
        </is>
      </c>
      <c r="K7579" t="inlineStr">
        <is>
          <t>A0A141QRY8_RHIMB</t>
        </is>
      </c>
      <c r="L7579" t="inlineStr">
        <is>
          <t>tr|A0A141QRY8|A0A141QRY8_RHIMB MHC class II alpha chain (Fragment) OS=Rhinella marina OX=8386 GN=RhmaDDA PE=2 SV=1</t>
        </is>
      </c>
      <c r="M7579" t="n">
        <v>245</v>
      </c>
      <c r="N7579" t="inlineStr">
        <is>
          <t>Rhinella marina</t>
        </is>
      </c>
      <c r="O7579" t="inlineStr">
        <is>
          <t>MHC class II alpha chain (Fragment)</t>
        </is>
      </c>
    </row>
    <row r="7580">
      <c r="A7580" t="inlineStr"/>
      <c r="B7580" t="inlineStr"/>
      <c r="C7580" t="inlineStr"/>
      <c r="D7580" t="inlineStr"/>
      <c r="E7580">
        <f>HYPERLINK("https://www.uniprot.org/uniprotkb/A0A141QRY1/entry", "A0A141QRY1")</f>
        <v/>
      </c>
      <c r="F7580" t="n">
        <v>61.8</v>
      </c>
      <c r="G7580" t="n">
        <v>241</v>
      </c>
      <c r="H7580" t="n">
        <v>1.22e-94</v>
      </c>
      <c r="I7580" t="inlineStr">
        <is>
          <t>TrEMBL</t>
        </is>
      </c>
      <c r="J7580" t="inlineStr">
        <is>
          <t>RhmaDBA</t>
        </is>
      </c>
      <c r="K7580" t="inlineStr">
        <is>
          <t>A0A141QRY1_RHIMB</t>
        </is>
      </c>
      <c r="L7580" t="inlineStr">
        <is>
          <t>tr|A0A141QRY1|A0A141QRY1_RHIMB MHC class II alpha chain OS=Rhinella marina OX=8386 GN=RhmaDBA PE=2 SV=1</t>
        </is>
      </c>
      <c r="M7580" t="n">
        <v>250</v>
      </c>
      <c r="N7580" t="inlineStr">
        <is>
          <t>Rhinella marina</t>
        </is>
      </c>
      <c r="O7580" t="inlineStr">
        <is>
          <t>MHC class II alpha chain</t>
        </is>
      </c>
    </row>
    <row r="7581">
      <c r="A7581" t="inlineStr"/>
      <c r="B7581" t="inlineStr"/>
      <c r="C7581" t="inlineStr"/>
      <c r="D7581" t="inlineStr"/>
      <c r="E7581">
        <f>HYPERLINK("https://www.uniprot.org/uniprotkb/A0A141QRY3/entry", "A0A141QRY3")</f>
        <v/>
      </c>
      <c r="F7581" t="n">
        <v>61.8</v>
      </c>
      <c r="G7581" t="n">
        <v>241</v>
      </c>
      <c r="H7581" t="n">
        <v>1.72e-94</v>
      </c>
      <c r="I7581" t="inlineStr">
        <is>
          <t>TrEMBL</t>
        </is>
      </c>
      <c r="J7581" t="inlineStr">
        <is>
          <t>RhmaDBA</t>
        </is>
      </c>
      <c r="K7581" t="inlineStr">
        <is>
          <t>A0A141QRY3_RHIMB</t>
        </is>
      </c>
      <c r="L7581" t="inlineStr">
        <is>
          <t>tr|A0A141QRY3|A0A141QRY3_RHIMB MHC class II alpha chain OS=Rhinella marina OX=8386 GN=RhmaDBA PE=2 SV=1</t>
        </is>
      </c>
      <c r="M7581" t="n">
        <v>250</v>
      </c>
      <c r="N7581" t="inlineStr">
        <is>
          <t>Rhinella marina</t>
        </is>
      </c>
      <c r="O7581" t="inlineStr">
        <is>
          <t>MHC class II alpha chain</t>
        </is>
      </c>
    </row>
    <row r="7582">
      <c r="A7582" t="inlineStr"/>
      <c r="B7582" t="inlineStr"/>
      <c r="C7582" t="inlineStr"/>
      <c r="D7582" t="inlineStr"/>
      <c r="E7582">
        <f>HYPERLINK("https://www.ncbi.nlm.nih.gov/gene/?term=AMD82118.1", "AMD82118.1")</f>
        <v/>
      </c>
      <c r="F7582" t="n">
        <v>63.5</v>
      </c>
      <c r="G7582" t="n">
        <v>233</v>
      </c>
      <c r="H7582" t="n">
        <v>1.86e-94</v>
      </c>
      <c r="I7582" t="inlineStr">
        <is>
          <t>Nr</t>
        </is>
      </c>
      <c r="J7582" t="inlineStr"/>
      <c r="K7582" t="inlineStr"/>
      <c r="L7582" t="inlineStr">
        <is>
          <t>AMD82118.1 MHC class II alpha chain, partial [Rhinella marina]</t>
        </is>
      </c>
      <c r="M7582" t="n">
        <v>245</v>
      </c>
      <c r="N7582" t="inlineStr">
        <is>
          <t>Rhinella marina</t>
        </is>
      </c>
      <c r="O7582" t="inlineStr">
        <is>
          <t>MHC class II alpha chain, partial</t>
        </is>
      </c>
    </row>
    <row r="7583">
      <c r="A7583" t="inlineStr"/>
      <c r="B7583" t="inlineStr"/>
      <c r="C7583" t="inlineStr"/>
      <c r="D7583" t="inlineStr"/>
      <c r="E7583">
        <f>HYPERLINK("https://www.ncbi.nlm.nih.gov/gene/?term=AMD82111.1", "AMD82111.1")</f>
        <v/>
      </c>
      <c r="F7583" t="n">
        <v>61.8</v>
      </c>
      <c r="G7583" t="n">
        <v>241</v>
      </c>
      <c r="H7583" t="n">
        <v>3.12e-94</v>
      </c>
      <c r="I7583" t="inlineStr">
        <is>
          <t>Nr</t>
        </is>
      </c>
      <c r="J7583" t="inlineStr"/>
      <c r="K7583" t="inlineStr"/>
      <c r="L7583" t="inlineStr">
        <is>
          <t>AMD82111.1 MHC class II alpha chain [Rhinella marina]</t>
        </is>
      </c>
      <c r="M7583" t="n">
        <v>250</v>
      </c>
      <c r="N7583" t="inlineStr">
        <is>
          <t>Rhinella marina</t>
        </is>
      </c>
      <c r="O7583" t="inlineStr">
        <is>
          <t>MHC class II alpha chain</t>
        </is>
      </c>
    </row>
    <row r="7584">
      <c r="A7584" t="inlineStr"/>
      <c r="B7584" t="inlineStr"/>
      <c r="C7584" t="inlineStr"/>
      <c r="D7584" t="inlineStr"/>
      <c r="E7584">
        <f>HYPERLINK("https://www.ncbi.nlm.nih.gov/gene/?term=AMD82113.1", "AMD82113.1")</f>
        <v/>
      </c>
      <c r="F7584" t="n">
        <v>61.8</v>
      </c>
      <c r="G7584" t="n">
        <v>241</v>
      </c>
      <c r="H7584" t="n">
        <v>4.43e-94</v>
      </c>
      <c r="I7584" t="inlineStr">
        <is>
          <t>Nr</t>
        </is>
      </c>
      <c r="J7584" t="inlineStr"/>
      <c r="K7584" t="inlineStr"/>
      <c r="L7584" t="inlineStr">
        <is>
          <t>AMD82113.1 MHC class II alpha chain [Rhinella marina]</t>
        </is>
      </c>
      <c r="M7584" t="n">
        <v>250</v>
      </c>
      <c r="N7584" t="inlineStr">
        <is>
          <t>Rhinella marina</t>
        </is>
      </c>
      <c r="O7584" t="inlineStr">
        <is>
          <t>MHC class II alpha chain</t>
        </is>
      </c>
    </row>
    <row r="7585">
      <c r="A7585" t="inlineStr"/>
      <c r="B7585" t="inlineStr"/>
      <c r="C7585" t="inlineStr"/>
      <c r="D7585" t="inlineStr"/>
      <c r="E7585">
        <f>HYPERLINK("https://www.uniprot.org/uniprotkb/A0A6P7XRP4/entry", "A0A6P7XRP4")</f>
        <v/>
      </c>
      <c r="F7585" t="n">
        <v>59.6</v>
      </c>
      <c r="G7585" t="n">
        <v>230</v>
      </c>
      <c r="H7585" t="n">
        <v>7.72e-94</v>
      </c>
      <c r="I7585" t="inlineStr">
        <is>
          <t>TrEMBL</t>
        </is>
      </c>
      <c r="J7585" t="inlineStr">
        <is>
          <t>LOC115466169</t>
        </is>
      </c>
      <c r="K7585" t="inlineStr">
        <is>
          <t>A0A6P7XRP4_9AMPH</t>
        </is>
      </c>
      <c r="L7585" t="inlineStr">
        <is>
          <t>tr|A0A6P7XRP4|A0A6P7XRP4_9AMPH HLA class II histocompatibility antigen, DR alpha chain-like OS=Microcaecilia unicolor OX=1415580 GN=LOC115466169 PE=4 SV=1</t>
        </is>
      </c>
      <c r="M7585" t="n">
        <v>253</v>
      </c>
      <c r="N7585" t="inlineStr">
        <is>
          <t>Microcaecilia unicolor</t>
        </is>
      </c>
      <c r="O7585" t="inlineStr">
        <is>
          <t>HLA class II histocompatibility antigen, DR alpha chain-like</t>
        </is>
      </c>
    </row>
    <row r="7586">
      <c r="A7586" t="inlineStr"/>
      <c r="B7586" t="inlineStr"/>
      <c r="C7586" t="inlineStr"/>
      <c r="D7586" t="inlineStr"/>
      <c r="E7586">
        <f>HYPERLINK("https://www.uniprot.org/uniprotkb/A0A141QRY2/entry", "A0A141QRY2")</f>
        <v/>
      </c>
      <c r="F7586" t="n">
        <v>61.4</v>
      </c>
      <c r="G7586" t="n">
        <v>241</v>
      </c>
      <c r="H7586" t="n">
        <v>9.9e-94</v>
      </c>
      <c r="I7586" t="inlineStr">
        <is>
          <t>TrEMBL</t>
        </is>
      </c>
      <c r="J7586" t="inlineStr">
        <is>
          <t>RhmaDBA</t>
        </is>
      </c>
      <c r="K7586" t="inlineStr">
        <is>
          <t>A0A141QRY2_RHIMB</t>
        </is>
      </c>
      <c r="L7586" t="inlineStr">
        <is>
          <t>tr|A0A141QRY2|A0A141QRY2_RHIMB MHC class II alpha chain OS=Rhinella marina OX=8386 GN=RhmaDBA PE=2 SV=1</t>
        </is>
      </c>
      <c r="M7586" t="n">
        <v>250</v>
      </c>
      <c r="N7586" t="inlineStr">
        <is>
          <t>Rhinella marina</t>
        </is>
      </c>
      <c r="O7586" t="inlineStr">
        <is>
          <t>MHC class II alpha chain</t>
        </is>
      </c>
    </row>
    <row r="7587">
      <c r="A7587" t="inlineStr"/>
      <c r="B7587" t="inlineStr"/>
      <c r="C7587" t="inlineStr"/>
      <c r="D7587" t="inlineStr"/>
      <c r="E7587">
        <f>HYPERLINK("https://www.ncbi.nlm.nih.gov/gene/?term=XP_030053114.1", "XP_030053114.1")</f>
        <v/>
      </c>
      <c r="F7587" t="n">
        <v>59.6</v>
      </c>
      <c r="G7587" t="n">
        <v>230</v>
      </c>
      <c r="H7587" t="n">
        <v>1.98e-93</v>
      </c>
      <c r="I7587" t="inlineStr">
        <is>
          <t>Nr</t>
        </is>
      </c>
      <c r="J7587" t="inlineStr"/>
      <c r="K7587" t="inlineStr"/>
      <c r="L7587" t="inlineStr">
        <is>
          <t>XP_030053114.1 HLA class II histocompatibility antigen, DR alpha chain-like [Microcaecilia unicolor]</t>
        </is>
      </c>
      <c r="M7587" t="n">
        <v>253</v>
      </c>
      <c r="N7587" t="inlineStr">
        <is>
          <t>Microcaecilia unicolor</t>
        </is>
      </c>
      <c r="O7587" t="inlineStr">
        <is>
          <t>HLA class II histocompatibility antigen, DR alpha chain-like</t>
        </is>
      </c>
    </row>
    <row r="7588">
      <c r="A7588" t="inlineStr"/>
      <c r="B7588" t="inlineStr"/>
      <c r="C7588" t="inlineStr"/>
      <c r="D7588" t="inlineStr"/>
      <c r="E7588">
        <f>HYPERLINK("https://www.ncbi.nlm.nih.gov/gene/?term=AMD82112.1", "AMD82112.1")</f>
        <v/>
      </c>
      <c r="F7588" t="n">
        <v>61.4</v>
      </c>
      <c r="G7588" t="n">
        <v>241</v>
      </c>
      <c r="H7588" t="n">
        <v>2.54e-93</v>
      </c>
      <c r="I7588" t="inlineStr">
        <is>
          <t>Nr</t>
        </is>
      </c>
      <c r="J7588" t="inlineStr"/>
      <c r="K7588" t="inlineStr"/>
      <c r="L7588" t="inlineStr">
        <is>
          <t>AMD82112.1 MHC class II alpha chain [Rhinella marina]</t>
        </is>
      </c>
      <c r="M7588" t="n">
        <v>250</v>
      </c>
      <c r="N7588" t="inlineStr">
        <is>
          <t>Rhinella marina</t>
        </is>
      </c>
      <c r="O7588" t="inlineStr">
        <is>
          <t>MHC class II alpha chain</t>
        </is>
      </c>
    </row>
    <row r="7589">
      <c r="A7589" t="inlineStr"/>
      <c r="B7589" t="inlineStr"/>
      <c r="C7589" t="inlineStr"/>
      <c r="D7589" t="inlineStr"/>
      <c r="E7589">
        <f>HYPERLINK("https://www.uniprot.org/uniprotkb/A0A141QRY4/entry", "A0A141QRY4")</f>
        <v/>
      </c>
      <c r="F7589" t="n">
        <v>61</v>
      </c>
      <c r="G7589" t="n">
        <v>241</v>
      </c>
      <c r="H7589" t="n">
        <v>1.62e-92</v>
      </c>
      <c r="I7589" t="inlineStr">
        <is>
          <t>TrEMBL</t>
        </is>
      </c>
      <c r="J7589" t="inlineStr">
        <is>
          <t>RhmaDBA</t>
        </is>
      </c>
      <c r="K7589" t="inlineStr">
        <is>
          <t>A0A141QRY4_RHIMB</t>
        </is>
      </c>
      <c r="L7589" t="inlineStr">
        <is>
          <t>tr|A0A141QRY4|A0A141QRY4_RHIMB MHC class II alpha chain OS=Rhinella marina OX=8386 GN=RhmaDBA PE=2 SV=1</t>
        </is>
      </c>
      <c r="M7589" t="n">
        <v>250</v>
      </c>
      <c r="N7589" t="inlineStr">
        <is>
          <t>Rhinella marina</t>
        </is>
      </c>
      <c r="O7589" t="inlineStr">
        <is>
          <t>MHC class II alpha chain</t>
        </is>
      </c>
    </row>
    <row r="7590">
      <c r="A7590" t="inlineStr"/>
      <c r="B7590" t="inlineStr"/>
      <c r="C7590" t="inlineStr"/>
      <c r="D7590" t="inlineStr"/>
      <c r="E7590">
        <f>HYPERLINK("https://www.ncbi.nlm.nih.gov/gene/?term=AMD82114.1", "AMD82114.1")</f>
        <v/>
      </c>
      <c r="F7590" t="n">
        <v>61</v>
      </c>
      <c r="G7590" t="n">
        <v>241</v>
      </c>
      <c r="H7590" t="n">
        <v>4.17e-92</v>
      </c>
      <c r="I7590" t="inlineStr">
        <is>
          <t>Nr</t>
        </is>
      </c>
      <c r="J7590" t="inlineStr"/>
      <c r="K7590" t="inlineStr"/>
      <c r="L7590" t="inlineStr">
        <is>
          <t>AMD82114.1 MHC class II alpha chain [Rhinella marina]</t>
        </is>
      </c>
      <c r="M7590" t="n">
        <v>250</v>
      </c>
      <c r="N7590" t="inlineStr">
        <is>
          <t>Rhinella marina</t>
        </is>
      </c>
      <c r="O7590" t="inlineStr">
        <is>
          <t>MHC class II alpha chain</t>
        </is>
      </c>
    </row>
    <row r="7591">
      <c r="A7591" t="inlineStr"/>
      <c r="B7591" t="inlineStr"/>
      <c r="C7591" t="inlineStr"/>
      <c r="D7591" t="inlineStr"/>
      <c r="E7591">
        <f>HYPERLINK("https://www.uniprot.org/uniprotkb/A0A141QRY6/entry", "A0A141QRY6")</f>
        <v/>
      </c>
      <c r="F7591" t="n">
        <v>57.7</v>
      </c>
      <c r="G7591" t="n">
        <v>234</v>
      </c>
      <c r="H7591" t="n">
        <v>5.94e-92</v>
      </c>
      <c r="I7591" t="inlineStr">
        <is>
          <t>TrEMBL</t>
        </is>
      </c>
      <c r="J7591" t="inlineStr">
        <is>
          <t>RhmaDCA</t>
        </is>
      </c>
      <c r="K7591" t="inlineStr">
        <is>
          <t>A0A141QRY6_RHIMB</t>
        </is>
      </c>
      <c r="L7591" t="inlineStr">
        <is>
          <t>tr|A0A141QRY6|A0A141QRY6_RHIMB MHC class II alpha chain (Fragment) OS=Rhinella marina OX=8386 GN=RhmaDCA PE=2 SV=1</t>
        </is>
      </c>
      <c r="M7591" t="n">
        <v>247</v>
      </c>
      <c r="N7591" t="inlineStr">
        <is>
          <t>Rhinella marina</t>
        </is>
      </c>
      <c r="O7591" t="inlineStr">
        <is>
          <t>MHC class II alpha chain (Fragment)</t>
        </is>
      </c>
    </row>
    <row r="7592">
      <c r="A7592" t="inlineStr"/>
      <c r="B7592" t="inlineStr"/>
      <c r="C7592" t="inlineStr"/>
      <c r="D7592" t="inlineStr"/>
      <c r="E7592">
        <f>HYPERLINK("https://www.ncbi.nlm.nih.gov/gene/?term=XP_018413622.1", "XP_018413622.1")</f>
        <v/>
      </c>
      <c r="F7592" t="n">
        <v>58.9</v>
      </c>
      <c r="G7592" t="n">
        <v>241</v>
      </c>
      <c r="H7592" t="n">
        <v>1.15e-91</v>
      </c>
      <c r="I7592" t="inlineStr">
        <is>
          <t>Nr</t>
        </is>
      </c>
      <c r="J7592" t="inlineStr"/>
      <c r="K7592" t="inlineStr"/>
      <c r="L7592" t="inlineStr">
        <is>
          <t>XP_018413622.1 PREDICTED: H-2 class II histocompatibility antigen, A-Q alpha chain-like [Nanorana parkeri]</t>
        </is>
      </c>
      <c r="M7592" t="n">
        <v>249</v>
      </c>
      <c r="N7592" t="inlineStr">
        <is>
          <t>Nanorana parkeri</t>
        </is>
      </c>
      <c r="O7592" t="inlineStr">
        <is>
          <t>PREDICTED: H-2 class II histocompatibility antigen, A-Q alpha chain-like</t>
        </is>
      </c>
    </row>
    <row r="7593">
      <c r="A7593" t="inlineStr"/>
      <c r="B7593" t="inlineStr"/>
      <c r="C7593" t="inlineStr"/>
      <c r="D7593" t="inlineStr"/>
      <c r="E7593">
        <f>HYPERLINK("https://www.ncbi.nlm.nih.gov/gene/?term=XP_040298532.1", "XP_040298532.1")</f>
        <v/>
      </c>
      <c r="F7593" t="n">
        <v>58</v>
      </c>
      <c r="G7593" t="n">
        <v>250</v>
      </c>
      <c r="H7593" t="n">
        <v>1.15e-91</v>
      </c>
      <c r="I7593" t="inlineStr">
        <is>
          <t>Nr</t>
        </is>
      </c>
      <c r="J7593" t="inlineStr"/>
      <c r="K7593" t="inlineStr"/>
      <c r="L7593" t="inlineStr">
        <is>
          <t>XP_040298532.1 mamu class II histocompatibility antigen, DR alpha chain-like [Bufo bufo]</t>
        </is>
      </c>
      <c r="M7593" t="n">
        <v>249</v>
      </c>
      <c r="N7593" t="inlineStr">
        <is>
          <t>Bufo bufo</t>
        </is>
      </c>
      <c r="O7593" t="inlineStr">
        <is>
          <t>mamu class II histocompatibility antigen, DR alpha chain-like</t>
        </is>
      </c>
    </row>
    <row r="7594">
      <c r="A7594" t="inlineStr"/>
      <c r="B7594" t="inlineStr"/>
      <c r="C7594" t="inlineStr"/>
      <c r="D7594" t="inlineStr"/>
      <c r="E7594">
        <f>HYPERLINK("https://www.uniprot.org/uniprotkb/A0A8C5Q9Q3/entry", "A0A8C5Q9Q3")</f>
        <v/>
      </c>
      <c r="F7594" t="n">
        <v>58.1</v>
      </c>
      <c r="G7594" t="n">
        <v>236</v>
      </c>
      <c r="H7594" t="n">
        <v>1.41e-91</v>
      </c>
      <c r="I7594" t="inlineStr">
        <is>
          <t>TrEMBL</t>
        </is>
      </c>
      <c r="J7594" t="inlineStr"/>
      <c r="K7594" t="inlineStr">
        <is>
          <t>A0A8C5Q9Q3_9ANUR</t>
        </is>
      </c>
      <c r="L7594" t="inlineStr">
        <is>
          <t>tr|A0A8C5Q9Q3|A0A8C5Q9Q3_9ANUR Ig-like domain-containing protein OS=Leptobrachium leishanense OX=445787 PE=4 SV=1</t>
        </is>
      </c>
      <c r="M7594" t="n">
        <v>252</v>
      </c>
      <c r="N7594" t="inlineStr">
        <is>
          <t>Leptobrachium leishanense</t>
        </is>
      </c>
      <c r="O7594" t="inlineStr">
        <is>
          <t>Ig-like domain-containing protein</t>
        </is>
      </c>
    </row>
    <row r="7595">
      <c r="A7595" t="inlineStr"/>
      <c r="B7595" t="inlineStr"/>
      <c r="C7595" t="inlineStr"/>
      <c r="D7595" t="inlineStr"/>
      <c r="E7595">
        <f>HYPERLINK("https://www.ncbi.nlm.nih.gov/gene/?term=AMD82116.1", "AMD82116.1")</f>
        <v/>
      </c>
      <c r="F7595" t="n">
        <v>57.7</v>
      </c>
      <c r="G7595" t="n">
        <v>234</v>
      </c>
      <c r="H7595" t="n">
        <v>1.53e-91</v>
      </c>
      <c r="I7595" t="inlineStr">
        <is>
          <t>Nr</t>
        </is>
      </c>
      <c r="J7595" t="inlineStr"/>
      <c r="K7595" t="inlineStr"/>
      <c r="L7595" t="inlineStr">
        <is>
          <t>AMD82116.1 MHC class II alpha chain, partial [Rhinella marina]</t>
        </is>
      </c>
      <c r="M7595" t="n">
        <v>247</v>
      </c>
      <c r="N7595" t="inlineStr">
        <is>
          <t>Rhinella marina</t>
        </is>
      </c>
      <c r="O7595" t="inlineStr">
        <is>
          <t>MHC class II alpha chain, partial</t>
        </is>
      </c>
    </row>
    <row r="7596">
      <c r="A7596" t="inlineStr"/>
      <c r="B7596" t="inlineStr"/>
      <c r="C7596" t="inlineStr"/>
      <c r="D7596" t="inlineStr"/>
      <c r="E7596">
        <f>HYPERLINK("https://www.uniprot.org/uniprotkb/A0A141QRY5/entry", "A0A141QRY5")</f>
        <v/>
      </c>
      <c r="F7596" t="n">
        <v>57.3</v>
      </c>
      <c r="G7596" t="n">
        <v>234</v>
      </c>
      <c r="H7596" t="n">
        <v>2.41e-91</v>
      </c>
      <c r="I7596" t="inlineStr">
        <is>
          <t>TrEMBL</t>
        </is>
      </c>
      <c r="J7596" t="inlineStr">
        <is>
          <t>RhmaDCA</t>
        </is>
      </c>
      <c r="K7596" t="inlineStr">
        <is>
          <t>A0A141QRY5_RHIMB</t>
        </is>
      </c>
      <c r="L7596" t="inlineStr">
        <is>
          <t>tr|A0A141QRY5|A0A141QRY5_RHIMB MHC class II alpha chain (Fragment) OS=Rhinella marina OX=8386 GN=RhmaDCA PE=2 SV=1</t>
        </is>
      </c>
      <c r="M7596" t="n">
        <v>247</v>
      </c>
      <c r="N7596" t="inlineStr">
        <is>
          <t>Rhinella marina</t>
        </is>
      </c>
      <c r="O7596" t="inlineStr">
        <is>
          <t>MHC class II alpha chain (Fragment)</t>
        </is>
      </c>
    </row>
    <row r="7597">
      <c r="A7597" t="inlineStr"/>
      <c r="B7597" t="inlineStr"/>
      <c r="C7597" t="inlineStr"/>
      <c r="D7597" t="inlineStr"/>
      <c r="E7597">
        <f>HYPERLINK("https://www.ncbi.nlm.nih.gov/gene/?term=AMD82115.1", "AMD82115.1")</f>
        <v/>
      </c>
      <c r="F7597" t="n">
        <v>57.3</v>
      </c>
      <c r="G7597" t="n">
        <v>234</v>
      </c>
      <c r="H7597" t="n">
        <v>6.18e-91</v>
      </c>
      <c r="I7597" t="inlineStr">
        <is>
          <t>Nr</t>
        </is>
      </c>
      <c r="J7597" t="inlineStr"/>
      <c r="K7597" t="inlineStr"/>
      <c r="L7597" t="inlineStr">
        <is>
          <t>AMD82115.1 MHC class II alpha chain, partial [Rhinella marina]</t>
        </is>
      </c>
      <c r="M7597" t="n">
        <v>247</v>
      </c>
      <c r="N7597" t="inlineStr">
        <is>
          <t>Rhinella marina</t>
        </is>
      </c>
      <c r="O7597" t="inlineStr">
        <is>
          <t>MHC class II alpha chain, partial</t>
        </is>
      </c>
    </row>
    <row r="7598">
      <c r="A7598" t="inlineStr"/>
      <c r="B7598" t="inlineStr"/>
      <c r="C7598" t="inlineStr"/>
      <c r="D7598" t="inlineStr"/>
      <c r="E7598">
        <f>HYPERLINK("https://www.ncbi.nlm.nih.gov/gene/?term=XP_044161608.1", "XP_044161608.1")</f>
        <v/>
      </c>
      <c r="F7598" t="n">
        <v>58.8</v>
      </c>
      <c r="G7598" t="n">
        <v>240</v>
      </c>
      <c r="H7598" t="n">
        <v>6.61e-91</v>
      </c>
      <c r="I7598" t="inlineStr">
        <is>
          <t>Nr</t>
        </is>
      </c>
      <c r="J7598" t="inlineStr"/>
      <c r="K7598" t="inlineStr"/>
      <c r="L7598" t="inlineStr">
        <is>
          <t>XP_044161608.1 mamu class II histocompatibility antigen, DR alpha chain-like [Bufo gargarizans]</t>
        </is>
      </c>
      <c r="M7598" t="n">
        <v>249</v>
      </c>
      <c r="N7598" t="inlineStr">
        <is>
          <t>Bufo gargarizans</t>
        </is>
      </c>
      <c r="O7598" t="inlineStr">
        <is>
          <t>mamu class II histocompatibility antigen, DR alpha chain-like</t>
        </is>
      </c>
    </row>
    <row r="7599">
      <c r="A7599" t="inlineStr"/>
      <c r="B7599" t="inlineStr"/>
      <c r="C7599" t="inlineStr"/>
      <c r="D7599" t="inlineStr"/>
      <c r="E7599">
        <f>HYPERLINK("https://www.uniprot.org/uniprotkb/A0A141QRY0/entry", "A0A141QRY0")</f>
        <v/>
      </c>
      <c r="F7599" t="n">
        <v>57.3</v>
      </c>
      <c r="G7599" t="n">
        <v>241</v>
      </c>
      <c r="H7599" t="n">
        <v>2.6e-90</v>
      </c>
      <c r="I7599" t="inlineStr">
        <is>
          <t>TrEMBL</t>
        </is>
      </c>
      <c r="J7599" t="inlineStr">
        <is>
          <t>RhmaDAA</t>
        </is>
      </c>
      <c r="K7599" t="inlineStr">
        <is>
          <t>A0A141QRY0_RHIMB</t>
        </is>
      </c>
      <c r="L7599" t="inlineStr">
        <is>
          <t>tr|A0A141QRY0|A0A141QRY0_RHIMB MHC class II alpha chain (Fragment) OS=Rhinella marina OX=8386 GN=RhmaDAA PE=2 SV=1</t>
        </is>
      </c>
      <c r="M7599" t="n">
        <v>245</v>
      </c>
      <c r="N7599" t="inlineStr">
        <is>
          <t>Rhinella marina</t>
        </is>
      </c>
      <c r="O7599" t="inlineStr">
        <is>
          <t>MHC class II alpha chain (Fragment)</t>
        </is>
      </c>
    </row>
    <row r="7600">
      <c r="A7600" t="inlineStr"/>
      <c r="B7600" t="inlineStr"/>
      <c r="C7600" t="inlineStr"/>
      <c r="D7600" t="inlineStr"/>
      <c r="E7600">
        <f>HYPERLINK("https://www.ncbi.nlm.nih.gov/gene/?term=XP_040180872.1", "XP_040180872.1")</f>
        <v/>
      </c>
      <c r="F7600" t="n">
        <v>58.3</v>
      </c>
      <c r="G7600" t="n">
        <v>240</v>
      </c>
      <c r="H7600" t="n">
        <v>4.71e-90</v>
      </c>
      <c r="I7600" t="inlineStr">
        <is>
          <t>Nr</t>
        </is>
      </c>
      <c r="J7600" t="inlineStr"/>
      <c r="K7600" t="inlineStr"/>
      <c r="L7600" t="inlineStr">
        <is>
          <t>XP_040180872.1 RLA class II histocompatibility antigen, DP alpha-1 chain-like [Rana temporaria]</t>
        </is>
      </c>
      <c r="M7600" t="n">
        <v>245</v>
      </c>
      <c r="N7600" t="inlineStr">
        <is>
          <t>Rana temporaria</t>
        </is>
      </c>
      <c r="O7600" t="inlineStr">
        <is>
          <t>RLA class II histocompatibility antigen, DP alpha-1 chain-like</t>
        </is>
      </c>
    </row>
    <row r="7601">
      <c r="A7601" t="inlineStr"/>
      <c r="B7601" t="inlineStr"/>
      <c r="C7601" t="inlineStr"/>
      <c r="D7601" t="inlineStr"/>
      <c r="E7601">
        <f>HYPERLINK("https://www.ncbi.nlm.nih.gov/gene/?term=AMD82110.1", "AMD82110.1")</f>
        <v/>
      </c>
      <c r="F7601" t="n">
        <v>57.3</v>
      </c>
      <c r="G7601" t="n">
        <v>241</v>
      </c>
      <c r="H7601" t="n">
        <v>6.68e-90</v>
      </c>
      <c r="I7601" t="inlineStr">
        <is>
          <t>Nr</t>
        </is>
      </c>
      <c r="J7601" t="inlineStr"/>
      <c r="K7601" t="inlineStr"/>
      <c r="L7601" t="inlineStr">
        <is>
          <t>AMD82110.1 MHC class II alpha chain, partial [Rhinella marina]</t>
        </is>
      </c>
      <c r="M7601" t="n">
        <v>245</v>
      </c>
      <c r="N7601" t="inlineStr">
        <is>
          <t>Rhinella marina</t>
        </is>
      </c>
      <c r="O7601" t="inlineStr">
        <is>
          <t>MHC class II alpha chain, partial</t>
        </is>
      </c>
    </row>
    <row r="7602">
      <c r="A7602" t="inlineStr"/>
      <c r="B7602" t="inlineStr"/>
      <c r="C7602" t="inlineStr"/>
      <c r="D7602" t="inlineStr"/>
      <c r="E7602">
        <f>HYPERLINK("https://www.uniprot.org/uniprotkb/A0A141QRY7/entry", "A0A141QRY7")</f>
        <v/>
      </c>
      <c r="F7602" t="n">
        <v>56.8</v>
      </c>
      <c r="G7602" t="n">
        <v>234</v>
      </c>
      <c r="H7602" t="n">
        <v>1.13e-89</v>
      </c>
      <c r="I7602" t="inlineStr">
        <is>
          <t>TrEMBL</t>
        </is>
      </c>
      <c r="J7602" t="inlineStr">
        <is>
          <t>RhmaDCA</t>
        </is>
      </c>
      <c r="K7602" t="inlineStr">
        <is>
          <t>A0A141QRY7_RHIMB</t>
        </is>
      </c>
      <c r="L7602" t="inlineStr">
        <is>
          <t>tr|A0A141QRY7|A0A141QRY7_RHIMB MHC class II alpha chain (Fragment) OS=Rhinella marina OX=8386 GN=RhmaDCA PE=2 SV=1</t>
        </is>
      </c>
      <c r="M7602" t="n">
        <v>247</v>
      </c>
      <c r="N7602" t="inlineStr">
        <is>
          <t>Rhinella marina</t>
        </is>
      </c>
      <c r="O7602" t="inlineStr">
        <is>
          <t>MHC class II alpha chain (Fragment)</t>
        </is>
      </c>
    </row>
    <row r="7603">
      <c r="A7603" t="inlineStr"/>
      <c r="B7603" t="inlineStr"/>
      <c r="C7603" t="inlineStr"/>
      <c r="D7603" t="inlineStr"/>
      <c r="E7603">
        <f>HYPERLINK("https://www.ncbi.nlm.nih.gov/gene/?term=AMD82117.1", "AMD82117.1")</f>
        <v/>
      </c>
      <c r="F7603" t="n">
        <v>56.8</v>
      </c>
      <c r="G7603" t="n">
        <v>234</v>
      </c>
      <c r="H7603" t="n">
        <v>2.89e-89</v>
      </c>
      <c r="I7603" t="inlineStr">
        <is>
          <t>Nr</t>
        </is>
      </c>
      <c r="J7603" t="inlineStr"/>
      <c r="K7603" t="inlineStr"/>
      <c r="L7603" t="inlineStr">
        <is>
          <t>AMD82117.1 MHC class II alpha chain, partial [Rhinella marina]</t>
        </is>
      </c>
      <c r="M7603" t="n">
        <v>247</v>
      </c>
      <c r="N7603" t="inlineStr">
        <is>
          <t>Rhinella marina</t>
        </is>
      </c>
      <c r="O7603" t="inlineStr">
        <is>
          <t>MHC class II alpha chain, partial</t>
        </is>
      </c>
    </row>
    <row r="7604">
      <c r="A7604" t="inlineStr"/>
      <c r="B7604" t="inlineStr"/>
      <c r="C7604" t="inlineStr"/>
      <c r="D7604" t="inlineStr"/>
      <c r="E7604">
        <f>HYPERLINK("https://www.uniprot.org/uniprotkb/A0A8J6JP12/entry", "A0A8J6JP12")</f>
        <v/>
      </c>
      <c r="F7604" t="n">
        <v>56</v>
      </c>
      <c r="G7604" t="n">
        <v>248</v>
      </c>
      <c r="H7604" t="n">
        <v>3.38e-84</v>
      </c>
      <c r="I7604" t="inlineStr">
        <is>
          <t>TrEMBL</t>
        </is>
      </c>
      <c r="J7604" t="inlineStr">
        <is>
          <t>GDO78_015512</t>
        </is>
      </c>
      <c r="K7604" t="inlineStr">
        <is>
          <t>A0A8J6JP12_ELECQ</t>
        </is>
      </c>
      <c r="L7604" t="inlineStr">
        <is>
          <t>tr|A0A8J6JP12|A0A8J6JP12_ELECQ Ig-like domain-containing protein OS=Eleutherodactylus coqui OX=57060 GN=GDO78_015512 PE=4 SV=1</t>
        </is>
      </c>
      <c r="M7604" t="n">
        <v>248</v>
      </c>
      <c r="N7604" t="inlineStr">
        <is>
          <t>Eleutherodactylus coqui</t>
        </is>
      </c>
      <c r="O7604" t="inlineStr">
        <is>
          <t>Ig-like domain-containing protein</t>
        </is>
      </c>
    </row>
    <row r="7605">
      <c r="A7605" t="inlineStr"/>
      <c r="B7605" t="inlineStr"/>
      <c r="C7605" t="inlineStr"/>
      <c r="D7605" t="inlineStr"/>
      <c r="E7605">
        <f>HYPERLINK("https://www.ncbi.nlm.nih.gov/gene/?term=KAG9467150.1", "KAG9467150.1")</f>
        <v/>
      </c>
      <c r="F7605" t="n">
        <v>56</v>
      </c>
      <c r="G7605" t="n">
        <v>248</v>
      </c>
      <c r="H7605" t="n">
        <v>8.669999999999999e-84</v>
      </c>
      <c r="I7605" t="inlineStr">
        <is>
          <t>Nr</t>
        </is>
      </c>
      <c r="J7605" t="inlineStr"/>
      <c r="K7605" t="inlineStr"/>
      <c r="L7605" t="inlineStr">
        <is>
          <t>KAG9467150.1 hypothetical protein GDO78_015512 [Eleutherodactylus coqui]</t>
        </is>
      </c>
      <c r="M7605" t="n">
        <v>248</v>
      </c>
      <c r="N7605" t="inlineStr">
        <is>
          <t>Eleutherodactylus coqui</t>
        </is>
      </c>
      <c r="O7605" t="inlineStr">
        <is>
          <t>hypothetical protein GDO78_015512</t>
        </is>
      </c>
    </row>
    <row r="7606">
      <c r="A7606" t="inlineStr"/>
      <c r="B7606" t="inlineStr"/>
      <c r="C7606" t="inlineStr"/>
      <c r="D7606" t="inlineStr"/>
      <c r="E7606">
        <f>HYPERLINK("https://www.ncbi.nlm.nih.gov/gene/?term=KAG8544669.1", "KAG8544669.1")</f>
        <v/>
      </c>
      <c r="F7606" t="n">
        <v>52.9</v>
      </c>
      <c r="G7606" t="n">
        <v>238</v>
      </c>
      <c r="H7606" t="n">
        <v>5.31e-83</v>
      </c>
      <c r="I7606" t="inlineStr">
        <is>
          <t>Nr</t>
        </is>
      </c>
      <c r="J7606" t="inlineStr"/>
      <c r="K7606" t="inlineStr"/>
      <c r="L7606" t="inlineStr">
        <is>
          <t>KAG8544669.1 hypothetical protein GDO81_022081 [Engystomops pustulosus]</t>
        </is>
      </c>
      <c r="M7606" t="n">
        <v>250</v>
      </c>
      <c r="N7606" t="inlineStr">
        <is>
          <t>Engystomops pustulosus</t>
        </is>
      </c>
      <c r="O7606" t="inlineStr">
        <is>
          <t>hypothetical protein GDO81_022081</t>
        </is>
      </c>
    </row>
    <row r="7607">
      <c r="A7607" t="inlineStr"/>
      <c r="B7607" t="inlineStr"/>
      <c r="C7607" t="inlineStr"/>
      <c r="D7607" t="inlineStr"/>
      <c r="E7607">
        <f>HYPERLINK("https://www.ncbi.nlm.nih.gov/gene/?term=XP_026518044.1", "XP_026518044.1")</f>
        <v/>
      </c>
      <c r="F7607" t="n">
        <v>55.8</v>
      </c>
      <c r="G7607" t="n">
        <v>231</v>
      </c>
      <c r="H7607" t="n">
        <v>7.95e-82</v>
      </c>
      <c r="I7607" t="inlineStr">
        <is>
          <t>Nr</t>
        </is>
      </c>
      <c r="J7607" t="inlineStr"/>
      <c r="K7607" t="inlineStr"/>
      <c r="L7607" t="inlineStr">
        <is>
          <t>XP_026518044.1 mamu class II histocompatibility antigen, DR alpha chain-like [Terrapene carolina triunguis]</t>
        </is>
      </c>
      <c r="M7607" t="n">
        <v>258</v>
      </c>
      <c r="N7607" t="inlineStr">
        <is>
          <t>Terrapene carolina triunguis</t>
        </is>
      </c>
      <c r="O7607" t="inlineStr">
        <is>
          <t>mamu class II histocompatibility antigen, DR alpha chain-like</t>
        </is>
      </c>
    </row>
    <row r="7608">
      <c r="A7608" t="inlineStr"/>
      <c r="B7608" t="inlineStr"/>
      <c r="C7608" t="inlineStr"/>
      <c r="D7608" t="inlineStr"/>
      <c r="E7608">
        <f>HYPERLINK("https://www.uniprot.org/uniprotkb/A0A151MRL0/entry", "A0A151MRL0")</f>
        <v/>
      </c>
      <c r="F7608" t="n">
        <v>56.5</v>
      </c>
      <c r="G7608" t="n">
        <v>230</v>
      </c>
      <c r="H7608" t="n">
        <v>1.21e-81</v>
      </c>
      <c r="I7608" t="inlineStr">
        <is>
          <t>TrEMBL</t>
        </is>
      </c>
      <c r="J7608" t="inlineStr">
        <is>
          <t>Y1Q_0003616</t>
        </is>
      </c>
      <c r="K7608" t="inlineStr">
        <is>
          <t>A0A151MRL0_ALLMI</t>
        </is>
      </c>
      <c r="L7608" t="inlineStr">
        <is>
          <t>tr|A0A151MRL0|A0A151MRL0_ALLMI HLA class II histocompatibility antigen, DR alpha chain-like OS=Alligator mississippiensis OX=8496 GN=Y1Q_0003616 PE=4 SV=1</t>
        </is>
      </c>
      <c r="M7608" t="n">
        <v>257</v>
      </c>
      <c r="N7608" t="inlineStr">
        <is>
          <t>Alligator mississippiensis</t>
        </is>
      </c>
      <c r="O7608" t="inlineStr">
        <is>
          <t>HLA class II histocompatibility antigen, DR alpha chain-like</t>
        </is>
      </c>
    </row>
    <row r="7609">
      <c r="A7609" t="inlineStr"/>
      <c r="B7609" t="inlineStr"/>
      <c r="C7609" t="inlineStr"/>
      <c r="D7609" t="inlineStr"/>
      <c r="E7609">
        <f>HYPERLINK("https://www.uniprot.org/uniprotkb/Q9GJN1/entry", "Q9GJN1")</f>
        <v/>
      </c>
      <c r="F7609" t="n">
        <v>56.5</v>
      </c>
      <c r="G7609" t="n">
        <v>230</v>
      </c>
      <c r="H7609" t="n">
        <v>1.21e-81</v>
      </c>
      <c r="I7609" t="inlineStr">
        <is>
          <t>TrEMBL</t>
        </is>
      </c>
      <c r="J7609" t="inlineStr">
        <is>
          <t>hcIIalpha</t>
        </is>
      </c>
      <c r="K7609" t="inlineStr">
        <is>
          <t>Q9GJN1_CAICR</t>
        </is>
      </c>
      <c r="L7609" t="inlineStr">
        <is>
          <t>tr|Q9GJN1|Q9GJN1_CAICR MHC class II alpha chain OS=Caiman crocodilus OX=8499 GN=hcIIalpha PE=4 SV=2</t>
        </is>
      </c>
      <c r="M7609" t="n">
        <v>257</v>
      </c>
      <c r="N7609" t="inlineStr">
        <is>
          <t>Caiman crocodilus</t>
        </is>
      </c>
      <c r="O7609" t="inlineStr">
        <is>
          <t>MHC class II alpha chain</t>
        </is>
      </c>
    </row>
    <row r="7610">
      <c r="A7610" t="inlineStr"/>
      <c r="B7610" t="inlineStr"/>
      <c r="C7610" t="inlineStr"/>
      <c r="D7610" t="inlineStr"/>
      <c r="E7610">
        <f>HYPERLINK("https://www.uniprot.org/uniprotkb/A0A452HAL8/entry", "A0A452HAL8")</f>
        <v/>
      </c>
      <c r="F7610" t="n">
        <v>56.3</v>
      </c>
      <c r="G7610" t="n">
        <v>229</v>
      </c>
      <c r="H7610" t="n">
        <v>1.25e-81</v>
      </c>
      <c r="I7610" t="inlineStr">
        <is>
          <t>TrEMBL</t>
        </is>
      </c>
      <c r="J7610" t="inlineStr"/>
      <c r="K7610" t="inlineStr">
        <is>
          <t>A0A452HAL8_9SAUR</t>
        </is>
      </c>
      <c r="L7610" t="inlineStr">
        <is>
          <t>tr|A0A452HAL8|A0A452HAL8_9SAUR Ig-like domain-containing protein OS=Gopherus agassizii OX=38772 PE=4 SV=1</t>
        </is>
      </c>
      <c r="M7610" t="n">
        <v>258</v>
      </c>
      <c r="N7610" t="inlineStr">
        <is>
          <t>Gopherus agassizii</t>
        </is>
      </c>
      <c r="O7610" t="inlineStr">
        <is>
          <t>Ig-like domain-containing protein</t>
        </is>
      </c>
    </row>
    <row r="7611">
      <c r="A7611" t="inlineStr"/>
      <c r="B7611" t="inlineStr"/>
      <c r="C7611" t="inlineStr"/>
      <c r="D7611" t="inlineStr"/>
      <c r="E7611">
        <f>HYPERLINK("https://www.uniprot.org/uniprotkb/A0A674JVZ0/entry", "A0A674JVZ0")</f>
        <v/>
      </c>
      <c r="F7611" t="n">
        <v>56.3</v>
      </c>
      <c r="G7611" t="n">
        <v>231</v>
      </c>
      <c r="H7611" t="n">
        <v>1.25e-81</v>
      </c>
      <c r="I7611" t="inlineStr">
        <is>
          <t>TrEMBL</t>
        </is>
      </c>
      <c r="J7611" t="inlineStr"/>
      <c r="K7611" t="inlineStr">
        <is>
          <t>A0A674JVZ0_TERCA</t>
        </is>
      </c>
      <c r="L7611" t="inlineStr">
        <is>
          <t>tr|A0A674JVZ0|A0A674JVZ0_TERCA Ig-like domain-containing protein OS=Terrapene carolina triunguis OX=2587831 PE=4 SV=1</t>
        </is>
      </c>
      <c r="M7611" t="n">
        <v>258</v>
      </c>
      <c r="N7611" t="inlineStr">
        <is>
          <t>Terrapene carolina triunguis</t>
        </is>
      </c>
      <c r="O7611" t="inlineStr">
        <is>
          <t>Ig-like domain-containing protein</t>
        </is>
      </c>
    </row>
    <row r="7612">
      <c r="A7612" t="inlineStr"/>
      <c r="B7612" t="inlineStr"/>
      <c r="C7612" t="inlineStr"/>
      <c r="D7612" t="inlineStr"/>
      <c r="E7612">
        <f>HYPERLINK("https://www.uniprot.org/uniprotkb/A0A0B4UG75/entry", "A0A0B4UG75")</f>
        <v/>
      </c>
      <c r="F7612" t="n">
        <v>56.5</v>
      </c>
      <c r="G7612" t="n">
        <v>230</v>
      </c>
      <c r="H7612" t="n">
        <v>1.72e-81</v>
      </c>
      <c r="I7612" t="inlineStr">
        <is>
          <t>TrEMBL</t>
        </is>
      </c>
      <c r="J7612" t="inlineStr">
        <is>
          <t>Crpo-DAA</t>
        </is>
      </c>
      <c r="K7612" t="inlineStr">
        <is>
          <t>A0A0B4UG75_CROPO</t>
        </is>
      </c>
      <c r="L7612" t="inlineStr">
        <is>
          <t>tr|A0A0B4UG75|A0A0B4UG75_CROPO MHC class II alpha chain OS=Crocodylus porosus OX=8502 GN=Crpo-DAA PE=4 SV=1</t>
        </is>
      </c>
      <c r="M7612" t="n">
        <v>257</v>
      </c>
      <c r="N7612" t="inlineStr">
        <is>
          <t>Crocodylus porosus</t>
        </is>
      </c>
      <c r="O7612" t="inlineStr">
        <is>
          <t>MHC class II alpha chain</t>
        </is>
      </c>
    </row>
    <row r="7613">
      <c r="A7613" t="inlineStr"/>
      <c r="B7613" t="inlineStr"/>
      <c r="C7613" t="inlineStr"/>
      <c r="D7613" t="inlineStr"/>
      <c r="E7613">
        <f>HYPERLINK("https://www.ncbi.nlm.nih.gov/gene/?term=XP_006276487.1", "XP_006276487.1")</f>
        <v/>
      </c>
      <c r="F7613" t="n">
        <v>56.5</v>
      </c>
      <c r="G7613" t="n">
        <v>230</v>
      </c>
      <c r="H7613" t="n">
        <v>3.11e-81</v>
      </c>
      <c r="I7613" t="inlineStr">
        <is>
          <t>Nr</t>
        </is>
      </c>
      <c r="J7613" t="inlineStr"/>
      <c r="K7613" t="inlineStr"/>
      <c r="L7613" t="inlineStr">
        <is>
          <t>XP_006276487.1 PREDICTED: HLA class II histocompatibility antigen, DR alpha chain [Alligator mississippiensis]</t>
        </is>
      </c>
      <c r="M7613" t="n">
        <v>257</v>
      </c>
      <c r="N7613" t="inlineStr">
        <is>
          <t>Alligator mississippiensis</t>
        </is>
      </c>
      <c r="O7613" t="inlineStr">
        <is>
          <t>PREDICTED: HLA class II histocompatibility antigen, DR alpha chain</t>
        </is>
      </c>
    </row>
    <row r="7614">
      <c r="A7614" t="inlineStr"/>
      <c r="B7614" t="inlineStr"/>
      <c r="C7614" t="inlineStr"/>
      <c r="D7614" t="inlineStr"/>
      <c r="E7614">
        <f>HYPERLINK("https://www.ncbi.nlm.nih.gov/gene/?term=AAF99282.2", "AAF99282.2")</f>
        <v/>
      </c>
      <c r="F7614" t="n">
        <v>56.5</v>
      </c>
      <c r="G7614" t="n">
        <v>230</v>
      </c>
      <c r="H7614" t="n">
        <v>3.11e-81</v>
      </c>
      <c r="I7614" t="inlineStr">
        <is>
          <t>Nr</t>
        </is>
      </c>
      <c r="J7614" t="inlineStr"/>
      <c r="K7614" t="inlineStr"/>
      <c r="L7614" t="inlineStr">
        <is>
          <t>AAF99282.2 MHC class II alpha chain [Caiman crocodilus]</t>
        </is>
      </c>
      <c r="M7614" t="n">
        <v>257</v>
      </c>
      <c r="N7614" t="inlineStr">
        <is>
          <t>Caiman crocodilus</t>
        </is>
      </c>
      <c r="O7614" t="inlineStr">
        <is>
          <t>MHC class II alpha chain</t>
        </is>
      </c>
    </row>
    <row r="7615">
      <c r="A7615" t="inlineStr"/>
      <c r="B7615" t="inlineStr"/>
      <c r="C7615" t="inlineStr"/>
      <c r="D7615" t="inlineStr"/>
      <c r="E7615">
        <f>HYPERLINK("https://www.ncbi.nlm.nih.gov/gene/?term=AJD07064.1", "AJD07064.1")</f>
        <v/>
      </c>
      <c r="F7615" t="n">
        <v>56.5</v>
      </c>
      <c r="G7615" t="n">
        <v>230</v>
      </c>
      <c r="H7615" t="n">
        <v>4.41e-81</v>
      </c>
      <c r="I7615" t="inlineStr">
        <is>
          <t>Nr</t>
        </is>
      </c>
      <c r="J7615" t="inlineStr"/>
      <c r="K7615" t="inlineStr"/>
      <c r="L7615" t="inlineStr">
        <is>
          <t>AJD07064.1 MHC class II alpha chain [Crocodylus porosus]</t>
        </is>
      </c>
      <c r="M7615" t="n">
        <v>257</v>
      </c>
      <c r="N7615" t="inlineStr">
        <is>
          <t>Crocodylus porosus</t>
        </is>
      </c>
      <c r="O7615" t="inlineStr">
        <is>
          <t>MHC class II alpha chain</t>
        </is>
      </c>
    </row>
    <row r="7616">
      <c r="A7616" t="inlineStr"/>
      <c r="B7616" t="inlineStr"/>
      <c r="C7616" t="inlineStr"/>
      <c r="D7616" t="inlineStr"/>
      <c r="E7616">
        <f>HYPERLINK("https://www.ncbi.nlm.nih.gov/gene/?term=XP_030403302.1", "XP_030403302.1")</f>
        <v/>
      </c>
      <c r="F7616" t="n">
        <v>56.8</v>
      </c>
      <c r="G7616" t="n">
        <v>229</v>
      </c>
      <c r="H7616" t="n">
        <v>4.55e-81</v>
      </c>
      <c r="I7616" t="inlineStr">
        <is>
          <t>Nr</t>
        </is>
      </c>
      <c r="J7616" t="inlineStr"/>
      <c r="K7616" t="inlineStr"/>
      <c r="L7616" t="inlineStr">
        <is>
          <t>XP_030403302.1 HLA class II histocompatibility antigen, DR alpha chain-like isoform X1 [Gopherus evgoodei]</t>
        </is>
      </c>
      <c r="M7616" t="n">
        <v>258</v>
      </c>
      <c r="N7616" t="inlineStr">
        <is>
          <t>Gopherus evgoodei</t>
        </is>
      </c>
      <c r="O7616" t="inlineStr">
        <is>
          <t>HLA class II histocompatibility antigen, DR alpha chain-like isoform X1</t>
        </is>
      </c>
    </row>
    <row r="7617">
      <c r="A7617" t="inlineStr"/>
      <c r="B7617" t="inlineStr"/>
      <c r="C7617" t="inlineStr"/>
      <c r="D7617" t="inlineStr"/>
      <c r="E7617">
        <f>HYPERLINK("https://www.ncbi.nlm.nih.gov/gene/?term=XP_030403303.1", "XP_030403303.1")</f>
        <v/>
      </c>
      <c r="F7617" t="n">
        <v>56.8</v>
      </c>
      <c r="G7617" t="n">
        <v>229</v>
      </c>
      <c r="H7617" t="n">
        <v>4.55e-81</v>
      </c>
      <c r="I7617" t="inlineStr">
        <is>
          <t>Nr</t>
        </is>
      </c>
      <c r="J7617" t="inlineStr"/>
      <c r="K7617" t="inlineStr"/>
      <c r="L7617" t="inlineStr">
        <is>
          <t>XP_030403303.1 HLA class II histocompatibility antigen, DR alpha chain-like isoform X2 [Gopherus evgoodei]</t>
        </is>
      </c>
      <c r="M7617" t="n">
        <v>258</v>
      </c>
      <c r="N7617" t="inlineStr">
        <is>
          <t>Gopherus evgoodei</t>
        </is>
      </c>
      <c r="O7617" t="inlineStr">
        <is>
          <t>HLA class II histocompatibility antigen, DR alpha chain-like isoform X2</t>
        </is>
      </c>
    </row>
    <row r="7618">
      <c r="A7618" t="inlineStr"/>
      <c r="B7618" t="inlineStr"/>
      <c r="C7618" t="inlineStr"/>
      <c r="D7618" t="inlineStr"/>
      <c r="E7618">
        <f>HYPERLINK("https://www.uniprot.org/uniprotkb/A0A663FFV4/entry", "A0A663FFV4")</f>
        <v/>
      </c>
      <c r="F7618" t="n">
        <v>56.2</v>
      </c>
      <c r="G7618" t="n">
        <v>233</v>
      </c>
      <c r="H7618" t="n">
        <v>9.2e-81</v>
      </c>
      <c r="I7618" t="inlineStr">
        <is>
          <t>TrEMBL</t>
        </is>
      </c>
      <c r="J7618" t="inlineStr">
        <is>
          <t>LOC115338203</t>
        </is>
      </c>
      <c r="K7618" t="inlineStr">
        <is>
          <t>A0A663FFV4_AQUCH</t>
        </is>
      </c>
      <c r="L7618" t="inlineStr">
        <is>
          <t>tr|A0A663FFV4|A0A663FFV4_AQUCH HLA class II histocompatibility antigen, DR alpha chain-like OS=Aquila chrysaetos chrysaetos OX=223781 GN=LOC115338203 PE=4 SV=1</t>
        </is>
      </c>
      <c r="M7618" t="n">
        <v>255</v>
      </c>
      <c r="N7618" t="inlineStr">
        <is>
          <t>Aquila chrysaetos chrysaetos</t>
        </is>
      </c>
      <c r="O7618" t="inlineStr">
        <is>
          <t>HLA class II histocompatibility antigen, DR alpha chain-like</t>
        </is>
      </c>
    </row>
    <row r="7619">
      <c r="A7619" t="inlineStr"/>
      <c r="B7619" t="inlineStr"/>
      <c r="C7619" t="inlineStr"/>
      <c r="D7619" t="inlineStr"/>
      <c r="E7619">
        <f>HYPERLINK("https://www.ncbi.nlm.nih.gov/gene/?term=XP_029862536.1", "XP_029862536.1")</f>
        <v/>
      </c>
      <c r="F7619" t="n">
        <v>56.2</v>
      </c>
      <c r="G7619" t="n">
        <v>233</v>
      </c>
      <c r="H7619" t="n">
        <v>2.36e-80</v>
      </c>
      <c r="I7619" t="inlineStr">
        <is>
          <t>Nr</t>
        </is>
      </c>
      <c r="J7619" t="inlineStr"/>
      <c r="K7619" t="inlineStr"/>
      <c r="L7619" t="inlineStr">
        <is>
          <t>XP_029862536.1 HLA class II histocompatibility antigen, DR alpha chain-like [Aquila chrysaetos chrysaetos]</t>
        </is>
      </c>
      <c r="M7619" t="n">
        <v>255</v>
      </c>
      <c r="N7619" t="inlineStr">
        <is>
          <t>Aquila chrysaetos chrysaetos</t>
        </is>
      </c>
      <c r="O7619" t="inlineStr">
        <is>
          <t>HLA class II histocompatibility antigen, DR alpha chain-like</t>
        </is>
      </c>
    </row>
    <row r="7620">
      <c r="A7620" t="inlineStr"/>
      <c r="B7620" t="inlineStr"/>
      <c r="C7620" t="inlineStr"/>
      <c r="D7620" t="inlineStr"/>
      <c r="E7620">
        <f>HYPERLINK("https://www.uniprot.org/uniprotkb/A0A8C3F4K8/entry", "A0A8C3F4K8")</f>
        <v/>
      </c>
      <c r="F7620" t="n">
        <v>55</v>
      </c>
      <c r="G7620" t="n">
        <v>229</v>
      </c>
      <c r="H7620" t="n">
        <v>8.230000000000001e-80</v>
      </c>
      <c r="I7620" t="inlineStr">
        <is>
          <t>TrEMBL</t>
        </is>
      </c>
      <c r="J7620" t="inlineStr"/>
      <c r="K7620" t="inlineStr">
        <is>
          <t>A0A8C3F4K8_CHRPI</t>
        </is>
      </c>
      <c r="L7620" t="inlineStr">
        <is>
          <t>tr|A0A8C3F4K8|A0A8C3F4K8_CHRPI Ig-like domain-containing protein OS=Chrysemys picta bellii OX=8478 PE=4 SV=1</t>
        </is>
      </c>
      <c r="M7620" t="n">
        <v>258</v>
      </c>
      <c r="N7620" t="inlineStr">
        <is>
          <t>Chrysemys picta bellii</t>
        </is>
      </c>
      <c r="O7620" t="inlineStr">
        <is>
          <t>Ig-like domain-containing protein</t>
        </is>
      </c>
    </row>
    <row r="7621">
      <c r="A7621" t="inlineStr"/>
      <c r="B7621" t="inlineStr"/>
      <c r="C7621" t="inlineStr"/>
      <c r="D7621" t="inlineStr"/>
      <c r="E7621">
        <f>HYPERLINK("https://www.uniprot.org/uniprotkb/A0A8C0GHP2/entry", "A0A8C0GHP2")</f>
        <v/>
      </c>
      <c r="F7621" t="n">
        <v>55</v>
      </c>
      <c r="G7621" t="n">
        <v>229</v>
      </c>
      <c r="H7621" t="n">
        <v>1.17e-79</v>
      </c>
      <c r="I7621" t="inlineStr">
        <is>
          <t>TrEMBL</t>
        </is>
      </c>
      <c r="J7621" t="inlineStr"/>
      <c r="K7621" t="inlineStr">
        <is>
          <t>A0A8C0GHP2_CHEAB</t>
        </is>
      </c>
      <c r="L7621" t="inlineStr">
        <is>
          <t>tr|A0A8C0GHP2|A0A8C0GHP2_CHEAB Ig-like domain-containing protein OS=Chelonoidis abingdonii OX=106734 PE=4 SV=1</t>
        </is>
      </c>
      <c r="M7621" t="n">
        <v>258</v>
      </c>
      <c r="N7621" t="inlineStr">
        <is>
          <t>Chelonoidis abingdonii</t>
        </is>
      </c>
      <c r="O7621" t="inlineStr">
        <is>
          <t>Ig-like domain-containing protein</t>
        </is>
      </c>
    </row>
    <row r="7622">
      <c r="A7622" t="inlineStr"/>
      <c r="B7622" t="inlineStr"/>
      <c r="C7622" t="inlineStr"/>
      <c r="D7622" t="inlineStr"/>
      <c r="E7622">
        <f>HYPERLINK("https://www.uniprot.org/uniprotkb/A0A8C3S243/entry", "A0A8C3S243")</f>
        <v/>
      </c>
      <c r="F7622" t="n">
        <v>55.8</v>
      </c>
      <c r="G7622" t="n">
        <v>226</v>
      </c>
      <c r="H7622" t="n">
        <v>2.15e-79</v>
      </c>
      <c r="I7622" t="inlineStr">
        <is>
          <t>TrEMBL</t>
        </is>
      </c>
      <c r="J7622" t="inlineStr"/>
      <c r="K7622" t="inlineStr">
        <is>
          <t>A0A8C3S243_CHESE</t>
        </is>
      </c>
      <c r="L7622" t="inlineStr">
        <is>
          <t>tr|A0A8C3S243|A0A8C3S243_CHESE Ig-like domain-containing protein OS=Chelydra serpentina OX=8475 PE=4 SV=1</t>
        </is>
      </c>
      <c r="M7622" t="n">
        <v>234</v>
      </c>
      <c r="N7622" t="inlineStr">
        <is>
          <t>Chelydra serpentina</t>
        </is>
      </c>
      <c r="O7622" t="inlineStr">
        <is>
          <t>Ig-like domain-containing protein</t>
        </is>
      </c>
    </row>
    <row r="7623">
      <c r="A7623" t="inlineStr"/>
      <c r="B7623" t="inlineStr"/>
      <c r="C7623" t="inlineStr"/>
      <c r="D7623" t="inlineStr"/>
      <c r="E7623">
        <f>HYPERLINK("https://www.uniprot.org/uniprotkb/A0A6P8NTW7/entry", "A0A6P8NTW7")</f>
        <v/>
      </c>
      <c r="F7623" t="n">
        <v>53.7</v>
      </c>
      <c r="G7623" t="n">
        <v>229</v>
      </c>
      <c r="H7623" t="n">
        <v>2.56e-79</v>
      </c>
      <c r="I7623" t="inlineStr">
        <is>
          <t>TrEMBL</t>
        </is>
      </c>
      <c r="J7623" t="inlineStr">
        <is>
          <t>LOC117350035</t>
        </is>
      </c>
      <c r="K7623" t="inlineStr">
        <is>
          <t>A0A6P8NTW7_GEOSA</t>
        </is>
      </c>
      <c r="L7623" t="inlineStr">
        <is>
          <t>tr|A0A6P8NTW7|A0A6P8NTW7_GEOSA mamu class II histocompatibility antigen, DR alpha chain-like OS=Geotrypetes seraphini OX=260995 GN=LOC117350035 PE=4 SV=1</t>
        </is>
      </c>
      <c r="M7623" t="n">
        <v>250</v>
      </c>
      <c r="N7623" t="inlineStr">
        <is>
          <t>Geotrypetes seraphini</t>
        </is>
      </c>
      <c r="O7623" t="inlineStr">
        <is>
          <t>mamu class II histocompatibility antigen, DR alpha chain-like</t>
        </is>
      </c>
    </row>
    <row r="7624">
      <c r="A7624" t="inlineStr"/>
      <c r="B7624" t="inlineStr"/>
      <c r="C7624" t="inlineStr"/>
      <c r="D7624" t="inlineStr"/>
      <c r="E7624">
        <f>HYPERLINK("https://www.uniprot.org/uniprotkb/A7X5M6/entry", "A7X5M6")</f>
        <v/>
      </c>
      <c r="F7624" t="n">
        <v>52.8</v>
      </c>
      <c r="G7624" t="n">
        <v>235</v>
      </c>
      <c r="H7624" t="n">
        <v>2.920000000000001e-79</v>
      </c>
      <c r="I7624" t="inlineStr">
        <is>
          <t>TrEMBL</t>
        </is>
      </c>
      <c r="J7624" t="inlineStr">
        <is>
          <t>Oran-DRA</t>
        </is>
      </c>
      <c r="K7624" t="inlineStr">
        <is>
          <t>A7X5M6_ORNAN</t>
        </is>
      </c>
      <c r="L7624" t="inlineStr">
        <is>
          <t>tr|A7X5M6|A7X5M6_ORNAN MHC class II antigen OS=Ornithorhynchus anatinus OX=9258 GN=Oran-DRA PE=3 SV=1</t>
        </is>
      </c>
      <c r="M7624" t="n">
        <v>254</v>
      </c>
      <c r="N7624" t="inlineStr">
        <is>
          <t>Ornithorhynchus anatinus</t>
        </is>
      </c>
      <c r="O7624" t="inlineStr">
        <is>
          <t>MHC class II antigen</t>
        </is>
      </c>
    </row>
    <row r="7625">
      <c r="A7625" t="inlineStr"/>
      <c r="B7625" t="inlineStr"/>
      <c r="C7625" t="inlineStr"/>
      <c r="D7625" t="inlineStr"/>
      <c r="E7625">
        <f>HYPERLINK("https://www.uniprot.org/uniprotkb/A0A8C3S1Z4/entry", "A0A8C3S1Z4")</f>
        <v/>
      </c>
      <c r="F7625" t="n">
        <v>55.8</v>
      </c>
      <c r="G7625" t="n">
        <v>226</v>
      </c>
      <c r="H7625" t="n">
        <v>3.3e-79</v>
      </c>
      <c r="I7625" t="inlineStr">
        <is>
          <t>TrEMBL</t>
        </is>
      </c>
      <c r="J7625" t="inlineStr"/>
      <c r="K7625" t="inlineStr">
        <is>
          <t>A0A8C3S1Z4_CHESE</t>
        </is>
      </c>
      <c r="L7625" t="inlineStr">
        <is>
          <t>tr|A0A8C3S1Z4|A0A8C3S1Z4_CHESE Ig-like domain-containing protein OS=Chelydra serpentina OX=8475 PE=4 SV=1</t>
        </is>
      </c>
      <c r="M7625" t="n">
        <v>247</v>
      </c>
      <c r="N7625" t="inlineStr">
        <is>
          <t>Chelydra serpentina</t>
        </is>
      </c>
      <c r="O7625" t="inlineStr">
        <is>
          <t>Ig-like domain-containing protein</t>
        </is>
      </c>
    </row>
    <row r="7626">
      <c r="A7626" t="inlineStr"/>
      <c r="B7626" t="inlineStr"/>
      <c r="C7626" t="inlineStr"/>
      <c r="D7626" t="inlineStr"/>
      <c r="E7626">
        <f>HYPERLINK("https://www.uniprot.org/uniprotkb/A0A8C3S4F9/entry", "A0A8C3S4F9")</f>
        <v/>
      </c>
      <c r="F7626" t="n">
        <v>55.8</v>
      </c>
      <c r="G7626" t="n">
        <v>226</v>
      </c>
      <c r="H7626" t="n">
        <v>4.42e-79</v>
      </c>
      <c r="I7626" t="inlineStr">
        <is>
          <t>TrEMBL</t>
        </is>
      </c>
      <c r="J7626" t="inlineStr"/>
      <c r="K7626" t="inlineStr">
        <is>
          <t>A0A8C3S4F9_CHESE</t>
        </is>
      </c>
      <c r="L7626" t="inlineStr">
        <is>
          <t>tr|A0A8C3S4F9|A0A8C3S4F9_CHESE Ig-like domain-containing protein OS=Chelydra serpentina OX=8475 PE=4 SV=1</t>
        </is>
      </c>
      <c r="M7626" t="n">
        <v>256</v>
      </c>
      <c r="N7626" t="inlineStr">
        <is>
          <t>Chelydra serpentina</t>
        </is>
      </c>
      <c r="O7626" t="inlineStr">
        <is>
          <t>Ig-like domain-containing protein</t>
        </is>
      </c>
    </row>
    <row r="7627">
      <c r="A7627" t="inlineStr"/>
      <c r="B7627" t="inlineStr"/>
      <c r="C7627" t="inlineStr"/>
      <c r="D7627" t="inlineStr"/>
      <c r="E7627">
        <f>HYPERLINK("https://www.uniprot.org/uniprotkb/P20036/entry", "P20036")</f>
        <v/>
      </c>
      <c r="F7627" t="n">
        <v>50.7</v>
      </c>
      <c r="G7627" t="n">
        <v>221</v>
      </c>
      <c r="H7627" t="n">
        <v>8.97e-77</v>
      </c>
      <c r="I7627" t="inlineStr">
        <is>
          <t>Swiss-Prot</t>
        </is>
      </c>
      <c r="J7627" t="inlineStr">
        <is>
          <t>HLA-DPA1</t>
        </is>
      </c>
      <c r="K7627" t="inlineStr">
        <is>
          <t>DPA1_HUMAN</t>
        </is>
      </c>
      <c r="L7627" t="inlineStr">
        <is>
          <t>sp|P20036|DPA1_HUMAN HLA class II histocompatibility antigen, DP alpha 1 chain OS=Homo sapiens OX=9606 GN=HLA-DPA1 PE=1 SV=1</t>
        </is>
      </c>
      <c r="M7627" t="n">
        <v>260</v>
      </c>
      <c r="N7627" t="inlineStr">
        <is>
          <t>Homo sapiens</t>
        </is>
      </c>
      <c r="O7627" t="inlineStr">
        <is>
          <t>HLA class II histocompatibility antigen, DP alpha 1 chain</t>
        </is>
      </c>
    </row>
    <row r="7628">
      <c r="A7628" t="inlineStr"/>
      <c r="B7628" t="inlineStr"/>
      <c r="C7628" t="inlineStr"/>
      <c r="D7628" t="inlineStr"/>
      <c r="E7628">
        <f>HYPERLINK("https://www.uniprot.org/uniprotkb/P01903/entry", "P01903")</f>
        <v/>
      </c>
      <c r="F7628" t="n">
        <v>51.5</v>
      </c>
      <c r="G7628" t="n">
        <v>229</v>
      </c>
      <c r="H7628" t="n">
        <v>6.87e-75</v>
      </c>
      <c r="I7628" t="inlineStr">
        <is>
          <t>Swiss-Prot</t>
        </is>
      </c>
      <c r="J7628" t="inlineStr">
        <is>
          <t>HLA-DRA</t>
        </is>
      </c>
      <c r="K7628" t="inlineStr">
        <is>
          <t>DRA_HUMAN</t>
        </is>
      </c>
      <c r="L7628" t="inlineStr">
        <is>
          <t>sp|P01903|DRA_HUMAN HLA class II histocompatibility antigen, DR alpha chain OS=Homo sapiens OX=9606 GN=HLA-DRA PE=1 SV=2</t>
        </is>
      </c>
      <c r="M7628" t="n">
        <v>254</v>
      </c>
      <c r="N7628" t="inlineStr">
        <is>
          <t>Homo sapiens</t>
        </is>
      </c>
      <c r="O7628" t="inlineStr">
        <is>
          <t>HLA class II histocompatibility antigen, DR alpha chain</t>
        </is>
      </c>
    </row>
    <row r="7629">
      <c r="A7629" t="inlineStr"/>
      <c r="B7629" t="inlineStr"/>
      <c r="C7629" t="inlineStr"/>
      <c r="D7629" t="inlineStr"/>
      <c r="E7629">
        <f>HYPERLINK("https://www.uniprot.org/uniprotkb/P14434/entry", "P14434")</f>
        <v/>
      </c>
      <c r="F7629" t="n">
        <v>52.2</v>
      </c>
      <c r="G7629" t="n">
        <v>201</v>
      </c>
      <c r="H7629" t="n">
        <v>2.73e-72</v>
      </c>
      <c r="I7629" t="inlineStr">
        <is>
          <t>Swiss-Prot</t>
        </is>
      </c>
      <c r="J7629" t="inlineStr">
        <is>
          <t>H2-Aa</t>
        </is>
      </c>
      <c r="K7629" t="inlineStr">
        <is>
          <t>HA2B_MOUSE</t>
        </is>
      </c>
      <c r="L7629" t="inlineStr">
        <is>
          <t>sp|P14434|HA2B_MOUSE H-2 class II histocompatibility antigen, A-B alpha chain OS=Mus musculus OX=10090 GN=H2-Aa PE=1 SV=2</t>
        </is>
      </c>
      <c r="M7629" t="n">
        <v>256</v>
      </c>
      <c r="N7629" t="inlineStr">
        <is>
          <t>Mus musculus</t>
        </is>
      </c>
      <c r="O7629" t="inlineStr">
        <is>
          <t>H-2 class II histocompatibility antigen, A-B alpha chain</t>
        </is>
      </c>
    </row>
    <row r="7630">
      <c r="A7630" t="inlineStr"/>
      <c r="B7630" t="inlineStr"/>
      <c r="C7630" t="inlineStr"/>
      <c r="D7630" t="inlineStr"/>
      <c r="E7630">
        <f>HYPERLINK("https://www.uniprot.org/uniprotkb/Q30631/entry", "Q30631")</f>
        <v/>
      </c>
      <c r="F7630" t="n">
        <v>50.7</v>
      </c>
      <c r="G7630" t="n">
        <v>229</v>
      </c>
      <c r="H7630" t="n">
        <v>1.03e-71</v>
      </c>
      <c r="I7630" t="inlineStr">
        <is>
          <t>Swiss-Prot</t>
        </is>
      </c>
      <c r="J7630" t="inlineStr">
        <is>
          <t>Mamu-DRA</t>
        </is>
      </c>
      <c r="K7630" t="inlineStr">
        <is>
          <t>DRA_MACMU</t>
        </is>
      </c>
      <c r="L7630" t="inlineStr">
        <is>
          <t>sp|Q30631|DRA_MACMU Mamu class II histocompatibility antigen, DR alpha chain OS=Macaca mulatta OX=9544 GN=Mamu-DRA PE=2 SV=1</t>
        </is>
      </c>
      <c r="M7630" t="n">
        <v>254</v>
      </c>
      <c r="N7630" t="inlineStr">
        <is>
          <t>Macaca mulatta</t>
        </is>
      </c>
      <c r="O7630" t="inlineStr">
        <is>
          <t>Mamu class II histocompatibility antigen, DR alpha chain</t>
        </is>
      </c>
    </row>
    <row r="7631">
      <c r="A7631" t="inlineStr"/>
      <c r="B7631" t="inlineStr"/>
      <c r="C7631" t="inlineStr"/>
      <c r="D7631" t="inlineStr"/>
      <c r="E7631">
        <f>HYPERLINK("https://www.uniprot.org/uniprotkb/P14439/entry", "P14439")</f>
        <v/>
      </c>
      <c r="F7631" t="n">
        <v>50</v>
      </c>
      <c r="G7631" t="n">
        <v>220</v>
      </c>
      <c r="H7631" t="n">
        <v>6.08e-71</v>
      </c>
      <c r="I7631" t="inlineStr">
        <is>
          <t>Swiss-Prot</t>
        </is>
      </c>
      <c r="J7631" t="inlineStr">
        <is>
          <t>H2-Ea</t>
        </is>
      </c>
      <c r="K7631" t="inlineStr">
        <is>
          <t>HA23_MOUSE</t>
        </is>
      </c>
      <c r="L7631" t="inlineStr">
        <is>
          <t>sp|P14439|HA23_MOUSE H-2 class II histocompatibility antigen, E-U alpha chain OS=Mus musculus OX=10090 GN=H2-Ea PE=2 SV=2</t>
        </is>
      </c>
      <c r="M7631" t="n">
        <v>255</v>
      </c>
      <c r="N7631" t="inlineStr">
        <is>
          <t>Mus musculus</t>
        </is>
      </c>
      <c r="O7631" t="inlineStr">
        <is>
          <t>H-2 class II histocompatibility antigen, E-U alpha chain</t>
        </is>
      </c>
    </row>
    <row r="7632">
      <c r="A7632" t="inlineStr"/>
      <c r="B7632" t="inlineStr"/>
      <c r="C7632" t="inlineStr"/>
      <c r="D7632" t="inlineStr"/>
      <c r="E7632">
        <f>HYPERLINK("https://www.uniprot.org/uniprotkb/P14435/entry", "P14435")</f>
        <v/>
      </c>
      <c r="F7632" t="n">
        <v>51.7</v>
      </c>
      <c r="G7632" t="n">
        <v>201</v>
      </c>
      <c r="H7632" t="n">
        <v>3.47e-70</v>
      </c>
      <c r="I7632" t="inlineStr">
        <is>
          <t>Swiss-Prot</t>
        </is>
      </c>
      <c r="J7632" t="inlineStr">
        <is>
          <t>H2-Aa</t>
        </is>
      </c>
      <c r="K7632" t="inlineStr">
        <is>
          <t>HA2F_MOUSE</t>
        </is>
      </c>
      <c r="L7632" t="inlineStr">
        <is>
          <t>sp|P14435|HA2F_MOUSE H-2 class II histocompatibility antigen, A-F alpha chain OS=Mus musculus OX=10090 GN=H2-Aa PE=1 SV=1</t>
        </is>
      </c>
      <c r="M7632" t="n">
        <v>233</v>
      </c>
      <c r="N7632" t="inlineStr">
        <is>
          <t>Mus musculus</t>
        </is>
      </c>
      <c r="O7632" t="inlineStr">
        <is>
          <t>H-2 class II histocompatibility antigen, A-F alpha chain</t>
        </is>
      </c>
    </row>
    <row r="7633">
      <c r="A7633" t="inlineStr"/>
      <c r="B7633" t="inlineStr"/>
      <c r="C7633" t="inlineStr"/>
      <c r="D7633" t="inlineStr"/>
      <c r="E7633">
        <f>HYPERLINK("https://www.uniprot.org/uniprotkb/P01904/entry", "P01904")</f>
        <v/>
      </c>
      <c r="F7633" t="n">
        <v>49.5</v>
      </c>
      <c r="G7633" t="n">
        <v>220</v>
      </c>
      <c r="H7633" t="n">
        <v>4.91e-70</v>
      </c>
      <c r="I7633" t="inlineStr">
        <is>
          <t>Swiss-Prot</t>
        </is>
      </c>
      <c r="J7633" t="inlineStr">
        <is>
          <t>H2-Ea</t>
        </is>
      </c>
      <c r="K7633" t="inlineStr">
        <is>
          <t>HA21_MOUSE</t>
        </is>
      </c>
      <c r="L7633" t="inlineStr">
        <is>
          <t>sp|P01904|HA21_MOUSE H-2 class II histocompatibility antigen, E-D alpha chain OS=Mus musculus OX=10090 GN=H2-Ea PE=1 SV=2</t>
        </is>
      </c>
      <c r="M7633" t="n">
        <v>255</v>
      </c>
      <c r="N7633" t="inlineStr">
        <is>
          <t>Mus musculus</t>
        </is>
      </c>
      <c r="O7633" t="inlineStr">
        <is>
          <t>H-2 class II histocompatibility antigen, E-D alpha chain</t>
        </is>
      </c>
    </row>
    <row r="7634">
      <c r="A7634" t="inlineStr"/>
      <c r="B7634" t="inlineStr"/>
      <c r="C7634" t="inlineStr"/>
      <c r="D7634" t="inlineStr"/>
      <c r="E7634">
        <f>HYPERLINK("https://www.uniprot.org/uniprotkb/P04224/entry", "P04224")</f>
        <v/>
      </c>
      <c r="F7634" t="n">
        <v>49.5</v>
      </c>
      <c r="G7634" t="n">
        <v>220</v>
      </c>
      <c r="H7634" t="n">
        <v>4.91e-70</v>
      </c>
      <c r="I7634" t="inlineStr">
        <is>
          <t>Swiss-Prot</t>
        </is>
      </c>
      <c r="J7634" t="inlineStr"/>
      <c r="K7634" t="inlineStr">
        <is>
          <t>HA22_MOUSE</t>
        </is>
      </c>
      <c r="L7634" t="inlineStr">
        <is>
          <t>sp|P04224|HA22_MOUSE H-2 class II histocompatibility antigen, E-K alpha chain OS=Mus musculus OX=10090 PE=1 SV=1</t>
        </is>
      </c>
      <c r="M7634" t="n">
        <v>255</v>
      </c>
      <c r="N7634" t="inlineStr">
        <is>
          <t>Mus musculus</t>
        </is>
      </c>
      <c r="O7634" t="inlineStr">
        <is>
          <t>H-2 class II histocompatibility antigen, E-K alpha chain</t>
        </is>
      </c>
    </row>
    <row r="7635">
      <c r="A7635" t="inlineStr"/>
      <c r="B7635" t="inlineStr"/>
      <c r="C7635" t="inlineStr"/>
      <c r="D7635" t="inlineStr"/>
      <c r="E7635">
        <f>HYPERLINK("https://www.uniprot.org/uniprotkb/P04227/entry", "P04227")</f>
        <v/>
      </c>
      <c r="F7635" t="n">
        <v>51.2</v>
      </c>
      <c r="G7635" t="n">
        <v>201</v>
      </c>
      <c r="H7635" t="n">
        <v>6.72e-70</v>
      </c>
      <c r="I7635" t="inlineStr">
        <is>
          <t>Swiss-Prot</t>
        </is>
      </c>
      <c r="J7635" t="inlineStr">
        <is>
          <t>H2-Aa</t>
        </is>
      </c>
      <c r="K7635" t="inlineStr">
        <is>
          <t>HA2Q_MOUSE</t>
        </is>
      </c>
      <c r="L7635" t="inlineStr">
        <is>
          <t>sp|P04227|HA2Q_MOUSE H-2 class II histocompatibility antigen, A-Q alpha chain (Fragment) OS=Mus musculus OX=10090 GN=H2-Aa PE=1 SV=1</t>
        </is>
      </c>
      <c r="M7635" t="n">
        <v>221</v>
      </c>
      <c r="N7635" t="inlineStr">
        <is>
          <t>Mus musculus</t>
        </is>
      </c>
      <c r="O7635" t="inlineStr">
        <is>
          <t>H-2 class II histocompatibility antigen, A-Q alpha chain (Fragment)</t>
        </is>
      </c>
    </row>
    <row r="7636">
      <c r="A7636" t="inlineStr"/>
      <c r="B7636" t="inlineStr"/>
      <c r="C7636" t="inlineStr"/>
      <c r="D7636" t="inlineStr"/>
      <c r="E7636">
        <f>HYPERLINK("https://www.uniprot.org/uniprotkb/P14438/entry", "P14438")</f>
        <v/>
      </c>
      <c r="F7636" t="n">
        <v>51.2</v>
      </c>
      <c r="G7636" t="n">
        <v>201</v>
      </c>
      <c r="H7636" t="n">
        <v>8.15e-70</v>
      </c>
      <c r="I7636" t="inlineStr">
        <is>
          <t>Swiss-Prot</t>
        </is>
      </c>
      <c r="J7636" t="inlineStr">
        <is>
          <t>H2-Aa</t>
        </is>
      </c>
      <c r="K7636" t="inlineStr">
        <is>
          <t>HA2U_MOUSE</t>
        </is>
      </c>
      <c r="L7636" t="inlineStr">
        <is>
          <t>sp|P14438|HA2U_MOUSE H-2 class II histocompatibility antigen, A-U alpha chain (Fragment) OS=Mus musculus OX=10090 GN=H2-Aa PE=1 SV=1</t>
        </is>
      </c>
      <c r="M7636" t="n">
        <v>227</v>
      </c>
      <c r="N7636" t="inlineStr">
        <is>
          <t>Mus musculus</t>
        </is>
      </c>
      <c r="O7636" t="inlineStr">
        <is>
          <t>H-2 class II histocompatibility antigen, A-U alpha chain (Fragment)</t>
        </is>
      </c>
    </row>
    <row r="7637">
      <c r="A7637" t="inlineStr"/>
      <c r="B7637" t="inlineStr"/>
      <c r="C7637" t="inlineStr"/>
      <c r="D7637" t="inlineStr"/>
      <c r="E7637">
        <f>HYPERLINK("https://www.uniprot.org/uniprotkb/P20037/entry", "P20037")</f>
        <v/>
      </c>
      <c r="F7637" t="n">
        <v>49.3</v>
      </c>
      <c r="G7637" t="n">
        <v>207</v>
      </c>
      <c r="H7637" t="n">
        <v>4.09e-69</v>
      </c>
      <c r="I7637" t="inlineStr">
        <is>
          <t>Swiss-Prot</t>
        </is>
      </c>
      <c r="J7637" t="inlineStr">
        <is>
          <t>RT1-Ba</t>
        </is>
      </c>
      <c r="K7637" t="inlineStr">
        <is>
          <t>HA2B_RAT</t>
        </is>
      </c>
      <c r="L7637" t="inlineStr">
        <is>
          <t>sp|P20037|HA2B_RAT Rano class II histocompatibility antigen, B alpha chain OS=Rattus norvegicus OX=10116 GN=RT1-Ba PE=3 SV=1</t>
        </is>
      </c>
      <c r="M7637" t="n">
        <v>256</v>
      </c>
      <c r="N7637" t="inlineStr">
        <is>
          <t>Rattus norvegicus</t>
        </is>
      </c>
      <c r="O7637" t="inlineStr">
        <is>
          <t>Rano class II histocompatibility antigen, B alpha chain</t>
        </is>
      </c>
    </row>
    <row r="7638">
      <c r="A7638" t="inlineStr"/>
      <c r="B7638" t="inlineStr"/>
      <c r="C7638" t="inlineStr"/>
      <c r="D7638" t="inlineStr"/>
      <c r="E7638">
        <f>HYPERLINK("https://www.uniprot.org/uniprotkb/P20755/entry", "P20755")</f>
        <v/>
      </c>
      <c r="F7638" t="n">
        <v>47.2</v>
      </c>
      <c r="G7638" t="n">
        <v>218</v>
      </c>
      <c r="H7638" t="n">
        <v>9.04e-69</v>
      </c>
      <c r="I7638" t="inlineStr">
        <is>
          <t>Swiss-Prot</t>
        </is>
      </c>
      <c r="J7638" t="inlineStr"/>
      <c r="K7638" t="inlineStr">
        <is>
          <t>HA2P_RABIT</t>
        </is>
      </c>
      <c r="L7638" t="inlineStr">
        <is>
          <t>sp|P20755|HA2P_RABIT RLA class II histocompatibility antigen, DP alpha-1 chain (Fragment) OS=Oryctolagus cuniculus OX=9986 PE=3 SV=1</t>
        </is>
      </c>
      <c r="M7638" t="n">
        <v>226</v>
      </c>
      <c r="N7638" t="inlineStr">
        <is>
          <t>Oryctolagus cuniculus</t>
        </is>
      </c>
      <c r="O7638" t="inlineStr">
        <is>
          <t>RLA class II histocompatibility antigen, DP alpha-1 chain (Fragment)</t>
        </is>
      </c>
    </row>
    <row r="7639">
      <c r="A7639" t="inlineStr"/>
      <c r="B7639" t="inlineStr"/>
      <c r="C7639" t="inlineStr"/>
      <c r="D7639" t="inlineStr"/>
      <c r="E7639">
        <f>HYPERLINK("https://www.uniprot.org/uniprotkb/P04228/entry", "P04228")</f>
        <v/>
      </c>
      <c r="F7639" t="n">
        <v>50.2</v>
      </c>
      <c r="G7639" t="n">
        <v>201</v>
      </c>
      <c r="H7639" t="n">
        <v>2.33e-68</v>
      </c>
      <c r="I7639" t="inlineStr">
        <is>
          <t>Swiss-Prot</t>
        </is>
      </c>
      <c r="J7639" t="inlineStr">
        <is>
          <t>H2-Aa</t>
        </is>
      </c>
      <c r="K7639" t="inlineStr">
        <is>
          <t>HA2D_MOUSE</t>
        </is>
      </c>
      <c r="L7639" t="inlineStr">
        <is>
          <t>sp|P04228|HA2D_MOUSE H-2 class II histocompatibility antigen, A-D alpha chain OS=Mus musculus OX=10090 GN=H2-Aa PE=1 SV=1</t>
        </is>
      </c>
      <c r="M7639" t="n">
        <v>256</v>
      </c>
      <c r="N7639" t="inlineStr">
        <is>
          <t>Mus musculus</t>
        </is>
      </c>
      <c r="O7639" t="inlineStr">
        <is>
          <t>H-2 class II histocompatibility antigen, A-D alpha chain</t>
        </is>
      </c>
    </row>
    <row r="7640">
      <c r="A7640" t="inlineStr"/>
      <c r="B7640" t="inlineStr"/>
      <c r="C7640" t="inlineStr"/>
      <c r="D7640" t="inlineStr"/>
      <c r="E7640">
        <f>HYPERLINK("https://www.uniprot.org/uniprotkb/P14436/entry", "P14436")</f>
        <v/>
      </c>
      <c r="F7640" t="n">
        <v>50.2</v>
      </c>
      <c r="G7640" t="n">
        <v>201</v>
      </c>
      <c r="H7640" t="n">
        <v>6.45e-68</v>
      </c>
      <c r="I7640" t="inlineStr">
        <is>
          <t>Swiss-Prot</t>
        </is>
      </c>
      <c r="J7640" t="inlineStr">
        <is>
          <t>H2-Aa</t>
        </is>
      </c>
      <c r="K7640" t="inlineStr">
        <is>
          <t>HA2R_MOUSE</t>
        </is>
      </c>
      <c r="L7640" t="inlineStr">
        <is>
          <t>sp|P14436|HA2R_MOUSE H-2 class II histocompatibility antigen, A-R alpha chain OS=Mus musculus OX=10090 GN=H2-Aa PE=1 SV=1</t>
        </is>
      </c>
      <c r="M7640" t="n">
        <v>233</v>
      </c>
      <c r="N7640" t="inlineStr">
        <is>
          <t>Mus musculus</t>
        </is>
      </c>
      <c r="O7640" t="inlineStr">
        <is>
          <t>H-2 class II histocompatibility antigen, A-R alpha chain</t>
        </is>
      </c>
    </row>
    <row r="7641">
      <c r="A7641" t="inlineStr"/>
      <c r="B7641" t="inlineStr"/>
      <c r="C7641" t="inlineStr"/>
      <c r="D7641" t="inlineStr"/>
      <c r="E7641">
        <f>HYPERLINK("https://www.uniprot.org/uniprotkb/P14437/entry", "P14437")</f>
        <v/>
      </c>
      <c r="F7641" t="n">
        <v>51.2</v>
      </c>
      <c r="G7641" t="n">
        <v>201</v>
      </c>
      <c r="H7641" t="n">
        <v>6.45e-68</v>
      </c>
      <c r="I7641" t="inlineStr">
        <is>
          <t>Swiss-Prot</t>
        </is>
      </c>
      <c r="J7641" t="inlineStr">
        <is>
          <t>H2-Aa</t>
        </is>
      </c>
      <c r="K7641" t="inlineStr">
        <is>
          <t>HA2S_MOUSE</t>
        </is>
      </c>
      <c r="L7641" t="inlineStr">
        <is>
          <t>sp|P14437|HA2S_MOUSE H-2 class II histocompatibility antigen, A-S alpha chain OS=Mus musculus OX=10090 GN=H2-Aa PE=1 SV=1</t>
        </is>
      </c>
      <c r="M7641" t="n">
        <v>233</v>
      </c>
      <c r="N7641" t="inlineStr">
        <is>
          <t>Mus musculus</t>
        </is>
      </c>
      <c r="O7641" t="inlineStr">
        <is>
          <t>H-2 class II histocompatibility antigen, A-S alpha chain</t>
        </is>
      </c>
    </row>
    <row r="7642">
      <c r="A7642" t="inlineStr"/>
      <c r="B7642" t="inlineStr"/>
      <c r="C7642" t="inlineStr"/>
      <c r="D7642" t="inlineStr"/>
      <c r="E7642">
        <f>HYPERLINK("https://www.uniprot.org/uniprotkb/P01910/entry", "P01910")</f>
        <v/>
      </c>
      <c r="F7642" t="n">
        <v>49.8</v>
      </c>
      <c r="G7642" t="n">
        <v>201</v>
      </c>
      <c r="H7642" t="n">
        <v>1.88e-67</v>
      </c>
      <c r="I7642" t="inlineStr">
        <is>
          <t>Swiss-Prot</t>
        </is>
      </c>
      <c r="J7642" t="inlineStr">
        <is>
          <t>H2-Aa</t>
        </is>
      </c>
      <c r="K7642" t="inlineStr">
        <is>
          <t>HA2K_MOUSE</t>
        </is>
      </c>
      <c r="L7642" t="inlineStr">
        <is>
          <t>sp|P01910|HA2K_MOUSE H-2 class II histocompatibility antigen, A-K alpha chain OS=Mus musculus OX=10090 GN=H2-Aa PE=1 SV=2</t>
        </is>
      </c>
      <c r="M7642" t="n">
        <v>256</v>
      </c>
      <c r="N7642" t="inlineStr">
        <is>
          <t>Mus musculus</t>
        </is>
      </c>
      <c r="O7642" t="inlineStr">
        <is>
          <t>H-2 class II histocompatibility antigen, A-K alpha chain</t>
        </is>
      </c>
    </row>
    <row r="7643">
      <c r="A7643" t="inlineStr"/>
      <c r="B7643" t="inlineStr"/>
      <c r="C7643" t="inlineStr"/>
      <c r="D7643" t="inlineStr"/>
      <c r="E7643">
        <f>HYPERLINK("https://www.uniprot.org/uniprotkb/P23150/entry", "P23150")</f>
        <v/>
      </c>
      <c r="F7643" t="n">
        <v>50.2</v>
      </c>
      <c r="G7643" t="n">
        <v>201</v>
      </c>
      <c r="H7643" t="n">
        <v>5.01e-67</v>
      </c>
      <c r="I7643" t="inlineStr">
        <is>
          <t>Swiss-Prot</t>
        </is>
      </c>
      <c r="J7643" t="inlineStr"/>
      <c r="K7643" t="inlineStr">
        <is>
          <t>HA2J_MOUSE</t>
        </is>
      </c>
      <c r="L7643" t="inlineStr">
        <is>
          <t>sp|P23150|HA2J_MOUSE H-2 class II histocompatibility antigen, I-E alpha chain (Fragment) OS=Mus musculus OX=10090 PE=1 SV=1</t>
        </is>
      </c>
      <c r="M7643" t="n">
        <v>254</v>
      </c>
      <c r="N7643" t="inlineStr">
        <is>
          <t>Mus musculus</t>
        </is>
      </c>
      <c r="O7643" t="inlineStr">
        <is>
          <t>H-2 class II histocompatibility antigen, I-E alpha chain (Fragment)</t>
        </is>
      </c>
    </row>
    <row r="7644">
      <c r="A7644" t="inlineStr"/>
      <c r="B7644" t="inlineStr"/>
      <c r="C7644" t="inlineStr"/>
      <c r="D7644" t="inlineStr"/>
      <c r="E7644">
        <f>HYPERLINK("https://www.uniprot.org/uniprotkb/P15981/entry", "P15981")</f>
        <v/>
      </c>
      <c r="F7644" t="n">
        <v>47.9</v>
      </c>
      <c r="G7644" t="n">
        <v>215</v>
      </c>
      <c r="H7644" t="n">
        <v>7.64e-64</v>
      </c>
      <c r="I7644" t="inlineStr">
        <is>
          <t>Swiss-Prot</t>
        </is>
      </c>
      <c r="J7644" t="inlineStr"/>
      <c r="K7644" t="inlineStr">
        <is>
          <t>HA2D_PIG</t>
        </is>
      </c>
      <c r="L7644" t="inlineStr">
        <is>
          <t>sp|P15981|HA2D_PIG SLA class II histocompatibility antigen, DQ haplotype D alpha chain OS=Sus scrofa OX=9823 PE=2 SV=1</t>
        </is>
      </c>
      <c r="M7644" t="n">
        <v>255</v>
      </c>
      <c r="N7644" t="inlineStr">
        <is>
          <t>Sus scrofa</t>
        </is>
      </c>
      <c r="O7644" t="inlineStr">
        <is>
          <t>SLA class II histocompatibility antigen, DQ haplotype D alpha chain</t>
        </is>
      </c>
    </row>
    <row r="7645">
      <c r="A7645" t="inlineStr"/>
      <c r="B7645" t="inlineStr"/>
      <c r="C7645" t="inlineStr"/>
      <c r="D7645" t="inlineStr"/>
      <c r="E7645">
        <f>HYPERLINK("https://www.uniprot.org/uniprotkb/P01906/entry", "P01906")</f>
        <v/>
      </c>
      <c r="F7645" t="n">
        <v>45.6</v>
      </c>
      <c r="G7645" t="n">
        <v>217</v>
      </c>
      <c r="H7645" t="n">
        <v>1.53e-63</v>
      </c>
      <c r="I7645" t="inlineStr">
        <is>
          <t>Swiss-Prot</t>
        </is>
      </c>
      <c r="J7645" t="inlineStr">
        <is>
          <t>HLA-DQA2</t>
        </is>
      </c>
      <c r="K7645" t="inlineStr">
        <is>
          <t>DQA2_HUMAN</t>
        </is>
      </c>
      <c r="L7645" t="inlineStr">
        <is>
          <t>sp|P01906|DQA2_HUMAN HLA class II histocompatibility antigen, DQ alpha 2 chain OS=Homo sapiens OX=9606 GN=HLA-DQA2 PE=1 SV=2</t>
        </is>
      </c>
      <c r="M7645" t="n">
        <v>255</v>
      </c>
      <c r="N7645" t="inlineStr">
        <is>
          <t>Homo sapiens</t>
        </is>
      </c>
      <c r="O7645" t="inlineStr">
        <is>
          <t>HLA class II histocompatibility antigen, DQ alpha 2 chain</t>
        </is>
      </c>
    </row>
    <row r="7646">
      <c r="A7646" t="inlineStr"/>
      <c r="B7646" t="inlineStr"/>
      <c r="C7646" t="inlineStr"/>
      <c r="D7646" t="inlineStr"/>
      <c r="E7646">
        <f>HYPERLINK("https://www.uniprot.org/uniprotkb/P01909/entry", "P01909")</f>
        <v/>
      </c>
      <c r="F7646" t="n">
        <v>47</v>
      </c>
      <c r="G7646" t="n">
        <v>215</v>
      </c>
      <c r="H7646" t="n">
        <v>4.79e-62</v>
      </c>
      <c r="I7646" t="inlineStr">
        <is>
          <t>Swiss-Prot</t>
        </is>
      </c>
      <c r="J7646" t="inlineStr">
        <is>
          <t>HLA-DQA1</t>
        </is>
      </c>
      <c r="K7646" t="inlineStr">
        <is>
          <t>DQA1_HUMAN</t>
        </is>
      </c>
      <c r="L7646" t="inlineStr">
        <is>
          <t>sp|P01909|DQA1_HUMAN HLA class II histocompatibility antigen, DQ alpha 1 chain OS=Homo sapiens OX=9606 GN=HLA-DQA1 PE=1 SV=1</t>
        </is>
      </c>
      <c r="M7646" t="n">
        <v>254</v>
      </c>
      <c r="N7646" t="inlineStr">
        <is>
          <t>Homo sapiens</t>
        </is>
      </c>
      <c r="O7646" t="inlineStr">
        <is>
          <t>HLA class II histocompatibility antigen, DQ alpha 1 chain</t>
        </is>
      </c>
    </row>
    <row r="7647">
      <c r="A7647" t="inlineStr"/>
      <c r="B7647" t="inlineStr"/>
      <c r="C7647" t="inlineStr"/>
      <c r="D7647" t="inlineStr"/>
      <c r="E7647">
        <f>HYPERLINK("https://www.uniprot.org/uniprotkb/P15980/entry", "P15980")</f>
        <v/>
      </c>
      <c r="F7647" t="n">
        <v>47.4</v>
      </c>
      <c r="G7647" t="n">
        <v>215</v>
      </c>
      <c r="H7647" t="n">
        <v>9.589999999999999e-62</v>
      </c>
      <c r="I7647" t="inlineStr">
        <is>
          <t>Swiss-Prot</t>
        </is>
      </c>
      <c r="J7647" t="inlineStr"/>
      <c r="K7647" t="inlineStr">
        <is>
          <t>HA2C_PIG</t>
        </is>
      </c>
      <c r="L7647" t="inlineStr">
        <is>
          <t>sp|P15980|HA2C_PIG SLA class II histocompatibility antigen, DQ haplotype C alpha chain OS=Sus scrofa OX=9823 PE=2 SV=1</t>
        </is>
      </c>
      <c r="M7647" t="n">
        <v>254</v>
      </c>
      <c r="N7647" t="inlineStr">
        <is>
          <t>Sus scrofa</t>
        </is>
      </c>
      <c r="O7647" t="inlineStr">
        <is>
          <t>SLA class II histocompatibility antigen, DQ haplotype C alpha chain</t>
        </is>
      </c>
    </row>
    <row r="7648">
      <c r="A7648" t="inlineStr"/>
      <c r="B7648" t="inlineStr"/>
      <c r="C7648" t="inlineStr"/>
      <c r="D7648" t="inlineStr"/>
      <c r="E7648">
        <f>HYPERLINK("https://www.uniprot.org/uniprotkb/P06340/entry", "P06340")</f>
        <v/>
      </c>
      <c r="F7648" t="n">
        <v>39.1</v>
      </c>
      <c r="G7648" t="n">
        <v>243</v>
      </c>
      <c r="H7648" t="n">
        <v>1.99e-57</v>
      </c>
      <c r="I7648" t="inlineStr">
        <is>
          <t>Swiss-Prot</t>
        </is>
      </c>
      <c r="J7648" t="inlineStr">
        <is>
          <t>HLA-DOA</t>
        </is>
      </c>
      <c r="K7648" t="inlineStr">
        <is>
          <t>DOA_HUMAN</t>
        </is>
      </c>
      <c r="L7648" t="inlineStr">
        <is>
          <t>sp|P06340|DOA_HUMAN HLA class II histocompatibility antigen, DO alpha chain OS=Homo sapiens OX=9606 GN=HLA-DOA PE=1 SV=1</t>
        </is>
      </c>
      <c r="M7648" t="n">
        <v>250</v>
      </c>
      <c r="N7648" t="inlineStr">
        <is>
          <t>Homo sapiens</t>
        </is>
      </c>
      <c r="O7648" t="inlineStr">
        <is>
          <t>HLA class II histocompatibility antigen, DO alpha chain</t>
        </is>
      </c>
    </row>
    <row r="7649">
      <c r="A7649" t="inlineStr"/>
      <c r="B7649" t="inlineStr"/>
      <c r="C7649" t="inlineStr"/>
      <c r="D7649" t="inlineStr"/>
      <c r="E7649">
        <f>HYPERLINK("https://www.uniprot.org/uniprotkb/P28067/entry", "P28067")</f>
        <v/>
      </c>
      <c r="F7649" t="n">
        <v>28.3</v>
      </c>
      <c r="G7649" t="n">
        <v>212</v>
      </c>
      <c r="H7649" t="n">
        <v>2.51e-16</v>
      </c>
      <c r="I7649" t="inlineStr">
        <is>
          <t>Swiss-Prot</t>
        </is>
      </c>
      <c r="J7649" t="inlineStr">
        <is>
          <t>HLA-DMA</t>
        </is>
      </c>
      <c r="K7649" t="inlineStr">
        <is>
          <t>DMA_HUMAN</t>
        </is>
      </c>
      <c r="L7649" t="inlineStr">
        <is>
          <t>sp|P28067|DMA_HUMAN HLA class II histocompatibility antigen, DM alpha chain OS=Homo sapiens OX=9606 GN=HLA-DMA PE=1 SV=1</t>
        </is>
      </c>
      <c r="M7649" t="n">
        <v>261</v>
      </c>
      <c r="N7649" t="inlineStr">
        <is>
          <t>Homo sapiens</t>
        </is>
      </c>
      <c r="O7649" t="inlineStr">
        <is>
          <t>HLA class II histocompatibility antigen, DM alpha chain</t>
        </is>
      </c>
    </row>
    <row r="7650">
      <c r="A7650" t="inlineStr"/>
      <c r="B7650" t="inlineStr"/>
      <c r="C7650" t="inlineStr"/>
      <c r="D7650" t="inlineStr"/>
      <c r="E7650">
        <f>HYPERLINK("https://www.uniprot.org/uniprotkb/P28078/entry", "P28078")</f>
        <v/>
      </c>
      <c r="F7650" t="n">
        <v>26.9</v>
      </c>
      <c r="G7650" t="n">
        <v>201</v>
      </c>
      <c r="H7650" t="n">
        <v>1.19e-14</v>
      </c>
      <c r="I7650" t="inlineStr">
        <is>
          <t>Swiss-Prot</t>
        </is>
      </c>
      <c r="J7650" t="inlineStr">
        <is>
          <t>H2-DMa</t>
        </is>
      </c>
      <c r="K7650" t="inlineStr">
        <is>
          <t>DMA_MOUSE</t>
        </is>
      </c>
      <c r="L7650" t="inlineStr">
        <is>
          <t>sp|P28078|DMA_MOUSE Class II histocompatibility antigen, M alpha chain OS=Mus musculus OX=10090 GN=H2-DMa PE=1 SV=1</t>
        </is>
      </c>
      <c r="M7650" t="n">
        <v>261</v>
      </c>
      <c r="N7650" t="inlineStr">
        <is>
          <t>Mus musculus</t>
        </is>
      </c>
      <c r="O7650" t="inlineStr">
        <is>
          <t>Class II histocompatibility antigen, M alpha chain</t>
        </is>
      </c>
    </row>
    <row r="7651">
      <c r="A7651" t="inlineStr"/>
      <c r="B7651" t="inlineStr"/>
      <c r="C7651" t="inlineStr"/>
      <c r="D7651" t="inlineStr"/>
      <c r="E7651">
        <f>HYPERLINK("https://www.uniprot.org/uniprotkb/Q9TVC8/entry", "Q9TVC8")</f>
        <v/>
      </c>
      <c r="F7651" t="n">
        <v>28.1</v>
      </c>
      <c r="G7651" t="n">
        <v>128</v>
      </c>
      <c r="H7651" t="n">
        <v>4.89e-12</v>
      </c>
      <c r="I7651" t="inlineStr">
        <is>
          <t>Swiss-Prot</t>
        </is>
      </c>
      <c r="J7651" t="inlineStr">
        <is>
          <t>BoLA-DQB</t>
        </is>
      </c>
      <c r="K7651" t="inlineStr">
        <is>
          <t>HB21_BOVIN</t>
        </is>
      </c>
      <c r="L7651" t="inlineStr">
        <is>
          <t>sp|Q9TVC8|HB21_BOVIN BoLa class II histocompatibility antigen, DQB*0101 beta chain OS=Bos taurus OX=9913 GN=BoLA-DQB PE=2 SV=1</t>
        </is>
      </c>
      <c r="M7651" t="n">
        <v>261</v>
      </c>
      <c r="N7651" t="inlineStr">
        <is>
          <t>Bos taurus</t>
        </is>
      </c>
      <c r="O7651" t="inlineStr">
        <is>
          <t>BoLa class II histocompatibility antigen, DQB*0101 beta chain</t>
        </is>
      </c>
    </row>
    <row r="7652">
      <c r="A7652" t="inlineStr">
        <is>
          <t>NODE_55918_length_2762_cov_17.187755_g19240_i0</t>
        </is>
      </c>
      <c r="B7652" t="inlineStr">
        <is>
          <t>bombina_pachypus_blastx</t>
        </is>
      </c>
      <c r="C7652" t="n">
        <v>-4.66354579830869</v>
      </c>
      <c r="D7652" t="n">
        <v>6.74799334793983e-10</v>
      </c>
      <c r="E7652">
        <f>HYPERLINK("https://www.uniprot.org/uniprotkb/A0A803JIM5/entry", "A0A803JIM5")</f>
        <v/>
      </c>
      <c r="F7652" t="n">
        <v>52.6</v>
      </c>
      <c r="G7652" t="n">
        <v>209</v>
      </c>
      <c r="H7652" t="n">
        <v>1.66e-61</v>
      </c>
      <c r="I7652" t="inlineStr">
        <is>
          <t>TrEMBL</t>
        </is>
      </c>
      <c r="J7652" t="inlineStr"/>
      <c r="K7652" t="inlineStr">
        <is>
          <t>A0A803JIM5_XENTR</t>
        </is>
      </c>
      <c r="L7652" t="inlineStr">
        <is>
          <t>tr|A0A803JIM5|A0A803JIM5_XENTR GIY-YIG domain-containing protein OS=Xenopus tropicalis OX=8364 PE=4 SV=1</t>
        </is>
      </c>
      <c r="M7652" t="n">
        <v>661</v>
      </c>
      <c r="N7652" t="inlineStr">
        <is>
          <t>Xenopus tropicalis</t>
        </is>
      </c>
      <c r="O7652" t="inlineStr">
        <is>
          <t>GIY-YIG domain-containing protein</t>
        </is>
      </c>
    </row>
    <row r="7653">
      <c r="A7653" t="inlineStr"/>
      <c r="B7653" t="inlineStr"/>
      <c r="C7653" t="inlineStr"/>
      <c r="D7653" t="inlineStr"/>
      <c r="E7653">
        <f>HYPERLINK("https://www.uniprot.org/uniprotkb/A0A803KCG6/entry", "A0A803KCG6")</f>
        <v/>
      </c>
      <c r="F7653" t="n">
        <v>52.6</v>
      </c>
      <c r="G7653" t="n">
        <v>211</v>
      </c>
      <c r="H7653" t="n">
        <v>5.13e-61</v>
      </c>
      <c r="I7653" t="inlineStr">
        <is>
          <t>TrEMBL</t>
        </is>
      </c>
      <c r="J7653" t="inlineStr"/>
      <c r="K7653" t="inlineStr">
        <is>
          <t>A0A803KCG6_XENTR</t>
        </is>
      </c>
      <c r="L7653" t="inlineStr">
        <is>
          <t>tr|A0A803KCG6|A0A803KCG6_XENTR Reverse transcriptase domain-containing protein OS=Xenopus tropicalis OX=8364 PE=4 SV=1</t>
        </is>
      </c>
      <c r="M7653" t="n">
        <v>762</v>
      </c>
      <c r="N7653" t="inlineStr">
        <is>
          <t>Xenopus tropicalis</t>
        </is>
      </c>
      <c r="O7653" t="inlineStr">
        <is>
          <t>Reverse transcriptase domain-containing protein</t>
        </is>
      </c>
    </row>
    <row r="7654">
      <c r="A7654" t="inlineStr"/>
      <c r="B7654" t="inlineStr"/>
      <c r="C7654" t="inlineStr"/>
      <c r="D7654" t="inlineStr"/>
      <c r="E7654">
        <f>HYPERLINK("https://www.uniprot.org/uniprotkb/A0A8J1L5X3/entry", "A0A8J1L5X3")</f>
        <v/>
      </c>
      <c r="F7654" t="n">
        <v>51.4</v>
      </c>
      <c r="G7654" t="n">
        <v>218</v>
      </c>
      <c r="H7654" t="n">
        <v>4.15e-60</v>
      </c>
      <c r="I7654" t="inlineStr">
        <is>
          <t>TrEMBL</t>
        </is>
      </c>
      <c r="J7654" t="inlineStr">
        <is>
          <t>LOC121395456</t>
        </is>
      </c>
      <c r="K7654" t="inlineStr">
        <is>
          <t>A0A8J1L5X3_XENLA</t>
        </is>
      </c>
      <c r="L7654" t="inlineStr">
        <is>
          <t>tr|A0A8J1L5X3|A0A8J1L5X3_XENLA uncharacterized protein LOC121395456 isoform X1 OS=Xenopus laevis OX=8355 GN=LOC121395456 PE=4 SV=1</t>
        </is>
      </c>
      <c r="M7654" t="n">
        <v>494</v>
      </c>
      <c r="N7654" t="inlineStr">
        <is>
          <t>Xenopus laevis</t>
        </is>
      </c>
      <c r="O7654" t="inlineStr">
        <is>
          <t>uncharacterized protein LOC121395456 isoform X1</t>
        </is>
      </c>
    </row>
    <row r="7655">
      <c r="A7655" t="inlineStr"/>
      <c r="B7655" t="inlineStr"/>
      <c r="C7655" t="inlineStr"/>
      <c r="D7655" t="inlineStr"/>
      <c r="E7655">
        <f>HYPERLINK("https://www.ncbi.nlm.nih.gov/gene/?term=XP_041424947.1", "XP_041424947.1")</f>
        <v/>
      </c>
      <c r="F7655" t="n">
        <v>51.4</v>
      </c>
      <c r="G7655" t="n">
        <v>218</v>
      </c>
      <c r="H7655" t="n">
        <v>1.07e-59</v>
      </c>
      <c r="I7655" t="inlineStr">
        <is>
          <t>Nr</t>
        </is>
      </c>
      <c r="J7655" t="inlineStr"/>
      <c r="K7655" t="inlineStr"/>
      <c r="L7655" t="inlineStr">
        <is>
          <t>XP_041424947.1 uncharacterized protein LOC121395456 isoform X1 [Xenopus laevis]</t>
        </is>
      </c>
      <c r="M7655" t="n">
        <v>494</v>
      </c>
      <c r="N7655" t="inlineStr">
        <is>
          <t>Xenopus laevis</t>
        </is>
      </c>
      <c r="O7655" t="inlineStr">
        <is>
          <t>uncharacterized protein LOC121395456 isoform X1</t>
        </is>
      </c>
    </row>
    <row r="7656">
      <c r="A7656" t="inlineStr"/>
      <c r="B7656" t="inlineStr"/>
      <c r="C7656" t="inlineStr"/>
      <c r="D7656" t="inlineStr"/>
      <c r="E7656">
        <f>HYPERLINK("https://www.ncbi.nlm.nih.gov/gene/?term=XP_040293005.1", "XP_040293005.1")</f>
        <v/>
      </c>
      <c r="F7656" t="n">
        <v>48.8</v>
      </c>
      <c r="G7656" t="n">
        <v>209</v>
      </c>
      <c r="H7656" t="n">
        <v>2.05e-56</v>
      </c>
      <c r="I7656" t="inlineStr">
        <is>
          <t>Nr</t>
        </is>
      </c>
      <c r="J7656" t="inlineStr"/>
      <c r="K7656" t="inlineStr"/>
      <c r="L7656" t="inlineStr">
        <is>
          <t>XP_040293005.1 uncharacterized protein LOC121004741 [Bufo bufo]</t>
        </is>
      </c>
      <c r="M7656" t="n">
        <v>267</v>
      </c>
      <c r="N7656" t="inlineStr">
        <is>
          <t>Bufo bufo</t>
        </is>
      </c>
      <c r="O7656" t="inlineStr">
        <is>
          <t>uncharacterized protein LOC121004741</t>
        </is>
      </c>
    </row>
    <row r="7657">
      <c r="A7657" t="inlineStr"/>
      <c r="B7657" t="inlineStr"/>
      <c r="C7657" t="inlineStr"/>
      <c r="D7657" t="inlineStr"/>
      <c r="E7657">
        <f>HYPERLINK("https://www.ncbi.nlm.nih.gov/gene/?term=OCT88234.1", "OCT88234.1")</f>
        <v/>
      </c>
      <c r="F7657" t="n">
        <v>45.3</v>
      </c>
      <c r="G7657" t="n">
        <v>223</v>
      </c>
      <c r="H7657" t="n">
        <v>1.24e-55</v>
      </c>
      <c r="I7657" t="inlineStr">
        <is>
          <t>Nr</t>
        </is>
      </c>
      <c r="J7657" t="inlineStr"/>
      <c r="K7657" t="inlineStr"/>
      <c r="L7657" t="inlineStr">
        <is>
          <t>OCT88234.1 hypothetical protein XELAEV_18016860mg [Xenopus laevis]</t>
        </is>
      </c>
      <c r="M7657" t="n">
        <v>486</v>
      </c>
      <c r="N7657" t="inlineStr">
        <is>
          <t>Xenopus laevis</t>
        </is>
      </c>
      <c r="O7657" t="inlineStr">
        <is>
          <t>hypothetical protein XELAEV_18016860mg</t>
        </is>
      </c>
    </row>
    <row r="7658">
      <c r="A7658" t="inlineStr"/>
      <c r="B7658" t="inlineStr"/>
      <c r="C7658" t="inlineStr"/>
      <c r="D7658" t="inlineStr"/>
      <c r="E7658">
        <f>HYPERLINK("https://www.ncbi.nlm.nih.gov/gene/?term=XP_040188254.1", "XP_040188254.1")</f>
        <v/>
      </c>
      <c r="F7658" t="n">
        <v>46.6</v>
      </c>
      <c r="G7658" t="n">
        <v>223</v>
      </c>
      <c r="H7658" t="n">
        <v>4.149999999999999e-52</v>
      </c>
      <c r="I7658" t="inlineStr">
        <is>
          <t>Nr</t>
        </is>
      </c>
      <c r="J7658" t="inlineStr"/>
      <c r="K7658" t="inlineStr"/>
      <c r="L7658" t="inlineStr">
        <is>
          <t>XP_040188254.1 uncharacterized protein LOC120920313 [Rana temporaria]</t>
        </is>
      </c>
      <c r="M7658" t="n">
        <v>618</v>
      </c>
      <c r="N7658" t="inlineStr">
        <is>
          <t>Rana temporaria</t>
        </is>
      </c>
      <c r="O7658" t="inlineStr">
        <is>
          <t>uncharacterized protein LOC120920313</t>
        </is>
      </c>
    </row>
    <row r="7659">
      <c r="A7659" t="inlineStr"/>
      <c r="B7659" t="inlineStr"/>
      <c r="C7659" t="inlineStr"/>
      <c r="D7659" t="inlineStr"/>
      <c r="E7659">
        <f>HYPERLINK("https://www.uniprot.org/uniprotkb/A0A8C5MH15/entry", "A0A8C5MH15")</f>
        <v/>
      </c>
      <c r="F7659" t="n">
        <v>43.9</v>
      </c>
      <c r="G7659" t="n">
        <v>214</v>
      </c>
      <c r="H7659" t="n">
        <v>1.43e-51</v>
      </c>
      <c r="I7659" t="inlineStr">
        <is>
          <t>TrEMBL</t>
        </is>
      </c>
      <c r="J7659" t="inlineStr"/>
      <c r="K7659" t="inlineStr">
        <is>
          <t>A0A8C5MH15_9ANUR</t>
        </is>
      </c>
      <c r="L7659" t="inlineStr">
        <is>
          <t>tr|A0A8C5MH15|A0A8C5MH15_9ANUR Reverse transcriptase domain-containing protein OS=Leptobrachium leishanense OX=445787 PE=4 SV=1</t>
        </is>
      </c>
      <c r="M7659" t="n">
        <v>608</v>
      </c>
      <c r="N7659" t="inlineStr">
        <is>
          <t>Leptobrachium leishanense</t>
        </is>
      </c>
      <c r="O7659" t="inlineStr">
        <is>
          <t>Reverse transcriptase domain-containing protein</t>
        </is>
      </c>
    </row>
    <row r="7660">
      <c r="A7660" t="inlineStr"/>
      <c r="B7660" t="inlineStr"/>
      <c r="C7660" t="inlineStr"/>
      <c r="D7660" t="inlineStr"/>
      <c r="E7660">
        <f>HYPERLINK("https://www.ncbi.nlm.nih.gov/gene/?term=XP_040212985.1", "XP_040212985.1")</f>
        <v/>
      </c>
      <c r="F7660" t="n">
        <v>46.4</v>
      </c>
      <c r="G7660" t="n">
        <v>220</v>
      </c>
      <c r="H7660" t="n">
        <v>4.52e-51</v>
      </c>
      <c r="I7660" t="inlineStr">
        <is>
          <t>Nr</t>
        </is>
      </c>
      <c r="J7660" t="inlineStr"/>
      <c r="K7660" t="inlineStr"/>
      <c r="L7660" t="inlineStr">
        <is>
          <t>XP_040212985.1 uncharacterized protein LOC120943646 [Rana temporaria]</t>
        </is>
      </c>
      <c r="M7660" t="n">
        <v>646</v>
      </c>
      <c r="N7660" t="inlineStr">
        <is>
          <t>Rana temporaria</t>
        </is>
      </c>
      <c r="O7660" t="inlineStr">
        <is>
          <t>uncharacterized protein LOC120943646</t>
        </is>
      </c>
    </row>
    <row r="7661">
      <c r="A7661" t="inlineStr"/>
      <c r="B7661" t="inlineStr"/>
      <c r="C7661" t="inlineStr"/>
      <c r="D7661" t="inlineStr"/>
      <c r="E7661">
        <f>HYPERLINK("https://www.ncbi.nlm.nih.gov/gene/?term=XP_040212877.1", "XP_040212877.1")</f>
        <v/>
      </c>
      <c r="F7661" t="n">
        <v>46.4</v>
      </c>
      <c r="G7661" t="n">
        <v>220</v>
      </c>
      <c r="H7661" t="n">
        <v>1.67e-50</v>
      </c>
      <c r="I7661" t="inlineStr">
        <is>
          <t>Nr</t>
        </is>
      </c>
      <c r="J7661" t="inlineStr"/>
      <c r="K7661" t="inlineStr"/>
      <c r="L7661" t="inlineStr">
        <is>
          <t>XP_040212877.1 uncharacterized protein LOC120943569 [Rana temporaria]</t>
        </is>
      </c>
      <c r="M7661" t="n">
        <v>765</v>
      </c>
      <c r="N7661" t="inlineStr">
        <is>
          <t>Rana temporaria</t>
        </is>
      </c>
      <c r="O7661" t="inlineStr">
        <is>
          <t>uncharacterized protein LOC120943569</t>
        </is>
      </c>
    </row>
    <row r="7662">
      <c r="A7662" t="inlineStr"/>
      <c r="B7662" t="inlineStr"/>
      <c r="C7662" t="inlineStr"/>
      <c r="D7662" t="inlineStr"/>
      <c r="E7662">
        <f>HYPERLINK("https://www.ncbi.nlm.nih.gov/gene/?term=XP_044151417.1", "XP_044151417.1")</f>
        <v/>
      </c>
      <c r="F7662" t="n">
        <v>41.1</v>
      </c>
      <c r="G7662" t="n">
        <v>224</v>
      </c>
      <c r="H7662" t="n">
        <v>2.57e-50</v>
      </c>
      <c r="I7662" t="inlineStr">
        <is>
          <t>Nr</t>
        </is>
      </c>
      <c r="J7662" t="inlineStr"/>
      <c r="K7662" t="inlineStr"/>
      <c r="L7662" t="inlineStr">
        <is>
          <t>XP_044151417.1 A disintegrin and metalloproteinase with thrombospondin motifs 16 [Bufo gargarizans]</t>
        </is>
      </c>
      <c r="M7662" t="n">
        <v>1376</v>
      </c>
      <c r="N7662" t="inlineStr">
        <is>
          <t>Bufo gargarizans</t>
        </is>
      </c>
      <c r="O7662" t="inlineStr">
        <is>
          <t>A disintegrin and metalloproteinase with thrombospondin motifs 16</t>
        </is>
      </c>
    </row>
    <row r="7663">
      <c r="A7663" t="inlineStr"/>
      <c r="B7663" t="inlineStr"/>
      <c r="C7663" t="inlineStr"/>
      <c r="D7663" t="inlineStr"/>
      <c r="E7663">
        <f>HYPERLINK("https://www.uniprot.org/uniprotkb/A0A8C5P7I8/entry", "A0A8C5P7I8")</f>
        <v/>
      </c>
      <c r="F7663" t="n">
        <v>43.2</v>
      </c>
      <c r="G7663" t="n">
        <v>222</v>
      </c>
      <c r="H7663" t="n">
        <v>8.630000000000001e-50</v>
      </c>
      <c r="I7663" t="inlineStr">
        <is>
          <t>TrEMBL</t>
        </is>
      </c>
      <c r="J7663" t="inlineStr"/>
      <c r="K7663" t="inlineStr">
        <is>
          <t>A0A8C5P7I8_9ANUR</t>
        </is>
      </c>
      <c r="L7663" t="inlineStr">
        <is>
          <t>tr|A0A8C5P7I8|A0A8C5P7I8_9ANUR Reverse transcriptase domain-containing protein OS=Leptobrachium leishanense OX=445787 PE=4 SV=1</t>
        </is>
      </c>
      <c r="M7663" t="n">
        <v>728</v>
      </c>
      <c r="N7663" t="inlineStr">
        <is>
          <t>Leptobrachium leishanense</t>
        </is>
      </c>
      <c r="O7663" t="inlineStr">
        <is>
          <t>Reverse transcriptase domain-containing protein</t>
        </is>
      </c>
    </row>
    <row r="7664">
      <c r="A7664" t="inlineStr"/>
      <c r="B7664" t="inlineStr"/>
      <c r="C7664" t="inlineStr"/>
      <c r="D7664" t="inlineStr"/>
      <c r="E7664">
        <f>HYPERLINK("https://www.ncbi.nlm.nih.gov/gene/?term=XP_040196440.1", "XP_040196440.1")</f>
        <v/>
      </c>
      <c r="F7664" t="n">
        <v>43.8</v>
      </c>
      <c r="G7664" t="n">
        <v>226</v>
      </c>
      <c r="H7664" t="n">
        <v>9.54e-50</v>
      </c>
      <c r="I7664" t="inlineStr">
        <is>
          <t>Nr</t>
        </is>
      </c>
      <c r="J7664" t="inlineStr"/>
      <c r="K7664" t="inlineStr"/>
      <c r="L7664" t="inlineStr">
        <is>
          <t>XP_040196440.1 uncharacterized protein LOC120929221 [Rana temporaria]</t>
        </is>
      </c>
      <c r="M7664" t="n">
        <v>742</v>
      </c>
      <c r="N7664" t="inlineStr">
        <is>
          <t>Rana temporaria</t>
        </is>
      </c>
      <c r="O7664" t="inlineStr">
        <is>
          <t>uncharacterized protein LOC120929221</t>
        </is>
      </c>
    </row>
    <row r="7665">
      <c r="A7665" t="inlineStr"/>
      <c r="B7665" t="inlineStr"/>
      <c r="C7665" t="inlineStr"/>
      <c r="D7665" t="inlineStr"/>
      <c r="E7665">
        <f>HYPERLINK("https://www.uniprot.org/uniprotkb/A0A1B8XYH4/entry", "A0A1B8XYH4")</f>
        <v/>
      </c>
      <c r="F7665" t="n">
        <v>41.3</v>
      </c>
      <c r="G7665" t="n">
        <v>218</v>
      </c>
      <c r="H7665" t="n">
        <v>1.36e-49</v>
      </c>
      <c r="I7665" t="inlineStr">
        <is>
          <t>TrEMBL</t>
        </is>
      </c>
      <c r="J7665" t="inlineStr">
        <is>
          <t>XENTR_v90029288mg</t>
        </is>
      </c>
      <c r="K7665" t="inlineStr">
        <is>
          <t>A0A1B8XYH4_XENTR</t>
        </is>
      </c>
      <c r="L7665" t="inlineStr">
        <is>
          <t>tr|A0A1B8XYH4|A0A1B8XYH4_XENTR Reverse transcriptase domain-containing protein OS=Xenopus tropicalis OX=8364 GN=XENTR_v90029288mg PE=4 SV=1</t>
        </is>
      </c>
      <c r="M7665" t="n">
        <v>500</v>
      </c>
      <c r="N7665" t="inlineStr">
        <is>
          <t>Xenopus tropicalis</t>
        </is>
      </c>
      <c r="O7665" t="inlineStr">
        <is>
          <t>Reverse transcriptase domain-containing protein</t>
        </is>
      </c>
    </row>
    <row r="7666">
      <c r="A7666" t="inlineStr"/>
      <c r="B7666" t="inlineStr"/>
      <c r="C7666" t="inlineStr"/>
      <c r="D7666" t="inlineStr"/>
      <c r="E7666">
        <f>HYPERLINK("https://www.uniprot.org/uniprotkb/A0A8C5M6S6/entry", "A0A8C5M6S6")</f>
        <v/>
      </c>
      <c r="F7666" t="n">
        <v>44</v>
      </c>
      <c r="G7666" t="n">
        <v>216</v>
      </c>
      <c r="H7666" t="n">
        <v>1.48e-49</v>
      </c>
      <c r="I7666" t="inlineStr">
        <is>
          <t>TrEMBL</t>
        </is>
      </c>
      <c r="J7666" t="inlineStr"/>
      <c r="K7666" t="inlineStr">
        <is>
          <t>A0A8C5M6S6_9ANUR</t>
        </is>
      </c>
      <c r="L7666" t="inlineStr">
        <is>
          <t>tr|A0A8C5M6S6|A0A8C5M6S6_9ANUR Reverse transcriptase domain-containing protein OS=Leptobrachium leishanense OX=445787 PE=4 SV=1</t>
        </is>
      </c>
      <c r="M7666" t="n">
        <v>752</v>
      </c>
      <c r="N7666" t="inlineStr">
        <is>
          <t>Leptobrachium leishanense</t>
        </is>
      </c>
      <c r="O7666" t="inlineStr">
        <is>
          <t>Reverse transcriptase domain-containing protein</t>
        </is>
      </c>
    </row>
    <row r="7667">
      <c r="A7667" t="inlineStr"/>
      <c r="B7667" t="inlineStr"/>
      <c r="C7667" t="inlineStr"/>
      <c r="D7667" t="inlineStr"/>
      <c r="E7667">
        <f>HYPERLINK("https://www.ncbi.nlm.nih.gov/gene/?term=XP_040206073.1", "XP_040206073.1")</f>
        <v/>
      </c>
      <c r="F7667" t="n">
        <v>43</v>
      </c>
      <c r="G7667" t="n">
        <v>221</v>
      </c>
      <c r="H7667" t="n">
        <v>8.71e-49</v>
      </c>
      <c r="I7667" t="inlineStr">
        <is>
          <t>Nr</t>
        </is>
      </c>
      <c r="J7667" t="inlineStr"/>
      <c r="K7667" t="inlineStr"/>
      <c r="L7667" t="inlineStr">
        <is>
          <t>XP_040206073.1 uncharacterized protein LOC120937139 [Rana temporaria]</t>
        </is>
      </c>
      <c r="M7667" t="n">
        <v>619</v>
      </c>
      <c r="N7667" t="inlineStr">
        <is>
          <t>Rana temporaria</t>
        </is>
      </c>
      <c r="O7667" t="inlineStr">
        <is>
          <t>uncharacterized protein LOC120937139</t>
        </is>
      </c>
    </row>
    <row r="7668">
      <c r="A7668" t="inlineStr"/>
      <c r="B7668" t="inlineStr"/>
      <c r="C7668" t="inlineStr"/>
      <c r="D7668" t="inlineStr"/>
      <c r="E7668">
        <f>HYPERLINK("https://www.ncbi.nlm.nih.gov/gene/?term=XP_040191613.1", "XP_040191613.1")</f>
        <v/>
      </c>
      <c r="F7668" t="n">
        <v>43</v>
      </c>
      <c r="G7668" t="n">
        <v>221</v>
      </c>
      <c r="H7668" t="n">
        <v>3.18e-48</v>
      </c>
      <c r="I7668" t="inlineStr">
        <is>
          <t>Nr</t>
        </is>
      </c>
      <c r="J7668" t="inlineStr"/>
      <c r="K7668" t="inlineStr"/>
      <c r="L7668" t="inlineStr">
        <is>
          <t>XP_040191613.1 uncharacterized protein LOC120924680 [Rana temporaria]</t>
        </is>
      </c>
      <c r="M7668" t="n">
        <v>735</v>
      </c>
      <c r="N7668" t="inlineStr">
        <is>
          <t>Rana temporaria</t>
        </is>
      </c>
      <c r="O7668" t="inlineStr">
        <is>
          <t>uncharacterized protein LOC120924680</t>
        </is>
      </c>
    </row>
    <row r="7669">
      <c r="A7669" t="inlineStr"/>
      <c r="B7669" t="inlineStr"/>
      <c r="C7669" t="inlineStr"/>
      <c r="D7669" t="inlineStr"/>
      <c r="E7669">
        <f>HYPERLINK("https://www.uniprot.org/uniprotkb/A0A8C5WH29/entry", "A0A8C5WH29")</f>
        <v/>
      </c>
      <c r="F7669" t="n">
        <v>45.2</v>
      </c>
      <c r="G7669" t="n">
        <v>208</v>
      </c>
      <c r="H7669" t="n">
        <v>3.56e-48</v>
      </c>
      <c r="I7669" t="inlineStr">
        <is>
          <t>TrEMBL</t>
        </is>
      </c>
      <c r="J7669" t="inlineStr"/>
      <c r="K7669" t="inlineStr">
        <is>
          <t>A0A8C5WH29_9ANUR</t>
        </is>
      </c>
      <c r="L7669" t="inlineStr">
        <is>
          <t>tr|A0A8C5WH29|A0A8C5WH29_9ANUR Reverse transcriptase domain-containing protein OS=Leptobrachium leishanense OX=445787 PE=4 SV=1</t>
        </is>
      </c>
      <c r="M7669" t="n">
        <v>788</v>
      </c>
      <c r="N7669" t="inlineStr">
        <is>
          <t>Leptobrachium leishanense</t>
        </is>
      </c>
      <c r="O7669" t="inlineStr">
        <is>
          <t>Reverse transcriptase domain-containing protein</t>
        </is>
      </c>
    </row>
    <row r="7670">
      <c r="A7670" t="inlineStr"/>
      <c r="B7670" t="inlineStr"/>
      <c r="C7670" t="inlineStr"/>
      <c r="D7670" t="inlineStr"/>
      <c r="E7670">
        <f>HYPERLINK("https://www.ncbi.nlm.nih.gov/gene/?term=XP_040177478.1", "XP_040177478.1")</f>
        <v/>
      </c>
      <c r="F7670" t="n">
        <v>46.7</v>
      </c>
      <c r="G7670" t="n">
        <v>210</v>
      </c>
      <c r="H7670" t="n">
        <v>4.949999999999999e-48</v>
      </c>
      <c r="I7670" t="inlineStr">
        <is>
          <t>Nr</t>
        </is>
      </c>
      <c r="J7670" t="inlineStr"/>
      <c r="K7670" t="inlineStr"/>
      <c r="L7670" t="inlineStr">
        <is>
          <t>XP_040177478.1 zinc finger protein 420-like [Rana temporaria]</t>
        </is>
      </c>
      <c r="M7670" t="n">
        <v>847</v>
      </c>
      <c r="N7670" t="inlineStr">
        <is>
          <t>Rana temporaria</t>
        </is>
      </c>
      <c r="O7670" t="inlineStr">
        <is>
          <t>zinc finger protein 420-like</t>
        </is>
      </c>
    </row>
    <row r="7671">
      <c r="A7671" t="inlineStr"/>
      <c r="B7671" t="inlineStr"/>
      <c r="C7671" t="inlineStr"/>
      <c r="D7671" t="inlineStr"/>
      <c r="E7671">
        <f>HYPERLINK("https://www.uniprot.org/uniprotkb/A0A8C5R1Q4/entry", "A0A8C5R1Q4")</f>
        <v/>
      </c>
      <c r="F7671" t="n">
        <v>44.5</v>
      </c>
      <c r="G7671" t="n">
        <v>200</v>
      </c>
      <c r="H7671" t="n">
        <v>1.6e-47</v>
      </c>
      <c r="I7671" t="inlineStr">
        <is>
          <t>TrEMBL</t>
        </is>
      </c>
      <c r="J7671" t="inlineStr"/>
      <c r="K7671" t="inlineStr">
        <is>
          <t>A0A8C5R1Q4_9ANUR</t>
        </is>
      </c>
      <c r="L7671" t="inlineStr">
        <is>
          <t>tr|A0A8C5R1Q4|A0A8C5R1Q4_9ANUR Reverse transcriptase domain-containing protein OS=Leptobrachium leishanense OX=445787 PE=4 SV=1</t>
        </is>
      </c>
      <c r="M7671" t="n">
        <v>564</v>
      </c>
      <c r="N7671" t="inlineStr">
        <is>
          <t>Leptobrachium leishanense</t>
        </is>
      </c>
      <c r="O7671" t="inlineStr">
        <is>
          <t>Reverse transcriptase domain-containing protein</t>
        </is>
      </c>
    </row>
    <row r="7672">
      <c r="A7672" t="inlineStr"/>
      <c r="B7672" t="inlineStr"/>
      <c r="C7672" t="inlineStr"/>
      <c r="D7672" t="inlineStr"/>
      <c r="E7672">
        <f>HYPERLINK("https://www.ncbi.nlm.nih.gov/gene/?term=XP_040176802.1", "XP_040176802.1")</f>
        <v/>
      </c>
      <c r="F7672" t="n">
        <v>43.3</v>
      </c>
      <c r="G7672" t="n">
        <v>208</v>
      </c>
      <c r="H7672" t="n">
        <v>1.89e-47</v>
      </c>
      <c r="I7672" t="inlineStr">
        <is>
          <t>Nr</t>
        </is>
      </c>
      <c r="J7672" t="inlineStr"/>
      <c r="K7672" t="inlineStr"/>
      <c r="L7672" t="inlineStr">
        <is>
          <t>XP_040176802.1 uncharacterized protein LOC120909161 [Rana temporaria]</t>
        </is>
      </c>
      <c r="M7672" t="n">
        <v>445</v>
      </c>
      <c r="N7672" t="inlineStr">
        <is>
          <t>Rana temporaria</t>
        </is>
      </c>
      <c r="O7672" t="inlineStr">
        <is>
          <t>uncharacterized protein LOC120909161</t>
        </is>
      </c>
    </row>
    <row r="7673">
      <c r="A7673" t="inlineStr"/>
      <c r="B7673" t="inlineStr"/>
      <c r="C7673" t="inlineStr"/>
      <c r="D7673" t="inlineStr"/>
      <c r="E7673">
        <f>HYPERLINK("https://www.ncbi.nlm.nih.gov/gene/?term=XP_040196442.1", "XP_040196442.1")</f>
        <v/>
      </c>
      <c r="F7673" t="n">
        <v>43.3</v>
      </c>
      <c r="G7673" t="n">
        <v>210</v>
      </c>
      <c r="H7673" t="n">
        <v>2.19e-47</v>
      </c>
      <c r="I7673" t="inlineStr">
        <is>
          <t>Nr</t>
        </is>
      </c>
      <c r="J7673" t="inlineStr"/>
      <c r="K7673" t="inlineStr"/>
      <c r="L7673" t="inlineStr">
        <is>
          <t>XP_040196442.1 uncharacterized protein LOC120929219 [Rana temporaria]</t>
        </is>
      </c>
      <c r="M7673" t="n">
        <v>545</v>
      </c>
      <c r="N7673" t="inlineStr">
        <is>
          <t>Rana temporaria</t>
        </is>
      </c>
      <c r="O7673" t="inlineStr">
        <is>
          <t>uncharacterized protein LOC120929219</t>
        </is>
      </c>
    </row>
    <row r="7674">
      <c r="A7674" t="inlineStr"/>
      <c r="B7674" t="inlineStr"/>
      <c r="C7674" t="inlineStr"/>
      <c r="D7674" t="inlineStr"/>
      <c r="E7674">
        <f>HYPERLINK("https://www.uniprot.org/uniprotkb/A0A8C5LZ44/entry", "A0A8C5LZ44")</f>
        <v/>
      </c>
      <c r="F7674" t="n">
        <v>44.5</v>
      </c>
      <c r="G7674" t="n">
        <v>200</v>
      </c>
      <c r="H7674" t="n">
        <v>2.2e-47</v>
      </c>
      <c r="I7674" t="inlineStr">
        <is>
          <t>TrEMBL</t>
        </is>
      </c>
      <c r="J7674" t="inlineStr"/>
      <c r="K7674" t="inlineStr">
        <is>
          <t>A0A8C5LZ44_9ANUR</t>
        </is>
      </c>
      <c r="L7674" t="inlineStr">
        <is>
          <t>tr|A0A8C5LZ44|A0A8C5LZ44_9ANUR Reverse transcriptase domain-containing protein OS=Leptobrachium leishanense OX=445787 PE=4 SV=1</t>
        </is>
      </c>
      <c r="M7674" t="n">
        <v>563</v>
      </c>
      <c r="N7674" t="inlineStr">
        <is>
          <t>Leptobrachium leishanense</t>
        </is>
      </c>
      <c r="O7674" t="inlineStr">
        <is>
          <t>Reverse transcriptase domain-containing protein</t>
        </is>
      </c>
    </row>
    <row r="7675">
      <c r="A7675" t="inlineStr"/>
      <c r="B7675" t="inlineStr"/>
      <c r="C7675" t="inlineStr"/>
      <c r="D7675" t="inlineStr"/>
      <c r="E7675">
        <f>HYPERLINK("https://www.ncbi.nlm.nih.gov/gene/?term=XP_040176800.1", "XP_040176800.1")</f>
        <v/>
      </c>
      <c r="F7675" t="n">
        <v>42.5</v>
      </c>
      <c r="G7675" t="n">
        <v>214</v>
      </c>
      <c r="H7675" t="n">
        <v>1.29e-46</v>
      </c>
      <c r="I7675" t="inlineStr">
        <is>
          <t>Nr</t>
        </is>
      </c>
      <c r="J7675" t="inlineStr"/>
      <c r="K7675" t="inlineStr"/>
      <c r="L7675" t="inlineStr">
        <is>
          <t>XP_040176800.1 uncharacterized protein LOC120909160 [Rana temporaria]</t>
        </is>
      </c>
      <c r="M7675" t="n">
        <v>802</v>
      </c>
      <c r="N7675" t="inlineStr">
        <is>
          <t>Rana temporaria</t>
        </is>
      </c>
      <c r="O7675" t="inlineStr">
        <is>
          <t>uncharacterized protein LOC120909160</t>
        </is>
      </c>
    </row>
    <row r="7676">
      <c r="A7676" t="inlineStr"/>
      <c r="B7676" t="inlineStr"/>
      <c r="C7676" t="inlineStr"/>
      <c r="D7676" t="inlineStr"/>
      <c r="E7676">
        <f>HYPERLINK("https://www.uniprot.org/uniprotkb/A0A8C5MMS5/entry", "A0A8C5MMS5")</f>
        <v/>
      </c>
      <c r="F7676" t="n">
        <v>43.5</v>
      </c>
      <c r="G7676" t="n">
        <v>200</v>
      </c>
      <c r="H7676" t="n">
        <v>2.18e-46</v>
      </c>
      <c r="I7676" t="inlineStr">
        <is>
          <t>TrEMBL</t>
        </is>
      </c>
      <c r="J7676" t="inlineStr"/>
      <c r="K7676" t="inlineStr">
        <is>
          <t>A0A8C5MMS5_9ANUR</t>
        </is>
      </c>
      <c r="L7676" t="inlineStr">
        <is>
          <t>tr|A0A8C5MMS5|A0A8C5MMS5_9ANUR Reverse transcriptase domain-containing protein OS=Leptobrachium leishanense OX=445787 PE=4 SV=1</t>
        </is>
      </c>
      <c r="M7676" t="n">
        <v>664</v>
      </c>
      <c r="N7676" t="inlineStr">
        <is>
          <t>Leptobrachium leishanense</t>
        </is>
      </c>
      <c r="O7676" t="inlineStr">
        <is>
          <t>Reverse transcriptase domain-containing protein</t>
        </is>
      </c>
    </row>
    <row r="7677">
      <c r="A7677" t="inlineStr"/>
      <c r="B7677" t="inlineStr"/>
      <c r="C7677" t="inlineStr"/>
      <c r="D7677" t="inlineStr"/>
      <c r="E7677">
        <f>HYPERLINK("https://www.uniprot.org/uniprotkb/A0A8C5N1Y7/entry", "A0A8C5N1Y7")</f>
        <v/>
      </c>
      <c r="F7677" t="n">
        <v>43</v>
      </c>
      <c r="G7677" t="n">
        <v>207</v>
      </c>
      <c r="H7677" t="n">
        <v>3.2e-46</v>
      </c>
      <c r="I7677" t="inlineStr">
        <is>
          <t>TrEMBL</t>
        </is>
      </c>
      <c r="J7677" t="inlineStr"/>
      <c r="K7677" t="inlineStr">
        <is>
          <t>A0A8C5N1Y7_9ANUR</t>
        </is>
      </c>
      <c r="L7677" t="inlineStr">
        <is>
          <t>tr|A0A8C5N1Y7|A0A8C5N1Y7_9ANUR Reverse transcriptase domain-containing protein OS=Leptobrachium leishanense OX=445787 PE=4 SV=1</t>
        </is>
      </c>
      <c r="M7677" t="n">
        <v>564</v>
      </c>
      <c r="N7677" t="inlineStr">
        <is>
          <t>Leptobrachium leishanense</t>
        </is>
      </c>
      <c r="O7677" t="inlineStr">
        <is>
          <t>Reverse transcriptase domain-containing protein</t>
        </is>
      </c>
    </row>
    <row r="7678">
      <c r="A7678" t="inlineStr"/>
      <c r="B7678" t="inlineStr"/>
      <c r="C7678" t="inlineStr"/>
      <c r="D7678" t="inlineStr"/>
      <c r="E7678">
        <f>HYPERLINK("https://www.ncbi.nlm.nih.gov/gene/?term=XP_040213597.1", "XP_040213597.1")</f>
        <v/>
      </c>
      <c r="F7678" t="n">
        <v>40.8</v>
      </c>
      <c r="G7678" t="n">
        <v>213</v>
      </c>
      <c r="H7678" t="n">
        <v>6.42e-46</v>
      </c>
      <c r="I7678" t="inlineStr">
        <is>
          <t>Nr</t>
        </is>
      </c>
      <c r="J7678" t="inlineStr"/>
      <c r="K7678" t="inlineStr"/>
      <c r="L7678" t="inlineStr">
        <is>
          <t>XP_040213597.1 uncharacterized protein LOC120943962 [Rana temporaria]</t>
        </is>
      </c>
      <c r="M7678" t="n">
        <v>753</v>
      </c>
      <c r="N7678" t="inlineStr">
        <is>
          <t>Rana temporaria</t>
        </is>
      </c>
      <c r="O7678" t="inlineStr">
        <is>
          <t>uncharacterized protein LOC120943962</t>
        </is>
      </c>
    </row>
    <row r="7679">
      <c r="A7679" t="inlineStr"/>
      <c r="B7679" t="inlineStr"/>
      <c r="C7679" t="inlineStr"/>
      <c r="D7679" t="inlineStr"/>
      <c r="E7679">
        <f>HYPERLINK("https://www.ncbi.nlm.nih.gov/gene/?term=OCT97158.1", "OCT97158.1")</f>
        <v/>
      </c>
      <c r="F7679" t="n">
        <v>42.7</v>
      </c>
      <c r="G7679" t="n">
        <v>225</v>
      </c>
      <c r="H7679" t="n">
        <v>1.05e-45</v>
      </c>
      <c r="I7679" t="inlineStr">
        <is>
          <t>Nr</t>
        </is>
      </c>
      <c r="J7679" t="inlineStr"/>
      <c r="K7679" t="inlineStr"/>
      <c r="L7679" t="inlineStr">
        <is>
          <t>OCT97158.1 hypothetical protein XELAEV_18009383mg [Xenopus laevis]</t>
        </is>
      </c>
      <c r="M7679" t="n">
        <v>516</v>
      </c>
      <c r="N7679" t="inlineStr">
        <is>
          <t>Xenopus laevis</t>
        </is>
      </c>
      <c r="O7679" t="inlineStr">
        <is>
          <t>hypothetical protein XELAEV_18009383mg</t>
        </is>
      </c>
    </row>
    <row r="7680">
      <c r="A7680" t="inlineStr"/>
      <c r="B7680" t="inlineStr"/>
      <c r="C7680" t="inlineStr"/>
      <c r="D7680" t="inlineStr"/>
      <c r="E7680">
        <f>HYPERLINK("https://www.uniprot.org/uniprotkb/A0A8C5N1S5/entry", "A0A8C5N1S5")</f>
        <v/>
      </c>
      <c r="F7680" t="n">
        <v>41.2</v>
      </c>
      <c r="G7680" t="n">
        <v>216</v>
      </c>
      <c r="H7680" t="n">
        <v>3.82e-45</v>
      </c>
      <c r="I7680" t="inlineStr">
        <is>
          <t>TrEMBL</t>
        </is>
      </c>
      <c r="J7680" t="inlineStr"/>
      <c r="K7680" t="inlineStr">
        <is>
          <t>A0A8C5N1S5_9ANUR</t>
        </is>
      </c>
      <c r="L7680" t="inlineStr">
        <is>
          <t>tr|A0A8C5N1S5|A0A8C5N1S5_9ANUR Reverse transcriptase domain-containing protein OS=Leptobrachium leishanense OX=445787 PE=4 SV=1</t>
        </is>
      </c>
      <c r="M7680" t="n">
        <v>730</v>
      </c>
      <c r="N7680" t="inlineStr">
        <is>
          <t>Leptobrachium leishanense</t>
        </is>
      </c>
      <c r="O7680" t="inlineStr">
        <is>
          <t>Reverse transcriptase domain-containing protein</t>
        </is>
      </c>
    </row>
    <row r="7681">
      <c r="A7681" t="inlineStr"/>
      <c r="B7681" t="inlineStr"/>
      <c r="C7681" t="inlineStr"/>
      <c r="D7681" t="inlineStr"/>
      <c r="E7681">
        <f>HYPERLINK("https://www.ncbi.nlm.nih.gov/gene/?term=XP_040275624.1", "XP_040275624.1")</f>
        <v/>
      </c>
      <c r="F7681" t="n">
        <v>41.5</v>
      </c>
      <c r="G7681" t="n">
        <v>207</v>
      </c>
      <c r="H7681" t="n">
        <v>1.48e-44</v>
      </c>
      <c r="I7681" t="inlineStr">
        <is>
          <t>Nr</t>
        </is>
      </c>
      <c r="J7681" t="inlineStr"/>
      <c r="K7681" t="inlineStr"/>
      <c r="L7681" t="inlineStr">
        <is>
          <t>XP_040275624.1 uncharacterized protein LOC120990787 [Bufo bufo]</t>
        </is>
      </c>
      <c r="M7681" t="n">
        <v>535</v>
      </c>
      <c r="N7681" t="inlineStr">
        <is>
          <t>Bufo bufo</t>
        </is>
      </c>
      <c r="O7681" t="inlineStr">
        <is>
          <t>uncharacterized protein LOC120990787</t>
        </is>
      </c>
    </row>
    <row r="7682">
      <c r="A7682" t="inlineStr"/>
      <c r="B7682" t="inlineStr"/>
      <c r="C7682" t="inlineStr"/>
      <c r="D7682" t="inlineStr"/>
      <c r="E7682">
        <f>HYPERLINK("https://www.ncbi.nlm.nih.gov/gene/?term=OCT82474.1", "OCT82474.1")</f>
        <v/>
      </c>
      <c r="F7682" t="n">
        <v>46.6</v>
      </c>
      <c r="G7682" t="n">
        <v>189</v>
      </c>
      <c r="H7682" t="n">
        <v>2.02e-44</v>
      </c>
      <c r="I7682" t="inlineStr">
        <is>
          <t>Nr</t>
        </is>
      </c>
      <c r="J7682" t="inlineStr"/>
      <c r="K7682" t="inlineStr"/>
      <c r="L7682" t="inlineStr">
        <is>
          <t>OCT82474.1 hypothetical protein XELAEV_18025005mg [Xenopus laevis]</t>
        </is>
      </c>
      <c r="M7682" t="n">
        <v>699</v>
      </c>
      <c r="N7682" t="inlineStr">
        <is>
          <t>Xenopus laevis</t>
        </is>
      </c>
      <c r="O7682" t="inlineStr">
        <is>
          <t>hypothetical protein XELAEV_18025005mg</t>
        </is>
      </c>
    </row>
    <row r="7683">
      <c r="A7683" t="inlineStr"/>
      <c r="B7683" t="inlineStr"/>
      <c r="C7683" t="inlineStr"/>
      <c r="D7683" t="inlineStr"/>
      <c r="E7683">
        <f>HYPERLINK("https://www.ncbi.nlm.nih.gov/gene/?term=XP_040179872.1", "XP_040179872.1")</f>
        <v/>
      </c>
      <c r="F7683" t="n">
        <v>44.9</v>
      </c>
      <c r="G7683" t="n">
        <v>198</v>
      </c>
      <c r="H7683" t="n">
        <v>4.37e-44</v>
      </c>
      <c r="I7683" t="inlineStr">
        <is>
          <t>Nr</t>
        </is>
      </c>
      <c r="J7683" t="inlineStr"/>
      <c r="K7683" t="inlineStr"/>
      <c r="L7683" t="inlineStr">
        <is>
          <t>XP_040179872.1 uncharacterized protein LOC120913749 [Rana temporaria]</t>
        </is>
      </c>
      <c r="M7683" t="n">
        <v>761</v>
      </c>
      <c r="N7683" t="inlineStr">
        <is>
          <t>Rana temporaria</t>
        </is>
      </c>
      <c r="O7683" t="inlineStr">
        <is>
          <t>uncharacterized protein LOC120913749</t>
        </is>
      </c>
    </row>
    <row r="7684">
      <c r="A7684" t="inlineStr"/>
      <c r="B7684" t="inlineStr"/>
      <c r="C7684" t="inlineStr"/>
      <c r="D7684" t="inlineStr"/>
      <c r="E7684">
        <f>HYPERLINK("https://www.ncbi.nlm.nih.gov/gene/?term=OCT70398.1", "OCT70398.1")</f>
        <v/>
      </c>
      <c r="F7684" t="n">
        <v>45.2</v>
      </c>
      <c r="G7684" t="n">
        <v>188</v>
      </c>
      <c r="H7684" t="n">
        <v>4.74e-44</v>
      </c>
      <c r="I7684" t="inlineStr">
        <is>
          <t>Nr</t>
        </is>
      </c>
      <c r="J7684" t="inlineStr"/>
      <c r="K7684" t="inlineStr"/>
      <c r="L7684" t="inlineStr">
        <is>
          <t>OCT70398.1 hypothetical protein XELAEV_18037316mg [Xenopus laevis]</t>
        </is>
      </c>
      <c r="M7684" t="n">
        <v>430</v>
      </c>
      <c r="N7684" t="inlineStr">
        <is>
          <t>Xenopus laevis</t>
        </is>
      </c>
      <c r="O7684" t="inlineStr">
        <is>
          <t>hypothetical protein XELAEV_18037316mg</t>
        </is>
      </c>
    </row>
    <row r="7685">
      <c r="A7685" t="inlineStr"/>
      <c r="B7685" t="inlineStr"/>
      <c r="C7685" t="inlineStr"/>
      <c r="D7685" t="inlineStr"/>
      <c r="E7685">
        <f>HYPERLINK("https://www.ncbi.nlm.nih.gov/gene/?term=KAJ1155753.1", "KAJ1155753.1")</f>
        <v/>
      </c>
      <c r="F7685" t="n">
        <v>44.7</v>
      </c>
      <c r="G7685" t="n">
        <v>206</v>
      </c>
      <c r="H7685" t="n">
        <v>6.64e-44</v>
      </c>
      <c r="I7685" t="inlineStr">
        <is>
          <t>Nr</t>
        </is>
      </c>
      <c r="J7685" t="inlineStr"/>
      <c r="K7685" t="inlineStr"/>
      <c r="L7685" t="inlineStr">
        <is>
          <t>KAJ1155753.1 hypothetical protein NDU88_008482 [Pleurodeles waltl]</t>
        </is>
      </c>
      <c r="M7685" t="n">
        <v>221</v>
      </c>
      <c r="N7685" t="inlineStr">
        <is>
          <t>Pleurodeles waltl</t>
        </is>
      </c>
      <c r="O7685" t="inlineStr">
        <is>
          <t>hypothetical protein NDU88_008482</t>
        </is>
      </c>
    </row>
    <row r="7686">
      <c r="A7686" t="inlineStr"/>
      <c r="B7686" t="inlineStr"/>
      <c r="C7686" t="inlineStr"/>
      <c r="D7686" t="inlineStr"/>
      <c r="E7686">
        <f>HYPERLINK("https://www.ncbi.nlm.nih.gov/gene/?term=XP_040178452.1", "XP_040178452.1")</f>
        <v/>
      </c>
      <c r="F7686" t="n">
        <v>42.6</v>
      </c>
      <c r="G7686" t="n">
        <v>209</v>
      </c>
      <c r="H7686" t="n">
        <v>1.47e-43</v>
      </c>
      <c r="I7686" t="inlineStr">
        <is>
          <t>Nr</t>
        </is>
      </c>
      <c r="J7686" t="inlineStr"/>
      <c r="K7686" t="inlineStr"/>
      <c r="L7686" t="inlineStr">
        <is>
          <t>XP_040178452.1 uncharacterized protein LOC120911183 [Rana temporaria]</t>
        </is>
      </c>
      <c r="M7686" t="n">
        <v>705</v>
      </c>
      <c r="N7686" t="inlineStr">
        <is>
          <t>Rana temporaria</t>
        </is>
      </c>
      <c r="O7686" t="inlineStr">
        <is>
          <t>uncharacterized protein LOC120911183</t>
        </is>
      </c>
    </row>
    <row r="7687">
      <c r="A7687" t="inlineStr"/>
      <c r="B7687" t="inlineStr"/>
      <c r="C7687" t="inlineStr"/>
      <c r="D7687" t="inlineStr"/>
      <c r="E7687">
        <f>HYPERLINK("https://www.ncbi.nlm.nih.gov/gene/?term=OCT93721.1", "OCT93721.1")</f>
        <v/>
      </c>
      <c r="F7687" t="n">
        <v>41.4</v>
      </c>
      <c r="G7687" t="n">
        <v>186</v>
      </c>
      <c r="H7687" t="n">
        <v>1.83e-43</v>
      </c>
      <c r="I7687" t="inlineStr">
        <is>
          <t>Nr</t>
        </is>
      </c>
      <c r="J7687" t="inlineStr"/>
      <c r="K7687" t="inlineStr"/>
      <c r="L7687" t="inlineStr">
        <is>
          <t>OCT93721.1 hypothetical protein XELAEV_18011398mg [Xenopus laevis]</t>
        </is>
      </c>
      <c r="M7687" t="n">
        <v>413</v>
      </c>
      <c r="N7687" t="inlineStr">
        <is>
          <t>Xenopus laevis</t>
        </is>
      </c>
      <c r="O7687" t="inlineStr">
        <is>
          <t>hypothetical protein XELAEV_18011398mg</t>
        </is>
      </c>
    </row>
    <row r="7688">
      <c r="A7688" t="inlineStr"/>
      <c r="B7688" t="inlineStr"/>
      <c r="C7688" t="inlineStr"/>
      <c r="D7688" t="inlineStr"/>
      <c r="E7688">
        <f>HYPERLINK("https://www.ncbi.nlm.nih.gov/gene/?term=OCT73652.1", "OCT73652.1")</f>
        <v/>
      </c>
      <c r="F7688" t="n">
        <v>41.3</v>
      </c>
      <c r="G7688" t="n">
        <v>225</v>
      </c>
      <c r="H7688" t="n">
        <v>2.47e-43</v>
      </c>
      <c r="I7688" t="inlineStr">
        <is>
          <t>Nr</t>
        </is>
      </c>
      <c r="J7688" t="inlineStr"/>
      <c r="K7688" t="inlineStr"/>
      <c r="L7688" t="inlineStr">
        <is>
          <t>OCT73652.1 hypothetical protein XELAEV_18032615mg [Xenopus laevis]</t>
        </is>
      </c>
      <c r="M7688" t="n">
        <v>428</v>
      </c>
      <c r="N7688" t="inlineStr">
        <is>
          <t>Xenopus laevis</t>
        </is>
      </c>
      <c r="O7688" t="inlineStr">
        <is>
          <t>hypothetical protein XELAEV_18032615mg</t>
        </is>
      </c>
    </row>
    <row r="7689">
      <c r="A7689" t="inlineStr"/>
      <c r="B7689" t="inlineStr"/>
      <c r="C7689" t="inlineStr"/>
      <c r="D7689" t="inlineStr"/>
      <c r="E7689">
        <f>HYPERLINK("https://www.ncbi.nlm.nih.gov/gene/?term=KAJ0060014.1", "KAJ0060014.1")</f>
        <v/>
      </c>
      <c r="F7689" t="n">
        <v>41.9</v>
      </c>
      <c r="G7689" t="n">
        <v>217</v>
      </c>
      <c r="H7689" t="n">
        <v>2.88e-43</v>
      </c>
      <c r="I7689" t="inlineStr">
        <is>
          <t>Nr</t>
        </is>
      </c>
      <c r="J7689" t="inlineStr"/>
      <c r="K7689" t="inlineStr"/>
      <c r="L7689" t="inlineStr">
        <is>
          <t>KAJ0060014.1 hypothetical protein NL108_018667 [Boleophthalmus pectinirostris]</t>
        </is>
      </c>
      <c r="M7689" t="n">
        <v>472</v>
      </c>
      <c r="N7689" t="inlineStr">
        <is>
          <t>Boleophthalmus pectinirostris</t>
        </is>
      </c>
      <c r="O7689" t="inlineStr">
        <is>
          <t>hypothetical protein NL108_018667</t>
        </is>
      </c>
    </row>
    <row r="7690">
      <c r="A7690" t="inlineStr"/>
      <c r="B7690" t="inlineStr"/>
      <c r="C7690" t="inlineStr"/>
      <c r="D7690" t="inlineStr"/>
      <c r="E7690">
        <f>HYPERLINK("https://www.uniprot.org/uniprotkb/A0A803JZX6/entry", "A0A803JZX6")</f>
        <v/>
      </c>
      <c r="F7690" t="n">
        <v>42.9</v>
      </c>
      <c r="G7690" t="n">
        <v>212</v>
      </c>
      <c r="H7690" t="n">
        <v>3.660000000000001e-43</v>
      </c>
      <c r="I7690" t="inlineStr">
        <is>
          <t>TrEMBL</t>
        </is>
      </c>
      <c r="J7690" t="inlineStr"/>
      <c r="K7690" t="inlineStr">
        <is>
          <t>A0A803JZX6_XENTR</t>
        </is>
      </c>
      <c r="L7690" t="inlineStr">
        <is>
          <t>tr|A0A803JZX6|A0A803JZX6_XENTR Reverse transcriptase domain-containing protein OS=Xenopus tropicalis OX=8364 PE=4 SV=1</t>
        </is>
      </c>
      <c r="M7690" t="n">
        <v>482</v>
      </c>
      <c r="N7690" t="inlineStr">
        <is>
          <t>Xenopus tropicalis</t>
        </is>
      </c>
      <c r="O7690" t="inlineStr">
        <is>
          <t>Reverse transcriptase domain-containing protein</t>
        </is>
      </c>
    </row>
    <row r="7691">
      <c r="A7691" t="inlineStr"/>
      <c r="B7691" t="inlineStr"/>
      <c r="C7691" t="inlineStr"/>
      <c r="D7691" t="inlineStr"/>
      <c r="E7691">
        <f>HYPERLINK("https://www.uniprot.org/uniprotkb/A0A8J1JBP4/entry", "A0A8J1JBP4")</f>
        <v/>
      </c>
      <c r="F7691" t="n">
        <v>42.9</v>
      </c>
      <c r="G7691" t="n">
        <v>212</v>
      </c>
      <c r="H7691" t="n">
        <v>9.700000000000001e-43</v>
      </c>
      <c r="I7691" t="inlineStr">
        <is>
          <t>TrEMBL</t>
        </is>
      </c>
      <c r="J7691" t="inlineStr">
        <is>
          <t>LOC108645441</t>
        </is>
      </c>
      <c r="K7691" t="inlineStr">
        <is>
          <t>A0A8J1JBP4_XENTR</t>
        </is>
      </c>
      <c r="L7691" t="inlineStr">
        <is>
          <t>tr|A0A8J1JBP4|A0A8J1JBP4_XENTR uncharacterized protein LOC108645441 OS=Xenopus tropicalis OX=8364 GN=LOC108645441 PE=4 SV=1</t>
        </is>
      </c>
      <c r="M7691" t="n">
        <v>569</v>
      </c>
      <c r="N7691" t="inlineStr">
        <is>
          <t>Xenopus tropicalis</t>
        </is>
      </c>
      <c r="O7691" t="inlineStr">
        <is>
          <t>uncharacterized protein LOC108645441</t>
        </is>
      </c>
    </row>
    <row r="7692">
      <c r="A7692" t="inlineStr"/>
      <c r="B7692" t="inlineStr"/>
      <c r="C7692" t="inlineStr"/>
      <c r="D7692" t="inlineStr"/>
      <c r="E7692">
        <f>HYPERLINK("https://www.uniprot.org/uniprotkb/A0A8C5N1Z7/entry", "A0A8C5N1Z7")</f>
        <v/>
      </c>
      <c r="F7692" t="n">
        <v>42.6</v>
      </c>
      <c r="G7692" t="n">
        <v>209</v>
      </c>
      <c r="H7692" t="n">
        <v>1.16e-42</v>
      </c>
      <c r="I7692" t="inlineStr">
        <is>
          <t>TrEMBL</t>
        </is>
      </c>
      <c r="J7692" t="inlineStr"/>
      <c r="K7692" t="inlineStr">
        <is>
          <t>A0A8C5N1Z7_9ANUR</t>
        </is>
      </c>
      <c r="L7692" t="inlineStr">
        <is>
          <t>tr|A0A8C5N1Z7|A0A8C5N1Z7_9ANUR Reverse transcriptase domain-containing protein OS=Leptobrachium leishanense OX=445787 PE=4 SV=1</t>
        </is>
      </c>
      <c r="M7692" t="n">
        <v>471</v>
      </c>
      <c r="N7692" t="inlineStr">
        <is>
          <t>Leptobrachium leishanense</t>
        </is>
      </c>
      <c r="O7692" t="inlineStr">
        <is>
          <t>Reverse transcriptase domain-containing protein</t>
        </is>
      </c>
    </row>
    <row r="7693">
      <c r="A7693" t="inlineStr"/>
      <c r="B7693" t="inlineStr"/>
      <c r="C7693" t="inlineStr"/>
      <c r="D7693" t="inlineStr"/>
      <c r="E7693">
        <f>HYPERLINK("https://www.uniprot.org/uniprotkb/A0A3P8U3H0/entry", "A0A3P8U3H0")</f>
        <v/>
      </c>
      <c r="F7693" t="n">
        <v>43.3</v>
      </c>
      <c r="G7693" t="n">
        <v>208</v>
      </c>
      <c r="H7693" t="n">
        <v>1.29e-42</v>
      </c>
      <c r="I7693" t="inlineStr">
        <is>
          <t>TrEMBL</t>
        </is>
      </c>
      <c r="J7693" t="inlineStr"/>
      <c r="K7693" t="inlineStr">
        <is>
          <t>A0A3P8U3H0_AMPPE</t>
        </is>
      </c>
      <c r="L7693" t="inlineStr">
        <is>
          <t>tr|A0A3P8U3H0|A0A3P8U3H0_AMPPE Reverse transcriptase domain-containing protein OS=Amphiprion percula OX=161767 PE=4 SV=1</t>
        </is>
      </c>
      <c r="M7693" t="n">
        <v>440</v>
      </c>
      <c r="N7693" t="inlineStr">
        <is>
          <t>Amphiprion percula</t>
        </is>
      </c>
      <c r="O7693" t="inlineStr">
        <is>
          <t>Reverse transcriptase domain-containing protein</t>
        </is>
      </c>
    </row>
    <row r="7694">
      <c r="A7694" t="inlineStr"/>
      <c r="B7694" t="inlineStr"/>
      <c r="C7694" t="inlineStr"/>
      <c r="D7694" t="inlineStr"/>
      <c r="E7694">
        <f>HYPERLINK("https://www.uniprot.org/uniprotkb/A0A803JVB3/entry", "A0A803JVB3")</f>
        <v/>
      </c>
      <c r="F7694" t="n">
        <v>42.9</v>
      </c>
      <c r="G7694" t="n">
        <v>212</v>
      </c>
      <c r="H7694" t="n">
        <v>3.1e-42</v>
      </c>
      <c r="I7694" t="inlineStr">
        <is>
          <t>TrEMBL</t>
        </is>
      </c>
      <c r="J7694" t="inlineStr"/>
      <c r="K7694" t="inlineStr">
        <is>
          <t>A0A803JVB3_XENTR</t>
        </is>
      </c>
      <c r="L7694" t="inlineStr">
        <is>
          <t>tr|A0A803JVB3|A0A803JVB3_XENTR Reverse transcriptase domain-containing protein OS=Xenopus tropicalis OX=8364 PE=4 SV=1</t>
        </is>
      </c>
      <c r="M7694" t="n">
        <v>680</v>
      </c>
      <c r="N7694" t="inlineStr">
        <is>
          <t>Xenopus tropicalis</t>
        </is>
      </c>
      <c r="O7694" t="inlineStr">
        <is>
          <t>Reverse transcriptase domain-containing protein</t>
        </is>
      </c>
    </row>
    <row r="7695">
      <c r="A7695" t="inlineStr"/>
      <c r="B7695" t="inlineStr"/>
      <c r="C7695" t="inlineStr"/>
      <c r="D7695" t="inlineStr"/>
      <c r="E7695">
        <f>HYPERLINK("https://www.uniprot.org/uniprotkb/A0A8C5M1L9/entry", "A0A8C5M1L9")</f>
        <v/>
      </c>
      <c r="F7695" t="n">
        <v>43</v>
      </c>
      <c r="G7695" t="n">
        <v>214</v>
      </c>
      <c r="H7695" t="n">
        <v>3.12e-42</v>
      </c>
      <c r="I7695" t="inlineStr">
        <is>
          <t>TrEMBL</t>
        </is>
      </c>
      <c r="J7695" t="inlineStr"/>
      <c r="K7695" t="inlineStr">
        <is>
          <t>A0A8C5M1L9_9ANUR</t>
        </is>
      </c>
      <c r="L7695" t="inlineStr">
        <is>
          <t>tr|A0A8C5M1L9|A0A8C5M1L9_9ANUR Reverse transcriptase domain-containing protein OS=Leptobrachium leishanense OX=445787 PE=4 SV=1</t>
        </is>
      </c>
      <c r="M7695" t="n">
        <v>725</v>
      </c>
      <c r="N7695" t="inlineStr">
        <is>
          <t>Leptobrachium leishanense</t>
        </is>
      </c>
      <c r="O7695" t="inlineStr">
        <is>
          <t>Reverse transcriptase domain-containing protein</t>
        </is>
      </c>
    </row>
    <row r="7696">
      <c r="A7696" t="inlineStr"/>
      <c r="B7696" t="inlineStr"/>
      <c r="C7696" t="inlineStr"/>
      <c r="D7696" t="inlineStr"/>
      <c r="E7696">
        <f>HYPERLINK("https://www.uniprot.org/uniprotkb/A0A803JCF5/entry", "A0A803JCF5")</f>
        <v/>
      </c>
      <c r="F7696" t="n">
        <v>42</v>
      </c>
      <c r="G7696" t="n">
        <v>212</v>
      </c>
      <c r="H7696" t="n">
        <v>3.98e-42</v>
      </c>
      <c r="I7696" t="inlineStr">
        <is>
          <t>TrEMBL</t>
        </is>
      </c>
      <c r="J7696" t="inlineStr"/>
      <c r="K7696" t="inlineStr">
        <is>
          <t>A0A803JCF5_XENTR</t>
        </is>
      </c>
      <c r="L7696" t="inlineStr">
        <is>
          <t>tr|A0A803JCF5|A0A803JCF5_XENTR Reverse transcriptase domain-containing protein OS=Xenopus tropicalis OX=8364 PE=4 SV=1</t>
        </is>
      </c>
      <c r="M7696" t="n">
        <v>551</v>
      </c>
      <c r="N7696" t="inlineStr">
        <is>
          <t>Xenopus tropicalis</t>
        </is>
      </c>
      <c r="O7696" t="inlineStr">
        <is>
          <t>Reverse transcriptase domain-containing protein</t>
        </is>
      </c>
    </row>
    <row r="7697">
      <c r="A7697" t="inlineStr"/>
      <c r="B7697" t="inlineStr"/>
      <c r="C7697" t="inlineStr"/>
      <c r="D7697" t="inlineStr"/>
      <c r="E7697">
        <f>HYPERLINK("https://www.uniprot.org/uniprotkb/A0A8C5W8X4/entry", "A0A8C5W8X4")</f>
        <v/>
      </c>
      <c r="F7697" t="n">
        <v>42.1</v>
      </c>
      <c r="G7697" t="n">
        <v>221</v>
      </c>
      <c r="H7697" t="n">
        <v>5.569999999999999e-42</v>
      </c>
      <c r="I7697" t="inlineStr">
        <is>
          <t>TrEMBL</t>
        </is>
      </c>
      <c r="J7697" t="inlineStr"/>
      <c r="K7697" t="inlineStr">
        <is>
          <t>A0A8C5W8X4_9ANUR</t>
        </is>
      </c>
      <c r="L7697" t="inlineStr">
        <is>
          <t>tr|A0A8C5W8X4|A0A8C5W8X4_9ANUR Reverse transcriptase domain-containing protein OS=Leptobrachium leishanense OX=445787 PE=4 SV=1</t>
        </is>
      </c>
      <c r="M7697" t="n">
        <v>716</v>
      </c>
      <c r="N7697" t="inlineStr">
        <is>
          <t>Leptobrachium leishanense</t>
        </is>
      </c>
      <c r="O7697" t="inlineStr">
        <is>
          <t>Reverse transcriptase domain-containing protein</t>
        </is>
      </c>
    </row>
    <row r="7698">
      <c r="A7698" t="inlineStr"/>
      <c r="B7698" t="inlineStr"/>
      <c r="C7698" t="inlineStr"/>
      <c r="D7698" t="inlineStr"/>
      <c r="E7698">
        <f>HYPERLINK("https://www.uniprot.org/uniprotkb/A0A803J844/entry", "A0A803J844")</f>
        <v/>
      </c>
      <c r="F7698" t="n">
        <v>40.7</v>
      </c>
      <c r="G7698" t="n">
        <v>209</v>
      </c>
      <c r="H7698" t="n">
        <v>5.59e-42</v>
      </c>
      <c r="I7698" t="inlineStr">
        <is>
          <t>TrEMBL</t>
        </is>
      </c>
      <c r="J7698" t="inlineStr"/>
      <c r="K7698" t="inlineStr">
        <is>
          <t>A0A803J844_XENTR</t>
        </is>
      </c>
      <c r="L7698" t="inlineStr">
        <is>
          <t>tr|A0A803J844|A0A803J844_XENTR Reverse transcriptase domain-containing protein OS=Xenopus tropicalis OX=8364 PE=4 SV=1</t>
        </is>
      </c>
      <c r="M7698" t="n">
        <v>673</v>
      </c>
      <c r="N7698" t="inlineStr">
        <is>
          <t>Xenopus tropicalis</t>
        </is>
      </c>
      <c r="O7698" t="inlineStr">
        <is>
          <t>Reverse transcriptase domain-containing protein</t>
        </is>
      </c>
    </row>
    <row r="7699">
      <c r="A7699" t="inlineStr"/>
      <c r="B7699" t="inlineStr"/>
      <c r="C7699" t="inlineStr"/>
      <c r="D7699" t="inlineStr"/>
      <c r="E7699">
        <f>HYPERLINK("https://www.uniprot.org/uniprotkb/A0A8J1LIC7/entry", "A0A8J1LIC7")</f>
        <v/>
      </c>
      <c r="F7699" t="n">
        <v>42.9</v>
      </c>
      <c r="G7699" t="n">
        <v>224</v>
      </c>
      <c r="H7699" t="n">
        <v>9.089999999999999e-42</v>
      </c>
      <c r="I7699" t="inlineStr">
        <is>
          <t>TrEMBL</t>
        </is>
      </c>
      <c r="J7699" t="inlineStr">
        <is>
          <t>nr6a1.L</t>
        </is>
      </c>
      <c r="K7699" t="inlineStr">
        <is>
          <t>A0A8J1LIC7_XENLA</t>
        </is>
      </c>
      <c r="L7699" t="inlineStr">
        <is>
          <t>tr|A0A8J1LIC7|A0A8J1LIC7_XENLA uncharacterized protein nr6a1.L isoform X6 OS=Xenopus laevis OX=8355 GN=nr6a1.L PE=4 SV=1</t>
        </is>
      </c>
      <c r="M7699" t="n">
        <v>474</v>
      </c>
      <c r="N7699" t="inlineStr">
        <is>
          <t>Xenopus laevis</t>
        </is>
      </c>
      <c r="O7699" t="inlineStr">
        <is>
          <t>uncharacterized protein nr6a1.L isoform X6</t>
        </is>
      </c>
    </row>
    <row r="7700">
      <c r="A7700" t="inlineStr"/>
      <c r="B7700" t="inlineStr"/>
      <c r="C7700" t="inlineStr"/>
      <c r="D7700" t="inlineStr"/>
      <c r="E7700">
        <f>HYPERLINK("https://www.uniprot.org/uniprotkb/A0A803JYE2/entry", "A0A803JYE2")</f>
        <v/>
      </c>
      <c r="F7700" t="n">
        <v>43.3</v>
      </c>
      <c r="G7700" t="n">
        <v>208</v>
      </c>
      <c r="H7700" t="n">
        <v>1.8e-41</v>
      </c>
      <c r="I7700" t="inlineStr">
        <is>
          <t>TrEMBL</t>
        </is>
      </c>
      <c r="J7700" t="inlineStr"/>
      <c r="K7700" t="inlineStr">
        <is>
          <t>A0A803JYE2_XENTR</t>
        </is>
      </c>
      <c r="L7700" t="inlineStr">
        <is>
          <t>tr|A0A803JYE2|A0A803JYE2_XENTR Reverse transcriptase domain-containing protein OS=Xenopus tropicalis OX=8364 PE=4 SV=1</t>
        </is>
      </c>
      <c r="M7700" t="n">
        <v>517</v>
      </c>
      <c r="N7700" t="inlineStr">
        <is>
          <t>Xenopus tropicalis</t>
        </is>
      </c>
      <c r="O7700" t="inlineStr">
        <is>
          <t>Reverse transcriptase domain-containing protein</t>
        </is>
      </c>
    </row>
    <row r="7701">
      <c r="A7701" t="inlineStr"/>
      <c r="B7701" t="inlineStr"/>
      <c r="C7701" t="inlineStr"/>
      <c r="D7701" t="inlineStr"/>
      <c r="E7701">
        <f>HYPERLINK("https://www.uniprot.org/uniprotkb/A0A8J1KXS6/entry", "A0A8J1KXS6")</f>
        <v/>
      </c>
      <c r="F7701" t="n">
        <v>39.2</v>
      </c>
      <c r="G7701" t="n">
        <v>212</v>
      </c>
      <c r="H7701" t="n">
        <v>2.54e-41</v>
      </c>
      <c r="I7701" t="inlineStr">
        <is>
          <t>TrEMBL</t>
        </is>
      </c>
      <c r="J7701" t="inlineStr">
        <is>
          <t>LOC121394652</t>
        </is>
      </c>
      <c r="K7701" t="inlineStr">
        <is>
          <t>A0A8J1KXS6_XENLA</t>
        </is>
      </c>
      <c r="L7701" t="inlineStr">
        <is>
          <t>tr|A0A8J1KXS6|A0A8J1KXS6_XENLA uncharacterized protein LOC121394652 isoform X1 OS=Xenopus laevis OX=8355 GN=LOC121394652 PE=4 SV=1</t>
        </is>
      </c>
      <c r="M7701" t="n">
        <v>297</v>
      </c>
      <c r="N7701" t="inlineStr">
        <is>
          <t>Xenopus laevis</t>
        </is>
      </c>
      <c r="O7701" t="inlineStr">
        <is>
          <t>uncharacterized protein LOC121394652 isoform X1</t>
        </is>
      </c>
    </row>
    <row r="7702">
      <c r="A7702" t="inlineStr"/>
      <c r="B7702" t="inlineStr"/>
      <c r="C7702" t="inlineStr"/>
      <c r="D7702" t="inlineStr"/>
      <c r="E7702">
        <f>HYPERLINK("https://www.uniprot.org/uniprotkb/A0A803K2N6/entry", "A0A803K2N6")</f>
        <v/>
      </c>
      <c r="F7702" t="n">
        <v>53.7</v>
      </c>
      <c r="G7702" t="n">
        <v>123</v>
      </c>
      <c r="H7702" t="n">
        <v>7.860000000000001e-37</v>
      </c>
      <c r="I7702" t="inlineStr">
        <is>
          <t>TrEMBL</t>
        </is>
      </c>
      <c r="J7702" t="inlineStr"/>
      <c r="K7702" t="inlineStr">
        <is>
          <t>A0A803K2N6_XENTR</t>
        </is>
      </c>
      <c r="L7702" t="inlineStr">
        <is>
          <t>tr|A0A803K2N6|A0A803K2N6_XENTR Reverse transcriptase domain-containing protein OS=Xenopus tropicalis OX=8364 PE=4 SV=1</t>
        </is>
      </c>
      <c r="M7702" t="n">
        <v>275</v>
      </c>
      <c r="N7702" t="inlineStr">
        <is>
          <t>Xenopus tropicalis</t>
        </is>
      </c>
      <c r="O7702" t="inlineStr">
        <is>
          <t>Reverse transcriptase domain-containing protein</t>
        </is>
      </c>
    </row>
    <row r="7703">
      <c r="A7703" t="inlineStr"/>
      <c r="B7703" t="inlineStr"/>
      <c r="C7703" t="inlineStr"/>
      <c r="D7703" t="inlineStr"/>
      <c r="E7703">
        <f>HYPERLINK("https://www.uniprot.org/uniprotkb/A0A803KCG6/entry", "A0A803KCG6")</f>
        <v/>
      </c>
      <c r="F7703" t="n">
        <v>55</v>
      </c>
      <c r="G7703" t="n">
        <v>120</v>
      </c>
      <c r="H7703" t="n">
        <v>1.19e-32</v>
      </c>
      <c r="I7703" t="inlineStr">
        <is>
          <t>TrEMBL</t>
        </is>
      </c>
      <c r="J7703" t="inlineStr"/>
      <c r="K7703" t="inlineStr">
        <is>
          <t>A0A803KCG6_XENTR</t>
        </is>
      </c>
      <c r="L7703" t="inlineStr">
        <is>
          <t>tr|A0A803KCG6|A0A803KCG6_XENTR Reverse transcriptase domain-containing protein OS=Xenopus tropicalis OX=8364 PE=4 SV=1</t>
        </is>
      </c>
      <c r="M7703" t="n">
        <v>762</v>
      </c>
      <c r="N7703" t="inlineStr">
        <is>
          <t>Xenopus tropicalis</t>
        </is>
      </c>
      <c r="O7703" t="inlineStr">
        <is>
          <t>Reverse transcriptase domain-containing protein</t>
        </is>
      </c>
    </row>
    <row r="7704">
      <c r="A7704" t="inlineStr"/>
      <c r="B7704" t="inlineStr"/>
      <c r="C7704" t="inlineStr"/>
      <c r="D7704" t="inlineStr"/>
      <c r="E7704">
        <f>HYPERLINK("https://www.ncbi.nlm.nih.gov/gene/?term=XP_029607817.1", "XP_029607817.1")</f>
        <v/>
      </c>
      <c r="F7704" t="n">
        <v>41</v>
      </c>
      <c r="G7704" t="n">
        <v>122</v>
      </c>
      <c r="H7704" t="n">
        <v>9.44e-27</v>
      </c>
      <c r="I7704" t="inlineStr">
        <is>
          <t>Nr</t>
        </is>
      </c>
      <c r="J7704" t="inlineStr"/>
      <c r="K7704" t="inlineStr"/>
      <c r="L7704" t="inlineStr">
        <is>
          <t>XP_029607817.1 uncharacterized protein LOC115192950 [Salmo trutta]</t>
        </is>
      </c>
      <c r="M7704" t="n">
        <v>289</v>
      </c>
      <c r="N7704" t="inlineStr">
        <is>
          <t>Salmo trutta</t>
        </is>
      </c>
      <c r="O7704" t="inlineStr">
        <is>
          <t>uncharacterized protein LOC115192950</t>
        </is>
      </c>
    </row>
    <row r="7705">
      <c r="A7705" t="inlineStr"/>
      <c r="B7705" t="inlineStr"/>
      <c r="C7705" t="inlineStr"/>
      <c r="D7705" t="inlineStr"/>
      <c r="E7705">
        <f>HYPERLINK("https://www.uniprot.org/uniprotkb/A0A8C5PTL5/entry", "A0A8C5PTL5")</f>
        <v/>
      </c>
      <c r="F7705" t="n">
        <v>41</v>
      </c>
      <c r="G7705" t="n">
        <v>122</v>
      </c>
      <c r="H7705" t="n">
        <v>4.3e-26</v>
      </c>
      <c r="I7705" t="inlineStr">
        <is>
          <t>TrEMBL</t>
        </is>
      </c>
      <c r="J7705" t="inlineStr"/>
      <c r="K7705" t="inlineStr">
        <is>
          <t>A0A8C5PTL5_9ANUR</t>
        </is>
      </c>
      <c r="L7705" t="inlineStr">
        <is>
          <t>tr|A0A8C5PTL5|A0A8C5PTL5_9ANUR ATP-grasp domain-containing protein OS=Leptobrachium leishanense OX=445787 PE=4 SV=1</t>
        </is>
      </c>
      <c r="M7705" t="n">
        <v>353</v>
      </c>
      <c r="N7705" t="inlineStr">
        <is>
          <t>Leptobrachium leishanense</t>
        </is>
      </c>
      <c r="O7705" t="inlineStr">
        <is>
          <t>ATP-grasp domain-containing protein</t>
        </is>
      </c>
    </row>
    <row r="7706">
      <c r="A7706" t="inlineStr"/>
      <c r="B7706" t="inlineStr"/>
      <c r="C7706" t="inlineStr"/>
      <c r="D7706" t="inlineStr"/>
      <c r="E7706">
        <f>HYPERLINK("https://www.uniprot.org/uniprotkb/A0A8C5PYS7/entry", "A0A8C5PYS7")</f>
        <v/>
      </c>
      <c r="F7706" t="n">
        <v>46.3</v>
      </c>
      <c r="G7706" t="n">
        <v>121</v>
      </c>
      <c r="H7706" t="n">
        <v>5.17e-26</v>
      </c>
      <c r="I7706" t="inlineStr">
        <is>
          <t>TrEMBL</t>
        </is>
      </c>
      <c r="J7706" t="inlineStr"/>
      <c r="K7706" t="inlineStr">
        <is>
          <t>A0A8C5PYS7_9ANUR</t>
        </is>
      </c>
      <c r="L7706" t="inlineStr">
        <is>
          <t>tr|A0A8C5PYS7|A0A8C5PYS7_9ANUR Reverse transcriptase domain-containing protein OS=Leptobrachium leishanense OX=445787 PE=4 SV=1</t>
        </is>
      </c>
      <c r="M7706" t="n">
        <v>303</v>
      </c>
      <c r="N7706" t="inlineStr">
        <is>
          <t>Leptobrachium leishanense</t>
        </is>
      </c>
      <c r="O7706" t="inlineStr">
        <is>
          <t>Reverse transcriptase domain-containing protein</t>
        </is>
      </c>
    </row>
    <row r="7707">
      <c r="A7707" t="inlineStr"/>
      <c r="B7707" t="inlineStr"/>
      <c r="C7707" t="inlineStr"/>
      <c r="D7707" t="inlineStr"/>
      <c r="E7707">
        <f>HYPERLINK("https://www.uniprot.org/uniprotkb/A0A803JIM5/entry", "A0A803JIM5")</f>
        <v/>
      </c>
      <c r="F7707" t="n">
        <v>43.1</v>
      </c>
      <c r="G7707" t="n">
        <v>123</v>
      </c>
      <c r="H7707" t="n">
        <v>6.53e-26</v>
      </c>
      <c r="I7707" t="inlineStr">
        <is>
          <t>TrEMBL</t>
        </is>
      </c>
      <c r="J7707" t="inlineStr"/>
      <c r="K7707" t="inlineStr">
        <is>
          <t>A0A803JIM5_XENTR</t>
        </is>
      </c>
      <c r="L7707" t="inlineStr">
        <is>
          <t>tr|A0A803JIM5|A0A803JIM5_XENTR GIY-YIG domain-containing protein OS=Xenopus tropicalis OX=8364 PE=4 SV=1</t>
        </is>
      </c>
      <c r="M7707" t="n">
        <v>661</v>
      </c>
      <c r="N7707" t="inlineStr">
        <is>
          <t>Xenopus tropicalis</t>
        </is>
      </c>
      <c r="O7707" t="inlineStr">
        <is>
          <t>GIY-YIG domain-containing protein</t>
        </is>
      </c>
    </row>
    <row r="7708">
      <c r="A7708" t="inlineStr"/>
      <c r="B7708" t="inlineStr"/>
      <c r="C7708" t="inlineStr"/>
      <c r="D7708" t="inlineStr"/>
      <c r="E7708">
        <f>HYPERLINK("https://www.uniprot.org/uniprotkb/A0A8C5LZK0/entry", "A0A8C5LZK0")</f>
        <v/>
      </c>
      <c r="F7708" t="n">
        <v>41.8</v>
      </c>
      <c r="G7708" t="n">
        <v>122</v>
      </c>
      <c r="H7708" t="n">
        <v>1.73e-25</v>
      </c>
      <c r="I7708" t="inlineStr">
        <is>
          <t>TrEMBL</t>
        </is>
      </c>
      <c r="J7708" t="inlineStr"/>
      <c r="K7708" t="inlineStr">
        <is>
          <t>A0A8C5LZK0_9ANUR</t>
        </is>
      </c>
      <c r="L7708" t="inlineStr">
        <is>
          <t>tr|A0A8C5LZK0|A0A8C5LZK0_9ANUR ATP-grasp domain-containing protein OS=Leptobrachium leishanense OX=445787 PE=4 SV=1</t>
        </is>
      </c>
      <c r="M7708" t="n">
        <v>260</v>
      </c>
      <c r="N7708" t="inlineStr">
        <is>
          <t>Leptobrachium leishanense</t>
        </is>
      </c>
      <c r="O7708" t="inlineStr">
        <is>
          <t>ATP-grasp domain-containing protein</t>
        </is>
      </c>
    </row>
    <row r="7709">
      <c r="A7709" t="inlineStr"/>
      <c r="B7709" t="inlineStr"/>
      <c r="C7709" t="inlineStr"/>
      <c r="D7709" t="inlineStr"/>
      <c r="E7709">
        <f>HYPERLINK("https://www.uniprot.org/uniprotkb/A0A8J1L5X3/entry", "A0A8J1L5X3")</f>
        <v/>
      </c>
      <c r="F7709" t="n">
        <v>49</v>
      </c>
      <c r="G7709" t="n">
        <v>102</v>
      </c>
      <c r="H7709" t="n">
        <v>1.95e-25</v>
      </c>
      <c r="I7709" t="inlineStr">
        <is>
          <t>TrEMBL</t>
        </is>
      </c>
      <c r="J7709" t="inlineStr">
        <is>
          <t>LOC121395456</t>
        </is>
      </c>
      <c r="K7709" t="inlineStr">
        <is>
          <t>A0A8J1L5X3_XENLA</t>
        </is>
      </c>
      <c r="L7709" t="inlineStr">
        <is>
          <t>tr|A0A8J1L5X3|A0A8J1L5X3_XENLA uncharacterized protein LOC121395456 isoform X1 OS=Xenopus laevis OX=8355 GN=LOC121395456 PE=4 SV=1</t>
        </is>
      </c>
      <c r="M7709" t="n">
        <v>494</v>
      </c>
      <c r="N7709" t="inlineStr">
        <is>
          <t>Xenopus laevis</t>
        </is>
      </c>
      <c r="O7709" t="inlineStr">
        <is>
          <t>uncharacterized protein LOC121395456 isoform X1</t>
        </is>
      </c>
    </row>
    <row r="7710">
      <c r="A7710" t="inlineStr"/>
      <c r="B7710" t="inlineStr"/>
      <c r="C7710" t="inlineStr"/>
      <c r="D7710" t="inlineStr"/>
      <c r="E7710">
        <f>HYPERLINK("https://www.uniprot.org/uniprotkb/A0A4W5MV42/entry", "A0A4W5MV42")</f>
        <v/>
      </c>
      <c r="F7710" t="n">
        <v>43.9</v>
      </c>
      <c r="G7710" t="n">
        <v>123</v>
      </c>
      <c r="H7710" t="n">
        <v>2.29e-25</v>
      </c>
      <c r="I7710" t="inlineStr">
        <is>
          <t>TrEMBL</t>
        </is>
      </c>
      <c r="J7710" t="inlineStr"/>
      <c r="K7710" t="inlineStr">
        <is>
          <t>A0A4W5MV42_9TELE</t>
        </is>
      </c>
      <c r="L7710" t="inlineStr">
        <is>
          <t>tr|A0A4W5MV42|A0A4W5MV42_9TELE TauD domain-containing protein OS=Hucho hucho OX=62062 PE=4 SV=1</t>
        </is>
      </c>
      <c r="M7710" t="n">
        <v>241</v>
      </c>
      <c r="N7710" t="inlineStr">
        <is>
          <t>Hucho hucho</t>
        </is>
      </c>
      <c r="O7710" t="inlineStr">
        <is>
          <t>TauD domain-containing protein</t>
        </is>
      </c>
    </row>
    <row r="7711">
      <c r="A7711" t="inlineStr"/>
      <c r="B7711" t="inlineStr"/>
      <c r="C7711" t="inlineStr"/>
      <c r="D7711" t="inlineStr"/>
      <c r="E7711">
        <f>HYPERLINK("https://www.uniprot.org/uniprotkb/A0A3P8RTI8/entry", "A0A3P8RTI8")</f>
        <v/>
      </c>
      <c r="F7711" t="n">
        <v>41</v>
      </c>
      <c r="G7711" t="n">
        <v>122</v>
      </c>
      <c r="H7711" t="n">
        <v>3.46e-25</v>
      </c>
      <c r="I7711" t="inlineStr">
        <is>
          <t>TrEMBL</t>
        </is>
      </c>
      <c r="J7711" t="inlineStr"/>
      <c r="K7711" t="inlineStr">
        <is>
          <t>A0A3P8RTI8_AMPPE</t>
        </is>
      </c>
      <c r="L7711" t="inlineStr">
        <is>
          <t>tr|A0A3P8RTI8|A0A3P8RTI8_AMPPE Reverse transcriptase domain-containing protein OS=Amphiprion percula OX=161767 PE=4 SV=1</t>
        </is>
      </c>
      <c r="M7711" t="n">
        <v>315</v>
      </c>
      <c r="N7711" t="inlineStr">
        <is>
          <t>Amphiprion percula</t>
        </is>
      </c>
      <c r="O7711" t="inlineStr">
        <is>
          <t>Reverse transcriptase domain-containing protein</t>
        </is>
      </c>
    </row>
    <row r="7712">
      <c r="A7712" t="inlineStr"/>
      <c r="B7712" t="inlineStr"/>
      <c r="C7712" t="inlineStr"/>
      <c r="D7712" t="inlineStr"/>
      <c r="E7712">
        <f>HYPERLINK("https://www.ncbi.nlm.nih.gov/gene/?term=XP_041424947.1", "XP_041424947.1")</f>
        <v/>
      </c>
      <c r="F7712" t="n">
        <v>49</v>
      </c>
      <c r="G7712" t="n">
        <v>102</v>
      </c>
      <c r="H7712" t="n">
        <v>5e-25</v>
      </c>
      <c r="I7712" t="inlineStr">
        <is>
          <t>Nr</t>
        </is>
      </c>
      <c r="J7712" t="inlineStr"/>
      <c r="K7712" t="inlineStr"/>
      <c r="L7712" t="inlineStr">
        <is>
          <t>XP_041424947.1 uncharacterized protein LOC121395456 isoform X1 [Xenopus laevis]</t>
        </is>
      </c>
      <c r="M7712" t="n">
        <v>494</v>
      </c>
      <c r="N7712" t="inlineStr">
        <is>
          <t>Xenopus laevis</t>
        </is>
      </c>
      <c r="O7712" t="inlineStr">
        <is>
          <t>uncharacterized protein LOC121395456 isoform X1</t>
        </is>
      </c>
    </row>
    <row r="7713">
      <c r="A7713" t="inlineStr"/>
      <c r="B7713" t="inlineStr"/>
      <c r="C7713" t="inlineStr"/>
      <c r="D7713" t="inlineStr"/>
      <c r="E7713">
        <f>HYPERLINK("https://www.ncbi.nlm.nih.gov/gene/?term=KAF7642341.1", "KAF7642341.1")</f>
        <v/>
      </c>
      <c r="F7713" t="n">
        <v>43.4</v>
      </c>
      <c r="G7713" t="n">
        <v>122</v>
      </c>
      <c r="H7713" t="n">
        <v>5.12e-25</v>
      </c>
      <c r="I7713" t="inlineStr">
        <is>
          <t>Nr</t>
        </is>
      </c>
      <c r="J7713" t="inlineStr"/>
      <c r="K7713" t="inlineStr"/>
      <c r="L7713" t="inlineStr">
        <is>
          <t>KAF7642341.1 hypothetical protein LDENG_00259770 [Lucifuga dentata]</t>
        </is>
      </c>
      <c r="M7713" t="n">
        <v>267</v>
      </c>
      <c r="N7713" t="inlineStr">
        <is>
          <t>Lucifuga dentata</t>
        </is>
      </c>
      <c r="O7713" t="inlineStr">
        <is>
          <t>hypothetical protein LDENG_00259770</t>
        </is>
      </c>
    </row>
    <row r="7714">
      <c r="A7714" t="inlineStr"/>
      <c r="B7714" t="inlineStr"/>
      <c r="C7714" t="inlineStr"/>
      <c r="D7714" t="inlineStr"/>
      <c r="E7714">
        <f>HYPERLINK("https://www.uniprot.org/uniprotkb/A0A673YIM5/entry", "A0A673YIM5")</f>
        <v/>
      </c>
      <c r="F7714" t="n">
        <v>45.1</v>
      </c>
      <c r="G7714" t="n">
        <v>122</v>
      </c>
      <c r="H7714" t="n">
        <v>5.45e-25</v>
      </c>
      <c r="I7714" t="inlineStr">
        <is>
          <t>TrEMBL</t>
        </is>
      </c>
      <c r="J7714" t="inlineStr"/>
      <c r="K7714" t="inlineStr">
        <is>
          <t>A0A673YIM5_SALTR</t>
        </is>
      </c>
      <c r="L7714" t="inlineStr">
        <is>
          <t>tr|A0A673YIM5|A0A673YIM5_SALTR Reverse transcriptase domain-containing protein OS=Salmo trutta OX=8032 PE=4 SV=1</t>
        </is>
      </c>
      <c r="M7714" t="n">
        <v>610</v>
      </c>
      <c r="N7714" t="inlineStr">
        <is>
          <t>Salmo trutta</t>
        </is>
      </c>
      <c r="O7714" t="inlineStr">
        <is>
          <t>Reverse transcriptase domain-containing protein</t>
        </is>
      </c>
    </row>
    <row r="7715">
      <c r="A7715" t="inlineStr"/>
      <c r="B7715" t="inlineStr"/>
      <c r="C7715" t="inlineStr"/>
      <c r="D7715" t="inlineStr"/>
      <c r="E7715">
        <f>HYPERLINK("https://www.uniprot.org/uniprotkb/A0A674BMX0/entry", "A0A674BMX0")</f>
        <v/>
      </c>
      <c r="F7715" t="n">
        <v>45.1</v>
      </c>
      <c r="G7715" t="n">
        <v>122</v>
      </c>
      <c r="H7715" t="n">
        <v>5.45e-25</v>
      </c>
      <c r="I7715" t="inlineStr">
        <is>
          <t>TrEMBL</t>
        </is>
      </c>
      <c r="J7715" t="inlineStr"/>
      <c r="K7715" t="inlineStr">
        <is>
          <t>A0A674BMX0_SALTR</t>
        </is>
      </c>
      <c r="L7715" t="inlineStr">
        <is>
          <t>tr|A0A674BMX0|A0A674BMX0_SALTR Reverse transcriptase domain-containing protein OS=Salmo trutta OX=8032 PE=4 SV=1</t>
        </is>
      </c>
      <c r="M7715" t="n">
        <v>610</v>
      </c>
      <c r="N7715" t="inlineStr">
        <is>
          <t>Salmo trutta</t>
        </is>
      </c>
      <c r="O7715" t="inlineStr">
        <is>
          <t>Reverse transcriptase domain-containing protein</t>
        </is>
      </c>
    </row>
    <row r="7716">
      <c r="A7716" t="inlineStr"/>
      <c r="B7716" t="inlineStr"/>
      <c r="C7716" t="inlineStr"/>
      <c r="D7716" t="inlineStr"/>
      <c r="E7716">
        <f>HYPERLINK("https://www.uniprot.org/uniprotkb/A0A674ADI8/entry", "A0A674ADI8")</f>
        <v/>
      </c>
      <c r="F7716" t="n">
        <v>45.1</v>
      </c>
      <c r="G7716" t="n">
        <v>122</v>
      </c>
      <c r="H7716" t="n">
        <v>5.45e-25</v>
      </c>
      <c r="I7716" t="inlineStr">
        <is>
          <t>TrEMBL</t>
        </is>
      </c>
      <c r="J7716" t="inlineStr"/>
      <c r="K7716" t="inlineStr">
        <is>
          <t>A0A674ADI8_SALTR</t>
        </is>
      </c>
      <c r="L7716" t="inlineStr">
        <is>
          <t>tr|A0A674ADI8|A0A674ADI8_SALTR Reverse transcriptase domain-containing protein OS=Salmo trutta OX=8032 PE=4 SV=1</t>
        </is>
      </c>
      <c r="M7716" t="n">
        <v>610</v>
      </c>
      <c r="N7716" t="inlineStr">
        <is>
          <t>Salmo trutta</t>
        </is>
      </c>
      <c r="O7716" t="inlineStr">
        <is>
          <t>Reverse transcriptase domain-containing protein</t>
        </is>
      </c>
    </row>
    <row r="7717">
      <c r="A7717" t="inlineStr"/>
      <c r="B7717" t="inlineStr"/>
      <c r="C7717" t="inlineStr"/>
      <c r="D7717" t="inlineStr"/>
      <c r="E7717">
        <f>HYPERLINK("https://www.uniprot.org/uniprotkb/A0A803JSK4/entry", "A0A803JSK4")</f>
        <v/>
      </c>
      <c r="F7717" t="n">
        <v>39.3</v>
      </c>
      <c r="G7717" t="n">
        <v>122</v>
      </c>
      <c r="H7717" t="n">
        <v>5.68e-25</v>
      </c>
      <c r="I7717" t="inlineStr">
        <is>
          <t>TrEMBL</t>
        </is>
      </c>
      <c r="J7717" t="inlineStr"/>
      <c r="K7717" t="inlineStr">
        <is>
          <t>A0A803JSK4_XENTR</t>
        </is>
      </c>
      <c r="L7717" t="inlineStr">
        <is>
          <t>tr|A0A803JSK4|A0A803JSK4_XENTR Reverse transcriptase domain-containing protein OS=Xenopus tropicalis OX=8364 PE=4 SV=1</t>
        </is>
      </c>
      <c r="M7717" t="n">
        <v>639</v>
      </c>
      <c r="N7717" t="inlineStr">
        <is>
          <t>Xenopus tropicalis</t>
        </is>
      </c>
      <c r="O7717" t="inlineStr">
        <is>
          <t>Reverse transcriptase domain-containing protein</t>
        </is>
      </c>
    </row>
    <row r="7718">
      <c r="A7718" t="inlineStr"/>
      <c r="B7718" t="inlineStr"/>
      <c r="C7718" t="inlineStr"/>
      <c r="D7718" t="inlineStr"/>
      <c r="E7718">
        <f>HYPERLINK("https://www.uniprot.org/uniprotkb/A0A8C5MP74/entry", "A0A8C5MP74")</f>
        <v/>
      </c>
      <c r="F7718" t="n">
        <v>42.6</v>
      </c>
      <c r="G7718" t="n">
        <v>122</v>
      </c>
      <c r="H7718" t="n">
        <v>5.83e-25</v>
      </c>
      <c r="I7718" t="inlineStr">
        <is>
          <t>TrEMBL</t>
        </is>
      </c>
      <c r="J7718" t="inlineStr"/>
      <c r="K7718" t="inlineStr">
        <is>
          <t>A0A8C5MP74_9ANUR</t>
        </is>
      </c>
      <c r="L7718" t="inlineStr">
        <is>
          <t>tr|A0A8C5MP74|A0A8C5MP74_9ANUR Reverse transcriptase domain-containing protein OS=Leptobrachium leishanense OX=445787 PE=4 SV=1</t>
        </is>
      </c>
      <c r="M7718" t="n">
        <v>667</v>
      </c>
      <c r="N7718" t="inlineStr">
        <is>
          <t>Leptobrachium leishanense</t>
        </is>
      </c>
      <c r="O7718" t="inlineStr">
        <is>
          <t>Reverse transcriptase domain-containing protein</t>
        </is>
      </c>
    </row>
    <row r="7719">
      <c r="A7719" t="inlineStr"/>
      <c r="B7719" t="inlineStr"/>
      <c r="C7719" t="inlineStr"/>
      <c r="D7719" t="inlineStr"/>
      <c r="E7719">
        <f>HYPERLINK("https://www.uniprot.org/uniprotkb/A0A803J844/entry", "A0A803J844")</f>
        <v/>
      </c>
      <c r="F7719" t="n">
        <v>39.3</v>
      </c>
      <c r="G7719" t="n">
        <v>122</v>
      </c>
      <c r="H7719" t="n">
        <v>5.86e-25</v>
      </c>
      <c r="I7719" t="inlineStr">
        <is>
          <t>TrEMBL</t>
        </is>
      </c>
      <c r="J7719" t="inlineStr"/>
      <c r="K7719" t="inlineStr">
        <is>
          <t>A0A803J844_XENTR</t>
        </is>
      </c>
      <c r="L7719" t="inlineStr">
        <is>
          <t>tr|A0A803J844|A0A803J844_XENTR Reverse transcriptase domain-containing protein OS=Xenopus tropicalis OX=8364 PE=4 SV=1</t>
        </is>
      </c>
      <c r="M7719" t="n">
        <v>673</v>
      </c>
      <c r="N7719" t="inlineStr">
        <is>
          <t>Xenopus tropicalis</t>
        </is>
      </c>
      <c r="O7719" t="inlineStr">
        <is>
          <t>Reverse transcriptase domain-containing protein</t>
        </is>
      </c>
    </row>
    <row r="7720">
      <c r="A7720" t="inlineStr"/>
      <c r="B7720" t="inlineStr"/>
      <c r="C7720" t="inlineStr"/>
      <c r="D7720" t="inlineStr"/>
      <c r="E7720">
        <f>HYPERLINK("https://www.uniprot.org/uniprotkb/A0A8C5M2E7/entry", "A0A8C5M2E7")</f>
        <v/>
      </c>
      <c r="F7720" t="n">
        <v>46.7</v>
      </c>
      <c r="G7720" t="n">
        <v>122</v>
      </c>
      <c r="H7720" t="n">
        <v>5.89e-25</v>
      </c>
      <c r="I7720" t="inlineStr">
        <is>
          <t>TrEMBL</t>
        </is>
      </c>
      <c r="J7720" t="inlineStr"/>
      <c r="K7720" t="inlineStr">
        <is>
          <t>A0A8C5M2E7_9ANUR</t>
        </is>
      </c>
      <c r="L7720" t="inlineStr">
        <is>
          <t>tr|A0A8C5M2E7|A0A8C5M2E7_9ANUR Reverse transcriptase domain-containing protein OS=Leptobrachium leishanense OX=445787 PE=4 SV=1</t>
        </is>
      </c>
      <c r="M7720" t="n">
        <v>683</v>
      </c>
      <c r="N7720" t="inlineStr">
        <is>
          <t>Leptobrachium leishanense</t>
        </is>
      </c>
      <c r="O7720" t="inlineStr">
        <is>
          <t>Reverse transcriptase domain-containing protein</t>
        </is>
      </c>
    </row>
    <row r="7721">
      <c r="A7721" t="inlineStr"/>
      <c r="B7721" t="inlineStr"/>
      <c r="C7721" t="inlineStr"/>
      <c r="D7721" t="inlineStr"/>
      <c r="E7721">
        <f>HYPERLINK("https://www.uniprot.org/uniprotkb/A0A673W229/entry", "A0A673W229")</f>
        <v/>
      </c>
      <c r="F7721" t="n">
        <v>45.1</v>
      </c>
      <c r="G7721" t="n">
        <v>122</v>
      </c>
      <c r="H7721" t="n">
        <v>5.99e-25</v>
      </c>
      <c r="I7721" t="inlineStr">
        <is>
          <t>TrEMBL</t>
        </is>
      </c>
      <c r="J7721" t="inlineStr"/>
      <c r="K7721" t="inlineStr">
        <is>
          <t>A0A673W229_SALTR</t>
        </is>
      </c>
      <c r="L7721" t="inlineStr">
        <is>
          <t>tr|A0A673W229|A0A673W229_SALTR Reverse transcriptase domain-containing protein OS=Salmo trutta OX=8032 PE=4 SV=1</t>
        </is>
      </c>
      <c r="M7721" t="n">
        <v>720</v>
      </c>
      <c r="N7721" t="inlineStr">
        <is>
          <t>Salmo trutta</t>
        </is>
      </c>
      <c r="O7721" t="inlineStr">
        <is>
          <t>Reverse transcriptase domain-containing protein</t>
        </is>
      </c>
    </row>
    <row r="7722">
      <c r="A7722" t="inlineStr"/>
      <c r="B7722" t="inlineStr"/>
      <c r="C7722" t="inlineStr"/>
      <c r="D7722" t="inlineStr"/>
      <c r="E7722">
        <f>HYPERLINK("https://www.uniprot.org/uniprotkb/A0A8C5R1J5/entry", "A0A8C5R1J5")</f>
        <v/>
      </c>
      <c r="F7722" t="n">
        <v>43</v>
      </c>
      <c r="G7722" t="n">
        <v>121</v>
      </c>
      <c r="H7722" t="n">
        <v>6.08e-25</v>
      </c>
      <c r="I7722" t="inlineStr">
        <is>
          <t>TrEMBL</t>
        </is>
      </c>
      <c r="J7722" t="inlineStr"/>
      <c r="K7722" t="inlineStr">
        <is>
          <t>A0A8C5R1J5_9ANUR</t>
        </is>
      </c>
      <c r="L7722" t="inlineStr">
        <is>
          <t>tr|A0A8C5R1J5|A0A8C5R1J5_9ANUR Reverse transcriptase domain-containing protein OS=Leptobrachium leishanense OX=445787 PE=4 SV=1</t>
        </is>
      </c>
      <c r="M7722" t="n">
        <v>477</v>
      </c>
      <c r="N7722" t="inlineStr">
        <is>
          <t>Leptobrachium leishanense</t>
        </is>
      </c>
      <c r="O7722" t="inlineStr">
        <is>
          <t>Reverse transcriptase domain-containing protein</t>
        </is>
      </c>
    </row>
    <row r="7723">
      <c r="A7723" t="inlineStr"/>
      <c r="B7723" t="inlineStr"/>
      <c r="C7723" t="inlineStr"/>
      <c r="D7723" t="inlineStr"/>
      <c r="E7723">
        <f>HYPERLINK("https://www.uniprot.org/uniprotkb/A0A8C5PUJ4/entry", "A0A8C5PUJ4")</f>
        <v/>
      </c>
      <c r="F7723" t="n">
        <v>43</v>
      </c>
      <c r="G7723" t="n">
        <v>121</v>
      </c>
      <c r="H7723" t="n">
        <v>8.2e-25</v>
      </c>
      <c r="I7723" t="inlineStr">
        <is>
          <t>TrEMBL</t>
        </is>
      </c>
      <c r="J7723" t="inlineStr"/>
      <c r="K7723" t="inlineStr">
        <is>
          <t>A0A8C5PUJ4_9ANUR</t>
        </is>
      </c>
      <c r="L7723" t="inlineStr">
        <is>
          <t>tr|A0A8C5PUJ4|A0A8C5PUJ4_9ANUR Reverse transcriptase domain-containing protein OS=Leptobrachium leishanense OX=445787 PE=4 SV=1</t>
        </is>
      </c>
      <c r="M7723" t="n">
        <v>728</v>
      </c>
      <c r="N7723" t="inlineStr">
        <is>
          <t>Leptobrachium leishanense</t>
        </is>
      </c>
      <c r="O7723" t="inlineStr">
        <is>
          <t>Reverse transcriptase domain-containing protein</t>
        </is>
      </c>
    </row>
    <row r="7724">
      <c r="A7724" t="inlineStr"/>
      <c r="B7724" t="inlineStr"/>
      <c r="C7724" t="inlineStr"/>
      <c r="D7724" t="inlineStr"/>
      <c r="E7724">
        <f>HYPERLINK("https://www.uniprot.org/uniprotkb/A0A8C5PLE2/entry", "A0A8C5PLE2")</f>
        <v/>
      </c>
      <c r="F7724" t="n">
        <v>43</v>
      </c>
      <c r="G7724" t="n">
        <v>121</v>
      </c>
      <c r="H7724" t="n">
        <v>9.66e-25</v>
      </c>
      <c r="I7724" t="inlineStr">
        <is>
          <t>TrEMBL</t>
        </is>
      </c>
      <c r="J7724" t="inlineStr"/>
      <c r="K7724" t="inlineStr">
        <is>
          <t>A0A8C5PLE2_9ANUR</t>
        </is>
      </c>
      <c r="L7724" t="inlineStr">
        <is>
          <t>tr|A0A8C5PLE2|A0A8C5PLE2_9ANUR Reverse transcriptase domain-containing protein OS=Leptobrachium leishanense OX=445787 PE=4 SV=1</t>
        </is>
      </c>
      <c r="M7724" t="n">
        <v>583</v>
      </c>
      <c r="N7724" t="inlineStr">
        <is>
          <t>Leptobrachium leishanense</t>
        </is>
      </c>
      <c r="O7724" t="inlineStr">
        <is>
          <t>Reverse transcriptase domain-containing protein</t>
        </is>
      </c>
    </row>
    <row r="7725">
      <c r="A7725" t="inlineStr"/>
      <c r="B7725" t="inlineStr"/>
      <c r="C7725" t="inlineStr"/>
      <c r="D7725" t="inlineStr"/>
      <c r="E7725">
        <f>HYPERLINK("https://www.uniprot.org/uniprotkb/A0A8C5N1Z7/entry", "A0A8C5N1Z7")</f>
        <v/>
      </c>
      <c r="F7725" t="n">
        <v>45.9</v>
      </c>
      <c r="G7725" t="n">
        <v>109</v>
      </c>
      <c r="H7725" t="n">
        <v>1.11e-24</v>
      </c>
      <c r="I7725" t="inlineStr">
        <is>
          <t>TrEMBL</t>
        </is>
      </c>
      <c r="J7725" t="inlineStr"/>
      <c r="K7725" t="inlineStr">
        <is>
          <t>A0A8C5N1Z7_9ANUR</t>
        </is>
      </c>
      <c r="L7725" t="inlineStr">
        <is>
          <t>tr|A0A8C5N1Z7|A0A8C5N1Z7_9ANUR Reverse transcriptase domain-containing protein OS=Leptobrachium leishanense OX=445787 PE=4 SV=1</t>
        </is>
      </c>
      <c r="M7725" t="n">
        <v>471</v>
      </c>
      <c r="N7725" t="inlineStr">
        <is>
          <t>Leptobrachium leishanense</t>
        </is>
      </c>
      <c r="O7725" t="inlineStr">
        <is>
          <t>Reverse transcriptase domain-containing protein</t>
        </is>
      </c>
    </row>
    <row r="7726">
      <c r="A7726" t="inlineStr"/>
      <c r="B7726" t="inlineStr"/>
      <c r="C7726" t="inlineStr"/>
      <c r="D7726" t="inlineStr"/>
      <c r="E7726">
        <f>HYPERLINK("https://www.uniprot.org/uniprotkb/A0A8C5MNI7/entry", "A0A8C5MNI7")</f>
        <v/>
      </c>
      <c r="F7726" t="n">
        <v>43</v>
      </c>
      <c r="G7726" t="n">
        <v>121</v>
      </c>
      <c r="H7726" t="n">
        <v>1.12e-24</v>
      </c>
      <c r="I7726" t="inlineStr">
        <is>
          <t>TrEMBL</t>
        </is>
      </c>
      <c r="J7726" t="inlineStr"/>
      <c r="K7726" t="inlineStr">
        <is>
          <t>A0A8C5MNI7_9ANUR</t>
        </is>
      </c>
      <c r="L7726" t="inlineStr">
        <is>
          <t>tr|A0A8C5MNI7|A0A8C5MNI7_9ANUR Reverse transcriptase domain-containing protein OS=Leptobrachium leishanense OX=445787 PE=4 SV=1</t>
        </is>
      </c>
      <c r="M7726" t="n">
        <v>728</v>
      </c>
      <c r="N7726" t="inlineStr">
        <is>
          <t>Leptobrachium leishanense</t>
        </is>
      </c>
      <c r="O7726" t="inlineStr">
        <is>
          <t>Reverse transcriptase domain-containing protein</t>
        </is>
      </c>
    </row>
    <row r="7727">
      <c r="A7727" t="inlineStr"/>
      <c r="B7727" t="inlineStr"/>
      <c r="C7727" t="inlineStr"/>
      <c r="D7727" t="inlineStr"/>
      <c r="E7727">
        <f>HYPERLINK("https://www.uniprot.org/uniprotkb/A0A803KEE8/entry", "A0A803KEE8")</f>
        <v/>
      </c>
      <c r="F7727" t="n">
        <v>46.3</v>
      </c>
      <c r="G7727" t="n">
        <v>121</v>
      </c>
      <c r="H7727" t="n">
        <v>1.13e-24</v>
      </c>
      <c r="I7727" t="inlineStr">
        <is>
          <t>TrEMBL</t>
        </is>
      </c>
      <c r="J7727" t="inlineStr"/>
      <c r="K7727" t="inlineStr">
        <is>
          <t>A0A803KEE8_XENTR</t>
        </is>
      </c>
      <c r="L7727" t="inlineStr">
        <is>
          <t>tr|A0A803KEE8|A0A803KEE8_XENTR Reverse transcriptase domain-containing protein OS=Xenopus tropicalis OX=8364 PE=4 SV=1</t>
        </is>
      </c>
      <c r="M7727" t="n">
        <v>779</v>
      </c>
      <c r="N7727" t="inlineStr">
        <is>
          <t>Xenopus tropicalis</t>
        </is>
      </c>
      <c r="O7727" t="inlineStr">
        <is>
          <t>Reverse transcriptase domain-containing protein</t>
        </is>
      </c>
    </row>
    <row r="7728">
      <c r="A7728" t="inlineStr"/>
      <c r="B7728" t="inlineStr"/>
      <c r="C7728" t="inlineStr"/>
      <c r="D7728" t="inlineStr"/>
      <c r="E7728">
        <f>HYPERLINK("https://www.uniprot.org/uniprotkb/A0A8C5N1Y7/entry", "A0A8C5N1Y7")</f>
        <v/>
      </c>
      <c r="F7728" t="n">
        <v>48.2</v>
      </c>
      <c r="G7728" t="n">
        <v>112</v>
      </c>
      <c r="H7728" t="n">
        <v>1.26e-24</v>
      </c>
      <c r="I7728" t="inlineStr">
        <is>
          <t>TrEMBL</t>
        </is>
      </c>
      <c r="J7728" t="inlineStr"/>
      <c r="K7728" t="inlineStr">
        <is>
          <t>A0A8C5N1Y7_9ANUR</t>
        </is>
      </c>
      <c r="L7728" t="inlineStr">
        <is>
          <t>tr|A0A8C5N1Y7|A0A8C5N1Y7_9ANUR Reverse transcriptase domain-containing protein OS=Leptobrachium leishanense OX=445787 PE=4 SV=1</t>
        </is>
      </c>
      <c r="M7728" t="n">
        <v>564</v>
      </c>
      <c r="N7728" t="inlineStr">
        <is>
          <t>Leptobrachium leishanense</t>
        </is>
      </c>
      <c r="O7728" t="inlineStr">
        <is>
          <t>Reverse transcriptase domain-containing protein</t>
        </is>
      </c>
    </row>
    <row r="7729">
      <c r="A7729" t="inlineStr"/>
      <c r="B7729" t="inlineStr"/>
      <c r="C7729" t="inlineStr"/>
      <c r="D7729" t="inlineStr"/>
      <c r="E7729">
        <f>HYPERLINK("https://www.uniprot.org/uniprotkb/A0A8C5LR31/entry", "A0A8C5LR31")</f>
        <v/>
      </c>
      <c r="F7729" t="n">
        <v>40.2</v>
      </c>
      <c r="G7729" t="n">
        <v>122</v>
      </c>
      <c r="H7729" t="n">
        <v>1.53e-24</v>
      </c>
      <c r="I7729" t="inlineStr">
        <is>
          <t>TrEMBL</t>
        </is>
      </c>
      <c r="J7729" t="inlineStr"/>
      <c r="K7729" t="inlineStr">
        <is>
          <t>A0A8C5LR31_9ANUR</t>
        </is>
      </c>
      <c r="L7729" t="inlineStr">
        <is>
          <t>tr|A0A8C5LR31|A0A8C5LR31_9ANUR Glutathione synthase OS=Leptobrachium leishanense OX=445787 PE=4 SV=1</t>
        </is>
      </c>
      <c r="M7729" t="n">
        <v>303</v>
      </c>
      <c r="N7729" t="inlineStr">
        <is>
          <t>Leptobrachium leishanense</t>
        </is>
      </c>
      <c r="O7729" t="inlineStr">
        <is>
          <t>Glutathione synthase</t>
        </is>
      </c>
    </row>
    <row r="7730">
      <c r="A7730" t="inlineStr"/>
      <c r="B7730" t="inlineStr"/>
      <c r="C7730" t="inlineStr"/>
      <c r="D7730" t="inlineStr"/>
      <c r="E7730">
        <f>HYPERLINK("https://www.uniprot.org/uniprotkb/A0A8C5N036/entry", "A0A8C5N036")</f>
        <v/>
      </c>
      <c r="F7730" t="n">
        <v>37.7</v>
      </c>
      <c r="G7730" t="n">
        <v>122</v>
      </c>
      <c r="H7730" t="n">
        <v>1.59e-24</v>
      </c>
      <c r="I7730" t="inlineStr">
        <is>
          <t>TrEMBL</t>
        </is>
      </c>
      <c r="J7730" t="inlineStr"/>
      <c r="K7730" t="inlineStr">
        <is>
          <t>A0A8C5N036_9ANUR</t>
        </is>
      </c>
      <c r="L7730" t="inlineStr">
        <is>
          <t>tr|A0A8C5N036|A0A8C5N036_9ANUR Reverse transcriptase domain-containing protein OS=Leptobrachium leishanense OX=445787 PE=4 SV=1</t>
        </is>
      </c>
      <c r="M7730" t="n">
        <v>326</v>
      </c>
      <c r="N7730" t="inlineStr">
        <is>
          <t>Leptobrachium leishanense</t>
        </is>
      </c>
      <c r="O7730" t="inlineStr">
        <is>
          <t>Reverse transcriptase domain-containing protein</t>
        </is>
      </c>
    </row>
    <row r="7731">
      <c r="A7731" t="inlineStr"/>
      <c r="B7731" t="inlineStr"/>
      <c r="C7731" t="inlineStr"/>
      <c r="D7731" t="inlineStr"/>
      <c r="E7731">
        <f>HYPERLINK("https://www.ncbi.nlm.nih.gov/gene/?term=XP_044135914.1", "XP_044135914.1")</f>
        <v/>
      </c>
      <c r="F7731" t="n">
        <v>42.3</v>
      </c>
      <c r="G7731" t="n">
        <v>123</v>
      </c>
      <c r="H7731" t="n">
        <v>3.51e-24</v>
      </c>
      <c r="I7731" t="inlineStr">
        <is>
          <t>Nr</t>
        </is>
      </c>
      <c r="J7731" t="inlineStr"/>
      <c r="K7731" t="inlineStr"/>
      <c r="L7731" t="inlineStr">
        <is>
          <t>XP_044135914.1 uncharacterized protein LOC122927779 [Bufo gargarizans]</t>
        </is>
      </c>
      <c r="M7731" t="n">
        <v>418</v>
      </c>
      <c r="N7731" t="inlineStr">
        <is>
          <t>Bufo gargarizans</t>
        </is>
      </c>
      <c r="O7731" t="inlineStr">
        <is>
          <t>uncharacterized protein LOC122927779</t>
        </is>
      </c>
    </row>
    <row r="7732">
      <c r="A7732" t="inlineStr"/>
      <c r="B7732" t="inlineStr"/>
      <c r="C7732" t="inlineStr"/>
      <c r="D7732" t="inlineStr"/>
      <c r="E7732">
        <f>HYPERLINK("https://www.ncbi.nlm.nih.gov/gene/?term=CDR01385.1", "CDR01385.1")</f>
        <v/>
      </c>
      <c r="F7732" t="n">
        <v>44.3</v>
      </c>
      <c r="G7732" t="n">
        <v>122</v>
      </c>
      <c r="H7732" t="n">
        <v>5.789999999999999e-24</v>
      </c>
      <c r="I7732" t="inlineStr">
        <is>
          <t>Nr</t>
        </is>
      </c>
      <c r="J7732" t="inlineStr"/>
      <c r="K7732" t="inlineStr"/>
      <c r="L7732" t="inlineStr">
        <is>
          <t>CDR01385.1 unnamed protein product [Oncorhynchus mykiss]</t>
        </is>
      </c>
      <c r="M7732" t="n">
        <v>306</v>
      </c>
      <c r="N7732" t="inlineStr">
        <is>
          <t>Oncorhynchus mykiss</t>
        </is>
      </c>
      <c r="O7732" t="inlineStr">
        <is>
          <t>unnamed protein product</t>
        </is>
      </c>
    </row>
    <row r="7733">
      <c r="A7733" t="inlineStr"/>
      <c r="B7733" t="inlineStr"/>
      <c r="C7733" t="inlineStr"/>
      <c r="D7733" t="inlineStr"/>
      <c r="E7733">
        <f>HYPERLINK("https://www.ncbi.nlm.nih.gov/gene/?term=CAH2330131.1", "CAH2330131.1")</f>
        <v/>
      </c>
      <c r="F7733" t="n">
        <v>43.4</v>
      </c>
      <c r="G7733" t="n">
        <v>122</v>
      </c>
      <c r="H7733" t="n">
        <v>7.039999999999999e-24</v>
      </c>
      <c r="I7733" t="inlineStr">
        <is>
          <t>Nr</t>
        </is>
      </c>
      <c r="J7733" t="inlineStr"/>
      <c r="K7733" t="inlineStr"/>
      <c r="L7733" t="inlineStr">
        <is>
          <t>CAH2330131.1 Hypothetical predicted protein, partial [Pelobates cultripes]</t>
        </is>
      </c>
      <c r="M7733" t="n">
        <v>214</v>
      </c>
      <c r="N7733" t="inlineStr">
        <is>
          <t>Pelobates cultripes</t>
        </is>
      </c>
      <c r="O7733" t="inlineStr">
        <is>
          <t>Hypothetical predicted protein, partial</t>
        </is>
      </c>
    </row>
    <row r="7734">
      <c r="A7734" t="inlineStr"/>
      <c r="B7734" t="inlineStr"/>
      <c r="C7734" t="inlineStr"/>
      <c r="D7734" t="inlineStr"/>
      <c r="E7734">
        <f>HYPERLINK("https://www.ncbi.nlm.nih.gov/gene/?term=XP_044147138.1", "XP_044147138.1")</f>
        <v/>
      </c>
      <c r="F7734" t="n">
        <v>42.3</v>
      </c>
      <c r="G7734" t="n">
        <v>123</v>
      </c>
      <c r="H7734" t="n">
        <v>9.599999999999999e-24</v>
      </c>
      <c r="I7734" t="inlineStr">
        <is>
          <t>Nr</t>
        </is>
      </c>
      <c r="J7734" t="inlineStr"/>
      <c r="K7734" t="inlineStr"/>
      <c r="L7734" t="inlineStr">
        <is>
          <t>XP_044147138.1 uncharacterized protein LOC122935434 [Bufo gargarizans]</t>
        </is>
      </c>
      <c r="M7734" t="n">
        <v>650</v>
      </c>
      <c r="N7734" t="inlineStr">
        <is>
          <t>Bufo gargarizans</t>
        </is>
      </c>
      <c r="O7734" t="inlineStr">
        <is>
          <t>uncharacterized protein LOC122935434</t>
        </is>
      </c>
    </row>
    <row r="7735">
      <c r="A7735" t="inlineStr"/>
      <c r="B7735" t="inlineStr"/>
      <c r="C7735" t="inlineStr"/>
      <c r="D7735" t="inlineStr"/>
      <c r="E7735">
        <f>HYPERLINK("https://www.ncbi.nlm.nih.gov/gene/?term=XP_040294184.1", "XP_040294184.1")</f>
        <v/>
      </c>
      <c r="F7735" t="n">
        <v>41.5</v>
      </c>
      <c r="G7735" t="n">
        <v>123</v>
      </c>
      <c r="H7735" t="n">
        <v>2.42e-23</v>
      </c>
      <c r="I7735" t="inlineStr">
        <is>
          <t>Nr</t>
        </is>
      </c>
      <c r="J7735" t="inlineStr"/>
      <c r="K7735" t="inlineStr"/>
      <c r="L7735" t="inlineStr">
        <is>
          <t>XP_040294184.1 uncharacterized protein LOC121005481 [Bufo bufo]</t>
        </is>
      </c>
      <c r="M7735" t="n">
        <v>311</v>
      </c>
      <c r="N7735" t="inlineStr">
        <is>
          <t>Bufo bufo</t>
        </is>
      </c>
      <c r="O7735" t="inlineStr">
        <is>
          <t>uncharacterized protein LOC121005481</t>
        </is>
      </c>
    </row>
    <row r="7736">
      <c r="A7736" t="inlineStr"/>
      <c r="B7736" t="inlineStr"/>
      <c r="C7736" t="inlineStr"/>
      <c r="D7736" t="inlineStr"/>
      <c r="E7736">
        <f>HYPERLINK("https://www.ncbi.nlm.nih.gov/gene/?term=XP_040267746.1", "XP_040267746.1")</f>
        <v/>
      </c>
      <c r="F7736" t="n">
        <v>43.4</v>
      </c>
      <c r="G7736" t="n">
        <v>122</v>
      </c>
      <c r="H7736" t="n">
        <v>3.509999999999999e-23</v>
      </c>
      <c r="I7736" t="inlineStr">
        <is>
          <t>Nr</t>
        </is>
      </c>
      <c r="J7736" t="inlineStr"/>
      <c r="K7736" t="inlineStr"/>
      <c r="L7736" t="inlineStr">
        <is>
          <t>XP_040267746.1 sodium-coupled monocarboxylate transporter 1-like [Bufo bufo]</t>
        </is>
      </c>
      <c r="M7736" t="n">
        <v>838</v>
      </c>
      <c r="N7736" t="inlineStr">
        <is>
          <t>Bufo bufo</t>
        </is>
      </c>
      <c r="O7736" t="inlineStr">
        <is>
          <t>sodium-coupled monocarboxylate transporter 1-like</t>
        </is>
      </c>
    </row>
    <row r="7737">
      <c r="A7737" t="inlineStr"/>
      <c r="B7737" t="inlineStr"/>
      <c r="C7737" t="inlineStr"/>
      <c r="D7737" t="inlineStr"/>
      <c r="E7737">
        <f>HYPERLINK("https://www.ncbi.nlm.nih.gov/gene/?term=KAJ1171209.1", "KAJ1171209.1")</f>
        <v/>
      </c>
      <c r="F7737" t="n">
        <v>41</v>
      </c>
      <c r="G7737" t="n">
        <v>122</v>
      </c>
      <c r="H7737" t="n">
        <v>1.09e-22</v>
      </c>
      <c r="I7737" t="inlineStr">
        <is>
          <t>Nr</t>
        </is>
      </c>
      <c r="J7737" t="inlineStr"/>
      <c r="K7737" t="inlineStr"/>
      <c r="L7737" t="inlineStr">
        <is>
          <t>KAJ1171209.1 hypothetical protein NDU88_003079 [Pleurodeles waltl]</t>
        </is>
      </c>
      <c r="M7737" t="n">
        <v>589</v>
      </c>
      <c r="N7737" t="inlineStr">
        <is>
          <t>Pleurodeles waltl</t>
        </is>
      </c>
      <c r="O7737" t="inlineStr">
        <is>
          <t>hypothetical protein NDU88_003079</t>
        </is>
      </c>
    </row>
    <row r="7738">
      <c r="A7738" t="inlineStr"/>
      <c r="B7738" t="inlineStr"/>
      <c r="C7738" t="inlineStr"/>
      <c r="D7738" t="inlineStr"/>
      <c r="E7738">
        <f>HYPERLINK("https://www.ncbi.nlm.nih.gov/gene/?term=KAJ0050395.1", "KAJ0050395.1")</f>
        <v/>
      </c>
      <c r="F7738" t="n">
        <v>43.1</v>
      </c>
      <c r="G7738" t="n">
        <v>116</v>
      </c>
      <c r="H7738" t="n">
        <v>1.72e-22</v>
      </c>
      <c r="I7738" t="inlineStr">
        <is>
          <t>Nr</t>
        </is>
      </c>
      <c r="J7738" t="inlineStr"/>
      <c r="K7738" t="inlineStr"/>
      <c r="L7738" t="inlineStr">
        <is>
          <t>KAJ0050395.1 hypothetical protein NL108_018525 [Boleophthalmus pectinirostris]</t>
        </is>
      </c>
      <c r="M7738" t="n">
        <v>148</v>
      </c>
      <c r="N7738" t="inlineStr">
        <is>
          <t>Boleophthalmus pectinirostris</t>
        </is>
      </c>
      <c r="O7738" t="inlineStr">
        <is>
          <t>hypothetical protein NL108_018525</t>
        </is>
      </c>
    </row>
    <row r="7739">
      <c r="A7739" t="inlineStr"/>
      <c r="B7739" t="inlineStr"/>
      <c r="C7739" t="inlineStr"/>
      <c r="D7739" t="inlineStr"/>
      <c r="E7739">
        <f>HYPERLINK("https://www.ncbi.nlm.nih.gov/gene/?term=XP_040179872.1", "XP_040179872.1")</f>
        <v/>
      </c>
      <c r="F7739" t="n">
        <v>47.2</v>
      </c>
      <c r="G7739" t="n">
        <v>106</v>
      </c>
      <c r="H7739" t="n">
        <v>4.16e-22</v>
      </c>
      <c r="I7739" t="inlineStr">
        <is>
          <t>Nr</t>
        </is>
      </c>
      <c r="J7739" t="inlineStr"/>
      <c r="K7739" t="inlineStr"/>
      <c r="L7739" t="inlineStr">
        <is>
          <t>XP_040179872.1 uncharacterized protein LOC120913749 [Rana temporaria]</t>
        </is>
      </c>
      <c r="M7739" t="n">
        <v>761</v>
      </c>
      <c r="N7739" t="inlineStr">
        <is>
          <t>Rana temporaria</t>
        </is>
      </c>
      <c r="O7739" t="inlineStr">
        <is>
          <t>uncharacterized protein LOC120913749</t>
        </is>
      </c>
    </row>
    <row r="7740">
      <c r="A7740" t="inlineStr"/>
      <c r="B7740" t="inlineStr"/>
      <c r="C7740" t="inlineStr"/>
      <c r="D7740" t="inlineStr"/>
      <c r="E7740">
        <f>HYPERLINK("https://www.ncbi.nlm.nih.gov/gene/?term=KAJ1207041.1", "KAJ1207041.1")</f>
        <v/>
      </c>
      <c r="F7740" t="n">
        <v>40.2</v>
      </c>
      <c r="G7740" t="n">
        <v>122</v>
      </c>
      <c r="H7740" t="n">
        <v>6.96e-22</v>
      </c>
      <c r="I7740" t="inlineStr">
        <is>
          <t>Nr</t>
        </is>
      </c>
      <c r="J7740" t="inlineStr"/>
      <c r="K7740" t="inlineStr"/>
      <c r="L7740" t="inlineStr">
        <is>
          <t>KAJ1207041.1 hypothetical protein NDU88_002433, partial [Pleurodeles waltl]</t>
        </is>
      </c>
      <c r="M7740" t="n">
        <v>389</v>
      </c>
      <c r="N7740" t="inlineStr">
        <is>
          <t>Pleurodeles waltl</t>
        </is>
      </c>
      <c r="O7740" t="inlineStr">
        <is>
          <t>hypothetical protein NDU88_002433, partial</t>
        </is>
      </c>
    </row>
    <row r="7741">
      <c r="A7741" t="inlineStr"/>
      <c r="B7741" t="inlineStr"/>
      <c r="C7741" t="inlineStr"/>
      <c r="D7741" t="inlineStr"/>
      <c r="E7741">
        <f>HYPERLINK("https://www.ncbi.nlm.nih.gov/gene/?term=KAJ1080705.1", "KAJ1080705.1")</f>
        <v/>
      </c>
      <c r="F7741" t="n">
        <v>42.3</v>
      </c>
      <c r="G7741" t="n">
        <v>123</v>
      </c>
      <c r="H7741" t="n">
        <v>7.8e-22</v>
      </c>
      <c r="I7741" t="inlineStr">
        <is>
          <t>Nr</t>
        </is>
      </c>
      <c r="J7741" t="inlineStr"/>
      <c r="K7741" t="inlineStr"/>
      <c r="L7741" t="inlineStr">
        <is>
          <t>KAJ1080705.1 hypothetical protein NDU88_000899 [Pleurodeles waltl]</t>
        </is>
      </c>
      <c r="M7741" t="n">
        <v>180</v>
      </c>
      <c r="N7741" t="inlineStr">
        <is>
          <t>Pleurodeles waltl</t>
        </is>
      </c>
      <c r="O7741" t="inlineStr">
        <is>
          <t>hypothetical protein NDU88_000899</t>
        </is>
      </c>
    </row>
    <row r="7742">
      <c r="A7742" t="inlineStr"/>
      <c r="B7742" t="inlineStr"/>
      <c r="C7742" t="inlineStr"/>
      <c r="D7742" t="inlineStr"/>
      <c r="E7742">
        <f>HYPERLINK("https://www.ncbi.nlm.nih.gov/gene/?term=WP_237736113.1", "WP_237736113.1")</f>
        <v/>
      </c>
      <c r="F7742" t="n">
        <v>44.3</v>
      </c>
      <c r="G7742" t="n">
        <v>122</v>
      </c>
      <c r="H7742" t="n">
        <v>8.870000000000001e-22</v>
      </c>
      <c r="I7742" t="inlineStr">
        <is>
          <t>Nr</t>
        </is>
      </c>
      <c r="J7742" t="inlineStr"/>
      <c r="K7742" t="inlineStr"/>
      <c r="L7742" t="inlineStr">
        <is>
          <t>WP_237736113.1 hypothetical protein, partial [Bathymodiolus brooksi thiotrophic gill symbiont]</t>
        </is>
      </c>
      <c r="M7742" t="n">
        <v>352</v>
      </c>
      <c r="N7742" t="inlineStr">
        <is>
          <t>Bathymodiolus brooksi thiotrophic gill symbiont</t>
        </is>
      </c>
      <c r="O7742" t="inlineStr">
        <is>
          <t>hypothetical protein, partial</t>
        </is>
      </c>
    </row>
    <row r="7743">
      <c r="A7743" t="inlineStr"/>
      <c r="B7743" t="inlineStr"/>
      <c r="C7743" t="inlineStr"/>
      <c r="D7743" t="inlineStr"/>
      <c r="E7743">
        <f>HYPERLINK("https://www.ncbi.nlm.nih.gov/gene/?term=CAB9545147.1", "CAB9545147.1")</f>
        <v/>
      </c>
      <c r="F7743" t="n">
        <v>44.3</v>
      </c>
      <c r="G7743" t="n">
        <v>122</v>
      </c>
      <c r="H7743" t="n">
        <v>1.09e-21</v>
      </c>
      <c r="I7743" t="inlineStr">
        <is>
          <t>Nr</t>
        </is>
      </c>
      <c r="J7743" t="inlineStr"/>
      <c r="K7743" t="inlineStr"/>
      <c r="L7743" t="inlineStr">
        <is>
          <t>CAB9545147.1 hypothetical protein BROOK1789C_2207, partial [Bathymodiolus brooksi thiotrophic gill symbiont]</t>
        </is>
      </c>
      <c r="M7743" t="n">
        <v>369</v>
      </c>
      <c r="N7743" t="inlineStr">
        <is>
          <t>Bathymodiolus brooksi thiotrophic gill symbiont</t>
        </is>
      </c>
      <c r="O7743" t="inlineStr">
        <is>
          <t>hypothetical protein BROOK1789C_2207, partial</t>
        </is>
      </c>
    </row>
    <row r="7744">
      <c r="A7744" t="inlineStr"/>
      <c r="B7744" t="inlineStr"/>
      <c r="C7744" t="inlineStr"/>
      <c r="D7744" t="inlineStr"/>
      <c r="E7744">
        <f>HYPERLINK("https://www.ncbi.nlm.nih.gov/gene/?term=XP_044169815.1", "XP_044169815.1")</f>
        <v/>
      </c>
      <c r="F7744" t="n">
        <v>42.3</v>
      </c>
      <c r="G7744" t="n">
        <v>123</v>
      </c>
      <c r="H7744" t="n">
        <v>2.59e-21</v>
      </c>
      <c r="I7744" t="inlineStr">
        <is>
          <t>Nr</t>
        </is>
      </c>
      <c r="J7744" t="inlineStr"/>
      <c r="K7744" t="inlineStr"/>
      <c r="L7744" t="inlineStr">
        <is>
          <t>XP_044169815.1 uncharacterized protein LOC122953876 [Acropora millepora]</t>
        </is>
      </c>
      <c r="M7744" t="n">
        <v>217</v>
      </c>
      <c r="N7744" t="inlineStr">
        <is>
          <t>Acropora millepora</t>
        </is>
      </c>
      <c r="O7744" t="inlineStr">
        <is>
          <t>uncharacterized protein LOC122953876</t>
        </is>
      </c>
    </row>
    <row r="7745">
      <c r="A7745" t="inlineStr"/>
      <c r="B7745" t="inlineStr"/>
      <c r="C7745" t="inlineStr"/>
      <c r="D7745" t="inlineStr"/>
      <c r="E7745">
        <f>HYPERLINK("https://www.ncbi.nlm.nih.gov/gene/?term=WP_237734363.1", "WP_237734363.1")</f>
        <v/>
      </c>
      <c r="F7745" t="n">
        <v>44.3</v>
      </c>
      <c r="G7745" t="n">
        <v>122</v>
      </c>
      <c r="H7745" t="n">
        <v>2.66e-21</v>
      </c>
      <c r="I7745" t="inlineStr">
        <is>
          <t>Nr</t>
        </is>
      </c>
      <c r="J7745" t="inlineStr"/>
      <c r="K7745" t="inlineStr"/>
      <c r="L7745" t="inlineStr">
        <is>
          <t>WP_237734363.1 reverse transcriptase domain-containing protein [Bathymodiolus brooksi thiotrophic gill symbiont]</t>
        </is>
      </c>
      <c r="M7745" t="n">
        <v>488</v>
      </c>
      <c r="N7745" t="inlineStr">
        <is>
          <t>Bathymodiolus brooksi thiotrophic gill symbiont</t>
        </is>
      </c>
      <c r="O7745" t="inlineStr">
        <is>
          <t>reverse transcriptase domain-containing protein</t>
        </is>
      </c>
    </row>
    <row r="7746">
      <c r="A7746" t="inlineStr"/>
      <c r="B7746" t="inlineStr"/>
      <c r="C7746" t="inlineStr"/>
      <c r="D7746" t="inlineStr"/>
      <c r="E7746">
        <f>HYPERLINK("https://www.ncbi.nlm.nih.gov/gene/?term=KAJ1123641.1", "KAJ1123641.1")</f>
        <v/>
      </c>
      <c r="F7746" t="n">
        <v>42.3</v>
      </c>
      <c r="G7746" t="n">
        <v>123</v>
      </c>
      <c r="H7746" t="n">
        <v>3.23e-21</v>
      </c>
      <c r="I7746" t="inlineStr">
        <is>
          <t>Nr</t>
        </is>
      </c>
      <c r="J7746" t="inlineStr"/>
      <c r="K7746" t="inlineStr"/>
      <c r="L7746" t="inlineStr">
        <is>
          <t>KAJ1123641.1 hypothetical protein NDU88_002109 [Pleurodeles waltl]</t>
        </is>
      </c>
      <c r="M7746" t="n">
        <v>244</v>
      </c>
      <c r="N7746" t="inlineStr">
        <is>
          <t>Pleurodeles waltl</t>
        </is>
      </c>
      <c r="O7746" t="inlineStr">
        <is>
          <t>hypothetical protein NDU88_002109</t>
        </is>
      </c>
    </row>
    <row r="7747">
      <c r="A7747" t="inlineStr"/>
      <c r="B7747" t="inlineStr"/>
      <c r="C7747" t="inlineStr"/>
      <c r="D7747" t="inlineStr"/>
      <c r="E7747">
        <f>HYPERLINK("https://www.ncbi.nlm.nih.gov/gene/?term=KAJ1153242.1", "KAJ1153242.1")</f>
        <v/>
      </c>
      <c r="F7747" t="n">
        <v>43.1</v>
      </c>
      <c r="G7747" t="n">
        <v>123</v>
      </c>
      <c r="H7747" t="n">
        <v>3.97e-21</v>
      </c>
      <c r="I7747" t="inlineStr">
        <is>
          <t>Nr</t>
        </is>
      </c>
      <c r="J7747" t="inlineStr"/>
      <c r="K7747" t="inlineStr"/>
      <c r="L7747" t="inlineStr">
        <is>
          <t>KAJ1153242.1 hypothetical protein NDU88_006003 [Pleurodeles waltl]</t>
        </is>
      </c>
      <c r="M7747" t="n">
        <v>400</v>
      </c>
      <c r="N7747" t="inlineStr">
        <is>
          <t>Pleurodeles waltl</t>
        </is>
      </c>
      <c r="O7747" t="inlineStr">
        <is>
          <t>hypothetical protein NDU88_006003</t>
        </is>
      </c>
    </row>
    <row r="7748">
      <c r="A7748" t="inlineStr"/>
      <c r="B7748" t="inlineStr"/>
      <c r="C7748" t="inlineStr"/>
      <c r="D7748" t="inlineStr"/>
      <c r="E7748">
        <f>HYPERLINK("https://www.ncbi.nlm.nih.gov/gene/?term=SMN17451.1", "SMN17451.1")</f>
        <v/>
      </c>
      <c r="F7748" t="n">
        <v>44.3</v>
      </c>
      <c r="G7748" t="n">
        <v>122</v>
      </c>
      <c r="H7748" t="n">
        <v>4.990000000000001e-21</v>
      </c>
      <c r="I7748" t="inlineStr">
        <is>
          <t>Nr</t>
        </is>
      </c>
      <c r="J7748" t="inlineStr"/>
      <c r="K7748" t="inlineStr"/>
      <c r="L7748" t="inlineStr">
        <is>
          <t>SMN17451.1 hypothetical protein CRYPA_1785 [uncultured Candidatus Thioglobus sp.]</t>
        </is>
      </c>
      <c r="M7748" t="n">
        <v>759</v>
      </c>
      <c r="N7748" t="inlineStr">
        <is>
          <t>uncultured Candidatus Thioglobus sp.</t>
        </is>
      </c>
      <c r="O7748" t="inlineStr">
        <is>
          <t>hypothetical protein CRYPA_1785</t>
        </is>
      </c>
    </row>
    <row r="7749">
      <c r="A7749" t="inlineStr"/>
      <c r="B7749" t="inlineStr"/>
      <c r="C7749" t="inlineStr"/>
      <c r="D7749" t="inlineStr"/>
      <c r="E7749">
        <f>HYPERLINK("https://www.ncbi.nlm.nih.gov/gene/?term=KAJ1153978.1", "KAJ1153978.1")</f>
        <v/>
      </c>
      <c r="F7749" t="n">
        <v>43.1</v>
      </c>
      <c r="G7749" t="n">
        <v>123</v>
      </c>
      <c r="H7749" t="n">
        <v>6.930000000000001e-21</v>
      </c>
      <c r="I7749" t="inlineStr">
        <is>
          <t>Nr</t>
        </is>
      </c>
      <c r="J7749" t="inlineStr"/>
      <c r="K7749" t="inlineStr"/>
      <c r="L7749" t="inlineStr">
        <is>
          <t>KAJ1153978.1 hypothetical protein NDU88_006736 [Pleurodeles waltl]</t>
        </is>
      </c>
      <c r="M7749" t="n">
        <v>286</v>
      </c>
      <c r="N7749" t="inlineStr">
        <is>
          <t>Pleurodeles waltl</t>
        </is>
      </c>
      <c r="O7749" t="inlineStr">
        <is>
          <t>hypothetical protein NDU88_006736</t>
        </is>
      </c>
    </row>
    <row r="7750">
      <c r="A7750" t="inlineStr"/>
      <c r="B7750" t="inlineStr"/>
      <c r="C7750" t="inlineStr"/>
      <c r="D7750" t="inlineStr"/>
      <c r="E7750">
        <f>HYPERLINK("https://www.ncbi.nlm.nih.gov/gene/?term=KAJ1131352.1", "KAJ1131352.1")</f>
        <v/>
      </c>
      <c r="F7750" t="n">
        <v>42.3</v>
      </c>
      <c r="G7750" t="n">
        <v>123</v>
      </c>
      <c r="H7750" t="n">
        <v>7.760000000000001e-21</v>
      </c>
      <c r="I7750" t="inlineStr">
        <is>
          <t>Nr</t>
        </is>
      </c>
      <c r="J7750" t="inlineStr"/>
      <c r="K7750" t="inlineStr"/>
      <c r="L7750" t="inlineStr">
        <is>
          <t>KAJ1131352.1 hypothetical protein NDU88_009689 [Pleurodeles waltl]</t>
        </is>
      </c>
      <c r="M7750" t="n">
        <v>293</v>
      </c>
      <c r="N7750" t="inlineStr">
        <is>
          <t>Pleurodeles waltl</t>
        </is>
      </c>
      <c r="O7750" t="inlineStr">
        <is>
          <t>hypothetical protein NDU88_009689</t>
        </is>
      </c>
    </row>
    <row r="7751">
      <c r="A7751" t="inlineStr"/>
      <c r="B7751" t="inlineStr"/>
      <c r="C7751" t="inlineStr"/>
      <c r="D7751" t="inlineStr"/>
      <c r="E7751">
        <f>HYPERLINK("https://www.ncbi.nlm.nih.gov/gene/?term=KAJ1170386.1", "KAJ1170386.1")</f>
        <v/>
      </c>
      <c r="F7751" t="n">
        <v>41.5</v>
      </c>
      <c r="G7751" t="n">
        <v>123</v>
      </c>
      <c r="H7751" t="n">
        <v>1.31e-20</v>
      </c>
      <c r="I7751" t="inlineStr">
        <is>
          <t>Nr</t>
        </is>
      </c>
      <c r="J7751" t="inlineStr"/>
      <c r="K7751" t="inlineStr"/>
      <c r="L7751" t="inlineStr">
        <is>
          <t>KAJ1170386.1 hypothetical protein NDU88_002263 [Pleurodeles waltl]</t>
        </is>
      </c>
      <c r="M7751" t="n">
        <v>264</v>
      </c>
      <c r="N7751" t="inlineStr">
        <is>
          <t>Pleurodeles waltl</t>
        </is>
      </c>
      <c r="O7751" t="inlineStr">
        <is>
          <t>hypothetical protein NDU88_002263</t>
        </is>
      </c>
    </row>
    <row r="7752">
      <c r="A7752" t="inlineStr"/>
      <c r="B7752" t="inlineStr"/>
      <c r="C7752" t="inlineStr"/>
      <c r="D7752" t="inlineStr"/>
      <c r="E7752">
        <f>HYPERLINK("https://www.ncbi.nlm.nih.gov/gene/?term=XP_044180889.1", "XP_044180889.1")</f>
        <v/>
      </c>
      <c r="F7752" t="n">
        <v>41.5</v>
      </c>
      <c r="G7752" t="n">
        <v>123</v>
      </c>
      <c r="H7752" t="n">
        <v>1.43e-20</v>
      </c>
      <c r="I7752" t="inlineStr">
        <is>
          <t>Nr</t>
        </is>
      </c>
      <c r="J7752" t="inlineStr"/>
      <c r="K7752" t="inlineStr"/>
      <c r="L7752" t="inlineStr">
        <is>
          <t>XP_044180889.1 uncharacterized protein LOC122962046 [Acropora millepora]</t>
        </is>
      </c>
      <c r="M7752" t="n">
        <v>201</v>
      </c>
      <c r="N7752" t="inlineStr">
        <is>
          <t>Acropora millepora</t>
        </is>
      </c>
      <c r="O7752" t="inlineStr">
        <is>
          <t>uncharacterized protein LOC122962046</t>
        </is>
      </c>
    </row>
    <row r="7753">
      <c r="A7753" t="inlineStr"/>
      <c r="B7753" t="inlineStr"/>
      <c r="C7753" t="inlineStr"/>
      <c r="D7753" t="inlineStr"/>
      <c r="E7753">
        <f>HYPERLINK("https://www.ncbi.nlm.nih.gov/gene/?term=KAJ1160350.1", "KAJ1160350.1")</f>
        <v/>
      </c>
      <c r="F7753" t="n">
        <v>41.5</v>
      </c>
      <c r="G7753" t="n">
        <v>123</v>
      </c>
      <c r="H7753" t="n">
        <v>1.48e-20</v>
      </c>
      <c r="I7753" t="inlineStr">
        <is>
          <t>Nr</t>
        </is>
      </c>
      <c r="J7753" t="inlineStr"/>
      <c r="K7753" t="inlineStr"/>
      <c r="L7753" t="inlineStr">
        <is>
          <t>KAJ1160350.1 hypothetical protein NDU88_000852 [Pleurodeles waltl]</t>
        </is>
      </c>
      <c r="M7753" t="n">
        <v>235</v>
      </c>
      <c r="N7753" t="inlineStr">
        <is>
          <t>Pleurodeles waltl</t>
        </is>
      </c>
      <c r="O7753" t="inlineStr">
        <is>
          <t>hypothetical protein NDU88_000852</t>
        </is>
      </c>
    </row>
    <row r="7754">
      <c r="A7754" t="inlineStr"/>
      <c r="B7754" t="inlineStr"/>
      <c r="C7754" t="inlineStr"/>
      <c r="D7754" t="inlineStr"/>
      <c r="E7754">
        <f>HYPERLINK("https://www.ncbi.nlm.nih.gov/gene/?term=OCT82942.1", "OCT82942.1")</f>
        <v/>
      </c>
      <c r="F7754" t="n">
        <v>44.1</v>
      </c>
      <c r="G7754" t="n">
        <v>102</v>
      </c>
      <c r="H7754" t="n">
        <v>2.81e-20</v>
      </c>
      <c r="I7754" t="inlineStr">
        <is>
          <t>Nr</t>
        </is>
      </c>
      <c r="J7754" t="inlineStr"/>
      <c r="K7754" t="inlineStr"/>
      <c r="L7754" t="inlineStr">
        <is>
          <t>OCT82942.1 hypothetical protein XELAEV_18025477mg, partial [Xenopus laevis]</t>
        </is>
      </c>
      <c r="M7754" t="n">
        <v>245</v>
      </c>
      <c r="N7754" t="inlineStr">
        <is>
          <t>Xenopus laevis</t>
        </is>
      </c>
      <c r="O7754" t="inlineStr">
        <is>
          <t>hypothetical protein XELAEV_18025477mg, partial</t>
        </is>
      </c>
    </row>
    <row r="7755">
      <c r="A7755" t="inlineStr"/>
      <c r="B7755" t="inlineStr"/>
      <c r="C7755" t="inlineStr"/>
      <c r="D7755" t="inlineStr"/>
      <c r="E7755">
        <f>HYPERLINK("https://www.uniprot.org/uniprotkb/A0A803JIM5/entry", "A0A803JIM5")</f>
        <v/>
      </c>
      <c r="F7755" t="n">
        <v>35.3</v>
      </c>
      <c r="G7755" t="n">
        <v>102</v>
      </c>
      <c r="H7755" t="n">
        <v>4.93e-16</v>
      </c>
      <c r="I7755" t="inlineStr">
        <is>
          <t>TrEMBL</t>
        </is>
      </c>
      <c r="J7755" t="inlineStr"/>
      <c r="K7755" t="inlineStr">
        <is>
          <t>A0A803JIM5_XENTR</t>
        </is>
      </c>
      <c r="L7755" t="inlineStr">
        <is>
          <t>tr|A0A803JIM5|A0A803JIM5_XENTR GIY-YIG domain-containing protein OS=Xenopus tropicalis OX=8364 PE=4 SV=1</t>
        </is>
      </c>
      <c r="M7755" t="n">
        <v>661</v>
      </c>
      <c r="N7755" t="inlineStr">
        <is>
          <t>Xenopus tropicalis</t>
        </is>
      </c>
      <c r="O7755" t="inlineStr">
        <is>
          <t>GIY-YIG domain-containing protein</t>
        </is>
      </c>
    </row>
    <row r="7756">
      <c r="A7756" t="inlineStr"/>
      <c r="B7756" t="inlineStr"/>
      <c r="C7756" t="inlineStr"/>
      <c r="D7756" t="inlineStr"/>
      <c r="E7756">
        <f>HYPERLINK("https://www.ncbi.nlm.nih.gov/gene/?term=OCT61211.1", "OCT61211.1")</f>
        <v/>
      </c>
      <c r="F7756" t="n">
        <v>37.9</v>
      </c>
      <c r="G7756" t="n">
        <v>103</v>
      </c>
      <c r="H7756" t="n">
        <v>2.14e-13</v>
      </c>
      <c r="I7756" t="inlineStr">
        <is>
          <t>Nr</t>
        </is>
      </c>
      <c r="J7756" t="inlineStr"/>
      <c r="K7756" t="inlineStr"/>
      <c r="L7756" t="inlineStr">
        <is>
          <t>OCT61211.1 hypothetical protein XELAEV_18047235mg [Xenopus laevis]</t>
        </is>
      </c>
      <c r="M7756" t="n">
        <v>339</v>
      </c>
      <c r="N7756" t="inlineStr">
        <is>
          <t>Xenopus laevis</t>
        </is>
      </c>
      <c r="O7756" t="inlineStr">
        <is>
          <t>hypothetical protein XELAEV_18047235mg</t>
        </is>
      </c>
    </row>
    <row r="7757">
      <c r="A7757" t="inlineStr"/>
      <c r="B7757" t="inlineStr"/>
      <c r="C7757" t="inlineStr"/>
      <c r="D7757" t="inlineStr"/>
      <c r="E7757">
        <f>HYPERLINK("https://www.ncbi.nlm.nih.gov/gene/?term=OCT69077.1", "OCT69077.1")</f>
        <v/>
      </c>
      <c r="F7757" t="n">
        <v>36.9</v>
      </c>
      <c r="G7757" t="n">
        <v>103</v>
      </c>
      <c r="H7757" t="n">
        <v>2.25e-13</v>
      </c>
      <c r="I7757" t="inlineStr">
        <is>
          <t>Nr</t>
        </is>
      </c>
      <c r="J7757" t="inlineStr"/>
      <c r="K7757" t="inlineStr"/>
      <c r="L7757" t="inlineStr">
        <is>
          <t>OCT69077.1 hypothetical protein XELAEV_18040385mg [Xenopus laevis]</t>
        </is>
      </c>
      <c r="M7757" t="n">
        <v>272</v>
      </c>
      <c r="N7757" t="inlineStr">
        <is>
          <t>Xenopus laevis</t>
        </is>
      </c>
      <c r="O7757" t="inlineStr">
        <is>
          <t>hypothetical protein XELAEV_18040385mg</t>
        </is>
      </c>
    </row>
    <row r="7758">
      <c r="A7758" t="inlineStr"/>
      <c r="B7758" t="inlineStr"/>
      <c r="C7758" t="inlineStr"/>
      <c r="D7758" t="inlineStr"/>
      <c r="E7758">
        <f>HYPERLINK("https://www.ncbi.nlm.nih.gov/gene/?term=OCT85084.1", "OCT85084.1")</f>
        <v/>
      </c>
      <c r="F7758" t="n">
        <v>35.9</v>
      </c>
      <c r="G7758" t="n">
        <v>103</v>
      </c>
      <c r="H7758" t="n">
        <v>5.64e-13</v>
      </c>
      <c r="I7758" t="inlineStr">
        <is>
          <t>Nr</t>
        </is>
      </c>
      <c r="J7758" t="inlineStr"/>
      <c r="K7758" t="inlineStr"/>
      <c r="L7758" t="inlineStr">
        <is>
          <t>OCT85084.1 hypothetical protein XELAEV_18023247mg [Xenopus laevis]</t>
        </is>
      </c>
      <c r="M7758" t="n">
        <v>339</v>
      </c>
      <c r="N7758" t="inlineStr">
        <is>
          <t>Xenopus laevis</t>
        </is>
      </c>
      <c r="O7758" t="inlineStr">
        <is>
          <t>hypothetical protein XELAEV_18023247mg</t>
        </is>
      </c>
    </row>
    <row r="7759">
      <c r="A7759" t="inlineStr"/>
      <c r="B7759" t="inlineStr"/>
      <c r="C7759" t="inlineStr"/>
      <c r="D7759" t="inlineStr"/>
      <c r="E7759">
        <f>HYPERLINK("https://www.uniprot.org/uniprotkb/A0A8J1KX52/entry", "A0A8J1KX52")</f>
        <v/>
      </c>
      <c r="F7759" t="n">
        <v>32.7</v>
      </c>
      <c r="G7759" t="n">
        <v>104</v>
      </c>
      <c r="H7759" t="n">
        <v>6.22e-13</v>
      </c>
      <c r="I7759" t="inlineStr">
        <is>
          <t>TrEMBL</t>
        </is>
      </c>
      <c r="J7759" t="inlineStr">
        <is>
          <t>LOC121394295</t>
        </is>
      </c>
      <c r="K7759" t="inlineStr">
        <is>
          <t>A0A8J1KX52_XENLA</t>
        </is>
      </c>
      <c r="L7759" t="inlineStr">
        <is>
          <t>tr|A0A8J1KX52|A0A8J1KX52_XENLA uncharacterized protein LOC121394295 OS=Xenopus laevis OX=8355 GN=LOC121394295 PE=4 SV=1</t>
        </is>
      </c>
      <c r="M7759" t="n">
        <v>353</v>
      </c>
      <c r="N7759" t="inlineStr">
        <is>
          <t>Xenopus laevis</t>
        </is>
      </c>
      <c r="O7759" t="inlineStr">
        <is>
          <t>uncharacterized protein LOC121394295</t>
        </is>
      </c>
    </row>
    <row r="7760">
      <c r="A7760" t="inlineStr"/>
      <c r="B7760" t="inlineStr"/>
      <c r="C7760" t="inlineStr"/>
      <c r="D7760" t="inlineStr"/>
      <c r="E7760">
        <f>HYPERLINK("https://www.uniprot.org/uniprotkb/A0A6P6MRC2/entry", "A0A6P6MRC2")</f>
        <v/>
      </c>
      <c r="F7760" t="n">
        <v>32</v>
      </c>
      <c r="G7760" t="n">
        <v>103</v>
      </c>
      <c r="H7760" t="n">
        <v>6.23e-13</v>
      </c>
      <c r="I7760" t="inlineStr">
        <is>
          <t>TrEMBL</t>
        </is>
      </c>
      <c r="J7760" t="inlineStr">
        <is>
          <t>LOC113069710</t>
        </is>
      </c>
      <c r="K7760" t="inlineStr">
        <is>
          <t>A0A6P6MRC2_CARAU</t>
        </is>
      </c>
      <c r="L7760" t="inlineStr">
        <is>
          <t>tr|A0A6P6MRC2|A0A6P6MRC2_CARAU uncharacterized protein LOC113069710 OS=Carassius auratus OX=7957 GN=LOC113069710 PE=4 SV=1</t>
        </is>
      </c>
      <c r="M7760" t="n">
        <v>581</v>
      </c>
      <c r="N7760" t="inlineStr">
        <is>
          <t>Carassius auratus</t>
        </is>
      </c>
      <c r="O7760" t="inlineStr">
        <is>
          <t>uncharacterized protein LOC113069710</t>
        </is>
      </c>
    </row>
    <row r="7761">
      <c r="A7761" t="inlineStr"/>
      <c r="B7761" t="inlineStr"/>
      <c r="C7761" t="inlineStr"/>
      <c r="D7761" t="inlineStr"/>
      <c r="E7761">
        <f>HYPERLINK("https://www.uniprot.org/uniprotkb/A0A8J1M441/entry", "A0A8J1M441")</f>
        <v/>
      </c>
      <c r="F7761" t="n">
        <v>32.7</v>
      </c>
      <c r="G7761" t="n">
        <v>104</v>
      </c>
      <c r="H7761" t="n">
        <v>8.62e-13</v>
      </c>
      <c r="I7761" t="inlineStr">
        <is>
          <t>TrEMBL</t>
        </is>
      </c>
      <c r="J7761" t="inlineStr">
        <is>
          <t>LOC121399360</t>
        </is>
      </c>
      <c r="K7761" t="inlineStr">
        <is>
          <t>A0A8J1M441_XENLA</t>
        </is>
      </c>
      <c r="L7761" t="inlineStr">
        <is>
          <t>tr|A0A8J1M441|A0A8J1M441_XENLA uncharacterized protein LOC121399360 OS=Xenopus laevis OX=8355 GN=LOC121399360 PE=4 SV=1</t>
        </is>
      </c>
      <c r="M7761" t="n">
        <v>674</v>
      </c>
      <c r="N7761" t="inlineStr">
        <is>
          <t>Xenopus laevis</t>
        </is>
      </c>
      <c r="O7761" t="inlineStr">
        <is>
          <t>uncharacterized protein LOC121399360</t>
        </is>
      </c>
    </row>
    <row r="7762">
      <c r="A7762" t="inlineStr"/>
      <c r="B7762" t="inlineStr"/>
      <c r="C7762" t="inlineStr"/>
      <c r="D7762" t="inlineStr"/>
      <c r="E7762">
        <f>HYPERLINK("https://www.ncbi.nlm.nih.gov/gene/?term=OCT88234.1", "OCT88234.1")</f>
        <v/>
      </c>
      <c r="F7762" t="n">
        <v>38</v>
      </c>
      <c r="G7762" t="n">
        <v>108</v>
      </c>
      <c r="H7762" t="n">
        <v>1.14e-12</v>
      </c>
      <c r="I7762" t="inlineStr">
        <is>
          <t>Nr</t>
        </is>
      </c>
      <c r="J7762" t="inlineStr"/>
      <c r="K7762" t="inlineStr"/>
      <c r="L7762" t="inlineStr">
        <is>
          <t>OCT88234.1 hypothetical protein XELAEV_18016860mg [Xenopus laevis]</t>
        </is>
      </c>
      <c r="M7762" t="n">
        <v>486</v>
      </c>
      <c r="N7762" t="inlineStr">
        <is>
          <t>Xenopus laevis</t>
        </is>
      </c>
      <c r="O7762" t="inlineStr">
        <is>
          <t>hypothetical protein XELAEV_18016860mg</t>
        </is>
      </c>
    </row>
    <row r="7763">
      <c r="A7763" t="inlineStr"/>
      <c r="B7763" t="inlineStr"/>
      <c r="C7763" t="inlineStr"/>
      <c r="D7763" t="inlineStr"/>
      <c r="E7763">
        <f>HYPERLINK("https://www.ncbi.nlm.nih.gov/gene/?term=OCT70181.1", "OCT70181.1")</f>
        <v/>
      </c>
      <c r="F7763" t="n">
        <v>37.7</v>
      </c>
      <c r="G7763" t="n">
        <v>106</v>
      </c>
      <c r="H7763" t="n">
        <v>1.57e-12</v>
      </c>
      <c r="I7763" t="inlineStr">
        <is>
          <t>Nr</t>
        </is>
      </c>
      <c r="J7763" t="inlineStr"/>
      <c r="K7763" t="inlineStr"/>
      <c r="L7763" t="inlineStr">
        <is>
          <t>OCT70181.1 hypothetical protein XELAEV_18037102mg, partial [Xenopus laevis]</t>
        </is>
      </c>
      <c r="M7763" t="n">
        <v>512</v>
      </c>
      <c r="N7763" t="inlineStr">
        <is>
          <t>Xenopus laevis</t>
        </is>
      </c>
      <c r="O7763" t="inlineStr">
        <is>
          <t>hypothetical protein XELAEV_18037102mg, partial</t>
        </is>
      </c>
    </row>
    <row r="7764">
      <c r="A7764" t="inlineStr"/>
      <c r="B7764" t="inlineStr"/>
      <c r="C7764" t="inlineStr"/>
      <c r="D7764" t="inlineStr"/>
      <c r="E7764">
        <f>HYPERLINK("https://www.ncbi.nlm.nih.gov/gene/?term=XP_041420839.1", "XP_041420839.1")</f>
        <v/>
      </c>
      <c r="F7764" t="n">
        <v>32.7</v>
      </c>
      <c r="G7764" t="n">
        <v>104</v>
      </c>
      <c r="H7764" t="n">
        <v>1.6e-12</v>
      </c>
      <c r="I7764" t="inlineStr">
        <is>
          <t>Nr</t>
        </is>
      </c>
      <c r="J7764" t="inlineStr"/>
      <c r="K7764" t="inlineStr"/>
      <c r="L7764" t="inlineStr">
        <is>
          <t>XP_041420839.1 uncharacterized protein LOC121394295 [Xenopus laevis]</t>
        </is>
      </c>
      <c r="M7764" t="n">
        <v>353</v>
      </c>
      <c r="N7764" t="inlineStr">
        <is>
          <t>Xenopus laevis</t>
        </is>
      </c>
      <c r="O7764" t="inlineStr">
        <is>
          <t>uncharacterized protein LOC121394295</t>
        </is>
      </c>
    </row>
    <row r="7765">
      <c r="A7765" t="inlineStr"/>
      <c r="B7765" t="inlineStr"/>
      <c r="C7765" t="inlineStr"/>
      <c r="D7765" t="inlineStr"/>
      <c r="E7765">
        <f>HYPERLINK("https://www.ncbi.nlm.nih.gov/gene/?term=XP_026098621.1", "XP_026098621.1")</f>
        <v/>
      </c>
      <c r="F7765" t="n">
        <v>32</v>
      </c>
      <c r="G7765" t="n">
        <v>103</v>
      </c>
      <c r="H7765" t="n">
        <v>1.6e-12</v>
      </c>
      <c r="I7765" t="inlineStr">
        <is>
          <t>Nr</t>
        </is>
      </c>
      <c r="J7765" t="inlineStr"/>
      <c r="K7765" t="inlineStr"/>
      <c r="L7765" t="inlineStr">
        <is>
          <t>XP_026098621.1 uncharacterized protein LOC113069710 [Carassius auratus]</t>
        </is>
      </c>
      <c r="M7765" t="n">
        <v>581</v>
      </c>
      <c r="N7765" t="inlineStr">
        <is>
          <t>Carassius auratus</t>
        </is>
      </c>
      <c r="O7765" t="inlineStr">
        <is>
          <t>uncharacterized protein LOC113069710</t>
        </is>
      </c>
    </row>
    <row r="7766">
      <c r="A7766" t="inlineStr"/>
      <c r="B7766" t="inlineStr"/>
      <c r="C7766" t="inlineStr"/>
      <c r="D7766" t="inlineStr"/>
      <c r="E7766">
        <f>HYPERLINK("https://www.ncbi.nlm.nih.gov/gene/?term=XP_041435800.1", "XP_041435800.1")</f>
        <v/>
      </c>
      <c r="F7766" t="n">
        <v>32.7</v>
      </c>
      <c r="G7766" t="n">
        <v>104</v>
      </c>
      <c r="H7766" t="n">
        <v>2.21e-12</v>
      </c>
      <c r="I7766" t="inlineStr">
        <is>
          <t>Nr</t>
        </is>
      </c>
      <c r="J7766" t="inlineStr"/>
      <c r="K7766" t="inlineStr"/>
      <c r="L7766" t="inlineStr">
        <is>
          <t>XP_041435800.1 uncharacterized protein LOC121399360 [Xenopus laevis]</t>
        </is>
      </c>
      <c r="M7766" t="n">
        <v>674</v>
      </c>
      <c r="N7766" t="inlineStr">
        <is>
          <t>Xenopus laevis</t>
        </is>
      </c>
      <c r="O7766" t="inlineStr">
        <is>
          <t>uncharacterized protein LOC121399360</t>
        </is>
      </c>
    </row>
    <row r="7767">
      <c r="A7767" t="inlineStr"/>
      <c r="B7767" t="inlineStr"/>
      <c r="C7767" t="inlineStr"/>
      <c r="D7767" t="inlineStr"/>
      <c r="E7767">
        <f>HYPERLINK("https://www.ncbi.nlm.nih.gov/gene/?term=OCT65976.1", "OCT65976.1")</f>
        <v/>
      </c>
      <c r="F7767" t="n">
        <v>36.9</v>
      </c>
      <c r="G7767" t="n">
        <v>103</v>
      </c>
      <c r="H7767" t="n">
        <v>2.82e-12</v>
      </c>
      <c r="I7767" t="inlineStr">
        <is>
          <t>Nr</t>
        </is>
      </c>
      <c r="J7767" t="inlineStr"/>
      <c r="K7767" t="inlineStr"/>
      <c r="L7767" t="inlineStr">
        <is>
          <t>OCT65976.1 hypothetical protein XELAEV_18042230mg [Xenopus laevis]</t>
        </is>
      </c>
      <c r="M7767" t="n">
        <v>339</v>
      </c>
      <c r="N7767" t="inlineStr">
        <is>
          <t>Xenopus laevis</t>
        </is>
      </c>
      <c r="O7767" t="inlineStr">
        <is>
          <t>hypothetical protein XELAEV_18042230mg</t>
        </is>
      </c>
    </row>
    <row r="7768">
      <c r="A7768" t="inlineStr"/>
      <c r="B7768" t="inlineStr"/>
      <c r="C7768" t="inlineStr"/>
      <c r="D7768" t="inlineStr"/>
      <c r="E7768">
        <f>HYPERLINK("https://www.uniprot.org/uniprotkb/A0A8J0UV99/entry", "A0A8J0UV99")</f>
        <v/>
      </c>
      <c r="F7768" t="n">
        <v>36.4</v>
      </c>
      <c r="G7768" t="n">
        <v>107</v>
      </c>
      <c r="H7768" t="n">
        <v>5.1e-12</v>
      </c>
      <c r="I7768" t="inlineStr">
        <is>
          <t>TrEMBL</t>
        </is>
      </c>
      <c r="J7768" t="inlineStr">
        <is>
          <t>LOC108711328</t>
        </is>
      </c>
      <c r="K7768" t="inlineStr">
        <is>
          <t>A0A8J0UV99_XENLA</t>
        </is>
      </c>
      <c r="L7768" t="inlineStr">
        <is>
          <t>tr|A0A8J0UV99|A0A8J0UV99_XENLA uncharacterized protein LOC108711328 OS=Xenopus laevis OX=8355 GN=LOC108711328 PE=4 SV=1</t>
        </is>
      </c>
      <c r="M7768" t="n">
        <v>425</v>
      </c>
      <c r="N7768" t="inlineStr">
        <is>
          <t>Xenopus laevis</t>
        </is>
      </c>
      <c r="O7768" t="inlineStr">
        <is>
          <t>uncharacterized protein LOC108711328</t>
        </is>
      </c>
    </row>
    <row r="7769">
      <c r="A7769" t="inlineStr"/>
      <c r="B7769" t="inlineStr"/>
      <c r="C7769" t="inlineStr"/>
      <c r="D7769" t="inlineStr"/>
      <c r="E7769">
        <f>HYPERLINK("https://www.ncbi.nlm.nih.gov/gene/?term=OCT74460.1", "OCT74460.1")</f>
        <v/>
      </c>
      <c r="F7769" t="n">
        <v>35</v>
      </c>
      <c r="G7769" t="n">
        <v>103</v>
      </c>
      <c r="H7769" t="n">
        <v>8.079999999999999e-12</v>
      </c>
      <c r="I7769" t="inlineStr">
        <is>
          <t>Nr</t>
        </is>
      </c>
      <c r="J7769" t="inlineStr"/>
      <c r="K7769" t="inlineStr"/>
      <c r="L7769" t="inlineStr">
        <is>
          <t>OCT74460.1 hypothetical protein XELAEV_18033439mg [Xenopus laevis]</t>
        </is>
      </c>
      <c r="M7769" t="n">
        <v>358</v>
      </c>
      <c r="N7769" t="inlineStr">
        <is>
          <t>Xenopus laevis</t>
        </is>
      </c>
      <c r="O7769" t="inlineStr">
        <is>
          <t>hypothetical protein XELAEV_18033439mg</t>
        </is>
      </c>
    </row>
    <row r="7770">
      <c r="A7770" t="inlineStr"/>
      <c r="B7770" t="inlineStr"/>
      <c r="C7770" t="inlineStr"/>
      <c r="D7770" t="inlineStr"/>
      <c r="E7770">
        <f>HYPERLINK("https://www.ncbi.nlm.nih.gov/gene/?term=OCT80880.1", "OCT80880.1")</f>
        <v/>
      </c>
      <c r="F7770" t="n">
        <v>32.4</v>
      </c>
      <c r="G7770" t="n">
        <v>105</v>
      </c>
      <c r="H7770" t="n">
        <v>1.16e-11</v>
      </c>
      <c r="I7770" t="inlineStr">
        <is>
          <t>Nr</t>
        </is>
      </c>
      <c r="J7770" t="inlineStr"/>
      <c r="K7770" t="inlineStr"/>
      <c r="L7770" t="inlineStr">
        <is>
          <t>OCT80880.1 hypothetical protein XELAEV_18027692mg [Xenopus laevis]</t>
        </is>
      </c>
      <c r="M7770" t="n">
        <v>270</v>
      </c>
      <c r="N7770" t="inlineStr">
        <is>
          <t>Xenopus laevis</t>
        </is>
      </c>
      <c r="O7770" t="inlineStr">
        <is>
          <t>hypothetical protein XELAEV_18027692mg</t>
        </is>
      </c>
    </row>
    <row r="7771">
      <c r="A7771" t="inlineStr"/>
      <c r="B7771" t="inlineStr"/>
      <c r="C7771" t="inlineStr"/>
      <c r="D7771" t="inlineStr"/>
      <c r="E7771">
        <f>HYPERLINK("https://www.ncbi.nlm.nih.gov/gene/?term=XP_018108445.1", "XP_018108445.1")</f>
        <v/>
      </c>
      <c r="F7771" t="n">
        <v>36.4</v>
      </c>
      <c r="G7771" t="n">
        <v>107</v>
      </c>
      <c r="H7771" t="n">
        <v>1.31e-11</v>
      </c>
      <c r="I7771" t="inlineStr">
        <is>
          <t>Nr</t>
        </is>
      </c>
      <c r="J7771" t="inlineStr"/>
      <c r="K7771" t="inlineStr"/>
      <c r="L7771" t="inlineStr">
        <is>
          <t>XP_018108445.1 uncharacterized protein LOC108711328 [Xenopus laevis]</t>
        </is>
      </c>
      <c r="M7771" t="n">
        <v>425</v>
      </c>
      <c r="N7771" t="inlineStr">
        <is>
          <t>Xenopus laevis</t>
        </is>
      </c>
      <c r="O7771" t="inlineStr">
        <is>
          <t>uncharacterized protein LOC108711328</t>
        </is>
      </c>
    </row>
    <row r="7772">
      <c r="A7772" t="inlineStr"/>
      <c r="B7772" t="inlineStr"/>
      <c r="C7772" t="inlineStr"/>
      <c r="D7772" t="inlineStr"/>
      <c r="E7772">
        <f>HYPERLINK("https://www.ncbi.nlm.nih.gov/gene/?term=OCT92119.1", "OCT92119.1")</f>
        <v/>
      </c>
      <c r="F7772" t="n">
        <v>34</v>
      </c>
      <c r="G7772" t="n">
        <v>103</v>
      </c>
      <c r="H7772" t="n">
        <v>1.34e-11</v>
      </c>
      <c r="I7772" t="inlineStr">
        <is>
          <t>Nr</t>
        </is>
      </c>
      <c r="J7772" t="inlineStr"/>
      <c r="K7772" t="inlineStr"/>
      <c r="L7772" t="inlineStr">
        <is>
          <t>OCT92119.1 hypothetical protein XELAEV_18015176mg [Xenopus laevis]</t>
        </is>
      </c>
      <c r="M7772" t="n">
        <v>205</v>
      </c>
      <c r="N7772" t="inlineStr">
        <is>
          <t>Xenopus laevis</t>
        </is>
      </c>
      <c r="O7772" t="inlineStr">
        <is>
          <t>hypothetical protein XELAEV_18015176mg</t>
        </is>
      </c>
    </row>
    <row r="7773">
      <c r="A7773" t="inlineStr"/>
      <c r="B7773" t="inlineStr"/>
      <c r="C7773" t="inlineStr"/>
      <c r="D7773" t="inlineStr"/>
      <c r="E7773">
        <f>HYPERLINK("https://www.ncbi.nlm.nih.gov/gene/?term=OCT82474.1", "OCT82474.1")</f>
        <v/>
      </c>
      <c r="F7773" t="n">
        <v>34.3</v>
      </c>
      <c r="G7773" t="n">
        <v>105</v>
      </c>
      <c r="H7773" t="n">
        <v>1.44e-11</v>
      </c>
      <c r="I7773" t="inlineStr">
        <is>
          <t>Nr</t>
        </is>
      </c>
      <c r="J7773" t="inlineStr"/>
      <c r="K7773" t="inlineStr"/>
      <c r="L7773" t="inlineStr">
        <is>
          <t>OCT82474.1 hypothetical protein XELAEV_18025005mg [Xenopus laevis]</t>
        </is>
      </c>
      <c r="M7773" t="n">
        <v>699</v>
      </c>
      <c r="N7773" t="inlineStr">
        <is>
          <t>Xenopus laevis</t>
        </is>
      </c>
      <c r="O7773" t="inlineStr">
        <is>
          <t>hypothetical protein XELAEV_18025005mg</t>
        </is>
      </c>
    </row>
    <row r="7774">
      <c r="A7774" t="inlineStr"/>
      <c r="B7774" t="inlineStr"/>
      <c r="C7774" t="inlineStr"/>
      <c r="D7774" t="inlineStr"/>
      <c r="E7774">
        <f>HYPERLINK("https://www.ncbi.nlm.nih.gov/gene/?term=OCT76030.1", "OCT76030.1")</f>
        <v/>
      </c>
      <c r="F7774" t="n">
        <v>36.8</v>
      </c>
      <c r="G7774" t="n">
        <v>87</v>
      </c>
      <c r="H7774" t="n">
        <v>2.11e-11</v>
      </c>
      <c r="I7774" t="inlineStr">
        <is>
          <t>Nr</t>
        </is>
      </c>
      <c r="J7774" t="inlineStr"/>
      <c r="K7774" t="inlineStr"/>
      <c r="L7774" t="inlineStr">
        <is>
          <t>OCT76030.1 hypothetical protein XELAEV_18031219mg [Xenopus laevis]</t>
        </is>
      </c>
      <c r="M7774" t="n">
        <v>236</v>
      </c>
      <c r="N7774" t="inlineStr">
        <is>
          <t>Xenopus laevis</t>
        </is>
      </c>
      <c r="O7774" t="inlineStr">
        <is>
          <t>hypothetical protein XELAEV_18031219mg</t>
        </is>
      </c>
    </row>
    <row r="7775">
      <c r="A7775" t="inlineStr"/>
      <c r="B7775" t="inlineStr"/>
      <c r="C7775" t="inlineStr"/>
      <c r="D7775" t="inlineStr"/>
      <c r="E7775">
        <f>HYPERLINK("https://www.ncbi.nlm.nih.gov/gene/?term=OCT68280.1", "OCT68280.1")</f>
        <v/>
      </c>
      <c r="F7775" t="n">
        <v>36.1</v>
      </c>
      <c r="G7775" t="n">
        <v>108</v>
      </c>
      <c r="H7775" t="n">
        <v>2.23e-11</v>
      </c>
      <c r="I7775" t="inlineStr">
        <is>
          <t>Nr</t>
        </is>
      </c>
      <c r="J7775" t="inlineStr"/>
      <c r="K7775" t="inlineStr"/>
      <c r="L7775" t="inlineStr">
        <is>
          <t>OCT68280.1 hypothetical protein XELAEV_18039580mg [Xenopus laevis]</t>
        </is>
      </c>
      <c r="M7775" t="n">
        <v>308</v>
      </c>
      <c r="N7775" t="inlineStr">
        <is>
          <t>Xenopus laevis</t>
        </is>
      </c>
      <c r="O7775" t="inlineStr">
        <is>
          <t>hypothetical protein XELAEV_18039580mg</t>
        </is>
      </c>
    </row>
    <row r="7776">
      <c r="A7776" t="inlineStr"/>
      <c r="B7776" t="inlineStr"/>
      <c r="C7776" t="inlineStr"/>
      <c r="D7776" t="inlineStr"/>
      <c r="E7776">
        <f>HYPERLINK("https://www.uniprot.org/uniprotkb/A0A8J1M8B3/entry", "A0A8J1M8B3")</f>
        <v/>
      </c>
      <c r="F7776" t="n">
        <v>31.7</v>
      </c>
      <c r="G7776" t="n">
        <v>104</v>
      </c>
      <c r="H7776" t="n">
        <v>3.37e-11</v>
      </c>
      <c r="I7776" t="inlineStr">
        <is>
          <t>TrEMBL</t>
        </is>
      </c>
      <c r="J7776" t="inlineStr">
        <is>
          <t>LOC121399966</t>
        </is>
      </c>
      <c r="K7776" t="inlineStr">
        <is>
          <t>A0A8J1M8B3_XENLA</t>
        </is>
      </c>
      <c r="L7776" t="inlineStr">
        <is>
          <t>tr|A0A8J1M8B3|A0A8J1M8B3_XENLA uncharacterized protein LOC121399966 OS=Xenopus laevis OX=8355 GN=LOC121399966 PE=4 SV=1</t>
        </is>
      </c>
      <c r="M7776" t="n">
        <v>434</v>
      </c>
      <c r="N7776" t="inlineStr">
        <is>
          <t>Xenopus laevis</t>
        </is>
      </c>
      <c r="O7776" t="inlineStr">
        <is>
          <t>uncharacterized protein LOC121399966</t>
        </is>
      </c>
    </row>
    <row r="7777">
      <c r="A7777" t="inlineStr"/>
      <c r="B7777" t="inlineStr"/>
      <c r="C7777" t="inlineStr"/>
      <c r="D7777" t="inlineStr"/>
      <c r="E7777">
        <f>HYPERLINK("https://www.uniprot.org/uniprotkb/A0A8J1KT95/entry", "A0A8J1KT95")</f>
        <v/>
      </c>
      <c r="F7777" t="n">
        <v>35.2</v>
      </c>
      <c r="G7777" t="n">
        <v>105</v>
      </c>
      <c r="H7777" t="n">
        <v>3.41e-11</v>
      </c>
      <c r="I7777" t="inlineStr">
        <is>
          <t>TrEMBL</t>
        </is>
      </c>
      <c r="J7777" t="inlineStr">
        <is>
          <t>LOC121394235</t>
        </is>
      </c>
      <c r="K7777" t="inlineStr">
        <is>
          <t>A0A8J1KT95_XENLA</t>
        </is>
      </c>
      <c r="L7777" t="inlineStr">
        <is>
          <t>tr|A0A8J1KT95|A0A8J1KT95_XENLA uncharacterized protein LOC121394235 OS=Xenopus laevis OX=8355 GN=LOC121394235 PE=4 SV=1</t>
        </is>
      </c>
      <c r="M7777" t="n">
        <v>449</v>
      </c>
      <c r="N7777" t="inlineStr">
        <is>
          <t>Xenopus laevis</t>
        </is>
      </c>
      <c r="O7777" t="inlineStr">
        <is>
          <t>uncharacterized protein LOC121394235</t>
        </is>
      </c>
    </row>
    <row r="7778">
      <c r="A7778" t="inlineStr"/>
      <c r="B7778" t="inlineStr"/>
      <c r="C7778" t="inlineStr"/>
      <c r="D7778" t="inlineStr"/>
      <c r="E7778">
        <f>HYPERLINK("https://www.ncbi.nlm.nih.gov/gene/?term=OCU00126.1", "OCU00126.1")</f>
        <v/>
      </c>
      <c r="F7778" t="n">
        <v>38.1</v>
      </c>
      <c r="G7778" t="n">
        <v>105</v>
      </c>
      <c r="H7778" t="n">
        <v>3.88e-11</v>
      </c>
      <c r="I7778" t="inlineStr">
        <is>
          <t>Nr</t>
        </is>
      </c>
      <c r="J7778" t="inlineStr"/>
      <c r="K7778" t="inlineStr"/>
      <c r="L7778" t="inlineStr">
        <is>
          <t>OCU00126.1 hypothetical protein XELAEV_18005911mg, partial [Xenopus laevis]</t>
        </is>
      </c>
      <c r="M7778" t="n">
        <v>295</v>
      </c>
      <c r="N7778" t="inlineStr">
        <is>
          <t>Xenopus laevis</t>
        </is>
      </c>
      <c r="O7778" t="inlineStr">
        <is>
          <t>hypothetical protein XELAEV_18005911mg, partial</t>
        </is>
      </c>
    </row>
    <row r="7779">
      <c r="A7779" t="inlineStr"/>
      <c r="B7779" t="inlineStr"/>
      <c r="C7779" t="inlineStr"/>
      <c r="D7779" t="inlineStr"/>
      <c r="E7779">
        <f>HYPERLINK("https://www.ncbi.nlm.nih.gov/gene/?term=OCT70725.1", "OCT70725.1")</f>
        <v/>
      </c>
      <c r="F7779" t="n">
        <v>33.3</v>
      </c>
      <c r="G7779" t="n">
        <v>105</v>
      </c>
      <c r="H7779" t="n">
        <v>4.12e-11</v>
      </c>
      <c r="I7779" t="inlineStr">
        <is>
          <t>Nr</t>
        </is>
      </c>
      <c r="J7779" t="inlineStr"/>
      <c r="K7779" t="inlineStr"/>
      <c r="L7779" t="inlineStr">
        <is>
          <t>OCT70725.1 hypothetical protein XELAEV_18037650mg [Xenopus laevis]</t>
        </is>
      </c>
      <c r="M7779" t="n">
        <v>370</v>
      </c>
      <c r="N7779" t="inlineStr">
        <is>
          <t>Xenopus laevis</t>
        </is>
      </c>
      <c r="O7779" t="inlineStr">
        <is>
          <t>hypothetical protein XELAEV_18037650mg</t>
        </is>
      </c>
    </row>
    <row r="7780">
      <c r="A7780" t="inlineStr"/>
      <c r="B7780" t="inlineStr"/>
      <c r="C7780" t="inlineStr"/>
      <c r="D7780" t="inlineStr"/>
      <c r="E7780">
        <f>HYPERLINK("https://www.uniprot.org/uniprotkb/A0A8J1M130/entry", "A0A8J1M130")</f>
        <v/>
      </c>
      <c r="F7780" t="n">
        <v>34</v>
      </c>
      <c r="G7780" t="n">
        <v>103</v>
      </c>
      <c r="H7780" t="n">
        <v>4.84e-11</v>
      </c>
      <c r="I7780" t="inlineStr">
        <is>
          <t>TrEMBL</t>
        </is>
      </c>
      <c r="J7780" t="inlineStr">
        <is>
          <t>LOC121399281</t>
        </is>
      </c>
      <c r="K7780" t="inlineStr">
        <is>
          <t>A0A8J1M130_XENLA</t>
        </is>
      </c>
      <c r="L7780" t="inlineStr">
        <is>
          <t>tr|A0A8J1M130|A0A8J1M130_XENLA uncharacterized protein LOC121399281 OS=Xenopus laevis OX=8355 GN=LOC121399281 PE=4 SV=1</t>
        </is>
      </c>
      <c r="M7780" t="n">
        <v>572</v>
      </c>
      <c r="N7780" t="inlineStr">
        <is>
          <t>Xenopus laevis</t>
        </is>
      </c>
      <c r="O7780" t="inlineStr">
        <is>
          <t>uncharacterized protein LOC121399281</t>
        </is>
      </c>
    </row>
    <row r="7781">
      <c r="A7781" t="inlineStr"/>
      <c r="B7781" t="inlineStr"/>
      <c r="C7781" t="inlineStr"/>
      <c r="D7781" t="inlineStr"/>
      <c r="E7781">
        <f>HYPERLINK("https://www.ncbi.nlm.nih.gov/gene/?term=OCT80569.1", "OCT80569.1")</f>
        <v/>
      </c>
      <c r="F7781" t="n">
        <v>34</v>
      </c>
      <c r="G7781" t="n">
        <v>103</v>
      </c>
      <c r="H7781" t="n">
        <v>6.33e-11</v>
      </c>
      <c r="I7781" t="inlineStr">
        <is>
          <t>Nr</t>
        </is>
      </c>
      <c r="J7781" t="inlineStr"/>
      <c r="K7781" t="inlineStr"/>
      <c r="L7781" t="inlineStr">
        <is>
          <t>OCT80569.1 hypothetical protein XELAEV_18027381mg [Xenopus laevis]</t>
        </is>
      </c>
      <c r="M7781" t="n">
        <v>320</v>
      </c>
      <c r="N7781" t="inlineStr">
        <is>
          <t>Xenopus laevis</t>
        </is>
      </c>
      <c r="O7781" t="inlineStr">
        <is>
          <t>hypothetical protein XELAEV_18027381mg</t>
        </is>
      </c>
    </row>
    <row r="7782">
      <c r="A7782" t="inlineStr"/>
      <c r="B7782" t="inlineStr"/>
      <c r="C7782" t="inlineStr"/>
      <c r="D7782" t="inlineStr"/>
      <c r="E7782">
        <f>HYPERLINK("https://www.ncbi.nlm.nih.gov/gene/?term=OCT74273.1", "OCT74273.1")</f>
        <v/>
      </c>
      <c r="F7782" t="n">
        <v>33.3</v>
      </c>
      <c r="G7782" t="n">
        <v>105</v>
      </c>
      <c r="H7782" t="n">
        <v>6.64e-11</v>
      </c>
      <c r="I7782" t="inlineStr">
        <is>
          <t>Nr</t>
        </is>
      </c>
      <c r="J7782" t="inlineStr"/>
      <c r="K7782" t="inlineStr"/>
      <c r="L7782" t="inlineStr">
        <is>
          <t>OCT74273.1 hypothetical protein XELAEV_18033233mg, partial [Xenopus laevis]</t>
        </is>
      </c>
      <c r="M7782" t="n">
        <v>329</v>
      </c>
      <c r="N7782" t="inlineStr">
        <is>
          <t>Xenopus laevis</t>
        </is>
      </c>
      <c r="O7782" t="inlineStr">
        <is>
          <t>hypothetical protein XELAEV_18033233mg, partial</t>
        </is>
      </c>
    </row>
    <row r="7783">
      <c r="A7783" t="inlineStr"/>
      <c r="B7783" t="inlineStr"/>
      <c r="C7783" t="inlineStr"/>
      <c r="D7783" t="inlineStr"/>
      <c r="E7783">
        <f>HYPERLINK("https://www.ncbi.nlm.nih.gov/gene/?term=OCT82216.1", "OCT82216.1")</f>
        <v/>
      </c>
      <c r="F7783" t="n">
        <v>34.6</v>
      </c>
      <c r="G7783" t="n">
        <v>104</v>
      </c>
      <c r="H7783" t="n">
        <v>6.870000000000001e-11</v>
      </c>
      <c r="I7783" t="inlineStr">
        <is>
          <t>Nr</t>
        </is>
      </c>
      <c r="J7783" t="inlineStr"/>
      <c r="K7783" t="inlineStr"/>
      <c r="L7783" t="inlineStr">
        <is>
          <t>OCT82216.1 hypothetical protein XELAEV_18024730mg [Xenopus laevis]</t>
        </is>
      </c>
      <c r="M7783" t="n">
        <v>251</v>
      </c>
      <c r="N7783" t="inlineStr">
        <is>
          <t>Xenopus laevis</t>
        </is>
      </c>
      <c r="O7783" t="inlineStr">
        <is>
          <t>hypothetical protein XELAEV_18024730mg</t>
        </is>
      </c>
    </row>
    <row r="7784">
      <c r="A7784" t="inlineStr"/>
      <c r="B7784" t="inlineStr"/>
      <c r="C7784" t="inlineStr"/>
      <c r="D7784" t="inlineStr"/>
      <c r="E7784">
        <f>HYPERLINK("https://www.ncbi.nlm.nih.gov/gene/?term=XP_041437942.1", "XP_041437942.1")</f>
        <v/>
      </c>
      <c r="F7784" t="n">
        <v>31.7</v>
      </c>
      <c r="G7784" t="n">
        <v>104</v>
      </c>
      <c r="H7784" t="n">
        <v>8.65e-11</v>
      </c>
      <c r="I7784" t="inlineStr">
        <is>
          <t>Nr</t>
        </is>
      </c>
      <c r="J7784" t="inlineStr"/>
      <c r="K7784" t="inlineStr"/>
      <c r="L7784" t="inlineStr">
        <is>
          <t>XP_041437942.1 uncharacterized protein LOC121399966 [Xenopus laevis]</t>
        </is>
      </c>
      <c r="M7784" t="n">
        <v>434</v>
      </c>
      <c r="N7784" t="inlineStr">
        <is>
          <t>Xenopus laevis</t>
        </is>
      </c>
      <c r="O7784" t="inlineStr">
        <is>
          <t>uncharacterized protein LOC121399966</t>
        </is>
      </c>
    </row>
    <row r="7785">
      <c r="A7785" t="inlineStr"/>
      <c r="B7785" t="inlineStr"/>
      <c r="C7785" t="inlineStr"/>
      <c r="D7785" t="inlineStr"/>
      <c r="E7785">
        <f>HYPERLINK("https://www.ncbi.nlm.nih.gov/gene/?term=XP_041420552.1", "XP_041420552.1")</f>
        <v/>
      </c>
      <c r="F7785" t="n">
        <v>35.2</v>
      </c>
      <c r="G7785" t="n">
        <v>105</v>
      </c>
      <c r="H7785" t="n">
        <v>8.76e-11</v>
      </c>
      <c r="I7785" t="inlineStr">
        <is>
          <t>Nr</t>
        </is>
      </c>
      <c r="J7785" t="inlineStr"/>
      <c r="K7785" t="inlineStr"/>
      <c r="L7785" t="inlineStr">
        <is>
          <t>XP_041420552.1 uncharacterized protein LOC121394235 [Xenopus laevis]</t>
        </is>
      </c>
      <c r="M7785" t="n">
        <v>449</v>
      </c>
      <c r="N7785" t="inlineStr">
        <is>
          <t>Xenopus laevis</t>
        </is>
      </c>
      <c r="O7785" t="inlineStr">
        <is>
          <t>uncharacterized protein LOC121394235</t>
        </is>
      </c>
    </row>
    <row r="7786">
      <c r="A7786" t="inlineStr"/>
      <c r="B7786" t="inlineStr"/>
      <c r="C7786" t="inlineStr"/>
      <c r="D7786" t="inlineStr"/>
      <c r="E7786">
        <f>HYPERLINK("https://www.uniprot.org/uniprotkb/A0A821FKV8/entry", "A0A821FKV8")</f>
        <v/>
      </c>
      <c r="F7786" t="n">
        <v>33.7</v>
      </c>
      <c r="G7786" t="n">
        <v>104</v>
      </c>
      <c r="H7786" t="n">
        <v>2.58e-10</v>
      </c>
      <c r="I7786" t="inlineStr">
        <is>
          <t>TrEMBL</t>
        </is>
      </c>
      <c r="J7786" t="inlineStr">
        <is>
          <t>RIMITATOR_LOCUS1024303</t>
        </is>
      </c>
      <c r="K7786" t="inlineStr">
        <is>
          <t>A0A821FKV8_9NEOB</t>
        </is>
      </c>
      <c r="L7786" t="inlineStr">
        <is>
          <t>tr|A0A821FKV8|A0A821FKV8_9NEOB (mimic poison frog) hypothetical protein OS=Ranitomeya imitator OX=111125 GN=RIMITATOR_LOCUS1024303 PE=4 SV=1</t>
        </is>
      </c>
      <c r="M7786" t="n">
        <v>345</v>
      </c>
      <c r="N7786" t="inlineStr">
        <is>
          <t>Ranitomeya imitator</t>
        </is>
      </c>
      <c r="O7786" t="inlineStr">
        <is>
          <t>(mimic poison frog) hypothetical protein</t>
        </is>
      </c>
    </row>
    <row r="7787">
      <c r="A7787" t="inlineStr"/>
      <c r="B7787" t="inlineStr"/>
      <c r="C7787" t="inlineStr"/>
      <c r="D7787" t="inlineStr"/>
      <c r="E7787">
        <f>HYPERLINK("https://www.uniprot.org/uniprotkb/A0A1A8V764/entry", "A0A1A8V764")</f>
        <v/>
      </c>
      <c r="F7787" t="n">
        <v>31.1</v>
      </c>
      <c r="G7787" t="n">
        <v>103</v>
      </c>
      <c r="H7787" t="n">
        <v>7.8e-10</v>
      </c>
      <c r="I7787" t="inlineStr">
        <is>
          <t>TrEMBL</t>
        </is>
      </c>
      <c r="J7787" t="inlineStr">
        <is>
          <t>Nfu_g_1_024880</t>
        </is>
      </c>
      <c r="K7787" t="inlineStr">
        <is>
          <t>A0A1A8V764_NOTFU</t>
        </is>
      </c>
      <c r="L7787" t="inlineStr">
        <is>
          <t>tr|A0A1A8V764|A0A1A8V764_NOTFU GIY-YIG catalytic domain (Fragment) OS=Nothobranchius furzeri OX=105023 GN=Nfu_g_1_024880 PE=4 SV=1</t>
        </is>
      </c>
      <c r="M7787" t="n">
        <v>480</v>
      </c>
      <c r="N7787" t="inlineStr">
        <is>
          <t>Nothobranchius furzeri</t>
        </is>
      </c>
      <c r="O7787" t="inlineStr">
        <is>
          <t>GIY-YIG catalytic domain (Fragment)</t>
        </is>
      </c>
    </row>
    <row r="7788">
      <c r="A7788" t="inlineStr"/>
      <c r="B7788" t="inlineStr"/>
      <c r="C7788" t="inlineStr"/>
      <c r="D7788" t="inlineStr"/>
      <c r="E7788">
        <f>HYPERLINK("https://www.uniprot.org/uniprotkb/A0A8C5W8X4/entry", "A0A8C5W8X4")</f>
        <v/>
      </c>
      <c r="F7788" t="n">
        <v>33.3</v>
      </c>
      <c r="G7788" t="n">
        <v>108</v>
      </c>
      <c r="H7788" t="n">
        <v>1.11e-09</v>
      </c>
      <c r="I7788" t="inlineStr">
        <is>
          <t>TrEMBL</t>
        </is>
      </c>
      <c r="J7788" t="inlineStr"/>
      <c r="K7788" t="inlineStr">
        <is>
          <t>A0A8C5W8X4_9ANUR</t>
        </is>
      </c>
      <c r="L7788" t="inlineStr">
        <is>
          <t>tr|A0A8C5W8X4|A0A8C5W8X4_9ANUR Reverse transcriptase domain-containing protein OS=Leptobrachium leishanense OX=445787 PE=4 SV=1</t>
        </is>
      </c>
      <c r="M7788" t="n">
        <v>716</v>
      </c>
      <c r="N7788" t="inlineStr">
        <is>
          <t>Leptobrachium leishanense</t>
        </is>
      </c>
      <c r="O7788" t="inlineStr">
        <is>
          <t>Reverse transcriptase domain-containing protein</t>
        </is>
      </c>
    </row>
    <row r="7789">
      <c r="A7789" t="inlineStr"/>
      <c r="B7789" t="inlineStr"/>
      <c r="C7789" t="inlineStr"/>
      <c r="D7789" t="inlineStr"/>
      <c r="E7789">
        <f>HYPERLINK("https://www.uniprot.org/uniprotkb/A0A8J1KXX0/entry", "A0A8J1KXX0")</f>
        <v/>
      </c>
      <c r="F7789" t="n">
        <v>31.1</v>
      </c>
      <c r="G7789" t="n">
        <v>103</v>
      </c>
      <c r="H7789" t="n">
        <v>2.61e-09</v>
      </c>
      <c r="I7789" t="inlineStr">
        <is>
          <t>TrEMBL</t>
        </is>
      </c>
      <c r="J7789" t="inlineStr">
        <is>
          <t>LOC121394669</t>
        </is>
      </c>
      <c r="K7789" t="inlineStr">
        <is>
          <t>A0A8J1KXX0_XENLA</t>
        </is>
      </c>
      <c r="L7789" t="inlineStr">
        <is>
          <t>tr|A0A8J1KXX0|A0A8J1KXX0_XENLA uncharacterized protein LOC121394669 OS=Xenopus laevis OX=8355 GN=LOC121394669 PE=4 SV=1</t>
        </is>
      </c>
      <c r="M7789" t="n">
        <v>408</v>
      </c>
      <c r="N7789" t="inlineStr">
        <is>
          <t>Xenopus laevis</t>
        </is>
      </c>
      <c r="O7789" t="inlineStr">
        <is>
          <t>uncharacterized protein LOC121394669</t>
        </is>
      </c>
    </row>
    <row r="7790">
      <c r="A7790" t="inlineStr"/>
      <c r="B7790" t="inlineStr"/>
      <c r="C7790" t="inlineStr"/>
      <c r="D7790" t="inlineStr"/>
      <c r="E7790">
        <f>HYPERLINK("https://www.uniprot.org/uniprotkb/A0A8C5M1L9/entry", "A0A8C5M1L9")</f>
        <v/>
      </c>
      <c r="F7790" t="n">
        <v>31.5</v>
      </c>
      <c r="G7790" t="n">
        <v>108</v>
      </c>
      <c r="H7790" t="n">
        <v>5.27e-09</v>
      </c>
      <c r="I7790" t="inlineStr">
        <is>
          <t>TrEMBL</t>
        </is>
      </c>
      <c r="J7790" t="inlineStr"/>
      <c r="K7790" t="inlineStr">
        <is>
          <t>A0A8C5M1L9_9ANUR</t>
        </is>
      </c>
      <c r="L7790" t="inlineStr">
        <is>
          <t>tr|A0A8C5M1L9|A0A8C5M1L9_9ANUR Reverse transcriptase domain-containing protein OS=Leptobrachium leishanense OX=445787 PE=4 SV=1</t>
        </is>
      </c>
      <c r="M7790" t="n">
        <v>725</v>
      </c>
      <c r="N7790" t="inlineStr">
        <is>
          <t>Leptobrachium leishanense</t>
        </is>
      </c>
      <c r="O7790" t="inlineStr">
        <is>
          <t>Reverse transcriptase domain-containing protein</t>
        </is>
      </c>
    </row>
    <row r="7791">
      <c r="A7791" t="inlineStr"/>
      <c r="B7791" t="inlineStr"/>
      <c r="C7791" t="inlineStr"/>
      <c r="D7791" t="inlineStr"/>
      <c r="E7791">
        <f>HYPERLINK("https://www.uniprot.org/uniprotkb/A0A803J5Z4/entry", "A0A803J5Z4")</f>
        <v/>
      </c>
      <c r="F7791" t="n">
        <v>33.6</v>
      </c>
      <c r="G7791" t="n">
        <v>107</v>
      </c>
      <c r="H7791" t="n">
        <v>1.33e-08</v>
      </c>
      <c r="I7791" t="inlineStr">
        <is>
          <t>TrEMBL</t>
        </is>
      </c>
      <c r="J7791" t="inlineStr"/>
      <c r="K7791" t="inlineStr">
        <is>
          <t>A0A803J5Z4_XENTR</t>
        </is>
      </c>
      <c r="L7791" t="inlineStr">
        <is>
          <t>tr|A0A803J5Z4|A0A803J5Z4_XENTR Reverse transcriptase domain-containing protein OS=Xenopus tropicalis OX=8364 PE=4 SV=1</t>
        </is>
      </c>
      <c r="M7791" t="n">
        <v>680</v>
      </c>
      <c r="N7791" t="inlineStr">
        <is>
          <t>Xenopus tropicalis</t>
        </is>
      </c>
      <c r="O7791" t="inlineStr">
        <is>
          <t>Reverse transcriptase domain-containing protein</t>
        </is>
      </c>
    </row>
    <row r="7792">
      <c r="A7792" t="inlineStr"/>
      <c r="B7792" t="inlineStr"/>
      <c r="C7792" t="inlineStr"/>
      <c r="D7792" t="inlineStr"/>
      <c r="E7792">
        <f>HYPERLINK("https://www.uniprot.org/uniprotkb/A0A8C5MP19/entry", "A0A8C5MP19")</f>
        <v/>
      </c>
      <c r="F7792" t="n">
        <v>29.6</v>
      </c>
      <c r="G7792" t="n">
        <v>108</v>
      </c>
      <c r="H7792" t="n">
        <v>3.41e-08</v>
      </c>
      <c r="I7792" t="inlineStr">
        <is>
          <t>TrEMBL</t>
        </is>
      </c>
      <c r="J7792" t="inlineStr"/>
      <c r="K7792" t="inlineStr">
        <is>
          <t>A0A8C5MP19_9ANUR</t>
        </is>
      </c>
      <c r="L7792" t="inlineStr">
        <is>
          <t>tr|A0A8C5MP19|A0A8C5MP19_9ANUR Reverse transcriptase domain-containing protein OS=Leptobrachium leishanense OX=445787 PE=4 SV=1</t>
        </is>
      </c>
      <c r="M7792" t="n">
        <v>729</v>
      </c>
      <c r="N7792" t="inlineStr">
        <is>
          <t>Leptobrachium leishanense</t>
        </is>
      </c>
      <c r="O7792" t="inlineStr">
        <is>
          <t>Reverse transcriptase domain-containing protein</t>
        </is>
      </c>
    </row>
    <row r="7793">
      <c r="A7793" t="inlineStr"/>
      <c r="B7793" t="inlineStr"/>
      <c r="C7793" t="inlineStr"/>
      <c r="D7793" t="inlineStr"/>
      <c r="E7793">
        <f>HYPERLINK("https://www.uniprot.org/uniprotkb/A0A803J844/entry", "A0A803J844")</f>
        <v/>
      </c>
      <c r="F7793" t="n">
        <v>39.7</v>
      </c>
      <c r="G7793" t="n">
        <v>78</v>
      </c>
      <c r="H7793" t="n">
        <v>6.31e-08</v>
      </c>
      <c r="I7793" t="inlineStr">
        <is>
          <t>TrEMBL</t>
        </is>
      </c>
      <c r="J7793" t="inlineStr"/>
      <c r="K7793" t="inlineStr">
        <is>
          <t>A0A803J844_XENTR</t>
        </is>
      </c>
      <c r="L7793" t="inlineStr">
        <is>
          <t>tr|A0A803J844|A0A803J844_XENTR Reverse transcriptase domain-containing protein OS=Xenopus tropicalis OX=8364 PE=4 SV=1</t>
        </is>
      </c>
      <c r="M7793" t="n">
        <v>673</v>
      </c>
      <c r="N7793" t="inlineStr">
        <is>
          <t>Xenopus tropicalis</t>
        </is>
      </c>
      <c r="O7793" t="inlineStr">
        <is>
          <t>Reverse transcriptase domain-containing protein</t>
        </is>
      </c>
    </row>
    <row r="7794">
      <c r="A7794" t="inlineStr"/>
      <c r="B7794" t="inlineStr"/>
      <c r="C7794" t="inlineStr"/>
      <c r="D7794" t="inlineStr"/>
      <c r="E7794">
        <f>HYPERLINK("https://www.uniprot.org/uniprotkb/A0A803K3M7/entry", "A0A803K3M7")</f>
        <v/>
      </c>
      <c r="F7794" t="n">
        <v>30.4</v>
      </c>
      <c r="G7794" t="n">
        <v>102</v>
      </c>
      <c r="H7794" t="n">
        <v>6.33e-08</v>
      </c>
      <c r="I7794" t="inlineStr">
        <is>
          <t>TrEMBL</t>
        </is>
      </c>
      <c r="J7794" t="inlineStr"/>
      <c r="K7794" t="inlineStr">
        <is>
          <t>A0A803K3M7_XENTR</t>
        </is>
      </c>
      <c r="L7794" t="inlineStr">
        <is>
          <t>tr|A0A803K3M7|A0A803K3M7_XENTR Reverse transcriptase domain-containing protein OS=Xenopus tropicalis OX=8364 PE=4 SV=1</t>
        </is>
      </c>
      <c r="M7794" t="n">
        <v>697</v>
      </c>
      <c r="N7794" t="inlineStr">
        <is>
          <t>Xenopus tropicalis</t>
        </is>
      </c>
      <c r="O7794" t="inlineStr">
        <is>
          <t>Reverse transcriptase domain-containing protein</t>
        </is>
      </c>
    </row>
    <row r="7795">
      <c r="A7795" t="inlineStr"/>
      <c r="B7795" t="inlineStr"/>
      <c r="C7795" t="inlineStr"/>
      <c r="D7795" t="inlineStr"/>
      <c r="E7795">
        <f>HYPERLINK("https://www.uniprot.org/uniprotkb/A0A803JXC1/entry", "A0A803JXC1")</f>
        <v/>
      </c>
      <c r="F7795" t="n">
        <v>30.4</v>
      </c>
      <c r="G7795" t="n">
        <v>102</v>
      </c>
      <c r="H7795" t="n">
        <v>6.33e-08</v>
      </c>
      <c r="I7795" t="inlineStr">
        <is>
          <t>TrEMBL</t>
        </is>
      </c>
      <c r="J7795" t="inlineStr"/>
      <c r="K7795" t="inlineStr">
        <is>
          <t>A0A803JXC1_XENTR</t>
        </is>
      </c>
      <c r="L7795" t="inlineStr">
        <is>
          <t>tr|A0A803JXC1|A0A803JXC1_XENTR Reverse transcriptase domain-containing protein OS=Xenopus tropicalis OX=8364 PE=4 SV=1</t>
        </is>
      </c>
      <c r="M7795" t="n">
        <v>697</v>
      </c>
      <c r="N7795" t="inlineStr">
        <is>
          <t>Xenopus tropicalis</t>
        </is>
      </c>
      <c r="O7795" t="inlineStr">
        <is>
          <t>Reverse transcriptase domain-containing protein</t>
        </is>
      </c>
    </row>
    <row r="7796">
      <c r="A7796" t="inlineStr"/>
      <c r="B7796" t="inlineStr"/>
      <c r="C7796" t="inlineStr"/>
      <c r="D7796" t="inlineStr"/>
      <c r="E7796">
        <f>HYPERLINK("https://www.uniprot.org/uniprotkb/A0A8J9VUN7/entry", "A0A8J9VUN7")</f>
        <v/>
      </c>
      <c r="F7796" t="n">
        <v>31.4</v>
      </c>
      <c r="G7796" t="n">
        <v>105</v>
      </c>
      <c r="H7796" t="n">
        <v>1.16e-07</v>
      </c>
      <c r="I7796" t="inlineStr">
        <is>
          <t>TrEMBL</t>
        </is>
      </c>
      <c r="J7796" t="inlineStr">
        <is>
          <t>TMEM120B</t>
        </is>
      </c>
      <c r="K7796" t="inlineStr">
        <is>
          <t>A0A8J9VUN7_BRALA</t>
        </is>
      </c>
      <c r="L7796" t="inlineStr">
        <is>
          <t>tr|A0A8J9VUN7|A0A8J9VUN7_BRALA TMEM120B protein OS=Branchiostoma lanceolatum OX=7740 GN=TMEM120B PE=3 SV=1</t>
        </is>
      </c>
      <c r="M7796" t="n">
        <v>593</v>
      </c>
      <c r="N7796" t="inlineStr">
        <is>
          <t>Branchiostoma lanceolatum</t>
        </is>
      </c>
      <c r="O7796" t="inlineStr">
        <is>
          <t>TMEM120B protein</t>
        </is>
      </c>
    </row>
    <row r="7797">
      <c r="A7797" t="inlineStr"/>
      <c r="B7797" t="inlineStr"/>
      <c r="C7797" t="inlineStr"/>
      <c r="D7797" t="inlineStr"/>
      <c r="E7797">
        <f>HYPERLINK("https://www.uniprot.org/uniprotkb/A0A8J1MZR7/entry", "A0A8J1MZR7")</f>
        <v/>
      </c>
      <c r="F7797" t="n">
        <v>32.1</v>
      </c>
      <c r="G7797" t="n">
        <v>109</v>
      </c>
      <c r="H7797" t="n">
        <v>2.07e-07</v>
      </c>
      <c r="I7797" t="inlineStr">
        <is>
          <t>TrEMBL</t>
        </is>
      </c>
      <c r="J7797" t="inlineStr">
        <is>
          <t>LOC121403153</t>
        </is>
      </c>
      <c r="K7797" t="inlineStr">
        <is>
          <t>A0A8J1MZR7_XENLA</t>
        </is>
      </c>
      <c r="L7797" t="inlineStr">
        <is>
          <t>tr|A0A8J1MZR7|A0A8J1MZR7_XENLA uncharacterized protein LOC121403153 OS=Xenopus laevis OX=8355 GN=LOC121403153 PE=4 SV=1</t>
        </is>
      </c>
      <c r="M7797" t="n">
        <v>414</v>
      </c>
      <c r="N7797" t="inlineStr">
        <is>
          <t>Xenopus laevis</t>
        </is>
      </c>
      <c r="O7797" t="inlineStr">
        <is>
          <t>uncharacterized protein LOC121403153</t>
        </is>
      </c>
    </row>
    <row r="7798">
      <c r="A7798" t="inlineStr"/>
      <c r="B7798" t="inlineStr"/>
      <c r="C7798" t="inlineStr"/>
      <c r="D7798" t="inlineStr"/>
      <c r="E7798">
        <f>HYPERLINK("https://www.uniprot.org/uniprotkb/A0A8J1MQQ1/entry", "A0A8J1MQQ1")</f>
        <v/>
      </c>
      <c r="F7798" t="n">
        <v>27.9</v>
      </c>
      <c r="G7798" t="n">
        <v>104</v>
      </c>
      <c r="H7798" t="n">
        <v>2.46e-07</v>
      </c>
      <c r="I7798" t="inlineStr">
        <is>
          <t>TrEMBL</t>
        </is>
      </c>
      <c r="J7798" t="inlineStr">
        <is>
          <t>LOC121402137</t>
        </is>
      </c>
      <c r="K7798" t="inlineStr">
        <is>
          <t>A0A8J1MQQ1_XENLA</t>
        </is>
      </c>
      <c r="L7798" t="inlineStr">
        <is>
          <t>tr|A0A8J1MQQ1|A0A8J1MQQ1_XENLA uncharacterized protein LOC121402137 OS=Xenopus laevis OX=8355 GN=LOC121402137 PE=4 SV=1</t>
        </is>
      </c>
      <c r="M7798" t="n">
        <v>309</v>
      </c>
      <c r="N7798" t="inlineStr">
        <is>
          <t>Xenopus laevis</t>
        </is>
      </c>
      <c r="O7798" t="inlineStr">
        <is>
          <t>uncharacterized protein LOC121402137</t>
        </is>
      </c>
    </row>
    <row r="7799">
      <c r="A7799" t="inlineStr"/>
      <c r="B7799" t="inlineStr"/>
      <c r="C7799" t="inlineStr"/>
      <c r="D7799" t="inlineStr"/>
      <c r="E7799">
        <f>HYPERLINK("https://www.uniprot.org/uniprotkb/A0A8J1LCH3/entry", "A0A8J1LCH3")</f>
        <v/>
      </c>
      <c r="F7799" t="n">
        <v>33.7</v>
      </c>
      <c r="G7799" t="n">
        <v>89</v>
      </c>
      <c r="H7799" t="n">
        <v>2.7e-07</v>
      </c>
      <c r="I7799" t="inlineStr">
        <is>
          <t>TrEMBL</t>
        </is>
      </c>
      <c r="J7799" t="inlineStr">
        <is>
          <t>LOC121396408</t>
        </is>
      </c>
      <c r="K7799" t="inlineStr">
        <is>
          <t>A0A8J1LCH3_XENLA</t>
        </is>
      </c>
      <c r="L7799" t="inlineStr">
        <is>
          <t>tr|A0A8J1LCH3|A0A8J1LCH3_XENLA uncharacterized protein LOC121396408 OS=Xenopus laevis OX=8355 GN=LOC121396408 PE=4 SV=1</t>
        </is>
      </c>
      <c r="M7799" t="n">
        <v>355</v>
      </c>
      <c r="N7799" t="inlineStr">
        <is>
          <t>Xenopus laevis</t>
        </is>
      </c>
      <c r="O7799" t="inlineStr">
        <is>
          <t>uncharacterized protein LOC121396408</t>
        </is>
      </c>
    </row>
    <row r="7800">
      <c r="A7800" t="inlineStr"/>
      <c r="B7800" t="inlineStr"/>
      <c r="C7800" t="inlineStr"/>
      <c r="D7800" t="inlineStr"/>
      <c r="E7800">
        <f>HYPERLINK("https://www.uniprot.org/uniprotkb/A0A8J1M119/entry", "A0A8J1M119")</f>
        <v/>
      </c>
      <c r="F7800" t="n">
        <v>27.9</v>
      </c>
      <c r="G7800" t="n">
        <v>104</v>
      </c>
      <c r="H7800" t="n">
        <v>2.81e-07</v>
      </c>
      <c r="I7800" t="inlineStr">
        <is>
          <t>TrEMBL</t>
        </is>
      </c>
      <c r="J7800" t="inlineStr">
        <is>
          <t>LOC121399280</t>
        </is>
      </c>
      <c r="K7800" t="inlineStr">
        <is>
          <t>A0A8J1M119_XENLA</t>
        </is>
      </c>
      <c r="L7800" t="inlineStr">
        <is>
          <t>tr|A0A8J1M119|A0A8J1M119_XENLA uncharacterized protein LOC121399280 OS=Xenopus laevis OX=8355 GN=LOC121399280 PE=4 SV=1</t>
        </is>
      </c>
      <c r="M7800" t="n">
        <v>408</v>
      </c>
      <c r="N7800" t="inlineStr">
        <is>
          <t>Xenopus laevis</t>
        </is>
      </c>
      <c r="O7800" t="inlineStr">
        <is>
          <t>uncharacterized protein LOC121399280</t>
        </is>
      </c>
    </row>
    <row r="7801">
      <c r="A7801" t="inlineStr"/>
      <c r="B7801" t="inlineStr"/>
      <c r="C7801" t="inlineStr"/>
      <c r="D7801" t="inlineStr"/>
      <c r="E7801">
        <f>HYPERLINK("https://www.uniprot.org/uniprotkb/A0A8J1MRK2/entry", "A0A8J1MRK2")</f>
        <v/>
      </c>
      <c r="F7801" t="n">
        <v>27.9</v>
      </c>
      <c r="G7801" t="n">
        <v>104</v>
      </c>
      <c r="H7801" t="n">
        <v>2.81e-07</v>
      </c>
      <c r="I7801" t="inlineStr">
        <is>
          <t>TrEMBL</t>
        </is>
      </c>
      <c r="J7801" t="inlineStr">
        <is>
          <t>LOC121402136</t>
        </is>
      </c>
      <c r="K7801" t="inlineStr">
        <is>
          <t>A0A8J1MRK2_XENLA</t>
        </is>
      </c>
      <c r="L7801" t="inlineStr">
        <is>
          <t>tr|A0A8J1MRK2|A0A8J1MRK2_XENLA uncharacterized protein LOC121402136 OS=Xenopus laevis OX=8355 GN=LOC121402136 PE=4 SV=1</t>
        </is>
      </c>
      <c r="M7801" t="n">
        <v>408</v>
      </c>
      <c r="N7801" t="inlineStr">
        <is>
          <t>Xenopus laevis</t>
        </is>
      </c>
      <c r="O7801" t="inlineStr">
        <is>
          <t>uncharacterized protein LOC121402136</t>
        </is>
      </c>
    </row>
    <row r="7802">
      <c r="A7802" t="inlineStr">
        <is>
          <t>NODE_56182_length_2752_cov_57.364618_g5545_i1</t>
        </is>
      </c>
      <c r="B7802" t="inlineStr">
        <is>
          <t>bombina_pachypus_blastx</t>
        </is>
      </c>
      <c r="C7802" t="n">
        <v>-5.02012475697039</v>
      </c>
      <c r="D7802" t="n">
        <v>0.0039638010410755</v>
      </c>
      <c r="E7802">
        <f>HYPERLINK("https://www.uniprot.org/uniprotkb/A0A8J0R5F5/entry", "A0A8J0R5F5")</f>
        <v/>
      </c>
      <c r="F7802" t="n">
        <v>77.09999999999999</v>
      </c>
      <c r="G7802" t="n">
        <v>455</v>
      </c>
      <c r="H7802" t="n">
        <v>6.36e-222</v>
      </c>
      <c r="I7802" t="inlineStr">
        <is>
          <t>TrEMBL</t>
        </is>
      </c>
      <c r="J7802" t="inlineStr">
        <is>
          <t>topbp1</t>
        </is>
      </c>
      <c r="K7802" t="inlineStr">
        <is>
          <t>A0A8J0R5F5_XENTR</t>
        </is>
      </c>
      <c r="L7802" t="inlineStr">
        <is>
          <t>tr|A0A8J0R5F5|A0A8J0R5F5_XENTR DNA topoisomerase 2-binding protein 1 isoform X2 OS=Xenopus tropicalis OX=8364 GN=topbp1 PE=4 SV=1</t>
        </is>
      </c>
      <c r="M7802" t="n">
        <v>1514</v>
      </c>
      <c r="N7802" t="inlineStr">
        <is>
          <t>Xenopus tropicalis</t>
        </is>
      </c>
      <c r="O7802" t="inlineStr">
        <is>
          <t>DNA topoisomerase 2-binding protein 1 isoform X2</t>
        </is>
      </c>
    </row>
    <row r="7803">
      <c r="A7803" t="inlineStr"/>
      <c r="B7803" t="inlineStr"/>
      <c r="C7803" t="inlineStr"/>
      <c r="D7803" t="inlineStr"/>
      <c r="E7803">
        <f>HYPERLINK("https://www.uniprot.org/uniprotkb/A0A6I8RMS4/entry", "A0A6I8RMS4")</f>
        <v/>
      </c>
      <c r="F7803" t="n">
        <v>77.09999999999999</v>
      </c>
      <c r="G7803" t="n">
        <v>455</v>
      </c>
      <c r="H7803" t="n">
        <v>6.51e-222</v>
      </c>
      <c r="I7803" t="inlineStr">
        <is>
          <t>TrEMBL</t>
        </is>
      </c>
      <c r="J7803" t="inlineStr">
        <is>
          <t>topbp1</t>
        </is>
      </c>
      <c r="K7803" t="inlineStr">
        <is>
          <t>A0A6I8RMS4_XENTR</t>
        </is>
      </c>
      <c r="L7803" t="inlineStr">
        <is>
          <t>tr|A0A6I8RMS4|A0A6I8RMS4_XENTR DNA topoisomerase 2-binding protein 1 isoform X1 OS=Xenopus tropicalis OX=8364 GN=topbp1 PE=4 SV=2</t>
        </is>
      </c>
      <c r="M7803" t="n">
        <v>1515</v>
      </c>
      <c r="N7803" t="inlineStr">
        <is>
          <t>Xenopus tropicalis</t>
        </is>
      </c>
      <c r="O7803" t="inlineStr">
        <is>
          <t>DNA topoisomerase 2-binding protein 1 isoform X1</t>
        </is>
      </c>
    </row>
    <row r="7804">
      <c r="A7804" t="inlineStr"/>
      <c r="B7804" t="inlineStr"/>
      <c r="C7804" t="inlineStr"/>
      <c r="D7804" t="inlineStr"/>
      <c r="E7804">
        <f>HYPERLINK("https://www.ncbi.nlm.nih.gov/gene/?term=XP_004915426.2", "XP_004915426.2")</f>
        <v/>
      </c>
      <c r="F7804" t="n">
        <v>77.09999999999999</v>
      </c>
      <c r="G7804" t="n">
        <v>455</v>
      </c>
      <c r="H7804" t="n">
        <v>1.63e-221</v>
      </c>
      <c r="I7804" t="inlineStr">
        <is>
          <t>Nr</t>
        </is>
      </c>
      <c r="J7804" t="inlineStr"/>
      <c r="K7804" t="inlineStr"/>
      <c r="L7804" t="inlineStr">
        <is>
          <t>XP_004915426.2 DNA topoisomerase 2-binding protein 1 isoform X2 [Xenopus tropicalis]</t>
        </is>
      </c>
      <c r="M7804" t="n">
        <v>1514</v>
      </c>
      <c r="N7804" t="inlineStr">
        <is>
          <t>Xenopus tropicalis</t>
        </is>
      </c>
      <c r="O7804" t="inlineStr">
        <is>
          <t>DNA topoisomerase 2-binding protein 1 isoform X2</t>
        </is>
      </c>
    </row>
    <row r="7805">
      <c r="A7805" t="inlineStr"/>
      <c r="B7805" t="inlineStr"/>
      <c r="C7805" t="inlineStr"/>
      <c r="D7805" t="inlineStr"/>
      <c r="E7805">
        <f>HYPERLINK("https://www.ncbi.nlm.nih.gov/gene/?term=XP_002937791.3", "XP_002937791.3")</f>
        <v/>
      </c>
      <c r="F7805" t="n">
        <v>77.09999999999999</v>
      </c>
      <c r="G7805" t="n">
        <v>455</v>
      </c>
      <c r="H7805" t="n">
        <v>1.67e-221</v>
      </c>
      <c r="I7805" t="inlineStr">
        <is>
          <t>Nr</t>
        </is>
      </c>
      <c r="J7805" t="inlineStr"/>
      <c r="K7805" t="inlineStr"/>
      <c r="L7805" t="inlineStr">
        <is>
          <t>XP_002937791.3 DNA topoisomerase 2-binding protein 1 isoform X1 [Xenopus tropicalis]</t>
        </is>
      </c>
      <c r="M7805" t="n">
        <v>1515</v>
      </c>
      <c r="N7805" t="inlineStr">
        <is>
          <t>Xenopus tropicalis</t>
        </is>
      </c>
      <c r="O7805" t="inlineStr">
        <is>
          <t>DNA topoisomerase 2-binding protein 1 isoform X1</t>
        </is>
      </c>
    </row>
    <row r="7806">
      <c r="A7806" t="inlineStr"/>
      <c r="B7806" t="inlineStr"/>
      <c r="C7806" t="inlineStr"/>
      <c r="D7806" t="inlineStr"/>
      <c r="E7806">
        <f>HYPERLINK("https://www.ncbi.nlm.nih.gov/gene/?term=XP_053322306.1", "XP_053322306.1")</f>
        <v/>
      </c>
      <c r="F7806" t="n">
        <v>77.2</v>
      </c>
      <c r="G7806" t="n">
        <v>456</v>
      </c>
      <c r="H7806" t="n">
        <v>5.71e-221</v>
      </c>
      <c r="I7806" t="inlineStr">
        <is>
          <t>Nr</t>
        </is>
      </c>
      <c r="J7806" t="inlineStr"/>
      <c r="K7806" t="inlineStr"/>
      <c r="L7806" t="inlineStr">
        <is>
          <t>XP_053322306.1 DNA topoisomerase 2-binding protein 1 isoform X2 [Spea bombifrons]</t>
        </is>
      </c>
      <c r="M7806" t="n">
        <v>1509</v>
      </c>
      <c r="N7806" t="inlineStr">
        <is>
          <t>Spea bombifrons</t>
        </is>
      </c>
      <c r="O7806" t="inlineStr">
        <is>
          <t>DNA topoisomerase 2-binding protein 1 isoform X2</t>
        </is>
      </c>
    </row>
    <row r="7807">
      <c r="A7807" t="inlineStr"/>
      <c r="B7807" t="inlineStr"/>
      <c r="C7807" t="inlineStr"/>
      <c r="D7807" t="inlineStr"/>
      <c r="E7807">
        <f>HYPERLINK("https://www.ncbi.nlm.nih.gov/gene/?term=XP_053322305.1", "XP_053322305.1")</f>
        <v/>
      </c>
      <c r="F7807" t="n">
        <v>77.2</v>
      </c>
      <c r="G7807" t="n">
        <v>456</v>
      </c>
      <c r="H7807" t="n">
        <v>6.129999999999999e-221</v>
      </c>
      <c r="I7807" t="inlineStr">
        <is>
          <t>Nr</t>
        </is>
      </c>
      <c r="J7807" t="inlineStr"/>
      <c r="K7807" t="inlineStr"/>
      <c r="L7807" t="inlineStr">
        <is>
          <t>XP_053322305.1 DNA topoisomerase 2-binding protein 1 isoform X1 [Spea bombifrons]</t>
        </is>
      </c>
      <c r="M7807" t="n">
        <v>1512</v>
      </c>
      <c r="N7807" t="inlineStr">
        <is>
          <t>Spea bombifrons</t>
        </is>
      </c>
      <c r="O7807" t="inlineStr">
        <is>
          <t>DNA topoisomerase 2-binding protein 1 isoform X1</t>
        </is>
      </c>
    </row>
    <row r="7808">
      <c r="A7808" t="inlineStr"/>
      <c r="B7808" t="inlineStr"/>
      <c r="C7808" t="inlineStr"/>
      <c r="D7808" t="inlineStr"/>
      <c r="E7808">
        <f>HYPERLINK("https://www.uniprot.org/uniprotkb/Q800K6/entry", "Q800K6")</f>
        <v/>
      </c>
      <c r="F7808" t="n">
        <v>75.2</v>
      </c>
      <c r="G7808" t="n">
        <v>455</v>
      </c>
      <c r="H7808" t="n">
        <v>3.21e-220</v>
      </c>
      <c r="I7808" t="inlineStr">
        <is>
          <t>Swiss-Prot</t>
        </is>
      </c>
      <c r="J7808" t="inlineStr">
        <is>
          <t>topbp1-A</t>
        </is>
      </c>
      <c r="K7808" t="inlineStr">
        <is>
          <t>TOB1A_XENLA</t>
        </is>
      </c>
      <c r="L7808" t="inlineStr">
        <is>
          <t>sp|Q800K6|TOB1A_XENLA DNA topoisomerase 2-binding protein 1-A OS=Xenopus laevis OX=8355 GN=topbp1-A PE=1 SV=2</t>
        </is>
      </c>
      <c r="M7808" t="n">
        <v>1513</v>
      </c>
      <c r="N7808" t="inlineStr">
        <is>
          <t>Xenopus laevis</t>
        </is>
      </c>
      <c r="O7808" t="inlineStr">
        <is>
          <t>DNA topoisomerase 2-binding protein 1-A</t>
        </is>
      </c>
    </row>
    <row r="7809">
      <c r="A7809" t="inlineStr"/>
      <c r="B7809" t="inlineStr"/>
      <c r="C7809" t="inlineStr"/>
      <c r="D7809" t="inlineStr"/>
      <c r="E7809">
        <f>HYPERLINK("https://www.uniprot.org/uniprotkb/Q7ZZY3/entry", "Q7ZZY3")</f>
        <v/>
      </c>
      <c r="F7809" t="n">
        <v>75.2</v>
      </c>
      <c r="G7809" t="n">
        <v>455</v>
      </c>
      <c r="H7809" t="n">
        <v>3.21e-220</v>
      </c>
      <c r="I7809" t="inlineStr">
        <is>
          <t>Swiss-Prot</t>
        </is>
      </c>
      <c r="J7809" t="inlineStr">
        <is>
          <t>topbp1-B</t>
        </is>
      </c>
      <c r="K7809" t="inlineStr">
        <is>
          <t>TOB1B_XENLA</t>
        </is>
      </c>
      <c r="L7809" t="inlineStr">
        <is>
          <t>sp|Q7ZZY3|TOB1B_XENLA DNA topoisomerase 2-binding protein 1-B OS=Xenopus laevis OX=8355 GN=topbp1-B PE=2 SV=1</t>
        </is>
      </c>
      <c r="M7809" t="n">
        <v>1513</v>
      </c>
      <c r="N7809" t="inlineStr">
        <is>
          <t>Xenopus laevis</t>
        </is>
      </c>
      <c r="O7809" t="inlineStr">
        <is>
          <t>DNA topoisomerase 2-binding protein 1-B</t>
        </is>
      </c>
    </row>
    <row r="7810">
      <c r="A7810" t="inlineStr"/>
      <c r="B7810" t="inlineStr"/>
      <c r="C7810" t="inlineStr"/>
      <c r="D7810" t="inlineStr"/>
      <c r="E7810">
        <f>HYPERLINK("https://www.uniprot.org/uniprotkb/F7BZC2/entry", "F7BZC2")</f>
        <v/>
      </c>
      <c r="F7810" t="n">
        <v>76.5</v>
      </c>
      <c r="G7810" t="n">
        <v>456</v>
      </c>
      <c r="H7810" t="n">
        <v>2.42e-218</v>
      </c>
      <c r="I7810" t="inlineStr">
        <is>
          <t>TrEMBL</t>
        </is>
      </c>
      <c r="J7810" t="inlineStr">
        <is>
          <t>ttc26</t>
        </is>
      </c>
      <c r="K7810" t="inlineStr">
        <is>
          <t>F7BZC2_XENTR</t>
        </is>
      </c>
      <c r="L7810" t="inlineStr">
        <is>
          <t>tr|F7BZC2|F7BZC2_XENTR Intraflagellar transport protein 56 OS=Xenopus tropicalis OX=8364 GN=ttc26 PE=4 SV=2</t>
        </is>
      </c>
      <c r="M7810" t="n">
        <v>1472</v>
      </c>
      <c r="N7810" t="inlineStr">
        <is>
          <t>Xenopus tropicalis</t>
        </is>
      </c>
      <c r="O7810" t="inlineStr">
        <is>
          <t>Intraflagellar transport protein 56</t>
        </is>
      </c>
    </row>
    <row r="7811">
      <c r="A7811" t="inlineStr"/>
      <c r="B7811" t="inlineStr"/>
      <c r="C7811" t="inlineStr"/>
      <c r="D7811" t="inlineStr"/>
      <c r="E7811">
        <f>HYPERLINK("https://www.uniprot.org/uniprotkb/A0A8T2JEX2/entry", "A0A8T2JEX2")</f>
        <v/>
      </c>
      <c r="F7811" t="n">
        <v>75.59999999999999</v>
      </c>
      <c r="G7811" t="n">
        <v>455</v>
      </c>
      <c r="H7811" t="n">
        <v>6.17e-218</v>
      </c>
      <c r="I7811" t="inlineStr">
        <is>
          <t>TrEMBL</t>
        </is>
      </c>
      <c r="J7811" t="inlineStr">
        <is>
          <t>GDO86_011596</t>
        </is>
      </c>
      <c r="K7811" t="inlineStr">
        <is>
          <t>A0A8T2JEX2_9PIPI</t>
        </is>
      </c>
      <c r="L7811" t="inlineStr">
        <is>
          <t>tr|A0A8T2JEX2|A0A8T2JEX2_9PIPI DNA topoisomerase 2-binding protein 1 OS=Hymenochirus boettgeri OX=247094 GN=GDO86_011596 PE=4 SV=1</t>
        </is>
      </c>
      <c r="M7811" t="n">
        <v>1497</v>
      </c>
      <c r="N7811" t="inlineStr">
        <is>
          <t>Hymenochirus boettgeri</t>
        </is>
      </c>
      <c r="O7811" t="inlineStr">
        <is>
          <t>DNA topoisomerase 2-binding protein 1</t>
        </is>
      </c>
    </row>
    <row r="7812">
      <c r="A7812" t="inlineStr"/>
      <c r="B7812" t="inlineStr"/>
      <c r="C7812" t="inlineStr"/>
      <c r="D7812" t="inlineStr"/>
      <c r="E7812">
        <f>HYPERLINK("https://www.ncbi.nlm.nih.gov/gene/?term=KAG8442840.1", "KAG8442840.1")</f>
        <v/>
      </c>
      <c r="F7812" t="n">
        <v>75.59999999999999</v>
      </c>
      <c r="G7812" t="n">
        <v>455</v>
      </c>
      <c r="H7812" t="n">
        <v>1.59e-217</v>
      </c>
      <c r="I7812" t="inlineStr">
        <is>
          <t>Nr</t>
        </is>
      </c>
      <c r="J7812" t="inlineStr"/>
      <c r="K7812" t="inlineStr"/>
      <c r="L7812" t="inlineStr">
        <is>
          <t>KAG8442840.1 hypothetical protein GDO86_011596 [Hymenochirus boettgeri]</t>
        </is>
      </c>
      <c r="M7812" t="n">
        <v>1497</v>
      </c>
      <c r="N7812" t="inlineStr">
        <is>
          <t>Hymenochirus boettgeri</t>
        </is>
      </c>
      <c r="O7812" t="inlineStr">
        <is>
          <t>hypothetical protein GDO86_011596</t>
        </is>
      </c>
    </row>
    <row r="7813">
      <c r="A7813" t="inlineStr"/>
      <c r="B7813" t="inlineStr"/>
      <c r="C7813" t="inlineStr"/>
      <c r="D7813" t="inlineStr"/>
      <c r="E7813">
        <f>HYPERLINK("https://www.ncbi.nlm.nih.gov/gene/?term=AAP03894.2", "AAP03894.2")</f>
        <v/>
      </c>
      <c r="F7813" t="n">
        <v>75.2</v>
      </c>
      <c r="G7813" t="n">
        <v>455</v>
      </c>
      <c r="H7813" t="n">
        <v>3.25e-217</v>
      </c>
      <c r="I7813" t="inlineStr">
        <is>
          <t>Nr</t>
        </is>
      </c>
      <c r="J7813" t="inlineStr"/>
      <c r="K7813" t="inlineStr"/>
      <c r="L7813" t="inlineStr">
        <is>
          <t>AAP03894.2 Xmus101 [Xenopus laevis]</t>
        </is>
      </c>
      <c r="M7813" t="n">
        <v>1513</v>
      </c>
      <c r="N7813" t="inlineStr">
        <is>
          <t>Xenopus laevis</t>
        </is>
      </c>
      <c r="O7813" t="inlineStr">
        <is>
          <t>Xmus101</t>
        </is>
      </c>
    </row>
    <row r="7814">
      <c r="A7814" t="inlineStr"/>
      <c r="B7814" t="inlineStr"/>
      <c r="C7814" t="inlineStr"/>
      <c r="D7814" t="inlineStr"/>
      <c r="E7814">
        <f>HYPERLINK("https://www.ncbi.nlm.nih.gov/gene/?term=Q7ZZY3.1", "Q7ZZY3.1")</f>
        <v/>
      </c>
      <c r="F7814" t="n">
        <v>75.2</v>
      </c>
      <c r="G7814" t="n">
        <v>455</v>
      </c>
      <c r="H7814" t="n">
        <v>3.25e-217</v>
      </c>
      <c r="I7814" t="inlineStr">
        <is>
          <t>Nr</t>
        </is>
      </c>
      <c r="J7814" t="inlineStr"/>
      <c r="K7814" t="inlineStr"/>
      <c r="L7814" t="inlineStr">
        <is>
          <t>Q7ZZY3.1 RecName: Full=DNA topoisomerase 2-binding protein 1-B; AltName: Full=DNA topoisomerase II-binding protein 1-B; Short=TopBP1-B; AltName: Full=Xmus101 [Xenopus laevis]</t>
        </is>
      </c>
      <c r="M7814" t="n">
        <v>1513</v>
      </c>
      <c r="N7814" t="inlineStr">
        <is>
          <t>Xenopus laevis</t>
        </is>
      </c>
      <c r="O7814" t="inlineStr">
        <is>
          <t>RecName: Full=DNA topoisomerase 2-binding protein 1-B; AltName: Full=DNA topoisomerase II-binding protein 1-B; Short=TopBP1-B; AltName: Full=Xmus101</t>
        </is>
      </c>
    </row>
    <row r="7815">
      <c r="A7815" t="inlineStr"/>
      <c r="B7815" t="inlineStr"/>
      <c r="C7815" t="inlineStr"/>
      <c r="D7815" t="inlineStr"/>
      <c r="E7815">
        <f>HYPERLINK("https://www.ncbi.nlm.nih.gov/gene/?term=Q800K6.2", "Q800K6.2")</f>
        <v/>
      </c>
      <c r="F7815" t="n">
        <v>75.2</v>
      </c>
      <c r="G7815" t="n">
        <v>455</v>
      </c>
      <c r="H7815" t="n">
        <v>3.25e-217</v>
      </c>
      <c r="I7815" t="inlineStr">
        <is>
          <t>Nr</t>
        </is>
      </c>
      <c r="J7815" t="inlineStr"/>
      <c r="K7815" t="inlineStr"/>
      <c r="L7815" t="inlineStr">
        <is>
          <t>Q800K6.2 RecName: Full=DNA topoisomerase 2-binding protein 1-A; AltName: Full=Cut5 protein; AltName: Full=DNA topoisomerase II-binding protein 1-A; Short=TopBP1-A; Short=XtopBP [Xenopus laevis]</t>
        </is>
      </c>
      <c r="M7815" t="n">
        <v>1513</v>
      </c>
      <c r="N7815" t="inlineStr">
        <is>
          <t>Xenopus laevis</t>
        </is>
      </c>
      <c r="O7815" t="inlineStr">
        <is>
          <t>RecName: Full=DNA topoisomerase 2-binding protein 1-A; AltName: Full=Cut5 protein; AltName: Full=DNA topoisomerase II-binding protein 1-A; Short=TopBP1-A; Short=XtopBP</t>
        </is>
      </c>
    </row>
    <row r="7816">
      <c r="A7816" t="inlineStr"/>
      <c r="B7816" t="inlineStr"/>
      <c r="C7816" t="inlineStr"/>
      <c r="D7816" t="inlineStr"/>
      <c r="E7816">
        <f>HYPERLINK("https://www.ncbi.nlm.nih.gov/gene/?term=NP_001082568.1", "NP_001082568.1")</f>
        <v/>
      </c>
      <c r="F7816" t="n">
        <v>74.90000000000001</v>
      </c>
      <c r="G7816" t="n">
        <v>455</v>
      </c>
      <c r="H7816" t="n">
        <v>1.79e-216</v>
      </c>
      <c r="I7816" t="inlineStr">
        <is>
          <t>Nr</t>
        </is>
      </c>
      <c r="J7816" t="inlineStr"/>
      <c r="K7816" t="inlineStr"/>
      <c r="L7816" t="inlineStr">
        <is>
          <t>NP_001082568.1 DNA topoisomerase II binding protein 1 L homeolog [Xenopus laevis]</t>
        </is>
      </c>
      <c r="M7816" t="n">
        <v>1513</v>
      </c>
      <c r="N7816" t="inlineStr">
        <is>
          <t>Xenopus laevis</t>
        </is>
      </c>
      <c r="O7816" t="inlineStr">
        <is>
          <t>DNA topoisomerase II binding protein 1 L homeolog</t>
        </is>
      </c>
    </row>
    <row r="7817">
      <c r="A7817" t="inlineStr"/>
      <c r="B7817" t="inlineStr"/>
      <c r="C7817" t="inlineStr"/>
      <c r="D7817" t="inlineStr"/>
      <c r="E7817">
        <f>HYPERLINK("https://www.ncbi.nlm.nih.gov/gene/?term=XP_040208962.1", "XP_040208962.1")</f>
        <v/>
      </c>
      <c r="F7817" t="n">
        <v>74.59999999999999</v>
      </c>
      <c r="G7817" t="n">
        <v>452</v>
      </c>
      <c r="H7817" t="n">
        <v>5.12e-216</v>
      </c>
      <c r="I7817" t="inlineStr">
        <is>
          <t>Nr</t>
        </is>
      </c>
      <c r="J7817" t="inlineStr"/>
      <c r="K7817" t="inlineStr"/>
      <c r="L7817" t="inlineStr">
        <is>
          <t>XP_040208962.1 DNA topoisomerase 2-binding protein 1 [Rana temporaria]</t>
        </is>
      </c>
      <c r="M7817" t="n">
        <v>1514</v>
      </c>
      <c r="N7817" t="inlineStr">
        <is>
          <t>Rana temporaria</t>
        </is>
      </c>
      <c r="O7817" t="inlineStr">
        <is>
          <t>DNA topoisomerase 2-binding protein 1</t>
        </is>
      </c>
    </row>
    <row r="7818">
      <c r="A7818" t="inlineStr"/>
      <c r="B7818" t="inlineStr"/>
      <c r="C7818" t="inlineStr"/>
      <c r="D7818" t="inlineStr"/>
      <c r="E7818">
        <f>HYPERLINK("https://www.ncbi.nlm.nih.gov/gene/?term=OCT75946.1", "OCT75946.1")</f>
        <v/>
      </c>
      <c r="F7818" t="n">
        <v>74.90000000000001</v>
      </c>
      <c r="G7818" t="n">
        <v>455</v>
      </c>
      <c r="H7818" t="n">
        <v>7.05e-216</v>
      </c>
      <c r="I7818" t="inlineStr">
        <is>
          <t>Nr</t>
        </is>
      </c>
      <c r="J7818" t="inlineStr"/>
      <c r="K7818" t="inlineStr"/>
      <c r="L7818" t="inlineStr">
        <is>
          <t>OCT75946.1 hypothetical protein XELAEV_18031132mg [Xenopus laevis]</t>
        </is>
      </c>
      <c r="M7818" t="n">
        <v>1573</v>
      </c>
      <c r="N7818" t="inlineStr">
        <is>
          <t>Xenopus laevis</t>
        </is>
      </c>
      <c r="O7818" t="inlineStr">
        <is>
          <t>hypothetical protein XELAEV_18031132mg</t>
        </is>
      </c>
    </row>
    <row r="7819">
      <c r="A7819" t="inlineStr"/>
      <c r="B7819" t="inlineStr"/>
      <c r="C7819" t="inlineStr"/>
      <c r="D7819" t="inlineStr"/>
      <c r="E7819">
        <f>HYPERLINK("https://www.ncbi.nlm.nih.gov/gene/?term=XP_042701214.1", "XP_042701214.1")</f>
        <v/>
      </c>
      <c r="F7819" t="n">
        <v>70.7</v>
      </c>
      <c r="G7819" t="n">
        <v>461</v>
      </c>
      <c r="H7819" t="n">
        <v>3.48e-211</v>
      </c>
      <c r="I7819" t="inlineStr">
        <is>
          <t>Nr</t>
        </is>
      </c>
      <c r="J7819" t="inlineStr"/>
      <c r="K7819" t="inlineStr"/>
      <c r="L7819" t="inlineStr">
        <is>
          <t>XP_042701214.1 DNA topoisomerase 2-binding protein 1, partial [Chrysemys picta bellii]</t>
        </is>
      </c>
      <c r="M7819" t="n">
        <v>857</v>
      </c>
      <c r="N7819" t="inlineStr">
        <is>
          <t>Chrysemys picta bellii</t>
        </is>
      </c>
      <c r="O7819" t="inlineStr">
        <is>
          <t>DNA topoisomerase 2-binding protein 1, partial</t>
        </is>
      </c>
    </row>
    <row r="7820">
      <c r="A7820" t="inlineStr"/>
      <c r="B7820" t="inlineStr"/>
      <c r="C7820" t="inlineStr"/>
      <c r="D7820" t="inlineStr"/>
      <c r="E7820">
        <f>HYPERLINK("https://www.ncbi.nlm.nih.gov/gene/?term=KAJ1101636.1", "KAJ1101636.1")</f>
        <v/>
      </c>
      <c r="F7820" t="n">
        <v>72.8</v>
      </c>
      <c r="G7820" t="n">
        <v>463</v>
      </c>
      <c r="H7820" t="n">
        <v>2.78e-208</v>
      </c>
      <c r="I7820" t="inlineStr">
        <is>
          <t>Nr</t>
        </is>
      </c>
      <c r="J7820" t="inlineStr"/>
      <c r="K7820" t="inlineStr"/>
      <c r="L7820" t="inlineStr">
        <is>
          <t>KAJ1101636.1 hypothetical protein NDU88_006702 [Pleurodeles waltl]</t>
        </is>
      </c>
      <c r="M7820" t="n">
        <v>1547</v>
      </c>
      <c r="N7820" t="inlineStr">
        <is>
          <t>Pleurodeles waltl</t>
        </is>
      </c>
      <c r="O7820" t="inlineStr">
        <is>
          <t>hypothetical protein NDU88_006702</t>
        </is>
      </c>
    </row>
    <row r="7821">
      <c r="A7821" t="inlineStr"/>
      <c r="B7821" t="inlineStr"/>
      <c r="C7821" t="inlineStr"/>
      <c r="D7821" t="inlineStr"/>
      <c r="E7821">
        <f>HYPERLINK("https://www.ncbi.nlm.nih.gov/gene/?term=XP_029445188.1", "XP_029445188.1")</f>
        <v/>
      </c>
      <c r="F7821" t="n">
        <v>70.40000000000001</v>
      </c>
      <c r="G7821" t="n">
        <v>459</v>
      </c>
      <c r="H7821" t="n">
        <v>7.500000000000001e-208</v>
      </c>
      <c r="I7821" t="inlineStr">
        <is>
          <t>Nr</t>
        </is>
      </c>
      <c r="J7821" t="inlineStr"/>
      <c r="K7821" t="inlineStr"/>
      <c r="L7821" t="inlineStr">
        <is>
          <t>XP_029445188.1 DNA topoisomerase 2-binding protein 1 isoform X2 [Rhinatrema bivittatum]</t>
        </is>
      </c>
      <c r="M7821" t="n">
        <v>1515</v>
      </c>
      <c r="N7821" t="inlineStr">
        <is>
          <t>Rhinatrema bivittatum</t>
        </is>
      </c>
      <c r="O7821" t="inlineStr">
        <is>
          <t>DNA topoisomerase 2-binding protein 1 isoform X2</t>
        </is>
      </c>
    </row>
    <row r="7822">
      <c r="A7822" t="inlineStr"/>
      <c r="B7822" t="inlineStr"/>
      <c r="C7822" t="inlineStr"/>
      <c r="D7822" t="inlineStr"/>
      <c r="E7822">
        <f>HYPERLINK("https://www.ncbi.nlm.nih.gov/gene/?term=XP_029445187.1", "XP_029445187.1")</f>
        <v/>
      </c>
      <c r="F7822" t="n">
        <v>70.40000000000001</v>
      </c>
      <c r="G7822" t="n">
        <v>459</v>
      </c>
      <c r="H7822" t="n">
        <v>7.67e-208</v>
      </c>
      <c r="I7822" t="inlineStr">
        <is>
          <t>Nr</t>
        </is>
      </c>
      <c r="J7822" t="inlineStr"/>
      <c r="K7822" t="inlineStr"/>
      <c r="L7822" t="inlineStr">
        <is>
          <t>XP_029445187.1 DNA topoisomerase 2-binding protein 1 isoform X1 [Rhinatrema bivittatum]</t>
        </is>
      </c>
      <c r="M7822" t="n">
        <v>1516</v>
      </c>
      <c r="N7822" t="inlineStr">
        <is>
          <t>Rhinatrema bivittatum</t>
        </is>
      </c>
      <c r="O7822" t="inlineStr">
        <is>
          <t>DNA topoisomerase 2-binding protein 1 isoform X1</t>
        </is>
      </c>
    </row>
    <row r="7823">
      <c r="A7823" t="inlineStr"/>
      <c r="B7823" t="inlineStr"/>
      <c r="C7823" t="inlineStr"/>
      <c r="D7823" t="inlineStr"/>
      <c r="E7823">
        <f>HYPERLINK("https://www.ncbi.nlm.nih.gov/gene/?term=XP_010218586.1", "XP_010218586.1")</f>
        <v/>
      </c>
      <c r="F7823" t="n">
        <v>69</v>
      </c>
      <c r="G7823" t="n">
        <v>461</v>
      </c>
      <c r="H7823" t="n">
        <v>7.810000000000001e-208</v>
      </c>
      <c r="I7823" t="inlineStr">
        <is>
          <t>Nr</t>
        </is>
      </c>
      <c r="J7823" t="inlineStr"/>
      <c r="K7823" t="inlineStr"/>
      <c r="L7823" t="inlineStr">
        <is>
          <t>XP_010218586.1 PREDICTED: DNA topoisomerase 2-binding protein 1, partial [Tinamus guttatus]</t>
        </is>
      </c>
      <c r="M7823" t="n">
        <v>593</v>
      </c>
      <c r="N7823" t="inlineStr">
        <is>
          <t>Tinamus guttatus</t>
        </is>
      </c>
      <c r="O7823" t="inlineStr">
        <is>
          <t>PREDICTED: DNA topoisomerase 2-binding protein 1, partial</t>
        </is>
      </c>
    </row>
    <row r="7824">
      <c r="A7824" t="inlineStr"/>
      <c r="B7824" t="inlineStr"/>
      <c r="C7824" t="inlineStr"/>
      <c r="D7824" t="inlineStr"/>
      <c r="E7824">
        <f>HYPERLINK("https://www.ncbi.nlm.nih.gov/gene/?term=KAG8572751.1", "KAG8572751.1")</f>
        <v/>
      </c>
      <c r="F7824" t="n">
        <v>71.2</v>
      </c>
      <c r="G7824" t="n">
        <v>455</v>
      </c>
      <c r="H7824" t="n">
        <v>1.52e-205</v>
      </c>
      <c r="I7824" t="inlineStr">
        <is>
          <t>Nr</t>
        </is>
      </c>
      <c r="J7824" t="inlineStr"/>
      <c r="K7824" t="inlineStr"/>
      <c r="L7824" t="inlineStr">
        <is>
          <t>KAG8572751.1 hypothetical protein GDO81_012155 [Engystomops pustulosus]</t>
        </is>
      </c>
      <c r="M7824" t="n">
        <v>1419</v>
      </c>
      <c r="N7824" t="inlineStr">
        <is>
          <t>Engystomops pustulosus</t>
        </is>
      </c>
      <c r="O7824" t="inlineStr">
        <is>
          <t>hypothetical protein GDO81_012155</t>
        </is>
      </c>
    </row>
    <row r="7825">
      <c r="A7825" t="inlineStr"/>
      <c r="B7825" t="inlineStr"/>
      <c r="C7825" t="inlineStr"/>
      <c r="D7825" t="inlineStr"/>
      <c r="E7825">
        <f>HYPERLINK("https://www.ncbi.nlm.nih.gov/gene/?term=XP_043364845.1", "XP_043364845.1")</f>
        <v/>
      </c>
      <c r="F7825" t="n">
        <v>70.7</v>
      </c>
      <c r="G7825" t="n">
        <v>461</v>
      </c>
      <c r="H7825" t="n">
        <v>4.66e-205</v>
      </c>
      <c r="I7825" t="inlineStr">
        <is>
          <t>Nr</t>
        </is>
      </c>
      <c r="J7825" t="inlineStr"/>
      <c r="K7825" t="inlineStr"/>
      <c r="L7825" t="inlineStr">
        <is>
          <t>XP_043364845.1 DNA topoisomerase 2-binding protein 1 isoform X5 [Dermochelys coriacea]</t>
        </is>
      </c>
      <c r="M7825" t="n">
        <v>1242</v>
      </c>
      <c r="N7825" t="inlineStr">
        <is>
          <t>Dermochelys coriacea</t>
        </is>
      </c>
      <c r="O7825" t="inlineStr">
        <is>
          <t>DNA topoisomerase 2-binding protein 1 isoform X5</t>
        </is>
      </c>
    </row>
    <row r="7826">
      <c r="A7826" t="inlineStr"/>
      <c r="B7826" t="inlineStr"/>
      <c r="C7826" t="inlineStr"/>
      <c r="D7826" t="inlineStr"/>
      <c r="E7826">
        <f>HYPERLINK("https://www.ncbi.nlm.nih.gov/gene/?term=KAG8572750.1", "KAG8572750.1")</f>
        <v/>
      </c>
      <c r="F7826" t="n">
        <v>71.2</v>
      </c>
      <c r="G7826" t="n">
        <v>455</v>
      </c>
      <c r="H7826" t="n">
        <v>5.93e-205</v>
      </c>
      <c r="I7826" t="inlineStr">
        <is>
          <t>Nr</t>
        </is>
      </c>
      <c r="J7826" t="inlineStr"/>
      <c r="K7826" t="inlineStr"/>
      <c r="L7826" t="inlineStr">
        <is>
          <t>KAG8572750.1 hypothetical protein GDO81_012155 [Engystomops pustulosus]</t>
        </is>
      </c>
      <c r="M7826" t="n">
        <v>1478</v>
      </c>
      <c r="N7826" t="inlineStr">
        <is>
          <t>Engystomops pustulosus</t>
        </is>
      </c>
      <c r="O7826" t="inlineStr">
        <is>
          <t>hypothetical protein GDO81_012155</t>
        </is>
      </c>
    </row>
    <row r="7827">
      <c r="A7827" t="inlineStr"/>
      <c r="B7827" t="inlineStr"/>
      <c r="C7827" t="inlineStr"/>
      <c r="D7827" t="inlineStr"/>
      <c r="E7827">
        <f>HYPERLINK("https://www.ncbi.nlm.nih.gov/gene/?term=KAG8572749.1", "KAG8572749.1")</f>
        <v/>
      </c>
      <c r="F7827" t="n">
        <v>71.2</v>
      </c>
      <c r="G7827" t="n">
        <v>455</v>
      </c>
      <c r="H7827" t="n">
        <v>1.11e-204</v>
      </c>
      <c r="I7827" t="inlineStr">
        <is>
          <t>Nr</t>
        </is>
      </c>
      <c r="J7827" t="inlineStr"/>
      <c r="K7827" t="inlineStr"/>
      <c r="L7827" t="inlineStr">
        <is>
          <t>KAG8572749.1 hypothetical protein GDO81_012155 [Engystomops pustulosus]</t>
        </is>
      </c>
      <c r="M7827" t="n">
        <v>1506</v>
      </c>
      <c r="N7827" t="inlineStr">
        <is>
          <t>Engystomops pustulosus</t>
        </is>
      </c>
      <c r="O7827" t="inlineStr">
        <is>
          <t>hypothetical protein GDO81_012155</t>
        </is>
      </c>
    </row>
    <row r="7828">
      <c r="A7828" t="inlineStr"/>
      <c r="B7828" t="inlineStr"/>
      <c r="C7828" t="inlineStr"/>
      <c r="D7828" t="inlineStr"/>
      <c r="E7828">
        <f>HYPERLINK("https://www.uniprot.org/uniprotkb/A0A8C3SBS5/entry", "A0A8C3SBS5")</f>
        <v/>
      </c>
      <c r="F7828" t="n">
        <v>70.90000000000001</v>
      </c>
      <c r="G7828" t="n">
        <v>461</v>
      </c>
      <c r="H7828" t="n">
        <v>1.78e-204</v>
      </c>
      <c r="I7828" t="inlineStr">
        <is>
          <t>TrEMBL</t>
        </is>
      </c>
      <c r="J7828" t="inlineStr"/>
      <c r="K7828" t="inlineStr">
        <is>
          <t>A0A8C3SBS5_CHESE</t>
        </is>
      </c>
      <c r="L7828" t="inlineStr">
        <is>
          <t>tr|A0A8C3SBS5|A0A8C3SBS5_CHESE DNA topoisomerase II binding protein 1 OS=Chelydra serpentina OX=8475 PE=4 SV=1</t>
        </is>
      </c>
      <c r="M7828" t="n">
        <v>1433</v>
      </c>
      <c r="N7828" t="inlineStr">
        <is>
          <t>Chelydra serpentina</t>
        </is>
      </c>
      <c r="O7828" t="inlineStr">
        <is>
          <t>DNA topoisomerase II binding protein 1</t>
        </is>
      </c>
    </row>
    <row r="7829">
      <c r="A7829" t="inlineStr"/>
      <c r="B7829" t="inlineStr"/>
      <c r="C7829" t="inlineStr"/>
      <c r="D7829" t="inlineStr"/>
      <c r="E7829">
        <f>HYPERLINK("https://www.ncbi.nlm.nih.gov/gene/?term=XP_034616835.1", "XP_034616835.1")</f>
        <v/>
      </c>
      <c r="F7829" t="n">
        <v>70.7</v>
      </c>
      <c r="G7829" t="n">
        <v>461</v>
      </c>
      <c r="H7829" t="n">
        <v>2.36e-204</v>
      </c>
      <c r="I7829" t="inlineStr">
        <is>
          <t>Nr</t>
        </is>
      </c>
      <c r="J7829" t="inlineStr"/>
      <c r="K7829" t="inlineStr"/>
      <c r="L7829" t="inlineStr">
        <is>
          <t>XP_034616835.1 DNA topoisomerase 2-binding protein 1 isoform X2 [Trachemys scripta elegans]</t>
        </is>
      </c>
      <c r="M7829" t="n">
        <v>1434</v>
      </c>
      <c r="N7829" t="inlineStr">
        <is>
          <t>Trachemys scripta elegans</t>
        </is>
      </c>
      <c r="O7829" t="inlineStr">
        <is>
          <t>DNA topoisomerase 2-binding protein 1 isoform X2</t>
        </is>
      </c>
    </row>
    <row r="7830">
      <c r="A7830" t="inlineStr"/>
      <c r="B7830" t="inlineStr"/>
      <c r="C7830" t="inlineStr"/>
      <c r="D7830" t="inlineStr"/>
      <c r="E7830">
        <f>HYPERLINK("https://www.uniprot.org/uniprotkb/A0A8C3IEX7/entry", "A0A8C3IEX7")</f>
        <v/>
      </c>
      <c r="F7830" t="n">
        <v>70.7</v>
      </c>
      <c r="G7830" t="n">
        <v>461</v>
      </c>
      <c r="H7830" t="n">
        <v>2.63e-204</v>
      </c>
      <c r="I7830" t="inlineStr">
        <is>
          <t>TrEMBL</t>
        </is>
      </c>
      <c r="J7830" t="inlineStr">
        <is>
          <t>TOPBP1</t>
        </is>
      </c>
      <c r="K7830" t="inlineStr">
        <is>
          <t>A0A8C3IEX7_CHRPI</t>
        </is>
      </c>
      <c r="L7830" t="inlineStr">
        <is>
          <t>tr|A0A8C3IEX7|A0A8C3IEX7_CHRPI DNA topoisomerase II binding protein 1 OS=Chrysemys picta bellii OX=8478 GN=TOPBP1 PE=4 SV=1</t>
        </is>
      </c>
      <c r="M7830" t="n">
        <v>1480</v>
      </c>
      <c r="N7830" t="inlineStr">
        <is>
          <t>Chrysemys picta bellii</t>
        </is>
      </c>
      <c r="O7830" t="inlineStr">
        <is>
          <t>DNA topoisomerase II binding protein 1</t>
        </is>
      </c>
    </row>
    <row r="7831">
      <c r="A7831" t="inlineStr"/>
      <c r="B7831" t="inlineStr"/>
      <c r="C7831" t="inlineStr"/>
      <c r="D7831" t="inlineStr"/>
      <c r="E7831">
        <f>HYPERLINK("https://www.uniprot.org/uniprotkb/A0A8C3PCQ0/entry", "A0A8C3PCQ0")</f>
        <v/>
      </c>
      <c r="F7831" t="n">
        <v>70.7</v>
      </c>
      <c r="G7831" t="n">
        <v>461</v>
      </c>
      <c r="H7831" t="n">
        <v>4.12e-204</v>
      </c>
      <c r="I7831" t="inlineStr">
        <is>
          <t>TrEMBL</t>
        </is>
      </c>
      <c r="J7831" t="inlineStr">
        <is>
          <t>TOPBP1</t>
        </is>
      </c>
      <c r="K7831" t="inlineStr">
        <is>
          <t>A0A8C3PCQ0_CHRPI</t>
        </is>
      </c>
      <c r="L7831" t="inlineStr">
        <is>
          <t>tr|A0A8C3PCQ0|A0A8C3PCQ0_CHRPI DNA topoisomerase II binding protein 1 OS=Chrysemys picta bellii OX=8478 GN=TOPBP1 PE=4 SV=1</t>
        </is>
      </c>
      <c r="M7831" t="n">
        <v>1500</v>
      </c>
      <c r="N7831" t="inlineStr">
        <is>
          <t>Chrysemys picta bellii</t>
        </is>
      </c>
      <c r="O7831" t="inlineStr">
        <is>
          <t>DNA topoisomerase II binding protein 1</t>
        </is>
      </c>
    </row>
    <row r="7832">
      <c r="A7832" t="inlineStr"/>
      <c r="B7832" t="inlineStr"/>
      <c r="C7832" t="inlineStr"/>
      <c r="D7832" t="inlineStr"/>
      <c r="E7832">
        <f>HYPERLINK("https://www.ncbi.nlm.nih.gov/gene/?term=KAH1177766.1", "KAH1177766.1")</f>
        <v/>
      </c>
      <c r="F7832" t="n">
        <v>70.7</v>
      </c>
      <c r="G7832" t="n">
        <v>461</v>
      </c>
      <c r="H7832" t="n">
        <v>4.38e-204</v>
      </c>
      <c r="I7832" t="inlineStr">
        <is>
          <t>Nr</t>
        </is>
      </c>
      <c r="J7832" t="inlineStr"/>
      <c r="K7832" t="inlineStr"/>
      <c r="L7832" t="inlineStr">
        <is>
          <t>KAH1177766.1 hypothetical protein KIL84_011468 [Mauremys mutica]</t>
        </is>
      </c>
      <c r="M7832" t="n">
        <v>1402</v>
      </c>
      <c r="N7832" t="inlineStr">
        <is>
          <t>Mauremys mutica</t>
        </is>
      </c>
      <c r="O7832" t="inlineStr">
        <is>
          <t>hypothetical protein KIL84_011468</t>
        </is>
      </c>
    </row>
    <row r="7833">
      <c r="A7833" t="inlineStr"/>
      <c r="B7833" t="inlineStr"/>
      <c r="C7833" t="inlineStr"/>
      <c r="D7833" t="inlineStr"/>
      <c r="E7833">
        <f>HYPERLINK("https://www.uniprot.org/uniprotkb/A0A8C5PMP1/entry", "A0A8C5PMP1")</f>
        <v/>
      </c>
      <c r="F7833" t="n">
        <v>71.5</v>
      </c>
      <c r="G7833" t="n">
        <v>453</v>
      </c>
      <c r="H7833" t="n">
        <v>1.06e-203</v>
      </c>
      <c r="I7833" t="inlineStr">
        <is>
          <t>TrEMBL</t>
        </is>
      </c>
      <c r="J7833" t="inlineStr">
        <is>
          <t>TOPBP1</t>
        </is>
      </c>
      <c r="K7833" t="inlineStr">
        <is>
          <t>A0A8C5PMP1_9ANUR</t>
        </is>
      </c>
      <c r="L7833" t="inlineStr">
        <is>
          <t>tr|A0A8C5PMP1|A0A8C5PMP1_9ANUR DNA topoisomerase II binding protein 1 OS=Leptobrachium leishanense OX=445787 GN=TOPBP1 PE=4 SV=1</t>
        </is>
      </c>
      <c r="M7833" t="n">
        <v>1512</v>
      </c>
      <c r="N7833" t="inlineStr">
        <is>
          <t>Leptobrachium leishanense</t>
        </is>
      </c>
      <c r="O7833" t="inlineStr">
        <is>
          <t>DNA topoisomerase II binding protein 1</t>
        </is>
      </c>
    </row>
    <row r="7834">
      <c r="A7834" t="inlineStr"/>
      <c r="B7834" t="inlineStr"/>
      <c r="C7834" t="inlineStr"/>
      <c r="D7834" t="inlineStr"/>
      <c r="E7834">
        <f>HYPERLINK("https://www.uniprot.org/uniprotkb/A0A8T1SNC2/entry", "A0A8T1SNC2")</f>
        <v/>
      </c>
      <c r="F7834" t="n">
        <v>70.90000000000001</v>
      </c>
      <c r="G7834" t="n">
        <v>461</v>
      </c>
      <c r="H7834" t="n">
        <v>1.24e-203</v>
      </c>
      <c r="I7834" t="inlineStr">
        <is>
          <t>TrEMBL</t>
        </is>
      </c>
      <c r="J7834" t="inlineStr">
        <is>
          <t>TOPBP1</t>
        </is>
      </c>
      <c r="K7834" t="inlineStr">
        <is>
          <t>A0A8T1SNC2_CHESE</t>
        </is>
      </c>
      <c r="L7834" t="inlineStr">
        <is>
          <t>tr|A0A8T1SNC2|A0A8T1SNC2_CHESE Topoisomerase (DNA) II binding protein 1 OS=Chelydra serpentina OX=8475 GN=TOPBP1 PE=4 SV=1</t>
        </is>
      </c>
      <c r="M7834" t="n">
        <v>1519</v>
      </c>
      <c r="N7834" t="inlineStr">
        <is>
          <t>Chelydra serpentina</t>
        </is>
      </c>
      <c r="O7834" t="inlineStr">
        <is>
          <t>Topoisomerase (DNA) II binding protein 1</t>
        </is>
      </c>
    </row>
    <row r="7835">
      <c r="A7835" t="inlineStr"/>
      <c r="B7835" t="inlineStr"/>
      <c r="C7835" t="inlineStr"/>
      <c r="D7835" t="inlineStr"/>
      <c r="E7835">
        <f>HYPERLINK("https://www.uniprot.org/uniprotkb/A0A8B7J554/entry", "A0A8B7J554")</f>
        <v/>
      </c>
      <c r="F7835" t="n">
        <v>70.90000000000001</v>
      </c>
      <c r="G7835" t="n">
        <v>461</v>
      </c>
      <c r="H7835" t="n">
        <v>1.38e-203</v>
      </c>
      <c r="I7835" t="inlineStr">
        <is>
          <t>TrEMBL</t>
        </is>
      </c>
      <c r="J7835" t="inlineStr">
        <is>
          <t>TOPBP1</t>
        </is>
      </c>
      <c r="K7835" t="inlineStr">
        <is>
          <t>A0A8B7J554_9AVES</t>
        </is>
      </c>
      <c r="L7835" t="inlineStr">
        <is>
          <t>tr|A0A8B7J554|A0A8B7J554_9AVES DNA topoisomerase 2-binding protein 1 OS=Apteryx mantelli mantelli OX=202946 GN=TOPBP1 PE=4 SV=1</t>
        </is>
      </c>
      <c r="M7835" t="n">
        <v>1524</v>
      </c>
      <c r="N7835" t="inlineStr">
        <is>
          <t>Apteryx mantelli mantelli</t>
        </is>
      </c>
      <c r="O7835" t="inlineStr">
        <is>
          <t>DNA topoisomerase 2-binding protein 1</t>
        </is>
      </c>
    </row>
    <row r="7836">
      <c r="A7836" t="inlineStr"/>
      <c r="B7836" t="inlineStr"/>
      <c r="C7836" t="inlineStr"/>
      <c r="D7836" t="inlineStr"/>
      <c r="E7836">
        <f>HYPERLINK("https://www.ncbi.nlm.nih.gov/gene/?term=XP_034616833.1", "XP_034616833.1")</f>
        <v/>
      </c>
      <c r="F7836" t="n">
        <v>70.7</v>
      </c>
      <c r="G7836" t="n">
        <v>461</v>
      </c>
      <c r="H7836" t="n">
        <v>1.65e-203</v>
      </c>
      <c r="I7836" t="inlineStr">
        <is>
          <t>Nr</t>
        </is>
      </c>
      <c r="J7836" t="inlineStr"/>
      <c r="K7836" t="inlineStr"/>
      <c r="L7836" t="inlineStr">
        <is>
          <t>XP_034616833.1 DNA topoisomerase 2-binding protein 1 isoform X1 [Trachemys scripta elegans]</t>
        </is>
      </c>
      <c r="M7836" t="n">
        <v>1520</v>
      </c>
      <c r="N7836" t="inlineStr">
        <is>
          <t>Trachemys scripta elegans</t>
        </is>
      </c>
      <c r="O7836" t="inlineStr">
        <is>
          <t>DNA topoisomerase 2-binding protein 1 isoform X1</t>
        </is>
      </c>
    </row>
    <row r="7837">
      <c r="A7837" t="inlineStr"/>
      <c r="B7837" t="inlineStr"/>
      <c r="C7837" t="inlineStr"/>
      <c r="D7837" t="inlineStr"/>
      <c r="E7837">
        <f>HYPERLINK("https://www.uniprot.org/uniprotkb/A0A8C0H1G9/entry", "A0A8C0H1G9")</f>
        <v/>
      </c>
      <c r="F7837" t="n">
        <v>70.3</v>
      </c>
      <c r="G7837" t="n">
        <v>461</v>
      </c>
      <c r="H7837" t="n">
        <v>2.68e-203</v>
      </c>
      <c r="I7837" t="inlineStr">
        <is>
          <t>TrEMBL</t>
        </is>
      </c>
      <c r="J7837" t="inlineStr">
        <is>
          <t>TOPBP1</t>
        </is>
      </c>
      <c r="K7837" t="inlineStr">
        <is>
          <t>A0A8C0H1G9_CHEAB</t>
        </is>
      </c>
      <c r="L7837" t="inlineStr">
        <is>
          <t>tr|A0A8C0H1G9|A0A8C0H1G9_CHEAB DNA topoisomerase II binding protein 1 OS=Chelonoidis abingdonii OX=106734 GN=TOPBP1 PE=4 SV=1</t>
        </is>
      </c>
      <c r="M7837" t="n">
        <v>1462</v>
      </c>
      <c r="N7837" t="inlineStr">
        <is>
          <t>Chelonoidis abingdonii</t>
        </is>
      </c>
      <c r="O7837" t="inlineStr">
        <is>
          <t>DNA topoisomerase II binding protein 1</t>
        </is>
      </c>
    </row>
    <row r="7838">
      <c r="A7838" t="inlineStr"/>
      <c r="B7838" t="inlineStr"/>
      <c r="C7838" t="inlineStr"/>
      <c r="D7838" t="inlineStr"/>
      <c r="E7838">
        <f>HYPERLINK("https://www.ncbi.nlm.nih.gov/gene/?term=KAG6930646.1", "KAG6930646.1")</f>
        <v/>
      </c>
      <c r="F7838" t="n">
        <v>70.90000000000001</v>
      </c>
      <c r="G7838" t="n">
        <v>461</v>
      </c>
      <c r="H7838" t="n">
        <v>3.19e-203</v>
      </c>
      <c r="I7838" t="inlineStr">
        <is>
          <t>Nr</t>
        </is>
      </c>
      <c r="J7838" t="inlineStr"/>
      <c r="K7838" t="inlineStr"/>
      <c r="L7838" t="inlineStr">
        <is>
          <t>KAG6930646.1 topoisomerase (DNA) II binding protein 1 [Chelydra serpentina]</t>
        </is>
      </c>
      <c r="M7838" t="n">
        <v>1519</v>
      </c>
      <c r="N7838" t="inlineStr">
        <is>
          <t>Chelydra serpentina</t>
        </is>
      </c>
      <c r="O7838" t="inlineStr">
        <is>
          <t>topoisomerase (DNA) II binding protein 1</t>
        </is>
      </c>
    </row>
    <row r="7839">
      <c r="A7839" t="inlineStr"/>
      <c r="B7839" t="inlineStr"/>
      <c r="C7839" t="inlineStr"/>
      <c r="D7839" t="inlineStr"/>
      <c r="E7839">
        <f>HYPERLINK("https://www.ncbi.nlm.nih.gov/gene/?term=XP_013806235.1", "XP_013806235.1")</f>
        <v/>
      </c>
      <c r="F7839" t="n">
        <v>70.90000000000001</v>
      </c>
      <c r="G7839" t="n">
        <v>461</v>
      </c>
      <c r="H7839" t="n">
        <v>3.56e-203</v>
      </c>
      <c r="I7839" t="inlineStr">
        <is>
          <t>Nr</t>
        </is>
      </c>
      <c r="J7839" t="inlineStr"/>
      <c r="K7839" t="inlineStr"/>
      <c r="L7839" t="inlineStr">
        <is>
          <t>XP_013806235.1 PREDICTED: DNA topoisomerase 2-binding protein 1 [Apteryx mantelli mantelli]</t>
        </is>
      </c>
      <c r="M7839" t="n">
        <v>1524</v>
      </c>
      <c r="N7839" t="inlineStr">
        <is>
          <t>Apteryx mantelli mantelli</t>
        </is>
      </c>
      <c r="O7839" t="inlineStr">
        <is>
          <t>PREDICTED: DNA topoisomerase 2-binding protein 1</t>
        </is>
      </c>
    </row>
    <row r="7840">
      <c r="A7840" t="inlineStr"/>
      <c r="B7840" t="inlineStr"/>
      <c r="C7840" t="inlineStr"/>
      <c r="D7840" t="inlineStr"/>
      <c r="E7840">
        <f>HYPERLINK("https://www.uniprot.org/uniprotkb/A0A8C0H2I8/entry", "A0A8C0H2I8")</f>
        <v/>
      </c>
      <c r="F7840" t="n">
        <v>70.3</v>
      </c>
      <c r="G7840" t="n">
        <v>461</v>
      </c>
      <c r="H7840" t="n">
        <v>9.79e-203</v>
      </c>
      <c r="I7840" t="inlineStr">
        <is>
          <t>TrEMBL</t>
        </is>
      </c>
      <c r="J7840" t="inlineStr">
        <is>
          <t>TOPBP1</t>
        </is>
      </c>
      <c r="K7840" t="inlineStr">
        <is>
          <t>A0A8C0H2I8_CHEAB</t>
        </is>
      </c>
      <c r="L7840" t="inlineStr">
        <is>
          <t>tr|A0A8C0H2I8|A0A8C0H2I8_CHEAB DNA topoisomerase II binding protein 1 OS=Chelonoidis abingdonii OX=106734 GN=TOPBP1 PE=4 SV=1</t>
        </is>
      </c>
      <c r="M7840" t="n">
        <v>1520</v>
      </c>
      <c r="N7840" t="inlineStr">
        <is>
          <t>Chelonoidis abingdonii</t>
        </is>
      </c>
      <c r="O7840" t="inlineStr">
        <is>
          <t>DNA topoisomerase II binding protein 1</t>
        </is>
      </c>
    </row>
    <row r="7841">
      <c r="A7841" t="inlineStr"/>
      <c r="B7841" t="inlineStr"/>
      <c r="C7841" t="inlineStr"/>
      <c r="D7841" t="inlineStr"/>
      <c r="E7841">
        <f>HYPERLINK("https://www.uniprot.org/uniprotkb/A0A8C4J2N4/entry", "A0A8C4J2N4")</f>
        <v/>
      </c>
      <c r="F7841" t="n">
        <v>70.5</v>
      </c>
      <c r="G7841" t="n">
        <v>461</v>
      </c>
      <c r="H7841" t="n">
        <v>1.07e-202</v>
      </c>
      <c r="I7841" t="inlineStr">
        <is>
          <t>TrEMBL</t>
        </is>
      </c>
      <c r="J7841" t="inlineStr">
        <is>
          <t>TOPBP1</t>
        </is>
      </c>
      <c r="K7841" t="inlineStr">
        <is>
          <t>A0A8C4J2N4_DRONO</t>
        </is>
      </c>
      <c r="L7841" t="inlineStr">
        <is>
          <t>tr|A0A8C4J2N4|A0A8C4J2N4_DRONO DNA topoisomerase II binding protein 1 OS=Dromaius novaehollandiae OX=8790 GN=TOPBP1 PE=4 SV=1</t>
        </is>
      </c>
      <c r="M7841" t="n">
        <v>1524</v>
      </c>
      <c r="N7841" t="inlineStr">
        <is>
          <t>Dromaius novaehollandiae</t>
        </is>
      </c>
      <c r="O7841" t="inlineStr">
        <is>
          <t>DNA topoisomerase II binding protein 1</t>
        </is>
      </c>
    </row>
    <row r="7842">
      <c r="A7842" t="inlineStr"/>
      <c r="B7842" t="inlineStr"/>
      <c r="C7842" t="inlineStr"/>
      <c r="D7842" t="inlineStr"/>
      <c r="E7842">
        <f>HYPERLINK("https://www.uniprot.org/uniprotkb/A0A674JRP8/entry", "A0A674JRP8")</f>
        <v/>
      </c>
      <c r="F7842" t="n">
        <v>69.8</v>
      </c>
      <c r="G7842" t="n">
        <v>461</v>
      </c>
      <c r="H7842" t="n">
        <v>3.02e-202</v>
      </c>
      <c r="I7842" t="inlineStr">
        <is>
          <t>TrEMBL</t>
        </is>
      </c>
      <c r="J7842" t="inlineStr"/>
      <c r="K7842" t="inlineStr">
        <is>
          <t>A0A674JRP8_TERCA</t>
        </is>
      </c>
      <c r="L7842" t="inlineStr">
        <is>
          <t>tr|A0A674JRP8|A0A674JRP8_TERCA DNA topoisomerase 2-binding protein 1 OS=Terrapene carolina triunguis OX=2587831 PE=4 SV=1</t>
        </is>
      </c>
      <c r="M7842" t="n">
        <v>1404</v>
      </c>
      <c r="N7842" t="inlineStr">
        <is>
          <t>Terrapene carolina triunguis</t>
        </is>
      </c>
      <c r="O7842" t="inlineStr">
        <is>
          <t>DNA topoisomerase 2-binding protein 1</t>
        </is>
      </c>
    </row>
    <row r="7843">
      <c r="A7843" t="inlineStr"/>
      <c r="B7843" t="inlineStr"/>
      <c r="C7843" t="inlineStr"/>
      <c r="D7843" t="inlineStr"/>
      <c r="E7843">
        <f>HYPERLINK("https://www.uniprot.org/uniprotkb/A0A674K7F9/entry", "A0A674K7F9")</f>
        <v/>
      </c>
      <c r="F7843" t="n">
        <v>70</v>
      </c>
      <c r="G7843" t="n">
        <v>460</v>
      </c>
      <c r="H7843" t="n">
        <v>2.37e-201</v>
      </c>
      <c r="I7843" t="inlineStr">
        <is>
          <t>TrEMBL</t>
        </is>
      </c>
      <c r="J7843" t="inlineStr"/>
      <c r="K7843" t="inlineStr">
        <is>
          <t>A0A674K7F9_TERCA</t>
        </is>
      </c>
      <c r="L7843" t="inlineStr">
        <is>
          <t>tr|A0A674K7F9|A0A674K7F9_TERCA DNA topoisomerase 2-binding protein 1 OS=Terrapene carolina triunguis OX=2587831 PE=4 SV=1</t>
        </is>
      </c>
      <c r="M7843" t="n">
        <v>1510</v>
      </c>
      <c r="N7843" t="inlineStr">
        <is>
          <t>Terrapene carolina triunguis</t>
        </is>
      </c>
      <c r="O7843" t="inlineStr">
        <is>
          <t>DNA topoisomerase 2-binding protein 1</t>
        </is>
      </c>
    </row>
    <row r="7844">
      <c r="A7844" t="inlineStr"/>
      <c r="B7844" t="inlineStr"/>
      <c r="C7844" t="inlineStr"/>
      <c r="D7844" t="inlineStr"/>
      <c r="E7844">
        <f>HYPERLINK("https://www.uniprot.org/uniprotkb/A0A8B9S6P5/entry", "A0A8B9S6P5")</f>
        <v/>
      </c>
      <c r="F7844" t="n">
        <v>70.09999999999999</v>
      </c>
      <c r="G7844" t="n">
        <v>461</v>
      </c>
      <c r="H7844" t="n">
        <v>4.91e-201</v>
      </c>
      <c r="I7844" t="inlineStr">
        <is>
          <t>TrEMBL</t>
        </is>
      </c>
      <c r="J7844" t="inlineStr"/>
      <c r="K7844" t="inlineStr">
        <is>
          <t>A0A8B9S6P5_APTOW</t>
        </is>
      </c>
      <c r="L7844" t="inlineStr">
        <is>
          <t>tr|A0A8B9S6P5|A0A8B9S6P5_APTOW DNA topoisomerase II binding protein 1 OS=Apteryx owenii OX=8824 PE=4 SV=1</t>
        </is>
      </c>
      <c r="M7844" t="n">
        <v>1466</v>
      </c>
      <c r="N7844" t="inlineStr">
        <is>
          <t>Apteryx owenii</t>
        </is>
      </c>
      <c r="O7844" t="inlineStr">
        <is>
          <t>DNA topoisomerase II binding protein 1</t>
        </is>
      </c>
    </row>
    <row r="7845">
      <c r="A7845" t="inlineStr"/>
      <c r="B7845" t="inlineStr"/>
      <c r="C7845" t="inlineStr"/>
      <c r="D7845" t="inlineStr"/>
      <c r="E7845">
        <f>HYPERLINK("https://www.uniprot.org/uniprotkb/A0A8B9PBX6/entry", "A0A8B9PBX6")</f>
        <v/>
      </c>
      <c r="F7845" t="n">
        <v>70.09999999999999</v>
      </c>
      <c r="G7845" t="n">
        <v>461</v>
      </c>
      <c r="H7845" t="n">
        <v>6.560000000000001e-201</v>
      </c>
      <c r="I7845" t="inlineStr">
        <is>
          <t>TrEMBL</t>
        </is>
      </c>
      <c r="J7845" t="inlineStr"/>
      <c r="K7845" t="inlineStr">
        <is>
          <t>A0A8B9PBX6_APTOW</t>
        </is>
      </c>
      <c r="L7845" t="inlineStr">
        <is>
          <t>tr|A0A8B9PBX6|A0A8B9PBX6_APTOW DNA topoisomerase II binding protein 1 OS=Apteryx owenii OX=8824 PE=4 SV=1</t>
        </is>
      </c>
      <c r="M7845" t="n">
        <v>1479</v>
      </c>
      <c r="N7845" t="inlineStr">
        <is>
          <t>Apteryx owenii</t>
        </is>
      </c>
      <c r="O7845" t="inlineStr">
        <is>
          <t>DNA topoisomerase II binding protein 1</t>
        </is>
      </c>
    </row>
    <row r="7846">
      <c r="A7846" t="inlineStr"/>
      <c r="B7846" t="inlineStr"/>
      <c r="C7846" t="inlineStr"/>
      <c r="D7846" t="inlineStr"/>
      <c r="E7846">
        <f>HYPERLINK("https://www.uniprot.org/uniprotkb/A0A8B9P7U5/entry", "A0A8B9P7U5")</f>
        <v/>
      </c>
      <c r="F7846" t="n">
        <v>70.09999999999999</v>
      </c>
      <c r="G7846" t="n">
        <v>461</v>
      </c>
      <c r="H7846" t="n">
        <v>1.76e-200</v>
      </c>
      <c r="I7846" t="inlineStr">
        <is>
          <t>TrEMBL</t>
        </is>
      </c>
      <c r="J7846" t="inlineStr"/>
      <c r="K7846" t="inlineStr">
        <is>
          <t>A0A8B9P7U5_APTOW</t>
        </is>
      </c>
      <c r="L7846" t="inlineStr">
        <is>
          <t>tr|A0A8B9P7U5|A0A8B9P7U5_APTOW DNA topoisomerase II binding protein 1 OS=Apteryx owenii OX=8824 PE=4 SV=1</t>
        </is>
      </c>
      <c r="M7846" t="n">
        <v>1524</v>
      </c>
      <c r="N7846" t="inlineStr">
        <is>
          <t>Apteryx owenii</t>
        </is>
      </c>
      <c r="O7846" t="inlineStr">
        <is>
          <t>DNA topoisomerase II binding protein 1</t>
        </is>
      </c>
    </row>
    <row r="7847">
      <c r="A7847" t="inlineStr"/>
      <c r="B7847" t="inlineStr"/>
      <c r="C7847" t="inlineStr"/>
      <c r="D7847" t="inlineStr"/>
      <c r="E7847">
        <f>HYPERLINK("https://www.uniprot.org/uniprotkb/A0A674JTE4/entry", "A0A674JTE4")</f>
        <v/>
      </c>
      <c r="F7847" t="n">
        <v>69.59999999999999</v>
      </c>
      <c r="G7847" t="n">
        <v>460</v>
      </c>
      <c r="H7847" t="n">
        <v>3.61e-200</v>
      </c>
      <c r="I7847" t="inlineStr">
        <is>
          <t>TrEMBL</t>
        </is>
      </c>
      <c r="J7847" t="inlineStr"/>
      <c r="K7847" t="inlineStr">
        <is>
          <t>A0A674JTE4_TERCA</t>
        </is>
      </c>
      <c r="L7847" t="inlineStr">
        <is>
          <t>tr|A0A674JTE4|A0A674JTE4_TERCA DNA topoisomerase 2-binding protein 1 OS=Terrapene carolina triunguis OX=2587831 PE=4 SV=1</t>
        </is>
      </c>
      <c r="M7847" t="n">
        <v>1510</v>
      </c>
      <c r="N7847" t="inlineStr">
        <is>
          <t>Terrapene carolina triunguis</t>
        </is>
      </c>
      <c r="O7847" t="inlineStr">
        <is>
          <t>DNA topoisomerase 2-binding protein 1</t>
        </is>
      </c>
    </row>
    <row r="7848">
      <c r="A7848" t="inlineStr"/>
      <c r="B7848" t="inlineStr"/>
      <c r="C7848" t="inlineStr"/>
      <c r="D7848" t="inlineStr"/>
      <c r="E7848">
        <f>HYPERLINK("https://www.uniprot.org/uniprotkb/K7FPB0/entry", "K7FPB0")</f>
        <v/>
      </c>
      <c r="F7848" t="n">
        <v>70.40000000000001</v>
      </c>
      <c r="G7848" t="n">
        <v>463</v>
      </c>
      <c r="H7848" t="n">
        <v>4.2e-200</v>
      </c>
      <c r="I7848" t="inlineStr">
        <is>
          <t>TrEMBL</t>
        </is>
      </c>
      <c r="J7848" t="inlineStr">
        <is>
          <t>TOPBP1</t>
        </is>
      </c>
      <c r="K7848" t="inlineStr">
        <is>
          <t>K7FPB0_PELSI</t>
        </is>
      </c>
      <c r="L7848" t="inlineStr">
        <is>
          <t>tr|K7FPB0|K7FPB0_PELSI DNA topoisomerase II binding protein 1 OS=Pelodiscus sinensis OX=13735 GN=TOPBP1 PE=4 SV=1</t>
        </is>
      </c>
      <c r="M7848" t="n">
        <v>1517</v>
      </c>
      <c r="N7848" t="inlineStr">
        <is>
          <t>Pelodiscus sinensis</t>
        </is>
      </c>
      <c r="O7848" t="inlineStr">
        <is>
          <t>DNA topoisomerase II binding protein 1</t>
        </is>
      </c>
    </row>
    <row r="7849">
      <c r="A7849" t="inlineStr"/>
      <c r="B7849" t="inlineStr"/>
      <c r="C7849" t="inlineStr"/>
      <c r="D7849" t="inlineStr"/>
      <c r="E7849">
        <f>HYPERLINK("https://www.uniprot.org/uniprotkb/A0A8C3IF16/entry", "A0A8C3IF16")</f>
        <v/>
      </c>
      <c r="F7849" t="n">
        <v>70.3</v>
      </c>
      <c r="G7849" t="n">
        <v>458</v>
      </c>
      <c r="H7849" t="n">
        <v>5.370000000000001e-200</v>
      </c>
      <c r="I7849" t="inlineStr">
        <is>
          <t>TrEMBL</t>
        </is>
      </c>
      <c r="J7849" t="inlineStr">
        <is>
          <t>TOPBP1</t>
        </is>
      </c>
      <c r="K7849" t="inlineStr">
        <is>
          <t>A0A8C3IF16_CHRPI</t>
        </is>
      </c>
      <c r="L7849" t="inlineStr">
        <is>
          <t>tr|A0A8C3IF16|A0A8C3IF16_CHRPI DNA topoisomerase II binding protein 1 OS=Chrysemys picta bellii OX=8478 GN=TOPBP1 PE=4 SV=1</t>
        </is>
      </c>
      <c r="M7849" t="n">
        <v>1497</v>
      </c>
      <c r="N7849" t="inlineStr">
        <is>
          <t>Chrysemys picta bellii</t>
        </is>
      </c>
      <c r="O7849" t="inlineStr">
        <is>
          <t>DNA topoisomerase II binding protein 1</t>
        </is>
      </c>
    </row>
    <row r="7850">
      <c r="A7850" t="inlineStr"/>
      <c r="B7850" t="inlineStr"/>
      <c r="C7850" t="inlineStr"/>
      <c r="D7850" t="inlineStr"/>
      <c r="E7850">
        <f>HYPERLINK("https://www.uniprot.org/uniprotkb/A0A8C8S9S1/entry", "A0A8C8S9S1")</f>
        <v/>
      </c>
      <c r="F7850" t="n">
        <v>69.8</v>
      </c>
      <c r="G7850" t="n">
        <v>461</v>
      </c>
      <c r="H7850" t="n">
        <v>5.910000000000001e-200</v>
      </c>
      <c r="I7850" t="inlineStr">
        <is>
          <t>TrEMBL</t>
        </is>
      </c>
      <c r="J7850" t="inlineStr"/>
      <c r="K7850" t="inlineStr">
        <is>
          <t>A0A8C8S9S1_9SAUR</t>
        </is>
      </c>
      <c r="L7850" t="inlineStr">
        <is>
          <t>tr|A0A8C8S9S1|A0A8C8S9S1_9SAUR DNA topoisomerase II binding protein 1 OS=Pelusios castaneus OX=367368 PE=4 SV=1</t>
        </is>
      </c>
      <c r="M7850" t="n">
        <v>1517</v>
      </c>
      <c r="N7850" t="inlineStr">
        <is>
          <t>Pelusios castaneus</t>
        </is>
      </c>
      <c r="O7850" t="inlineStr">
        <is>
          <t>DNA topoisomerase II binding protein 1</t>
        </is>
      </c>
    </row>
    <row r="7851">
      <c r="A7851" t="inlineStr"/>
      <c r="B7851" t="inlineStr"/>
      <c r="C7851" t="inlineStr"/>
      <c r="D7851" t="inlineStr"/>
      <c r="E7851">
        <f>HYPERLINK("https://www.uniprot.org/uniprotkb/A0A8C4VPK6/entry", "A0A8C4VPK6")</f>
        <v/>
      </c>
      <c r="F7851" t="n">
        <v>69.8</v>
      </c>
      <c r="G7851" t="n">
        <v>461</v>
      </c>
      <c r="H7851" t="n">
        <v>1.24e-199</v>
      </c>
      <c r="I7851" t="inlineStr">
        <is>
          <t>TrEMBL</t>
        </is>
      </c>
      <c r="J7851" t="inlineStr">
        <is>
          <t>TOPBP1</t>
        </is>
      </c>
      <c r="K7851" t="inlineStr">
        <is>
          <t>A0A8C4VPK6_9SAUR</t>
        </is>
      </c>
      <c r="L7851" t="inlineStr">
        <is>
          <t>tr|A0A8C4VPK6|A0A8C4VPK6_9SAUR DNA topoisomerase II binding protein 1 OS=Gopherus evgoodei OX=1825980 GN=TOPBP1 PE=4 SV=1</t>
        </is>
      </c>
      <c r="M7851" t="n">
        <v>1520</v>
      </c>
      <c r="N7851" t="inlineStr">
        <is>
          <t>Gopherus evgoodei</t>
        </is>
      </c>
      <c r="O7851" t="inlineStr">
        <is>
          <t>DNA topoisomerase II binding protein 1</t>
        </is>
      </c>
    </row>
    <row r="7852">
      <c r="A7852" t="inlineStr"/>
      <c r="B7852" t="inlineStr"/>
      <c r="C7852" t="inlineStr"/>
      <c r="D7852" t="inlineStr"/>
      <c r="E7852">
        <f>HYPERLINK("https://www.uniprot.org/uniprotkb/A0A6P8PPK0/entry", "A0A6P8PPK0")</f>
        <v/>
      </c>
      <c r="F7852" t="n">
        <v>70.3</v>
      </c>
      <c r="G7852" t="n">
        <v>458</v>
      </c>
      <c r="H7852" t="n">
        <v>1.41e-199</v>
      </c>
      <c r="I7852" t="inlineStr">
        <is>
          <t>TrEMBL</t>
        </is>
      </c>
      <c r="J7852" t="inlineStr">
        <is>
          <t>TOPBP1</t>
        </is>
      </c>
      <c r="K7852" t="inlineStr">
        <is>
          <t>A0A6P8PPK0_GEOSA</t>
        </is>
      </c>
      <c r="L7852" t="inlineStr">
        <is>
          <t>tr|A0A6P8PPK0|A0A6P8PPK0_GEOSA DNA topoisomerase 2-binding protein 1 isoform X1 OS=Geotrypetes seraphini OX=260995 GN=TOPBP1 PE=4 SV=1</t>
        </is>
      </c>
      <c r="M7852" t="n">
        <v>1510</v>
      </c>
      <c r="N7852" t="inlineStr">
        <is>
          <t>Geotrypetes seraphini</t>
        </is>
      </c>
      <c r="O7852" t="inlineStr">
        <is>
          <t>DNA topoisomerase 2-binding protein 1 isoform X1</t>
        </is>
      </c>
    </row>
    <row r="7853">
      <c r="A7853" t="inlineStr"/>
      <c r="B7853" t="inlineStr"/>
      <c r="C7853" t="inlineStr"/>
      <c r="D7853" t="inlineStr"/>
      <c r="E7853">
        <f>HYPERLINK("https://www.uniprot.org/uniprotkb/A0A8B9BUT8/entry", "A0A8B9BUT8")</f>
        <v/>
      </c>
      <c r="F7853" t="n">
        <v>70.2</v>
      </c>
      <c r="G7853" t="n">
        <v>460</v>
      </c>
      <c r="H7853" t="n">
        <v>1.5e-199</v>
      </c>
      <c r="I7853" t="inlineStr">
        <is>
          <t>TrEMBL</t>
        </is>
      </c>
      <c r="J7853" t="inlineStr">
        <is>
          <t>TOPBP1</t>
        </is>
      </c>
      <c r="K7853" t="inlineStr">
        <is>
          <t>A0A8B9BUT8_9AVES</t>
        </is>
      </c>
      <c r="L7853" t="inlineStr">
        <is>
          <t>tr|A0A8B9BUT8|A0A8B9BUT8_9AVES DNA topoisomerase II binding protein 1 OS=Anser brachyrhynchus OX=132585 GN=TOPBP1 PE=4 SV=1</t>
        </is>
      </c>
      <c r="M7853" t="n">
        <v>1436</v>
      </c>
      <c r="N7853" t="inlineStr">
        <is>
          <t>Anser brachyrhynchus</t>
        </is>
      </c>
      <c r="O7853" t="inlineStr">
        <is>
          <t>DNA topoisomerase II binding protein 1</t>
        </is>
      </c>
    </row>
    <row r="7854">
      <c r="A7854" t="inlineStr"/>
      <c r="B7854" t="inlineStr"/>
      <c r="C7854" t="inlineStr"/>
      <c r="D7854" t="inlineStr"/>
      <c r="E7854">
        <f>HYPERLINK("https://www.uniprot.org/uniprotkb/Q92547/entry", "Q92547")</f>
        <v/>
      </c>
      <c r="F7854" t="n">
        <v>66.09999999999999</v>
      </c>
      <c r="G7854" t="n">
        <v>460</v>
      </c>
      <c r="H7854" t="n">
        <v>1.39e-186</v>
      </c>
      <c r="I7854" t="inlineStr">
        <is>
          <t>Swiss-Prot</t>
        </is>
      </c>
      <c r="J7854" t="inlineStr">
        <is>
          <t>TOPBP1</t>
        </is>
      </c>
      <c r="K7854" t="inlineStr">
        <is>
          <t>TOPB1_HUMAN</t>
        </is>
      </c>
      <c r="L7854" t="inlineStr">
        <is>
          <t>sp|Q92547|TOPB1_HUMAN DNA topoisomerase 2-binding protein 1 OS=Homo sapiens OX=9606 GN=TOPBP1 PE=1 SV=3</t>
        </is>
      </c>
      <c r="M7854" t="n">
        <v>1522</v>
      </c>
      <c r="N7854" t="inlineStr">
        <is>
          <t>Homo sapiens</t>
        </is>
      </c>
      <c r="O7854" t="inlineStr">
        <is>
          <t>DNA topoisomerase 2-binding protein 1</t>
        </is>
      </c>
    </row>
    <row r="7855">
      <c r="A7855" t="inlineStr"/>
      <c r="B7855" t="inlineStr"/>
      <c r="C7855" t="inlineStr"/>
      <c r="D7855" t="inlineStr"/>
      <c r="E7855">
        <f>HYPERLINK("https://www.uniprot.org/uniprotkb/Q6ZQF0/entry", "Q6ZQF0")</f>
        <v/>
      </c>
      <c r="F7855" t="n">
        <v>54.8</v>
      </c>
      <c r="G7855" t="n">
        <v>460</v>
      </c>
      <c r="H7855" t="n">
        <v>1.67e-137</v>
      </c>
      <c r="I7855" t="inlineStr">
        <is>
          <t>Swiss-Prot</t>
        </is>
      </c>
      <c r="J7855" t="inlineStr">
        <is>
          <t>Topbp1</t>
        </is>
      </c>
      <c r="K7855" t="inlineStr">
        <is>
          <t>TOPB1_MOUSE</t>
        </is>
      </c>
      <c r="L7855" t="inlineStr">
        <is>
          <t>sp|Q6ZQF0|TOPB1_MOUSE DNA topoisomerase 2-binding protein 1 OS=Mus musculus OX=10090 GN=Topbp1 PE=1 SV=2</t>
        </is>
      </c>
      <c r="M7855" t="n">
        <v>1515</v>
      </c>
      <c r="N7855" t="inlineStr">
        <is>
          <t>Mus musculus</t>
        </is>
      </c>
      <c r="O7855" t="inlineStr">
        <is>
          <t>DNA topoisomerase 2-binding protein 1</t>
        </is>
      </c>
    </row>
    <row r="7856">
      <c r="A7856" t="inlineStr"/>
      <c r="B7856" t="inlineStr"/>
      <c r="C7856" t="inlineStr"/>
      <c r="D7856" t="inlineStr"/>
      <c r="E7856">
        <f>HYPERLINK("https://www.uniprot.org/uniprotkb/Q9BQI6/entry", "Q9BQI6")</f>
        <v/>
      </c>
      <c r="F7856" t="n">
        <v>28.6</v>
      </c>
      <c r="G7856" t="n">
        <v>185</v>
      </c>
      <c r="H7856" t="n">
        <v>2.19e-13</v>
      </c>
      <c r="I7856" t="inlineStr">
        <is>
          <t>Swiss-Prot</t>
        </is>
      </c>
      <c r="J7856" t="inlineStr">
        <is>
          <t>SLF1</t>
        </is>
      </c>
      <c r="K7856" t="inlineStr">
        <is>
          <t>SLF1_HUMAN</t>
        </is>
      </c>
      <c r="L7856" t="inlineStr">
        <is>
          <t>sp|Q9BQI6|SLF1_HUMAN SMC5-SMC6 complex localization factor protein 1 OS=Homo sapiens OX=9606 GN=SLF1 PE=1 SV=2</t>
        </is>
      </c>
      <c r="M7856" t="n">
        <v>1058</v>
      </c>
      <c r="N7856" t="inlineStr">
        <is>
          <t>Homo sapiens</t>
        </is>
      </c>
      <c r="O7856" t="inlineStr">
        <is>
          <t>SMC5-SMC6 complex localization factor protein 1</t>
        </is>
      </c>
    </row>
    <row r="7857">
      <c r="A7857" t="inlineStr"/>
      <c r="B7857" t="inlineStr"/>
      <c r="C7857" t="inlineStr"/>
      <c r="D7857" t="inlineStr"/>
      <c r="E7857">
        <f>HYPERLINK("https://www.uniprot.org/uniprotkb/Q8R3P9/entry", "Q8R3P9")</f>
        <v/>
      </c>
      <c r="F7857" t="n">
        <v>27.1</v>
      </c>
      <c r="G7857" t="n">
        <v>210</v>
      </c>
      <c r="H7857" t="n">
        <v>6.73e-13</v>
      </c>
      <c r="I7857" t="inlineStr">
        <is>
          <t>Swiss-Prot</t>
        </is>
      </c>
      <c r="J7857" t="inlineStr">
        <is>
          <t>Slf1</t>
        </is>
      </c>
      <c r="K7857" t="inlineStr">
        <is>
          <t>SLF1_MOUSE</t>
        </is>
      </c>
      <c r="L7857" t="inlineStr">
        <is>
          <t>sp|Q8R3P9|SLF1_MOUSE SMC5-SMC6 complex localization factor protein 1 OS=Mus musculus OX=10090 GN=Slf1 PE=1 SV=3</t>
        </is>
      </c>
      <c r="M7857" t="n">
        <v>1054</v>
      </c>
      <c r="N7857" t="inlineStr">
        <is>
          <t>Mus musculus</t>
        </is>
      </c>
      <c r="O7857" t="inlineStr">
        <is>
          <t>SMC5-SMC6 complex localization factor protein 1</t>
        </is>
      </c>
    </row>
    <row r="7858">
      <c r="A7858" t="inlineStr"/>
      <c r="B7858" t="inlineStr"/>
      <c r="C7858" t="inlineStr"/>
      <c r="D7858" t="inlineStr"/>
      <c r="E7858">
        <f>HYPERLINK("https://www.uniprot.org/uniprotkb/A6QR20/entry", "A6QR20")</f>
        <v/>
      </c>
      <c r="F7858" t="n">
        <v>28.4</v>
      </c>
      <c r="G7858" t="n">
        <v>183</v>
      </c>
      <c r="H7858" t="n">
        <v>1.57e-12</v>
      </c>
      <c r="I7858" t="inlineStr">
        <is>
          <t>Swiss-Prot</t>
        </is>
      </c>
      <c r="J7858" t="inlineStr">
        <is>
          <t>SLF1</t>
        </is>
      </c>
      <c r="K7858" t="inlineStr">
        <is>
          <t>SLF1_BOVIN</t>
        </is>
      </c>
      <c r="L7858" t="inlineStr">
        <is>
          <t>sp|A6QR20|SLF1_BOVIN SMC5-SMC6 complex localization factor protein 1 OS=Bos taurus OX=9913 GN=SLF1 PE=2 SV=2</t>
        </is>
      </c>
      <c r="M7858" t="n">
        <v>1055</v>
      </c>
      <c r="N7858" t="inlineStr">
        <is>
          <t>Bos taurus</t>
        </is>
      </c>
      <c r="O7858" t="inlineStr">
        <is>
          <t>SMC5-SMC6 complex localization factor protein 1</t>
        </is>
      </c>
    </row>
    <row r="7859">
      <c r="A7859" t="inlineStr"/>
      <c r="B7859" t="inlineStr"/>
      <c r="C7859" t="inlineStr"/>
      <c r="D7859" t="inlineStr"/>
      <c r="E7859">
        <f>HYPERLINK("https://www.uniprot.org/uniprotkb/O04251/entry", "O04251")</f>
        <v/>
      </c>
      <c r="F7859" t="n">
        <v>25.6</v>
      </c>
      <c r="G7859" t="n">
        <v>215</v>
      </c>
      <c r="H7859" t="n">
        <v>1.04e-09</v>
      </c>
      <c r="I7859" t="inlineStr">
        <is>
          <t>Swiss-Prot</t>
        </is>
      </c>
      <c r="J7859" t="inlineStr">
        <is>
          <t>At4g02110</t>
        </is>
      </c>
      <c r="K7859" t="inlineStr">
        <is>
          <t>Y4211_ARATH</t>
        </is>
      </c>
      <c r="L7859" t="inlineStr">
        <is>
          <t>sp|O04251|Y4211_ARATH BRCT domain-containing protein At4g02110 OS=Arabidopsis thaliana OX=3702 GN=At4g02110 PE=4 SV=3</t>
        </is>
      </c>
      <c r="M7859" t="n">
        <v>1329</v>
      </c>
      <c r="N7859" t="inlineStr">
        <is>
          <t>Arabidopsis thaliana</t>
        </is>
      </c>
      <c r="O7859" t="inlineStr">
        <is>
          <t>BRCT domain-containing protein At4g02110</t>
        </is>
      </c>
    </row>
    <row r="7860">
      <c r="A7860" t="inlineStr">
        <is>
          <t>NODE_57848_length_2697_cov_6.515209_g19924_i0</t>
        </is>
      </c>
      <c r="B7860" t="inlineStr">
        <is>
          <t>bombina_pachypus_blastx</t>
        </is>
      </c>
      <c r="C7860" t="n">
        <v>6.40964847463083</v>
      </c>
      <c r="D7860" t="n">
        <v>0.0129576827903812</v>
      </c>
      <c r="E7860">
        <f>HYPERLINK("https://www.uniprot.org/uniprotkb/A0A803JQE7/entry", "A0A803JQE7")</f>
        <v/>
      </c>
      <c r="F7860" t="n">
        <v>43.8</v>
      </c>
      <c r="G7860" t="n">
        <v>511</v>
      </c>
      <c r="H7860" t="n">
        <v>2.05e-143</v>
      </c>
      <c r="I7860" t="inlineStr">
        <is>
          <t>TrEMBL</t>
        </is>
      </c>
      <c r="J7860" t="inlineStr"/>
      <c r="K7860" t="inlineStr">
        <is>
          <t>A0A803JQE7_XENTR</t>
        </is>
      </c>
      <c r="L7860" t="inlineStr">
        <is>
          <t>tr|A0A803JQE7|A0A803JQE7_XENTR Reverse transcriptase domain-containing protein OS=Xenopus tropicalis OX=8364 PE=4 SV=1</t>
        </is>
      </c>
      <c r="M7860" t="n">
        <v>619</v>
      </c>
      <c r="N7860" t="inlineStr">
        <is>
          <t>Xenopus tropicalis</t>
        </is>
      </c>
      <c r="O7860" t="inlineStr">
        <is>
          <t>Reverse transcriptase domain-containing protein</t>
        </is>
      </c>
    </row>
    <row r="7861">
      <c r="A7861" t="inlineStr"/>
      <c r="B7861" t="inlineStr"/>
      <c r="C7861" t="inlineStr"/>
      <c r="D7861" t="inlineStr"/>
      <c r="E7861">
        <f>HYPERLINK("https://www.uniprot.org/uniprotkb/A0A803KEE8/entry", "A0A803KEE8")</f>
        <v/>
      </c>
      <c r="F7861" t="n">
        <v>43.9</v>
      </c>
      <c r="G7861" t="n">
        <v>517</v>
      </c>
      <c r="H7861" t="n">
        <v>5.41e-139</v>
      </c>
      <c r="I7861" t="inlineStr">
        <is>
          <t>TrEMBL</t>
        </is>
      </c>
      <c r="J7861" t="inlineStr"/>
      <c r="K7861" t="inlineStr">
        <is>
          <t>A0A803KEE8_XENTR</t>
        </is>
      </c>
      <c r="L7861" t="inlineStr">
        <is>
          <t>tr|A0A803KEE8|A0A803KEE8_XENTR Reverse transcriptase domain-containing protein OS=Xenopus tropicalis OX=8364 PE=4 SV=1</t>
        </is>
      </c>
      <c r="M7861" t="n">
        <v>779</v>
      </c>
      <c r="N7861" t="inlineStr">
        <is>
          <t>Xenopus tropicalis</t>
        </is>
      </c>
      <c r="O7861" t="inlineStr">
        <is>
          <t>Reverse transcriptase domain-containing protein</t>
        </is>
      </c>
    </row>
    <row r="7862">
      <c r="A7862" t="inlineStr"/>
      <c r="B7862" t="inlineStr"/>
      <c r="C7862" t="inlineStr"/>
      <c r="D7862" t="inlineStr"/>
      <c r="E7862">
        <f>HYPERLINK("https://www.uniprot.org/uniprotkb/A0A803JVB3/entry", "A0A803JVB3")</f>
        <v/>
      </c>
      <c r="F7862" t="n">
        <v>44.6</v>
      </c>
      <c r="G7862" t="n">
        <v>509</v>
      </c>
      <c r="H7862" t="n">
        <v>1.45e-138</v>
      </c>
      <c r="I7862" t="inlineStr">
        <is>
          <t>TrEMBL</t>
        </is>
      </c>
      <c r="J7862" t="inlineStr"/>
      <c r="K7862" t="inlineStr">
        <is>
          <t>A0A803JVB3_XENTR</t>
        </is>
      </c>
      <c r="L7862" t="inlineStr">
        <is>
          <t>tr|A0A803JVB3|A0A803JVB3_XENTR Reverse transcriptase domain-containing protein OS=Xenopus tropicalis OX=8364 PE=4 SV=1</t>
        </is>
      </c>
      <c r="M7862" t="n">
        <v>680</v>
      </c>
      <c r="N7862" t="inlineStr">
        <is>
          <t>Xenopus tropicalis</t>
        </is>
      </c>
      <c r="O7862" t="inlineStr">
        <is>
          <t>Reverse transcriptase domain-containing protein</t>
        </is>
      </c>
    </row>
    <row r="7863">
      <c r="A7863" t="inlineStr"/>
      <c r="B7863" t="inlineStr"/>
      <c r="C7863" t="inlineStr"/>
      <c r="D7863" t="inlineStr"/>
      <c r="E7863">
        <f>HYPERLINK("https://www.uniprot.org/uniprotkb/A0A6I8QAC4/entry", "A0A6I8QAC4")</f>
        <v/>
      </c>
      <c r="F7863" t="n">
        <v>41.8</v>
      </c>
      <c r="G7863" t="n">
        <v>538</v>
      </c>
      <c r="H7863" t="n">
        <v>4.37e-137</v>
      </c>
      <c r="I7863" t="inlineStr">
        <is>
          <t>TrEMBL</t>
        </is>
      </c>
      <c r="J7863" t="inlineStr"/>
      <c r="K7863" t="inlineStr">
        <is>
          <t>A0A6I8QAC4_XENTR</t>
        </is>
      </c>
      <c r="L7863" t="inlineStr">
        <is>
          <t>tr|A0A6I8QAC4|A0A6I8QAC4_XENTR Reverse transcriptase domain-containing protein OS=Xenopus tropicalis OX=8364 PE=4 SV=1</t>
        </is>
      </c>
      <c r="M7863" t="n">
        <v>655</v>
      </c>
      <c r="N7863" t="inlineStr">
        <is>
          <t>Xenopus tropicalis</t>
        </is>
      </c>
      <c r="O7863" t="inlineStr">
        <is>
          <t>Reverse transcriptase domain-containing protein</t>
        </is>
      </c>
    </row>
    <row r="7864">
      <c r="A7864" t="inlineStr"/>
      <c r="B7864" t="inlineStr"/>
      <c r="C7864" t="inlineStr"/>
      <c r="D7864" t="inlineStr"/>
      <c r="E7864">
        <f>HYPERLINK("https://www.uniprot.org/uniprotkb/A0A803J3S0/entry", "A0A803J3S0")</f>
        <v/>
      </c>
      <c r="F7864" t="n">
        <v>44.9</v>
      </c>
      <c r="G7864" t="n">
        <v>510</v>
      </c>
      <c r="H7864" t="n">
        <v>3.52e-136</v>
      </c>
      <c r="I7864" t="inlineStr">
        <is>
          <t>TrEMBL</t>
        </is>
      </c>
      <c r="J7864" t="inlineStr"/>
      <c r="K7864" t="inlineStr">
        <is>
          <t>A0A803J3S0_XENTR</t>
        </is>
      </c>
      <c r="L7864" t="inlineStr">
        <is>
          <t>tr|A0A803J3S0|A0A803J3S0_XENTR Reverse transcriptase domain-containing protein OS=Xenopus tropicalis OX=8364 PE=4 SV=1</t>
        </is>
      </c>
      <c r="M7864" t="n">
        <v>679</v>
      </c>
      <c r="N7864" t="inlineStr">
        <is>
          <t>Xenopus tropicalis</t>
        </is>
      </c>
      <c r="O7864" t="inlineStr">
        <is>
          <t>Reverse transcriptase domain-containing protein</t>
        </is>
      </c>
    </row>
    <row r="7865">
      <c r="A7865" t="inlineStr"/>
      <c r="B7865" t="inlineStr"/>
      <c r="C7865" t="inlineStr"/>
      <c r="D7865" t="inlineStr"/>
      <c r="E7865">
        <f>HYPERLINK("https://www.uniprot.org/uniprotkb/A0A803JPB3/entry", "A0A803JPB3")</f>
        <v/>
      </c>
      <c r="F7865" t="n">
        <v>41.7</v>
      </c>
      <c r="G7865" t="n">
        <v>523</v>
      </c>
      <c r="H7865" t="n">
        <v>5.789999999999999e-134</v>
      </c>
      <c r="I7865" t="inlineStr">
        <is>
          <t>TrEMBL</t>
        </is>
      </c>
      <c r="J7865" t="inlineStr"/>
      <c r="K7865" t="inlineStr">
        <is>
          <t>A0A803JPB3_XENTR</t>
        </is>
      </c>
      <c r="L7865" t="inlineStr">
        <is>
          <t>tr|A0A803JPB3|A0A803JPB3_XENTR Reverse transcriptase domain-containing protein OS=Xenopus tropicalis OX=8364 PE=4 SV=1</t>
        </is>
      </c>
      <c r="M7865" t="n">
        <v>725</v>
      </c>
      <c r="N7865" t="inlineStr">
        <is>
          <t>Xenopus tropicalis</t>
        </is>
      </c>
      <c r="O7865" t="inlineStr">
        <is>
          <t>Reverse transcriptase domain-containing protein</t>
        </is>
      </c>
    </row>
    <row r="7866">
      <c r="A7866" t="inlineStr"/>
      <c r="B7866" t="inlineStr"/>
      <c r="C7866" t="inlineStr"/>
      <c r="D7866" t="inlineStr"/>
      <c r="E7866">
        <f>HYPERLINK("https://www.ncbi.nlm.nih.gov/gene/?term=KAE8601590.1", "KAE8601590.1")</f>
        <v/>
      </c>
      <c r="F7866" t="n">
        <v>45.3</v>
      </c>
      <c r="G7866" t="n">
        <v>510</v>
      </c>
      <c r="H7866" t="n">
        <v>4.78e-132</v>
      </c>
      <c r="I7866" t="inlineStr">
        <is>
          <t>Nr</t>
        </is>
      </c>
      <c r="J7866" t="inlineStr"/>
      <c r="K7866" t="inlineStr"/>
      <c r="L7866" t="inlineStr">
        <is>
          <t>KAE8601590.1 hypothetical protein XENTR_v10013728 [Xenopus tropicalis]</t>
        </is>
      </c>
      <c r="M7866" t="n">
        <v>1505</v>
      </c>
      <c r="N7866" t="inlineStr">
        <is>
          <t>Xenopus tropicalis</t>
        </is>
      </c>
      <c r="O7866" t="inlineStr">
        <is>
          <t>hypothetical protein XENTR_v10013728</t>
        </is>
      </c>
    </row>
    <row r="7867">
      <c r="A7867" t="inlineStr"/>
      <c r="B7867" t="inlineStr"/>
      <c r="C7867" t="inlineStr"/>
      <c r="D7867" t="inlineStr"/>
      <c r="E7867">
        <f>HYPERLINK("https://www.uniprot.org/uniprotkb/A0A803K2I9/entry", "A0A803K2I9")</f>
        <v/>
      </c>
      <c r="F7867" t="n">
        <v>41.9</v>
      </c>
      <c r="G7867" t="n">
        <v>503</v>
      </c>
      <c r="H7867" t="n">
        <v>2e-131</v>
      </c>
      <c r="I7867" t="inlineStr">
        <is>
          <t>TrEMBL</t>
        </is>
      </c>
      <c r="J7867" t="inlineStr"/>
      <c r="K7867" t="inlineStr">
        <is>
          <t>A0A803K2I9_XENTR</t>
        </is>
      </c>
      <c r="L7867" t="inlineStr">
        <is>
          <t>tr|A0A803K2I9|A0A803K2I9_XENTR Reverse transcriptase domain-containing protein OS=Xenopus tropicalis OX=8364 PE=4 SV=1</t>
        </is>
      </c>
      <c r="M7867" t="n">
        <v>688</v>
      </c>
      <c r="N7867" t="inlineStr">
        <is>
          <t>Xenopus tropicalis</t>
        </is>
      </c>
      <c r="O7867" t="inlineStr">
        <is>
          <t>Reverse transcriptase domain-containing protein</t>
        </is>
      </c>
    </row>
    <row r="7868">
      <c r="A7868" t="inlineStr"/>
      <c r="B7868" t="inlineStr"/>
      <c r="C7868" t="inlineStr"/>
      <c r="D7868" t="inlineStr"/>
      <c r="E7868">
        <f>HYPERLINK("https://www.uniprot.org/uniprotkb/A0A803J5Z4/entry", "A0A803J5Z4")</f>
        <v/>
      </c>
      <c r="F7868" t="n">
        <v>42.2</v>
      </c>
      <c r="G7868" t="n">
        <v>509</v>
      </c>
      <c r="H7868" t="n">
        <v>4.48e-131</v>
      </c>
      <c r="I7868" t="inlineStr">
        <is>
          <t>TrEMBL</t>
        </is>
      </c>
      <c r="J7868" t="inlineStr"/>
      <c r="K7868" t="inlineStr">
        <is>
          <t>A0A803J5Z4_XENTR</t>
        </is>
      </c>
      <c r="L7868" t="inlineStr">
        <is>
          <t>tr|A0A803J5Z4|A0A803J5Z4_XENTR Reverse transcriptase domain-containing protein OS=Xenopus tropicalis OX=8364 PE=4 SV=1</t>
        </is>
      </c>
      <c r="M7868" t="n">
        <v>680</v>
      </c>
      <c r="N7868" t="inlineStr">
        <is>
          <t>Xenopus tropicalis</t>
        </is>
      </c>
      <c r="O7868" t="inlineStr">
        <is>
          <t>Reverse transcriptase domain-containing protein</t>
        </is>
      </c>
    </row>
    <row r="7869">
      <c r="A7869" t="inlineStr"/>
      <c r="B7869" t="inlineStr"/>
      <c r="C7869" t="inlineStr"/>
      <c r="D7869" t="inlineStr"/>
      <c r="E7869">
        <f>HYPERLINK("https://www.uniprot.org/uniprotkb/A0A803K635/entry", "A0A803K635")</f>
        <v/>
      </c>
      <c r="F7869" t="n">
        <v>41.9</v>
      </c>
      <c r="G7869" t="n">
        <v>503</v>
      </c>
      <c r="H7869" t="n">
        <v>7.25e-131</v>
      </c>
      <c r="I7869" t="inlineStr">
        <is>
          <t>TrEMBL</t>
        </is>
      </c>
      <c r="J7869" t="inlineStr"/>
      <c r="K7869" t="inlineStr">
        <is>
          <t>A0A803K635_XENTR</t>
        </is>
      </c>
      <c r="L7869" t="inlineStr">
        <is>
          <t>tr|A0A803K635|A0A803K635_XENTR Reverse transcriptase domain-containing protein OS=Xenopus tropicalis OX=8364 PE=4 SV=1</t>
        </is>
      </c>
      <c r="M7869" t="n">
        <v>734</v>
      </c>
      <c r="N7869" t="inlineStr">
        <is>
          <t>Xenopus tropicalis</t>
        </is>
      </c>
      <c r="O7869" t="inlineStr">
        <is>
          <t>Reverse transcriptase domain-containing protein</t>
        </is>
      </c>
    </row>
    <row r="7870">
      <c r="A7870" t="inlineStr"/>
      <c r="B7870" t="inlineStr"/>
      <c r="C7870" t="inlineStr"/>
      <c r="D7870" t="inlineStr"/>
      <c r="E7870">
        <f>HYPERLINK("https://www.uniprot.org/uniprotkb/A0A803JX24/entry", "A0A803JX24")</f>
        <v/>
      </c>
      <c r="F7870" t="n">
        <v>41.7</v>
      </c>
      <c r="G7870" t="n">
        <v>503</v>
      </c>
      <c r="H7870" t="n">
        <v>1.04e-130</v>
      </c>
      <c r="I7870" t="inlineStr">
        <is>
          <t>TrEMBL</t>
        </is>
      </c>
      <c r="J7870" t="inlineStr"/>
      <c r="K7870" t="inlineStr">
        <is>
          <t>A0A803JX24_XENTR</t>
        </is>
      </c>
      <c r="L7870" t="inlineStr">
        <is>
          <t>tr|A0A803JX24|A0A803JX24_XENTR Reverse transcriptase domain-containing protein OS=Xenopus tropicalis OX=8364 PE=4 SV=1</t>
        </is>
      </c>
      <c r="M7870" t="n">
        <v>626</v>
      </c>
      <c r="N7870" t="inlineStr">
        <is>
          <t>Xenopus tropicalis</t>
        </is>
      </c>
      <c r="O7870" t="inlineStr">
        <is>
          <t>Reverse transcriptase domain-containing protein</t>
        </is>
      </c>
    </row>
    <row r="7871">
      <c r="A7871" t="inlineStr"/>
      <c r="B7871" t="inlineStr"/>
      <c r="C7871" t="inlineStr"/>
      <c r="D7871" t="inlineStr"/>
      <c r="E7871">
        <f>HYPERLINK("https://www.uniprot.org/uniprotkb/A0A803K2L1/entry", "A0A803K2L1")</f>
        <v/>
      </c>
      <c r="F7871" t="n">
        <v>43.6</v>
      </c>
      <c r="G7871" t="n">
        <v>475</v>
      </c>
      <c r="H7871" t="n">
        <v>4.390000000000001e-129</v>
      </c>
      <c r="I7871" t="inlineStr">
        <is>
          <t>TrEMBL</t>
        </is>
      </c>
      <c r="J7871" t="inlineStr"/>
      <c r="K7871" t="inlineStr">
        <is>
          <t>A0A803K2L1_XENTR</t>
        </is>
      </c>
      <c r="L7871" t="inlineStr">
        <is>
          <t>tr|A0A803K2L1|A0A803K2L1_XENTR Reverse transcriptase domain-containing protein OS=Xenopus tropicalis OX=8364 PE=4 SV=1</t>
        </is>
      </c>
      <c r="M7871" t="n">
        <v>696</v>
      </c>
      <c r="N7871" t="inlineStr">
        <is>
          <t>Xenopus tropicalis</t>
        </is>
      </c>
      <c r="O7871" t="inlineStr">
        <is>
          <t>Reverse transcriptase domain-containing protein</t>
        </is>
      </c>
    </row>
    <row r="7872">
      <c r="A7872" t="inlineStr"/>
      <c r="B7872" t="inlineStr"/>
      <c r="C7872" t="inlineStr"/>
      <c r="D7872" t="inlineStr"/>
      <c r="E7872">
        <f>HYPERLINK("https://www.uniprot.org/uniprotkb/A0A803KAJ0/entry", "A0A803KAJ0")</f>
        <v/>
      </c>
      <c r="F7872" t="n">
        <v>41.7</v>
      </c>
      <c r="G7872" t="n">
        <v>503</v>
      </c>
      <c r="H7872" t="n">
        <v>3.87e-128</v>
      </c>
      <c r="I7872" t="inlineStr">
        <is>
          <t>TrEMBL</t>
        </is>
      </c>
      <c r="J7872" t="inlineStr"/>
      <c r="K7872" t="inlineStr">
        <is>
          <t>A0A803KAJ0_XENTR</t>
        </is>
      </c>
      <c r="L7872" t="inlineStr">
        <is>
          <t>tr|A0A803KAJ0|A0A803KAJ0_XENTR Reverse transcriptase domain-containing protein OS=Xenopus tropicalis OX=8364 PE=4 SV=1</t>
        </is>
      </c>
      <c r="M7872" t="n">
        <v>856</v>
      </c>
      <c r="N7872" t="inlineStr">
        <is>
          <t>Xenopus tropicalis</t>
        </is>
      </c>
      <c r="O7872" t="inlineStr">
        <is>
          <t>Reverse transcriptase domain-containing protein</t>
        </is>
      </c>
    </row>
    <row r="7873">
      <c r="A7873" t="inlineStr"/>
      <c r="B7873" t="inlineStr"/>
      <c r="C7873" t="inlineStr"/>
      <c r="D7873" t="inlineStr"/>
      <c r="E7873">
        <f>HYPERLINK("https://www.uniprot.org/uniprotkb/A0A803JHB8/entry", "A0A803JHB8")</f>
        <v/>
      </c>
      <c r="F7873" t="n">
        <v>41.3</v>
      </c>
      <c r="G7873" t="n">
        <v>509</v>
      </c>
      <c r="H7873" t="n">
        <v>8.629999999999999e-128</v>
      </c>
      <c r="I7873" t="inlineStr">
        <is>
          <t>TrEMBL</t>
        </is>
      </c>
      <c r="J7873" t="inlineStr"/>
      <c r="K7873" t="inlineStr">
        <is>
          <t>A0A803JHB8_XENTR</t>
        </is>
      </c>
      <c r="L7873" t="inlineStr">
        <is>
          <t>tr|A0A803JHB8|A0A803JHB8_XENTR Reverse transcriptase domain-containing protein OS=Xenopus tropicalis OX=8364 PE=4 SV=1</t>
        </is>
      </c>
      <c r="M7873" t="n">
        <v>585</v>
      </c>
      <c r="N7873" t="inlineStr">
        <is>
          <t>Xenopus tropicalis</t>
        </is>
      </c>
      <c r="O7873" t="inlineStr">
        <is>
          <t>Reverse transcriptase domain-containing protein</t>
        </is>
      </c>
    </row>
    <row r="7874">
      <c r="A7874" t="inlineStr"/>
      <c r="B7874" t="inlineStr"/>
      <c r="C7874" t="inlineStr"/>
      <c r="D7874" t="inlineStr"/>
      <c r="E7874">
        <f>HYPERLINK("https://www.uniprot.org/uniprotkb/A0A8J1IZR5/entry", "A0A8J1IZR5")</f>
        <v/>
      </c>
      <c r="F7874" t="n">
        <v>42.9</v>
      </c>
      <c r="G7874" t="n">
        <v>475</v>
      </c>
      <c r="H7874" t="n">
        <v>1.1e-121</v>
      </c>
      <c r="I7874" t="inlineStr">
        <is>
          <t>TrEMBL</t>
        </is>
      </c>
      <c r="J7874" t="inlineStr">
        <is>
          <t>LOC116408410</t>
        </is>
      </c>
      <c r="K7874" t="inlineStr">
        <is>
          <t>A0A8J1IZR5_XENTR</t>
        </is>
      </c>
      <c r="L7874" t="inlineStr">
        <is>
          <t>tr|A0A8J1IZR5|A0A8J1IZR5_XENTR uncharacterized protein LOC116408410 OS=Xenopus tropicalis OX=8364 GN=LOC116408410 PE=4 SV=1</t>
        </is>
      </c>
      <c r="M7874" t="n">
        <v>570</v>
      </c>
      <c r="N7874" t="inlineStr">
        <is>
          <t>Xenopus tropicalis</t>
        </is>
      </c>
      <c r="O7874" t="inlineStr">
        <is>
          <t>uncharacterized protein LOC116408410</t>
        </is>
      </c>
    </row>
    <row r="7875">
      <c r="A7875" t="inlineStr"/>
      <c r="B7875" t="inlineStr"/>
      <c r="C7875" t="inlineStr"/>
      <c r="D7875" t="inlineStr"/>
      <c r="E7875">
        <f>HYPERLINK("https://www.ncbi.nlm.nih.gov/gene/?term=XP_031751078.1", "XP_031751078.1")</f>
        <v/>
      </c>
      <c r="F7875" t="n">
        <v>42.9</v>
      </c>
      <c r="G7875" t="n">
        <v>475</v>
      </c>
      <c r="H7875" t="n">
        <v>2.81e-121</v>
      </c>
      <c r="I7875" t="inlineStr">
        <is>
          <t>Nr</t>
        </is>
      </c>
      <c r="J7875" t="inlineStr"/>
      <c r="K7875" t="inlineStr"/>
      <c r="L7875" t="inlineStr">
        <is>
          <t>XP_031751078.1 uncharacterized protein LOC116408410 [Xenopus tropicalis]</t>
        </is>
      </c>
      <c r="M7875" t="n">
        <v>570</v>
      </c>
      <c r="N7875" t="inlineStr">
        <is>
          <t>Xenopus tropicalis</t>
        </is>
      </c>
      <c r="O7875" t="inlineStr">
        <is>
          <t>uncharacterized protein LOC116408410</t>
        </is>
      </c>
    </row>
    <row r="7876">
      <c r="A7876" t="inlineStr"/>
      <c r="B7876" t="inlineStr"/>
      <c r="C7876" t="inlineStr"/>
      <c r="D7876" t="inlineStr"/>
      <c r="E7876">
        <f>HYPERLINK("https://www.uniprot.org/uniprotkb/A0A8J1L7P8/entry", "A0A8J1L7P8")</f>
        <v/>
      </c>
      <c r="F7876" t="n">
        <v>42.1</v>
      </c>
      <c r="G7876" t="n">
        <v>477</v>
      </c>
      <c r="H7876" t="n">
        <v>1.58e-118</v>
      </c>
      <c r="I7876" t="inlineStr">
        <is>
          <t>TrEMBL</t>
        </is>
      </c>
      <c r="J7876" t="inlineStr">
        <is>
          <t>LOC121395346</t>
        </is>
      </c>
      <c r="K7876" t="inlineStr">
        <is>
          <t>A0A8J1L7P8_XENLA</t>
        </is>
      </c>
      <c r="L7876" t="inlineStr">
        <is>
          <t>tr|A0A8J1L7P8|A0A8J1L7P8_XENLA uncharacterized protein LOC121395346 isoform X1 OS=Xenopus laevis OX=8355 GN=LOC121395346 PE=4 SV=1</t>
        </is>
      </c>
      <c r="M7876" t="n">
        <v>840</v>
      </c>
      <c r="N7876" t="inlineStr">
        <is>
          <t>Xenopus laevis</t>
        </is>
      </c>
      <c r="O7876" t="inlineStr">
        <is>
          <t>uncharacterized protein LOC121395346 isoform X1</t>
        </is>
      </c>
    </row>
    <row r="7877">
      <c r="A7877" t="inlineStr"/>
      <c r="B7877" t="inlineStr"/>
      <c r="C7877" t="inlineStr"/>
      <c r="D7877" t="inlineStr"/>
      <c r="E7877">
        <f>HYPERLINK("https://www.ncbi.nlm.nih.gov/gene/?term=OCT76204.1", "OCT76204.1")</f>
        <v/>
      </c>
      <c r="F7877" t="n">
        <v>41.7</v>
      </c>
      <c r="G7877" t="n">
        <v>487</v>
      </c>
      <c r="H7877" t="n">
        <v>2.26e-118</v>
      </c>
      <c r="I7877" t="inlineStr">
        <is>
          <t>Nr</t>
        </is>
      </c>
      <c r="J7877" t="inlineStr"/>
      <c r="K7877" t="inlineStr"/>
      <c r="L7877" t="inlineStr">
        <is>
          <t>OCT76204.1 hypothetical protein XELAEV_18031398mg [Xenopus laevis]</t>
        </is>
      </c>
      <c r="M7877" t="n">
        <v>506</v>
      </c>
      <c r="N7877" t="inlineStr">
        <is>
          <t>Xenopus laevis</t>
        </is>
      </c>
      <c r="O7877" t="inlineStr">
        <is>
          <t>hypothetical protein XELAEV_18031398mg</t>
        </is>
      </c>
    </row>
    <row r="7878">
      <c r="A7878" t="inlineStr"/>
      <c r="B7878" t="inlineStr"/>
      <c r="C7878" t="inlineStr"/>
      <c r="D7878" t="inlineStr"/>
      <c r="E7878">
        <f>HYPERLINK("https://www.ncbi.nlm.nih.gov/gene/?term=XP_041424610.1", "XP_041424610.1")</f>
        <v/>
      </c>
      <c r="F7878" t="n">
        <v>42.1</v>
      </c>
      <c r="G7878" t="n">
        <v>477</v>
      </c>
      <c r="H7878" t="n">
        <v>4.06e-118</v>
      </c>
      <c r="I7878" t="inlineStr">
        <is>
          <t>Nr</t>
        </is>
      </c>
      <c r="J7878" t="inlineStr"/>
      <c r="K7878" t="inlineStr"/>
      <c r="L7878" t="inlineStr">
        <is>
          <t>XP_041424610.1 uncharacterized protein LOC121395346 isoform X1 [Xenopus laevis]</t>
        </is>
      </c>
      <c r="M7878" t="n">
        <v>840</v>
      </c>
      <c r="N7878" t="inlineStr">
        <is>
          <t>Xenopus laevis</t>
        </is>
      </c>
      <c r="O7878" t="inlineStr">
        <is>
          <t>uncharacterized protein LOC121395346 isoform X1</t>
        </is>
      </c>
    </row>
    <row r="7879">
      <c r="A7879" t="inlineStr"/>
      <c r="B7879" t="inlineStr"/>
      <c r="C7879" t="inlineStr"/>
      <c r="D7879" t="inlineStr"/>
      <c r="E7879">
        <f>HYPERLINK("https://www.uniprot.org/uniprotkb/A0A803JV49/entry", "A0A803JV49")</f>
        <v/>
      </c>
      <c r="F7879" t="n">
        <v>45.5</v>
      </c>
      <c r="G7879" t="n">
        <v>426</v>
      </c>
      <c r="H7879" t="n">
        <v>1.13e-117</v>
      </c>
      <c r="I7879" t="inlineStr">
        <is>
          <t>TrEMBL</t>
        </is>
      </c>
      <c r="J7879" t="inlineStr"/>
      <c r="K7879" t="inlineStr">
        <is>
          <t>A0A803JV49_XENTR</t>
        </is>
      </c>
      <c r="L7879" t="inlineStr">
        <is>
          <t>tr|A0A803JV49|A0A803JV49_XENTR Reverse transcriptase domain-containing protein OS=Xenopus tropicalis OX=8364 PE=4 SV=1</t>
        </is>
      </c>
      <c r="M7879" t="n">
        <v>499</v>
      </c>
      <c r="N7879" t="inlineStr">
        <is>
          <t>Xenopus tropicalis</t>
        </is>
      </c>
      <c r="O7879" t="inlineStr">
        <is>
          <t>Reverse transcriptase domain-containing protein</t>
        </is>
      </c>
    </row>
    <row r="7880">
      <c r="A7880" t="inlineStr"/>
      <c r="B7880" t="inlineStr"/>
      <c r="C7880" t="inlineStr"/>
      <c r="D7880" t="inlineStr"/>
      <c r="E7880">
        <f>HYPERLINK("https://www.ncbi.nlm.nih.gov/gene/?term=XP_044148864.1", "XP_044148864.1")</f>
        <v/>
      </c>
      <c r="F7880" t="n">
        <v>39.4</v>
      </c>
      <c r="G7880" t="n">
        <v>500</v>
      </c>
      <c r="H7880" t="n">
        <v>2.34e-116</v>
      </c>
      <c r="I7880" t="inlineStr">
        <is>
          <t>Nr</t>
        </is>
      </c>
      <c r="J7880" t="inlineStr"/>
      <c r="K7880" t="inlineStr"/>
      <c r="L7880" t="inlineStr">
        <is>
          <t>XP_044148864.1 protein YAE1 homolog isoform X1 [Bufo gargarizans]</t>
        </is>
      </c>
      <c r="M7880" t="n">
        <v>703</v>
      </c>
      <c r="N7880" t="inlineStr">
        <is>
          <t>Bufo gargarizans</t>
        </is>
      </c>
      <c r="O7880" t="inlineStr">
        <is>
          <t>protein YAE1 homolog isoform X1</t>
        </is>
      </c>
    </row>
    <row r="7881">
      <c r="A7881" t="inlineStr"/>
      <c r="B7881" t="inlineStr"/>
      <c r="C7881" t="inlineStr"/>
      <c r="D7881" t="inlineStr"/>
      <c r="E7881">
        <f>HYPERLINK("https://www.ncbi.nlm.nih.gov/gene/?term=OCT61343.1", "OCT61343.1")</f>
        <v/>
      </c>
      <c r="F7881" t="n">
        <v>41.1</v>
      </c>
      <c r="G7881" t="n">
        <v>516</v>
      </c>
      <c r="H7881" t="n">
        <v>4.38e-109</v>
      </c>
      <c r="I7881" t="inlineStr">
        <is>
          <t>Nr</t>
        </is>
      </c>
      <c r="J7881" t="inlineStr"/>
      <c r="K7881" t="inlineStr"/>
      <c r="L7881" t="inlineStr">
        <is>
          <t>OCT61343.1 hypothetical protein XELAEV_18047366mg [Xenopus laevis]</t>
        </is>
      </c>
      <c r="M7881" t="n">
        <v>1952</v>
      </c>
      <c r="N7881" t="inlineStr">
        <is>
          <t>Xenopus laevis</t>
        </is>
      </c>
      <c r="O7881" t="inlineStr">
        <is>
          <t>hypothetical protein XELAEV_18047366mg</t>
        </is>
      </c>
    </row>
    <row r="7882">
      <c r="A7882" t="inlineStr"/>
      <c r="B7882" t="inlineStr"/>
      <c r="C7882" t="inlineStr"/>
      <c r="D7882" t="inlineStr"/>
      <c r="E7882">
        <f>HYPERLINK("https://www.uniprot.org/uniprotkb/A0A803JX20/entry", "A0A803JX20")</f>
        <v/>
      </c>
      <c r="F7882" t="n">
        <v>45.5</v>
      </c>
      <c r="G7882" t="n">
        <v>382</v>
      </c>
      <c r="H7882" t="n">
        <v>1.28e-107</v>
      </c>
      <c r="I7882" t="inlineStr">
        <is>
          <t>TrEMBL</t>
        </is>
      </c>
      <c r="J7882" t="inlineStr"/>
      <c r="K7882" t="inlineStr">
        <is>
          <t>A0A803JX20_XENTR</t>
        </is>
      </c>
      <c r="L7882" t="inlineStr">
        <is>
          <t>tr|A0A803JX20|A0A803JX20_XENTR Reverse transcriptase domain-containing protein OS=Xenopus tropicalis OX=8364 PE=4 SV=1</t>
        </is>
      </c>
      <c r="M7882" t="n">
        <v>466</v>
      </c>
      <c r="N7882" t="inlineStr">
        <is>
          <t>Xenopus tropicalis</t>
        </is>
      </c>
      <c r="O7882" t="inlineStr">
        <is>
          <t>Reverse transcriptase domain-containing protein</t>
        </is>
      </c>
    </row>
    <row r="7883">
      <c r="A7883" t="inlineStr"/>
      <c r="B7883" t="inlineStr"/>
      <c r="C7883" t="inlineStr"/>
      <c r="D7883" t="inlineStr"/>
      <c r="E7883">
        <f>HYPERLINK("https://www.uniprot.org/uniprotkb/A0A803J6K6/entry", "A0A803J6K6")</f>
        <v/>
      </c>
      <c r="F7883" t="n">
        <v>38.6</v>
      </c>
      <c r="G7883" t="n">
        <v>500</v>
      </c>
      <c r="H7883" t="n">
        <v>5.59e-105</v>
      </c>
      <c r="I7883" t="inlineStr">
        <is>
          <t>TrEMBL</t>
        </is>
      </c>
      <c r="J7883" t="inlineStr"/>
      <c r="K7883" t="inlineStr">
        <is>
          <t>A0A803J6K6_XENTR</t>
        </is>
      </c>
      <c r="L7883" t="inlineStr">
        <is>
          <t>tr|A0A803J6K6|A0A803J6K6_XENTR GIY-YIG domain-containing protein OS=Xenopus tropicalis OX=8364 PE=4 SV=1</t>
        </is>
      </c>
      <c r="M7883" t="n">
        <v>764</v>
      </c>
      <c r="N7883" t="inlineStr">
        <is>
          <t>Xenopus tropicalis</t>
        </is>
      </c>
      <c r="O7883" t="inlineStr">
        <is>
          <t>GIY-YIG domain-containing protein</t>
        </is>
      </c>
    </row>
    <row r="7884">
      <c r="A7884" t="inlineStr"/>
      <c r="B7884" t="inlineStr"/>
      <c r="C7884" t="inlineStr"/>
      <c r="D7884" t="inlineStr"/>
      <c r="E7884">
        <f>HYPERLINK("https://www.ncbi.nlm.nih.gov/gene/?term=OCT72560.1", "OCT72560.1")</f>
        <v/>
      </c>
      <c r="F7884" t="n">
        <v>39.2</v>
      </c>
      <c r="G7884" t="n">
        <v>462</v>
      </c>
      <c r="H7884" t="n">
        <v>1.99e-104</v>
      </c>
      <c r="I7884" t="inlineStr">
        <is>
          <t>Nr</t>
        </is>
      </c>
      <c r="J7884" t="inlineStr"/>
      <c r="K7884" t="inlineStr"/>
      <c r="L7884" t="inlineStr">
        <is>
          <t>OCT72560.1 hypothetical protein XELAEV_18035541mg [Xenopus laevis]</t>
        </is>
      </c>
      <c r="M7884" t="n">
        <v>461</v>
      </c>
      <c r="N7884" t="inlineStr">
        <is>
          <t>Xenopus laevis</t>
        </is>
      </c>
      <c r="O7884" t="inlineStr">
        <is>
          <t>hypothetical protein XELAEV_18035541mg</t>
        </is>
      </c>
    </row>
    <row r="7885">
      <c r="A7885" t="inlineStr"/>
      <c r="B7885" t="inlineStr"/>
      <c r="C7885" t="inlineStr"/>
      <c r="D7885" t="inlineStr"/>
      <c r="E7885">
        <f>HYPERLINK("https://www.uniprot.org/uniprotkb/A0A8J1JBP4/entry", "A0A8J1JBP4")</f>
        <v/>
      </c>
      <c r="F7885" t="n">
        <v>46.3</v>
      </c>
      <c r="G7885" t="n">
        <v>378</v>
      </c>
      <c r="H7885" t="n">
        <v>1.24e-100</v>
      </c>
      <c r="I7885" t="inlineStr">
        <is>
          <t>TrEMBL</t>
        </is>
      </c>
      <c r="J7885" t="inlineStr">
        <is>
          <t>LOC108645441</t>
        </is>
      </c>
      <c r="K7885" t="inlineStr">
        <is>
          <t>A0A8J1JBP4_XENTR</t>
        </is>
      </c>
      <c r="L7885" t="inlineStr">
        <is>
          <t>tr|A0A8J1JBP4|A0A8J1JBP4_XENTR uncharacterized protein LOC108645441 OS=Xenopus tropicalis OX=8364 GN=LOC108645441 PE=4 SV=1</t>
        </is>
      </c>
      <c r="M7885" t="n">
        <v>569</v>
      </c>
      <c r="N7885" t="inlineStr">
        <is>
          <t>Xenopus tropicalis</t>
        </is>
      </c>
      <c r="O7885" t="inlineStr">
        <is>
          <t>uncharacterized protein LOC108645441</t>
        </is>
      </c>
    </row>
    <row r="7886">
      <c r="A7886" t="inlineStr"/>
      <c r="B7886" t="inlineStr"/>
      <c r="C7886" t="inlineStr"/>
      <c r="D7886" t="inlineStr"/>
      <c r="E7886">
        <f>HYPERLINK("https://www.ncbi.nlm.nih.gov/gene/?term=OCT87659.1", "OCT87659.1")</f>
        <v/>
      </c>
      <c r="F7886" t="n">
        <v>40.9</v>
      </c>
      <c r="G7886" t="n">
        <v>418</v>
      </c>
      <c r="H7886" t="n">
        <v>3.17e-100</v>
      </c>
      <c r="I7886" t="inlineStr">
        <is>
          <t>Nr</t>
        </is>
      </c>
      <c r="J7886" t="inlineStr"/>
      <c r="K7886" t="inlineStr"/>
      <c r="L7886" t="inlineStr">
        <is>
          <t>OCT87659.1 hypothetical protein XELAEV_18021356mg [Xenopus laevis]</t>
        </is>
      </c>
      <c r="M7886" t="n">
        <v>462</v>
      </c>
      <c r="N7886" t="inlineStr">
        <is>
          <t>Xenopus laevis</t>
        </is>
      </c>
      <c r="O7886" t="inlineStr">
        <is>
          <t>hypothetical protein XELAEV_18021356mg</t>
        </is>
      </c>
    </row>
    <row r="7887">
      <c r="A7887" t="inlineStr"/>
      <c r="B7887" t="inlineStr"/>
      <c r="C7887" t="inlineStr"/>
      <c r="D7887" t="inlineStr"/>
      <c r="E7887">
        <f>HYPERLINK("https://www.ncbi.nlm.nih.gov/gene/?term=XP_031754066.1", "XP_031754066.1")</f>
        <v/>
      </c>
      <c r="F7887" t="n">
        <v>46.3</v>
      </c>
      <c r="G7887" t="n">
        <v>378</v>
      </c>
      <c r="H7887" t="n">
        <v>3.19e-100</v>
      </c>
      <c r="I7887" t="inlineStr">
        <is>
          <t>Nr</t>
        </is>
      </c>
      <c r="J7887" t="inlineStr"/>
      <c r="K7887" t="inlineStr"/>
      <c r="L7887" t="inlineStr">
        <is>
          <t>XP_031754066.1 uncharacterized protein LOC108645441 [Xenopus tropicalis]</t>
        </is>
      </c>
      <c r="M7887" t="n">
        <v>569</v>
      </c>
      <c r="N7887" t="inlineStr">
        <is>
          <t>Xenopus tropicalis</t>
        </is>
      </c>
      <c r="O7887" t="inlineStr">
        <is>
          <t>uncharacterized protein LOC108645441</t>
        </is>
      </c>
    </row>
    <row r="7888">
      <c r="A7888" t="inlineStr"/>
      <c r="B7888" t="inlineStr"/>
      <c r="C7888" t="inlineStr"/>
      <c r="D7888" t="inlineStr"/>
      <c r="E7888">
        <f>HYPERLINK("https://www.uniprot.org/uniprotkb/A0A803JCF5/entry", "A0A803JCF5")</f>
        <v/>
      </c>
      <c r="F7888" t="n">
        <v>47.4</v>
      </c>
      <c r="G7888" t="n">
        <v>371</v>
      </c>
      <c r="H7888" t="n">
        <v>5.880000000000001e-100</v>
      </c>
      <c r="I7888" t="inlineStr">
        <is>
          <t>TrEMBL</t>
        </is>
      </c>
      <c r="J7888" t="inlineStr"/>
      <c r="K7888" t="inlineStr">
        <is>
          <t>A0A803JCF5_XENTR</t>
        </is>
      </c>
      <c r="L7888" t="inlineStr">
        <is>
          <t>tr|A0A803JCF5|A0A803JCF5_XENTR Reverse transcriptase domain-containing protein OS=Xenopus tropicalis OX=8364 PE=4 SV=1</t>
        </is>
      </c>
      <c r="M7888" t="n">
        <v>551</v>
      </c>
      <c r="N7888" t="inlineStr">
        <is>
          <t>Xenopus tropicalis</t>
        </is>
      </c>
      <c r="O7888" t="inlineStr">
        <is>
          <t>Reverse transcriptase domain-containing protein</t>
        </is>
      </c>
    </row>
    <row r="7889">
      <c r="A7889" t="inlineStr"/>
      <c r="B7889" t="inlineStr"/>
      <c r="C7889" t="inlineStr"/>
      <c r="D7889" t="inlineStr"/>
      <c r="E7889">
        <f>HYPERLINK("https://www.uniprot.org/uniprotkb/A0A803JPC3/entry", "A0A803JPC3")</f>
        <v/>
      </c>
      <c r="F7889" t="n">
        <v>35</v>
      </c>
      <c r="G7889" t="n">
        <v>503</v>
      </c>
      <c r="H7889" t="n">
        <v>1.2e-96</v>
      </c>
      <c r="I7889" t="inlineStr">
        <is>
          <t>TrEMBL</t>
        </is>
      </c>
      <c r="J7889" t="inlineStr"/>
      <c r="K7889" t="inlineStr">
        <is>
          <t>A0A803JPC3_XENTR</t>
        </is>
      </c>
      <c r="L7889" t="inlineStr">
        <is>
          <t>tr|A0A803JPC3|A0A803JPC3_XENTR Reverse transcriptase domain-containing protein OS=Xenopus tropicalis OX=8364 PE=4 SV=1</t>
        </is>
      </c>
      <c r="M7889" t="n">
        <v>631</v>
      </c>
      <c r="N7889" t="inlineStr">
        <is>
          <t>Xenopus tropicalis</t>
        </is>
      </c>
      <c r="O7889" t="inlineStr">
        <is>
          <t>Reverse transcriptase domain-containing protein</t>
        </is>
      </c>
    </row>
    <row r="7890">
      <c r="A7890" t="inlineStr"/>
      <c r="B7890" t="inlineStr"/>
      <c r="C7890" t="inlineStr"/>
      <c r="D7890" t="inlineStr"/>
      <c r="E7890">
        <f>HYPERLINK("https://www.uniprot.org/uniprotkb/A0A803JIM5/entry", "A0A803JIM5")</f>
        <v/>
      </c>
      <c r="F7890" t="n">
        <v>38.6</v>
      </c>
      <c r="G7890" t="n">
        <v>503</v>
      </c>
      <c r="H7890" t="n">
        <v>1.83e-96</v>
      </c>
      <c r="I7890" t="inlineStr">
        <is>
          <t>TrEMBL</t>
        </is>
      </c>
      <c r="J7890" t="inlineStr"/>
      <c r="K7890" t="inlineStr">
        <is>
          <t>A0A803JIM5_XENTR</t>
        </is>
      </c>
      <c r="L7890" t="inlineStr">
        <is>
          <t>tr|A0A803JIM5|A0A803JIM5_XENTR GIY-YIG domain-containing protein OS=Xenopus tropicalis OX=8364 PE=4 SV=1</t>
        </is>
      </c>
      <c r="M7890" t="n">
        <v>661</v>
      </c>
      <c r="N7890" t="inlineStr">
        <is>
          <t>Xenopus tropicalis</t>
        </is>
      </c>
      <c r="O7890" t="inlineStr">
        <is>
          <t>GIY-YIG domain-containing protein</t>
        </is>
      </c>
    </row>
    <row r="7891">
      <c r="A7891" t="inlineStr"/>
      <c r="B7891" t="inlineStr"/>
      <c r="C7891" t="inlineStr"/>
      <c r="D7891" t="inlineStr"/>
      <c r="E7891">
        <f>HYPERLINK("https://www.uniprot.org/uniprotkb/A0A803JZX6/entry", "A0A803JZX6")</f>
        <v/>
      </c>
      <c r="F7891" t="n">
        <v>47.7</v>
      </c>
      <c r="G7891" t="n">
        <v>352</v>
      </c>
      <c r="H7891" t="n">
        <v>5.309999999999999e-95</v>
      </c>
      <c r="I7891" t="inlineStr">
        <is>
          <t>TrEMBL</t>
        </is>
      </c>
      <c r="J7891" t="inlineStr"/>
      <c r="K7891" t="inlineStr">
        <is>
          <t>A0A803JZX6_XENTR</t>
        </is>
      </c>
      <c r="L7891" t="inlineStr">
        <is>
          <t>tr|A0A803JZX6|A0A803JZX6_XENTR Reverse transcriptase domain-containing protein OS=Xenopus tropicalis OX=8364 PE=4 SV=1</t>
        </is>
      </c>
      <c r="M7891" t="n">
        <v>482</v>
      </c>
      <c r="N7891" t="inlineStr">
        <is>
          <t>Xenopus tropicalis</t>
        </is>
      </c>
      <c r="O7891" t="inlineStr">
        <is>
          <t>Reverse transcriptase domain-containing protein</t>
        </is>
      </c>
    </row>
    <row r="7892">
      <c r="A7892" t="inlineStr"/>
      <c r="B7892" t="inlineStr"/>
      <c r="C7892" t="inlineStr"/>
      <c r="D7892" t="inlineStr"/>
      <c r="E7892">
        <f>HYPERLINK("https://www.uniprot.org/uniprotkb/A0A8C5M6S6/entry", "A0A8C5M6S6")</f>
        <v/>
      </c>
      <c r="F7892" t="n">
        <v>35.8</v>
      </c>
      <c r="G7892" t="n">
        <v>505</v>
      </c>
      <c r="H7892" t="n">
        <v>1.36e-92</v>
      </c>
      <c r="I7892" t="inlineStr">
        <is>
          <t>TrEMBL</t>
        </is>
      </c>
      <c r="J7892" t="inlineStr"/>
      <c r="K7892" t="inlineStr">
        <is>
          <t>A0A8C5M6S6_9ANUR</t>
        </is>
      </c>
      <c r="L7892" t="inlineStr">
        <is>
          <t>tr|A0A8C5M6S6|A0A8C5M6S6_9ANUR Reverse transcriptase domain-containing protein OS=Leptobrachium leishanense OX=445787 PE=4 SV=1</t>
        </is>
      </c>
      <c r="M7892" t="n">
        <v>752</v>
      </c>
      <c r="N7892" t="inlineStr">
        <is>
          <t>Leptobrachium leishanense</t>
        </is>
      </c>
      <c r="O7892" t="inlineStr">
        <is>
          <t>Reverse transcriptase domain-containing protein</t>
        </is>
      </c>
    </row>
    <row r="7893">
      <c r="A7893" t="inlineStr"/>
      <c r="B7893" t="inlineStr"/>
      <c r="C7893" t="inlineStr"/>
      <c r="D7893" t="inlineStr"/>
      <c r="E7893">
        <f>HYPERLINK("https://www.ncbi.nlm.nih.gov/gene/?term=OCT62397.1", "OCT62397.1")</f>
        <v/>
      </c>
      <c r="F7893" t="n">
        <v>37.6</v>
      </c>
      <c r="G7893" t="n">
        <v>442</v>
      </c>
      <c r="H7893" t="n">
        <v>4.8e-91</v>
      </c>
      <c r="I7893" t="inlineStr">
        <is>
          <t>Nr</t>
        </is>
      </c>
      <c r="J7893" t="inlineStr"/>
      <c r="K7893" t="inlineStr"/>
      <c r="L7893" t="inlineStr">
        <is>
          <t>OCT62397.1 hypothetical protein XELAEV_18043478mg [Xenopus laevis]</t>
        </is>
      </c>
      <c r="M7893" t="n">
        <v>1448</v>
      </c>
      <c r="N7893" t="inlineStr">
        <is>
          <t>Xenopus laevis</t>
        </is>
      </c>
      <c r="O7893" t="inlineStr">
        <is>
          <t>hypothetical protein XELAEV_18043478mg</t>
        </is>
      </c>
    </row>
    <row r="7894">
      <c r="A7894" t="inlineStr"/>
      <c r="B7894" t="inlineStr"/>
      <c r="C7894" t="inlineStr"/>
      <c r="D7894" t="inlineStr"/>
      <c r="E7894">
        <f>HYPERLINK("https://www.uniprot.org/uniprotkb/A0A8C5WH29/entry", "A0A8C5WH29")</f>
        <v/>
      </c>
      <c r="F7894" t="n">
        <v>35</v>
      </c>
      <c r="G7894" t="n">
        <v>506</v>
      </c>
      <c r="H7894" t="n">
        <v>1.25e-89</v>
      </c>
      <c r="I7894" t="inlineStr">
        <is>
          <t>TrEMBL</t>
        </is>
      </c>
      <c r="J7894" t="inlineStr"/>
      <c r="K7894" t="inlineStr">
        <is>
          <t>A0A8C5WH29_9ANUR</t>
        </is>
      </c>
      <c r="L7894" t="inlineStr">
        <is>
          <t>tr|A0A8C5WH29|A0A8C5WH29_9ANUR Reverse transcriptase domain-containing protein OS=Leptobrachium leishanense OX=445787 PE=4 SV=1</t>
        </is>
      </c>
      <c r="M7894" t="n">
        <v>788</v>
      </c>
      <c r="N7894" t="inlineStr">
        <is>
          <t>Leptobrachium leishanense</t>
        </is>
      </c>
      <c r="O7894" t="inlineStr">
        <is>
          <t>Reverse transcriptase domain-containing protein</t>
        </is>
      </c>
    </row>
    <row r="7895">
      <c r="A7895" t="inlineStr"/>
      <c r="B7895" t="inlineStr"/>
      <c r="C7895" t="inlineStr"/>
      <c r="D7895" t="inlineStr"/>
      <c r="E7895">
        <f>HYPERLINK("https://www.ncbi.nlm.nih.gov/gene/?term=XP_026098621.1", "XP_026098621.1")</f>
        <v/>
      </c>
      <c r="F7895" t="n">
        <v>37.5</v>
      </c>
      <c r="G7895" t="n">
        <v>493</v>
      </c>
      <c r="H7895" t="n">
        <v>9.07e-88</v>
      </c>
      <c r="I7895" t="inlineStr">
        <is>
          <t>Nr</t>
        </is>
      </c>
      <c r="J7895" t="inlineStr"/>
      <c r="K7895" t="inlineStr"/>
      <c r="L7895" t="inlineStr">
        <is>
          <t>XP_026098621.1 uncharacterized protein LOC113069710 [Carassius auratus]</t>
        </is>
      </c>
      <c r="M7895" t="n">
        <v>581</v>
      </c>
      <c r="N7895" t="inlineStr">
        <is>
          <t>Carassius auratus</t>
        </is>
      </c>
      <c r="O7895" t="inlineStr">
        <is>
          <t>uncharacterized protein LOC113069710</t>
        </is>
      </c>
    </row>
    <row r="7896">
      <c r="A7896" t="inlineStr"/>
      <c r="B7896" t="inlineStr"/>
      <c r="C7896" t="inlineStr"/>
      <c r="D7896" t="inlineStr"/>
      <c r="E7896">
        <f>HYPERLINK("https://www.ncbi.nlm.nih.gov/gene/?term=XP_040176800.1", "XP_040176800.1")</f>
        <v/>
      </c>
      <c r="F7896" t="n">
        <v>36.9</v>
      </c>
      <c r="G7896" t="n">
        <v>515</v>
      </c>
      <c r="H7896" t="n">
        <v>3.48e-86</v>
      </c>
      <c r="I7896" t="inlineStr">
        <is>
          <t>Nr</t>
        </is>
      </c>
      <c r="J7896" t="inlineStr"/>
      <c r="K7896" t="inlineStr"/>
      <c r="L7896" t="inlineStr">
        <is>
          <t>XP_040176800.1 uncharacterized protein LOC120909160 [Rana temporaria]</t>
        </is>
      </c>
      <c r="M7896" t="n">
        <v>802</v>
      </c>
      <c r="N7896" t="inlineStr">
        <is>
          <t>Rana temporaria</t>
        </is>
      </c>
      <c r="O7896" t="inlineStr">
        <is>
          <t>uncharacterized protein LOC120909160</t>
        </is>
      </c>
    </row>
    <row r="7897">
      <c r="A7897" t="inlineStr"/>
      <c r="B7897" t="inlineStr"/>
      <c r="C7897" t="inlineStr"/>
      <c r="D7897" t="inlineStr"/>
      <c r="E7897">
        <f>HYPERLINK("https://www.ncbi.nlm.nih.gov/gene/?term=XP_040188254.1", "XP_040188254.1")</f>
        <v/>
      </c>
      <c r="F7897" t="n">
        <v>35</v>
      </c>
      <c r="G7897" t="n">
        <v>491</v>
      </c>
      <c r="H7897" t="n">
        <v>7.36e-85</v>
      </c>
      <c r="I7897" t="inlineStr">
        <is>
          <t>Nr</t>
        </is>
      </c>
      <c r="J7897" t="inlineStr"/>
      <c r="K7897" t="inlineStr"/>
      <c r="L7897" t="inlineStr">
        <is>
          <t>XP_040188254.1 uncharacterized protein LOC120920313 [Rana temporaria]</t>
        </is>
      </c>
      <c r="M7897" t="n">
        <v>618</v>
      </c>
      <c r="N7897" t="inlineStr">
        <is>
          <t>Rana temporaria</t>
        </is>
      </c>
      <c r="O7897" t="inlineStr">
        <is>
          <t>uncharacterized protein LOC120920313</t>
        </is>
      </c>
    </row>
    <row r="7898">
      <c r="A7898" t="inlineStr"/>
      <c r="B7898" t="inlineStr"/>
      <c r="C7898" t="inlineStr"/>
      <c r="D7898" t="inlineStr"/>
      <c r="E7898">
        <f>HYPERLINK("https://www.ncbi.nlm.nih.gov/gene/?term=XP_041420379.1", "XP_041420379.1")</f>
        <v/>
      </c>
      <c r="F7898" t="n">
        <v>40.5</v>
      </c>
      <c r="G7898" t="n">
        <v>383</v>
      </c>
      <c r="H7898" t="n">
        <v>8.14e-85</v>
      </c>
      <c r="I7898" t="inlineStr">
        <is>
          <t>Nr</t>
        </is>
      </c>
      <c r="J7898" t="inlineStr"/>
      <c r="K7898" t="inlineStr"/>
      <c r="L7898" t="inlineStr">
        <is>
          <t>XP_041420379.1 uncharacterized protein LOC121394196 [Xenopus laevis]</t>
        </is>
      </c>
      <c r="M7898" t="n">
        <v>419</v>
      </c>
      <c r="N7898" t="inlineStr">
        <is>
          <t>Xenopus laevis</t>
        </is>
      </c>
      <c r="O7898" t="inlineStr">
        <is>
          <t>uncharacterized protein LOC121394196</t>
        </is>
      </c>
    </row>
    <row r="7899">
      <c r="A7899" t="inlineStr"/>
      <c r="B7899" t="inlineStr"/>
      <c r="C7899" t="inlineStr"/>
      <c r="D7899" t="inlineStr"/>
      <c r="E7899">
        <f>HYPERLINK("https://www.ncbi.nlm.nih.gov/gene/?term=OCT99555.1", "OCT99555.1")</f>
        <v/>
      </c>
      <c r="F7899" t="n">
        <v>37.8</v>
      </c>
      <c r="G7899" t="n">
        <v>426</v>
      </c>
      <c r="H7899" t="n">
        <v>8.78e-84</v>
      </c>
      <c r="I7899" t="inlineStr">
        <is>
          <t>Nr</t>
        </is>
      </c>
      <c r="J7899" t="inlineStr"/>
      <c r="K7899" t="inlineStr"/>
      <c r="L7899" t="inlineStr">
        <is>
          <t>OCT99555.1 hypothetical protein XELAEV_18005337mg [Xenopus laevis]</t>
        </is>
      </c>
      <c r="M7899" t="n">
        <v>430</v>
      </c>
      <c r="N7899" t="inlineStr">
        <is>
          <t>Xenopus laevis</t>
        </is>
      </c>
      <c r="O7899" t="inlineStr">
        <is>
          <t>hypothetical protein XELAEV_18005337mg</t>
        </is>
      </c>
    </row>
    <row r="7900">
      <c r="A7900" t="inlineStr"/>
      <c r="B7900" t="inlineStr"/>
      <c r="C7900" t="inlineStr"/>
      <c r="D7900" t="inlineStr"/>
      <c r="E7900">
        <f>HYPERLINK("https://www.ncbi.nlm.nih.gov/gene/?term=OCT72372.1", "OCT72372.1")</f>
        <v/>
      </c>
      <c r="F7900" t="n">
        <v>42.3</v>
      </c>
      <c r="G7900" t="n">
        <v>366</v>
      </c>
      <c r="H7900" t="n">
        <v>1.14e-83</v>
      </c>
      <c r="I7900" t="inlineStr">
        <is>
          <t>Nr</t>
        </is>
      </c>
      <c r="J7900" t="inlineStr"/>
      <c r="K7900" t="inlineStr"/>
      <c r="L7900" t="inlineStr">
        <is>
          <t>OCT72372.1 hypothetical protein XELAEV_18035350mg [Xenopus laevis]</t>
        </is>
      </c>
      <c r="M7900" t="n">
        <v>404</v>
      </c>
      <c r="N7900" t="inlineStr">
        <is>
          <t>Xenopus laevis</t>
        </is>
      </c>
      <c r="O7900" t="inlineStr">
        <is>
          <t>hypothetical protein XELAEV_18035350mg</t>
        </is>
      </c>
    </row>
    <row r="7901">
      <c r="A7901" t="inlineStr"/>
      <c r="B7901" t="inlineStr"/>
      <c r="C7901" t="inlineStr"/>
      <c r="D7901" t="inlineStr"/>
      <c r="E7901">
        <f>HYPERLINK("https://www.ncbi.nlm.nih.gov/gene/?term=XP_040212985.1", "XP_040212985.1")</f>
        <v/>
      </c>
      <c r="F7901" t="n">
        <v>36.1</v>
      </c>
      <c r="G7901" t="n">
        <v>493</v>
      </c>
      <c r="H7901" t="n">
        <v>1.53e-83</v>
      </c>
      <c r="I7901" t="inlineStr">
        <is>
          <t>Nr</t>
        </is>
      </c>
      <c r="J7901" t="inlineStr"/>
      <c r="K7901" t="inlineStr"/>
      <c r="L7901" t="inlineStr">
        <is>
          <t>XP_040212985.1 uncharacterized protein LOC120943646 [Rana temporaria]</t>
        </is>
      </c>
      <c r="M7901" t="n">
        <v>646</v>
      </c>
      <c r="N7901" t="inlineStr">
        <is>
          <t>Rana temporaria</t>
        </is>
      </c>
      <c r="O7901" t="inlineStr">
        <is>
          <t>uncharacterized protein LOC120943646</t>
        </is>
      </c>
    </row>
    <row r="7902">
      <c r="A7902" t="inlineStr"/>
      <c r="B7902" t="inlineStr"/>
      <c r="C7902" t="inlineStr"/>
      <c r="D7902" t="inlineStr"/>
      <c r="E7902">
        <f>HYPERLINK("https://www.ncbi.nlm.nih.gov/gene/?term=XP_040178452.1", "XP_040178452.1")</f>
        <v/>
      </c>
      <c r="F7902" t="n">
        <v>35.9</v>
      </c>
      <c r="G7902" t="n">
        <v>515</v>
      </c>
      <c r="H7902" t="n">
        <v>8.01e-83</v>
      </c>
      <c r="I7902" t="inlineStr">
        <is>
          <t>Nr</t>
        </is>
      </c>
      <c r="J7902" t="inlineStr"/>
      <c r="K7902" t="inlineStr"/>
      <c r="L7902" t="inlineStr">
        <is>
          <t>XP_040178452.1 uncharacterized protein LOC120911183 [Rana temporaria]</t>
        </is>
      </c>
      <c r="M7902" t="n">
        <v>705</v>
      </c>
      <c r="N7902" t="inlineStr">
        <is>
          <t>Rana temporaria</t>
        </is>
      </c>
      <c r="O7902" t="inlineStr">
        <is>
          <t>uncharacterized protein LOC120911183</t>
        </is>
      </c>
    </row>
    <row r="7903">
      <c r="A7903" t="inlineStr"/>
      <c r="B7903" t="inlineStr"/>
      <c r="C7903" t="inlineStr"/>
      <c r="D7903" t="inlineStr"/>
      <c r="E7903">
        <f>HYPERLINK("https://www.ncbi.nlm.nih.gov/gene/?term=XP_041431933.1", "XP_041431933.1")</f>
        <v/>
      </c>
      <c r="F7903" t="n">
        <v>35.9</v>
      </c>
      <c r="G7903" t="n">
        <v>426</v>
      </c>
      <c r="H7903" t="n">
        <v>9.12e-83</v>
      </c>
      <c r="I7903" t="inlineStr">
        <is>
          <t>Nr</t>
        </is>
      </c>
      <c r="J7903" t="inlineStr"/>
      <c r="K7903" t="inlineStr"/>
      <c r="L7903" t="inlineStr">
        <is>
          <t>XP_041431933.1 uncharacterized protein LOC121397896 [Xenopus laevis]</t>
        </is>
      </c>
      <c r="M7903" t="n">
        <v>464</v>
      </c>
      <c r="N7903" t="inlineStr">
        <is>
          <t>Xenopus laevis</t>
        </is>
      </c>
      <c r="O7903" t="inlineStr">
        <is>
          <t>uncharacterized protein LOC121397896</t>
        </is>
      </c>
    </row>
    <row r="7904">
      <c r="A7904" t="inlineStr"/>
      <c r="B7904" t="inlineStr"/>
      <c r="C7904" t="inlineStr"/>
      <c r="D7904" t="inlineStr"/>
      <c r="E7904">
        <f>HYPERLINK("https://www.ncbi.nlm.nih.gov/gene/?term=XP_040212877.1", "XP_040212877.1")</f>
        <v/>
      </c>
      <c r="F7904" t="n">
        <v>36.1</v>
      </c>
      <c r="G7904" t="n">
        <v>493</v>
      </c>
      <c r="H7904" t="n">
        <v>1.97e-82</v>
      </c>
      <c r="I7904" t="inlineStr">
        <is>
          <t>Nr</t>
        </is>
      </c>
      <c r="J7904" t="inlineStr"/>
      <c r="K7904" t="inlineStr"/>
      <c r="L7904" t="inlineStr">
        <is>
          <t>XP_040212877.1 uncharacterized protein LOC120943569 [Rana temporaria]</t>
        </is>
      </c>
      <c r="M7904" t="n">
        <v>765</v>
      </c>
      <c r="N7904" t="inlineStr">
        <is>
          <t>Rana temporaria</t>
        </is>
      </c>
      <c r="O7904" t="inlineStr">
        <is>
          <t>uncharacterized protein LOC120943569</t>
        </is>
      </c>
    </row>
    <row r="7905">
      <c r="A7905" t="inlineStr"/>
      <c r="B7905" t="inlineStr"/>
      <c r="C7905" t="inlineStr"/>
      <c r="D7905" t="inlineStr"/>
      <c r="E7905">
        <f>HYPERLINK("https://www.ncbi.nlm.nih.gov/gene/?term=XP_040206073.1", "XP_040206073.1")</f>
        <v/>
      </c>
      <c r="F7905" t="n">
        <v>35.9</v>
      </c>
      <c r="G7905" t="n">
        <v>499</v>
      </c>
      <c r="H7905" t="n">
        <v>1.81e-81</v>
      </c>
      <c r="I7905" t="inlineStr">
        <is>
          <t>Nr</t>
        </is>
      </c>
      <c r="J7905" t="inlineStr"/>
      <c r="K7905" t="inlineStr"/>
      <c r="L7905" t="inlineStr">
        <is>
          <t>XP_040206073.1 uncharacterized protein LOC120937139 [Rana temporaria]</t>
        </is>
      </c>
      <c r="M7905" t="n">
        <v>619</v>
      </c>
      <c r="N7905" t="inlineStr">
        <is>
          <t>Rana temporaria</t>
        </is>
      </c>
      <c r="O7905" t="inlineStr">
        <is>
          <t>uncharacterized protein LOC120937139</t>
        </is>
      </c>
    </row>
    <row r="7906">
      <c r="A7906" t="inlineStr"/>
      <c r="B7906" t="inlineStr"/>
      <c r="C7906" t="inlineStr"/>
      <c r="D7906" t="inlineStr"/>
      <c r="E7906">
        <f>HYPERLINK("https://www.ncbi.nlm.nih.gov/gene/?term=XP_040191613.1", "XP_040191613.1")</f>
        <v/>
      </c>
      <c r="F7906" t="n">
        <v>35.9</v>
      </c>
      <c r="G7906" t="n">
        <v>499</v>
      </c>
      <c r="H7906" t="n">
        <v>2.29e-80</v>
      </c>
      <c r="I7906" t="inlineStr">
        <is>
          <t>Nr</t>
        </is>
      </c>
      <c r="J7906" t="inlineStr"/>
      <c r="K7906" t="inlineStr"/>
      <c r="L7906" t="inlineStr">
        <is>
          <t>XP_040191613.1 uncharacterized protein LOC120924680 [Rana temporaria]</t>
        </is>
      </c>
      <c r="M7906" t="n">
        <v>735</v>
      </c>
      <c r="N7906" t="inlineStr">
        <is>
          <t>Rana temporaria</t>
        </is>
      </c>
      <c r="O7906" t="inlineStr">
        <is>
          <t>uncharacterized protein LOC120924680</t>
        </is>
      </c>
    </row>
    <row r="7907">
      <c r="A7907" t="inlineStr"/>
      <c r="B7907" t="inlineStr"/>
      <c r="C7907" t="inlineStr"/>
      <c r="D7907" t="inlineStr"/>
      <c r="E7907">
        <f>HYPERLINK("https://www.ncbi.nlm.nih.gov/gene/?term=XP_035796656.1", "XP_035796656.1")</f>
        <v/>
      </c>
      <c r="F7907" t="n">
        <v>33.5</v>
      </c>
      <c r="G7907" t="n">
        <v>504</v>
      </c>
      <c r="H7907" t="n">
        <v>1.03e-79</v>
      </c>
      <c r="I7907" t="inlineStr">
        <is>
          <t>Nr</t>
        </is>
      </c>
      <c r="J7907" t="inlineStr"/>
      <c r="K7907" t="inlineStr"/>
      <c r="L7907" t="inlineStr">
        <is>
          <t>XP_035796656.1 uncharacterized protein LOC111584630 isoform X1 [Amphiprion ocellaris]</t>
        </is>
      </c>
      <c r="M7907" t="n">
        <v>633</v>
      </c>
      <c r="N7907" t="inlineStr">
        <is>
          <t>Amphiprion ocellaris</t>
        </is>
      </c>
      <c r="O7907" t="inlineStr">
        <is>
          <t>uncharacterized protein LOC111584630 isoform X1</t>
        </is>
      </c>
    </row>
    <row r="7908">
      <c r="A7908" t="inlineStr"/>
      <c r="B7908" t="inlineStr"/>
      <c r="C7908" t="inlineStr"/>
      <c r="D7908" t="inlineStr"/>
      <c r="E7908">
        <f>HYPERLINK("https://www.ncbi.nlm.nih.gov/gene/?term=XP_040204899.1", "XP_040204899.1")</f>
        <v/>
      </c>
      <c r="F7908" t="n">
        <v>33.3</v>
      </c>
      <c r="G7908" t="n">
        <v>505</v>
      </c>
      <c r="H7908" t="n">
        <v>1.13e-79</v>
      </c>
      <c r="I7908" t="inlineStr">
        <is>
          <t>Nr</t>
        </is>
      </c>
      <c r="J7908" t="inlineStr"/>
      <c r="K7908" t="inlineStr"/>
      <c r="L7908" t="inlineStr">
        <is>
          <t>XP_040204899.1 uncharacterized protein LOC120936529 [Rana temporaria]</t>
        </is>
      </c>
      <c r="M7908" t="n">
        <v>608</v>
      </c>
      <c r="N7908" t="inlineStr">
        <is>
          <t>Rana temporaria</t>
        </is>
      </c>
      <c r="O7908" t="inlineStr">
        <is>
          <t>uncharacterized protein LOC120936529</t>
        </is>
      </c>
    </row>
    <row r="7909">
      <c r="A7909" t="inlineStr"/>
      <c r="B7909" t="inlineStr"/>
      <c r="C7909" t="inlineStr"/>
      <c r="D7909" t="inlineStr"/>
      <c r="E7909">
        <f>HYPERLINK("https://www.ncbi.nlm.nih.gov/gene/?term=XP_023143528.2", "XP_023143528.2")</f>
        <v/>
      </c>
      <c r="F7909" t="n">
        <v>33.5</v>
      </c>
      <c r="G7909" t="n">
        <v>504</v>
      </c>
      <c r="H7909" t="n">
        <v>1.44e-79</v>
      </c>
      <c r="I7909" t="inlineStr">
        <is>
          <t>Nr</t>
        </is>
      </c>
      <c r="J7909" t="inlineStr"/>
      <c r="K7909" t="inlineStr"/>
      <c r="L7909" t="inlineStr">
        <is>
          <t>XP_023143528.2 uncharacterized protein LOC111580143 isoform X2 [Amphiprion ocellaris]</t>
        </is>
      </c>
      <c r="M7909" t="n">
        <v>633</v>
      </c>
      <c r="N7909" t="inlineStr">
        <is>
          <t>Amphiprion ocellaris</t>
        </is>
      </c>
      <c r="O7909" t="inlineStr">
        <is>
          <t>uncharacterized protein LOC111580143 isoform X2</t>
        </is>
      </c>
    </row>
    <row r="7910">
      <c r="A7910" t="inlineStr">
        <is>
          <t>NODE_58180_length_2684_cov_433.024455_g19006_i3</t>
        </is>
      </c>
      <c r="B7910" t="inlineStr">
        <is>
          <t>bombina_pachypus_blastx</t>
        </is>
      </c>
      <c r="C7910" t="n">
        <v>11.6873938134589</v>
      </c>
      <c r="D7910" t="n">
        <v>4.86728597975199e-06</v>
      </c>
      <c r="E7910">
        <f>HYPERLINK("https://www.ncbi.nlm.nih.gov/gene/?term=XP_053329276.1", "XP_053329276.1")</f>
        <v/>
      </c>
      <c r="F7910" t="n">
        <v>62.4</v>
      </c>
      <c r="G7910" t="n">
        <v>234</v>
      </c>
      <c r="H7910" t="n">
        <v>4.890000000000001e-103</v>
      </c>
      <c r="I7910" t="inlineStr">
        <is>
          <t>Nr</t>
        </is>
      </c>
      <c r="J7910" t="inlineStr"/>
      <c r="K7910" t="inlineStr"/>
      <c r="L7910" t="inlineStr">
        <is>
          <t>XP_053329276.1 RLA class II histocompatibility antigen, DP alpha-1 chain-like [Spea bombifrons]</t>
        </is>
      </c>
      <c r="M7910" t="n">
        <v>271</v>
      </c>
      <c r="N7910" t="inlineStr">
        <is>
          <t>Spea bombifrons</t>
        </is>
      </c>
      <c r="O7910" t="inlineStr">
        <is>
          <t>RLA class II histocompatibility antigen, DP alpha-1 chain-like</t>
        </is>
      </c>
    </row>
    <row r="7911">
      <c r="A7911" t="inlineStr"/>
      <c r="B7911" t="inlineStr"/>
      <c r="C7911" t="inlineStr"/>
      <c r="D7911" t="inlineStr"/>
      <c r="E7911">
        <f>HYPERLINK("https://www.ncbi.nlm.nih.gov/gene/?term=XP_044161238.1", "XP_044161238.1")</f>
        <v/>
      </c>
      <c r="F7911" t="n">
        <v>64.90000000000001</v>
      </c>
      <c r="G7911" t="n">
        <v>239</v>
      </c>
      <c r="H7911" t="n">
        <v>7.91e-102</v>
      </c>
      <c r="I7911" t="inlineStr">
        <is>
          <t>Nr</t>
        </is>
      </c>
      <c r="J7911" t="inlineStr"/>
      <c r="K7911" t="inlineStr"/>
      <c r="L7911" t="inlineStr">
        <is>
          <t>XP_044161238.1 HLA class II histocompatibility antigen, DR alpha chain-like [Bufo gargarizans]</t>
        </is>
      </c>
      <c r="M7911" t="n">
        <v>250</v>
      </c>
      <c r="N7911" t="inlineStr">
        <is>
          <t>Bufo gargarizans</t>
        </is>
      </c>
      <c r="O7911" t="inlineStr">
        <is>
          <t>HLA class II histocompatibility antigen, DR alpha chain-like</t>
        </is>
      </c>
    </row>
    <row r="7912">
      <c r="A7912" t="inlineStr"/>
      <c r="B7912" t="inlineStr"/>
      <c r="C7912" t="inlineStr"/>
      <c r="D7912" t="inlineStr"/>
      <c r="E7912">
        <f>HYPERLINK("https://www.uniprot.org/uniprotkb/A0A141QRY8/entry", "A0A141QRY8")</f>
        <v/>
      </c>
      <c r="F7912" t="n">
        <v>65.7</v>
      </c>
      <c r="G7912" t="n">
        <v>233</v>
      </c>
      <c r="H7912" t="n">
        <v>1.05e-101</v>
      </c>
      <c r="I7912" t="inlineStr">
        <is>
          <t>TrEMBL</t>
        </is>
      </c>
      <c r="J7912" t="inlineStr">
        <is>
          <t>RhmaDDA</t>
        </is>
      </c>
      <c r="K7912" t="inlineStr">
        <is>
          <t>A0A141QRY8_RHIMB</t>
        </is>
      </c>
      <c r="L7912" t="inlineStr">
        <is>
          <t>tr|A0A141QRY8|A0A141QRY8_RHIMB MHC class II alpha chain (Fragment) OS=Rhinella marina OX=8386 GN=RhmaDDA PE=2 SV=1</t>
        </is>
      </c>
      <c r="M7912" t="n">
        <v>245</v>
      </c>
      <c r="N7912" t="inlineStr">
        <is>
          <t>Rhinella marina</t>
        </is>
      </c>
      <c r="O7912" t="inlineStr">
        <is>
          <t>MHC class II alpha chain (Fragment)</t>
        </is>
      </c>
    </row>
    <row r="7913">
      <c r="A7913" t="inlineStr"/>
      <c r="B7913" t="inlineStr"/>
      <c r="C7913" t="inlineStr"/>
      <c r="D7913" t="inlineStr"/>
      <c r="E7913">
        <f>HYPERLINK("https://www.ncbi.nlm.nih.gov/gene/?term=AMD82118.1", "AMD82118.1")</f>
        <v/>
      </c>
      <c r="F7913" t="n">
        <v>65.7</v>
      </c>
      <c r="G7913" t="n">
        <v>233</v>
      </c>
      <c r="H7913" t="n">
        <v>2.7e-101</v>
      </c>
      <c r="I7913" t="inlineStr">
        <is>
          <t>Nr</t>
        </is>
      </c>
      <c r="J7913" t="inlineStr"/>
      <c r="K7913" t="inlineStr"/>
      <c r="L7913" t="inlineStr">
        <is>
          <t>AMD82118.1 MHC class II alpha chain, partial [Rhinella marina]</t>
        </is>
      </c>
      <c r="M7913" t="n">
        <v>245</v>
      </c>
      <c r="N7913" t="inlineStr">
        <is>
          <t>Rhinella marina</t>
        </is>
      </c>
      <c r="O7913" t="inlineStr">
        <is>
          <t>MHC class II alpha chain, partial</t>
        </is>
      </c>
    </row>
    <row r="7914">
      <c r="A7914" t="inlineStr"/>
      <c r="B7914" t="inlineStr"/>
      <c r="C7914" t="inlineStr"/>
      <c r="D7914" t="inlineStr"/>
      <c r="E7914">
        <f>HYPERLINK("https://www.uniprot.org/uniprotkb/A0A141QRY1/entry", "A0A141QRY1")</f>
        <v/>
      </c>
      <c r="F7914" t="n">
        <v>62.7</v>
      </c>
      <c r="G7914" t="n">
        <v>241</v>
      </c>
      <c r="H7914" t="n">
        <v>3.37e-99</v>
      </c>
      <c r="I7914" t="inlineStr">
        <is>
          <t>TrEMBL</t>
        </is>
      </c>
      <c r="J7914" t="inlineStr">
        <is>
          <t>RhmaDBA</t>
        </is>
      </c>
      <c r="K7914" t="inlineStr">
        <is>
          <t>A0A141QRY1_RHIMB</t>
        </is>
      </c>
      <c r="L7914" t="inlineStr">
        <is>
          <t>tr|A0A141QRY1|A0A141QRY1_RHIMB MHC class II alpha chain OS=Rhinella marina OX=8386 GN=RhmaDBA PE=2 SV=1</t>
        </is>
      </c>
      <c r="M7914" t="n">
        <v>250</v>
      </c>
      <c r="N7914" t="inlineStr">
        <is>
          <t>Rhinella marina</t>
        </is>
      </c>
      <c r="O7914" t="inlineStr">
        <is>
          <t>MHC class II alpha chain</t>
        </is>
      </c>
    </row>
    <row r="7915">
      <c r="A7915" t="inlineStr"/>
      <c r="B7915" t="inlineStr"/>
      <c r="C7915" t="inlineStr"/>
      <c r="D7915" t="inlineStr"/>
      <c r="E7915">
        <f>HYPERLINK("https://www.uniprot.org/uniprotkb/A0A141QRY3/entry", "A0A141QRY3")</f>
        <v/>
      </c>
      <c r="F7915" t="n">
        <v>62.7</v>
      </c>
      <c r="G7915" t="n">
        <v>241</v>
      </c>
      <c r="H7915" t="n">
        <v>4.78e-99</v>
      </c>
      <c r="I7915" t="inlineStr">
        <is>
          <t>TrEMBL</t>
        </is>
      </c>
      <c r="J7915" t="inlineStr">
        <is>
          <t>RhmaDBA</t>
        </is>
      </c>
      <c r="K7915" t="inlineStr">
        <is>
          <t>A0A141QRY3_RHIMB</t>
        </is>
      </c>
      <c r="L7915" t="inlineStr">
        <is>
          <t>tr|A0A141QRY3|A0A141QRY3_RHIMB MHC class II alpha chain OS=Rhinella marina OX=8386 GN=RhmaDBA PE=2 SV=1</t>
        </is>
      </c>
      <c r="M7915" t="n">
        <v>250</v>
      </c>
      <c r="N7915" t="inlineStr">
        <is>
          <t>Rhinella marina</t>
        </is>
      </c>
      <c r="O7915" t="inlineStr">
        <is>
          <t>MHC class II alpha chain</t>
        </is>
      </c>
    </row>
    <row r="7916">
      <c r="A7916" t="inlineStr"/>
      <c r="B7916" t="inlineStr"/>
      <c r="C7916" t="inlineStr"/>
      <c r="D7916" t="inlineStr"/>
      <c r="E7916">
        <f>HYPERLINK("https://www.ncbi.nlm.nih.gov/gene/?term=AMD82111.1", "AMD82111.1")</f>
        <v/>
      </c>
      <c r="F7916" t="n">
        <v>62.7</v>
      </c>
      <c r="G7916" t="n">
        <v>241</v>
      </c>
      <c r="H7916" t="n">
        <v>8.649999999999999e-99</v>
      </c>
      <c r="I7916" t="inlineStr">
        <is>
          <t>Nr</t>
        </is>
      </c>
      <c r="J7916" t="inlineStr"/>
      <c r="K7916" t="inlineStr"/>
      <c r="L7916" t="inlineStr">
        <is>
          <t>AMD82111.1 MHC class II alpha chain [Rhinella marina]</t>
        </is>
      </c>
      <c r="M7916" t="n">
        <v>250</v>
      </c>
      <c r="N7916" t="inlineStr">
        <is>
          <t>Rhinella marina</t>
        </is>
      </c>
      <c r="O7916" t="inlineStr">
        <is>
          <t>MHC class II alpha chain</t>
        </is>
      </c>
    </row>
    <row r="7917">
      <c r="A7917" t="inlineStr"/>
      <c r="B7917" t="inlineStr"/>
      <c r="C7917" t="inlineStr"/>
      <c r="D7917" t="inlineStr"/>
      <c r="E7917">
        <f>HYPERLINK("https://www.ncbi.nlm.nih.gov/gene/?term=AMD82113.1", "AMD82113.1")</f>
        <v/>
      </c>
      <c r="F7917" t="n">
        <v>62.7</v>
      </c>
      <c r="G7917" t="n">
        <v>241</v>
      </c>
      <c r="H7917" t="n">
        <v>1.23e-98</v>
      </c>
      <c r="I7917" t="inlineStr">
        <is>
          <t>Nr</t>
        </is>
      </c>
      <c r="J7917" t="inlineStr"/>
      <c r="K7917" t="inlineStr"/>
      <c r="L7917" t="inlineStr">
        <is>
          <t>AMD82113.1 MHC class II alpha chain [Rhinella marina]</t>
        </is>
      </c>
      <c r="M7917" t="n">
        <v>250</v>
      </c>
      <c r="N7917" t="inlineStr">
        <is>
          <t>Rhinella marina</t>
        </is>
      </c>
      <c r="O7917" t="inlineStr">
        <is>
          <t>MHC class II alpha chain</t>
        </is>
      </c>
    </row>
    <row r="7918">
      <c r="A7918" t="inlineStr"/>
      <c r="B7918" t="inlineStr"/>
      <c r="C7918" t="inlineStr"/>
      <c r="D7918" t="inlineStr"/>
      <c r="E7918">
        <f>HYPERLINK("https://www.uniprot.org/uniprotkb/A0A141QRY2/entry", "A0A141QRY2")</f>
        <v/>
      </c>
      <c r="F7918" t="n">
        <v>62.2</v>
      </c>
      <c r="G7918" t="n">
        <v>241</v>
      </c>
      <c r="H7918" t="n">
        <v>2.75e-98</v>
      </c>
      <c r="I7918" t="inlineStr">
        <is>
          <t>TrEMBL</t>
        </is>
      </c>
      <c r="J7918" t="inlineStr">
        <is>
          <t>RhmaDBA</t>
        </is>
      </c>
      <c r="K7918" t="inlineStr">
        <is>
          <t>A0A141QRY2_RHIMB</t>
        </is>
      </c>
      <c r="L7918" t="inlineStr">
        <is>
          <t>tr|A0A141QRY2|A0A141QRY2_RHIMB MHC class II alpha chain OS=Rhinella marina OX=8386 GN=RhmaDBA PE=2 SV=1</t>
        </is>
      </c>
      <c r="M7918" t="n">
        <v>250</v>
      </c>
      <c r="N7918" t="inlineStr">
        <is>
          <t>Rhinella marina</t>
        </is>
      </c>
      <c r="O7918" t="inlineStr">
        <is>
          <t>MHC class II alpha chain</t>
        </is>
      </c>
    </row>
    <row r="7919">
      <c r="A7919" t="inlineStr"/>
      <c r="B7919" t="inlineStr"/>
      <c r="C7919" t="inlineStr"/>
      <c r="D7919" t="inlineStr"/>
      <c r="E7919">
        <f>HYPERLINK("https://www.ncbi.nlm.nih.gov/gene/?term=AMD82112.1", "AMD82112.1")</f>
        <v/>
      </c>
      <c r="F7919" t="n">
        <v>62.2</v>
      </c>
      <c r="G7919" t="n">
        <v>241</v>
      </c>
      <c r="H7919" t="n">
        <v>7.059999999999999e-98</v>
      </c>
      <c r="I7919" t="inlineStr">
        <is>
          <t>Nr</t>
        </is>
      </c>
      <c r="J7919" t="inlineStr"/>
      <c r="K7919" t="inlineStr"/>
      <c r="L7919" t="inlineStr">
        <is>
          <t>AMD82112.1 MHC class II alpha chain [Rhinella marina]</t>
        </is>
      </c>
      <c r="M7919" t="n">
        <v>250</v>
      </c>
      <c r="N7919" t="inlineStr">
        <is>
          <t>Rhinella marina</t>
        </is>
      </c>
      <c r="O7919" t="inlineStr">
        <is>
          <t>MHC class II alpha chain</t>
        </is>
      </c>
    </row>
    <row r="7920">
      <c r="A7920" t="inlineStr"/>
      <c r="B7920" t="inlineStr"/>
      <c r="C7920" t="inlineStr"/>
      <c r="D7920" t="inlineStr"/>
      <c r="E7920">
        <f>HYPERLINK("https://www.uniprot.org/uniprotkb/A0A8C5Q9Q3/entry", "A0A8C5Q9Q3")</f>
        <v/>
      </c>
      <c r="F7920" t="n">
        <v>58.9</v>
      </c>
      <c r="G7920" t="n">
        <v>236</v>
      </c>
      <c r="H7920" t="n">
        <v>1.19e-97</v>
      </c>
      <c r="I7920" t="inlineStr">
        <is>
          <t>TrEMBL</t>
        </is>
      </c>
      <c r="J7920" t="inlineStr"/>
      <c r="K7920" t="inlineStr">
        <is>
          <t>A0A8C5Q9Q3_9ANUR</t>
        </is>
      </c>
      <c r="L7920" t="inlineStr">
        <is>
          <t>tr|A0A8C5Q9Q3|A0A8C5Q9Q3_9ANUR Ig-like domain-containing protein OS=Leptobrachium leishanense OX=445787 PE=4 SV=1</t>
        </is>
      </c>
      <c r="M7920" t="n">
        <v>252</v>
      </c>
      <c r="N7920" t="inlineStr">
        <is>
          <t>Leptobrachium leishanense</t>
        </is>
      </c>
      <c r="O7920" t="inlineStr">
        <is>
          <t>Ig-like domain-containing protein</t>
        </is>
      </c>
    </row>
    <row r="7921">
      <c r="A7921" t="inlineStr"/>
      <c r="B7921" t="inlineStr"/>
      <c r="C7921" t="inlineStr"/>
      <c r="D7921" t="inlineStr"/>
      <c r="E7921">
        <f>HYPERLINK("https://www.uniprot.org/uniprotkb/A0A141QRY4/entry", "A0A141QRY4")</f>
        <v/>
      </c>
      <c r="F7921" t="n">
        <v>61.8</v>
      </c>
      <c r="G7921" t="n">
        <v>241</v>
      </c>
      <c r="H7921" t="n">
        <v>4.51e-97</v>
      </c>
      <c r="I7921" t="inlineStr">
        <is>
          <t>TrEMBL</t>
        </is>
      </c>
      <c r="J7921" t="inlineStr">
        <is>
          <t>RhmaDBA</t>
        </is>
      </c>
      <c r="K7921" t="inlineStr">
        <is>
          <t>A0A141QRY4_RHIMB</t>
        </is>
      </c>
      <c r="L7921" t="inlineStr">
        <is>
          <t>tr|A0A141QRY4|A0A141QRY4_RHIMB MHC class II alpha chain OS=Rhinella marina OX=8386 GN=RhmaDBA PE=2 SV=1</t>
        </is>
      </c>
      <c r="M7921" t="n">
        <v>250</v>
      </c>
      <c r="N7921" t="inlineStr">
        <is>
          <t>Rhinella marina</t>
        </is>
      </c>
      <c r="O7921" t="inlineStr">
        <is>
          <t>MHC class II alpha chain</t>
        </is>
      </c>
    </row>
    <row r="7922">
      <c r="A7922" t="inlineStr"/>
      <c r="B7922" t="inlineStr"/>
      <c r="C7922" t="inlineStr"/>
      <c r="D7922" t="inlineStr"/>
      <c r="E7922">
        <f>HYPERLINK("https://www.ncbi.nlm.nih.gov/gene/?term=XP_040298532.1", "XP_040298532.1")</f>
        <v/>
      </c>
      <c r="F7922" t="n">
        <v>59.6</v>
      </c>
      <c r="G7922" t="n">
        <v>250</v>
      </c>
      <c r="H7922" t="n">
        <v>7.900000000000001e-97</v>
      </c>
      <c r="I7922" t="inlineStr">
        <is>
          <t>Nr</t>
        </is>
      </c>
      <c r="J7922" t="inlineStr"/>
      <c r="K7922" t="inlineStr"/>
      <c r="L7922" t="inlineStr">
        <is>
          <t>XP_040298532.1 mamu class II histocompatibility antigen, DR alpha chain-like [Bufo bufo]</t>
        </is>
      </c>
      <c r="M7922" t="n">
        <v>249</v>
      </c>
      <c r="N7922" t="inlineStr">
        <is>
          <t>Bufo bufo</t>
        </is>
      </c>
      <c r="O7922" t="inlineStr">
        <is>
          <t>mamu class II histocompatibility antigen, DR alpha chain-like</t>
        </is>
      </c>
    </row>
    <row r="7923">
      <c r="A7923" t="inlineStr"/>
      <c r="B7923" t="inlineStr"/>
      <c r="C7923" t="inlineStr"/>
      <c r="D7923" t="inlineStr"/>
      <c r="E7923">
        <f>HYPERLINK("https://www.ncbi.nlm.nih.gov/gene/?term=AMD82114.1", "AMD82114.1")</f>
        <v/>
      </c>
      <c r="F7923" t="n">
        <v>61.8</v>
      </c>
      <c r="G7923" t="n">
        <v>241</v>
      </c>
      <c r="H7923" t="n">
        <v>1.16e-96</v>
      </c>
      <c r="I7923" t="inlineStr">
        <is>
          <t>Nr</t>
        </is>
      </c>
      <c r="J7923" t="inlineStr"/>
      <c r="K7923" t="inlineStr"/>
      <c r="L7923" t="inlineStr">
        <is>
          <t>AMD82114.1 MHC class II alpha chain [Rhinella marina]</t>
        </is>
      </c>
      <c r="M7923" t="n">
        <v>250</v>
      </c>
      <c r="N7923" t="inlineStr">
        <is>
          <t>Rhinella marina</t>
        </is>
      </c>
      <c r="O7923" t="inlineStr">
        <is>
          <t>MHC class II alpha chain</t>
        </is>
      </c>
    </row>
    <row r="7924">
      <c r="A7924" t="inlineStr"/>
      <c r="B7924" t="inlineStr"/>
      <c r="C7924" t="inlineStr"/>
      <c r="D7924" t="inlineStr"/>
      <c r="E7924">
        <f>HYPERLINK("https://www.ncbi.nlm.nih.gov/gene/?term=XP_018413622.1", "XP_018413622.1")</f>
        <v/>
      </c>
      <c r="F7924" t="n">
        <v>59.8</v>
      </c>
      <c r="G7924" t="n">
        <v>241</v>
      </c>
      <c r="H7924" t="n">
        <v>6.44e-96</v>
      </c>
      <c r="I7924" t="inlineStr">
        <is>
          <t>Nr</t>
        </is>
      </c>
      <c r="J7924" t="inlineStr"/>
      <c r="K7924" t="inlineStr"/>
      <c r="L7924" t="inlineStr">
        <is>
          <t>XP_018413622.1 PREDICTED: H-2 class II histocompatibility antigen, A-Q alpha chain-like [Nanorana parkeri]</t>
        </is>
      </c>
      <c r="M7924" t="n">
        <v>249</v>
      </c>
      <c r="N7924" t="inlineStr">
        <is>
          <t>Nanorana parkeri</t>
        </is>
      </c>
      <c r="O7924" t="inlineStr">
        <is>
          <t>PREDICTED: H-2 class II histocompatibility antigen, A-Q alpha chain-like</t>
        </is>
      </c>
    </row>
    <row r="7925">
      <c r="A7925" t="inlineStr"/>
      <c r="B7925" t="inlineStr"/>
      <c r="C7925" t="inlineStr"/>
      <c r="D7925" t="inlineStr"/>
      <c r="E7925">
        <f>HYPERLINK("https://www.ncbi.nlm.nih.gov/gene/?term=XP_044161608.1", "XP_044161608.1")</f>
        <v/>
      </c>
      <c r="F7925" t="n">
        <v>60.4</v>
      </c>
      <c r="G7925" t="n">
        <v>240</v>
      </c>
      <c r="H7925" t="n">
        <v>6.44e-96</v>
      </c>
      <c r="I7925" t="inlineStr">
        <is>
          <t>Nr</t>
        </is>
      </c>
      <c r="J7925" t="inlineStr"/>
      <c r="K7925" t="inlineStr"/>
      <c r="L7925" t="inlineStr">
        <is>
          <t>XP_044161608.1 mamu class II histocompatibility antigen, DR alpha chain-like [Bufo gargarizans]</t>
        </is>
      </c>
      <c r="M7925" t="n">
        <v>249</v>
      </c>
      <c r="N7925" t="inlineStr">
        <is>
          <t>Bufo gargarizans</t>
        </is>
      </c>
      <c r="O7925" t="inlineStr">
        <is>
          <t>mamu class II histocompatibility antigen, DR alpha chain-like</t>
        </is>
      </c>
    </row>
    <row r="7926">
      <c r="A7926" t="inlineStr"/>
      <c r="B7926" t="inlineStr"/>
      <c r="C7926" t="inlineStr"/>
      <c r="D7926" t="inlineStr"/>
      <c r="E7926">
        <f>HYPERLINK("https://www.uniprot.org/uniprotkb/A0A141QRY0/entry", "A0A141QRY0")</f>
        <v/>
      </c>
      <c r="F7926" t="n">
        <v>58.9</v>
      </c>
      <c r="G7926" t="n">
        <v>241</v>
      </c>
      <c r="H7926" t="n">
        <v>1.79e-95</v>
      </c>
      <c r="I7926" t="inlineStr">
        <is>
          <t>TrEMBL</t>
        </is>
      </c>
      <c r="J7926" t="inlineStr">
        <is>
          <t>RhmaDAA</t>
        </is>
      </c>
      <c r="K7926" t="inlineStr">
        <is>
          <t>A0A141QRY0_RHIMB</t>
        </is>
      </c>
      <c r="L7926" t="inlineStr">
        <is>
          <t>tr|A0A141QRY0|A0A141QRY0_RHIMB MHC class II alpha chain (Fragment) OS=Rhinella marina OX=8386 GN=RhmaDAA PE=2 SV=1</t>
        </is>
      </c>
      <c r="M7926" t="n">
        <v>245</v>
      </c>
      <c r="N7926" t="inlineStr">
        <is>
          <t>Rhinella marina</t>
        </is>
      </c>
      <c r="O7926" t="inlineStr">
        <is>
          <t>MHC class II alpha chain (Fragment)</t>
        </is>
      </c>
    </row>
    <row r="7927">
      <c r="A7927" t="inlineStr"/>
      <c r="B7927" t="inlineStr"/>
      <c r="C7927" t="inlineStr"/>
      <c r="D7927" t="inlineStr"/>
      <c r="E7927">
        <f>HYPERLINK("https://www.ncbi.nlm.nih.gov/gene/?term=AMD82110.1", "AMD82110.1")</f>
        <v/>
      </c>
      <c r="F7927" t="n">
        <v>58.9</v>
      </c>
      <c r="G7927" t="n">
        <v>241</v>
      </c>
      <c r="H7927" t="n">
        <v>4.59e-95</v>
      </c>
      <c r="I7927" t="inlineStr">
        <is>
          <t>Nr</t>
        </is>
      </c>
      <c r="J7927" t="inlineStr"/>
      <c r="K7927" t="inlineStr"/>
      <c r="L7927" t="inlineStr">
        <is>
          <t>AMD82110.1 MHC class II alpha chain, partial [Rhinella marina]</t>
        </is>
      </c>
      <c r="M7927" t="n">
        <v>245</v>
      </c>
      <c r="N7927" t="inlineStr">
        <is>
          <t>Rhinella marina</t>
        </is>
      </c>
      <c r="O7927" t="inlineStr">
        <is>
          <t>MHC class II alpha chain, partial</t>
        </is>
      </c>
    </row>
    <row r="7928">
      <c r="A7928" t="inlineStr"/>
      <c r="B7928" t="inlineStr"/>
      <c r="C7928" t="inlineStr"/>
      <c r="D7928" t="inlineStr"/>
      <c r="E7928">
        <f>HYPERLINK("https://www.uniprot.org/uniprotkb/A0A141QRY7/entry", "A0A141QRY7")</f>
        <v/>
      </c>
      <c r="F7928" t="n">
        <v>58.5</v>
      </c>
      <c r="G7928" t="n">
        <v>234</v>
      </c>
      <c r="H7928" t="n">
        <v>1.1e-94</v>
      </c>
      <c r="I7928" t="inlineStr">
        <is>
          <t>TrEMBL</t>
        </is>
      </c>
      <c r="J7928" t="inlineStr">
        <is>
          <t>RhmaDCA</t>
        </is>
      </c>
      <c r="K7928" t="inlineStr">
        <is>
          <t>A0A141QRY7_RHIMB</t>
        </is>
      </c>
      <c r="L7928" t="inlineStr">
        <is>
          <t>tr|A0A141QRY7|A0A141QRY7_RHIMB MHC class II alpha chain (Fragment) OS=Rhinella marina OX=8386 GN=RhmaDCA PE=2 SV=1</t>
        </is>
      </c>
      <c r="M7928" t="n">
        <v>247</v>
      </c>
      <c r="N7928" t="inlineStr">
        <is>
          <t>Rhinella marina</t>
        </is>
      </c>
      <c r="O7928" t="inlineStr">
        <is>
          <t>MHC class II alpha chain (Fragment)</t>
        </is>
      </c>
    </row>
    <row r="7929">
      <c r="A7929" t="inlineStr"/>
      <c r="B7929" t="inlineStr"/>
      <c r="C7929" t="inlineStr"/>
      <c r="D7929" t="inlineStr"/>
      <c r="E7929">
        <f>HYPERLINK("https://www.ncbi.nlm.nih.gov/gene/?term=AMD82117.1", "AMD82117.1")</f>
        <v/>
      </c>
      <c r="F7929" t="n">
        <v>58.5</v>
      </c>
      <c r="G7929" t="n">
        <v>234</v>
      </c>
      <c r="H7929" t="n">
        <v>2.82e-94</v>
      </c>
      <c r="I7929" t="inlineStr">
        <is>
          <t>Nr</t>
        </is>
      </c>
      <c r="J7929" t="inlineStr"/>
      <c r="K7929" t="inlineStr"/>
      <c r="L7929" t="inlineStr">
        <is>
          <t>AMD82117.1 MHC class II alpha chain, partial [Rhinella marina]</t>
        </is>
      </c>
      <c r="M7929" t="n">
        <v>247</v>
      </c>
      <c r="N7929" t="inlineStr">
        <is>
          <t>Rhinella marina</t>
        </is>
      </c>
      <c r="O7929" t="inlineStr">
        <is>
          <t>MHC class II alpha chain, partial</t>
        </is>
      </c>
    </row>
    <row r="7930">
      <c r="A7930" t="inlineStr"/>
      <c r="B7930" t="inlineStr"/>
      <c r="C7930" t="inlineStr"/>
      <c r="D7930" t="inlineStr"/>
      <c r="E7930">
        <f>HYPERLINK("https://www.uniprot.org/uniprotkb/A0A141QRY6/entry", "A0A141QRY6")</f>
        <v/>
      </c>
      <c r="F7930" t="n">
        <v>58.1</v>
      </c>
      <c r="G7930" t="n">
        <v>234</v>
      </c>
      <c r="H7930" t="n">
        <v>1.27e-93</v>
      </c>
      <c r="I7930" t="inlineStr">
        <is>
          <t>TrEMBL</t>
        </is>
      </c>
      <c r="J7930" t="inlineStr">
        <is>
          <t>RhmaDCA</t>
        </is>
      </c>
      <c r="K7930" t="inlineStr">
        <is>
          <t>A0A141QRY6_RHIMB</t>
        </is>
      </c>
      <c r="L7930" t="inlineStr">
        <is>
          <t>tr|A0A141QRY6|A0A141QRY6_RHIMB MHC class II alpha chain (Fragment) OS=Rhinella marina OX=8386 GN=RhmaDCA PE=2 SV=1</t>
        </is>
      </c>
      <c r="M7930" t="n">
        <v>247</v>
      </c>
      <c r="N7930" t="inlineStr">
        <is>
          <t>Rhinella marina</t>
        </is>
      </c>
      <c r="O7930" t="inlineStr">
        <is>
          <t>MHC class II alpha chain (Fragment)</t>
        </is>
      </c>
    </row>
    <row r="7931">
      <c r="A7931" t="inlineStr"/>
      <c r="B7931" t="inlineStr"/>
      <c r="C7931" t="inlineStr"/>
      <c r="D7931" t="inlineStr"/>
      <c r="E7931">
        <f>HYPERLINK("https://www.ncbi.nlm.nih.gov/gene/?term=AMD82116.1", "AMD82116.1")</f>
        <v/>
      </c>
      <c r="F7931" t="n">
        <v>58.1</v>
      </c>
      <c r="G7931" t="n">
        <v>234</v>
      </c>
      <c r="H7931" t="n">
        <v>3.26e-93</v>
      </c>
      <c r="I7931" t="inlineStr">
        <is>
          <t>Nr</t>
        </is>
      </c>
      <c r="J7931" t="inlineStr"/>
      <c r="K7931" t="inlineStr"/>
      <c r="L7931" t="inlineStr">
        <is>
          <t>AMD82116.1 MHC class II alpha chain, partial [Rhinella marina]</t>
        </is>
      </c>
      <c r="M7931" t="n">
        <v>247</v>
      </c>
      <c r="N7931" t="inlineStr">
        <is>
          <t>Rhinella marina</t>
        </is>
      </c>
      <c r="O7931" t="inlineStr">
        <is>
          <t>MHC class II alpha chain, partial</t>
        </is>
      </c>
    </row>
    <row r="7932">
      <c r="A7932" t="inlineStr"/>
      <c r="B7932" t="inlineStr"/>
      <c r="C7932" t="inlineStr"/>
      <c r="D7932" t="inlineStr"/>
      <c r="E7932">
        <f>HYPERLINK("https://www.uniprot.org/uniprotkb/A0A6P7XRP4/entry", "A0A6P7XRP4")</f>
        <v/>
      </c>
      <c r="F7932" t="n">
        <v>58.3</v>
      </c>
      <c r="G7932" t="n">
        <v>230</v>
      </c>
      <c r="H7932" t="n">
        <v>4.44e-93</v>
      </c>
      <c r="I7932" t="inlineStr">
        <is>
          <t>TrEMBL</t>
        </is>
      </c>
      <c r="J7932" t="inlineStr">
        <is>
          <t>LOC115466169</t>
        </is>
      </c>
      <c r="K7932" t="inlineStr">
        <is>
          <t>A0A6P7XRP4_9AMPH</t>
        </is>
      </c>
      <c r="L7932" t="inlineStr">
        <is>
          <t>tr|A0A6P7XRP4|A0A6P7XRP4_9AMPH HLA class II histocompatibility antigen, DR alpha chain-like OS=Microcaecilia unicolor OX=1415580 GN=LOC115466169 PE=4 SV=1</t>
        </is>
      </c>
      <c r="M7932" t="n">
        <v>253</v>
      </c>
      <c r="N7932" t="inlineStr">
        <is>
          <t>Microcaecilia unicolor</t>
        </is>
      </c>
      <c r="O7932" t="inlineStr">
        <is>
          <t>HLA class II histocompatibility antigen, DR alpha chain-like</t>
        </is>
      </c>
    </row>
    <row r="7933">
      <c r="A7933" t="inlineStr"/>
      <c r="B7933" t="inlineStr"/>
      <c r="C7933" t="inlineStr"/>
      <c r="D7933" t="inlineStr"/>
      <c r="E7933">
        <f>HYPERLINK("https://www.uniprot.org/uniprotkb/A0A141QRY5/entry", "A0A141QRY5")</f>
        <v/>
      </c>
      <c r="F7933" t="n">
        <v>57.7</v>
      </c>
      <c r="G7933" t="n">
        <v>234</v>
      </c>
      <c r="H7933" t="n">
        <v>5.14e-93</v>
      </c>
      <c r="I7933" t="inlineStr">
        <is>
          <t>TrEMBL</t>
        </is>
      </c>
      <c r="J7933" t="inlineStr">
        <is>
          <t>RhmaDCA</t>
        </is>
      </c>
      <c r="K7933" t="inlineStr">
        <is>
          <t>A0A141QRY5_RHIMB</t>
        </is>
      </c>
      <c r="L7933" t="inlineStr">
        <is>
          <t>tr|A0A141QRY5|A0A141QRY5_RHIMB MHC class II alpha chain (Fragment) OS=Rhinella marina OX=8386 GN=RhmaDCA PE=2 SV=1</t>
        </is>
      </c>
      <c r="M7933" t="n">
        <v>247</v>
      </c>
      <c r="N7933" t="inlineStr">
        <is>
          <t>Rhinella marina</t>
        </is>
      </c>
      <c r="O7933" t="inlineStr">
        <is>
          <t>MHC class II alpha chain (Fragment)</t>
        </is>
      </c>
    </row>
    <row r="7934">
      <c r="A7934" t="inlineStr"/>
      <c r="B7934" t="inlineStr"/>
      <c r="C7934" t="inlineStr"/>
      <c r="D7934" t="inlineStr"/>
      <c r="E7934">
        <f>HYPERLINK("https://www.ncbi.nlm.nih.gov/gene/?term=XP_030053114.1", "XP_030053114.1")</f>
        <v/>
      </c>
      <c r="F7934" t="n">
        <v>58.3</v>
      </c>
      <c r="G7934" t="n">
        <v>230</v>
      </c>
      <c r="H7934" t="n">
        <v>1.14e-92</v>
      </c>
      <c r="I7934" t="inlineStr">
        <is>
          <t>Nr</t>
        </is>
      </c>
      <c r="J7934" t="inlineStr"/>
      <c r="K7934" t="inlineStr"/>
      <c r="L7934" t="inlineStr">
        <is>
          <t>XP_030053114.1 HLA class II histocompatibility antigen, DR alpha chain-like [Microcaecilia unicolor]</t>
        </is>
      </c>
      <c r="M7934" t="n">
        <v>253</v>
      </c>
      <c r="N7934" t="inlineStr">
        <is>
          <t>Microcaecilia unicolor</t>
        </is>
      </c>
      <c r="O7934" t="inlineStr">
        <is>
          <t>HLA class II histocompatibility antigen, DR alpha chain-like</t>
        </is>
      </c>
    </row>
    <row r="7935">
      <c r="A7935" t="inlineStr"/>
      <c r="B7935" t="inlineStr"/>
      <c r="C7935" t="inlineStr"/>
      <c r="D7935" t="inlineStr"/>
      <c r="E7935">
        <f>HYPERLINK("https://www.ncbi.nlm.nih.gov/gene/?term=XP_040180872.1", "XP_040180872.1")</f>
        <v/>
      </c>
      <c r="F7935" t="n">
        <v>58.3</v>
      </c>
      <c r="G7935" t="n">
        <v>240</v>
      </c>
      <c r="H7935" t="n">
        <v>1.24e-92</v>
      </c>
      <c r="I7935" t="inlineStr">
        <is>
          <t>Nr</t>
        </is>
      </c>
      <c r="J7935" t="inlineStr"/>
      <c r="K7935" t="inlineStr"/>
      <c r="L7935" t="inlineStr">
        <is>
          <t>XP_040180872.1 RLA class II histocompatibility antigen, DP alpha-1 chain-like [Rana temporaria]</t>
        </is>
      </c>
      <c r="M7935" t="n">
        <v>245</v>
      </c>
      <c r="N7935" t="inlineStr">
        <is>
          <t>Rana temporaria</t>
        </is>
      </c>
      <c r="O7935" t="inlineStr">
        <is>
          <t>RLA class II histocompatibility antigen, DP alpha-1 chain-like</t>
        </is>
      </c>
    </row>
    <row r="7936">
      <c r="A7936" t="inlineStr"/>
      <c r="B7936" t="inlineStr"/>
      <c r="C7936" t="inlineStr"/>
      <c r="D7936" t="inlineStr"/>
      <c r="E7936">
        <f>HYPERLINK("https://www.ncbi.nlm.nih.gov/gene/?term=AMD82115.1", "AMD82115.1")</f>
        <v/>
      </c>
      <c r="F7936" t="n">
        <v>57.7</v>
      </c>
      <c r="G7936" t="n">
        <v>234</v>
      </c>
      <c r="H7936" t="n">
        <v>1.32e-92</v>
      </c>
      <c r="I7936" t="inlineStr">
        <is>
          <t>Nr</t>
        </is>
      </c>
      <c r="J7936" t="inlineStr"/>
      <c r="K7936" t="inlineStr"/>
      <c r="L7936" t="inlineStr">
        <is>
          <t>AMD82115.1 MHC class II alpha chain, partial [Rhinella marina]</t>
        </is>
      </c>
      <c r="M7936" t="n">
        <v>247</v>
      </c>
      <c r="N7936" t="inlineStr">
        <is>
          <t>Rhinella marina</t>
        </is>
      </c>
      <c r="O7936" t="inlineStr">
        <is>
          <t>MHC class II alpha chain, partial</t>
        </is>
      </c>
    </row>
    <row r="7937">
      <c r="A7937" t="inlineStr"/>
      <c r="B7937" t="inlineStr"/>
      <c r="C7937" t="inlineStr"/>
      <c r="D7937" t="inlineStr"/>
      <c r="E7937">
        <f>HYPERLINK("https://www.uniprot.org/uniprotkb/A0A8J6JP12/entry", "A0A8J6JP12")</f>
        <v/>
      </c>
      <c r="F7937" t="n">
        <v>57.3</v>
      </c>
      <c r="G7937" t="n">
        <v>248</v>
      </c>
      <c r="H7937" t="n">
        <v>1.43e-90</v>
      </c>
      <c r="I7937" t="inlineStr">
        <is>
          <t>TrEMBL</t>
        </is>
      </c>
      <c r="J7937" t="inlineStr">
        <is>
          <t>GDO78_015512</t>
        </is>
      </c>
      <c r="K7937" t="inlineStr">
        <is>
          <t>A0A8J6JP12_ELECQ</t>
        </is>
      </c>
      <c r="L7937" t="inlineStr">
        <is>
          <t>tr|A0A8J6JP12|A0A8J6JP12_ELECQ Ig-like domain-containing protein OS=Eleutherodactylus coqui OX=57060 GN=GDO78_015512 PE=4 SV=1</t>
        </is>
      </c>
      <c r="M7937" t="n">
        <v>248</v>
      </c>
      <c r="N7937" t="inlineStr">
        <is>
          <t>Eleutherodactylus coqui</t>
        </is>
      </c>
      <c r="O7937" t="inlineStr">
        <is>
          <t>Ig-like domain-containing protein</t>
        </is>
      </c>
    </row>
    <row r="7938">
      <c r="A7938" t="inlineStr"/>
      <c r="B7938" t="inlineStr"/>
      <c r="C7938" t="inlineStr"/>
      <c r="D7938" t="inlineStr"/>
      <c r="E7938">
        <f>HYPERLINK("https://www.ncbi.nlm.nih.gov/gene/?term=KAG9467150.1", "KAG9467150.1")</f>
        <v/>
      </c>
      <c r="F7938" t="n">
        <v>57.3</v>
      </c>
      <c r="G7938" t="n">
        <v>248</v>
      </c>
      <c r="H7938" t="n">
        <v>3.67e-90</v>
      </c>
      <c r="I7938" t="inlineStr">
        <is>
          <t>Nr</t>
        </is>
      </c>
      <c r="J7938" t="inlineStr"/>
      <c r="K7938" t="inlineStr"/>
      <c r="L7938" t="inlineStr">
        <is>
          <t>KAG9467150.1 hypothetical protein GDO78_015512 [Eleutherodactylus coqui]</t>
        </is>
      </c>
      <c r="M7938" t="n">
        <v>248</v>
      </c>
      <c r="N7938" t="inlineStr">
        <is>
          <t>Eleutherodactylus coqui</t>
        </is>
      </c>
      <c r="O7938" t="inlineStr">
        <is>
          <t>hypothetical protein GDO78_015512</t>
        </is>
      </c>
    </row>
    <row r="7939">
      <c r="A7939" t="inlineStr"/>
      <c r="B7939" t="inlineStr"/>
      <c r="C7939" t="inlineStr"/>
      <c r="D7939" t="inlineStr"/>
      <c r="E7939">
        <f>HYPERLINK("https://www.ncbi.nlm.nih.gov/gene/?term=KAG8544669.1", "KAG8544669.1")</f>
        <v/>
      </c>
      <c r="F7939" t="n">
        <v>55</v>
      </c>
      <c r="G7939" t="n">
        <v>238</v>
      </c>
      <c r="H7939" t="n">
        <v>4.529999999999999e-89</v>
      </c>
      <c r="I7939" t="inlineStr">
        <is>
          <t>Nr</t>
        </is>
      </c>
      <c r="J7939" t="inlineStr"/>
      <c r="K7939" t="inlineStr"/>
      <c r="L7939" t="inlineStr">
        <is>
          <t>KAG8544669.1 hypothetical protein GDO81_022081 [Engystomops pustulosus]</t>
        </is>
      </c>
      <c r="M7939" t="n">
        <v>250</v>
      </c>
      <c r="N7939" t="inlineStr">
        <is>
          <t>Engystomops pustulosus</t>
        </is>
      </c>
      <c r="O7939" t="inlineStr">
        <is>
          <t>hypothetical protein GDO81_022081</t>
        </is>
      </c>
    </row>
    <row r="7940">
      <c r="A7940" t="inlineStr"/>
      <c r="B7940" t="inlineStr"/>
      <c r="C7940" t="inlineStr"/>
      <c r="D7940" t="inlineStr"/>
      <c r="E7940">
        <f>HYPERLINK("https://www.ncbi.nlm.nih.gov/gene/?term=XP_026518044.1", "XP_026518044.1")</f>
        <v/>
      </c>
      <c r="F7940" t="n">
        <v>56.7</v>
      </c>
      <c r="G7940" t="n">
        <v>231</v>
      </c>
      <c r="H7940" t="n">
        <v>1.69e-88</v>
      </c>
      <c r="I7940" t="inlineStr">
        <is>
          <t>Nr</t>
        </is>
      </c>
      <c r="J7940" t="inlineStr"/>
      <c r="K7940" t="inlineStr"/>
      <c r="L7940" t="inlineStr">
        <is>
          <t>XP_026518044.1 mamu class II histocompatibility antigen, DR alpha chain-like [Terrapene carolina triunguis]</t>
        </is>
      </c>
      <c r="M7940" t="n">
        <v>258</v>
      </c>
      <c r="N7940" t="inlineStr">
        <is>
          <t>Terrapene carolina triunguis</t>
        </is>
      </c>
      <c r="O7940" t="inlineStr">
        <is>
          <t>mamu class II histocompatibility antigen, DR alpha chain-like</t>
        </is>
      </c>
    </row>
    <row r="7941">
      <c r="A7941" t="inlineStr"/>
      <c r="B7941" t="inlineStr"/>
      <c r="C7941" t="inlineStr"/>
      <c r="D7941" t="inlineStr"/>
      <c r="E7941">
        <f>HYPERLINK("https://www.uniprot.org/uniprotkb/A0A452HAL8/entry", "A0A452HAL8")</f>
        <v/>
      </c>
      <c r="F7941" t="n">
        <v>57.2</v>
      </c>
      <c r="G7941" t="n">
        <v>229</v>
      </c>
      <c r="H7941" t="n">
        <v>5.34e-88</v>
      </c>
      <c r="I7941" t="inlineStr">
        <is>
          <t>TrEMBL</t>
        </is>
      </c>
      <c r="J7941" t="inlineStr"/>
      <c r="K7941" t="inlineStr">
        <is>
          <t>A0A452HAL8_9SAUR</t>
        </is>
      </c>
      <c r="L7941" t="inlineStr">
        <is>
          <t>tr|A0A452HAL8|A0A452HAL8_9SAUR Ig-like domain-containing protein OS=Gopherus agassizii OX=38772 PE=4 SV=1</t>
        </is>
      </c>
      <c r="M7941" t="n">
        <v>258</v>
      </c>
      <c r="N7941" t="inlineStr">
        <is>
          <t>Gopherus agassizii</t>
        </is>
      </c>
      <c r="O7941" t="inlineStr">
        <is>
          <t>Ig-like domain-containing protein</t>
        </is>
      </c>
    </row>
    <row r="7942">
      <c r="A7942" t="inlineStr"/>
      <c r="B7942" t="inlineStr"/>
      <c r="C7942" t="inlineStr"/>
      <c r="D7942" t="inlineStr"/>
      <c r="E7942">
        <f>HYPERLINK("https://www.ncbi.nlm.nih.gov/gene/?term=XP_030403302.1", "XP_030403302.1")</f>
        <v/>
      </c>
      <c r="F7942" t="n">
        <v>57.6</v>
      </c>
      <c r="G7942" t="n">
        <v>229</v>
      </c>
      <c r="H7942" t="n">
        <v>1.37e-87</v>
      </c>
      <c r="I7942" t="inlineStr">
        <is>
          <t>Nr</t>
        </is>
      </c>
      <c r="J7942" t="inlineStr"/>
      <c r="K7942" t="inlineStr"/>
      <c r="L7942" t="inlineStr">
        <is>
          <t>XP_030403302.1 HLA class II histocompatibility antigen, DR alpha chain-like isoform X1 [Gopherus evgoodei]</t>
        </is>
      </c>
      <c r="M7942" t="n">
        <v>258</v>
      </c>
      <c r="N7942" t="inlineStr">
        <is>
          <t>Gopherus evgoodei</t>
        </is>
      </c>
      <c r="O7942" t="inlineStr">
        <is>
          <t>HLA class II histocompatibility antigen, DR alpha chain-like isoform X1</t>
        </is>
      </c>
    </row>
    <row r="7943">
      <c r="A7943" t="inlineStr"/>
      <c r="B7943" t="inlineStr"/>
      <c r="C7943" t="inlineStr"/>
      <c r="D7943" t="inlineStr"/>
      <c r="E7943">
        <f>HYPERLINK("https://www.ncbi.nlm.nih.gov/gene/?term=XP_030403303.1", "XP_030403303.1")</f>
        <v/>
      </c>
      <c r="F7943" t="n">
        <v>57.6</v>
      </c>
      <c r="G7943" t="n">
        <v>229</v>
      </c>
      <c r="H7943" t="n">
        <v>1.37e-87</v>
      </c>
      <c r="I7943" t="inlineStr">
        <is>
          <t>Nr</t>
        </is>
      </c>
      <c r="J7943" t="inlineStr"/>
      <c r="K7943" t="inlineStr"/>
      <c r="L7943" t="inlineStr">
        <is>
          <t>XP_030403303.1 HLA class II histocompatibility antigen, DR alpha chain-like isoform X2 [Gopherus evgoodei]</t>
        </is>
      </c>
      <c r="M7943" t="n">
        <v>258</v>
      </c>
      <c r="N7943" t="inlineStr">
        <is>
          <t>Gopherus evgoodei</t>
        </is>
      </c>
      <c r="O7943" t="inlineStr">
        <is>
          <t>HLA class II histocompatibility antigen, DR alpha chain-like isoform X2</t>
        </is>
      </c>
    </row>
    <row r="7944">
      <c r="A7944" t="inlineStr"/>
      <c r="B7944" t="inlineStr"/>
      <c r="C7944" t="inlineStr"/>
      <c r="D7944" t="inlineStr"/>
      <c r="E7944">
        <f>HYPERLINK("https://www.ncbi.nlm.nih.gov/gene/?term=XP_037769682.1", "XP_037769682.1")</f>
        <v/>
      </c>
      <c r="F7944" t="n">
        <v>56.8</v>
      </c>
      <c r="G7944" t="n">
        <v>229</v>
      </c>
      <c r="H7944" t="n">
        <v>2.5e-87</v>
      </c>
      <c r="I7944" t="inlineStr">
        <is>
          <t>Nr</t>
        </is>
      </c>
      <c r="J7944" t="inlineStr"/>
      <c r="K7944" t="inlineStr"/>
      <c r="L7944" t="inlineStr">
        <is>
          <t>XP_037769682.1 HLA class II histocompatibility antigen, DR alpha chain-like isoform X2 [Chelonia mydas]</t>
        </is>
      </c>
      <c r="M7944" t="n">
        <v>255</v>
      </c>
      <c r="N7944" t="inlineStr">
        <is>
          <t>Chelonia mydas</t>
        </is>
      </c>
      <c r="O7944" t="inlineStr">
        <is>
          <t>HLA class II histocompatibility antigen, DR alpha chain-like isoform X2</t>
        </is>
      </c>
    </row>
    <row r="7945">
      <c r="A7945" t="inlineStr"/>
      <c r="B7945" t="inlineStr"/>
      <c r="C7945" t="inlineStr"/>
      <c r="D7945" t="inlineStr"/>
      <c r="E7945">
        <f>HYPERLINK("https://www.ncbi.nlm.nih.gov/gene/?term=XP_037769680.1", "XP_037769680.1")</f>
        <v/>
      </c>
      <c r="F7945" t="n">
        <v>56.8</v>
      </c>
      <c r="G7945" t="n">
        <v>229</v>
      </c>
      <c r="H7945" t="n">
        <v>2.76e-87</v>
      </c>
      <c r="I7945" t="inlineStr">
        <is>
          <t>Nr</t>
        </is>
      </c>
      <c r="J7945" t="inlineStr"/>
      <c r="K7945" t="inlineStr"/>
      <c r="L7945" t="inlineStr">
        <is>
          <t>XP_037769680.1 HLA class II histocompatibility antigen, DR alpha chain-like isoform X1 [Chelonia mydas]</t>
        </is>
      </c>
      <c r="M7945" t="n">
        <v>258</v>
      </c>
      <c r="N7945" t="inlineStr">
        <is>
          <t>Chelonia mydas</t>
        </is>
      </c>
      <c r="O7945" t="inlineStr">
        <is>
          <t>HLA class II histocompatibility antigen, DR alpha chain-like isoform X1</t>
        </is>
      </c>
    </row>
    <row r="7946">
      <c r="A7946" t="inlineStr"/>
      <c r="B7946" t="inlineStr"/>
      <c r="C7946" t="inlineStr"/>
      <c r="D7946" t="inlineStr"/>
      <c r="E7946">
        <f>HYPERLINK("https://www.ncbi.nlm.nih.gov/gene/?term=XP_037769697.1", "XP_037769697.1")</f>
        <v/>
      </c>
      <c r="F7946" t="n">
        <v>56.8</v>
      </c>
      <c r="G7946" t="n">
        <v>229</v>
      </c>
      <c r="H7946" t="n">
        <v>3.91e-87</v>
      </c>
      <c r="I7946" t="inlineStr">
        <is>
          <t>Nr</t>
        </is>
      </c>
      <c r="J7946" t="inlineStr"/>
      <c r="K7946" t="inlineStr"/>
      <c r="L7946" t="inlineStr">
        <is>
          <t>XP_037769697.1 HLA class II histocompatibility antigen, DR alpha chain isoform X1 [Chelonia mydas]</t>
        </is>
      </c>
      <c r="M7946" t="n">
        <v>258</v>
      </c>
      <c r="N7946" t="inlineStr">
        <is>
          <t>Chelonia mydas</t>
        </is>
      </c>
      <c r="O7946" t="inlineStr">
        <is>
          <t>HLA class II histocompatibility antigen, DR alpha chain isoform X1</t>
        </is>
      </c>
    </row>
    <row r="7947">
      <c r="A7947" t="inlineStr"/>
      <c r="B7947" t="inlineStr"/>
      <c r="C7947" t="inlineStr"/>
      <c r="D7947" t="inlineStr"/>
      <c r="E7947">
        <f>HYPERLINK("https://www.uniprot.org/uniprotkb/A0A8C3F4K8/entry", "A0A8C3F4K8")</f>
        <v/>
      </c>
      <c r="F7947" t="n">
        <v>56.3</v>
      </c>
      <c r="G7947" t="n">
        <v>229</v>
      </c>
      <c r="H7947" t="n">
        <v>4.35e-87</v>
      </c>
      <c r="I7947" t="inlineStr">
        <is>
          <t>TrEMBL</t>
        </is>
      </c>
      <c r="J7947" t="inlineStr"/>
      <c r="K7947" t="inlineStr">
        <is>
          <t>A0A8C3F4K8_CHRPI</t>
        </is>
      </c>
      <c r="L7947" t="inlineStr">
        <is>
          <t>tr|A0A8C3F4K8|A0A8C3F4K8_CHRPI Ig-like domain-containing protein OS=Chrysemys picta bellii OX=8478 PE=4 SV=1</t>
        </is>
      </c>
      <c r="M7947" t="n">
        <v>258</v>
      </c>
      <c r="N7947" t="inlineStr">
        <is>
          <t>Chrysemys picta bellii</t>
        </is>
      </c>
      <c r="O7947" t="inlineStr">
        <is>
          <t>Ig-like domain-containing protein</t>
        </is>
      </c>
    </row>
    <row r="7948">
      <c r="A7948" t="inlineStr"/>
      <c r="B7948" t="inlineStr"/>
      <c r="C7948" t="inlineStr"/>
      <c r="D7948" t="inlineStr"/>
      <c r="E7948">
        <f>HYPERLINK("https://www.ncbi.nlm.nih.gov/gene/?term=XP_038226900.1", "XP_038226900.1")</f>
        <v/>
      </c>
      <c r="F7948" t="n">
        <v>56.3</v>
      </c>
      <c r="G7948" t="n">
        <v>229</v>
      </c>
      <c r="H7948" t="n">
        <v>5.55e-87</v>
      </c>
      <c r="I7948" t="inlineStr">
        <is>
          <t>Nr</t>
        </is>
      </c>
      <c r="J7948" t="inlineStr"/>
      <c r="K7948" t="inlineStr"/>
      <c r="L7948" t="inlineStr">
        <is>
          <t>XP_038226900.1 HLA class II histocompatibility antigen, DR alpha chain-like isoform X3 [Dermochelys coriacea]</t>
        </is>
      </c>
      <c r="M7948" t="n">
        <v>258</v>
      </c>
      <c r="N7948" t="inlineStr">
        <is>
          <t>Dermochelys coriacea</t>
        </is>
      </c>
      <c r="O7948" t="inlineStr">
        <is>
          <t>HLA class II histocompatibility antigen, DR alpha chain-like isoform X3</t>
        </is>
      </c>
    </row>
    <row r="7949">
      <c r="A7949" t="inlineStr"/>
      <c r="B7949" t="inlineStr"/>
      <c r="C7949" t="inlineStr"/>
      <c r="D7949" t="inlineStr"/>
      <c r="E7949">
        <f>HYPERLINK("https://www.uniprot.org/uniprotkb/A0A8C0HA22/entry", "A0A8C0HA22")</f>
        <v/>
      </c>
      <c r="F7949" t="n">
        <v>56.3</v>
      </c>
      <c r="G7949" t="n">
        <v>229</v>
      </c>
      <c r="H7949" t="n">
        <v>1.41e-86</v>
      </c>
      <c r="I7949" t="inlineStr">
        <is>
          <t>TrEMBL</t>
        </is>
      </c>
      <c r="J7949" t="inlineStr"/>
      <c r="K7949" t="inlineStr">
        <is>
          <t>A0A8C0HA22_CHEAB</t>
        </is>
      </c>
      <c r="L7949" t="inlineStr">
        <is>
          <t>tr|A0A8C0HA22|A0A8C0HA22_CHEAB Ig-like domain-containing protein OS=Chelonoidis abingdonii OX=106734 PE=4 SV=1</t>
        </is>
      </c>
      <c r="M7949" t="n">
        <v>294</v>
      </c>
      <c r="N7949" t="inlineStr">
        <is>
          <t>Chelonoidis abingdonii</t>
        </is>
      </c>
      <c r="O7949" t="inlineStr">
        <is>
          <t>Ig-like domain-containing protein</t>
        </is>
      </c>
    </row>
    <row r="7950">
      <c r="A7950" t="inlineStr"/>
      <c r="B7950" t="inlineStr"/>
      <c r="C7950" t="inlineStr"/>
      <c r="D7950" t="inlineStr"/>
      <c r="E7950">
        <f>HYPERLINK("https://www.uniprot.org/uniprotkb/A0A8C0GHP2/entry", "A0A8C0GHP2")</f>
        <v/>
      </c>
      <c r="F7950" t="n">
        <v>55.5</v>
      </c>
      <c r="G7950" t="n">
        <v>229</v>
      </c>
      <c r="H7950" t="n">
        <v>7.1e-86</v>
      </c>
      <c r="I7950" t="inlineStr">
        <is>
          <t>TrEMBL</t>
        </is>
      </c>
      <c r="J7950" t="inlineStr"/>
      <c r="K7950" t="inlineStr">
        <is>
          <t>A0A8C0GHP2_CHEAB</t>
        </is>
      </c>
      <c r="L7950" t="inlineStr">
        <is>
          <t>tr|A0A8C0GHP2|A0A8C0GHP2_CHEAB Ig-like domain-containing protein OS=Chelonoidis abingdonii OX=106734 PE=4 SV=1</t>
        </is>
      </c>
      <c r="M7950" t="n">
        <v>258</v>
      </c>
      <c r="N7950" t="inlineStr">
        <is>
          <t>Chelonoidis abingdonii</t>
        </is>
      </c>
      <c r="O7950" t="inlineStr">
        <is>
          <t>Ig-like domain-containing protein</t>
        </is>
      </c>
    </row>
    <row r="7951">
      <c r="A7951" t="inlineStr"/>
      <c r="B7951" t="inlineStr"/>
      <c r="C7951" t="inlineStr"/>
      <c r="D7951" t="inlineStr"/>
      <c r="E7951">
        <f>HYPERLINK("https://www.uniprot.org/uniprotkb/A0A7N5K040/entry", "A0A7N5K040")</f>
        <v/>
      </c>
      <c r="F7951" t="n">
        <v>54.8</v>
      </c>
      <c r="G7951" t="n">
        <v>228</v>
      </c>
      <c r="H7951" t="n">
        <v>8.830000000000001e-86</v>
      </c>
      <c r="I7951" t="inlineStr">
        <is>
          <t>TrEMBL</t>
        </is>
      </c>
      <c r="J7951" t="inlineStr">
        <is>
          <t>HLA-DRA</t>
        </is>
      </c>
      <c r="K7951" t="inlineStr">
        <is>
          <t>A0A7N5K040_AILME</t>
        </is>
      </c>
      <c r="L7951" t="inlineStr">
        <is>
          <t>tr|A0A7N5K040|A0A7N5K040_AILME HLA class II histocompatibility antigen, DR alpha chain OS=Ailuropoda melanoleuca OX=9646 GN=HLA-DRA PE=3 SV=1</t>
        </is>
      </c>
      <c r="M7951" t="n">
        <v>254</v>
      </c>
      <c r="N7951" t="inlineStr">
        <is>
          <t>Ailuropoda melanoleuca</t>
        </is>
      </c>
      <c r="O7951" t="inlineStr">
        <is>
          <t>HLA class II histocompatibility antigen, DR alpha chain</t>
        </is>
      </c>
    </row>
    <row r="7952">
      <c r="A7952" t="inlineStr"/>
      <c r="B7952" t="inlineStr"/>
      <c r="C7952" t="inlineStr"/>
      <c r="D7952" t="inlineStr"/>
      <c r="E7952">
        <f>HYPERLINK("https://www.uniprot.org/uniprotkb/A0A8C3HAJ7/entry", "A0A8C3HAJ7")</f>
        <v/>
      </c>
      <c r="F7952" t="n">
        <v>56</v>
      </c>
      <c r="G7952" t="n">
        <v>225</v>
      </c>
      <c r="H7952" t="n">
        <v>1.17e-85</v>
      </c>
      <c r="I7952" t="inlineStr">
        <is>
          <t>TrEMBL</t>
        </is>
      </c>
      <c r="J7952" t="inlineStr"/>
      <c r="K7952" t="inlineStr">
        <is>
          <t>A0A8C3HAJ7_CHRPI</t>
        </is>
      </c>
      <c r="L7952" t="inlineStr">
        <is>
          <t>tr|A0A8C3HAJ7|A0A8C3HAJ7_CHRPI Ig-like domain-containing protein OS=Chrysemys picta bellii OX=8478 PE=4 SV=1</t>
        </is>
      </c>
      <c r="M7952" t="n">
        <v>252</v>
      </c>
      <c r="N7952" t="inlineStr">
        <is>
          <t>Chrysemys picta bellii</t>
        </is>
      </c>
      <c r="O7952" t="inlineStr">
        <is>
          <t>Ig-like domain-containing protein</t>
        </is>
      </c>
    </row>
    <row r="7953">
      <c r="A7953" t="inlineStr"/>
      <c r="B7953" t="inlineStr"/>
      <c r="C7953" t="inlineStr"/>
      <c r="D7953" t="inlineStr"/>
      <c r="E7953">
        <f>HYPERLINK("https://www.uniprot.org/uniprotkb/A0A663FFV4/entry", "A0A663FFV4")</f>
        <v/>
      </c>
      <c r="F7953" t="n">
        <v>56.3</v>
      </c>
      <c r="G7953" t="n">
        <v>231</v>
      </c>
      <c r="H7953" t="n">
        <v>1.29e-85</v>
      </c>
      <c r="I7953" t="inlineStr">
        <is>
          <t>TrEMBL</t>
        </is>
      </c>
      <c r="J7953" t="inlineStr">
        <is>
          <t>LOC115338203</t>
        </is>
      </c>
      <c r="K7953" t="inlineStr">
        <is>
          <t>A0A663FFV4_AQUCH</t>
        </is>
      </c>
      <c r="L7953" t="inlineStr">
        <is>
          <t>tr|A0A663FFV4|A0A663FFV4_AQUCH HLA class II histocompatibility antigen, DR alpha chain-like OS=Aquila chrysaetos chrysaetos OX=223781 GN=LOC115338203 PE=4 SV=1</t>
        </is>
      </c>
      <c r="M7953" t="n">
        <v>255</v>
      </c>
      <c r="N7953" t="inlineStr">
        <is>
          <t>Aquila chrysaetos chrysaetos</t>
        </is>
      </c>
      <c r="O7953" t="inlineStr">
        <is>
          <t>HLA class II histocompatibility antigen, DR alpha chain-like</t>
        </is>
      </c>
    </row>
    <row r="7954">
      <c r="A7954" t="inlineStr"/>
      <c r="B7954" t="inlineStr"/>
      <c r="C7954" t="inlineStr"/>
      <c r="D7954" t="inlineStr"/>
      <c r="E7954">
        <f>HYPERLINK("https://www.uniprot.org/uniprotkb/A0A8C3FQ58/entry", "A0A8C3FQ58")</f>
        <v/>
      </c>
      <c r="F7954" t="n">
        <v>56</v>
      </c>
      <c r="G7954" t="n">
        <v>225</v>
      </c>
      <c r="H7954" t="n">
        <v>1.29e-85</v>
      </c>
      <c r="I7954" t="inlineStr">
        <is>
          <t>TrEMBL</t>
        </is>
      </c>
      <c r="J7954" t="inlineStr"/>
      <c r="K7954" t="inlineStr">
        <is>
          <t>A0A8C3FQ58_CHRPI</t>
        </is>
      </c>
      <c r="L7954" t="inlineStr">
        <is>
          <t>tr|A0A8C3FQ58|A0A8C3FQ58_CHRPI Ig-like domain-containing protein OS=Chrysemys picta bellii OX=8478 PE=4 SV=1</t>
        </is>
      </c>
      <c r="M7954" t="n">
        <v>255</v>
      </c>
      <c r="N7954" t="inlineStr">
        <is>
          <t>Chrysemys picta bellii</t>
        </is>
      </c>
      <c r="O7954" t="inlineStr">
        <is>
          <t>Ig-like domain-containing protein</t>
        </is>
      </c>
    </row>
    <row r="7955">
      <c r="A7955" t="inlineStr"/>
      <c r="B7955" t="inlineStr"/>
      <c r="C7955" t="inlineStr"/>
      <c r="D7955" t="inlineStr"/>
      <c r="E7955">
        <f>HYPERLINK("https://www.uniprot.org/uniprotkb/A0A151MRL0/entry", "A0A151MRL0")</f>
        <v/>
      </c>
      <c r="F7955" t="n">
        <v>56.5</v>
      </c>
      <c r="G7955" t="n">
        <v>230</v>
      </c>
      <c r="H7955" t="n">
        <v>1.38e-85</v>
      </c>
      <c r="I7955" t="inlineStr">
        <is>
          <t>TrEMBL</t>
        </is>
      </c>
      <c r="J7955" t="inlineStr">
        <is>
          <t>Y1Q_0003616</t>
        </is>
      </c>
      <c r="K7955" t="inlineStr">
        <is>
          <t>A0A151MRL0_ALLMI</t>
        </is>
      </c>
      <c r="L7955" t="inlineStr">
        <is>
          <t>tr|A0A151MRL0|A0A151MRL0_ALLMI HLA class II histocompatibility antigen, DR alpha chain-like OS=Alligator mississippiensis OX=8496 GN=Y1Q_0003616 PE=4 SV=1</t>
        </is>
      </c>
      <c r="M7955" t="n">
        <v>257</v>
      </c>
      <c r="N7955" t="inlineStr">
        <is>
          <t>Alligator mississippiensis</t>
        </is>
      </c>
      <c r="O7955" t="inlineStr">
        <is>
          <t>HLA class II histocompatibility antigen, DR alpha chain-like</t>
        </is>
      </c>
    </row>
    <row r="7956">
      <c r="A7956" t="inlineStr"/>
      <c r="B7956" t="inlineStr"/>
      <c r="C7956" t="inlineStr"/>
      <c r="D7956" t="inlineStr"/>
      <c r="E7956">
        <f>HYPERLINK("https://www.uniprot.org/uniprotkb/Q9GJN1/entry", "Q9GJN1")</f>
        <v/>
      </c>
      <c r="F7956" t="n">
        <v>56.5</v>
      </c>
      <c r="G7956" t="n">
        <v>230</v>
      </c>
      <c r="H7956" t="n">
        <v>1.38e-85</v>
      </c>
      <c r="I7956" t="inlineStr">
        <is>
          <t>TrEMBL</t>
        </is>
      </c>
      <c r="J7956" t="inlineStr">
        <is>
          <t>hcIIalpha</t>
        </is>
      </c>
      <c r="K7956" t="inlineStr">
        <is>
          <t>Q9GJN1_CAICR</t>
        </is>
      </c>
      <c r="L7956" t="inlineStr">
        <is>
          <t>tr|Q9GJN1|Q9GJN1_CAICR MHC class II alpha chain OS=Caiman crocodilus OX=8499 GN=hcIIalpha PE=4 SV=2</t>
        </is>
      </c>
      <c r="M7956" t="n">
        <v>257</v>
      </c>
      <c r="N7956" t="inlineStr">
        <is>
          <t>Caiman crocodilus</t>
        </is>
      </c>
      <c r="O7956" t="inlineStr">
        <is>
          <t>MHC class II alpha chain</t>
        </is>
      </c>
    </row>
    <row r="7957">
      <c r="A7957" t="inlineStr"/>
      <c r="B7957" t="inlineStr"/>
      <c r="C7957" t="inlineStr"/>
      <c r="D7957" t="inlineStr"/>
      <c r="E7957">
        <f>HYPERLINK("https://www.uniprot.org/uniprotkb/A0A4D9EH93/entry", "A0A4D9EH93")</f>
        <v/>
      </c>
      <c r="F7957" t="n">
        <v>54.5</v>
      </c>
      <c r="G7957" t="n">
        <v>231</v>
      </c>
      <c r="H7957" t="n">
        <v>1.41e-85</v>
      </c>
      <c r="I7957" t="inlineStr">
        <is>
          <t>TrEMBL</t>
        </is>
      </c>
      <c r="J7957" t="inlineStr">
        <is>
          <t>DR999_PMT11642</t>
        </is>
      </c>
      <c r="K7957" t="inlineStr">
        <is>
          <t>A0A4D9EH93_9SAUR</t>
        </is>
      </c>
      <c r="L7957" t="inlineStr">
        <is>
          <t>tr|A0A4D9EH93|A0A4D9EH93_9SAUR Serine/arginine repetitive matrix protein 4 OS=Platysternon megacephalum OX=55544 GN=DR999_PMT11642 PE=4 SV=1</t>
        </is>
      </c>
      <c r="M7957" t="n">
        <v>279</v>
      </c>
      <c r="N7957" t="inlineStr">
        <is>
          <t>Platysternon megacephalum</t>
        </is>
      </c>
      <c r="O7957" t="inlineStr">
        <is>
          <t>Serine/arginine repetitive matrix protein 4</t>
        </is>
      </c>
    </row>
    <row r="7958">
      <c r="A7958" t="inlineStr"/>
      <c r="B7958" t="inlineStr"/>
      <c r="C7958" t="inlineStr"/>
      <c r="D7958" t="inlineStr"/>
      <c r="E7958">
        <f>HYPERLINK("https://www.uniprot.org/uniprotkb/A0A0B4UG75/entry", "A0A0B4UG75")</f>
        <v/>
      </c>
      <c r="F7958" t="n">
        <v>56.5</v>
      </c>
      <c r="G7958" t="n">
        <v>230</v>
      </c>
      <c r="H7958" t="n">
        <v>1.96e-85</v>
      </c>
      <c r="I7958" t="inlineStr">
        <is>
          <t>TrEMBL</t>
        </is>
      </c>
      <c r="J7958" t="inlineStr">
        <is>
          <t>Crpo-DAA</t>
        </is>
      </c>
      <c r="K7958" t="inlineStr">
        <is>
          <t>A0A0B4UG75_CROPO</t>
        </is>
      </c>
      <c r="L7958" t="inlineStr">
        <is>
          <t>tr|A0A0B4UG75|A0A0B4UG75_CROPO MHC class II alpha chain OS=Crocodylus porosus OX=8502 GN=Crpo-DAA PE=4 SV=1</t>
        </is>
      </c>
      <c r="M7958" t="n">
        <v>257</v>
      </c>
      <c r="N7958" t="inlineStr">
        <is>
          <t>Crocodylus porosus</t>
        </is>
      </c>
      <c r="O7958" t="inlineStr">
        <is>
          <t>MHC class II alpha chain</t>
        </is>
      </c>
    </row>
    <row r="7959">
      <c r="A7959" t="inlineStr"/>
      <c r="B7959" t="inlineStr"/>
      <c r="C7959" t="inlineStr"/>
      <c r="D7959" t="inlineStr"/>
      <c r="E7959">
        <f>HYPERLINK("https://www.uniprot.org/uniprotkb/A7X5M6/entry", "A7X5M6")</f>
        <v/>
      </c>
      <c r="F7959" t="n">
        <v>53.6</v>
      </c>
      <c r="G7959" t="n">
        <v>235</v>
      </c>
      <c r="H7959" t="n">
        <v>5.06e-85</v>
      </c>
      <c r="I7959" t="inlineStr">
        <is>
          <t>TrEMBL</t>
        </is>
      </c>
      <c r="J7959" t="inlineStr">
        <is>
          <t>Oran-DRA</t>
        </is>
      </c>
      <c r="K7959" t="inlineStr">
        <is>
          <t>A7X5M6_ORNAN</t>
        </is>
      </c>
      <c r="L7959" t="inlineStr">
        <is>
          <t>tr|A7X5M6|A7X5M6_ORNAN MHC class II antigen OS=Ornithorhynchus anatinus OX=9258 GN=Oran-DRA PE=3 SV=1</t>
        </is>
      </c>
      <c r="M7959" t="n">
        <v>254</v>
      </c>
      <c r="N7959" t="inlineStr">
        <is>
          <t>Ornithorhynchus anatinus</t>
        </is>
      </c>
      <c r="O7959" t="inlineStr">
        <is>
          <t>MHC class II antigen</t>
        </is>
      </c>
    </row>
    <row r="7960">
      <c r="A7960" t="inlineStr"/>
      <c r="B7960" t="inlineStr"/>
      <c r="C7960" t="inlineStr"/>
      <c r="D7960" t="inlineStr"/>
      <c r="E7960">
        <f>HYPERLINK("https://www.uniprot.org/uniprotkb/P01903/entry", "P01903")</f>
        <v/>
      </c>
      <c r="F7960" t="n">
        <v>51.5</v>
      </c>
      <c r="G7960" t="n">
        <v>229</v>
      </c>
      <c r="H7960" t="n">
        <v>3.45e-80</v>
      </c>
      <c r="I7960" t="inlineStr">
        <is>
          <t>Swiss-Prot</t>
        </is>
      </c>
      <c r="J7960" t="inlineStr">
        <is>
          <t>HLA-DRA</t>
        </is>
      </c>
      <c r="K7960" t="inlineStr">
        <is>
          <t>DRA_HUMAN</t>
        </is>
      </c>
      <c r="L7960" t="inlineStr">
        <is>
          <t>sp|P01903|DRA_HUMAN HLA class II histocompatibility antigen, DR alpha chain OS=Homo sapiens OX=9606 GN=HLA-DRA PE=1 SV=2</t>
        </is>
      </c>
      <c r="M7960" t="n">
        <v>254</v>
      </c>
      <c r="N7960" t="inlineStr">
        <is>
          <t>Homo sapiens</t>
        </is>
      </c>
      <c r="O7960" t="inlineStr">
        <is>
          <t>HLA class II histocompatibility antigen, DR alpha chain</t>
        </is>
      </c>
    </row>
    <row r="7961">
      <c r="A7961" t="inlineStr"/>
      <c r="B7961" t="inlineStr"/>
      <c r="C7961" t="inlineStr"/>
      <c r="D7961" t="inlineStr"/>
      <c r="E7961">
        <f>HYPERLINK("https://www.uniprot.org/uniprotkb/P20036/entry", "P20036")</f>
        <v/>
      </c>
      <c r="F7961" t="n">
        <v>50.2</v>
      </c>
      <c r="G7961" t="n">
        <v>221</v>
      </c>
      <c r="H7961" t="n">
        <v>3.39e-79</v>
      </c>
      <c r="I7961" t="inlineStr">
        <is>
          <t>Swiss-Prot</t>
        </is>
      </c>
      <c r="J7961" t="inlineStr">
        <is>
          <t>HLA-DPA1</t>
        </is>
      </c>
      <c r="K7961" t="inlineStr">
        <is>
          <t>DPA1_HUMAN</t>
        </is>
      </c>
      <c r="L7961" t="inlineStr">
        <is>
          <t>sp|P20036|DPA1_HUMAN HLA class II histocompatibility antigen, DP alpha 1 chain OS=Homo sapiens OX=9606 GN=HLA-DPA1 PE=1 SV=1</t>
        </is>
      </c>
      <c r="M7961" t="n">
        <v>260</v>
      </c>
      <c r="N7961" t="inlineStr">
        <is>
          <t>Homo sapiens</t>
        </is>
      </c>
      <c r="O7961" t="inlineStr">
        <is>
          <t>HLA class II histocompatibility antigen, DP alpha 1 chain</t>
        </is>
      </c>
    </row>
    <row r="7962">
      <c r="A7962" t="inlineStr"/>
      <c r="B7962" t="inlineStr"/>
      <c r="C7962" t="inlineStr"/>
      <c r="D7962" t="inlineStr"/>
      <c r="E7962">
        <f>HYPERLINK("https://www.uniprot.org/uniprotkb/P14439/entry", "P14439")</f>
        <v/>
      </c>
      <c r="F7962" t="n">
        <v>51.4</v>
      </c>
      <c r="G7962" t="n">
        <v>220</v>
      </c>
      <c r="H7962" t="n">
        <v>1.34e-77</v>
      </c>
      <c r="I7962" t="inlineStr">
        <is>
          <t>Swiss-Prot</t>
        </is>
      </c>
      <c r="J7962" t="inlineStr">
        <is>
          <t>H2-Ea</t>
        </is>
      </c>
      <c r="K7962" t="inlineStr">
        <is>
          <t>HA23_MOUSE</t>
        </is>
      </c>
      <c r="L7962" t="inlineStr">
        <is>
          <t>sp|P14439|HA23_MOUSE H-2 class II histocompatibility antigen, E-U alpha chain OS=Mus musculus OX=10090 GN=H2-Ea PE=2 SV=2</t>
        </is>
      </c>
      <c r="M7962" t="n">
        <v>255</v>
      </c>
      <c r="N7962" t="inlineStr">
        <is>
          <t>Mus musculus</t>
        </is>
      </c>
      <c r="O7962" t="inlineStr">
        <is>
          <t>H-2 class II histocompatibility antigen, E-U alpha chain</t>
        </is>
      </c>
    </row>
    <row r="7963">
      <c r="A7963" t="inlineStr"/>
      <c r="B7963" t="inlineStr"/>
      <c r="C7963" t="inlineStr"/>
      <c r="D7963" t="inlineStr"/>
      <c r="E7963">
        <f>HYPERLINK("https://www.uniprot.org/uniprotkb/Q30631/entry", "Q30631")</f>
        <v/>
      </c>
      <c r="F7963" t="n">
        <v>50.7</v>
      </c>
      <c r="G7963" t="n">
        <v>229</v>
      </c>
      <c r="H7963" t="n">
        <v>1.84e-77</v>
      </c>
      <c r="I7963" t="inlineStr">
        <is>
          <t>Swiss-Prot</t>
        </is>
      </c>
      <c r="J7963" t="inlineStr">
        <is>
          <t>Mamu-DRA</t>
        </is>
      </c>
      <c r="K7963" t="inlineStr">
        <is>
          <t>DRA_MACMU</t>
        </is>
      </c>
      <c r="L7963" t="inlineStr">
        <is>
          <t>sp|Q30631|DRA_MACMU Mamu class II histocompatibility antigen, DR alpha chain OS=Macaca mulatta OX=9544 GN=Mamu-DRA PE=2 SV=1</t>
        </is>
      </c>
      <c r="M7963" t="n">
        <v>254</v>
      </c>
      <c r="N7963" t="inlineStr">
        <is>
          <t>Macaca mulatta</t>
        </is>
      </c>
      <c r="O7963" t="inlineStr">
        <is>
          <t>Mamu class II histocompatibility antigen, DR alpha chain</t>
        </is>
      </c>
    </row>
    <row r="7964">
      <c r="A7964" t="inlineStr"/>
      <c r="B7964" t="inlineStr"/>
      <c r="C7964" t="inlineStr"/>
      <c r="D7964" t="inlineStr"/>
      <c r="E7964">
        <f>HYPERLINK("https://www.uniprot.org/uniprotkb/P01904/entry", "P01904")</f>
        <v/>
      </c>
      <c r="F7964" t="n">
        <v>50.5</v>
      </c>
      <c r="G7964" t="n">
        <v>220</v>
      </c>
      <c r="H7964" t="n">
        <v>6.190000000000001e-76</v>
      </c>
      <c r="I7964" t="inlineStr">
        <is>
          <t>Swiss-Prot</t>
        </is>
      </c>
      <c r="J7964" t="inlineStr">
        <is>
          <t>H2-Ea</t>
        </is>
      </c>
      <c r="K7964" t="inlineStr">
        <is>
          <t>HA21_MOUSE</t>
        </is>
      </c>
      <c r="L7964" t="inlineStr">
        <is>
          <t>sp|P01904|HA21_MOUSE H-2 class II histocompatibility antigen, E-D alpha chain OS=Mus musculus OX=10090 GN=H2-Ea PE=1 SV=2</t>
        </is>
      </c>
      <c r="M7964" t="n">
        <v>255</v>
      </c>
      <c r="N7964" t="inlineStr">
        <is>
          <t>Mus musculus</t>
        </is>
      </c>
      <c r="O7964" t="inlineStr">
        <is>
          <t>H-2 class II histocompatibility antigen, E-D alpha chain</t>
        </is>
      </c>
    </row>
    <row r="7965">
      <c r="A7965" t="inlineStr"/>
      <c r="B7965" t="inlineStr"/>
      <c r="C7965" t="inlineStr"/>
      <c r="D7965" t="inlineStr"/>
      <c r="E7965">
        <f>HYPERLINK("https://www.uniprot.org/uniprotkb/P04224/entry", "P04224")</f>
        <v/>
      </c>
      <c r="F7965" t="n">
        <v>50.5</v>
      </c>
      <c r="G7965" t="n">
        <v>220</v>
      </c>
      <c r="H7965" t="n">
        <v>6.190000000000001e-76</v>
      </c>
      <c r="I7965" t="inlineStr">
        <is>
          <t>Swiss-Prot</t>
        </is>
      </c>
      <c r="J7965" t="inlineStr"/>
      <c r="K7965" t="inlineStr">
        <is>
          <t>HA22_MOUSE</t>
        </is>
      </c>
      <c r="L7965" t="inlineStr">
        <is>
          <t>sp|P04224|HA22_MOUSE H-2 class II histocompatibility antigen, E-K alpha chain OS=Mus musculus OX=10090 PE=1 SV=1</t>
        </is>
      </c>
      <c r="M7965" t="n">
        <v>255</v>
      </c>
      <c r="N7965" t="inlineStr">
        <is>
          <t>Mus musculus</t>
        </is>
      </c>
      <c r="O7965" t="inlineStr">
        <is>
          <t>H-2 class II histocompatibility antigen, E-K alpha chain</t>
        </is>
      </c>
    </row>
    <row r="7966">
      <c r="A7966" t="inlineStr"/>
      <c r="B7966" t="inlineStr"/>
      <c r="C7966" t="inlineStr"/>
      <c r="D7966" t="inlineStr"/>
      <c r="E7966">
        <f>HYPERLINK("https://www.uniprot.org/uniprotkb/P14434/entry", "P14434")</f>
        <v/>
      </c>
      <c r="F7966" t="n">
        <v>51.2</v>
      </c>
      <c r="G7966" t="n">
        <v>201</v>
      </c>
      <c r="H7966" t="n">
        <v>5.17e-75</v>
      </c>
      <c r="I7966" t="inlineStr">
        <is>
          <t>Swiss-Prot</t>
        </is>
      </c>
      <c r="J7966" t="inlineStr">
        <is>
          <t>H2-Aa</t>
        </is>
      </c>
      <c r="K7966" t="inlineStr">
        <is>
          <t>HA2B_MOUSE</t>
        </is>
      </c>
      <c r="L7966" t="inlineStr">
        <is>
          <t>sp|P14434|HA2B_MOUSE H-2 class II histocompatibility antigen, A-B alpha chain OS=Mus musculus OX=10090 GN=H2-Aa PE=1 SV=2</t>
        </is>
      </c>
      <c r="M7966" t="n">
        <v>256</v>
      </c>
      <c r="N7966" t="inlineStr">
        <is>
          <t>Mus musculus</t>
        </is>
      </c>
      <c r="O7966" t="inlineStr">
        <is>
          <t>H-2 class II histocompatibility antigen, A-B alpha chain</t>
        </is>
      </c>
    </row>
    <row r="7967">
      <c r="A7967" t="inlineStr"/>
      <c r="B7967" t="inlineStr"/>
      <c r="C7967" t="inlineStr"/>
      <c r="D7967" t="inlineStr"/>
      <c r="E7967">
        <f>HYPERLINK("https://www.uniprot.org/uniprotkb/P20037/entry", "P20037")</f>
        <v/>
      </c>
      <c r="F7967" t="n">
        <v>50.2</v>
      </c>
      <c r="G7967" t="n">
        <v>207</v>
      </c>
      <c r="H7967" t="n">
        <v>2.08e-74</v>
      </c>
      <c r="I7967" t="inlineStr">
        <is>
          <t>Swiss-Prot</t>
        </is>
      </c>
      <c r="J7967" t="inlineStr">
        <is>
          <t>RT1-Ba</t>
        </is>
      </c>
      <c r="K7967" t="inlineStr">
        <is>
          <t>HA2B_RAT</t>
        </is>
      </c>
      <c r="L7967" t="inlineStr">
        <is>
          <t>sp|P20037|HA2B_RAT Rano class II histocompatibility antigen, B alpha chain OS=Rattus norvegicus OX=10116 GN=RT1-Ba PE=3 SV=1</t>
        </is>
      </c>
      <c r="M7967" t="n">
        <v>256</v>
      </c>
      <c r="N7967" t="inlineStr">
        <is>
          <t>Rattus norvegicus</t>
        </is>
      </c>
      <c r="O7967" t="inlineStr">
        <is>
          <t>Rano class II histocompatibility antigen, B alpha chain</t>
        </is>
      </c>
    </row>
    <row r="7968">
      <c r="A7968" t="inlineStr"/>
      <c r="B7968" t="inlineStr"/>
      <c r="C7968" t="inlineStr"/>
      <c r="D7968" t="inlineStr"/>
      <c r="E7968">
        <f>HYPERLINK("https://www.uniprot.org/uniprotkb/P14435/entry", "P14435")</f>
        <v/>
      </c>
      <c r="F7968" t="n">
        <v>51.2</v>
      </c>
      <c r="G7968" t="n">
        <v>201</v>
      </c>
      <c r="H7968" t="n">
        <v>9.270000000000001e-73</v>
      </c>
      <c r="I7968" t="inlineStr">
        <is>
          <t>Swiss-Prot</t>
        </is>
      </c>
      <c r="J7968" t="inlineStr">
        <is>
          <t>H2-Aa</t>
        </is>
      </c>
      <c r="K7968" t="inlineStr">
        <is>
          <t>HA2F_MOUSE</t>
        </is>
      </c>
      <c r="L7968" t="inlineStr">
        <is>
          <t>sp|P14435|HA2F_MOUSE H-2 class II histocompatibility antigen, A-F alpha chain OS=Mus musculus OX=10090 GN=H2-Aa PE=1 SV=1</t>
        </is>
      </c>
      <c r="M7968" t="n">
        <v>233</v>
      </c>
      <c r="N7968" t="inlineStr">
        <is>
          <t>Mus musculus</t>
        </is>
      </c>
      <c r="O7968" t="inlineStr">
        <is>
          <t>H-2 class II histocompatibility antigen, A-F alpha chain</t>
        </is>
      </c>
    </row>
    <row r="7969">
      <c r="A7969" t="inlineStr"/>
      <c r="B7969" t="inlineStr"/>
      <c r="C7969" t="inlineStr"/>
      <c r="D7969" t="inlineStr"/>
      <c r="E7969">
        <f>HYPERLINK("https://www.uniprot.org/uniprotkb/P20755/entry", "P20755")</f>
        <v/>
      </c>
      <c r="F7969" t="n">
        <v>47.7</v>
      </c>
      <c r="G7969" t="n">
        <v>218</v>
      </c>
      <c r="H7969" t="n">
        <v>1.05e-72</v>
      </c>
      <c r="I7969" t="inlineStr">
        <is>
          <t>Swiss-Prot</t>
        </is>
      </c>
      <c r="J7969" t="inlineStr"/>
      <c r="K7969" t="inlineStr">
        <is>
          <t>HA2P_RABIT</t>
        </is>
      </c>
      <c r="L7969" t="inlineStr">
        <is>
          <t>sp|P20755|HA2P_RABIT RLA class II histocompatibility antigen, DP alpha-1 chain (Fragment) OS=Oryctolagus cuniculus OX=9986 PE=3 SV=1</t>
        </is>
      </c>
      <c r="M7969" t="n">
        <v>226</v>
      </c>
      <c r="N7969" t="inlineStr">
        <is>
          <t>Oryctolagus cuniculus</t>
        </is>
      </c>
      <c r="O7969" t="inlineStr">
        <is>
          <t>RLA class II histocompatibility antigen, DP alpha-1 chain (Fragment)</t>
        </is>
      </c>
    </row>
    <row r="7970">
      <c r="A7970" t="inlineStr"/>
      <c r="B7970" t="inlineStr"/>
      <c r="C7970" t="inlineStr"/>
      <c r="D7970" t="inlineStr"/>
      <c r="E7970">
        <f>HYPERLINK("https://www.uniprot.org/uniprotkb/P14438/entry", "P14438")</f>
        <v/>
      </c>
      <c r="F7970" t="n">
        <v>50.2</v>
      </c>
      <c r="G7970" t="n">
        <v>201</v>
      </c>
      <c r="H7970" t="n">
        <v>1.54e-72</v>
      </c>
      <c r="I7970" t="inlineStr">
        <is>
          <t>Swiss-Prot</t>
        </is>
      </c>
      <c r="J7970" t="inlineStr">
        <is>
          <t>H2-Aa</t>
        </is>
      </c>
      <c r="K7970" t="inlineStr">
        <is>
          <t>HA2U_MOUSE</t>
        </is>
      </c>
      <c r="L7970" t="inlineStr">
        <is>
          <t>sp|P14438|HA2U_MOUSE H-2 class II histocompatibility antigen, A-U alpha chain (Fragment) OS=Mus musculus OX=10090 GN=H2-Aa PE=1 SV=1</t>
        </is>
      </c>
      <c r="M7970" t="n">
        <v>227</v>
      </c>
      <c r="N7970" t="inlineStr">
        <is>
          <t>Mus musculus</t>
        </is>
      </c>
      <c r="O7970" t="inlineStr">
        <is>
          <t>H-2 class II histocompatibility antigen, A-U alpha chain (Fragment)</t>
        </is>
      </c>
    </row>
    <row r="7971">
      <c r="A7971" t="inlineStr"/>
      <c r="B7971" t="inlineStr"/>
      <c r="C7971" t="inlineStr"/>
      <c r="D7971" t="inlineStr"/>
      <c r="E7971">
        <f>HYPERLINK("https://www.uniprot.org/uniprotkb/P14436/entry", "P14436")</f>
        <v/>
      </c>
      <c r="F7971" t="n">
        <v>50.2</v>
      </c>
      <c r="G7971" t="n">
        <v>201</v>
      </c>
      <c r="H7971" t="n">
        <v>3.74e-72</v>
      </c>
      <c r="I7971" t="inlineStr">
        <is>
          <t>Swiss-Prot</t>
        </is>
      </c>
      <c r="J7971" t="inlineStr">
        <is>
          <t>H2-Aa</t>
        </is>
      </c>
      <c r="K7971" t="inlineStr">
        <is>
          <t>HA2R_MOUSE</t>
        </is>
      </c>
      <c r="L7971" t="inlineStr">
        <is>
          <t>sp|P14436|HA2R_MOUSE H-2 class II histocompatibility antigen, A-R alpha chain OS=Mus musculus OX=10090 GN=H2-Aa PE=1 SV=1</t>
        </is>
      </c>
      <c r="M7971" t="n">
        <v>233</v>
      </c>
      <c r="N7971" t="inlineStr">
        <is>
          <t>Mus musculus</t>
        </is>
      </c>
      <c r="O7971" t="inlineStr">
        <is>
          <t>H-2 class II histocompatibility antigen, A-R alpha chain</t>
        </is>
      </c>
    </row>
    <row r="7972">
      <c r="A7972" t="inlineStr"/>
      <c r="B7972" t="inlineStr"/>
      <c r="C7972" t="inlineStr"/>
      <c r="D7972" t="inlineStr"/>
      <c r="E7972">
        <f>HYPERLINK("https://www.uniprot.org/uniprotkb/P01910/entry", "P01910")</f>
        <v/>
      </c>
      <c r="F7972" t="n">
        <v>49.8</v>
      </c>
      <c r="G7972" t="n">
        <v>201</v>
      </c>
      <c r="H7972" t="n">
        <v>5.48e-72</v>
      </c>
      <c r="I7972" t="inlineStr">
        <is>
          <t>Swiss-Prot</t>
        </is>
      </c>
      <c r="J7972" t="inlineStr">
        <is>
          <t>H2-Aa</t>
        </is>
      </c>
      <c r="K7972" t="inlineStr">
        <is>
          <t>HA2K_MOUSE</t>
        </is>
      </c>
      <c r="L7972" t="inlineStr">
        <is>
          <t>sp|P01910|HA2K_MOUSE H-2 class II histocompatibility antigen, A-K alpha chain OS=Mus musculus OX=10090 GN=H2-Aa PE=1 SV=2</t>
        </is>
      </c>
      <c r="M7972" t="n">
        <v>256</v>
      </c>
      <c r="N7972" t="inlineStr">
        <is>
          <t>Mus musculus</t>
        </is>
      </c>
      <c r="O7972" t="inlineStr">
        <is>
          <t>H-2 class II histocompatibility antigen, A-K alpha chain</t>
        </is>
      </c>
    </row>
    <row r="7973">
      <c r="A7973" t="inlineStr"/>
      <c r="B7973" t="inlineStr"/>
      <c r="C7973" t="inlineStr"/>
      <c r="D7973" t="inlineStr"/>
      <c r="E7973">
        <f>HYPERLINK("https://www.uniprot.org/uniprotkb/P23150/entry", "P23150")</f>
        <v/>
      </c>
      <c r="F7973" t="n">
        <v>50.2</v>
      </c>
      <c r="G7973" t="n">
        <v>201</v>
      </c>
      <c r="H7973" t="n">
        <v>2.07e-71</v>
      </c>
      <c r="I7973" t="inlineStr">
        <is>
          <t>Swiss-Prot</t>
        </is>
      </c>
      <c r="J7973" t="inlineStr"/>
      <c r="K7973" t="inlineStr">
        <is>
          <t>HA2J_MOUSE</t>
        </is>
      </c>
      <c r="L7973" t="inlineStr">
        <is>
          <t>sp|P23150|HA2J_MOUSE H-2 class II histocompatibility antigen, I-E alpha chain (Fragment) OS=Mus musculus OX=10090 PE=1 SV=1</t>
        </is>
      </c>
      <c r="M7973" t="n">
        <v>254</v>
      </c>
      <c r="N7973" t="inlineStr">
        <is>
          <t>Mus musculus</t>
        </is>
      </c>
      <c r="O7973" t="inlineStr">
        <is>
          <t>H-2 class II histocompatibility antigen, I-E alpha chain (Fragment)</t>
        </is>
      </c>
    </row>
    <row r="7974">
      <c r="A7974" t="inlineStr"/>
      <c r="B7974" t="inlineStr"/>
      <c r="C7974" t="inlineStr"/>
      <c r="D7974" t="inlineStr"/>
      <c r="E7974">
        <f>HYPERLINK("https://www.uniprot.org/uniprotkb/P14437/entry", "P14437")</f>
        <v/>
      </c>
      <c r="F7974" t="n">
        <v>50.7</v>
      </c>
      <c r="G7974" t="n">
        <v>201</v>
      </c>
      <c r="H7974" t="n">
        <v>6.08e-71</v>
      </c>
      <c r="I7974" t="inlineStr">
        <is>
          <t>Swiss-Prot</t>
        </is>
      </c>
      <c r="J7974" t="inlineStr">
        <is>
          <t>H2-Aa</t>
        </is>
      </c>
      <c r="K7974" t="inlineStr">
        <is>
          <t>HA2S_MOUSE</t>
        </is>
      </c>
      <c r="L7974" t="inlineStr">
        <is>
          <t>sp|P14437|HA2S_MOUSE H-2 class II histocompatibility antigen, A-S alpha chain OS=Mus musculus OX=10090 GN=H2-Aa PE=1 SV=1</t>
        </is>
      </c>
      <c r="M7974" t="n">
        <v>233</v>
      </c>
      <c r="N7974" t="inlineStr">
        <is>
          <t>Mus musculus</t>
        </is>
      </c>
      <c r="O7974" t="inlineStr">
        <is>
          <t>H-2 class II histocompatibility antigen, A-S alpha chain</t>
        </is>
      </c>
    </row>
    <row r="7975">
      <c r="A7975" t="inlineStr"/>
      <c r="B7975" t="inlineStr"/>
      <c r="C7975" t="inlineStr"/>
      <c r="D7975" t="inlineStr"/>
      <c r="E7975">
        <f>HYPERLINK("https://www.uniprot.org/uniprotkb/P04228/entry", "P04228")</f>
        <v/>
      </c>
      <c r="F7975" t="n">
        <v>49.8</v>
      </c>
      <c r="G7975" t="n">
        <v>201</v>
      </c>
      <c r="H7975" t="n">
        <v>6.27e-71</v>
      </c>
      <c r="I7975" t="inlineStr">
        <is>
          <t>Swiss-Prot</t>
        </is>
      </c>
      <c r="J7975" t="inlineStr">
        <is>
          <t>H2-Aa</t>
        </is>
      </c>
      <c r="K7975" t="inlineStr">
        <is>
          <t>HA2D_MOUSE</t>
        </is>
      </c>
      <c r="L7975" t="inlineStr">
        <is>
          <t>sp|P04228|HA2D_MOUSE H-2 class II histocompatibility antigen, A-D alpha chain OS=Mus musculus OX=10090 GN=H2-Aa PE=1 SV=1</t>
        </is>
      </c>
      <c r="M7975" t="n">
        <v>256</v>
      </c>
      <c r="N7975" t="inlineStr">
        <is>
          <t>Mus musculus</t>
        </is>
      </c>
      <c r="O7975" t="inlineStr">
        <is>
          <t>H-2 class II histocompatibility antigen, A-D alpha chain</t>
        </is>
      </c>
    </row>
    <row r="7976">
      <c r="A7976" t="inlineStr"/>
      <c r="B7976" t="inlineStr"/>
      <c r="C7976" t="inlineStr"/>
      <c r="D7976" t="inlineStr"/>
      <c r="E7976">
        <f>HYPERLINK("https://www.uniprot.org/uniprotkb/P04227/entry", "P04227")</f>
        <v/>
      </c>
      <c r="F7976" t="n">
        <v>50.2</v>
      </c>
      <c r="G7976" t="n">
        <v>201</v>
      </c>
      <c r="H7976" t="n">
        <v>2.36e-70</v>
      </c>
      <c r="I7976" t="inlineStr">
        <is>
          <t>Swiss-Prot</t>
        </is>
      </c>
      <c r="J7976" t="inlineStr">
        <is>
          <t>H2-Aa</t>
        </is>
      </c>
      <c r="K7976" t="inlineStr">
        <is>
          <t>HA2Q_MOUSE</t>
        </is>
      </c>
      <c r="L7976" t="inlineStr">
        <is>
          <t>sp|P04227|HA2Q_MOUSE H-2 class II histocompatibility antigen, A-Q alpha chain (Fragment) OS=Mus musculus OX=10090 GN=H2-Aa PE=1 SV=1</t>
        </is>
      </c>
      <c r="M7976" t="n">
        <v>221</v>
      </c>
      <c r="N7976" t="inlineStr">
        <is>
          <t>Mus musculus</t>
        </is>
      </c>
      <c r="O7976" t="inlineStr">
        <is>
          <t>H-2 class II histocompatibility antigen, A-Q alpha chain (Fragment)</t>
        </is>
      </c>
    </row>
    <row r="7977">
      <c r="A7977" t="inlineStr"/>
      <c r="B7977" t="inlineStr"/>
      <c r="C7977" t="inlineStr"/>
      <c r="D7977" t="inlineStr"/>
      <c r="E7977">
        <f>HYPERLINK("https://www.uniprot.org/uniprotkb/P15981/entry", "P15981")</f>
        <v/>
      </c>
      <c r="F7977" t="n">
        <v>49.3</v>
      </c>
      <c r="G7977" t="n">
        <v>215</v>
      </c>
      <c r="H7977" t="n">
        <v>4.91e-70</v>
      </c>
      <c r="I7977" t="inlineStr">
        <is>
          <t>Swiss-Prot</t>
        </is>
      </c>
      <c r="J7977" t="inlineStr"/>
      <c r="K7977" t="inlineStr">
        <is>
          <t>HA2D_PIG</t>
        </is>
      </c>
      <c r="L7977" t="inlineStr">
        <is>
          <t>sp|P15981|HA2D_PIG SLA class II histocompatibility antigen, DQ haplotype D alpha chain OS=Sus scrofa OX=9823 PE=2 SV=1</t>
        </is>
      </c>
      <c r="M7977" t="n">
        <v>255</v>
      </c>
      <c r="N7977" t="inlineStr">
        <is>
          <t>Sus scrofa</t>
        </is>
      </c>
      <c r="O7977" t="inlineStr">
        <is>
          <t>SLA class II histocompatibility antigen, DQ haplotype D alpha chain</t>
        </is>
      </c>
    </row>
    <row r="7978">
      <c r="A7978" t="inlineStr"/>
      <c r="B7978" t="inlineStr"/>
      <c r="C7978" t="inlineStr"/>
      <c r="D7978" t="inlineStr"/>
      <c r="E7978">
        <f>HYPERLINK("https://www.uniprot.org/uniprotkb/P01906/entry", "P01906")</f>
        <v/>
      </c>
      <c r="F7978" t="n">
        <v>46.1</v>
      </c>
      <c r="G7978" t="n">
        <v>217</v>
      </c>
      <c r="H7978" t="n">
        <v>1.98e-69</v>
      </c>
      <c r="I7978" t="inlineStr">
        <is>
          <t>Swiss-Prot</t>
        </is>
      </c>
      <c r="J7978" t="inlineStr">
        <is>
          <t>HLA-DQA2</t>
        </is>
      </c>
      <c r="K7978" t="inlineStr">
        <is>
          <t>DQA2_HUMAN</t>
        </is>
      </c>
      <c r="L7978" t="inlineStr">
        <is>
          <t>sp|P01906|DQA2_HUMAN HLA class II histocompatibility antigen, DQ alpha 2 chain OS=Homo sapiens OX=9606 GN=HLA-DQA2 PE=1 SV=2</t>
        </is>
      </c>
      <c r="M7978" t="n">
        <v>255</v>
      </c>
      <c r="N7978" t="inlineStr">
        <is>
          <t>Homo sapiens</t>
        </is>
      </c>
      <c r="O7978" t="inlineStr">
        <is>
          <t>HLA class II histocompatibility antigen, DQ alpha 2 chain</t>
        </is>
      </c>
    </row>
    <row r="7979">
      <c r="A7979" t="inlineStr"/>
      <c r="B7979" t="inlineStr"/>
      <c r="C7979" t="inlineStr"/>
      <c r="D7979" t="inlineStr"/>
      <c r="E7979">
        <f>HYPERLINK("https://www.uniprot.org/uniprotkb/P15980/entry", "P15980")</f>
        <v/>
      </c>
      <c r="F7979" t="n">
        <v>48.8</v>
      </c>
      <c r="G7979" t="n">
        <v>215</v>
      </c>
      <c r="H7979" t="n">
        <v>1.54e-68</v>
      </c>
      <c r="I7979" t="inlineStr">
        <is>
          <t>Swiss-Prot</t>
        </is>
      </c>
      <c r="J7979" t="inlineStr"/>
      <c r="K7979" t="inlineStr">
        <is>
          <t>HA2C_PIG</t>
        </is>
      </c>
      <c r="L7979" t="inlineStr">
        <is>
          <t>sp|P15980|HA2C_PIG SLA class II histocompatibility antigen, DQ haplotype C alpha chain OS=Sus scrofa OX=9823 PE=2 SV=1</t>
        </is>
      </c>
      <c r="M7979" t="n">
        <v>254</v>
      </c>
      <c r="N7979" t="inlineStr">
        <is>
          <t>Sus scrofa</t>
        </is>
      </c>
      <c r="O7979" t="inlineStr">
        <is>
          <t>SLA class II histocompatibility antigen, DQ haplotype C alpha chain</t>
        </is>
      </c>
    </row>
    <row r="7980">
      <c r="A7980" t="inlineStr"/>
      <c r="B7980" t="inlineStr"/>
      <c r="C7980" t="inlineStr"/>
      <c r="D7980" t="inlineStr"/>
      <c r="E7980">
        <f>HYPERLINK("https://www.uniprot.org/uniprotkb/P01909/entry", "P01909")</f>
        <v/>
      </c>
      <c r="F7980" t="n">
        <v>47.4</v>
      </c>
      <c r="G7980" t="n">
        <v>215</v>
      </c>
      <c r="H7980" t="n">
        <v>8.09e-66</v>
      </c>
      <c r="I7980" t="inlineStr">
        <is>
          <t>Swiss-Prot</t>
        </is>
      </c>
      <c r="J7980" t="inlineStr">
        <is>
          <t>HLA-DQA1</t>
        </is>
      </c>
      <c r="K7980" t="inlineStr">
        <is>
          <t>DQA1_HUMAN</t>
        </is>
      </c>
      <c r="L7980" t="inlineStr">
        <is>
          <t>sp|P01909|DQA1_HUMAN HLA class II histocompatibility antigen, DQ alpha 1 chain OS=Homo sapiens OX=9606 GN=HLA-DQA1 PE=1 SV=1</t>
        </is>
      </c>
      <c r="M7980" t="n">
        <v>254</v>
      </c>
      <c r="N7980" t="inlineStr">
        <is>
          <t>Homo sapiens</t>
        </is>
      </c>
      <c r="O7980" t="inlineStr">
        <is>
          <t>HLA class II histocompatibility antigen, DQ alpha 1 chain</t>
        </is>
      </c>
    </row>
    <row r="7981">
      <c r="A7981" t="inlineStr"/>
      <c r="B7981" t="inlineStr"/>
      <c r="C7981" t="inlineStr"/>
      <c r="D7981" t="inlineStr"/>
      <c r="E7981">
        <f>HYPERLINK("https://www.uniprot.org/uniprotkb/P06340/entry", "P06340")</f>
        <v/>
      </c>
      <c r="F7981" t="n">
        <v>40.7</v>
      </c>
      <c r="G7981" t="n">
        <v>243</v>
      </c>
      <c r="H7981" t="n">
        <v>4.63e-64</v>
      </c>
      <c r="I7981" t="inlineStr">
        <is>
          <t>Swiss-Prot</t>
        </is>
      </c>
      <c r="J7981" t="inlineStr">
        <is>
          <t>HLA-DOA</t>
        </is>
      </c>
      <c r="K7981" t="inlineStr">
        <is>
          <t>DOA_HUMAN</t>
        </is>
      </c>
      <c r="L7981" t="inlineStr">
        <is>
          <t>sp|P06340|DOA_HUMAN HLA class II histocompatibility antigen, DO alpha chain OS=Homo sapiens OX=9606 GN=HLA-DOA PE=1 SV=1</t>
        </is>
      </c>
      <c r="M7981" t="n">
        <v>250</v>
      </c>
      <c r="N7981" t="inlineStr">
        <is>
          <t>Homo sapiens</t>
        </is>
      </c>
      <c r="O7981" t="inlineStr">
        <is>
          <t>HLA class II histocompatibility antigen, DO alpha chain</t>
        </is>
      </c>
    </row>
    <row r="7982">
      <c r="A7982" t="inlineStr"/>
      <c r="B7982" t="inlineStr"/>
      <c r="C7982" t="inlineStr"/>
      <c r="D7982" t="inlineStr"/>
      <c r="E7982">
        <f>HYPERLINK("https://www.uniprot.org/uniprotkb/P28067/entry", "P28067")</f>
        <v/>
      </c>
      <c r="F7982" t="n">
        <v>26.6</v>
      </c>
      <c r="G7982" t="n">
        <v>207</v>
      </c>
      <c r="H7982" t="n">
        <v>6.87e-17</v>
      </c>
      <c r="I7982" t="inlineStr">
        <is>
          <t>Swiss-Prot</t>
        </is>
      </c>
      <c r="J7982" t="inlineStr">
        <is>
          <t>HLA-DMA</t>
        </is>
      </c>
      <c r="K7982" t="inlineStr">
        <is>
          <t>DMA_HUMAN</t>
        </is>
      </c>
      <c r="L7982" t="inlineStr">
        <is>
          <t>sp|P28067|DMA_HUMAN HLA class II histocompatibility antigen, DM alpha chain OS=Homo sapiens OX=9606 GN=HLA-DMA PE=1 SV=1</t>
        </is>
      </c>
      <c r="M7982" t="n">
        <v>261</v>
      </c>
      <c r="N7982" t="inlineStr">
        <is>
          <t>Homo sapiens</t>
        </is>
      </c>
      <c r="O7982" t="inlineStr">
        <is>
          <t>HLA class II histocompatibility antigen, DM alpha chain</t>
        </is>
      </c>
    </row>
    <row r="7983">
      <c r="A7983" t="inlineStr"/>
      <c r="B7983" t="inlineStr"/>
      <c r="C7983" t="inlineStr"/>
      <c r="D7983" t="inlineStr"/>
      <c r="E7983">
        <f>HYPERLINK("https://www.uniprot.org/uniprotkb/P28078/entry", "P28078")</f>
        <v/>
      </c>
      <c r="F7983" t="n">
        <v>26.2</v>
      </c>
      <c r="G7983" t="n">
        <v>195</v>
      </c>
      <c r="H7983" t="n">
        <v>3.46e-16</v>
      </c>
      <c r="I7983" t="inlineStr">
        <is>
          <t>Swiss-Prot</t>
        </is>
      </c>
      <c r="J7983" t="inlineStr">
        <is>
          <t>H2-DMa</t>
        </is>
      </c>
      <c r="K7983" t="inlineStr">
        <is>
          <t>DMA_MOUSE</t>
        </is>
      </c>
      <c r="L7983" t="inlineStr">
        <is>
          <t>sp|P28078|DMA_MOUSE Class II histocompatibility antigen, M alpha chain OS=Mus musculus OX=10090 GN=H2-DMa PE=1 SV=1</t>
        </is>
      </c>
      <c r="M7983" t="n">
        <v>261</v>
      </c>
      <c r="N7983" t="inlineStr">
        <is>
          <t>Mus musculus</t>
        </is>
      </c>
      <c r="O7983" t="inlineStr">
        <is>
          <t>Class II histocompatibility antigen, M alpha chain</t>
        </is>
      </c>
    </row>
    <row r="7984">
      <c r="A7984" t="inlineStr"/>
      <c r="B7984" t="inlineStr"/>
      <c r="C7984" t="inlineStr"/>
      <c r="D7984" t="inlineStr"/>
      <c r="E7984">
        <f>HYPERLINK("https://www.uniprot.org/uniprotkb/P06341/entry", "P06341")</f>
        <v/>
      </c>
      <c r="F7984" t="n">
        <v>28.7</v>
      </c>
      <c r="G7984" t="n">
        <v>143</v>
      </c>
      <c r="H7984" t="n">
        <v>5.18e-13</v>
      </c>
      <c r="I7984" t="inlineStr">
        <is>
          <t>Swiss-Prot</t>
        </is>
      </c>
      <c r="J7984" t="inlineStr">
        <is>
          <t>RT1-B</t>
        </is>
      </c>
      <c r="K7984" t="inlineStr">
        <is>
          <t>HB2A_RAT</t>
        </is>
      </c>
      <c r="L7984" t="inlineStr">
        <is>
          <t>sp|P06341|HB2A_RAT Rano class II histocompatibility antigen, A beta chain (Fragment) OS=Rattus norvegicus OX=10116 GN=RT1-B PE=3 SV=1</t>
        </is>
      </c>
      <c r="M7984" t="n">
        <v>233</v>
      </c>
      <c r="N7984" t="inlineStr">
        <is>
          <t>Rattus norvegicus</t>
        </is>
      </c>
      <c r="O7984" t="inlineStr">
        <is>
          <t>Rano class II histocompatibility antigen, A beta chain (Fragment)</t>
        </is>
      </c>
    </row>
    <row r="7985">
      <c r="A7985" t="inlineStr">
        <is>
          <t>NODE_59101_length_2652_cov_278.016248_g11902_i1</t>
        </is>
      </c>
      <c r="B7985" t="inlineStr">
        <is>
          <t>bombina_pachypus_blastx</t>
        </is>
      </c>
      <c r="C7985" t="n">
        <v>7.25450499574433</v>
      </c>
      <c r="D7985" t="n">
        <v>0.0006439046285544</v>
      </c>
      <c r="E7985">
        <f>HYPERLINK("https://www.ncbi.nlm.nih.gov/gene/?term=XP_018407840.1", "XP_018407840.1")</f>
        <v/>
      </c>
      <c r="F7985" t="n">
        <v>88.59999999999999</v>
      </c>
      <c r="G7985" t="n">
        <v>378</v>
      </c>
      <c r="H7985" t="n">
        <v>1.59e-228</v>
      </c>
      <c r="I7985" t="inlineStr">
        <is>
          <t>Nr</t>
        </is>
      </c>
      <c r="J7985" t="inlineStr"/>
      <c r="K7985" t="inlineStr"/>
      <c r="L7985" t="inlineStr">
        <is>
          <t>XP_018407840.1 PREDICTED: conserved oligomeric Golgi complex subunit 7 [Nanorana parkeri]</t>
        </is>
      </c>
      <c r="M7985" t="n">
        <v>768</v>
      </c>
      <c r="N7985" t="inlineStr">
        <is>
          <t>Nanorana parkeri</t>
        </is>
      </c>
      <c r="O7985" t="inlineStr">
        <is>
          <t>PREDICTED: conserved oligomeric Golgi complex subunit 7</t>
        </is>
      </c>
    </row>
    <row r="7986">
      <c r="A7986" t="inlineStr"/>
      <c r="B7986" t="inlineStr"/>
      <c r="C7986" t="inlineStr"/>
      <c r="D7986" t="inlineStr"/>
      <c r="E7986">
        <f>HYPERLINK("https://www.uniprot.org/uniprotkb/A0A1L8EY61/entry", "A0A1L8EY61")</f>
        <v/>
      </c>
      <c r="F7986" t="n">
        <v>87.59999999999999</v>
      </c>
      <c r="G7986" t="n">
        <v>378</v>
      </c>
      <c r="H7986" t="n">
        <v>3.31e-226</v>
      </c>
      <c r="I7986" t="inlineStr">
        <is>
          <t>TrEMBL</t>
        </is>
      </c>
      <c r="J7986" t="inlineStr">
        <is>
          <t>cog7.L</t>
        </is>
      </c>
      <c r="K7986" t="inlineStr">
        <is>
          <t>A0A1L8EY61_XENLA</t>
        </is>
      </c>
      <c r="L7986" t="inlineStr">
        <is>
          <t>tr|A0A1L8EY61|A0A1L8EY61_XENLA Conserved oligomeric Golgi complex subunit 7 OS=Xenopus laevis OX=8355 GN=cog7.L PE=3 SV=1</t>
        </is>
      </c>
      <c r="M7986" t="n">
        <v>768</v>
      </c>
      <c r="N7986" t="inlineStr">
        <is>
          <t>Xenopus laevis</t>
        </is>
      </c>
      <c r="O7986" t="inlineStr">
        <is>
          <t>Conserved oligomeric Golgi complex subunit 7</t>
        </is>
      </c>
    </row>
    <row r="7987">
      <c r="A7987" t="inlineStr"/>
      <c r="B7987" t="inlineStr"/>
      <c r="C7987" t="inlineStr"/>
      <c r="D7987" t="inlineStr"/>
      <c r="E7987">
        <f>HYPERLINK("https://www.uniprot.org/uniprotkb/Q6GNU8/entry", "Q6GNU8")</f>
        <v/>
      </c>
      <c r="F7987" t="n">
        <v>87.59999999999999</v>
      </c>
      <c r="G7987" t="n">
        <v>378</v>
      </c>
      <c r="H7987" t="n">
        <v>3.31e-226</v>
      </c>
      <c r="I7987" t="inlineStr">
        <is>
          <t>TrEMBL</t>
        </is>
      </c>
      <c r="J7987" t="inlineStr">
        <is>
          <t>cog7.L</t>
        </is>
      </c>
      <c r="K7987" t="inlineStr">
        <is>
          <t>Q6GNU8_XENLA</t>
        </is>
      </c>
      <c r="L7987" t="inlineStr">
        <is>
          <t>tr|Q6GNU8|Q6GNU8_XENLA Conserved oligomeric Golgi complex subunit 7 OS=Xenopus laevis OX=8355 GN=cog7.L PE=2 SV=1</t>
        </is>
      </c>
      <c r="M7987" t="n">
        <v>768</v>
      </c>
      <c r="N7987" t="inlineStr">
        <is>
          <t>Xenopus laevis</t>
        </is>
      </c>
      <c r="O7987" t="inlineStr">
        <is>
          <t>Conserved oligomeric Golgi complex subunit 7</t>
        </is>
      </c>
    </row>
    <row r="7988">
      <c r="A7988" t="inlineStr"/>
      <c r="B7988" t="inlineStr"/>
      <c r="C7988" t="inlineStr"/>
      <c r="D7988" t="inlineStr"/>
      <c r="E7988">
        <f>HYPERLINK("https://www.ncbi.nlm.nih.gov/gene/?term=XP_018089829.1", "XP_018089829.1")</f>
        <v/>
      </c>
      <c r="F7988" t="n">
        <v>87.59999999999999</v>
      </c>
      <c r="G7988" t="n">
        <v>378</v>
      </c>
      <c r="H7988" t="n">
        <v>8.51e-226</v>
      </c>
      <c r="I7988" t="inlineStr">
        <is>
          <t>Nr</t>
        </is>
      </c>
      <c r="J7988" t="inlineStr"/>
      <c r="K7988" t="inlineStr"/>
      <c r="L7988" t="inlineStr">
        <is>
          <t>XP_018089829.1 component of oligomeric golgi complex 7 L homeolog isoform X1 [Xenopus laevis]</t>
        </is>
      </c>
      <c r="M7988" t="n">
        <v>768</v>
      </c>
      <c r="N7988" t="inlineStr">
        <is>
          <t>Xenopus laevis</t>
        </is>
      </c>
      <c r="O7988" t="inlineStr">
        <is>
          <t>component of oligomeric golgi complex 7 L homeolog isoform X1</t>
        </is>
      </c>
    </row>
    <row r="7989">
      <c r="A7989" t="inlineStr"/>
      <c r="B7989" t="inlineStr"/>
      <c r="C7989" t="inlineStr"/>
      <c r="D7989" t="inlineStr"/>
      <c r="E7989">
        <f>HYPERLINK("https://www.ncbi.nlm.nih.gov/gene/?term=NP_001085832.1", "NP_001085832.1")</f>
        <v/>
      </c>
      <c r="F7989" t="n">
        <v>87.59999999999999</v>
      </c>
      <c r="G7989" t="n">
        <v>378</v>
      </c>
      <c r="H7989" t="n">
        <v>8.51e-226</v>
      </c>
      <c r="I7989" t="inlineStr">
        <is>
          <t>Nr</t>
        </is>
      </c>
      <c r="J7989" t="inlineStr"/>
      <c r="K7989" t="inlineStr"/>
      <c r="L7989" t="inlineStr">
        <is>
          <t>NP_001085832.1 component of oligomeric golgi complex 7 L homeolog [Xenopus laevis]</t>
        </is>
      </c>
      <c r="M7989" t="n">
        <v>768</v>
      </c>
      <c r="N7989" t="inlineStr">
        <is>
          <t>Xenopus laevis</t>
        </is>
      </c>
      <c r="O7989" t="inlineStr">
        <is>
          <t>component of oligomeric golgi complex 7 L homeolog</t>
        </is>
      </c>
    </row>
    <row r="7990">
      <c r="A7990" t="inlineStr"/>
      <c r="B7990" t="inlineStr"/>
      <c r="C7990" t="inlineStr"/>
      <c r="D7990" t="inlineStr"/>
      <c r="E7990">
        <f>HYPERLINK("https://www.ncbi.nlm.nih.gov/gene/?term=KAG8557815.1", "KAG8557815.1")</f>
        <v/>
      </c>
      <c r="F7990" t="n">
        <v>86</v>
      </c>
      <c r="G7990" t="n">
        <v>378</v>
      </c>
      <c r="H7990" t="n">
        <v>2.43e-221</v>
      </c>
      <c r="I7990" t="inlineStr">
        <is>
          <t>Nr</t>
        </is>
      </c>
      <c r="J7990" t="inlineStr"/>
      <c r="K7990" t="inlineStr"/>
      <c r="L7990" t="inlineStr">
        <is>
          <t>KAG8557815.1 hypothetical protein GDO81_016734 [Engystomops pustulosus]</t>
        </is>
      </c>
      <c r="M7990" t="n">
        <v>678</v>
      </c>
      <c r="N7990" t="inlineStr">
        <is>
          <t>Engystomops pustulosus</t>
        </is>
      </c>
      <c r="O7990" t="inlineStr">
        <is>
          <t>hypothetical protein GDO81_016734</t>
        </is>
      </c>
    </row>
    <row r="7991">
      <c r="A7991" t="inlineStr"/>
      <c r="B7991" t="inlineStr"/>
      <c r="C7991" t="inlineStr"/>
      <c r="D7991" t="inlineStr"/>
      <c r="E7991">
        <f>HYPERLINK("https://www.ncbi.nlm.nih.gov/gene/?term=XP_053328276.1", "XP_053328276.1")</f>
        <v/>
      </c>
      <c r="F7991" t="n">
        <v>86.5</v>
      </c>
      <c r="G7991" t="n">
        <v>378</v>
      </c>
      <c r="H7991" t="n">
        <v>4.09e-221</v>
      </c>
      <c r="I7991" t="inlineStr">
        <is>
          <t>Nr</t>
        </is>
      </c>
      <c r="J7991" t="inlineStr"/>
      <c r="K7991" t="inlineStr"/>
      <c r="L7991" t="inlineStr">
        <is>
          <t>XP_053328276.1 conserved oligomeric Golgi complex subunit 7 [Spea bombifrons]</t>
        </is>
      </c>
      <c r="M7991" t="n">
        <v>767</v>
      </c>
      <c r="N7991" t="inlineStr">
        <is>
          <t>Spea bombifrons</t>
        </is>
      </c>
      <c r="O7991" t="inlineStr">
        <is>
          <t>conserved oligomeric Golgi complex subunit 7</t>
        </is>
      </c>
    </row>
    <row r="7992">
      <c r="A7992" t="inlineStr"/>
      <c r="B7992" t="inlineStr"/>
      <c r="C7992" t="inlineStr"/>
      <c r="D7992" t="inlineStr"/>
      <c r="E7992">
        <f>HYPERLINK("https://www.ncbi.nlm.nih.gov/gene/?term=KAG8557814.1", "KAG8557814.1")</f>
        <v/>
      </c>
      <c r="F7992" t="n">
        <v>86</v>
      </c>
      <c r="G7992" t="n">
        <v>378</v>
      </c>
      <c r="H7992" t="n">
        <v>1.34e-220</v>
      </c>
      <c r="I7992" t="inlineStr">
        <is>
          <t>Nr</t>
        </is>
      </c>
      <c r="J7992" t="inlineStr"/>
      <c r="K7992" t="inlineStr"/>
      <c r="L7992" t="inlineStr">
        <is>
          <t>KAG8557814.1 hypothetical protein GDO81_016734 [Engystomops pustulosus]</t>
        </is>
      </c>
      <c r="M7992" t="n">
        <v>729</v>
      </c>
      <c r="N7992" t="inlineStr">
        <is>
          <t>Engystomops pustulosus</t>
        </is>
      </c>
      <c r="O7992" t="inlineStr">
        <is>
          <t>hypothetical protein GDO81_016734</t>
        </is>
      </c>
    </row>
    <row r="7993">
      <c r="A7993" t="inlineStr"/>
      <c r="B7993" t="inlineStr"/>
      <c r="C7993" t="inlineStr"/>
      <c r="D7993" t="inlineStr"/>
      <c r="E7993">
        <f>HYPERLINK("https://www.ncbi.nlm.nih.gov/gene/?term=KAG8557810.1", "KAG8557810.1")</f>
        <v/>
      </c>
      <c r="F7993" t="n">
        <v>86</v>
      </c>
      <c r="G7993" t="n">
        <v>378</v>
      </c>
      <c r="H7993" t="n">
        <v>4.86e-220</v>
      </c>
      <c r="I7993" t="inlineStr">
        <is>
          <t>Nr</t>
        </is>
      </c>
      <c r="J7993" t="inlineStr"/>
      <c r="K7993" t="inlineStr"/>
      <c r="L7993" t="inlineStr">
        <is>
          <t>KAG8557810.1 hypothetical protein GDO81_016734 [Engystomops pustulosus]</t>
        </is>
      </c>
      <c r="M7993" t="n">
        <v>768</v>
      </c>
      <c r="N7993" t="inlineStr">
        <is>
          <t>Engystomops pustulosus</t>
        </is>
      </c>
      <c r="O7993" t="inlineStr">
        <is>
          <t>hypothetical protein GDO81_016734</t>
        </is>
      </c>
    </row>
    <row r="7994">
      <c r="A7994" t="inlineStr"/>
      <c r="B7994" t="inlineStr"/>
      <c r="C7994" t="inlineStr"/>
      <c r="D7994" t="inlineStr"/>
      <c r="E7994">
        <f>HYPERLINK("https://www.ncbi.nlm.nih.gov/gene/?term=XP_044159144.1", "XP_044159144.1")</f>
        <v/>
      </c>
      <c r="F7994" t="n">
        <v>86.2</v>
      </c>
      <c r="G7994" t="n">
        <v>378</v>
      </c>
      <c r="H7994" t="n">
        <v>7.91e-219</v>
      </c>
      <c r="I7994" t="inlineStr">
        <is>
          <t>Nr</t>
        </is>
      </c>
      <c r="J7994" t="inlineStr"/>
      <c r="K7994" t="inlineStr"/>
      <c r="L7994" t="inlineStr">
        <is>
          <t>XP_044159144.1 LOW QUALITY PROTEIN: conserved oligomeric Golgi complex subunit 7 [Bufo gargarizans]</t>
        </is>
      </c>
      <c r="M7994" t="n">
        <v>768</v>
      </c>
      <c r="N7994" t="inlineStr">
        <is>
          <t>Bufo gargarizans</t>
        </is>
      </c>
      <c r="O7994" t="inlineStr">
        <is>
          <t>LOW QUALITY PROTEIN: conserved oligomeric Golgi complex subunit 7</t>
        </is>
      </c>
    </row>
    <row r="7995">
      <c r="A7995" t="inlineStr"/>
      <c r="B7995" t="inlineStr"/>
      <c r="C7995" t="inlineStr"/>
      <c r="D7995" t="inlineStr"/>
      <c r="E7995">
        <f>HYPERLINK("https://www.uniprot.org/uniprotkb/A0A822A2R2/entry", "A0A822A2R2")</f>
        <v/>
      </c>
      <c r="F7995" t="n">
        <v>84.40000000000001</v>
      </c>
      <c r="G7995" t="n">
        <v>378</v>
      </c>
      <c r="H7995" t="n">
        <v>2.87e-217</v>
      </c>
      <c r="I7995" t="inlineStr">
        <is>
          <t>TrEMBL</t>
        </is>
      </c>
      <c r="J7995" t="inlineStr">
        <is>
          <t>RIMITATOR_LOCUS6805718</t>
        </is>
      </c>
      <c r="K7995" t="inlineStr">
        <is>
          <t>A0A822A2R2_9NEOB</t>
        </is>
      </c>
      <c r="L7995" t="inlineStr">
        <is>
          <t>tr|A0A822A2R2|A0A822A2R2_9NEOB Conserved oligomeric Golgi complex subunit 7 OS=Ranitomeya imitator OX=111125 GN=RIMITATOR_LOCUS6805718 PE=3 SV=1</t>
        </is>
      </c>
      <c r="M7995" t="n">
        <v>768</v>
      </c>
      <c r="N7995" t="inlineStr">
        <is>
          <t>Ranitomeya imitator</t>
        </is>
      </c>
      <c r="O7995" t="inlineStr">
        <is>
          <t>Conserved oligomeric Golgi complex subunit 7</t>
        </is>
      </c>
    </row>
    <row r="7996">
      <c r="A7996" t="inlineStr"/>
      <c r="B7996" t="inlineStr"/>
      <c r="C7996" t="inlineStr"/>
      <c r="D7996" t="inlineStr"/>
      <c r="E7996">
        <f>HYPERLINK("https://www.ncbi.nlm.nih.gov/gene/?term=XP_040295260.1", "XP_040295260.1")</f>
        <v/>
      </c>
      <c r="F7996" t="n">
        <v>85.7</v>
      </c>
      <c r="G7996" t="n">
        <v>378</v>
      </c>
      <c r="H7996" t="n">
        <v>3.67e-217</v>
      </c>
      <c r="I7996" t="inlineStr">
        <is>
          <t>Nr</t>
        </is>
      </c>
      <c r="J7996" t="inlineStr"/>
      <c r="K7996" t="inlineStr"/>
      <c r="L7996" t="inlineStr">
        <is>
          <t>XP_040295260.1 conserved oligomeric Golgi complex subunit 7 [Bufo bufo]</t>
        </is>
      </c>
      <c r="M7996" t="n">
        <v>768</v>
      </c>
      <c r="N7996" t="inlineStr">
        <is>
          <t>Bufo bufo</t>
        </is>
      </c>
      <c r="O7996" t="inlineStr">
        <is>
          <t>conserved oligomeric Golgi complex subunit 7</t>
        </is>
      </c>
    </row>
    <row r="7997">
      <c r="A7997" t="inlineStr"/>
      <c r="B7997" t="inlineStr"/>
      <c r="C7997" t="inlineStr"/>
      <c r="D7997" t="inlineStr"/>
      <c r="E7997">
        <f>HYPERLINK("https://www.uniprot.org/uniprotkb/A0A8C5R8S2/entry", "A0A8C5R8S2")</f>
        <v/>
      </c>
      <c r="F7997" t="n">
        <v>84.40000000000001</v>
      </c>
      <c r="G7997" t="n">
        <v>378</v>
      </c>
      <c r="H7997" t="n">
        <v>3.7e-216</v>
      </c>
      <c r="I7997" t="inlineStr">
        <is>
          <t>TrEMBL</t>
        </is>
      </c>
      <c r="J7997" t="inlineStr">
        <is>
          <t>COG7</t>
        </is>
      </c>
      <c r="K7997" t="inlineStr">
        <is>
          <t>A0A8C5R8S2_9ANUR</t>
        </is>
      </c>
      <c r="L7997" t="inlineStr">
        <is>
          <t>tr|A0A8C5R8S2|A0A8C5R8S2_9ANUR Conserved oligomeric Golgi complex subunit 7 OS=Leptobrachium leishanense OX=445787 GN=COG7 PE=3 SV=1</t>
        </is>
      </c>
      <c r="M7997" t="n">
        <v>729</v>
      </c>
      <c r="N7997" t="inlineStr">
        <is>
          <t>Leptobrachium leishanense</t>
        </is>
      </c>
      <c r="O7997" t="inlineStr">
        <is>
          <t>Conserved oligomeric Golgi complex subunit 7</t>
        </is>
      </c>
    </row>
    <row r="7998">
      <c r="A7998" t="inlineStr"/>
      <c r="B7998" t="inlineStr"/>
      <c r="C7998" t="inlineStr"/>
      <c r="D7998" t="inlineStr"/>
      <c r="E7998">
        <f>HYPERLINK("https://www.uniprot.org/uniprotkb/A0A8C5RAM3/entry", "A0A8C5RAM3")</f>
        <v/>
      </c>
      <c r="F7998" t="n">
        <v>84.40000000000001</v>
      </c>
      <c r="G7998" t="n">
        <v>378</v>
      </c>
      <c r="H7998" t="n">
        <v>1.33e-215</v>
      </c>
      <c r="I7998" t="inlineStr">
        <is>
          <t>TrEMBL</t>
        </is>
      </c>
      <c r="J7998" t="inlineStr">
        <is>
          <t>COG7</t>
        </is>
      </c>
      <c r="K7998" t="inlineStr">
        <is>
          <t>A0A8C5RAM3_9ANUR</t>
        </is>
      </c>
      <c r="L7998" t="inlineStr">
        <is>
          <t>tr|A0A8C5RAM3|A0A8C5RAM3_9ANUR Conserved oligomeric Golgi complex subunit 7 OS=Leptobrachium leishanense OX=445787 GN=COG7 PE=3 SV=1</t>
        </is>
      </c>
      <c r="M7998" t="n">
        <v>768</v>
      </c>
      <c r="N7998" t="inlineStr">
        <is>
          <t>Leptobrachium leishanense</t>
        </is>
      </c>
      <c r="O7998" t="inlineStr">
        <is>
          <t>Conserved oligomeric Golgi complex subunit 7</t>
        </is>
      </c>
    </row>
    <row r="7999">
      <c r="A7999" t="inlineStr"/>
      <c r="B7999" t="inlineStr"/>
      <c r="C7999" t="inlineStr"/>
      <c r="D7999" t="inlineStr"/>
      <c r="E7999">
        <f>HYPERLINK("https://www.ncbi.nlm.nih.gov/gene/?term=XP_040212694.1", "XP_040212694.1")</f>
        <v/>
      </c>
      <c r="F7999" t="n">
        <v>84.40000000000001</v>
      </c>
      <c r="G7999" t="n">
        <v>378</v>
      </c>
      <c r="H7999" t="n">
        <v>1.7e-215</v>
      </c>
      <c r="I7999" t="inlineStr">
        <is>
          <t>Nr</t>
        </is>
      </c>
      <c r="J7999" t="inlineStr"/>
      <c r="K7999" t="inlineStr"/>
      <c r="L7999" t="inlineStr">
        <is>
          <t>XP_040212694.1 conserved oligomeric Golgi complex subunit 7 [Rana temporaria]</t>
        </is>
      </c>
      <c r="M7999" t="n">
        <v>768</v>
      </c>
      <c r="N7999" t="inlineStr">
        <is>
          <t>Rana temporaria</t>
        </is>
      </c>
      <c r="O7999" t="inlineStr">
        <is>
          <t>conserved oligomeric Golgi complex subunit 7</t>
        </is>
      </c>
    </row>
    <row r="8000">
      <c r="A8000" t="inlineStr"/>
      <c r="B8000" t="inlineStr"/>
      <c r="C8000" t="inlineStr"/>
      <c r="D8000" t="inlineStr"/>
      <c r="E8000">
        <f>HYPERLINK("https://www.uniprot.org/uniprotkb/Q5FW35/entry", "Q5FW35")</f>
        <v/>
      </c>
      <c r="F8000" t="n">
        <v>83.7</v>
      </c>
      <c r="G8000" t="n">
        <v>380</v>
      </c>
      <c r="H8000" t="n">
        <v>2.48e-213</v>
      </c>
      <c r="I8000" t="inlineStr">
        <is>
          <t>TrEMBL</t>
        </is>
      </c>
      <c r="J8000" t="inlineStr">
        <is>
          <t>cog7</t>
        </is>
      </c>
      <c r="K8000" t="inlineStr">
        <is>
          <t>Q5FW35_XENTR</t>
        </is>
      </c>
      <c r="L8000" t="inlineStr">
        <is>
          <t>tr|Q5FW35|Q5FW35_XENTR Conserved oligomeric Golgi complex subunit 7 OS=Xenopus tropicalis OX=8364 GN=cog7 PE=2 SV=1</t>
        </is>
      </c>
      <c r="M8000" t="n">
        <v>768</v>
      </c>
      <c r="N8000" t="inlineStr">
        <is>
          <t>Xenopus tropicalis</t>
        </is>
      </c>
      <c r="O8000" t="inlineStr">
        <is>
          <t>Conserved oligomeric Golgi complex subunit 7</t>
        </is>
      </c>
    </row>
    <row r="8001">
      <c r="A8001" t="inlineStr"/>
      <c r="B8001" t="inlineStr"/>
      <c r="C8001" t="inlineStr"/>
      <c r="D8001" t="inlineStr"/>
      <c r="E8001">
        <f>HYPERLINK("https://www.ncbi.nlm.nih.gov/gene/?term=NP_001015714.1", "NP_001015714.1")</f>
        <v/>
      </c>
      <c r="F8001" t="n">
        <v>83.7</v>
      </c>
      <c r="G8001" t="n">
        <v>380</v>
      </c>
      <c r="H8001" t="n">
        <v>6.370000000000001e-213</v>
      </c>
      <c r="I8001" t="inlineStr">
        <is>
          <t>Nr</t>
        </is>
      </c>
      <c r="J8001" t="inlineStr"/>
      <c r="K8001" t="inlineStr"/>
      <c r="L8001" t="inlineStr">
        <is>
          <t>NP_001015714.1 conserved oligomeric Golgi complex subunit 7 [Xenopus tropicalis]</t>
        </is>
      </c>
      <c r="M8001" t="n">
        <v>768</v>
      </c>
      <c r="N8001" t="inlineStr">
        <is>
          <t>Xenopus tropicalis</t>
        </is>
      </c>
      <c r="O8001" t="inlineStr">
        <is>
          <t>conserved oligomeric Golgi complex subunit 7</t>
        </is>
      </c>
    </row>
    <row r="8002">
      <c r="A8002" t="inlineStr"/>
      <c r="B8002" t="inlineStr"/>
      <c r="C8002" t="inlineStr"/>
      <c r="D8002" t="inlineStr"/>
      <c r="E8002">
        <f>HYPERLINK("https://www.uniprot.org/uniprotkb/A0A1L8EQK9/entry", "A0A1L8EQK9")</f>
        <v/>
      </c>
      <c r="F8002" t="n">
        <v>81.7</v>
      </c>
      <c r="G8002" t="n">
        <v>378</v>
      </c>
      <c r="H8002" t="n">
        <v>6.46e-206</v>
      </c>
      <c r="I8002" t="inlineStr">
        <is>
          <t>TrEMBL</t>
        </is>
      </c>
      <c r="J8002" t="inlineStr">
        <is>
          <t>cog7.S</t>
        </is>
      </c>
      <c r="K8002" t="inlineStr">
        <is>
          <t>A0A1L8EQK9_XENLA</t>
        </is>
      </c>
      <c r="L8002" t="inlineStr">
        <is>
          <t>tr|A0A1L8EQK9|A0A1L8EQK9_XENLA Conserved oligomeric Golgi complex subunit 7 OS=Xenopus laevis OX=8355 GN=cog7.S PE=3 SV=1</t>
        </is>
      </c>
      <c r="M8002" t="n">
        <v>768</v>
      </c>
      <c r="N8002" t="inlineStr">
        <is>
          <t>Xenopus laevis</t>
        </is>
      </c>
      <c r="O8002" t="inlineStr">
        <is>
          <t>Conserved oligomeric Golgi complex subunit 7</t>
        </is>
      </c>
    </row>
    <row r="8003">
      <c r="A8003" t="inlineStr"/>
      <c r="B8003" t="inlineStr"/>
      <c r="C8003" t="inlineStr"/>
      <c r="D8003" t="inlineStr"/>
      <c r="E8003">
        <f>HYPERLINK("https://www.uniprot.org/uniprotkb/A0A7L3C0H2/entry", "A0A7L3C0H2")</f>
        <v/>
      </c>
      <c r="F8003" t="n">
        <v>78.8</v>
      </c>
      <c r="G8003" t="n">
        <v>378</v>
      </c>
      <c r="H8003" t="n">
        <v>1.34e-205</v>
      </c>
      <c r="I8003" t="inlineStr">
        <is>
          <t>TrEMBL</t>
        </is>
      </c>
      <c r="J8003" t="inlineStr">
        <is>
          <t>Cog7</t>
        </is>
      </c>
      <c r="K8003" t="inlineStr">
        <is>
          <t>A0A7L3C0H2_PELUR</t>
        </is>
      </c>
      <c r="L8003" t="inlineStr">
        <is>
          <t>tr|A0A7L3C0H2|A0A7L3C0H2_PELUR Conserved oligomeric Golgi complex subunit 7 (Fragment) OS=Pelecanoides urinatrix OX=37079 GN=Cog7 PE=3 SV=1</t>
        </is>
      </c>
      <c r="M8003" t="n">
        <v>769</v>
      </c>
      <c r="N8003" t="inlineStr">
        <is>
          <t>Pelecanoides urinatrix</t>
        </is>
      </c>
      <c r="O8003" t="inlineStr">
        <is>
          <t>Conserved oligomeric Golgi complex subunit 7 (Fragment)</t>
        </is>
      </c>
    </row>
    <row r="8004">
      <c r="A8004" t="inlineStr"/>
      <c r="B8004" t="inlineStr"/>
      <c r="C8004" t="inlineStr"/>
      <c r="D8004" t="inlineStr"/>
      <c r="E8004">
        <f>HYPERLINK("https://www.ncbi.nlm.nih.gov/gene/?term=XP_018094691.1", "XP_018094691.1")</f>
        <v/>
      </c>
      <c r="F8004" t="n">
        <v>81.7</v>
      </c>
      <c r="G8004" t="n">
        <v>378</v>
      </c>
      <c r="H8004" t="n">
        <v>1.66e-205</v>
      </c>
      <c r="I8004" t="inlineStr">
        <is>
          <t>Nr</t>
        </is>
      </c>
      <c r="J8004" t="inlineStr"/>
      <c r="K8004" t="inlineStr"/>
      <c r="L8004" t="inlineStr">
        <is>
          <t>XP_018094691.1 conserved oligomeric Golgi complex subunit 7 [Xenopus laevis]</t>
        </is>
      </c>
      <c r="M8004" t="n">
        <v>768</v>
      </c>
      <c r="N8004" t="inlineStr">
        <is>
          <t>Xenopus laevis</t>
        </is>
      </c>
      <c r="O8004" t="inlineStr">
        <is>
          <t>conserved oligomeric Golgi complex subunit 7</t>
        </is>
      </c>
    </row>
    <row r="8005">
      <c r="A8005" t="inlineStr"/>
      <c r="B8005" t="inlineStr"/>
      <c r="C8005" t="inlineStr"/>
      <c r="D8005" t="inlineStr"/>
      <c r="E8005">
        <f>HYPERLINK("https://www.ncbi.nlm.nih.gov/gene/?term=NXT36606.1", "NXT36606.1")</f>
        <v/>
      </c>
      <c r="F8005" t="n">
        <v>78.8</v>
      </c>
      <c r="G8005" t="n">
        <v>378</v>
      </c>
      <c r="H8005" t="n">
        <v>3.44e-205</v>
      </c>
      <c r="I8005" t="inlineStr">
        <is>
          <t>Nr</t>
        </is>
      </c>
      <c r="J8005" t="inlineStr"/>
      <c r="K8005" t="inlineStr"/>
      <c r="L8005" t="inlineStr">
        <is>
          <t>NXT36606.1 COG7 protein [Pelecanoides urinatrix]</t>
        </is>
      </c>
      <c r="M8005" t="n">
        <v>769</v>
      </c>
      <c r="N8005" t="inlineStr">
        <is>
          <t>Pelecanoides urinatrix</t>
        </is>
      </c>
      <c r="O8005" t="inlineStr">
        <is>
          <t>COG7 protein</t>
        </is>
      </c>
    </row>
    <row r="8006">
      <c r="A8006" t="inlineStr"/>
      <c r="B8006" t="inlineStr"/>
      <c r="C8006" t="inlineStr"/>
      <c r="D8006" t="inlineStr"/>
      <c r="E8006">
        <f>HYPERLINK("https://www.ncbi.nlm.nih.gov/gene/?term=XP_050824529.1", "XP_050824529.1")</f>
        <v/>
      </c>
      <c r="F8006" t="n">
        <v>79.2</v>
      </c>
      <c r="G8006" t="n">
        <v>379</v>
      </c>
      <c r="H8006" t="n">
        <v>5.409999999999999e-205</v>
      </c>
      <c r="I8006" t="inlineStr">
        <is>
          <t>Nr</t>
        </is>
      </c>
      <c r="J8006" t="inlineStr"/>
      <c r="K8006" t="inlineStr"/>
      <c r="L8006" t="inlineStr">
        <is>
          <t>XP_050824529.1 conserved oligomeric Golgi complex subunit 7 isoform X4 [Gopherus flavomarginatus]</t>
        </is>
      </c>
      <c r="M8006" t="n">
        <v>676</v>
      </c>
      <c r="N8006" t="inlineStr">
        <is>
          <t>Gopherus flavomarginatus</t>
        </is>
      </c>
      <c r="O8006" t="inlineStr">
        <is>
          <t>conserved oligomeric Golgi complex subunit 7 isoform X4</t>
        </is>
      </c>
    </row>
    <row r="8007">
      <c r="A8007" t="inlineStr"/>
      <c r="B8007" t="inlineStr"/>
      <c r="C8007" t="inlineStr"/>
      <c r="D8007" t="inlineStr"/>
      <c r="E8007">
        <f>HYPERLINK("https://www.uniprot.org/uniprotkb/A0A851N9P2/entry", "A0A851N9P2")</f>
        <v/>
      </c>
      <c r="F8007" t="n">
        <v>78.59999999999999</v>
      </c>
      <c r="G8007" t="n">
        <v>378</v>
      </c>
      <c r="H8007" t="n">
        <v>1.49e-204</v>
      </c>
      <c r="I8007" t="inlineStr">
        <is>
          <t>TrEMBL</t>
        </is>
      </c>
      <c r="J8007" t="inlineStr">
        <is>
          <t>Cog7</t>
        </is>
      </c>
      <c r="K8007" t="inlineStr">
        <is>
          <t>A0A851N9P2_9DEND</t>
        </is>
      </c>
      <c r="L8007" t="inlineStr">
        <is>
          <t>tr|A0A851N9P2|A0A851N9P2_9DEND Conserved oligomeric Golgi complex subunit 7 (Fragment) OS=Campylorhamphus procurvoides OX=190295 GN=Cog7 PE=3 SV=1</t>
        </is>
      </c>
      <c r="M8007" t="n">
        <v>768</v>
      </c>
      <c r="N8007" t="inlineStr">
        <is>
          <t>Campylorhamphus procurvoides</t>
        </is>
      </c>
      <c r="O8007" t="inlineStr">
        <is>
          <t>Conserved oligomeric Golgi complex subunit 7 (Fragment)</t>
        </is>
      </c>
    </row>
    <row r="8008">
      <c r="A8008" t="inlineStr"/>
      <c r="B8008" t="inlineStr"/>
      <c r="C8008" t="inlineStr"/>
      <c r="D8008" t="inlineStr"/>
      <c r="E8008">
        <f>HYPERLINK("https://www.uniprot.org/uniprotkb/A0A7L4NME4/entry", "A0A7L4NME4")</f>
        <v/>
      </c>
      <c r="F8008" t="n">
        <v>78</v>
      </c>
      <c r="G8008" t="n">
        <v>378</v>
      </c>
      <c r="H8008" t="n">
        <v>1.53e-204</v>
      </c>
      <c r="I8008" t="inlineStr">
        <is>
          <t>TrEMBL</t>
        </is>
      </c>
      <c r="J8008" t="inlineStr">
        <is>
          <t>Cog7</t>
        </is>
      </c>
      <c r="K8008" t="inlineStr">
        <is>
          <t>A0A7L4NME4_9AVES</t>
        </is>
      </c>
      <c r="L8008" t="inlineStr">
        <is>
          <t>tr|A0A7L4NME4|A0A7L4NME4_9AVES Conserved oligomeric Golgi complex subunit 7 (Fragment) OS=Ceyx cyanopectus OX=390723 GN=Cog7 PE=3 SV=1</t>
        </is>
      </c>
      <c r="M8008" t="n">
        <v>769</v>
      </c>
      <c r="N8008" t="inlineStr">
        <is>
          <t>Ceyx cyanopectus</t>
        </is>
      </c>
      <c r="O8008" t="inlineStr">
        <is>
          <t>Conserved oligomeric Golgi complex subunit 7 (Fragment)</t>
        </is>
      </c>
    </row>
    <row r="8009">
      <c r="A8009" t="inlineStr"/>
      <c r="B8009" t="inlineStr"/>
      <c r="C8009" t="inlineStr"/>
      <c r="D8009" t="inlineStr"/>
      <c r="E8009">
        <f>HYPERLINK("https://www.ncbi.nlm.nih.gov/gene/?term=XP_050824528.1", "XP_050824528.1")</f>
        <v/>
      </c>
      <c r="F8009" t="n">
        <v>79.2</v>
      </c>
      <c r="G8009" t="n">
        <v>379</v>
      </c>
      <c r="H8009" t="n">
        <v>1.61e-204</v>
      </c>
      <c r="I8009" t="inlineStr">
        <is>
          <t>Nr</t>
        </is>
      </c>
      <c r="J8009" t="inlineStr"/>
      <c r="K8009" t="inlineStr"/>
      <c r="L8009" t="inlineStr">
        <is>
          <t>XP_050824528.1 conserved oligomeric Golgi complex subunit 7 isoform X3 [Gopherus flavomarginatus]</t>
        </is>
      </c>
      <c r="M8009" t="n">
        <v>709</v>
      </c>
      <c r="N8009" t="inlineStr">
        <is>
          <t>Gopherus flavomarginatus</t>
        </is>
      </c>
      <c r="O8009" t="inlineStr">
        <is>
          <t>conserved oligomeric Golgi complex subunit 7 isoform X3</t>
        </is>
      </c>
    </row>
    <row r="8010">
      <c r="A8010" t="inlineStr"/>
      <c r="B8010" t="inlineStr"/>
      <c r="C8010" t="inlineStr"/>
      <c r="D8010" t="inlineStr"/>
      <c r="E8010">
        <f>HYPERLINK("https://www.uniprot.org/uniprotkb/A0A7L4KBB8/entry", "A0A7L4KBB8")</f>
        <v/>
      </c>
      <c r="F8010" t="n">
        <v>77.8</v>
      </c>
      <c r="G8010" t="n">
        <v>378</v>
      </c>
      <c r="H8010" t="n">
        <v>1.74e-204</v>
      </c>
      <c r="I8010" t="inlineStr">
        <is>
          <t>TrEMBL</t>
        </is>
      </c>
      <c r="J8010" t="inlineStr">
        <is>
          <t>Cog7</t>
        </is>
      </c>
      <c r="K8010" t="inlineStr">
        <is>
          <t>A0A7L4KBB8_9AVES</t>
        </is>
      </c>
      <c r="L8010" t="inlineStr">
        <is>
          <t>tr|A0A7L4KBB8|A0A7L4KBB8_9AVES Conserved oligomeric Golgi complex subunit 7 (Fragment) OS=Ceuthmochares aereus OX=1961834 GN=Cog7 PE=3 SV=1</t>
        </is>
      </c>
      <c r="M8010" t="n">
        <v>553</v>
      </c>
      <c r="N8010" t="inlineStr">
        <is>
          <t>Ceuthmochares aereus</t>
        </is>
      </c>
      <c r="O8010" t="inlineStr">
        <is>
          <t>Conserved oligomeric Golgi complex subunit 7 (Fragment)</t>
        </is>
      </c>
    </row>
    <row r="8011">
      <c r="A8011" t="inlineStr"/>
      <c r="B8011" t="inlineStr"/>
      <c r="C8011" t="inlineStr"/>
      <c r="D8011" t="inlineStr"/>
      <c r="E8011">
        <f>HYPERLINK("https://www.ncbi.nlm.nih.gov/gene/?term=NXC35202.1", "NXC35202.1")</f>
        <v/>
      </c>
      <c r="F8011" t="n">
        <v>78.59999999999999</v>
      </c>
      <c r="G8011" t="n">
        <v>378</v>
      </c>
      <c r="H8011" t="n">
        <v>3.82e-204</v>
      </c>
      <c r="I8011" t="inlineStr">
        <is>
          <t>Nr</t>
        </is>
      </c>
      <c r="J8011" t="inlineStr"/>
      <c r="K8011" t="inlineStr"/>
      <c r="L8011" t="inlineStr">
        <is>
          <t>NXC35202.1 COG7 protein [Campylorhamphus procurvoides]</t>
        </is>
      </c>
      <c r="M8011" t="n">
        <v>768</v>
      </c>
      <c r="N8011" t="inlineStr">
        <is>
          <t>Campylorhamphus procurvoides</t>
        </is>
      </c>
      <c r="O8011" t="inlineStr">
        <is>
          <t>COG7 protein</t>
        </is>
      </c>
    </row>
    <row r="8012">
      <c r="A8012" t="inlineStr"/>
      <c r="B8012" t="inlineStr"/>
      <c r="C8012" t="inlineStr"/>
      <c r="D8012" t="inlineStr"/>
      <c r="E8012">
        <f>HYPERLINK("https://www.ncbi.nlm.nih.gov/gene/?term=NXY90315.1", "NXY90315.1")</f>
        <v/>
      </c>
      <c r="F8012" t="n">
        <v>78</v>
      </c>
      <c r="G8012" t="n">
        <v>378</v>
      </c>
      <c r="H8012" t="n">
        <v>3.94e-204</v>
      </c>
      <c r="I8012" t="inlineStr">
        <is>
          <t>Nr</t>
        </is>
      </c>
      <c r="J8012" t="inlineStr"/>
      <c r="K8012" t="inlineStr"/>
      <c r="L8012" t="inlineStr">
        <is>
          <t>NXY90315.1 COG7 protein [Ceyx cyanopectus]</t>
        </is>
      </c>
      <c r="M8012" t="n">
        <v>769</v>
      </c>
      <c r="N8012" t="inlineStr">
        <is>
          <t>Ceyx cyanopectus</t>
        </is>
      </c>
      <c r="O8012" t="inlineStr">
        <is>
          <t>COG7 protein</t>
        </is>
      </c>
    </row>
    <row r="8013">
      <c r="A8013" t="inlineStr"/>
      <c r="B8013" t="inlineStr"/>
      <c r="C8013" t="inlineStr"/>
      <c r="D8013" t="inlineStr"/>
      <c r="E8013">
        <f>HYPERLINK("https://www.ncbi.nlm.nih.gov/gene/?term=NXY50232.1", "NXY50232.1")</f>
        <v/>
      </c>
      <c r="F8013" t="n">
        <v>77.8</v>
      </c>
      <c r="G8013" t="n">
        <v>378</v>
      </c>
      <c r="H8013" t="n">
        <v>4.47e-204</v>
      </c>
      <c r="I8013" t="inlineStr">
        <is>
          <t>Nr</t>
        </is>
      </c>
      <c r="J8013" t="inlineStr"/>
      <c r="K8013" t="inlineStr"/>
      <c r="L8013" t="inlineStr">
        <is>
          <t>NXY50232.1 COG7 protein [Ceuthmochares aereus]</t>
        </is>
      </c>
      <c r="M8013" t="n">
        <v>553</v>
      </c>
      <c r="N8013" t="inlineStr">
        <is>
          <t>Ceuthmochares aereus</t>
        </is>
      </c>
      <c r="O8013" t="inlineStr">
        <is>
          <t>COG7 protein</t>
        </is>
      </c>
    </row>
    <row r="8014">
      <c r="A8014" t="inlineStr"/>
      <c r="B8014" t="inlineStr"/>
      <c r="C8014" t="inlineStr"/>
      <c r="D8014" t="inlineStr"/>
      <c r="E8014">
        <f>HYPERLINK("https://www.ncbi.nlm.nih.gov/gene/?term=XP_033921474.1", "XP_033921474.1")</f>
        <v/>
      </c>
      <c r="F8014" t="n">
        <v>78.8</v>
      </c>
      <c r="G8014" t="n">
        <v>378</v>
      </c>
      <c r="H8014" t="n">
        <v>7.91e-204</v>
      </c>
      <c r="I8014" t="inlineStr">
        <is>
          <t>Nr</t>
        </is>
      </c>
      <c r="J8014" t="inlineStr"/>
      <c r="K8014" t="inlineStr"/>
      <c r="L8014" t="inlineStr">
        <is>
          <t>XP_033921474.1 conserved oligomeric Golgi complex subunit 7 [Melopsittacus undulatus]</t>
        </is>
      </c>
      <c r="M8014" t="n">
        <v>769</v>
      </c>
      <c r="N8014" t="inlineStr">
        <is>
          <t>Melopsittacus undulatus</t>
        </is>
      </c>
      <c r="O8014" t="inlineStr">
        <is>
          <t>conserved oligomeric Golgi complex subunit 7</t>
        </is>
      </c>
    </row>
    <row r="8015">
      <c r="A8015" t="inlineStr"/>
      <c r="B8015" t="inlineStr"/>
      <c r="C8015" t="inlineStr"/>
      <c r="D8015" t="inlineStr"/>
      <c r="E8015">
        <f>HYPERLINK("https://www.ncbi.nlm.nih.gov/gene/?term=XP_050824525.1", "XP_050824525.1")</f>
        <v/>
      </c>
      <c r="F8015" t="n">
        <v>79.2</v>
      </c>
      <c r="G8015" t="n">
        <v>379</v>
      </c>
      <c r="H8015" t="n">
        <v>1.16e-203</v>
      </c>
      <c r="I8015" t="inlineStr">
        <is>
          <t>Nr</t>
        </is>
      </c>
      <c r="J8015" t="inlineStr"/>
      <c r="K8015" t="inlineStr"/>
      <c r="L8015" t="inlineStr">
        <is>
          <t>XP_050824525.1 conserved oligomeric Golgi complex subunit 7 isoform X1 [Gopherus flavomarginatus]</t>
        </is>
      </c>
      <c r="M8015" t="n">
        <v>770</v>
      </c>
      <c r="N8015" t="inlineStr">
        <is>
          <t>Gopherus flavomarginatus</t>
        </is>
      </c>
      <c r="O8015" t="inlineStr">
        <is>
          <t>conserved oligomeric Golgi complex subunit 7 isoform X1</t>
        </is>
      </c>
    </row>
    <row r="8016">
      <c r="A8016" t="inlineStr"/>
      <c r="B8016" t="inlineStr"/>
      <c r="C8016" t="inlineStr"/>
      <c r="D8016" t="inlineStr"/>
      <c r="E8016">
        <f>HYPERLINK("https://www.uniprot.org/uniprotkb/A0A8V5FMC7/entry", "A0A8V5FMC7")</f>
        <v/>
      </c>
      <c r="F8016" t="n">
        <v>78.90000000000001</v>
      </c>
      <c r="G8016" t="n">
        <v>379</v>
      </c>
      <c r="H8016" t="n">
        <v>2.57e-203</v>
      </c>
      <c r="I8016" t="inlineStr">
        <is>
          <t>TrEMBL</t>
        </is>
      </c>
      <c r="J8016" t="inlineStr">
        <is>
          <t>LOC101868449</t>
        </is>
      </c>
      <c r="K8016" t="inlineStr">
        <is>
          <t>A0A8V5FMC7_MELUD</t>
        </is>
      </c>
      <c r="L8016" t="inlineStr">
        <is>
          <t>tr|A0A8V5FMC7|A0A8V5FMC7_MELUD Uncharacterized protein OS=Melopsittacus undulatus OX=13146 GN=LOC101868449 PE=4 SV=1</t>
        </is>
      </c>
      <c r="M8016" t="n">
        <v>770</v>
      </c>
      <c r="N8016" t="inlineStr">
        <is>
          <t>Melopsittacus undulatus</t>
        </is>
      </c>
      <c r="O8016" t="inlineStr">
        <is>
          <t>Uncharacterized protein</t>
        </is>
      </c>
    </row>
    <row r="8017">
      <c r="A8017" t="inlineStr"/>
      <c r="B8017" t="inlineStr"/>
      <c r="C8017" t="inlineStr"/>
      <c r="D8017" t="inlineStr"/>
      <c r="E8017">
        <f>HYPERLINK("https://www.uniprot.org/uniprotkb/A0A7K4JC12/entry", "A0A7K4JC12")</f>
        <v/>
      </c>
      <c r="F8017" t="n">
        <v>78</v>
      </c>
      <c r="G8017" t="n">
        <v>378</v>
      </c>
      <c r="H8017" t="n">
        <v>4.14e-203</v>
      </c>
      <c r="I8017" t="inlineStr">
        <is>
          <t>TrEMBL</t>
        </is>
      </c>
      <c r="J8017" t="inlineStr">
        <is>
          <t>Cog7</t>
        </is>
      </c>
      <c r="K8017" t="inlineStr">
        <is>
          <t>A0A7K4JC12_GEOCA</t>
        </is>
      </c>
      <c r="L8017" t="inlineStr">
        <is>
          <t>tr|A0A7K4JC12|A0A7K4JC12_GEOCA Conserved oligomeric Golgi complex subunit 7 (Fragment) OS=Geococcyx californianus OX=8947 GN=Cog7 PE=3 SV=1</t>
        </is>
      </c>
      <c r="M8017" t="n">
        <v>774</v>
      </c>
      <c r="N8017" t="inlineStr">
        <is>
          <t>Geococcyx californianus</t>
        </is>
      </c>
      <c r="O8017" t="inlineStr">
        <is>
          <t>Conserved oligomeric Golgi complex subunit 7 (Fragment)</t>
        </is>
      </c>
    </row>
    <row r="8018">
      <c r="A8018" t="inlineStr"/>
      <c r="B8018" t="inlineStr"/>
      <c r="C8018" t="inlineStr"/>
      <c r="D8018" t="inlineStr"/>
      <c r="E8018">
        <f>HYPERLINK("https://www.ncbi.nlm.nih.gov/gene/?term=NWH62715.1", "NWH62715.1")</f>
        <v/>
      </c>
      <c r="F8018" t="n">
        <v>78</v>
      </c>
      <c r="G8018" t="n">
        <v>378</v>
      </c>
      <c r="H8018" t="n">
        <v>1.06e-202</v>
      </c>
      <c r="I8018" t="inlineStr">
        <is>
          <t>Nr</t>
        </is>
      </c>
      <c r="J8018" t="inlineStr"/>
      <c r="K8018" t="inlineStr"/>
      <c r="L8018" t="inlineStr">
        <is>
          <t>NWH62715.1 COG7 protein [Geococcyx californianus]</t>
        </is>
      </c>
      <c r="M8018" t="n">
        <v>774</v>
      </c>
      <c r="N8018" t="inlineStr">
        <is>
          <t>Geococcyx californianus</t>
        </is>
      </c>
      <c r="O8018" t="inlineStr">
        <is>
          <t>COG7 protein</t>
        </is>
      </c>
    </row>
    <row r="8019">
      <c r="A8019" t="inlineStr"/>
      <c r="B8019" t="inlineStr"/>
      <c r="C8019" t="inlineStr"/>
      <c r="D8019" t="inlineStr"/>
      <c r="E8019">
        <f>HYPERLINK("https://www.ncbi.nlm.nih.gov/gene/?term=XP_050824526.1", "XP_050824526.1")</f>
        <v/>
      </c>
      <c r="F8019" t="n">
        <v>79.40000000000001</v>
      </c>
      <c r="G8019" t="n">
        <v>379</v>
      </c>
      <c r="H8019" t="n">
        <v>3.65e-202</v>
      </c>
      <c r="I8019" t="inlineStr">
        <is>
          <t>Nr</t>
        </is>
      </c>
      <c r="J8019" t="inlineStr"/>
      <c r="K8019" t="inlineStr"/>
      <c r="L8019" t="inlineStr">
        <is>
          <t>XP_050824526.1 conserved oligomeric Golgi complex subunit 7 isoform X2 [Gopherus flavomarginatus]</t>
        </is>
      </c>
      <c r="M8019" t="n">
        <v>769</v>
      </c>
      <c r="N8019" t="inlineStr">
        <is>
          <t>Gopherus flavomarginatus</t>
        </is>
      </c>
      <c r="O8019" t="inlineStr">
        <is>
          <t>conserved oligomeric Golgi complex subunit 7 isoform X2</t>
        </is>
      </c>
    </row>
    <row r="8020">
      <c r="A8020" t="inlineStr"/>
      <c r="B8020" t="inlineStr"/>
      <c r="C8020" t="inlineStr"/>
      <c r="D8020" t="inlineStr"/>
      <c r="E8020">
        <f>HYPERLINK("https://www.uniprot.org/uniprotkb/A0A7K5I838/entry", "A0A7K5I838")</f>
        <v/>
      </c>
      <c r="F8020" t="n">
        <v>77.8</v>
      </c>
      <c r="G8020" t="n">
        <v>378</v>
      </c>
      <c r="H8020" t="n">
        <v>1.11e-201</v>
      </c>
      <c r="I8020" t="inlineStr">
        <is>
          <t>TrEMBL</t>
        </is>
      </c>
      <c r="J8020" t="inlineStr">
        <is>
          <t>Cog7</t>
        </is>
      </c>
      <c r="K8020" t="inlineStr">
        <is>
          <t>A0A7K5I838_CROSL</t>
        </is>
      </c>
      <c r="L8020" t="inlineStr">
        <is>
          <t>tr|A0A7K5I838|A0A7K5I838_CROSL Conserved oligomeric Golgi complex subunit 7 (Fragment) OS=Crotophaga sulcirostris OX=33598 GN=Cog7 PE=3 SV=1</t>
        </is>
      </c>
      <c r="M8020" t="n">
        <v>768</v>
      </c>
      <c r="N8020" t="inlineStr">
        <is>
          <t>Crotophaga sulcirostris</t>
        </is>
      </c>
      <c r="O8020" t="inlineStr">
        <is>
          <t>Conserved oligomeric Golgi complex subunit 7 (Fragment)</t>
        </is>
      </c>
    </row>
    <row r="8021">
      <c r="A8021" t="inlineStr"/>
      <c r="B8021" t="inlineStr"/>
      <c r="C8021" t="inlineStr"/>
      <c r="D8021" t="inlineStr"/>
      <c r="E8021">
        <f>HYPERLINK("https://www.ncbi.nlm.nih.gov/gene/?term=NWS77745.1", "NWS77745.1")</f>
        <v/>
      </c>
      <c r="F8021" t="n">
        <v>77.8</v>
      </c>
      <c r="G8021" t="n">
        <v>378</v>
      </c>
      <c r="H8021" t="n">
        <v>2.86e-201</v>
      </c>
      <c r="I8021" t="inlineStr">
        <is>
          <t>Nr</t>
        </is>
      </c>
      <c r="J8021" t="inlineStr"/>
      <c r="K8021" t="inlineStr"/>
      <c r="L8021" t="inlineStr">
        <is>
          <t>NWS77745.1 COG7 protein [Crotophaga sulcirostris]</t>
        </is>
      </c>
      <c r="M8021" t="n">
        <v>768</v>
      </c>
      <c r="N8021" t="inlineStr">
        <is>
          <t>Crotophaga sulcirostris</t>
        </is>
      </c>
      <c r="O8021" t="inlineStr">
        <is>
          <t>COG7 protein</t>
        </is>
      </c>
    </row>
    <row r="8022">
      <c r="A8022" t="inlineStr"/>
      <c r="B8022" t="inlineStr"/>
      <c r="C8022" t="inlineStr"/>
      <c r="D8022" t="inlineStr"/>
      <c r="E8022">
        <f>HYPERLINK("https://www.ncbi.nlm.nih.gov/gene/?term=XP_009565762.1", "XP_009565762.1")</f>
        <v/>
      </c>
      <c r="F8022" t="n">
        <v>78.3</v>
      </c>
      <c r="G8022" t="n">
        <v>378</v>
      </c>
      <c r="H8022" t="n">
        <v>4.05e-201</v>
      </c>
      <c r="I8022" t="inlineStr">
        <is>
          <t>Nr</t>
        </is>
      </c>
      <c r="J8022" t="inlineStr"/>
      <c r="K8022" t="inlineStr"/>
      <c r="L8022" t="inlineStr">
        <is>
          <t>XP_009565762.1 PREDICTED: LOW QUALITY PROTEIN: conserved oligomeric Golgi complex subunit 7 [Cuculus canorus]</t>
        </is>
      </c>
      <c r="M8022" t="n">
        <v>768</v>
      </c>
      <c r="N8022" t="inlineStr">
        <is>
          <t>Cuculus canorus</t>
        </is>
      </c>
      <c r="O8022" t="inlineStr">
        <is>
          <t>PREDICTED: LOW QUALITY PROTEIN: conserved oligomeric Golgi complex subunit 7</t>
        </is>
      </c>
    </row>
    <row r="8023">
      <c r="A8023" t="inlineStr"/>
      <c r="B8023" t="inlineStr"/>
      <c r="C8023" t="inlineStr"/>
      <c r="D8023" t="inlineStr"/>
      <c r="E8023">
        <f>HYPERLINK("https://www.uniprot.org/uniprotkb/A0A850XHT6/entry", "A0A850XHT6")</f>
        <v/>
      </c>
      <c r="F8023" t="n">
        <v>77.5</v>
      </c>
      <c r="G8023" t="n">
        <v>378</v>
      </c>
      <c r="H8023" t="n">
        <v>1.8e-200</v>
      </c>
      <c r="I8023" t="inlineStr">
        <is>
          <t>TrEMBL</t>
        </is>
      </c>
      <c r="J8023" t="inlineStr">
        <is>
          <t>Cog7</t>
        </is>
      </c>
      <c r="K8023" t="inlineStr">
        <is>
          <t>A0A850XHT6_PIACA</t>
        </is>
      </c>
      <c r="L8023" t="inlineStr">
        <is>
          <t>tr|A0A850XHT6|A0A850XHT6_PIACA Conserved oligomeric Golgi complex subunit 7 (Fragment) OS=Piaya cayana OX=33601 GN=Cog7 PE=3 SV=1</t>
        </is>
      </c>
      <c r="M8023" t="n">
        <v>768</v>
      </c>
      <c r="N8023" t="inlineStr">
        <is>
          <t>Piaya cayana</t>
        </is>
      </c>
      <c r="O8023" t="inlineStr">
        <is>
          <t>Conserved oligomeric Golgi complex subunit 7 (Fragment)</t>
        </is>
      </c>
    </row>
    <row r="8024">
      <c r="A8024" t="inlineStr"/>
      <c r="B8024" t="inlineStr"/>
      <c r="C8024" t="inlineStr"/>
      <c r="D8024" t="inlineStr"/>
      <c r="E8024">
        <f>HYPERLINK("https://www.ncbi.nlm.nih.gov/gene/?term=NWH80952.1", "NWH80952.1")</f>
        <v/>
      </c>
      <c r="F8024" t="n">
        <v>77.5</v>
      </c>
      <c r="G8024" t="n">
        <v>378</v>
      </c>
      <c r="H8024" t="n">
        <v>4.630000000000001e-200</v>
      </c>
      <c r="I8024" t="inlineStr">
        <is>
          <t>Nr</t>
        </is>
      </c>
      <c r="J8024" t="inlineStr"/>
      <c r="K8024" t="inlineStr"/>
      <c r="L8024" t="inlineStr">
        <is>
          <t>NWH80952.1 COG7 protein [Piaya cayana]</t>
        </is>
      </c>
      <c r="M8024" t="n">
        <v>768</v>
      </c>
      <c r="N8024" t="inlineStr">
        <is>
          <t>Piaya cayana</t>
        </is>
      </c>
      <c r="O8024" t="inlineStr">
        <is>
          <t>COG7 protein</t>
        </is>
      </c>
    </row>
    <row r="8025">
      <c r="A8025" t="inlineStr"/>
      <c r="B8025" t="inlineStr"/>
      <c r="C8025" t="inlineStr"/>
      <c r="D8025" t="inlineStr"/>
      <c r="E8025">
        <f>HYPERLINK("https://www.uniprot.org/uniprotkb/A0A7L2Y843/entry", "A0A7L2Y843")</f>
        <v/>
      </c>
      <c r="F8025" t="n">
        <v>76</v>
      </c>
      <c r="G8025" t="n">
        <v>388</v>
      </c>
      <c r="H8025" t="n">
        <v>1.03e-199</v>
      </c>
      <c r="I8025" t="inlineStr">
        <is>
          <t>TrEMBL</t>
        </is>
      </c>
      <c r="J8025" t="inlineStr">
        <is>
          <t>Cog7</t>
        </is>
      </c>
      <c r="K8025" t="inlineStr">
        <is>
          <t>A0A7L2Y843_JACJC</t>
        </is>
      </c>
      <c r="L8025" t="inlineStr">
        <is>
          <t>tr|A0A7L2Y843|A0A7L2Y843_JACJC Conserved oligomeric Golgi complex subunit 7 (Fragment) OS=Jacana jacana OX=54508 GN=Cog7 PE=3 SV=1</t>
        </is>
      </c>
      <c r="M8025" t="n">
        <v>779</v>
      </c>
      <c r="N8025" t="inlineStr">
        <is>
          <t>Jacana jacana</t>
        </is>
      </c>
      <c r="O8025" t="inlineStr">
        <is>
          <t>Conserved oligomeric Golgi complex subunit 7 (Fragment)</t>
        </is>
      </c>
    </row>
    <row r="8026">
      <c r="A8026" t="inlineStr"/>
      <c r="B8026" t="inlineStr"/>
      <c r="C8026" t="inlineStr"/>
      <c r="D8026" t="inlineStr"/>
      <c r="E8026">
        <f>HYPERLINK("https://www.uniprot.org/uniprotkb/A0A6I9LKP3/entry", "A0A6I9LKP3")</f>
        <v/>
      </c>
      <c r="F8026" t="n">
        <v>76.09999999999999</v>
      </c>
      <c r="G8026" t="n">
        <v>380</v>
      </c>
      <c r="H8026" t="n">
        <v>1.04e-197</v>
      </c>
      <c r="I8026" t="inlineStr">
        <is>
          <t>TrEMBL</t>
        </is>
      </c>
      <c r="J8026" t="inlineStr">
        <is>
          <t>Cog7</t>
        </is>
      </c>
      <c r="K8026" t="inlineStr">
        <is>
          <t>A0A6I9LKP3_PERMB</t>
        </is>
      </c>
      <c r="L8026" t="inlineStr">
        <is>
          <t>tr|A0A6I9LKP3|A0A6I9LKP3_PERMB Conserved oligomeric Golgi complex subunit 7 OS=Peromyscus maniculatus bairdii OX=230844 GN=Cog7 PE=3 SV=1</t>
        </is>
      </c>
      <c r="M8026" t="n">
        <v>771</v>
      </c>
      <c r="N8026" t="inlineStr">
        <is>
          <t>Peromyscus maniculatus bairdii</t>
        </is>
      </c>
      <c r="O8026" t="inlineStr">
        <is>
          <t>Conserved oligomeric Golgi complex subunit 7</t>
        </is>
      </c>
    </row>
    <row r="8027">
      <c r="A8027" t="inlineStr"/>
      <c r="B8027" t="inlineStr"/>
      <c r="C8027" t="inlineStr"/>
      <c r="D8027" t="inlineStr"/>
      <c r="E8027">
        <f>HYPERLINK("https://www.uniprot.org/uniprotkb/A0A226NM80/entry", "A0A226NM80")</f>
        <v/>
      </c>
      <c r="F8027" t="n">
        <v>76.2</v>
      </c>
      <c r="G8027" t="n">
        <v>378</v>
      </c>
      <c r="H8027" t="n">
        <v>7.919999999999999e-197</v>
      </c>
      <c r="I8027" t="inlineStr">
        <is>
          <t>TrEMBL</t>
        </is>
      </c>
      <c r="J8027" t="inlineStr">
        <is>
          <t>ASZ78_002258</t>
        </is>
      </c>
      <c r="K8027" t="inlineStr">
        <is>
          <t>A0A226NM80_CALSU</t>
        </is>
      </c>
      <c r="L8027" t="inlineStr">
        <is>
          <t>tr|A0A226NM80|A0A226NM80_CALSU Conserved oligomeric Golgi complex subunit 7 OS=Callipepla squamata OX=9009 GN=ASZ78_002258 PE=3 SV=1</t>
        </is>
      </c>
      <c r="M8027" t="n">
        <v>769</v>
      </c>
      <c r="N8027" t="inlineStr">
        <is>
          <t>Callipepla squamata</t>
        </is>
      </c>
      <c r="O8027" t="inlineStr">
        <is>
          <t>Conserved oligomeric Golgi complex subunit 7</t>
        </is>
      </c>
    </row>
    <row r="8028">
      <c r="A8028" t="inlineStr"/>
      <c r="B8028" t="inlineStr"/>
      <c r="C8028" t="inlineStr"/>
      <c r="D8028" t="inlineStr"/>
      <c r="E8028">
        <f>HYPERLINK("https://www.uniprot.org/uniprotkb/A0A226PQR8/entry", "A0A226PQR8")</f>
        <v/>
      </c>
      <c r="F8028" t="n">
        <v>75.90000000000001</v>
      </c>
      <c r="G8028" t="n">
        <v>378</v>
      </c>
      <c r="H8028" t="n">
        <v>4.51e-196</v>
      </c>
      <c r="I8028" t="inlineStr">
        <is>
          <t>TrEMBL</t>
        </is>
      </c>
      <c r="J8028" t="inlineStr">
        <is>
          <t>H355_015047</t>
        </is>
      </c>
      <c r="K8028" t="inlineStr">
        <is>
          <t>A0A226PQR8_COLVI</t>
        </is>
      </c>
      <c r="L8028" t="inlineStr">
        <is>
          <t>tr|A0A226PQR8|A0A226PQR8_COLVI Conserved oligomeric Golgi complex subunit 7 OS=Colinus virginianus OX=9014 GN=H355_015047 PE=3 SV=1</t>
        </is>
      </c>
      <c r="M8028" t="n">
        <v>769</v>
      </c>
      <c r="N8028" t="inlineStr">
        <is>
          <t>Colinus virginianus</t>
        </is>
      </c>
      <c r="O8028" t="inlineStr">
        <is>
          <t>Conserved oligomeric Golgi complex subunit 7</t>
        </is>
      </c>
    </row>
    <row r="8029">
      <c r="A8029" t="inlineStr"/>
      <c r="B8029" t="inlineStr"/>
      <c r="C8029" t="inlineStr"/>
      <c r="D8029" t="inlineStr"/>
      <c r="E8029">
        <f>HYPERLINK("https://www.uniprot.org/uniprotkb/A0A8C6R248/entry", "A0A8C6R248")</f>
        <v/>
      </c>
      <c r="F8029" t="n">
        <v>75.5</v>
      </c>
      <c r="G8029" t="n">
        <v>379</v>
      </c>
      <c r="H8029" t="n">
        <v>1.32e-195</v>
      </c>
      <c r="I8029" t="inlineStr">
        <is>
          <t>TrEMBL</t>
        </is>
      </c>
      <c r="J8029" t="inlineStr">
        <is>
          <t>Cog7</t>
        </is>
      </c>
      <c r="K8029" t="inlineStr">
        <is>
          <t>A0A8C6R248_NANGA</t>
        </is>
      </c>
      <c r="L8029" t="inlineStr">
        <is>
          <t>tr|A0A8C6R248|A0A8C6R248_NANGA Conserved oligomeric Golgi complex subunit 7 OS=Nannospalax galili OX=1026970 GN=Cog7 PE=3 SV=1</t>
        </is>
      </c>
      <c r="M8029" t="n">
        <v>770</v>
      </c>
      <c r="N8029" t="inlineStr">
        <is>
          <t>Nannospalax galili</t>
        </is>
      </c>
      <c r="O8029" t="inlineStr">
        <is>
          <t>Conserved oligomeric Golgi complex subunit 7</t>
        </is>
      </c>
    </row>
    <row r="8030">
      <c r="A8030" t="inlineStr"/>
      <c r="B8030" t="inlineStr"/>
      <c r="C8030" t="inlineStr"/>
      <c r="D8030" t="inlineStr"/>
      <c r="E8030">
        <f>HYPERLINK("https://www.uniprot.org/uniprotkb/A0A2K6FDZ0/entry", "A0A2K6FDZ0")</f>
        <v/>
      </c>
      <c r="F8030" t="n">
        <v>74.7</v>
      </c>
      <c r="G8030" t="n">
        <v>379</v>
      </c>
      <c r="H8030" t="n">
        <v>3.76e-195</v>
      </c>
      <c r="I8030" t="inlineStr">
        <is>
          <t>TrEMBL</t>
        </is>
      </c>
      <c r="J8030" t="inlineStr">
        <is>
          <t>COG7</t>
        </is>
      </c>
      <c r="K8030" t="inlineStr">
        <is>
          <t>A0A2K6FDZ0_PROCO</t>
        </is>
      </c>
      <c r="L8030" t="inlineStr">
        <is>
          <t>tr|A0A2K6FDZ0|A0A2K6FDZ0_PROCO Conserved oligomeric Golgi complex subunit 7 OS=Propithecus coquereli OX=379532 GN=COG7 PE=3 SV=1</t>
        </is>
      </c>
      <c r="M8030" t="n">
        <v>770</v>
      </c>
      <c r="N8030" t="inlineStr">
        <is>
          <t>Propithecus coquereli</t>
        </is>
      </c>
      <c r="O8030" t="inlineStr">
        <is>
          <t>Conserved oligomeric Golgi complex subunit 7</t>
        </is>
      </c>
    </row>
    <row r="8031">
      <c r="A8031" t="inlineStr"/>
      <c r="B8031" t="inlineStr"/>
      <c r="C8031" t="inlineStr"/>
      <c r="D8031" t="inlineStr"/>
      <c r="E8031">
        <f>HYPERLINK("https://www.uniprot.org/uniprotkb/A0A8C9A1B4/entry", "A0A8C9A1B4")</f>
        <v/>
      </c>
      <c r="F8031" t="n">
        <v>74.7</v>
      </c>
      <c r="G8031" t="n">
        <v>379</v>
      </c>
      <c r="H8031" t="n">
        <v>5.33e-195</v>
      </c>
      <c r="I8031" t="inlineStr">
        <is>
          <t>TrEMBL</t>
        </is>
      </c>
      <c r="J8031" t="inlineStr">
        <is>
          <t>COG7</t>
        </is>
      </c>
      <c r="K8031" t="inlineStr">
        <is>
          <t>A0A8C9A1B4_PROSS</t>
        </is>
      </c>
      <c r="L8031" t="inlineStr">
        <is>
          <t>tr|A0A8C9A1B4|A0A8C9A1B4_PROSS Conserved oligomeric Golgi complex subunit 7 OS=Prolemur simus OX=1328070 GN=COG7 PE=3 SV=1</t>
        </is>
      </c>
      <c r="M8031" t="n">
        <v>770</v>
      </c>
      <c r="N8031" t="inlineStr">
        <is>
          <t>Prolemur simus</t>
        </is>
      </c>
      <c r="O8031" t="inlineStr">
        <is>
          <t>Conserved oligomeric Golgi complex subunit 7</t>
        </is>
      </c>
    </row>
    <row r="8032">
      <c r="A8032" t="inlineStr"/>
      <c r="B8032" t="inlineStr"/>
      <c r="C8032" t="inlineStr"/>
      <c r="D8032" t="inlineStr"/>
      <c r="E8032">
        <f>HYPERLINK("https://www.uniprot.org/uniprotkb/A0A8J4UUE4/entry", "A0A8J4UUE4")</f>
        <v/>
      </c>
      <c r="F8032" t="n">
        <v>72</v>
      </c>
      <c r="G8032" t="n">
        <v>396</v>
      </c>
      <c r="H8032" t="n">
        <v>2.65e-194</v>
      </c>
      <c r="I8032" t="inlineStr">
        <is>
          <t>TrEMBL</t>
        </is>
      </c>
      <c r="J8032" t="inlineStr">
        <is>
          <t>cog7</t>
        </is>
      </c>
      <c r="K8032" t="inlineStr">
        <is>
          <t>A0A8J4UUE4_CLAMG</t>
        </is>
      </c>
      <c r="L8032" t="inlineStr">
        <is>
          <t>tr|A0A8J4UUE4|A0A8J4UUE4_CLAMG Conserved oligomeric Golgi complex subunit 7 (Fragment) OS=Clarias magur OX=1594786 GN=cog7 PE=3 SV=1</t>
        </is>
      </c>
      <c r="M8032" t="n">
        <v>564</v>
      </c>
      <c r="N8032" t="inlineStr">
        <is>
          <t>Clarias magur</t>
        </is>
      </c>
      <c r="O8032" t="inlineStr">
        <is>
          <t>Conserved oligomeric Golgi complex subunit 7 (Fragment)</t>
        </is>
      </c>
    </row>
    <row r="8033">
      <c r="A8033" t="inlineStr"/>
      <c r="B8033" t="inlineStr"/>
      <c r="C8033" t="inlineStr"/>
      <c r="D8033" t="inlineStr"/>
      <c r="E8033">
        <f>HYPERLINK("https://www.uniprot.org/uniprotkb/A0A7L1IJ55/entry", "A0A7L1IJ55")</f>
        <v/>
      </c>
      <c r="F8033" t="n">
        <v>75.7</v>
      </c>
      <c r="G8033" t="n">
        <v>378</v>
      </c>
      <c r="H8033" t="n">
        <v>4.16e-194</v>
      </c>
      <c r="I8033" t="inlineStr">
        <is>
          <t>TrEMBL</t>
        </is>
      </c>
      <c r="J8033" t="inlineStr">
        <is>
          <t>Cog7</t>
        </is>
      </c>
      <c r="K8033" t="inlineStr">
        <is>
          <t>A0A7L1IJ55_SMUAF</t>
        </is>
      </c>
      <c r="L8033" t="inlineStr">
        <is>
          <t>tr|A0A7L1IJ55|A0A7L1IJ55_SMUAF Conserved oligomeric Golgi complex subunit 7 (Fragment) OS=Smutsornis africanus OX=240209 GN=Cog7 PE=3 SV=1</t>
        </is>
      </c>
      <c r="M8033" t="n">
        <v>769</v>
      </c>
      <c r="N8033" t="inlineStr">
        <is>
          <t>Smutsornis africanus</t>
        </is>
      </c>
      <c r="O8033" t="inlineStr">
        <is>
          <t>Conserved oligomeric Golgi complex subunit 7 (Fragment)</t>
        </is>
      </c>
    </row>
    <row r="8034">
      <c r="A8034" t="inlineStr"/>
      <c r="B8034" t="inlineStr"/>
      <c r="C8034" t="inlineStr"/>
      <c r="D8034" t="inlineStr"/>
      <c r="E8034">
        <f>HYPERLINK("https://www.uniprot.org/uniprotkb/A0A1V4KSX6/entry", "A0A1V4KSX6")</f>
        <v/>
      </c>
      <c r="F8034" t="n">
        <v>75.40000000000001</v>
      </c>
      <c r="G8034" t="n">
        <v>378</v>
      </c>
      <c r="H8034" t="n">
        <v>8.350000000000001e-194</v>
      </c>
      <c r="I8034" t="inlineStr">
        <is>
          <t>TrEMBL</t>
        </is>
      </c>
      <c r="J8034" t="inlineStr">
        <is>
          <t>COG7</t>
        </is>
      </c>
      <c r="K8034" t="inlineStr">
        <is>
          <t>A0A1V4KSX6_PATFA</t>
        </is>
      </c>
      <c r="L8034" t="inlineStr">
        <is>
          <t>tr|A0A1V4KSX6|A0A1V4KSX6_PATFA Conserved oligomeric Golgi complex subunit 7 OS=Patagioenas fasciata monilis OX=372326 GN=COG7 PE=3 SV=1</t>
        </is>
      </c>
      <c r="M8034" t="n">
        <v>769</v>
      </c>
      <c r="N8034" t="inlineStr">
        <is>
          <t>Patagioenas fasciata monilis</t>
        </is>
      </c>
      <c r="O8034" t="inlineStr">
        <is>
          <t>Conserved oligomeric Golgi complex subunit 7</t>
        </is>
      </c>
    </row>
    <row r="8035">
      <c r="A8035" t="inlineStr"/>
      <c r="B8035" t="inlineStr"/>
      <c r="C8035" t="inlineStr"/>
      <c r="D8035" t="inlineStr"/>
      <c r="E8035">
        <f>HYPERLINK("https://www.uniprot.org/uniprotkb/Q3UM29/entry", "Q3UM29")</f>
        <v/>
      </c>
      <c r="F8035" t="n">
        <v>72.59999999999999</v>
      </c>
      <c r="G8035" t="n">
        <v>379</v>
      </c>
      <c r="H8035" t="n">
        <v>2.04e-186</v>
      </c>
      <c r="I8035" t="inlineStr">
        <is>
          <t>Swiss-Prot</t>
        </is>
      </c>
      <c r="J8035" t="inlineStr">
        <is>
          <t>Cog7</t>
        </is>
      </c>
      <c r="K8035" t="inlineStr">
        <is>
          <t>COG7_MOUSE</t>
        </is>
      </c>
      <c r="L8035" t="inlineStr">
        <is>
          <t>sp|Q3UM29|COG7_MOUSE Conserved oligomeric Golgi complex subunit 7 OS=Mus musculus OX=10090 GN=Cog7 PE=1 SV=1</t>
        </is>
      </c>
      <c r="M8035" t="n">
        <v>770</v>
      </c>
      <c r="N8035" t="inlineStr">
        <is>
          <t>Mus musculus</t>
        </is>
      </c>
      <c r="O8035" t="inlineStr">
        <is>
          <t>Conserved oligomeric Golgi complex subunit 7</t>
        </is>
      </c>
    </row>
    <row r="8036">
      <c r="A8036" t="inlineStr"/>
      <c r="B8036" t="inlineStr"/>
      <c r="C8036" t="inlineStr"/>
      <c r="D8036" t="inlineStr"/>
      <c r="E8036">
        <f>HYPERLINK("https://www.uniprot.org/uniprotkb/Q3T1G7/entry", "Q3T1G7")</f>
        <v/>
      </c>
      <c r="F8036" t="n">
        <v>72</v>
      </c>
      <c r="G8036" t="n">
        <v>379</v>
      </c>
      <c r="H8036" t="n">
        <v>5.32e-184</v>
      </c>
      <c r="I8036" t="inlineStr">
        <is>
          <t>Swiss-Prot</t>
        </is>
      </c>
      <c r="J8036" t="inlineStr">
        <is>
          <t>Cog7</t>
        </is>
      </c>
      <c r="K8036" t="inlineStr">
        <is>
          <t>COG7_RAT</t>
        </is>
      </c>
      <c r="L8036" t="inlineStr">
        <is>
          <t>sp|Q3T1G7|COG7_RAT Conserved oligomeric Golgi complex subunit 7 OS=Rattus norvegicus OX=10116 GN=Cog7 PE=2 SV=1</t>
        </is>
      </c>
      <c r="M8036" t="n">
        <v>770</v>
      </c>
      <c r="N8036" t="inlineStr">
        <is>
          <t>Rattus norvegicus</t>
        </is>
      </c>
      <c r="O8036" t="inlineStr">
        <is>
          <t>Conserved oligomeric Golgi complex subunit 7</t>
        </is>
      </c>
    </row>
    <row r="8037">
      <c r="A8037" t="inlineStr"/>
      <c r="B8037" t="inlineStr"/>
      <c r="C8037" t="inlineStr"/>
      <c r="D8037" t="inlineStr"/>
      <c r="E8037">
        <f>HYPERLINK("https://www.uniprot.org/uniprotkb/A2VDR8/entry", "A2VDR8")</f>
        <v/>
      </c>
      <c r="F8037" t="n">
        <v>66.8</v>
      </c>
      <c r="G8037" t="n">
        <v>379</v>
      </c>
      <c r="H8037" t="n">
        <v>1.31e-165</v>
      </c>
      <c r="I8037" t="inlineStr">
        <is>
          <t>Swiss-Prot</t>
        </is>
      </c>
      <c r="J8037" t="inlineStr">
        <is>
          <t>COG7</t>
        </is>
      </c>
      <c r="K8037" t="inlineStr">
        <is>
          <t>COG7_BOVIN</t>
        </is>
      </c>
      <c r="L8037" t="inlineStr">
        <is>
          <t>sp|A2VDR8|COG7_BOVIN Conserved oligomeric Golgi complex subunit 7 OS=Bos taurus OX=9913 GN=COG7 PE=2 SV=1</t>
        </is>
      </c>
      <c r="M8037" t="n">
        <v>770</v>
      </c>
      <c r="N8037" t="inlineStr">
        <is>
          <t>Bos taurus</t>
        </is>
      </c>
      <c r="O8037" t="inlineStr">
        <is>
          <t>Conserved oligomeric Golgi complex subunit 7</t>
        </is>
      </c>
    </row>
    <row r="8038">
      <c r="A8038" t="inlineStr"/>
      <c r="B8038" t="inlineStr"/>
      <c r="C8038" t="inlineStr"/>
      <c r="D8038" t="inlineStr"/>
      <c r="E8038">
        <f>HYPERLINK("https://www.uniprot.org/uniprotkb/P83436/entry", "P83436")</f>
        <v/>
      </c>
      <c r="F8038" t="n">
        <v>65.40000000000001</v>
      </c>
      <c r="G8038" t="n">
        <v>379</v>
      </c>
      <c r="H8038" t="n">
        <v>4.200000000000001e-164</v>
      </c>
      <c r="I8038" t="inlineStr">
        <is>
          <t>Swiss-Prot</t>
        </is>
      </c>
      <c r="J8038" t="inlineStr">
        <is>
          <t>COG7</t>
        </is>
      </c>
      <c r="K8038" t="inlineStr">
        <is>
          <t>COG7_HUMAN</t>
        </is>
      </c>
      <c r="L8038" t="inlineStr">
        <is>
          <t>sp|P83436|COG7_HUMAN Conserved oligomeric Golgi complex subunit 7 OS=Homo sapiens OX=9606 GN=COG7 PE=1 SV=1</t>
        </is>
      </c>
      <c r="M8038" t="n">
        <v>770</v>
      </c>
      <c r="N8038" t="inlineStr">
        <is>
          <t>Homo sapiens</t>
        </is>
      </c>
      <c r="O8038" t="inlineStr">
        <is>
          <t>Conserved oligomeric Golgi complex subunit 7</t>
        </is>
      </c>
    </row>
    <row r="8039">
      <c r="A8039" t="inlineStr"/>
      <c r="B8039" t="inlineStr"/>
      <c r="C8039" t="inlineStr"/>
      <c r="D8039" t="inlineStr"/>
      <c r="E8039">
        <f>HYPERLINK("https://www.uniprot.org/uniprotkb/A0A8C5R8S2/entry", "A0A8C5R8S2")</f>
        <v/>
      </c>
      <c r="F8039" t="n">
        <v>87.5</v>
      </c>
      <c r="G8039" t="n">
        <v>224</v>
      </c>
      <c r="H8039" t="n">
        <v>2.21e-131</v>
      </c>
      <c r="I8039" t="inlineStr">
        <is>
          <t>TrEMBL</t>
        </is>
      </c>
      <c r="J8039" t="inlineStr">
        <is>
          <t>COG7</t>
        </is>
      </c>
      <c r="K8039" t="inlineStr">
        <is>
          <t>A0A8C5R8S2_9ANUR</t>
        </is>
      </c>
      <c r="L8039" t="inlineStr">
        <is>
          <t>tr|A0A8C5R8S2|A0A8C5R8S2_9ANUR Conserved oligomeric Golgi complex subunit 7 OS=Leptobrachium leishanense OX=445787 GN=COG7 PE=3 SV=1</t>
        </is>
      </c>
      <c r="M8039" t="n">
        <v>729</v>
      </c>
      <c r="N8039" t="inlineStr">
        <is>
          <t>Leptobrachium leishanense</t>
        </is>
      </c>
      <c r="O8039" t="inlineStr">
        <is>
          <t>Conserved oligomeric Golgi complex subunit 7</t>
        </is>
      </c>
    </row>
    <row r="8040">
      <c r="A8040" t="inlineStr"/>
      <c r="B8040" t="inlineStr"/>
      <c r="C8040" t="inlineStr"/>
      <c r="D8040" t="inlineStr"/>
      <c r="E8040">
        <f>HYPERLINK("https://www.uniprot.org/uniprotkb/A0A8C5RAM3/entry", "A0A8C5RAM3")</f>
        <v/>
      </c>
      <c r="F8040" t="n">
        <v>87.5</v>
      </c>
      <c r="G8040" t="n">
        <v>224</v>
      </c>
      <c r="H8040" t="n">
        <v>6.28e-131</v>
      </c>
      <c r="I8040" t="inlineStr">
        <is>
          <t>TrEMBL</t>
        </is>
      </c>
      <c r="J8040" t="inlineStr">
        <is>
          <t>COG7</t>
        </is>
      </c>
      <c r="K8040" t="inlineStr">
        <is>
          <t>A0A8C5RAM3_9ANUR</t>
        </is>
      </c>
      <c r="L8040" t="inlineStr">
        <is>
          <t>tr|A0A8C5RAM3|A0A8C5RAM3_9ANUR Conserved oligomeric Golgi complex subunit 7 OS=Leptobrachium leishanense OX=445787 GN=COG7 PE=3 SV=1</t>
        </is>
      </c>
      <c r="M8040" t="n">
        <v>768</v>
      </c>
      <c r="N8040" t="inlineStr">
        <is>
          <t>Leptobrachium leishanense</t>
        </is>
      </c>
      <c r="O8040" t="inlineStr">
        <is>
          <t>Conserved oligomeric Golgi complex subunit 7</t>
        </is>
      </c>
    </row>
    <row r="8041">
      <c r="A8041" t="inlineStr"/>
      <c r="B8041" t="inlineStr"/>
      <c r="C8041" t="inlineStr"/>
      <c r="D8041" t="inlineStr"/>
      <c r="E8041">
        <f>HYPERLINK("https://www.uniprot.org/uniprotkb/A0A8J6EXV0/entry", "A0A8J6EXV0")</f>
        <v/>
      </c>
      <c r="F8041" t="n">
        <v>86.59999999999999</v>
      </c>
      <c r="G8041" t="n">
        <v>224</v>
      </c>
      <c r="H8041" t="n">
        <v>7.509999999999999e-131</v>
      </c>
      <c r="I8041" t="inlineStr">
        <is>
          <t>TrEMBL</t>
        </is>
      </c>
      <c r="J8041" t="inlineStr">
        <is>
          <t>GDO78_002310</t>
        </is>
      </c>
      <c r="K8041" t="inlineStr">
        <is>
          <t>A0A8J6EXV0_ELECQ</t>
        </is>
      </c>
      <c r="L8041" t="inlineStr">
        <is>
          <t>tr|A0A8J6EXV0|A0A8J6EXV0_ELECQ Conserved oligomeric Golgi complex subunit 7 OS=Eleutherodactylus coqui OX=57060 GN=GDO78_002310 PE=3 SV=1</t>
        </is>
      </c>
      <c r="M8041" t="n">
        <v>613</v>
      </c>
      <c r="N8041" t="inlineStr">
        <is>
          <t>Eleutherodactylus coqui</t>
        </is>
      </c>
      <c r="O8041" t="inlineStr">
        <is>
          <t>Conserved oligomeric Golgi complex subunit 7</t>
        </is>
      </c>
    </row>
    <row r="8042">
      <c r="A8042" t="inlineStr"/>
      <c r="B8042" t="inlineStr"/>
      <c r="C8042" t="inlineStr"/>
      <c r="D8042" t="inlineStr"/>
      <c r="E8042">
        <f>HYPERLINK("https://www.ncbi.nlm.nih.gov/gene/?term=XP_053328276.1", "XP_053328276.1")</f>
        <v/>
      </c>
      <c r="F8042" t="n">
        <v>88.8</v>
      </c>
      <c r="G8042" t="n">
        <v>224</v>
      </c>
      <c r="H8042" t="n">
        <v>1.57e-130</v>
      </c>
      <c r="I8042" t="inlineStr">
        <is>
          <t>Nr</t>
        </is>
      </c>
      <c r="J8042" t="inlineStr"/>
      <c r="K8042" t="inlineStr"/>
      <c r="L8042" t="inlineStr">
        <is>
          <t>XP_053328276.1 conserved oligomeric Golgi complex subunit 7 [Spea bombifrons]</t>
        </is>
      </c>
      <c r="M8042" t="n">
        <v>767</v>
      </c>
      <c r="N8042" t="inlineStr">
        <is>
          <t>Spea bombifrons</t>
        </is>
      </c>
      <c r="O8042" t="inlineStr">
        <is>
          <t>conserved oligomeric Golgi complex subunit 7</t>
        </is>
      </c>
    </row>
    <row r="8043">
      <c r="A8043" t="inlineStr"/>
      <c r="B8043" t="inlineStr"/>
      <c r="C8043" t="inlineStr"/>
      <c r="D8043" t="inlineStr"/>
      <c r="E8043">
        <f>HYPERLINK("https://www.uniprot.org/uniprotkb/A0A1L8EY61/entry", "A0A1L8EY61")</f>
        <v/>
      </c>
      <c r="F8043" t="n">
        <v>87.5</v>
      </c>
      <c r="G8043" t="n">
        <v>224</v>
      </c>
      <c r="H8043" t="n">
        <v>1.77e-130</v>
      </c>
      <c r="I8043" t="inlineStr">
        <is>
          <t>TrEMBL</t>
        </is>
      </c>
      <c r="J8043" t="inlineStr">
        <is>
          <t>cog7.L</t>
        </is>
      </c>
      <c r="K8043" t="inlineStr">
        <is>
          <t>A0A1L8EY61_XENLA</t>
        </is>
      </c>
      <c r="L8043" t="inlineStr">
        <is>
          <t>tr|A0A1L8EY61|A0A1L8EY61_XENLA Conserved oligomeric Golgi complex subunit 7 OS=Xenopus laevis OX=8355 GN=cog7.L PE=3 SV=1</t>
        </is>
      </c>
      <c r="M8043" t="n">
        <v>768</v>
      </c>
      <c r="N8043" t="inlineStr">
        <is>
          <t>Xenopus laevis</t>
        </is>
      </c>
      <c r="O8043" t="inlineStr">
        <is>
          <t>Conserved oligomeric Golgi complex subunit 7</t>
        </is>
      </c>
    </row>
    <row r="8044">
      <c r="A8044" t="inlineStr"/>
      <c r="B8044" t="inlineStr"/>
      <c r="C8044" t="inlineStr"/>
      <c r="D8044" t="inlineStr"/>
      <c r="E8044">
        <f>HYPERLINK("https://www.ncbi.nlm.nih.gov/gene/?term=KAG9476850.1", "KAG9476850.1")</f>
        <v/>
      </c>
      <c r="F8044" t="n">
        <v>86.59999999999999</v>
      </c>
      <c r="G8044" t="n">
        <v>224</v>
      </c>
      <c r="H8044" t="n">
        <v>1.93e-130</v>
      </c>
      <c r="I8044" t="inlineStr">
        <is>
          <t>Nr</t>
        </is>
      </c>
      <c r="J8044" t="inlineStr"/>
      <c r="K8044" t="inlineStr"/>
      <c r="L8044" t="inlineStr">
        <is>
          <t>KAG9476850.1 hypothetical protein GDO78_002310 [Eleutherodactylus coqui]</t>
        </is>
      </c>
      <c r="M8044" t="n">
        <v>613</v>
      </c>
      <c r="N8044" t="inlineStr">
        <is>
          <t>Eleutherodactylus coqui</t>
        </is>
      </c>
      <c r="O8044" t="inlineStr">
        <is>
          <t>hypothetical protein GDO78_002310</t>
        </is>
      </c>
    </row>
    <row r="8045">
      <c r="A8045" t="inlineStr"/>
      <c r="B8045" t="inlineStr"/>
      <c r="C8045" t="inlineStr"/>
      <c r="D8045" t="inlineStr"/>
      <c r="E8045">
        <f>HYPERLINK("https://www.uniprot.org/uniprotkb/Q6GNU8/entry", "Q6GNU8")</f>
        <v/>
      </c>
      <c r="F8045" t="n">
        <v>87.5</v>
      </c>
      <c r="G8045" t="n">
        <v>224</v>
      </c>
      <c r="H8045" t="n">
        <v>3.53e-130</v>
      </c>
      <c r="I8045" t="inlineStr">
        <is>
          <t>TrEMBL</t>
        </is>
      </c>
      <c r="J8045" t="inlineStr">
        <is>
          <t>cog7.L</t>
        </is>
      </c>
      <c r="K8045" t="inlineStr">
        <is>
          <t>Q6GNU8_XENLA</t>
        </is>
      </c>
      <c r="L8045" t="inlineStr">
        <is>
          <t>tr|Q6GNU8|Q6GNU8_XENLA Conserved oligomeric Golgi complex subunit 7 OS=Xenopus laevis OX=8355 GN=cog7.L PE=2 SV=1</t>
        </is>
      </c>
      <c r="M8045" t="n">
        <v>768</v>
      </c>
      <c r="N8045" t="inlineStr">
        <is>
          <t>Xenopus laevis</t>
        </is>
      </c>
      <c r="O8045" t="inlineStr">
        <is>
          <t>Conserved oligomeric Golgi complex subunit 7</t>
        </is>
      </c>
    </row>
    <row r="8046">
      <c r="A8046" t="inlineStr"/>
      <c r="B8046" t="inlineStr"/>
      <c r="C8046" t="inlineStr"/>
      <c r="D8046" t="inlineStr"/>
      <c r="E8046">
        <f>HYPERLINK("https://www.ncbi.nlm.nih.gov/gene/?term=XP_018089829.1", "XP_018089829.1")</f>
        <v/>
      </c>
      <c r="F8046" t="n">
        <v>87.5</v>
      </c>
      <c r="G8046" t="n">
        <v>224</v>
      </c>
      <c r="H8046" t="n">
        <v>4.54e-130</v>
      </c>
      <c r="I8046" t="inlineStr">
        <is>
          <t>Nr</t>
        </is>
      </c>
      <c r="J8046" t="inlineStr"/>
      <c r="K8046" t="inlineStr"/>
      <c r="L8046" t="inlineStr">
        <is>
          <t>XP_018089829.1 component of oligomeric golgi complex 7 L homeolog isoform X1 [Xenopus laevis]</t>
        </is>
      </c>
      <c r="M8046" t="n">
        <v>768</v>
      </c>
      <c r="N8046" t="inlineStr">
        <is>
          <t>Xenopus laevis</t>
        </is>
      </c>
      <c r="O8046" t="inlineStr">
        <is>
          <t>component of oligomeric golgi complex 7 L homeolog isoform X1</t>
        </is>
      </c>
    </row>
    <row r="8047">
      <c r="A8047" t="inlineStr"/>
      <c r="B8047" t="inlineStr"/>
      <c r="C8047" t="inlineStr"/>
      <c r="D8047" t="inlineStr"/>
      <c r="E8047">
        <f>HYPERLINK("https://www.uniprot.org/uniprotkb/Q5FW35/entry", "Q5FW35")</f>
        <v/>
      </c>
      <c r="F8047" t="n">
        <v>88.40000000000001</v>
      </c>
      <c r="G8047" t="n">
        <v>224</v>
      </c>
      <c r="H8047" t="n">
        <v>4.98e-130</v>
      </c>
      <c r="I8047" t="inlineStr">
        <is>
          <t>TrEMBL</t>
        </is>
      </c>
      <c r="J8047" t="inlineStr">
        <is>
          <t>cog7</t>
        </is>
      </c>
      <c r="K8047" t="inlineStr">
        <is>
          <t>Q5FW35_XENTR</t>
        </is>
      </c>
      <c r="L8047" t="inlineStr">
        <is>
          <t>tr|Q5FW35|Q5FW35_XENTR Conserved oligomeric Golgi complex subunit 7 OS=Xenopus tropicalis OX=8364 GN=cog7 PE=2 SV=1</t>
        </is>
      </c>
      <c r="M8047" t="n">
        <v>768</v>
      </c>
      <c r="N8047" t="inlineStr">
        <is>
          <t>Xenopus tropicalis</t>
        </is>
      </c>
      <c r="O8047" t="inlineStr">
        <is>
          <t>Conserved oligomeric Golgi complex subunit 7</t>
        </is>
      </c>
    </row>
    <row r="8048">
      <c r="A8048" t="inlineStr"/>
      <c r="B8048" t="inlineStr"/>
      <c r="C8048" t="inlineStr"/>
      <c r="D8048" t="inlineStr"/>
      <c r="E8048">
        <f>HYPERLINK("https://www.ncbi.nlm.nih.gov/gene/?term=NP_001085832.1", "NP_001085832.1")</f>
        <v/>
      </c>
      <c r="F8048" t="n">
        <v>87.5</v>
      </c>
      <c r="G8048" t="n">
        <v>224</v>
      </c>
      <c r="H8048" t="n">
        <v>9.06e-130</v>
      </c>
      <c r="I8048" t="inlineStr">
        <is>
          <t>Nr</t>
        </is>
      </c>
      <c r="J8048" t="inlineStr"/>
      <c r="K8048" t="inlineStr"/>
      <c r="L8048" t="inlineStr">
        <is>
          <t>NP_001085832.1 component of oligomeric golgi complex 7 L homeolog [Xenopus laevis]</t>
        </is>
      </c>
      <c r="M8048" t="n">
        <v>768</v>
      </c>
      <c r="N8048" t="inlineStr">
        <is>
          <t>Xenopus laevis</t>
        </is>
      </c>
      <c r="O8048" t="inlineStr">
        <is>
          <t>component of oligomeric golgi complex 7 L homeolog</t>
        </is>
      </c>
    </row>
    <row r="8049">
      <c r="A8049" t="inlineStr"/>
      <c r="B8049" t="inlineStr"/>
      <c r="C8049" t="inlineStr"/>
      <c r="D8049" t="inlineStr"/>
      <c r="E8049">
        <f>HYPERLINK("https://www.ncbi.nlm.nih.gov/gene/?term=NP_001015714.1", "NP_001015714.1")</f>
        <v/>
      </c>
      <c r="F8049" t="n">
        <v>88.40000000000001</v>
      </c>
      <c r="G8049" t="n">
        <v>224</v>
      </c>
      <c r="H8049" t="n">
        <v>1.28e-129</v>
      </c>
      <c r="I8049" t="inlineStr">
        <is>
          <t>Nr</t>
        </is>
      </c>
      <c r="J8049" t="inlineStr"/>
      <c r="K8049" t="inlineStr"/>
      <c r="L8049" t="inlineStr">
        <is>
          <t>NP_001015714.1 conserved oligomeric Golgi complex subunit 7 [Xenopus tropicalis]</t>
        </is>
      </c>
      <c r="M8049" t="n">
        <v>768</v>
      </c>
      <c r="N8049" t="inlineStr">
        <is>
          <t>Xenopus tropicalis</t>
        </is>
      </c>
      <c r="O8049" t="inlineStr">
        <is>
          <t>conserved oligomeric Golgi complex subunit 7</t>
        </is>
      </c>
    </row>
    <row r="8050">
      <c r="A8050" t="inlineStr"/>
      <c r="B8050" t="inlineStr"/>
      <c r="C8050" t="inlineStr"/>
      <c r="D8050" t="inlineStr"/>
      <c r="E8050">
        <f>HYPERLINK("https://www.uniprot.org/uniprotkb/A0A1L8EQK9/entry", "A0A1L8EQK9")</f>
        <v/>
      </c>
      <c r="F8050" t="n">
        <v>87.5</v>
      </c>
      <c r="G8050" t="n">
        <v>224</v>
      </c>
      <c r="H8050" t="n">
        <v>1.4e-129</v>
      </c>
      <c r="I8050" t="inlineStr">
        <is>
          <t>TrEMBL</t>
        </is>
      </c>
      <c r="J8050" t="inlineStr">
        <is>
          <t>cog7.S</t>
        </is>
      </c>
      <c r="K8050" t="inlineStr">
        <is>
          <t>A0A1L8EQK9_XENLA</t>
        </is>
      </c>
      <c r="L8050" t="inlineStr">
        <is>
          <t>tr|A0A1L8EQK9|A0A1L8EQK9_XENLA Conserved oligomeric Golgi complex subunit 7 OS=Xenopus laevis OX=8355 GN=cog7.S PE=3 SV=1</t>
        </is>
      </c>
      <c r="M8050" t="n">
        <v>768</v>
      </c>
      <c r="N8050" t="inlineStr">
        <is>
          <t>Xenopus laevis</t>
        </is>
      </c>
      <c r="O8050" t="inlineStr">
        <is>
          <t>Conserved oligomeric Golgi complex subunit 7</t>
        </is>
      </c>
    </row>
    <row r="8051">
      <c r="A8051" t="inlineStr"/>
      <c r="B8051" t="inlineStr"/>
      <c r="C8051" t="inlineStr"/>
      <c r="D8051" t="inlineStr"/>
      <c r="E8051">
        <f>HYPERLINK("https://www.ncbi.nlm.nih.gov/gene/?term=XP_018094691.1", "XP_018094691.1")</f>
        <v/>
      </c>
      <c r="F8051" t="n">
        <v>87.5</v>
      </c>
      <c r="G8051" t="n">
        <v>224</v>
      </c>
      <c r="H8051" t="n">
        <v>3.600000000000001e-129</v>
      </c>
      <c r="I8051" t="inlineStr">
        <is>
          <t>Nr</t>
        </is>
      </c>
      <c r="J8051" t="inlineStr"/>
      <c r="K8051" t="inlineStr"/>
      <c r="L8051" t="inlineStr">
        <is>
          <t>XP_018094691.1 conserved oligomeric Golgi complex subunit 7 [Xenopus laevis]</t>
        </is>
      </c>
      <c r="M8051" t="n">
        <v>768</v>
      </c>
      <c r="N8051" t="inlineStr">
        <is>
          <t>Xenopus laevis</t>
        </is>
      </c>
      <c r="O8051" t="inlineStr">
        <is>
          <t>conserved oligomeric Golgi complex subunit 7</t>
        </is>
      </c>
    </row>
    <row r="8052">
      <c r="A8052" t="inlineStr"/>
      <c r="B8052" t="inlineStr"/>
      <c r="C8052" t="inlineStr"/>
      <c r="D8052" t="inlineStr"/>
      <c r="E8052">
        <f>HYPERLINK("https://www.uniprot.org/uniprotkb/A0A822A2R2/entry", "A0A822A2R2")</f>
        <v/>
      </c>
      <c r="F8052" t="n">
        <v>86.2</v>
      </c>
      <c r="G8052" t="n">
        <v>224</v>
      </c>
      <c r="H8052" t="n">
        <v>1.57e-128</v>
      </c>
      <c r="I8052" t="inlineStr">
        <is>
          <t>TrEMBL</t>
        </is>
      </c>
      <c r="J8052" t="inlineStr">
        <is>
          <t>RIMITATOR_LOCUS6805718</t>
        </is>
      </c>
      <c r="K8052" t="inlineStr">
        <is>
          <t>A0A822A2R2_9NEOB</t>
        </is>
      </c>
      <c r="L8052" t="inlineStr">
        <is>
          <t>tr|A0A822A2R2|A0A822A2R2_9NEOB Conserved oligomeric Golgi complex subunit 7 OS=Ranitomeya imitator OX=111125 GN=RIMITATOR_LOCUS6805718 PE=3 SV=1</t>
        </is>
      </c>
      <c r="M8052" t="n">
        <v>768</v>
      </c>
      <c r="N8052" t="inlineStr">
        <is>
          <t>Ranitomeya imitator</t>
        </is>
      </c>
      <c r="O8052" t="inlineStr">
        <is>
          <t>Conserved oligomeric Golgi complex subunit 7</t>
        </is>
      </c>
    </row>
    <row r="8053">
      <c r="A8053" t="inlineStr"/>
      <c r="B8053" t="inlineStr"/>
      <c r="C8053" t="inlineStr"/>
      <c r="D8053" t="inlineStr"/>
      <c r="E8053">
        <f>HYPERLINK("https://www.ncbi.nlm.nih.gov/gene/?term=XP_040212694.1", "XP_040212694.1")</f>
        <v/>
      </c>
      <c r="F8053" t="n">
        <v>86.59999999999999</v>
      </c>
      <c r="G8053" t="n">
        <v>224</v>
      </c>
      <c r="H8053" t="n">
        <v>2.86e-128</v>
      </c>
      <c r="I8053" t="inlineStr">
        <is>
          <t>Nr</t>
        </is>
      </c>
      <c r="J8053" t="inlineStr"/>
      <c r="K8053" t="inlineStr"/>
      <c r="L8053" t="inlineStr">
        <is>
          <t>XP_040212694.1 conserved oligomeric Golgi complex subunit 7 [Rana temporaria]</t>
        </is>
      </c>
      <c r="M8053" t="n">
        <v>768</v>
      </c>
      <c r="N8053" t="inlineStr">
        <is>
          <t>Rana temporaria</t>
        </is>
      </c>
      <c r="O8053" t="inlineStr">
        <is>
          <t>conserved oligomeric Golgi complex subunit 7</t>
        </is>
      </c>
    </row>
    <row r="8054">
      <c r="A8054" t="inlineStr"/>
      <c r="B8054" t="inlineStr"/>
      <c r="C8054" t="inlineStr"/>
      <c r="D8054" t="inlineStr"/>
      <c r="E8054">
        <f>HYPERLINK("https://www.ncbi.nlm.nih.gov/gene/?term=KAG8557810.1", "KAG8557810.1")</f>
        <v/>
      </c>
      <c r="F8054" t="n">
        <v>86.2</v>
      </c>
      <c r="G8054" t="n">
        <v>224</v>
      </c>
      <c r="H8054" t="n">
        <v>2.86e-128</v>
      </c>
      <c r="I8054" t="inlineStr">
        <is>
          <t>Nr</t>
        </is>
      </c>
      <c r="J8054" t="inlineStr"/>
      <c r="K8054" t="inlineStr"/>
      <c r="L8054" t="inlineStr">
        <is>
          <t>KAG8557810.1 hypothetical protein GDO81_016734 [Engystomops pustulosus]</t>
        </is>
      </c>
      <c r="M8054" t="n">
        <v>768</v>
      </c>
      <c r="N8054" t="inlineStr">
        <is>
          <t>Engystomops pustulosus</t>
        </is>
      </c>
      <c r="O8054" t="inlineStr">
        <is>
          <t>hypothetical protein GDO81_016734</t>
        </is>
      </c>
    </row>
    <row r="8055">
      <c r="A8055" t="inlineStr"/>
      <c r="B8055" t="inlineStr"/>
      <c r="C8055" t="inlineStr"/>
      <c r="D8055" t="inlineStr"/>
      <c r="E8055">
        <f>HYPERLINK("https://www.ncbi.nlm.nih.gov/gene/?term=XP_018407840.1", "XP_018407840.1")</f>
        <v/>
      </c>
      <c r="F8055" t="n">
        <v>85.3</v>
      </c>
      <c r="G8055" t="n">
        <v>224</v>
      </c>
      <c r="H8055" t="n">
        <v>2e-125</v>
      </c>
      <c r="I8055" t="inlineStr">
        <is>
          <t>Nr</t>
        </is>
      </c>
      <c r="J8055" t="inlineStr"/>
      <c r="K8055" t="inlineStr"/>
      <c r="L8055" t="inlineStr">
        <is>
          <t>XP_018407840.1 PREDICTED: conserved oligomeric Golgi complex subunit 7 [Nanorana parkeri]</t>
        </is>
      </c>
      <c r="M8055" t="n">
        <v>768</v>
      </c>
      <c r="N8055" t="inlineStr">
        <is>
          <t>Nanorana parkeri</t>
        </is>
      </c>
      <c r="O8055" t="inlineStr">
        <is>
          <t>PREDICTED: conserved oligomeric Golgi complex subunit 7</t>
        </is>
      </c>
    </row>
    <row r="8056">
      <c r="A8056" t="inlineStr"/>
      <c r="B8056" t="inlineStr"/>
      <c r="C8056" t="inlineStr"/>
      <c r="D8056" t="inlineStr"/>
      <c r="E8056">
        <f>HYPERLINK("https://www.ncbi.nlm.nih.gov/gene/?term=XP_040295260.1", "XP_040295260.1")</f>
        <v/>
      </c>
      <c r="F8056" t="n">
        <v>84.8</v>
      </c>
      <c r="G8056" t="n">
        <v>224</v>
      </c>
      <c r="H8056" t="n">
        <v>1.12e-124</v>
      </c>
      <c r="I8056" t="inlineStr">
        <is>
          <t>Nr</t>
        </is>
      </c>
      <c r="J8056" t="inlineStr"/>
      <c r="K8056" t="inlineStr"/>
      <c r="L8056" t="inlineStr">
        <is>
          <t>XP_040295260.1 conserved oligomeric Golgi complex subunit 7 [Bufo bufo]</t>
        </is>
      </c>
      <c r="M8056" t="n">
        <v>768</v>
      </c>
      <c r="N8056" t="inlineStr">
        <is>
          <t>Bufo bufo</t>
        </is>
      </c>
      <c r="O8056" t="inlineStr">
        <is>
          <t>conserved oligomeric Golgi complex subunit 7</t>
        </is>
      </c>
    </row>
    <row r="8057">
      <c r="A8057" t="inlineStr"/>
      <c r="B8057" t="inlineStr"/>
      <c r="C8057" t="inlineStr"/>
      <c r="D8057" t="inlineStr"/>
      <c r="E8057">
        <f>HYPERLINK("https://www.ncbi.nlm.nih.gov/gene/?term=XP_044159144.1", "XP_044159144.1")</f>
        <v/>
      </c>
      <c r="F8057" t="n">
        <v>84.40000000000001</v>
      </c>
      <c r="G8057" t="n">
        <v>224</v>
      </c>
      <c r="H8057" t="n">
        <v>6.29e-124</v>
      </c>
      <c r="I8057" t="inlineStr">
        <is>
          <t>Nr</t>
        </is>
      </c>
      <c r="J8057" t="inlineStr"/>
      <c r="K8057" t="inlineStr"/>
      <c r="L8057" t="inlineStr">
        <is>
          <t>XP_044159144.1 LOW QUALITY PROTEIN: conserved oligomeric Golgi complex subunit 7 [Bufo gargarizans]</t>
        </is>
      </c>
      <c r="M8057" t="n">
        <v>768</v>
      </c>
      <c r="N8057" t="inlineStr">
        <is>
          <t>Bufo gargarizans</t>
        </is>
      </c>
      <c r="O8057" t="inlineStr">
        <is>
          <t>LOW QUALITY PROTEIN: conserved oligomeric Golgi complex subunit 7</t>
        </is>
      </c>
    </row>
    <row r="8058">
      <c r="A8058" t="inlineStr"/>
      <c r="B8058" t="inlineStr"/>
      <c r="C8058" t="inlineStr"/>
      <c r="D8058" t="inlineStr"/>
      <c r="E8058">
        <f>HYPERLINK("https://www.uniprot.org/uniprotkb/A0A7J7XYJ0/entry", "A0A7J7XYJ0")</f>
        <v/>
      </c>
      <c r="F8058" t="n">
        <v>80.40000000000001</v>
      </c>
      <c r="G8058" t="n">
        <v>224</v>
      </c>
      <c r="H8058" t="n">
        <v>2.25e-122</v>
      </c>
      <c r="I8058" t="inlineStr">
        <is>
          <t>TrEMBL</t>
        </is>
      </c>
      <c r="J8058" t="inlineStr">
        <is>
          <t>mMyoMyo1_003120</t>
        </is>
      </c>
      <c r="K8058" t="inlineStr">
        <is>
          <t>A0A7J7XYJ0_MYOMY</t>
        </is>
      </c>
      <c r="L8058" t="inlineStr">
        <is>
          <t>tr|A0A7J7XYJ0|A0A7J7XYJ0_MYOMY Conserved oligomeric Golgi complex subunit 7 OS=Myotis myotis OX=51298 GN=mMyoMyo1_003120 PE=3 SV=1</t>
        </is>
      </c>
      <c r="M8058" t="n">
        <v>317</v>
      </c>
      <c r="N8058" t="inlineStr">
        <is>
          <t>Myotis myotis</t>
        </is>
      </c>
      <c r="O8058" t="inlineStr">
        <is>
          <t>Conserved oligomeric Golgi complex subunit 7</t>
        </is>
      </c>
    </row>
    <row r="8059">
      <c r="A8059" t="inlineStr"/>
      <c r="B8059" t="inlineStr"/>
      <c r="C8059" t="inlineStr"/>
      <c r="D8059" t="inlineStr"/>
      <c r="E8059">
        <f>HYPERLINK("https://www.ncbi.nlm.nih.gov/gene/?term=KAF6354588.1", "KAF6354588.1")</f>
        <v/>
      </c>
      <c r="F8059" t="n">
        <v>80.40000000000001</v>
      </c>
      <c r="G8059" t="n">
        <v>224</v>
      </c>
      <c r="H8059" t="n">
        <v>5.770000000000001e-122</v>
      </c>
      <c r="I8059" t="inlineStr">
        <is>
          <t>Nr</t>
        </is>
      </c>
      <c r="J8059" t="inlineStr"/>
      <c r="K8059" t="inlineStr"/>
      <c r="L8059" t="inlineStr">
        <is>
          <t>KAF6354588.1 component of oligomeric golgi complex 7 [Myotis myotis]</t>
        </is>
      </c>
      <c r="M8059" t="n">
        <v>317</v>
      </c>
      <c r="N8059" t="inlineStr">
        <is>
          <t>Myotis myotis</t>
        </is>
      </c>
      <c r="O8059" t="inlineStr">
        <is>
          <t>component of oligomeric golgi complex 7</t>
        </is>
      </c>
    </row>
    <row r="8060">
      <c r="A8060" t="inlineStr"/>
      <c r="B8060" t="inlineStr"/>
      <c r="C8060" t="inlineStr"/>
      <c r="D8060" t="inlineStr"/>
      <c r="E8060">
        <f>HYPERLINK("https://www.uniprot.org/uniprotkb/A0A7J7XY15/entry", "A0A7J7XY15")</f>
        <v/>
      </c>
      <c r="F8060" t="n">
        <v>80.40000000000001</v>
      </c>
      <c r="G8060" t="n">
        <v>224</v>
      </c>
      <c r="H8060" t="n">
        <v>2.5e-120</v>
      </c>
      <c r="I8060" t="inlineStr">
        <is>
          <t>TrEMBL</t>
        </is>
      </c>
      <c r="J8060" t="inlineStr">
        <is>
          <t>mMyoMyo1_003120</t>
        </is>
      </c>
      <c r="K8060" t="inlineStr">
        <is>
          <t>A0A7J7XY15_MYOMY</t>
        </is>
      </c>
      <c r="L8060" t="inlineStr">
        <is>
          <t>tr|A0A7J7XY15|A0A7J7XY15_MYOMY Conserved oligomeric Golgi complex subunit 7 OS=Myotis myotis OX=51298 GN=mMyoMyo1_003120 PE=3 SV=1</t>
        </is>
      </c>
      <c r="M8060" t="n">
        <v>460</v>
      </c>
      <c r="N8060" t="inlineStr">
        <is>
          <t>Myotis myotis</t>
        </is>
      </c>
      <c r="O8060" t="inlineStr">
        <is>
          <t>Conserved oligomeric Golgi complex subunit 7</t>
        </is>
      </c>
    </row>
    <row r="8061">
      <c r="A8061" t="inlineStr"/>
      <c r="B8061" t="inlineStr"/>
      <c r="C8061" t="inlineStr"/>
      <c r="D8061" t="inlineStr"/>
      <c r="E8061">
        <f>HYPERLINK("https://www.uniprot.org/uniprotkb/A0A7J7XYY3/entry", "A0A7J7XYY3")</f>
        <v/>
      </c>
      <c r="F8061" t="n">
        <v>80.40000000000001</v>
      </c>
      <c r="G8061" t="n">
        <v>224</v>
      </c>
      <c r="H8061" t="n">
        <v>4e-120</v>
      </c>
      <c r="I8061" t="inlineStr">
        <is>
          <t>TrEMBL</t>
        </is>
      </c>
      <c r="J8061" t="inlineStr">
        <is>
          <t>mMyoMyo1_003120</t>
        </is>
      </c>
      <c r="K8061" t="inlineStr">
        <is>
          <t>A0A7J7XYY3_MYOMY</t>
        </is>
      </c>
      <c r="L8061" t="inlineStr">
        <is>
          <t>tr|A0A7J7XYY3|A0A7J7XYY3_MYOMY Conserved oligomeric Golgi complex subunit 7 OS=Myotis myotis OX=51298 GN=mMyoMyo1_003120 PE=3 SV=1</t>
        </is>
      </c>
      <c r="M8061" t="n">
        <v>475</v>
      </c>
      <c r="N8061" t="inlineStr">
        <is>
          <t>Myotis myotis</t>
        </is>
      </c>
      <c r="O8061" t="inlineStr">
        <is>
          <t>Conserved oligomeric Golgi complex subunit 7</t>
        </is>
      </c>
    </row>
    <row r="8062">
      <c r="A8062" t="inlineStr"/>
      <c r="B8062" t="inlineStr"/>
      <c r="C8062" t="inlineStr"/>
      <c r="D8062" t="inlineStr"/>
      <c r="E8062">
        <f>HYPERLINK("https://www.ncbi.nlm.nih.gov/gene/?term=KAF6354597.1", "KAF6354597.1")</f>
        <v/>
      </c>
      <c r="F8062" t="n">
        <v>80.40000000000001</v>
      </c>
      <c r="G8062" t="n">
        <v>224</v>
      </c>
      <c r="H8062" t="n">
        <v>6.42e-120</v>
      </c>
      <c r="I8062" t="inlineStr">
        <is>
          <t>Nr</t>
        </is>
      </c>
      <c r="J8062" t="inlineStr"/>
      <c r="K8062" t="inlineStr"/>
      <c r="L8062" t="inlineStr">
        <is>
          <t>KAF6354597.1 component of oligomeric golgi complex 7 [Myotis myotis]</t>
        </is>
      </c>
      <c r="M8062" t="n">
        <v>460</v>
      </c>
      <c r="N8062" t="inlineStr">
        <is>
          <t>Myotis myotis</t>
        </is>
      </c>
      <c r="O8062" t="inlineStr">
        <is>
          <t>component of oligomeric golgi complex 7</t>
        </is>
      </c>
    </row>
    <row r="8063">
      <c r="A8063" t="inlineStr"/>
      <c r="B8063" t="inlineStr"/>
      <c r="C8063" t="inlineStr"/>
      <c r="D8063" t="inlineStr"/>
      <c r="E8063">
        <f>HYPERLINK("https://www.ncbi.nlm.nih.gov/gene/?term=KAF6354596.1", "KAF6354596.1")</f>
        <v/>
      </c>
      <c r="F8063" t="n">
        <v>80.40000000000001</v>
      </c>
      <c r="G8063" t="n">
        <v>224</v>
      </c>
      <c r="H8063" t="n">
        <v>1.03e-119</v>
      </c>
      <c r="I8063" t="inlineStr">
        <is>
          <t>Nr</t>
        </is>
      </c>
      <c r="J8063" t="inlineStr"/>
      <c r="K8063" t="inlineStr"/>
      <c r="L8063" t="inlineStr">
        <is>
          <t>KAF6354596.1 component of oligomeric golgi complex 7 [Myotis myotis]</t>
        </is>
      </c>
      <c r="M8063" t="n">
        <v>475</v>
      </c>
      <c r="N8063" t="inlineStr">
        <is>
          <t>Myotis myotis</t>
        </is>
      </c>
      <c r="O8063" t="inlineStr">
        <is>
          <t>component of oligomeric golgi complex 7</t>
        </is>
      </c>
    </row>
    <row r="8064">
      <c r="A8064" t="inlineStr"/>
      <c r="B8064" t="inlineStr"/>
      <c r="C8064" t="inlineStr"/>
      <c r="D8064" t="inlineStr"/>
      <c r="E8064">
        <f>HYPERLINK("https://www.uniprot.org/uniprotkb/A0A7L0CM32/entry", "A0A7L0CM32")</f>
        <v/>
      </c>
      <c r="F8064" t="n">
        <v>82.09999999999999</v>
      </c>
      <c r="G8064" t="n">
        <v>223</v>
      </c>
      <c r="H8064" t="n">
        <v>1.24e-118</v>
      </c>
      <c r="I8064" t="inlineStr">
        <is>
          <t>TrEMBL</t>
        </is>
      </c>
      <c r="J8064" t="inlineStr">
        <is>
          <t>Cog7</t>
        </is>
      </c>
      <c r="K8064" t="inlineStr">
        <is>
          <t>A0A7L0CM32_9CHAR</t>
        </is>
      </c>
      <c r="L8064" t="inlineStr">
        <is>
          <t>tr|A0A7L0CM32|A0A7L0CM32_9CHAR Conserved oligomeric Golgi complex subunit 7 (Fragment) OS=Rostratula benghalensis OX=118793 GN=Cog7 PE=3 SV=1</t>
        </is>
      </c>
      <c r="M8064" t="n">
        <v>770</v>
      </c>
      <c r="N8064" t="inlineStr">
        <is>
          <t>Rostratula benghalensis</t>
        </is>
      </c>
      <c r="O8064" t="inlineStr">
        <is>
          <t>Conserved oligomeric Golgi complex subunit 7 (Fragment)</t>
        </is>
      </c>
    </row>
    <row r="8065">
      <c r="A8065" t="inlineStr"/>
      <c r="B8065" t="inlineStr"/>
      <c r="C8065" t="inlineStr"/>
      <c r="D8065" t="inlineStr"/>
      <c r="E8065">
        <f>HYPERLINK("https://www.uniprot.org/uniprotkb/A0A3Q0GX33/entry", "A0A3Q0GX33")</f>
        <v/>
      </c>
      <c r="F8065" t="n">
        <v>81.7</v>
      </c>
      <c r="G8065" t="n">
        <v>224</v>
      </c>
      <c r="H8065" t="n">
        <v>1.32e-118</v>
      </c>
      <c r="I8065" t="inlineStr">
        <is>
          <t>TrEMBL</t>
        </is>
      </c>
      <c r="J8065" t="inlineStr">
        <is>
          <t>COG7</t>
        </is>
      </c>
      <c r="K8065" t="inlineStr">
        <is>
          <t>A0A3Q0GX33_ALLSI</t>
        </is>
      </c>
      <c r="L8065" t="inlineStr">
        <is>
          <t>tr|A0A3Q0GX33|A0A3Q0GX33_ALLSI Conserved oligomeric Golgi complex subunit 7 OS=Alligator sinensis OX=38654 GN=COG7 PE=3 SV=1</t>
        </is>
      </c>
      <c r="M8065" t="n">
        <v>705</v>
      </c>
      <c r="N8065" t="inlineStr">
        <is>
          <t>Alligator sinensis</t>
        </is>
      </c>
      <c r="O8065" t="inlineStr">
        <is>
          <t>Conserved oligomeric Golgi complex subunit 7</t>
        </is>
      </c>
    </row>
    <row r="8066">
      <c r="A8066" t="inlineStr"/>
      <c r="B8066" t="inlineStr"/>
      <c r="C8066" t="inlineStr"/>
      <c r="D8066" t="inlineStr"/>
      <c r="E8066">
        <f>HYPERLINK("https://www.uniprot.org/uniprotkb/A0A7J7T247/entry", "A0A7J7T247")</f>
        <v/>
      </c>
      <c r="F8066" t="n">
        <v>80.8</v>
      </c>
      <c r="G8066" t="n">
        <v>224</v>
      </c>
      <c r="H8066" t="n">
        <v>1.84e-118</v>
      </c>
      <c r="I8066" t="inlineStr">
        <is>
          <t>TrEMBL</t>
        </is>
      </c>
      <c r="J8066" t="inlineStr">
        <is>
          <t>mPipKuh1_003080</t>
        </is>
      </c>
      <c r="K8066" t="inlineStr">
        <is>
          <t>A0A7J7T247_PIPKU</t>
        </is>
      </c>
      <c r="L8066" t="inlineStr">
        <is>
          <t>tr|A0A7J7T247|A0A7J7T247_PIPKU Conserved oligomeric Golgi complex subunit 7 OS=Pipistrellus kuhlii OX=59472 GN=mPipKuh1_003080 PE=3 SV=1</t>
        </is>
      </c>
      <c r="M8066" t="n">
        <v>653</v>
      </c>
      <c r="N8066" t="inlineStr">
        <is>
          <t>Pipistrellus kuhlii</t>
        </is>
      </c>
      <c r="O8066" t="inlineStr">
        <is>
          <t>Conserved oligomeric Golgi complex subunit 7</t>
        </is>
      </c>
    </row>
    <row r="8067">
      <c r="A8067" t="inlineStr"/>
      <c r="B8067" t="inlineStr"/>
      <c r="C8067" t="inlineStr"/>
      <c r="D8067" t="inlineStr"/>
      <c r="E8067">
        <f>HYPERLINK("https://www.uniprot.org/uniprotkb/A0A6P5JTG8/entry", "A0A6P5JTG8")</f>
        <v/>
      </c>
      <c r="F8067" t="n">
        <v>82.09999999999999</v>
      </c>
      <c r="G8067" t="n">
        <v>224</v>
      </c>
      <c r="H8067" t="n">
        <v>2.41e-118</v>
      </c>
      <c r="I8067" t="inlineStr">
        <is>
          <t>TrEMBL</t>
        </is>
      </c>
      <c r="J8067" t="inlineStr">
        <is>
          <t>COG7</t>
        </is>
      </c>
      <c r="K8067" t="inlineStr">
        <is>
          <t>A0A6P5JTG8_PHACI</t>
        </is>
      </c>
      <c r="L8067" t="inlineStr">
        <is>
          <t>tr|A0A6P5JTG8|A0A6P5JTG8_PHACI Conserved oligomeric Golgi complex subunit 7 OS=Phascolarctos cinereus OX=38626 GN=COG7 PE=3 SV=1</t>
        </is>
      </c>
      <c r="M8067" t="n">
        <v>769</v>
      </c>
      <c r="N8067" t="inlineStr">
        <is>
          <t>Phascolarctos cinereus</t>
        </is>
      </c>
      <c r="O8067" t="inlineStr">
        <is>
          <t>Conserved oligomeric Golgi complex subunit 7</t>
        </is>
      </c>
    </row>
    <row r="8068">
      <c r="A8068" t="inlineStr"/>
      <c r="B8068" t="inlineStr"/>
      <c r="C8068" t="inlineStr"/>
      <c r="D8068" t="inlineStr"/>
      <c r="E8068">
        <f>HYPERLINK("https://www.uniprot.org/uniprotkb/A0A7J7XY24/entry", "A0A7J7XY24")</f>
        <v/>
      </c>
      <c r="F8068" t="n">
        <v>80.40000000000001</v>
      </c>
      <c r="G8068" t="n">
        <v>224</v>
      </c>
      <c r="H8068" t="n">
        <v>2.49e-118</v>
      </c>
      <c r="I8068" t="inlineStr">
        <is>
          <t>TrEMBL</t>
        </is>
      </c>
      <c r="J8068" t="inlineStr">
        <is>
          <t>mMyoMyo1_003120</t>
        </is>
      </c>
      <c r="K8068" t="inlineStr">
        <is>
          <t>A0A7J7XY24_MYOMY</t>
        </is>
      </c>
      <c r="L8068" t="inlineStr">
        <is>
          <t>tr|A0A7J7XY24|A0A7J7XY24_MYOMY Conserved oligomeric Golgi complex subunit 7 OS=Myotis myotis OX=51298 GN=mMyoMyo1_003120 PE=3 SV=1</t>
        </is>
      </c>
      <c r="M8068" t="n">
        <v>614</v>
      </c>
      <c r="N8068" t="inlineStr">
        <is>
          <t>Myotis myotis</t>
        </is>
      </c>
      <c r="O8068" t="inlineStr">
        <is>
          <t>Conserved oligomeric Golgi complex subunit 7</t>
        </is>
      </c>
    </row>
    <row r="8069">
      <c r="A8069" t="inlineStr"/>
      <c r="B8069" t="inlineStr"/>
      <c r="C8069" t="inlineStr"/>
      <c r="D8069" t="inlineStr"/>
      <c r="E8069">
        <f>HYPERLINK("https://www.ncbi.nlm.nih.gov/gene/?term=NXJ60854.1", "NXJ60854.1")</f>
        <v/>
      </c>
      <c r="F8069" t="n">
        <v>82.09999999999999</v>
      </c>
      <c r="G8069" t="n">
        <v>223</v>
      </c>
      <c r="H8069" t="n">
        <v>3.18e-118</v>
      </c>
      <c r="I8069" t="inlineStr">
        <is>
          <t>Nr</t>
        </is>
      </c>
      <c r="J8069" t="inlineStr"/>
      <c r="K8069" t="inlineStr"/>
      <c r="L8069" t="inlineStr">
        <is>
          <t>NXJ60854.1 COG7 protein [Rostratula benghalensis]</t>
        </is>
      </c>
      <c r="M8069" t="n">
        <v>770</v>
      </c>
      <c r="N8069" t="inlineStr">
        <is>
          <t>Rostratula benghalensis</t>
        </is>
      </c>
      <c r="O8069" t="inlineStr">
        <is>
          <t>COG7 protein</t>
        </is>
      </c>
    </row>
    <row r="8070">
      <c r="A8070" t="inlineStr"/>
      <c r="B8070" t="inlineStr"/>
      <c r="C8070" t="inlineStr"/>
      <c r="D8070" t="inlineStr"/>
      <c r="E8070">
        <f>HYPERLINK("https://www.ncbi.nlm.nih.gov/gene/?term=XP_025064002.1", "XP_025064002.1")</f>
        <v/>
      </c>
      <c r="F8070" t="n">
        <v>81.7</v>
      </c>
      <c r="G8070" t="n">
        <v>224</v>
      </c>
      <c r="H8070" t="n">
        <v>3.39e-118</v>
      </c>
      <c r="I8070" t="inlineStr">
        <is>
          <t>Nr</t>
        </is>
      </c>
      <c r="J8070" t="inlineStr"/>
      <c r="K8070" t="inlineStr"/>
      <c r="L8070" t="inlineStr">
        <is>
          <t>XP_025064002.1 conserved oligomeric Golgi complex subunit 7 isoform X2 [Alligator sinensis]</t>
        </is>
      </c>
      <c r="M8070" t="n">
        <v>705</v>
      </c>
      <c r="N8070" t="inlineStr">
        <is>
          <t>Alligator sinensis</t>
        </is>
      </c>
      <c r="O8070" t="inlineStr">
        <is>
          <t>conserved oligomeric Golgi complex subunit 7 isoform X2</t>
        </is>
      </c>
    </row>
    <row r="8071">
      <c r="A8071" t="inlineStr"/>
      <c r="B8071" t="inlineStr"/>
      <c r="C8071" t="inlineStr"/>
      <c r="D8071" t="inlineStr"/>
      <c r="E8071">
        <f>HYPERLINK("https://www.ncbi.nlm.nih.gov/gene/?term=XP_027695248.1", "XP_027695248.1")</f>
        <v/>
      </c>
      <c r="F8071" t="n">
        <v>81.7</v>
      </c>
      <c r="G8071" t="n">
        <v>224</v>
      </c>
      <c r="H8071" t="n">
        <v>3.39e-118</v>
      </c>
      <c r="I8071" t="inlineStr">
        <is>
          <t>Nr</t>
        </is>
      </c>
      <c r="J8071" t="inlineStr"/>
      <c r="K8071" t="inlineStr"/>
      <c r="L8071" t="inlineStr">
        <is>
          <t>XP_027695248.1 conserved oligomeric Golgi complex subunit 7 isoform X2 [Vombatus ursinus]</t>
        </is>
      </c>
      <c r="M8071" t="n">
        <v>705</v>
      </c>
      <c r="N8071" t="inlineStr">
        <is>
          <t>Vombatus ursinus</t>
        </is>
      </c>
      <c r="O8071" t="inlineStr">
        <is>
          <t>conserved oligomeric Golgi complex subunit 7 isoform X2</t>
        </is>
      </c>
    </row>
    <row r="8072">
      <c r="A8072" t="inlineStr"/>
      <c r="B8072" t="inlineStr"/>
      <c r="C8072" t="inlineStr"/>
      <c r="D8072" t="inlineStr"/>
      <c r="E8072">
        <f>HYPERLINK("https://www.ncbi.nlm.nih.gov/gene/?term=XP_045445311.1", "XP_045445311.1")</f>
        <v/>
      </c>
      <c r="F8072" t="n">
        <v>80.8</v>
      </c>
      <c r="G8072" t="n">
        <v>224</v>
      </c>
      <c r="H8072" t="n">
        <v>4.73e-118</v>
      </c>
      <c r="I8072" t="inlineStr">
        <is>
          <t>Nr</t>
        </is>
      </c>
      <c r="J8072" t="inlineStr"/>
      <c r="K8072" t="inlineStr"/>
      <c r="L8072" t="inlineStr">
        <is>
          <t>XP_045445311.1 conserved oligomeric Golgi complex subunit 7 isoform X4 [Pipistrellus kuhlii]</t>
        </is>
      </c>
      <c r="M8072" t="n">
        <v>653</v>
      </c>
      <c r="N8072" t="inlineStr">
        <is>
          <t>Pipistrellus kuhlii</t>
        </is>
      </c>
      <c r="O8072" t="inlineStr">
        <is>
          <t>conserved oligomeric Golgi complex subunit 7 isoform X4</t>
        </is>
      </c>
    </row>
    <row r="8073">
      <c r="A8073" t="inlineStr"/>
      <c r="B8073" t="inlineStr"/>
      <c r="C8073" t="inlineStr"/>
      <c r="D8073" t="inlineStr"/>
      <c r="E8073">
        <f>HYPERLINK("https://www.uniprot.org/uniprotkb/A0A7M4EV98/entry", "A0A7M4EV98")</f>
        <v/>
      </c>
      <c r="F8073" t="n">
        <v>81.3</v>
      </c>
      <c r="G8073" t="n">
        <v>224</v>
      </c>
      <c r="H8073" t="n">
        <v>4.79e-118</v>
      </c>
      <c r="I8073" t="inlineStr">
        <is>
          <t>TrEMBL</t>
        </is>
      </c>
      <c r="J8073" t="inlineStr">
        <is>
          <t>COG7</t>
        </is>
      </c>
      <c r="K8073" t="inlineStr">
        <is>
          <t>A0A7M4EV98_CROPO</t>
        </is>
      </c>
      <c r="L8073" t="inlineStr">
        <is>
          <t>tr|A0A7M4EV98|A0A7M4EV98_CROPO Conserved oligomeric Golgi complex subunit 7 OS=Crocodylus porosus OX=8502 GN=COG7 PE=3 SV=1</t>
        </is>
      </c>
      <c r="M8073" t="n">
        <v>769</v>
      </c>
      <c r="N8073" t="inlineStr">
        <is>
          <t>Crocodylus porosus</t>
        </is>
      </c>
      <c r="O8073" t="inlineStr">
        <is>
          <t>Conserved oligomeric Golgi complex subunit 7</t>
        </is>
      </c>
    </row>
    <row r="8074">
      <c r="A8074" t="inlineStr"/>
      <c r="B8074" t="inlineStr"/>
      <c r="C8074" t="inlineStr"/>
      <c r="D8074" t="inlineStr"/>
      <c r="E8074">
        <f>HYPERLINK("https://www.ncbi.nlm.nih.gov/gene/?term=XP_020834284.1", "XP_020834284.1")</f>
        <v/>
      </c>
      <c r="F8074" t="n">
        <v>82.09999999999999</v>
      </c>
      <c r="G8074" t="n">
        <v>224</v>
      </c>
      <c r="H8074" t="n">
        <v>6.18e-118</v>
      </c>
      <c r="I8074" t="inlineStr">
        <is>
          <t>Nr</t>
        </is>
      </c>
      <c r="J8074" t="inlineStr"/>
      <c r="K8074" t="inlineStr"/>
      <c r="L8074" t="inlineStr">
        <is>
          <t>XP_020834284.1 LOW QUALITY PROTEIN: conserved oligomeric Golgi complex subunit 7 [Phascolarctos cinereus]</t>
        </is>
      </c>
      <c r="M8074" t="n">
        <v>769</v>
      </c>
      <c r="N8074" t="inlineStr">
        <is>
          <t>Phascolarctos cinereus</t>
        </is>
      </c>
      <c r="O8074" t="inlineStr">
        <is>
          <t>LOW QUALITY PROTEIN: conserved oligomeric Golgi complex subunit 7</t>
        </is>
      </c>
    </row>
    <row r="8075">
      <c r="A8075" t="inlineStr"/>
      <c r="B8075" t="inlineStr"/>
      <c r="C8075" t="inlineStr"/>
      <c r="D8075" t="inlineStr"/>
      <c r="E8075">
        <f>HYPERLINK("https://www.ncbi.nlm.nih.gov/gene/?term=XP_036594743.1", "XP_036594743.1")</f>
        <v/>
      </c>
      <c r="F8075" t="n">
        <v>82.09999999999999</v>
      </c>
      <c r="G8075" t="n">
        <v>224</v>
      </c>
      <c r="H8075" t="n">
        <v>6.18e-118</v>
      </c>
      <c r="I8075" t="inlineStr">
        <is>
          <t>Nr</t>
        </is>
      </c>
      <c r="J8075" t="inlineStr"/>
      <c r="K8075" t="inlineStr"/>
      <c r="L8075" t="inlineStr">
        <is>
          <t>XP_036594743.1 conserved oligomeric Golgi complex subunit 7 [Trichosurus vulpecula]</t>
        </is>
      </c>
      <c r="M8075" t="n">
        <v>769</v>
      </c>
      <c r="N8075" t="inlineStr">
        <is>
          <t>Trichosurus vulpecula</t>
        </is>
      </c>
      <c r="O8075" t="inlineStr">
        <is>
          <t>conserved oligomeric Golgi complex subunit 7</t>
        </is>
      </c>
    </row>
    <row r="8076">
      <c r="A8076" t="inlineStr"/>
      <c r="B8076" t="inlineStr"/>
      <c r="C8076" t="inlineStr"/>
      <c r="D8076" t="inlineStr"/>
      <c r="E8076">
        <f>HYPERLINK("https://www.ncbi.nlm.nih.gov/gene/?term=KAF6354592.1", "KAF6354592.1")</f>
        <v/>
      </c>
      <c r="F8076" t="n">
        <v>80.40000000000001</v>
      </c>
      <c r="G8076" t="n">
        <v>224</v>
      </c>
      <c r="H8076" t="n">
        <v>6.4e-118</v>
      </c>
      <c r="I8076" t="inlineStr">
        <is>
          <t>Nr</t>
        </is>
      </c>
      <c r="J8076" t="inlineStr"/>
      <c r="K8076" t="inlineStr"/>
      <c r="L8076" t="inlineStr">
        <is>
          <t>KAF6354592.1 component of oligomeric golgi complex 7 [Myotis myotis]</t>
        </is>
      </c>
      <c r="M8076" t="n">
        <v>614</v>
      </c>
      <c r="N8076" t="inlineStr">
        <is>
          <t>Myotis myotis</t>
        </is>
      </c>
      <c r="O8076" t="inlineStr">
        <is>
          <t>component of oligomeric golgi complex 7</t>
        </is>
      </c>
    </row>
    <row r="8077">
      <c r="A8077" t="inlineStr"/>
      <c r="B8077" t="inlineStr"/>
      <c r="C8077" t="inlineStr"/>
      <c r="D8077" t="inlineStr"/>
      <c r="E8077">
        <f>HYPERLINK("https://www.uniprot.org/uniprotkb/A0A7N4NTR1/entry", "A0A7N4NTR1")</f>
        <v/>
      </c>
      <c r="F8077" t="n">
        <v>81.7</v>
      </c>
      <c r="G8077" t="n">
        <v>224</v>
      </c>
      <c r="H8077" t="n">
        <v>6.75e-118</v>
      </c>
      <c r="I8077" t="inlineStr">
        <is>
          <t>TrEMBL</t>
        </is>
      </c>
      <c r="J8077" t="inlineStr">
        <is>
          <t>COG7</t>
        </is>
      </c>
      <c r="K8077" t="inlineStr">
        <is>
          <t>A0A7N4NTR1_SARHA</t>
        </is>
      </c>
      <c r="L8077" t="inlineStr">
        <is>
          <t>tr|A0A7N4NTR1|A0A7N4NTR1_SARHA Conserved oligomeric Golgi complex subunit 7 OS=Sarcophilus harrisii OX=9305 GN=COG7 PE=3 SV=1</t>
        </is>
      </c>
      <c r="M8077" t="n">
        <v>769</v>
      </c>
      <c r="N8077" t="inlineStr">
        <is>
          <t>Sarcophilus harrisii</t>
        </is>
      </c>
      <c r="O8077" t="inlineStr">
        <is>
          <t>Conserved oligomeric Golgi complex subunit 7</t>
        </is>
      </c>
    </row>
    <row r="8078">
      <c r="A8078" t="inlineStr"/>
      <c r="B8078" t="inlineStr"/>
      <c r="C8078" t="inlineStr"/>
      <c r="D8078" t="inlineStr"/>
      <c r="E8078">
        <f>HYPERLINK("https://www.uniprot.org/uniprotkb/A0A4X2LB53/entry", "A0A4X2LB53")</f>
        <v/>
      </c>
      <c r="F8078" t="n">
        <v>81.7</v>
      </c>
      <c r="G8078" t="n">
        <v>224</v>
      </c>
      <c r="H8078" t="n">
        <v>6.75e-118</v>
      </c>
      <c r="I8078" t="inlineStr">
        <is>
          <t>TrEMBL</t>
        </is>
      </c>
      <c r="J8078" t="inlineStr">
        <is>
          <t>COG7</t>
        </is>
      </c>
      <c r="K8078" t="inlineStr">
        <is>
          <t>A0A4X2LB53_VOMUR</t>
        </is>
      </c>
      <c r="L8078" t="inlineStr">
        <is>
          <t>tr|A0A4X2LB53|A0A4X2LB53_VOMUR Conserved oligomeric Golgi complex subunit 7 OS=Vombatus ursinus OX=29139 GN=COG7 PE=3 SV=1</t>
        </is>
      </c>
      <c r="M8078" t="n">
        <v>769</v>
      </c>
      <c r="N8078" t="inlineStr">
        <is>
          <t>Vombatus ursinus</t>
        </is>
      </c>
      <c r="O8078" t="inlineStr">
        <is>
          <t>Conserved oligomeric Golgi complex subunit 7</t>
        </is>
      </c>
    </row>
    <row r="8079">
      <c r="A8079" t="inlineStr"/>
      <c r="B8079" t="inlineStr"/>
      <c r="C8079" t="inlineStr"/>
      <c r="D8079" t="inlineStr"/>
      <c r="E8079">
        <f>HYPERLINK("https://www.uniprot.org/uniprotkb/A0A1U7S0M3/entry", "A0A1U7S0M3")</f>
        <v/>
      </c>
      <c r="F8079" t="n">
        <v>81.7</v>
      </c>
      <c r="G8079" t="n">
        <v>224</v>
      </c>
      <c r="H8079" t="n">
        <v>6.75e-118</v>
      </c>
      <c r="I8079" t="inlineStr">
        <is>
          <t>TrEMBL</t>
        </is>
      </c>
      <c r="J8079" t="inlineStr">
        <is>
          <t>COG7</t>
        </is>
      </c>
      <c r="K8079" t="inlineStr">
        <is>
          <t>A0A1U7S0M3_ALLSI</t>
        </is>
      </c>
      <c r="L8079" t="inlineStr">
        <is>
          <t>tr|A0A1U7S0M3|A0A1U7S0M3_ALLSI Conserved oligomeric Golgi complex subunit 7 OS=Alligator sinensis OX=38654 GN=COG7 PE=3 SV=1</t>
        </is>
      </c>
      <c r="M8079" t="n">
        <v>769</v>
      </c>
      <c r="N8079" t="inlineStr">
        <is>
          <t>Alligator sinensis</t>
        </is>
      </c>
      <c r="O8079" t="inlineStr">
        <is>
          <t>Conserved oligomeric Golgi complex subunit 7</t>
        </is>
      </c>
    </row>
    <row r="8080">
      <c r="A8080" t="inlineStr"/>
      <c r="B8080" t="inlineStr"/>
      <c r="C8080" t="inlineStr"/>
      <c r="D8080" t="inlineStr"/>
      <c r="E8080">
        <f>HYPERLINK("https://www.uniprot.org/uniprotkb/A2VDR8/entry", "A2VDR8")</f>
        <v/>
      </c>
      <c r="F8080" t="n">
        <v>79.90000000000001</v>
      </c>
      <c r="G8080" t="n">
        <v>224</v>
      </c>
      <c r="H8080" t="n">
        <v>8.570000000000001e-118</v>
      </c>
      <c r="I8080" t="inlineStr">
        <is>
          <t>Swiss-Prot</t>
        </is>
      </c>
      <c r="J8080" t="inlineStr">
        <is>
          <t>COG7</t>
        </is>
      </c>
      <c r="K8080" t="inlineStr">
        <is>
          <t>COG7_BOVIN</t>
        </is>
      </c>
      <c r="L8080" t="inlineStr">
        <is>
          <t>sp|A2VDR8|COG7_BOVIN Conserved oligomeric Golgi complex subunit 7 OS=Bos taurus OX=9913 GN=COG7 PE=2 SV=1</t>
        </is>
      </c>
      <c r="M8080" t="n">
        <v>770</v>
      </c>
      <c r="N8080" t="inlineStr">
        <is>
          <t>Bos taurus</t>
        </is>
      </c>
      <c r="O8080" t="inlineStr">
        <is>
          <t>Conserved oligomeric Golgi complex subunit 7</t>
        </is>
      </c>
    </row>
    <row r="8081">
      <c r="A8081" t="inlineStr"/>
      <c r="B8081" t="inlineStr"/>
      <c r="C8081" t="inlineStr"/>
      <c r="D8081" t="inlineStr"/>
      <c r="E8081">
        <f>HYPERLINK("https://www.ncbi.nlm.nih.gov/gene/?term=XP_019397373.1", "XP_019397373.1")</f>
        <v/>
      </c>
      <c r="F8081" t="n">
        <v>81.3</v>
      </c>
      <c r="G8081" t="n">
        <v>224</v>
      </c>
      <c r="H8081" t="n">
        <v>1.23e-117</v>
      </c>
      <c r="I8081" t="inlineStr">
        <is>
          <t>Nr</t>
        </is>
      </c>
      <c r="J8081" t="inlineStr"/>
      <c r="K8081" t="inlineStr"/>
      <c r="L8081" t="inlineStr">
        <is>
          <t>XP_019397373.1 PREDICTED: conserved oligomeric Golgi complex subunit 7 isoform X2 [Crocodylus porosus]</t>
        </is>
      </c>
      <c r="M8081" t="n">
        <v>769</v>
      </c>
      <c r="N8081" t="inlineStr">
        <is>
          <t>Crocodylus porosus</t>
        </is>
      </c>
      <c r="O8081" t="inlineStr">
        <is>
          <t>PREDICTED: conserved oligomeric Golgi complex subunit 7 isoform X2</t>
        </is>
      </c>
    </row>
    <row r="8082">
      <c r="A8082" t="inlineStr"/>
      <c r="B8082" t="inlineStr"/>
      <c r="C8082" t="inlineStr"/>
      <c r="D8082" t="inlineStr"/>
      <c r="E8082">
        <f>HYPERLINK("https://www.ncbi.nlm.nih.gov/gene/?term=XP_014792169.1", "XP_014792169.1")</f>
        <v/>
      </c>
      <c r="F8082" t="n">
        <v>81.2</v>
      </c>
      <c r="G8082" t="n">
        <v>223</v>
      </c>
      <c r="H8082" t="n">
        <v>1.34e-117</v>
      </c>
      <c r="I8082" t="inlineStr">
        <is>
          <t>Nr</t>
        </is>
      </c>
      <c r="J8082" t="inlineStr"/>
      <c r="K8082" t="inlineStr"/>
      <c r="L8082" t="inlineStr">
        <is>
          <t>XP_014792169.1 PREDICTED: conserved oligomeric Golgi complex subunit 7 isoform X3 [Calidris pugnax]</t>
        </is>
      </c>
      <c r="M8082" t="n">
        <v>653</v>
      </c>
      <c r="N8082" t="inlineStr">
        <is>
          <t>Calidris pugnax</t>
        </is>
      </c>
      <c r="O8082" t="inlineStr">
        <is>
          <t>PREDICTED: conserved oligomeric Golgi complex subunit 7 isoform X3</t>
        </is>
      </c>
    </row>
    <row r="8083">
      <c r="A8083" t="inlineStr"/>
      <c r="B8083" t="inlineStr"/>
      <c r="C8083" t="inlineStr"/>
      <c r="D8083" t="inlineStr"/>
      <c r="E8083">
        <f>HYPERLINK("https://www.ncbi.nlm.nih.gov/gene/?term=XP_031801190.1", "XP_031801190.1")</f>
        <v/>
      </c>
      <c r="F8083" t="n">
        <v>81.7</v>
      </c>
      <c r="G8083" t="n">
        <v>224</v>
      </c>
      <c r="H8083" t="n">
        <v>1.73e-117</v>
      </c>
      <c r="I8083" t="inlineStr">
        <is>
          <t>Nr</t>
        </is>
      </c>
      <c r="J8083" t="inlineStr"/>
      <c r="K8083" t="inlineStr"/>
      <c r="L8083" t="inlineStr">
        <is>
          <t>XP_031801190.1 conserved oligomeric Golgi complex subunit 7 [Sarcophilus harrisii]</t>
        </is>
      </c>
      <c r="M8083" t="n">
        <v>769</v>
      </c>
      <c r="N8083" t="inlineStr">
        <is>
          <t>Sarcophilus harrisii</t>
        </is>
      </c>
      <c r="O8083" t="inlineStr">
        <is>
          <t>conserved oligomeric Golgi complex subunit 7</t>
        </is>
      </c>
    </row>
    <row r="8084">
      <c r="A8084" t="inlineStr"/>
      <c r="B8084" t="inlineStr"/>
      <c r="C8084" t="inlineStr"/>
      <c r="D8084" t="inlineStr"/>
      <c r="E8084">
        <f>HYPERLINK("https://www.ncbi.nlm.nih.gov/gene/?term=XP_027695247.1", "XP_027695247.1")</f>
        <v/>
      </c>
      <c r="F8084" t="n">
        <v>81.7</v>
      </c>
      <c r="G8084" t="n">
        <v>224</v>
      </c>
      <c r="H8084" t="n">
        <v>1.73e-117</v>
      </c>
      <c r="I8084" t="inlineStr">
        <is>
          <t>Nr</t>
        </is>
      </c>
      <c r="J8084" t="inlineStr"/>
      <c r="K8084" t="inlineStr"/>
      <c r="L8084" t="inlineStr">
        <is>
          <t>XP_027695247.1 conserved oligomeric Golgi complex subunit 7 isoform X1 [Vombatus ursinus]</t>
        </is>
      </c>
      <c r="M8084" t="n">
        <v>769</v>
      </c>
      <c r="N8084" t="inlineStr">
        <is>
          <t>Vombatus ursinus</t>
        </is>
      </c>
      <c r="O8084" t="inlineStr">
        <is>
          <t>conserved oligomeric Golgi complex subunit 7 isoform X1</t>
        </is>
      </c>
    </row>
    <row r="8085">
      <c r="A8085" t="inlineStr"/>
      <c r="B8085" t="inlineStr"/>
      <c r="C8085" t="inlineStr"/>
      <c r="D8085" t="inlineStr"/>
      <c r="E8085">
        <f>HYPERLINK("https://www.uniprot.org/uniprotkb/F6Q4B7/entry", "F6Q4B7")</f>
        <v/>
      </c>
      <c r="F8085" t="n">
        <v>81.3</v>
      </c>
      <c r="G8085" t="n">
        <v>224</v>
      </c>
      <c r="H8085" t="n">
        <v>1.89e-117</v>
      </c>
      <c r="I8085" t="inlineStr">
        <is>
          <t>TrEMBL</t>
        </is>
      </c>
      <c r="J8085" t="inlineStr">
        <is>
          <t>COG7</t>
        </is>
      </c>
      <c r="K8085" t="inlineStr">
        <is>
          <t>F6Q4B7_ORNAN</t>
        </is>
      </c>
      <c r="L8085" t="inlineStr">
        <is>
          <t>tr|F6Q4B7|F6Q4B7_ORNAN Conserved oligomeric Golgi complex subunit 7 OS=Ornithorhynchus anatinus OX=9258 GN=COG7 PE=3 SV=3</t>
        </is>
      </c>
      <c r="M8085" t="n">
        <v>769</v>
      </c>
      <c r="N8085" t="inlineStr">
        <is>
          <t>Ornithorhynchus anatinus</t>
        </is>
      </c>
      <c r="O8085" t="inlineStr">
        <is>
          <t>Conserved oligomeric Golgi complex subunit 7</t>
        </is>
      </c>
    </row>
    <row r="8086">
      <c r="A8086" t="inlineStr"/>
      <c r="B8086" t="inlineStr"/>
      <c r="C8086" t="inlineStr"/>
      <c r="D8086" t="inlineStr"/>
      <c r="E8086">
        <f>HYPERLINK("https://www.uniprot.org/uniprotkb/S7Q9J6/entry", "S7Q9J6")</f>
        <v/>
      </c>
      <c r="F8086" t="n">
        <v>80.40000000000001</v>
      </c>
      <c r="G8086" t="n">
        <v>224</v>
      </c>
      <c r="H8086" t="n">
        <v>2.09e-117</v>
      </c>
      <c r="I8086" t="inlineStr">
        <is>
          <t>TrEMBL</t>
        </is>
      </c>
      <c r="J8086" t="inlineStr">
        <is>
          <t>D623_10009000</t>
        </is>
      </c>
      <c r="K8086" t="inlineStr">
        <is>
          <t>S7Q9J6_MYOBR</t>
        </is>
      </c>
      <c r="L8086" t="inlineStr">
        <is>
          <t>tr|S7Q9J6|S7Q9J6_MYOBR Conserved oligomeric Golgi complex subunit 7 OS=Myotis brandtii OX=109478 GN=D623_10009000 PE=3 SV=1</t>
        </is>
      </c>
      <c r="M8086" t="n">
        <v>705</v>
      </c>
      <c r="N8086" t="inlineStr">
        <is>
          <t>Myotis brandtii</t>
        </is>
      </c>
      <c r="O8086" t="inlineStr">
        <is>
          <t>Conserved oligomeric Golgi complex subunit 7</t>
        </is>
      </c>
    </row>
    <row r="8087">
      <c r="A8087" t="inlineStr"/>
      <c r="B8087" t="inlineStr"/>
      <c r="C8087" t="inlineStr"/>
      <c r="D8087" t="inlineStr"/>
      <c r="E8087">
        <f>HYPERLINK("https://www.uniprot.org/uniprotkb/A0A5E4B362/entry", "A0A5E4B362")</f>
        <v/>
      </c>
      <c r="F8087" t="n">
        <v>79</v>
      </c>
      <c r="G8087" t="n">
        <v>224</v>
      </c>
      <c r="H8087" t="n">
        <v>2.73e-117</v>
      </c>
      <c r="I8087" t="inlineStr">
        <is>
          <t>TrEMBL</t>
        </is>
      </c>
      <c r="J8087" t="inlineStr">
        <is>
          <t>MONAX_5E038424</t>
        </is>
      </c>
      <c r="K8087" t="inlineStr">
        <is>
          <t>A0A5E4B362_MARMO</t>
        </is>
      </c>
      <c r="L8087" t="inlineStr">
        <is>
          <t>tr|A0A5E4B362|A0A5E4B362_MARMO Conserved oligomeric Golgi complex subunit 7 OS=Marmota monax OX=9995 GN=MONAX_5E038424 PE=3 SV=1</t>
        </is>
      </c>
      <c r="M8087" t="n">
        <v>406</v>
      </c>
      <c r="N8087" t="inlineStr">
        <is>
          <t>Marmota monax</t>
        </is>
      </c>
      <c r="O8087" t="inlineStr">
        <is>
          <t>Conserved oligomeric Golgi complex subunit 7</t>
        </is>
      </c>
    </row>
    <row r="8088">
      <c r="A8088" t="inlineStr"/>
      <c r="B8088" t="inlineStr"/>
      <c r="C8088" t="inlineStr"/>
      <c r="D8088" t="inlineStr"/>
      <c r="E8088">
        <f>HYPERLINK("https://www.uniprot.org/uniprotkb/A0A7L1XVY8/entry", "A0A7L1XVY8")</f>
        <v/>
      </c>
      <c r="F8088" t="n">
        <v>80.7</v>
      </c>
      <c r="G8088" t="n">
        <v>223</v>
      </c>
      <c r="H8088" t="n">
        <v>2.74e-117</v>
      </c>
      <c r="I8088" t="inlineStr">
        <is>
          <t>TrEMBL</t>
        </is>
      </c>
      <c r="J8088" t="inlineStr">
        <is>
          <t>Cog7</t>
        </is>
      </c>
      <c r="K8088" t="inlineStr">
        <is>
          <t>A0A7L1XVY8_9AVES</t>
        </is>
      </c>
      <c r="L8088" t="inlineStr">
        <is>
          <t>tr|A0A7L1XVY8|A0A7L1XVY8_9AVES Conserved oligomeric Golgi complex subunit 7 (Fragment) OS=Thinocorus orbignyianus OX=161742 GN=Cog7 PE=3 SV=1</t>
        </is>
      </c>
      <c r="M8088" t="n">
        <v>770</v>
      </c>
      <c r="N8088" t="inlineStr">
        <is>
          <t>Thinocorus orbignyianus</t>
        </is>
      </c>
      <c r="O8088" t="inlineStr">
        <is>
          <t>Conserved oligomeric Golgi complex subunit 7 (Fragment)</t>
        </is>
      </c>
    </row>
    <row r="8089">
      <c r="A8089" t="inlineStr"/>
      <c r="B8089" t="inlineStr"/>
      <c r="C8089" t="inlineStr"/>
      <c r="D8089" t="inlineStr"/>
      <c r="E8089">
        <f>HYPERLINK("https://www.uniprot.org/uniprotkb/H9F9B6/entry", "H9F9B6")</f>
        <v/>
      </c>
      <c r="F8089" t="n">
        <v>77.7</v>
      </c>
      <c r="G8089" t="n">
        <v>224</v>
      </c>
      <c r="H8089" t="n">
        <v>2.87e-117</v>
      </c>
      <c r="I8089" t="inlineStr">
        <is>
          <t>TrEMBL</t>
        </is>
      </c>
      <c r="J8089" t="inlineStr">
        <is>
          <t>COG7</t>
        </is>
      </c>
      <c r="K8089" t="inlineStr">
        <is>
          <t>H9F9B6_MACMU</t>
        </is>
      </c>
      <c r="L8089" t="inlineStr">
        <is>
          <t>tr|H9F9B6|H9F9B6_MACMU Conserved oligomeric Golgi complex subunit 7 (Fragment) OS=Macaca mulatta OX=9544 GN=COG7 PE=2 SV=1</t>
        </is>
      </c>
      <c r="M8089" t="n">
        <v>386</v>
      </c>
      <c r="N8089" t="inlineStr">
        <is>
          <t>Macaca mulatta</t>
        </is>
      </c>
      <c r="O8089" t="inlineStr">
        <is>
          <t>Conserved oligomeric Golgi complex subunit 7 (Fragment)</t>
        </is>
      </c>
    </row>
    <row r="8090">
      <c r="A8090" t="inlineStr"/>
      <c r="B8090" t="inlineStr"/>
      <c r="C8090" t="inlineStr"/>
      <c r="D8090" t="inlineStr"/>
      <c r="E8090">
        <f>HYPERLINK("https://www.uniprot.org/uniprotkb/P83436/entry", "P83436")</f>
        <v/>
      </c>
      <c r="F8090" t="n">
        <v>77.2</v>
      </c>
      <c r="G8090" t="n">
        <v>224</v>
      </c>
      <c r="H8090" t="n">
        <v>1.64e-114</v>
      </c>
      <c r="I8090" t="inlineStr">
        <is>
          <t>Swiss-Prot</t>
        </is>
      </c>
      <c r="J8090" t="inlineStr">
        <is>
          <t>COG7</t>
        </is>
      </c>
      <c r="K8090" t="inlineStr">
        <is>
          <t>COG7_HUMAN</t>
        </is>
      </c>
      <c r="L8090" t="inlineStr">
        <is>
          <t>sp|P83436|COG7_HUMAN Conserved oligomeric Golgi complex subunit 7 OS=Homo sapiens OX=9606 GN=COG7 PE=1 SV=1</t>
        </is>
      </c>
      <c r="M8090" t="n">
        <v>770</v>
      </c>
      <c r="N8090" t="inlineStr">
        <is>
          <t>Homo sapiens</t>
        </is>
      </c>
      <c r="O8090" t="inlineStr">
        <is>
          <t>Conserved oligomeric Golgi complex subunit 7</t>
        </is>
      </c>
    </row>
    <row r="8091">
      <c r="A8091" t="inlineStr"/>
      <c r="B8091" t="inlineStr"/>
      <c r="C8091" t="inlineStr"/>
      <c r="D8091" t="inlineStr"/>
      <c r="E8091">
        <f>HYPERLINK("https://www.uniprot.org/uniprotkb/Q3UM29/entry", "Q3UM29")</f>
        <v/>
      </c>
      <c r="F8091" t="n">
        <v>77.2</v>
      </c>
      <c r="G8091" t="n">
        <v>224</v>
      </c>
      <c r="H8091" t="n">
        <v>1.28e-113</v>
      </c>
      <c r="I8091" t="inlineStr">
        <is>
          <t>Swiss-Prot</t>
        </is>
      </c>
      <c r="J8091" t="inlineStr">
        <is>
          <t>Cog7</t>
        </is>
      </c>
      <c r="K8091" t="inlineStr">
        <is>
          <t>COG7_MOUSE</t>
        </is>
      </c>
      <c r="L8091" t="inlineStr">
        <is>
          <t>sp|Q3UM29|COG7_MOUSE Conserved oligomeric Golgi complex subunit 7 OS=Mus musculus OX=10090 GN=Cog7 PE=1 SV=1</t>
        </is>
      </c>
      <c r="M8091" t="n">
        <v>770</v>
      </c>
      <c r="N8091" t="inlineStr">
        <is>
          <t>Mus musculus</t>
        </is>
      </c>
      <c r="O8091" t="inlineStr">
        <is>
          <t>Conserved oligomeric Golgi complex subunit 7</t>
        </is>
      </c>
    </row>
    <row r="8092">
      <c r="A8092" t="inlineStr"/>
      <c r="B8092" t="inlineStr"/>
      <c r="C8092" t="inlineStr"/>
      <c r="D8092" t="inlineStr"/>
      <c r="E8092">
        <f>HYPERLINK("https://www.uniprot.org/uniprotkb/Q3T1G7/entry", "Q3T1G7")</f>
        <v/>
      </c>
      <c r="F8092" t="n">
        <v>77.2</v>
      </c>
      <c r="G8092" t="n">
        <v>224</v>
      </c>
      <c r="H8092" t="n">
        <v>2.55e-113</v>
      </c>
      <c r="I8092" t="inlineStr">
        <is>
          <t>Swiss-Prot</t>
        </is>
      </c>
      <c r="J8092" t="inlineStr">
        <is>
          <t>Cog7</t>
        </is>
      </c>
      <c r="K8092" t="inlineStr">
        <is>
          <t>COG7_RAT</t>
        </is>
      </c>
      <c r="L8092" t="inlineStr">
        <is>
          <t>sp|Q3T1G7|COG7_RAT Conserved oligomeric Golgi complex subunit 7 OS=Rattus norvegicus OX=10116 GN=Cog7 PE=2 SV=1</t>
        </is>
      </c>
      <c r="M8092" t="n">
        <v>770</v>
      </c>
      <c r="N8092" t="inlineStr">
        <is>
          <t>Rattus norvegicus</t>
        </is>
      </c>
      <c r="O8092" t="inlineStr">
        <is>
          <t>Conserved oligomeric Golgi complex subunit 7</t>
        </is>
      </c>
    </row>
    <row r="8093">
      <c r="A8093" t="inlineStr"/>
      <c r="B8093" t="inlineStr"/>
      <c r="C8093" t="inlineStr"/>
      <c r="D8093" t="inlineStr"/>
      <c r="E8093">
        <f>HYPERLINK("https://www.uniprot.org/uniprotkb/Q9VAD6/entry", "Q9VAD6")</f>
        <v/>
      </c>
      <c r="F8093" t="n">
        <v>29.4</v>
      </c>
      <c r="G8093" t="n">
        <v>385</v>
      </c>
      <c r="H8093" t="n">
        <v>8.13e-42</v>
      </c>
      <c r="I8093" t="inlineStr">
        <is>
          <t>Swiss-Prot</t>
        </is>
      </c>
      <c r="J8093" t="inlineStr">
        <is>
          <t>Cog7</t>
        </is>
      </c>
      <c r="K8093" t="inlineStr">
        <is>
          <t>COG7_DROME</t>
        </is>
      </c>
      <c r="L8093" t="inlineStr">
        <is>
          <t>sp|Q9VAD6|COG7_DROME Conserved oligomeric Golgi complex subunit 7 OS=Drosophila melanogaster OX=7227 GN=Cog7 PE=2 SV=2</t>
        </is>
      </c>
      <c r="M8093" t="n">
        <v>742</v>
      </c>
      <c r="N8093" t="inlineStr">
        <is>
          <t>Drosophila melanogaster</t>
        </is>
      </c>
      <c r="O8093" t="inlineStr">
        <is>
          <t>Conserved oligomeric Golgi complex subunit 7</t>
        </is>
      </c>
    </row>
    <row r="8094">
      <c r="A8094" t="inlineStr"/>
      <c r="B8094" t="inlineStr"/>
      <c r="C8094" t="inlineStr"/>
      <c r="D8094" t="inlineStr"/>
      <c r="E8094">
        <f>HYPERLINK("https://www.uniprot.org/uniprotkb/Q54LC8/entry", "Q54LC8")</f>
        <v/>
      </c>
      <c r="F8094" t="n">
        <v>24.8</v>
      </c>
      <c r="G8094" t="n">
        <v>411</v>
      </c>
      <c r="H8094" t="n">
        <v>3.04e-32</v>
      </c>
      <c r="I8094" t="inlineStr">
        <is>
          <t>Swiss-Prot</t>
        </is>
      </c>
      <c r="J8094" t="inlineStr">
        <is>
          <t>cog7</t>
        </is>
      </c>
      <c r="K8094" t="inlineStr">
        <is>
          <t>COG7_DICDI</t>
        </is>
      </c>
      <c r="L8094" t="inlineStr">
        <is>
          <t>sp|Q54LC8|COG7_DICDI Conserved oligomeric Golgi complex subunit 7 OS=Dictyostelium discoideum OX=44689 GN=cog7 PE=3 SV=1</t>
        </is>
      </c>
      <c r="M8094" t="n">
        <v>996</v>
      </c>
      <c r="N8094" t="inlineStr">
        <is>
          <t>Dictyostelium discoideum</t>
        </is>
      </c>
      <c r="O8094" t="inlineStr">
        <is>
          <t>Conserved oligomeric Golgi complex subunit 7</t>
        </is>
      </c>
    </row>
    <row r="8095">
      <c r="A8095" t="inlineStr"/>
      <c r="B8095" t="inlineStr"/>
      <c r="C8095" t="inlineStr"/>
      <c r="D8095" t="inlineStr"/>
      <c r="E8095">
        <f>HYPERLINK("https://www.uniprot.org/uniprotkb/Q9FGN0/entry", "Q9FGN0")</f>
        <v/>
      </c>
      <c r="F8095" t="n">
        <v>24.9</v>
      </c>
      <c r="G8095" t="n">
        <v>430</v>
      </c>
      <c r="H8095" t="n">
        <v>2.47e-30</v>
      </c>
      <c r="I8095" t="inlineStr">
        <is>
          <t>Swiss-Prot</t>
        </is>
      </c>
      <c r="J8095" t="inlineStr">
        <is>
          <t>COG7</t>
        </is>
      </c>
      <c r="K8095" t="inlineStr">
        <is>
          <t>COG7_ARATH</t>
        </is>
      </c>
      <c r="L8095" t="inlineStr">
        <is>
          <t>sp|Q9FGN0|COG7_ARATH Conserved oligomeric Golgi complex subunit 7 OS=Arabidopsis thaliana OX=3702 GN=COG7 PE=1 SV=1</t>
        </is>
      </c>
      <c r="M8095" t="n">
        <v>836</v>
      </c>
      <c r="N8095" t="inlineStr">
        <is>
          <t>Arabidopsis thaliana</t>
        </is>
      </c>
      <c r="O8095" t="inlineStr">
        <is>
          <t>Conserved oligomeric Golgi complex subunit 7</t>
        </is>
      </c>
    </row>
    <row r="8096">
      <c r="A8096" t="inlineStr"/>
      <c r="B8096" t="inlineStr"/>
      <c r="C8096" t="inlineStr"/>
      <c r="D8096" t="inlineStr"/>
      <c r="E8096">
        <f>HYPERLINK("https://www.uniprot.org/uniprotkb/Q9VAD6/entry", "Q9VAD6")</f>
        <v/>
      </c>
      <c r="F8096" t="n">
        <v>33.8</v>
      </c>
      <c r="G8096" t="n">
        <v>160</v>
      </c>
      <c r="H8096" t="n">
        <v>1.22e-18</v>
      </c>
      <c r="I8096" t="inlineStr">
        <is>
          <t>Swiss-Prot</t>
        </is>
      </c>
      <c r="J8096" t="inlineStr">
        <is>
          <t>Cog7</t>
        </is>
      </c>
      <c r="K8096" t="inlineStr">
        <is>
          <t>COG7_DROME</t>
        </is>
      </c>
      <c r="L8096" t="inlineStr">
        <is>
          <t>sp|Q9VAD6|COG7_DROME Conserved oligomeric Golgi complex subunit 7 OS=Drosophila melanogaster OX=7227 GN=Cog7 PE=2 SV=2</t>
        </is>
      </c>
      <c r="M8096" t="n">
        <v>742</v>
      </c>
      <c r="N8096" t="inlineStr">
        <is>
          <t>Drosophila melanogaster</t>
        </is>
      </c>
      <c r="O8096" t="inlineStr">
        <is>
          <t>Conserved oligomeric Golgi complex subunit 7</t>
        </is>
      </c>
    </row>
    <row r="8097">
      <c r="A8097" t="inlineStr"/>
      <c r="B8097" t="inlineStr"/>
      <c r="C8097" t="inlineStr"/>
      <c r="D8097" t="inlineStr"/>
      <c r="E8097">
        <f>HYPERLINK("https://www.uniprot.org/uniprotkb/Q9FGN0/entry", "Q9FGN0")</f>
        <v/>
      </c>
      <c r="F8097" t="n">
        <v>24.9</v>
      </c>
      <c r="G8097" t="n">
        <v>201</v>
      </c>
      <c r="H8097" t="n">
        <v>1.64e-11</v>
      </c>
      <c r="I8097" t="inlineStr">
        <is>
          <t>Swiss-Prot</t>
        </is>
      </c>
      <c r="J8097" t="inlineStr">
        <is>
          <t>COG7</t>
        </is>
      </c>
      <c r="K8097" t="inlineStr">
        <is>
          <t>COG7_ARATH</t>
        </is>
      </c>
      <c r="L8097" t="inlineStr">
        <is>
          <t>sp|Q9FGN0|COG7_ARATH Conserved oligomeric Golgi complex subunit 7 OS=Arabidopsis thaliana OX=3702 GN=COG7 PE=1 SV=1</t>
        </is>
      </c>
      <c r="M8097" t="n">
        <v>836</v>
      </c>
      <c r="N8097" t="inlineStr">
        <is>
          <t>Arabidopsis thaliana</t>
        </is>
      </c>
      <c r="O8097" t="inlineStr">
        <is>
          <t>Conserved oligomeric Golgi complex subunit 7</t>
        </is>
      </c>
    </row>
    <row r="8098">
      <c r="A8098" t="inlineStr"/>
      <c r="B8098" t="inlineStr"/>
      <c r="C8098" t="inlineStr"/>
      <c r="D8098" t="inlineStr"/>
      <c r="E8098">
        <f>HYPERLINK("https://www.uniprot.org/uniprotkb/Q54LC8/entry", "Q54LC8")</f>
        <v/>
      </c>
      <c r="F8098" t="n">
        <v>35.6</v>
      </c>
      <c r="G8098" t="n">
        <v>73</v>
      </c>
      <c r="H8098" t="n">
        <v>1.14e-05</v>
      </c>
      <c r="I8098" t="inlineStr">
        <is>
          <t>Swiss-Prot</t>
        </is>
      </c>
      <c r="J8098" t="inlineStr">
        <is>
          <t>cog7</t>
        </is>
      </c>
      <c r="K8098" t="inlineStr">
        <is>
          <t>COG7_DICDI</t>
        </is>
      </c>
      <c r="L8098" t="inlineStr">
        <is>
          <t>sp|Q54LC8|COG7_DICDI Conserved oligomeric Golgi complex subunit 7 OS=Dictyostelium discoideum OX=44689 GN=cog7 PE=3 SV=1</t>
        </is>
      </c>
      <c r="M8098" t="n">
        <v>996</v>
      </c>
      <c r="N8098" t="inlineStr">
        <is>
          <t>Dictyostelium discoideum</t>
        </is>
      </c>
      <c r="O8098" t="inlineStr">
        <is>
          <t>Conserved oligomeric Golgi complex subunit 7</t>
        </is>
      </c>
    </row>
    <row r="8099">
      <c r="A8099" t="inlineStr">
        <is>
          <t>NODE_5989_length_7344_cov_139.527140_g53_i19</t>
        </is>
      </c>
      <c r="B8099" t="inlineStr">
        <is>
          <t>bombina_pachypus_blastx</t>
        </is>
      </c>
      <c r="C8099" t="n">
        <v>-4.30321484158843</v>
      </c>
      <c r="D8099" t="n">
        <v>0.0006586477287281001</v>
      </c>
      <c r="E8099">
        <f>HYPERLINK("https://www.uniprot.org/uniprotkb/A0A8C5QNU7/entry", "A0A8C5QNU7")</f>
        <v/>
      </c>
      <c r="F8099" t="n">
        <v>34.9</v>
      </c>
      <c r="G8099" t="n">
        <v>238</v>
      </c>
      <c r="H8099" t="n">
        <v>1.87e-33</v>
      </c>
      <c r="I8099" t="inlineStr">
        <is>
          <t>TrEMBL</t>
        </is>
      </c>
      <c r="J8099" t="inlineStr"/>
      <c r="K8099" t="inlineStr">
        <is>
          <t>A0A8C5QNU7_9ANUR</t>
        </is>
      </c>
      <c r="L8099" t="inlineStr">
        <is>
          <t>tr|A0A8C5QNU7|A0A8C5QNU7_9ANUR Reverse transcriptase domain-containing protein OS=Leptobrachium leishanense OX=445787 PE=4 SV=1</t>
        </is>
      </c>
      <c r="M8099" t="n">
        <v>502</v>
      </c>
      <c r="N8099" t="inlineStr">
        <is>
          <t>Leptobrachium leishanense</t>
        </is>
      </c>
      <c r="O8099" t="inlineStr">
        <is>
          <t>Reverse transcriptase domain-containing protein</t>
        </is>
      </c>
    </row>
    <row r="8100">
      <c r="A8100" t="inlineStr"/>
      <c r="B8100" t="inlineStr"/>
      <c r="C8100" t="inlineStr"/>
      <c r="D8100" t="inlineStr"/>
      <c r="E8100">
        <f>HYPERLINK("https://www.uniprot.org/uniprotkb/A0A8C5N036/entry", "A0A8C5N036")</f>
        <v/>
      </c>
      <c r="F8100" t="n">
        <v>34.6</v>
      </c>
      <c r="G8100" t="n">
        <v>246</v>
      </c>
      <c r="H8100" t="n">
        <v>5.77e-33</v>
      </c>
      <c r="I8100" t="inlineStr">
        <is>
          <t>TrEMBL</t>
        </is>
      </c>
      <c r="J8100" t="inlineStr"/>
      <c r="K8100" t="inlineStr">
        <is>
          <t>A0A8C5N036_9ANUR</t>
        </is>
      </c>
      <c r="L8100" t="inlineStr">
        <is>
          <t>tr|A0A8C5N036|A0A8C5N036_9ANUR Reverse transcriptase domain-containing protein OS=Leptobrachium leishanense OX=445787 PE=4 SV=1</t>
        </is>
      </c>
      <c r="M8100" t="n">
        <v>326</v>
      </c>
      <c r="N8100" t="inlineStr">
        <is>
          <t>Leptobrachium leishanense</t>
        </is>
      </c>
      <c r="O8100" t="inlineStr">
        <is>
          <t>Reverse transcriptase domain-containing protein</t>
        </is>
      </c>
    </row>
    <row r="8101">
      <c r="A8101" t="inlineStr"/>
      <c r="B8101" t="inlineStr"/>
      <c r="C8101" t="inlineStr"/>
      <c r="D8101" t="inlineStr"/>
      <c r="E8101">
        <f>HYPERLINK("https://www.uniprot.org/uniprotkb/A0A8C5QN04/entry", "A0A8C5QN04")</f>
        <v/>
      </c>
      <c r="F8101" t="n">
        <v>33.7</v>
      </c>
      <c r="G8101" t="n">
        <v>243</v>
      </c>
      <c r="H8101" t="n">
        <v>1.77e-32</v>
      </c>
      <c r="I8101" t="inlineStr">
        <is>
          <t>TrEMBL</t>
        </is>
      </c>
      <c r="J8101" t="inlineStr"/>
      <c r="K8101" t="inlineStr">
        <is>
          <t>A0A8C5QN04_9ANUR</t>
        </is>
      </c>
      <c r="L8101" t="inlineStr">
        <is>
          <t>tr|A0A8C5QN04|A0A8C5QN04_9ANUR GIY-YIG domain-containing protein OS=Leptobrachium leishanense OX=445787 PE=4 SV=1</t>
        </is>
      </c>
      <c r="M8101" t="n">
        <v>815</v>
      </c>
      <c r="N8101" t="inlineStr">
        <is>
          <t>Leptobrachium leishanense</t>
        </is>
      </c>
      <c r="O8101" t="inlineStr">
        <is>
          <t>GIY-YIG domain-containing protein</t>
        </is>
      </c>
    </row>
    <row r="8102">
      <c r="A8102" t="inlineStr"/>
      <c r="B8102" t="inlineStr"/>
      <c r="C8102" t="inlineStr"/>
      <c r="D8102" t="inlineStr"/>
      <c r="E8102">
        <f>HYPERLINK("https://www.uniprot.org/uniprotkb/A0A8C5MP67/entry", "A0A8C5MP67")</f>
        <v/>
      </c>
      <c r="F8102" t="n">
        <v>34</v>
      </c>
      <c r="G8102" t="n">
        <v>238</v>
      </c>
      <c r="H8102" t="n">
        <v>3.46e-32</v>
      </c>
      <c r="I8102" t="inlineStr">
        <is>
          <t>TrEMBL</t>
        </is>
      </c>
      <c r="J8102" t="inlineStr"/>
      <c r="K8102" t="inlineStr">
        <is>
          <t>A0A8C5MP67_9ANUR</t>
        </is>
      </c>
      <c r="L8102" t="inlineStr">
        <is>
          <t>tr|A0A8C5MP67|A0A8C5MP67_9ANUR Reverse transcriptase domain-containing protein OS=Leptobrachium leishanense OX=445787 PE=4 SV=1</t>
        </is>
      </c>
      <c r="M8102" t="n">
        <v>348</v>
      </c>
      <c r="N8102" t="inlineStr">
        <is>
          <t>Leptobrachium leishanense</t>
        </is>
      </c>
      <c r="O8102" t="inlineStr">
        <is>
          <t>Reverse transcriptase domain-containing protein</t>
        </is>
      </c>
    </row>
    <row r="8103">
      <c r="A8103" t="inlineStr"/>
      <c r="B8103" t="inlineStr"/>
      <c r="C8103" t="inlineStr"/>
      <c r="D8103" t="inlineStr"/>
      <c r="E8103">
        <f>HYPERLINK("https://www.uniprot.org/uniprotkb/A0A8C5PLH9/entry", "A0A8C5PLH9")</f>
        <v/>
      </c>
      <c r="F8103" t="n">
        <v>32.9</v>
      </c>
      <c r="G8103" t="n">
        <v>243</v>
      </c>
      <c r="H8103" t="n">
        <v>3.77e-32</v>
      </c>
      <c r="I8103" t="inlineStr">
        <is>
          <t>TrEMBL</t>
        </is>
      </c>
      <c r="J8103" t="inlineStr"/>
      <c r="K8103" t="inlineStr">
        <is>
          <t>A0A8C5PLH9_9ANUR</t>
        </is>
      </c>
      <c r="L8103" t="inlineStr">
        <is>
          <t>tr|A0A8C5PLH9|A0A8C5PLH9_9ANUR Alpha-L-glutamate ligase-like protein OS=Leptobrachium leishanense OX=445787 PE=4 SV=1</t>
        </is>
      </c>
      <c r="M8103" t="n">
        <v>288</v>
      </c>
      <c r="N8103" t="inlineStr">
        <is>
          <t>Leptobrachium leishanense</t>
        </is>
      </c>
      <c r="O8103" t="inlineStr">
        <is>
          <t>Alpha-L-glutamate ligase-like protein</t>
        </is>
      </c>
    </row>
    <row r="8104">
      <c r="A8104" t="inlineStr"/>
      <c r="B8104" t="inlineStr"/>
      <c r="C8104" t="inlineStr"/>
      <c r="D8104" t="inlineStr"/>
      <c r="E8104">
        <f>HYPERLINK("https://www.uniprot.org/uniprotkb/A0A8C5QJ44/entry", "A0A8C5QJ44")</f>
        <v/>
      </c>
      <c r="F8104" t="n">
        <v>34.2</v>
      </c>
      <c r="G8104" t="n">
        <v>243</v>
      </c>
      <c r="H8104" t="n">
        <v>3.86e-32</v>
      </c>
      <c r="I8104" t="inlineStr">
        <is>
          <t>TrEMBL</t>
        </is>
      </c>
      <c r="J8104" t="inlineStr"/>
      <c r="K8104" t="inlineStr">
        <is>
          <t>A0A8C5QJ44_9ANUR</t>
        </is>
      </c>
      <c r="L8104" t="inlineStr">
        <is>
          <t>tr|A0A8C5QJ44|A0A8C5QJ44_9ANUR Reverse transcriptase domain-containing protein OS=Leptobrachium leishanense OX=445787 PE=4 SV=1</t>
        </is>
      </c>
      <c r="M8104" t="n">
        <v>720</v>
      </c>
      <c r="N8104" t="inlineStr">
        <is>
          <t>Leptobrachium leishanense</t>
        </is>
      </c>
      <c r="O8104" t="inlineStr">
        <is>
          <t>Reverse transcriptase domain-containing protein</t>
        </is>
      </c>
    </row>
    <row r="8105">
      <c r="A8105" t="inlineStr"/>
      <c r="B8105" t="inlineStr"/>
      <c r="C8105" t="inlineStr"/>
      <c r="D8105" t="inlineStr"/>
      <c r="E8105">
        <f>HYPERLINK("https://www.uniprot.org/uniprotkb/A0A8C5PD45/entry", "A0A8C5PD45")</f>
        <v/>
      </c>
      <c r="F8105" t="n">
        <v>34</v>
      </c>
      <c r="G8105" t="n">
        <v>244</v>
      </c>
      <c r="H8105" t="n">
        <v>9.55e-32</v>
      </c>
      <c r="I8105" t="inlineStr">
        <is>
          <t>TrEMBL</t>
        </is>
      </c>
      <c r="J8105" t="inlineStr"/>
      <c r="K8105" t="inlineStr">
        <is>
          <t>A0A8C5PD45_9ANUR</t>
        </is>
      </c>
      <c r="L8105" t="inlineStr">
        <is>
          <t>tr|A0A8C5PD45|A0A8C5PD45_9ANUR Core protein OS=Leptobrachium leishanense OX=445787 PE=4 SV=1</t>
        </is>
      </c>
      <c r="M8105" t="n">
        <v>315</v>
      </c>
      <c r="N8105" t="inlineStr">
        <is>
          <t>Leptobrachium leishanense</t>
        </is>
      </c>
      <c r="O8105" t="inlineStr">
        <is>
          <t>Core protein</t>
        </is>
      </c>
    </row>
    <row r="8106">
      <c r="A8106" t="inlineStr"/>
      <c r="B8106" t="inlineStr"/>
      <c r="C8106" t="inlineStr"/>
      <c r="D8106" t="inlineStr"/>
      <c r="E8106">
        <f>HYPERLINK("https://www.uniprot.org/uniprotkb/A0A8C5PDB4/entry", "A0A8C5PDB4")</f>
        <v/>
      </c>
      <c r="F8106" t="n">
        <v>34.6</v>
      </c>
      <c r="G8106" t="n">
        <v>243</v>
      </c>
      <c r="H8106" t="n">
        <v>9.660000000000001e-32</v>
      </c>
      <c r="I8106" t="inlineStr">
        <is>
          <t>TrEMBL</t>
        </is>
      </c>
      <c r="J8106" t="inlineStr"/>
      <c r="K8106" t="inlineStr">
        <is>
          <t>A0A8C5PDB4_9ANUR</t>
        </is>
      </c>
      <c r="L8106" t="inlineStr">
        <is>
          <t>tr|A0A8C5PDB4|A0A8C5PDB4_9ANUR Reverse transcriptase domain-containing protein OS=Leptobrachium leishanense OX=445787 PE=4 SV=1</t>
        </is>
      </c>
      <c r="M8106" t="n">
        <v>349</v>
      </c>
      <c r="N8106" t="inlineStr">
        <is>
          <t>Leptobrachium leishanense</t>
        </is>
      </c>
      <c r="O8106" t="inlineStr">
        <is>
          <t>Reverse transcriptase domain-containing protein</t>
        </is>
      </c>
    </row>
    <row r="8107">
      <c r="A8107" t="inlineStr"/>
      <c r="B8107" t="inlineStr"/>
      <c r="C8107" t="inlineStr"/>
      <c r="D8107" t="inlineStr"/>
      <c r="E8107">
        <f>HYPERLINK("https://www.uniprot.org/uniprotkb/A0A803JHQ6/entry", "A0A803JHQ6")</f>
        <v/>
      </c>
      <c r="F8107" t="n">
        <v>34.7</v>
      </c>
      <c r="G8107" t="n">
        <v>239</v>
      </c>
      <c r="H8107" t="n">
        <v>1.39e-31</v>
      </c>
      <c r="I8107" t="inlineStr">
        <is>
          <t>TrEMBL</t>
        </is>
      </c>
      <c r="J8107" t="inlineStr"/>
      <c r="K8107" t="inlineStr">
        <is>
          <t>A0A803JHQ6_XENTR</t>
        </is>
      </c>
      <c r="L8107" t="inlineStr">
        <is>
          <t>tr|A0A803JHQ6|A0A803JHQ6_XENTR Reverse transcriptase domain-containing protein OS=Xenopus tropicalis OX=8364 PE=4 SV=1</t>
        </is>
      </c>
      <c r="M8107" t="n">
        <v>584</v>
      </c>
      <c r="N8107" t="inlineStr">
        <is>
          <t>Xenopus tropicalis</t>
        </is>
      </c>
      <c r="O8107" t="inlineStr">
        <is>
          <t>Reverse transcriptase domain-containing protein</t>
        </is>
      </c>
    </row>
    <row r="8108">
      <c r="A8108" t="inlineStr"/>
      <c r="B8108" t="inlineStr"/>
      <c r="C8108" t="inlineStr"/>
      <c r="D8108" t="inlineStr"/>
      <c r="E8108">
        <f>HYPERLINK("https://www.uniprot.org/uniprotkb/A0A8C5W849/entry", "A0A8C5W849")</f>
        <v/>
      </c>
      <c r="F8108" t="n">
        <v>32.6</v>
      </c>
      <c r="G8108" t="n">
        <v>242</v>
      </c>
      <c r="H8108" t="n">
        <v>1.51e-31</v>
      </c>
      <c r="I8108" t="inlineStr">
        <is>
          <t>TrEMBL</t>
        </is>
      </c>
      <c r="J8108" t="inlineStr"/>
      <c r="K8108" t="inlineStr">
        <is>
          <t>A0A8C5W849_9ANUR</t>
        </is>
      </c>
      <c r="L8108" t="inlineStr">
        <is>
          <t>tr|A0A8C5W849|A0A8C5W849_9ANUR Reverse transcriptase domain-containing protein OS=Leptobrachium leishanense OX=445787 PE=4 SV=1</t>
        </is>
      </c>
      <c r="M8108" t="n">
        <v>797</v>
      </c>
      <c r="N8108" t="inlineStr">
        <is>
          <t>Leptobrachium leishanense</t>
        </is>
      </c>
      <c r="O8108" t="inlineStr">
        <is>
          <t>Reverse transcriptase domain-containing protein</t>
        </is>
      </c>
    </row>
    <row r="8109">
      <c r="A8109" t="inlineStr"/>
      <c r="B8109" t="inlineStr"/>
      <c r="C8109" t="inlineStr"/>
      <c r="D8109" t="inlineStr"/>
      <c r="E8109">
        <f>HYPERLINK("https://www.uniprot.org/uniprotkb/A0A8C5PGF2/entry", "A0A8C5PGF2")</f>
        <v/>
      </c>
      <c r="F8109" t="n">
        <v>35</v>
      </c>
      <c r="G8109" t="n">
        <v>243</v>
      </c>
      <c r="H8109" t="n">
        <v>1.07e-30</v>
      </c>
      <c r="I8109" t="inlineStr">
        <is>
          <t>TrEMBL</t>
        </is>
      </c>
      <c r="J8109" t="inlineStr"/>
      <c r="K8109" t="inlineStr">
        <is>
          <t>A0A8C5PGF2_9ANUR</t>
        </is>
      </c>
      <c r="L8109" t="inlineStr">
        <is>
          <t>tr|A0A8C5PGF2|A0A8C5PGF2_9ANUR Reverse transcriptase domain-containing protein OS=Leptobrachium leishanense OX=445787 PE=4 SV=1</t>
        </is>
      </c>
      <c r="M8109" t="n">
        <v>556</v>
      </c>
      <c r="N8109" t="inlineStr">
        <is>
          <t>Leptobrachium leishanense</t>
        </is>
      </c>
      <c r="O8109" t="inlineStr">
        <is>
          <t>Reverse transcriptase domain-containing protein</t>
        </is>
      </c>
    </row>
    <row r="8110">
      <c r="A8110" t="inlineStr"/>
      <c r="B8110" t="inlineStr"/>
      <c r="C8110" t="inlineStr"/>
      <c r="D8110" t="inlineStr"/>
      <c r="E8110">
        <f>HYPERLINK("https://www.ncbi.nlm.nih.gov/gene/?term=OCT55832.1", "OCT55832.1")</f>
        <v/>
      </c>
      <c r="F8110" t="n">
        <v>42.4</v>
      </c>
      <c r="G8110" t="n">
        <v>158</v>
      </c>
      <c r="H8110" t="n">
        <v>2.26e-30</v>
      </c>
      <c r="I8110" t="inlineStr">
        <is>
          <t>Nr</t>
        </is>
      </c>
      <c r="J8110" t="inlineStr"/>
      <c r="K8110" t="inlineStr"/>
      <c r="L8110" t="inlineStr">
        <is>
          <t>OCT55832.1 hypothetical protein XELAEV_18003247mg [Xenopus laevis]</t>
        </is>
      </c>
      <c r="M8110" t="n">
        <v>404</v>
      </c>
      <c r="N8110" t="inlineStr">
        <is>
          <t>Xenopus laevis</t>
        </is>
      </c>
      <c r="O8110" t="inlineStr">
        <is>
          <t>hypothetical protein XELAEV_18003247mg</t>
        </is>
      </c>
    </row>
    <row r="8111">
      <c r="A8111" t="inlineStr"/>
      <c r="B8111" t="inlineStr"/>
      <c r="C8111" t="inlineStr"/>
      <c r="D8111" t="inlineStr"/>
      <c r="E8111">
        <f>HYPERLINK("https://www.uniprot.org/uniprotkb/A0A8C5Q1A3/entry", "A0A8C5Q1A3")</f>
        <v/>
      </c>
      <c r="F8111" t="n">
        <v>33.3</v>
      </c>
      <c r="G8111" t="n">
        <v>240</v>
      </c>
      <c r="H8111" t="n">
        <v>1e-29</v>
      </c>
      <c r="I8111" t="inlineStr">
        <is>
          <t>TrEMBL</t>
        </is>
      </c>
      <c r="J8111" t="inlineStr"/>
      <c r="K8111" t="inlineStr">
        <is>
          <t>A0A8C5Q1A3_9ANUR</t>
        </is>
      </c>
      <c r="L8111" t="inlineStr">
        <is>
          <t>tr|A0A8C5Q1A3|A0A8C5Q1A3_9ANUR Reverse transcriptase domain-containing protein OS=Leptobrachium leishanense OX=445787 PE=4 SV=1</t>
        </is>
      </c>
      <c r="M8111" t="n">
        <v>706</v>
      </c>
      <c r="N8111" t="inlineStr">
        <is>
          <t>Leptobrachium leishanense</t>
        </is>
      </c>
      <c r="O8111" t="inlineStr">
        <is>
          <t>Reverse transcriptase domain-containing protein</t>
        </is>
      </c>
    </row>
    <row r="8112">
      <c r="A8112" t="inlineStr"/>
      <c r="B8112" t="inlineStr"/>
      <c r="C8112" t="inlineStr"/>
      <c r="D8112" t="inlineStr"/>
      <c r="E8112">
        <f>HYPERLINK("https://www.ncbi.nlm.nih.gov/gene/?term=CAH2329928.1", "CAH2329928.1")</f>
        <v/>
      </c>
      <c r="F8112" t="n">
        <v>44.6</v>
      </c>
      <c r="G8112" t="n">
        <v>148</v>
      </c>
      <c r="H8112" t="n">
        <v>4.82e-29</v>
      </c>
      <c r="I8112" t="inlineStr">
        <is>
          <t>Nr</t>
        </is>
      </c>
      <c r="J8112" t="inlineStr"/>
      <c r="K8112" t="inlineStr"/>
      <c r="L8112" t="inlineStr">
        <is>
          <t>CAH2329928.1 Hypothetical predicted protein, partial [Pelobates cultripes]</t>
        </is>
      </c>
      <c r="M8112" t="n">
        <v>535</v>
      </c>
      <c r="N8112" t="inlineStr">
        <is>
          <t>Pelobates cultripes</t>
        </is>
      </c>
      <c r="O8112" t="inlineStr">
        <is>
          <t>Hypothetical predicted protein, partial</t>
        </is>
      </c>
    </row>
    <row r="8113">
      <c r="A8113" t="inlineStr"/>
      <c r="B8113" t="inlineStr"/>
      <c r="C8113" t="inlineStr"/>
      <c r="D8113" t="inlineStr"/>
      <c r="E8113">
        <f>HYPERLINK("https://www.uniprot.org/uniprotkb/A0A8C5MP19/entry", "A0A8C5MP19")</f>
        <v/>
      </c>
      <c r="F8113" t="n">
        <v>43.7</v>
      </c>
      <c r="G8113" t="n">
        <v>151</v>
      </c>
      <c r="H8113" t="n">
        <v>4.95e-29</v>
      </c>
      <c r="I8113" t="inlineStr">
        <is>
          <t>TrEMBL</t>
        </is>
      </c>
      <c r="J8113" t="inlineStr"/>
      <c r="K8113" t="inlineStr">
        <is>
          <t>A0A8C5MP19_9ANUR</t>
        </is>
      </c>
      <c r="L8113" t="inlineStr">
        <is>
          <t>tr|A0A8C5MP19|A0A8C5MP19_9ANUR Reverse transcriptase domain-containing protein OS=Leptobrachium leishanense OX=445787 PE=4 SV=1</t>
        </is>
      </c>
      <c r="M8113" t="n">
        <v>729</v>
      </c>
      <c r="N8113" t="inlineStr">
        <is>
          <t>Leptobrachium leishanense</t>
        </is>
      </c>
      <c r="O8113" t="inlineStr">
        <is>
          <t>Reverse transcriptase domain-containing protein</t>
        </is>
      </c>
    </row>
    <row r="8114">
      <c r="A8114" t="inlineStr"/>
      <c r="B8114" t="inlineStr"/>
      <c r="C8114" t="inlineStr"/>
      <c r="D8114" t="inlineStr"/>
      <c r="E8114">
        <f>HYPERLINK("https://www.uniprot.org/uniprotkb/A0A2G9R804/entry", "A0A2G9R804")</f>
        <v/>
      </c>
      <c r="F8114" t="n">
        <v>32.4</v>
      </c>
      <c r="G8114" t="n">
        <v>250</v>
      </c>
      <c r="H8114" t="n">
        <v>7.02e-29</v>
      </c>
      <c r="I8114" t="inlineStr">
        <is>
          <t>TrEMBL</t>
        </is>
      </c>
      <c r="J8114" t="inlineStr">
        <is>
          <t>AB205_0084290</t>
        </is>
      </c>
      <c r="K8114" t="inlineStr">
        <is>
          <t>A0A2G9R804_LITCT</t>
        </is>
      </c>
      <c r="L8114" t="inlineStr">
        <is>
          <t>tr|A0A2G9R804|A0A2G9R804_LITCT GIY-YIG domain-containing protein OS=Lithobates catesbeianus OX=8400 GN=AB205_0084290 PE=4 SV=1</t>
        </is>
      </c>
      <c r="M8114" t="n">
        <v>624</v>
      </c>
      <c r="N8114" t="inlineStr">
        <is>
          <t>Lithobates catesbeianus</t>
        </is>
      </c>
      <c r="O8114" t="inlineStr">
        <is>
          <t>GIY-YIG domain-containing protein</t>
        </is>
      </c>
    </row>
    <row r="8115">
      <c r="A8115" t="inlineStr"/>
      <c r="B8115" t="inlineStr"/>
      <c r="C8115" t="inlineStr"/>
      <c r="D8115" t="inlineStr"/>
      <c r="E8115">
        <f>HYPERLINK("https://www.uniprot.org/uniprotkb/A0A803JSK4/entry", "A0A803JSK4")</f>
        <v/>
      </c>
      <c r="F8115" t="n">
        <v>31.4</v>
      </c>
      <c r="G8115" t="n">
        <v>245</v>
      </c>
      <c r="H8115" t="n">
        <v>7.42e-29</v>
      </c>
      <c r="I8115" t="inlineStr">
        <is>
          <t>TrEMBL</t>
        </is>
      </c>
      <c r="J8115" t="inlineStr"/>
      <c r="K8115" t="inlineStr">
        <is>
          <t>A0A803JSK4_XENTR</t>
        </is>
      </c>
      <c r="L8115" t="inlineStr">
        <is>
          <t>tr|A0A803JSK4|A0A803JSK4_XENTR Reverse transcriptase domain-containing protein OS=Xenopus tropicalis OX=8364 PE=4 SV=1</t>
        </is>
      </c>
      <c r="M8115" t="n">
        <v>639</v>
      </c>
      <c r="N8115" t="inlineStr">
        <is>
          <t>Xenopus tropicalis</t>
        </is>
      </c>
      <c r="O8115" t="inlineStr">
        <is>
          <t>Reverse transcriptase domain-containing protein</t>
        </is>
      </c>
    </row>
    <row r="8116">
      <c r="A8116" t="inlineStr"/>
      <c r="B8116" t="inlineStr"/>
      <c r="C8116" t="inlineStr"/>
      <c r="D8116" t="inlineStr"/>
      <c r="E8116">
        <f>HYPERLINK("https://www.uniprot.org/uniprotkb/A0A803J844/entry", "A0A803J844")</f>
        <v/>
      </c>
      <c r="F8116" t="n">
        <v>31.4</v>
      </c>
      <c r="G8116" t="n">
        <v>245</v>
      </c>
      <c r="H8116" t="n">
        <v>8.19e-29</v>
      </c>
      <c r="I8116" t="inlineStr">
        <is>
          <t>TrEMBL</t>
        </is>
      </c>
      <c r="J8116" t="inlineStr"/>
      <c r="K8116" t="inlineStr">
        <is>
          <t>A0A803J844_XENTR</t>
        </is>
      </c>
      <c r="L8116" t="inlineStr">
        <is>
          <t>tr|A0A803J844|A0A803J844_XENTR Reverse transcriptase domain-containing protein OS=Xenopus tropicalis OX=8364 PE=4 SV=1</t>
        </is>
      </c>
      <c r="M8116" t="n">
        <v>673</v>
      </c>
      <c r="N8116" t="inlineStr">
        <is>
          <t>Xenopus tropicalis</t>
        </is>
      </c>
      <c r="O8116" t="inlineStr">
        <is>
          <t>Reverse transcriptase domain-containing protein</t>
        </is>
      </c>
    </row>
    <row r="8117">
      <c r="A8117" t="inlineStr"/>
      <c r="B8117" t="inlineStr"/>
      <c r="C8117" t="inlineStr"/>
      <c r="D8117" t="inlineStr"/>
      <c r="E8117">
        <f>HYPERLINK("https://www.uniprot.org/uniprotkb/A0A8C5M2E7/entry", "A0A8C5M2E7")</f>
        <v/>
      </c>
      <c r="F8117" t="n">
        <v>32.9</v>
      </c>
      <c r="G8117" t="n">
        <v>249</v>
      </c>
      <c r="H8117" t="n">
        <v>8.39e-29</v>
      </c>
      <c r="I8117" t="inlineStr">
        <is>
          <t>TrEMBL</t>
        </is>
      </c>
      <c r="J8117" t="inlineStr"/>
      <c r="K8117" t="inlineStr">
        <is>
          <t>A0A8C5M2E7_9ANUR</t>
        </is>
      </c>
      <c r="L8117" t="inlineStr">
        <is>
          <t>tr|A0A8C5M2E7|A0A8C5M2E7_9ANUR Reverse transcriptase domain-containing protein OS=Leptobrachium leishanense OX=445787 PE=4 SV=1</t>
        </is>
      </c>
      <c r="M8117" t="n">
        <v>683</v>
      </c>
      <c r="N8117" t="inlineStr">
        <is>
          <t>Leptobrachium leishanense</t>
        </is>
      </c>
      <c r="O8117" t="inlineStr">
        <is>
          <t>Reverse transcriptase domain-containing protein</t>
        </is>
      </c>
    </row>
    <row r="8118">
      <c r="A8118" t="inlineStr"/>
      <c r="B8118" t="inlineStr"/>
      <c r="C8118" t="inlineStr"/>
      <c r="D8118" t="inlineStr"/>
      <c r="E8118">
        <f>HYPERLINK("https://www.ncbi.nlm.nih.gov/gene/?term=PIO24018.1", "PIO24018.1")</f>
        <v/>
      </c>
      <c r="F8118" t="n">
        <v>32.4</v>
      </c>
      <c r="G8118" t="n">
        <v>250</v>
      </c>
      <c r="H8118" t="n">
        <v>1.8e-28</v>
      </c>
      <c r="I8118" t="inlineStr">
        <is>
          <t>Nr</t>
        </is>
      </c>
      <c r="J8118" t="inlineStr"/>
      <c r="K8118" t="inlineStr"/>
      <c r="L8118" t="inlineStr">
        <is>
          <t>PIO24018.1 hypothetical protein AB205_0084290 [Lithobates catesbeianus]</t>
        </is>
      </c>
      <c r="M8118" t="n">
        <v>624</v>
      </c>
      <c r="N8118" t="inlineStr">
        <is>
          <t>Lithobates catesbeianus</t>
        </is>
      </c>
      <c r="O8118" t="inlineStr">
        <is>
          <t>hypothetical protein AB205_0084290</t>
        </is>
      </c>
    </row>
    <row r="8119">
      <c r="A8119" t="inlineStr"/>
      <c r="B8119" t="inlineStr"/>
      <c r="C8119" t="inlineStr"/>
      <c r="D8119" t="inlineStr"/>
      <c r="E8119">
        <f>HYPERLINK("https://www.uniprot.org/uniprotkb/A0A803JMR8/entry", "A0A803JMR8")</f>
        <v/>
      </c>
      <c r="F8119" t="n">
        <v>31.9</v>
      </c>
      <c r="G8119" t="n">
        <v>263</v>
      </c>
      <c r="H8119" t="n">
        <v>3.06e-28</v>
      </c>
      <c r="I8119" t="inlineStr">
        <is>
          <t>TrEMBL</t>
        </is>
      </c>
      <c r="J8119" t="inlineStr"/>
      <c r="K8119" t="inlineStr">
        <is>
          <t>A0A803JMR8_XENTR</t>
        </is>
      </c>
      <c r="L8119" t="inlineStr">
        <is>
          <t>tr|A0A803JMR8|A0A803JMR8_XENTR SAICAR synthetase OS=Xenopus tropicalis OX=8364 PE=4 SV=1</t>
        </is>
      </c>
      <c r="M8119" t="n">
        <v>503</v>
      </c>
      <c r="N8119" t="inlineStr">
        <is>
          <t>Xenopus tropicalis</t>
        </is>
      </c>
      <c r="O8119" t="inlineStr">
        <is>
          <t>SAICAR synthetase</t>
        </is>
      </c>
    </row>
    <row r="8120">
      <c r="A8120" t="inlineStr"/>
      <c r="B8120" t="inlineStr"/>
      <c r="C8120" t="inlineStr"/>
      <c r="D8120" t="inlineStr"/>
      <c r="E8120">
        <f>HYPERLINK("https://www.uniprot.org/uniprotkb/A0A8C5PXJ3/entry", "A0A8C5PXJ3")</f>
        <v/>
      </c>
      <c r="F8120" t="n">
        <v>34.3</v>
      </c>
      <c r="G8120" t="n">
        <v>233</v>
      </c>
      <c r="H8120" t="n">
        <v>4.11e-28</v>
      </c>
      <c r="I8120" t="inlineStr">
        <is>
          <t>TrEMBL</t>
        </is>
      </c>
      <c r="J8120" t="inlineStr"/>
      <c r="K8120" t="inlineStr">
        <is>
          <t>A0A8C5PXJ3_9ANUR</t>
        </is>
      </c>
      <c r="L8120" t="inlineStr">
        <is>
          <t>tr|A0A8C5PXJ3|A0A8C5PXJ3_9ANUR ATP-grasp domain-containing protein OS=Leptobrachium leishanense OX=445787 PE=4 SV=1</t>
        </is>
      </c>
      <c r="M8120" t="n">
        <v>349</v>
      </c>
      <c r="N8120" t="inlineStr">
        <is>
          <t>Leptobrachium leishanense</t>
        </is>
      </c>
      <c r="O8120" t="inlineStr">
        <is>
          <t>ATP-grasp domain-containing protein</t>
        </is>
      </c>
    </row>
    <row r="8121">
      <c r="A8121" t="inlineStr"/>
      <c r="B8121" t="inlineStr"/>
      <c r="C8121" t="inlineStr"/>
      <c r="D8121" t="inlineStr"/>
      <c r="E8121">
        <f>HYPERLINK("https://www.uniprot.org/uniprotkb/A0A8C5QN04/entry", "A0A8C5QN04")</f>
        <v/>
      </c>
      <c r="F8121" t="n">
        <v>44.7</v>
      </c>
      <c r="G8121" t="n">
        <v>152</v>
      </c>
      <c r="H8121" t="n">
        <v>4.54e-28</v>
      </c>
      <c r="I8121" t="inlineStr">
        <is>
          <t>TrEMBL</t>
        </is>
      </c>
      <c r="J8121" t="inlineStr"/>
      <c r="K8121" t="inlineStr">
        <is>
          <t>A0A8C5QN04_9ANUR</t>
        </is>
      </c>
      <c r="L8121" t="inlineStr">
        <is>
          <t>tr|A0A8C5QN04|A0A8C5QN04_9ANUR GIY-YIG domain-containing protein OS=Leptobrachium leishanense OX=445787 PE=4 SV=1</t>
        </is>
      </c>
      <c r="M8121" t="n">
        <v>815</v>
      </c>
      <c r="N8121" t="inlineStr">
        <is>
          <t>Leptobrachium leishanense</t>
        </is>
      </c>
      <c r="O8121" t="inlineStr">
        <is>
          <t>GIY-YIG domain-containing protein</t>
        </is>
      </c>
    </row>
    <row r="8122">
      <c r="A8122" t="inlineStr"/>
      <c r="B8122" t="inlineStr"/>
      <c r="C8122" t="inlineStr"/>
      <c r="D8122" t="inlineStr"/>
      <c r="E8122">
        <f>HYPERLINK("https://www.uniprot.org/uniprotkb/A0A8C5MAL6/entry", "A0A8C5MAL6")</f>
        <v/>
      </c>
      <c r="F8122" t="n">
        <v>31.5</v>
      </c>
      <c r="G8122" t="n">
        <v>241</v>
      </c>
      <c r="H8122" t="n">
        <v>9.569999999999999e-28</v>
      </c>
      <c r="I8122" t="inlineStr">
        <is>
          <t>TrEMBL</t>
        </is>
      </c>
      <c r="J8122" t="inlineStr"/>
      <c r="K8122" t="inlineStr">
        <is>
          <t>A0A8C5MAL6_9ANUR</t>
        </is>
      </c>
      <c r="L8122" t="inlineStr">
        <is>
          <t>tr|A0A8C5MAL6|A0A8C5MAL6_9ANUR Reverse transcriptase domain-containing protein OS=Leptobrachium leishanense OX=445787 PE=4 SV=1</t>
        </is>
      </c>
      <c r="M8122" t="n">
        <v>662</v>
      </c>
      <c r="N8122" t="inlineStr">
        <is>
          <t>Leptobrachium leishanense</t>
        </is>
      </c>
      <c r="O8122" t="inlineStr">
        <is>
          <t>Reverse transcriptase domain-containing protein</t>
        </is>
      </c>
    </row>
    <row r="8123">
      <c r="A8123" t="inlineStr"/>
      <c r="B8123" t="inlineStr"/>
      <c r="C8123" t="inlineStr"/>
      <c r="D8123" t="inlineStr"/>
      <c r="E8123">
        <f>HYPERLINK("https://www.uniprot.org/uniprotkb/A0A8C5MZ48/entry", "A0A8C5MZ48")</f>
        <v/>
      </c>
      <c r="F8123" t="n">
        <v>34.3</v>
      </c>
      <c r="G8123" t="n">
        <v>233</v>
      </c>
      <c r="H8123" t="n">
        <v>1e-27</v>
      </c>
      <c r="I8123" t="inlineStr">
        <is>
          <t>TrEMBL</t>
        </is>
      </c>
      <c r="J8123" t="inlineStr"/>
      <c r="K8123" t="inlineStr">
        <is>
          <t>A0A8C5MZ48_9ANUR</t>
        </is>
      </c>
      <c r="L8123" t="inlineStr">
        <is>
          <t>tr|A0A8C5MZ48|A0A8C5MZ48_9ANUR Reverse transcriptase domain-containing protein OS=Leptobrachium leishanense OX=445787 PE=4 SV=1</t>
        </is>
      </c>
      <c r="M8123" t="n">
        <v>406</v>
      </c>
      <c r="N8123" t="inlineStr">
        <is>
          <t>Leptobrachium leishanense</t>
        </is>
      </c>
      <c r="O8123" t="inlineStr">
        <is>
          <t>Reverse transcriptase domain-containing protein</t>
        </is>
      </c>
    </row>
    <row r="8124">
      <c r="A8124" t="inlineStr"/>
      <c r="B8124" t="inlineStr"/>
      <c r="C8124" t="inlineStr"/>
      <c r="D8124" t="inlineStr"/>
      <c r="E8124">
        <f>HYPERLINK("https://www.uniprot.org/uniprotkb/A0A8C5WJC8/entry", "A0A8C5WJC8")</f>
        <v/>
      </c>
      <c r="F8124" t="n">
        <v>30.3</v>
      </c>
      <c r="G8124" t="n">
        <v>241</v>
      </c>
      <c r="H8124" t="n">
        <v>1.21e-27</v>
      </c>
      <c r="I8124" t="inlineStr">
        <is>
          <t>TrEMBL</t>
        </is>
      </c>
      <c r="J8124" t="inlineStr"/>
      <c r="K8124" t="inlineStr">
        <is>
          <t>A0A8C5WJC8_9ANUR</t>
        </is>
      </c>
      <c r="L8124" t="inlineStr">
        <is>
          <t>tr|A0A8C5WJC8|A0A8C5WJC8_9ANUR ATPgrasp_ST domain-containing protein OS=Leptobrachium leishanense OX=445787 PE=4 SV=1</t>
        </is>
      </c>
      <c r="M8124" t="n">
        <v>420</v>
      </c>
      <c r="N8124" t="inlineStr">
        <is>
          <t>Leptobrachium leishanense</t>
        </is>
      </c>
      <c r="O8124" t="inlineStr">
        <is>
          <t>ATPgrasp_ST domain-containing protein</t>
        </is>
      </c>
    </row>
    <row r="8125">
      <c r="A8125" t="inlineStr"/>
      <c r="B8125" t="inlineStr"/>
      <c r="C8125" t="inlineStr"/>
      <c r="D8125" t="inlineStr"/>
      <c r="E8125">
        <f>HYPERLINK("https://www.ncbi.nlm.nih.gov/gene/?term=OCT84259.1", "OCT84259.1")</f>
        <v/>
      </c>
      <c r="F8125" t="n">
        <v>43.2</v>
      </c>
      <c r="G8125" t="n">
        <v>155</v>
      </c>
      <c r="H8125" t="n">
        <v>1.96e-27</v>
      </c>
      <c r="I8125" t="inlineStr">
        <is>
          <t>Nr</t>
        </is>
      </c>
      <c r="J8125" t="inlineStr"/>
      <c r="K8125" t="inlineStr"/>
      <c r="L8125" t="inlineStr">
        <is>
          <t>OCT84259.1 hypothetical protein XELAEV_18022408mg [Xenopus laevis]</t>
        </is>
      </c>
      <c r="M8125" t="n">
        <v>242</v>
      </c>
      <c r="N8125" t="inlineStr">
        <is>
          <t>Xenopus laevis</t>
        </is>
      </c>
      <c r="O8125" t="inlineStr">
        <is>
          <t>hypothetical protein XELAEV_18022408mg</t>
        </is>
      </c>
    </row>
    <row r="8126">
      <c r="A8126" t="inlineStr"/>
      <c r="B8126" t="inlineStr"/>
      <c r="C8126" t="inlineStr"/>
      <c r="D8126" t="inlineStr"/>
      <c r="E8126">
        <f>HYPERLINK("https://www.uniprot.org/uniprotkb/A0A8C5LU68/entry", "A0A8C5LU68")</f>
        <v/>
      </c>
      <c r="F8126" t="n">
        <v>34.3</v>
      </c>
      <c r="G8126" t="n">
        <v>233</v>
      </c>
      <c r="H8126" t="n">
        <v>2.12e-27</v>
      </c>
      <c r="I8126" t="inlineStr">
        <is>
          <t>TrEMBL</t>
        </is>
      </c>
      <c r="J8126" t="inlineStr"/>
      <c r="K8126" t="inlineStr">
        <is>
          <t>A0A8C5LU68_9ANUR</t>
        </is>
      </c>
      <c r="L8126" t="inlineStr">
        <is>
          <t>tr|A0A8C5LU68|A0A8C5LU68_9ANUR Reverse transcriptase domain-containing protein OS=Leptobrachium leishanense OX=445787 PE=4 SV=1</t>
        </is>
      </c>
      <c r="M8126" t="n">
        <v>469</v>
      </c>
      <c r="N8126" t="inlineStr">
        <is>
          <t>Leptobrachium leishanense</t>
        </is>
      </c>
      <c r="O8126" t="inlineStr">
        <is>
          <t>Reverse transcriptase domain-containing protein</t>
        </is>
      </c>
    </row>
    <row r="8127">
      <c r="A8127" t="inlineStr"/>
      <c r="B8127" t="inlineStr"/>
      <c r="C8127" t="inlineStr"/>
      <c r="D8127" t="inlineStr"/>
      <c r="E8127">
        <f>HYPERLINK("https://www.uniprot.org/uniprotkb/A0A8C5M5L2/entry", "A0A8C5M5L2")</f>
        <v/>
      </c>
      <c r="F8127" t="n">
        <v>29.8</v>
      </c>
      <c r="G8127" t="n">
        <v>238</v>
      </c>
      <c r="H8127" t="n">
        <v>3.42e-27</v>
      </c>
      <c r="I8127" t="inlineStr">
        <is>
          <t>TrEMBL</t>
        </is>
      </c>
      <c r="J8127" t="inlineStr"/>
      <c r="K8127" t="inlineStr">
        <is>
          <t>A0A8C5M5L2_9ANUR</t>
        </is>
      </c>
      <c r="L8127" t="inlineStr">
        <is>
          <t>tr|A0A8C5M5L2|A0A8C5M5L2_9ANUR Ycf1 OS=Leptobrachium leishanense OX=445787 PE=4 SV=1</t>
        </is>
      </c>
      <c r="M8127" t="n">
        <v>269</v>
      </c>
      <c r="N8127" t="inlineStr">
        <is>
          <t>Leptobrachium leishanense</t>
        </is>
      </c>
      <c r="O8127" t="inlineStr">
        <is>
          <t>Ycf1</t>
        </is>
      </c>
    </row>
    <row r="8128">
      <c r="A8128" t="inlineStr"/>
      <c r="B8128" t="inlineStr"/>
      <c r="C8128" t="inlineStr"/>
      <c r="D8128" t="inlineStr"/>
      <c r="E8128">
        <f>HYPERLINK("https://www.uniprot.org/uniprotkb/A0A8C5M858/entry", "A0A8C5M858")</f>
        <v/>
      </c>
      <c r="F8128" t="n">
        <v>30.3</v>
      </c>
      <c r="G8128" t="n">
        <v>241</v>
      </c>
      <c r="H8128" t="n">
        <v>4.42e-27</v>
      </c>
      <c r="I8128" t="inlineStr">
        <is>
          <t>TrEMBL</t>
        </is>
      </c>
      <c r="J8128" t="inlineStr"/>
      <c r="K8128" t="inlineStr">
        <is>
          <t>A0A8C5M858_9ANUR</t>
        </is>
      </c>
      <c r="L8128" t="inlineStr">
        <is>
          <t>tr|A0A8C5M858|A0A8C5M858_9ANUR Reverse transcriptase domain-containing protein OS=Leptobrachium leishanense OX=445787 PE=4 SV=1</t>
        </is>
      </c>
      <c r="M8128" t="n">
        <v>567</v>
      </c>
      <c r="N8128" t="inlineStr">
        <is>
          <t>Leptobrachium leishanense</t>
        </is>
      </c>
      <c r="O8128" t="inlineStr">
        <is>
          <t>Reverse transcriptase domain-containing protein</t>
        </is>
      </c>
    </row>
    <row r="8129">
      <c r="A8129" t="inlineStr"/>
      <c r="B8129" t="inlineStr"/>
      <c r="C8129" t="inlineStr"/>
      <c r="D8129" t="inlineStr"/>
      <c r="E8129">
        <f>HYPERLINK("https://www.uniprot.org/uniprotkb/A0A8C5R7W1/entry", "A0A8C5R7W1")</f>
        <v/>
      </c>
      <c r="F8129" t="n">
        <v>30.7</v>
      </c>
      <c r="G8129" t="n">
        <v>241</v>
      </c>
      <c r="H8129" t="n">
        <v>5.190000000000001e-27</v>
      </c>
      <c r="I8129" t="inlineStr">
        <is>
          <t>TrEMBL</t>
        </is>
      </c>
      <c r="J8129" t="inlineStr"/>
      <c r="K8129" t="inlineStr">
        <is>
          <t>A0A8C5R7W1_9ANUR</t>
        </is>
      </c>
      <c r="L8129" t="inlineStr">
        <is>
          <t>tr|A0A8C5R7W1|A0A8C5R7W1_9ANUR Reverse transcriptase domain-containing protein OS=Leptobrachium leishanense OX=445787 PE=4 SV=1</t>
        </is>
      </c>
      <c r="M8129" t="n">
        <v>780</v>
      </c>
      <c r="N8129" t="inlineStr">
        <is>
          <t>Leptobrachium leishanense</t>
        </is>
      </c>
      <c r="O8129" t="inlineStr">
        <is>
          <t>Reverse transcriptase domain-containing protein</t>
        </is>
      </c>
    </row>
    <row r="8130">
      <c r="A8130" t="inlineStr"/>
      <c r="B8130" t="inlineStr"/>
      <c r="C8130" t="inlineStr"/>
      <c r="D8130" t="inlineStr"/>
      <c r="E8130">
        <f>HYPERLINK("https://www.ncbi.nlm.nih.gov/gene/?term=XP_041424610.1", "XP_041424610.1")</f>
        <v/>
      </c>
      <c r="F8130" t="n">
        <v>32</v>
      </c>
      <c r="G8130" t="n">
        <v>266</v>
      </c>
      <c r="H8130" t="n">
        <v>1.86e-26</v>
      </c>
      <c r="I8130" t="inlineStr">
        <is>
          <t>Nr</t>
        </is>
      </c>
      <c r="J8130" t="inlineStr"/>
      <c r="K8130" t="inlineStr"/>
      <c r="L8130" t="inlineStr">
        <is>
          <t>XP_041424610.1 uncharacterized protein LOC121395346 isoform X1 [Xenopus laevis]</t>
        </is>
      </c>
      <c r="M8130" t="n">
        <v>840</v>
      </c>
      <c r="N8130" t="inlineStr">
        <is>
          <t>Xenopus laevis</t>
        </is>
      </c>
      <c r="O8130" t="inlineStr">
        <is>
          <t>uncharacterized protein LOC121395346 isoform X1</t>
        </is>
      </c>
    </row>
    <row r="8131">
      <c r="A8131" t="inlineStr"/>
      <c r="B8131" t="inlineStr"/>
      <c r="C8131" t="inlineStr"/>
      <c r="D8131" t="inlineStr"/>
      <c r="E8131">
        <f>HYPERLINK("https://www.uniprot.org/uniprotkb/A0A8C5LIJ5/entry", "A0A8C5LIJ5")</f>
        <v/>
      </c>
      <c r="F8131" t="n">
        <v>40.4</v>
      </c>
      <c r="G8131" t="n">
        <v>156</v>
      </c>
      <c r="H8131" t="n">
        <v>3.37e-26</v>
      </c>
      <c r="I8131" t="inlineStr">
        <is>
          <t>TrEMBL</t>
        </is>
      </c>
      <c r="J8131" t="inlineStr"/>
      <c r="K8131" t="inlineStr">
        <is>
          <t>A0A8C5LIJ5_9ANUR</t>
        </is>
      </c>
      <c r="L8131" t="inlineStr">
        <is>
          <t>tr|A0A8C5LIJ5|A0A8C5LIJ5_9ANUR GIY-YIG domain-containing protein OS=Leptobrachium leishanense OX=445787 PE=4 SV=1</t>
        </is>
      </c>
      <c r="M8131" t="n">
        <v>721</v>
      </c>
      <c r="N8131" t="inlineStr">
        <is>
          <t>Leptobrachium leishanense</t>
        </is>
      </c>
      <c r="O8131" t="inlineStr">
        <is>
          <t>GIY-YIG domain-containing protein</t>
        </is>
      </c>
    </row>
    <row r="8132">
      <c r="A8132" t="inlineStr"/>
      <c r="B8132" t="inlineStr"/>
      <c r="C8132" t="inlineStr"/>
      <c r="D8132" t="inlineStr"/>
      <c r="E8132">
        <f>HYPERLINK("https://www.ncbi.nlm.nih.gov/gene/?term=OCT95805.1", "OCT95805.1")</f>
        <v/>
      </c>
      <c r="F8132" t="n">
        <v>42.6</v>
      </c>
      <c r="G8132" t="n">
        <v>155</v>
      </c>
      <c r="H8132" t="n">
        <v>9.480000000000001e-26</v>
      </c>
      <c r="I8132" t="inlineStr">
        <is>
          <t>Nr</t>
        </is>
      </c>
      <c r="J8132" t="inlineStr"/>
      <c r="K8132" t="inlineStr"/>
      <c r="L8132" t="inlineStr">
        <is>
          <t>OCT95805.1 hypothetical protein XELAEV_18013494mg [Xenopus laevis]</t>
        </is>
      </c>
      <c r="M8132" t="n">
        <v>405</v>
      </c>
      <c r="N8132" t="inlineStr">
        <is>
          <t>Xenopus laevis</t>
        </is>
      </c>
      <c r="O8132" t="inlineStr">
        <is>
          <t>hypothetical protein XELAEV_18013494mg</t>
        </is>
      </c>
    </row>
    <row r="8133">
      <c r="A8133" t="inlineStr"/>
      <c r="B8133" t="inlineStr"/>
      <c r="C8133" t="inlineStr"/>
      <c r="D8133" t="inlineStr"/>
      <c r="E8133">
        <f>HYPERLINK("https://www.uniprot.org/uniprotkb/A0A803J6K6/entry", "A0A803J6K6")</f>
        <v/>
      </c>
      <c r="F8133" t="n">
        <v>39.4</v>
      </c>
      <c r="G8133" t="n">
        <v>155</v>
      </c>
      <c r="H8133" t="n">
        <v>1.18e-25</v>
      </c>
      <c r="I8133" t="inlineStr">
        <is>
          <t>TrEMBL</t>
        </is>
      </c>
      <c r="J8133" t="inlineStr"/>
      <c r="K8133" t="inlineStr">
        <is>
          <t>A0A803J6K6_XENTR</t>
        </is>
      </c>
      <c r="L8133" t="inlineStr">
        <is>
          <t>tr|A0A803J6K6|A0A803J6K6_XENTR GIY-YIG domain-containing protein OS=Xenopus tropicalis OX=8364 PE=4 SV=1</t>
        </is>
      </c>
      <c r="M8133" t="n">
        <v>764</v>
      </c>
      <c r="N8133" t="inlineStr">
        <is>
          <t>Xenopus tropicalis</t>
        </is>
      </c>
      <c r="O8133" t="inlineStr">
        <is>
          <t>GIY-YIG domain-containing protein</t>
        </is>
      </c>
    </row>
    <row r="8134">
      <c r="A8134" t="inlineStr"/>
      <c r="B8134" t="inlineStr"/>
      <c r="C8134" t="inlineStr"/>
      <c r="D8134" t="inlineStr"/>
      <c r="E8134">
        <f>HYPERLINK("https://www.uniprot.org/uniprotkb/A0A8C5QWJ2/entry", "A0A8C5QWJ2")</f>
        <v/>
      </c>
      <c r="F8134" t="n">
        <v>42.1</v>
      </c>
      <c r="G8134" t="n">
        <v>152</v>
      </c>
      <c r="H8134" t="n">
        <v>6.47e-24</v>
      </c>
      <c r="I8134" t="inlineStr">
        <is>
          <t>TrEMBL</t>
        </is>
      </c>
      <c r="J8134" t="inlineStr"/>
      <c r="K8134" t="inlineStr">
        <is>
          <t>A0A8C5QWJ2_9ANUR</t>
        </is>
      </c>
      <c r="L8134" t="inlineStr">
        <is>
          <t>tr|A0A8C5QWJ2|A0A8C5QWJ2_9ANUR Reverse transcriptase domain-containing protein OS=Leptobrachium leishanense OX=445787 PE=4 SV=1</t>
        </is>
      </c>
      <c r="M8134" t="n">
        <v>688</v>
      </c>
      <c r="N8134" t="inlineStr">
        <is>
          <t>Leptobrachium leishanense</t>
        </is>
      </c>
      <c r="O8134" t="inlineStr">
        <is>
          <t>Reverse transcriptase domain-containing protein</t>
        </is>
      </c>
    </row>
    <row r="8135">
      <c r="A8135" t="inlineStr"/>
      <c r="B8135" t="inlineStr"/>
      <c r="C8135" t="inlineStr"/>
      <c r="D8135" t="inlineStr"/>
      <c r="E8135">
        <f>HYPERLINK("https://www.ncbi.nlm.nih.gov/gene/?term=XP_049423574.1", "XP_049423574.1")</f>
        <v/>
      </c>
      <c r="F8135" t="n">
        <v>38.1</v>
      </c>
      <c r="G8135" t="n">
        <v>139</v>
      </c>
      <c r="H8135" t="n">
        <v>6.549999999999999e-24</v>
      </c>
      <c r="I8135" t="inlineStr">
        <is>
          <t>Nr</t>
        </is>
      </c>
      <c r="J8135" t="inlineStr"/>
      <c r="K8135" t="inlineStr"/>
      <c r="L8135" t="inlineStr">
        <is>
          <t>XP_049423574.1 uncharacterized protein LOC125883384 [Epinephelus fuscoguttatus]</t>
        </is>
      </c>
      <c r="M8135" t="n">
        <v>327</v>
      </c>
      <c r="N8135" t="inlineStr">
        <is>
          <t>Epinephelus fuscoguttatus</t>
        </is>
      </c>
      <c r="O8135" t="inlineStr">
        <is>
          <t>uncharacterized protein LOC125883384</t>
        </is>
      </c>
    </row>
    <row r="8136">
      <c r="A8136" t="inlineStr"/>
      <c r="B8136" t="inlineStr"/>
      <c r="C8136" t="inlineStr"/>
      <c r="D8136" t="inlineStr"/>
      <c r="E8136">
        <f>HYPERLINK("https://www.uniprot.org/uniprotkb/A0A6P6MRC2/entry", "A0A6P6MRC2")</f>
        <v/>
      </c>
      <c r="F8136" t="n">
        <v>41.4</v>
      </c>
      <c r="G8136" t="n">
        <v>152</v>
      </c>
      <c r="H8136" t="n">
        <v>7.739999999999999e-24</v>
      </c>
      <c r="I8136" t="inlineStr">
        <is>
          <t>TrEMBL</t>
        </is>
      </c>
      <c r="J8136" t="inlineStr">
        <is>
          <t>LOC113069710</t>
        </is>
      </c>
      <c r="K8136" t="inlineStr">
        <is>
          <t>A0A6P6MRC2_CARAU</t>
        </is>
      </c>
      <c r="L8136" t="inlineStr">
        <is>
          <t>tr|A0A6P6MRC2|A0A6P6MRC2_CARAU uncharacterized protein LOC113069710 OS=Carassius auratus OX=7957 GN=LOC113069710 PE=4 SV=1</t>
        </is>
      </c>
      <c r="M8136" t="n">
        <v>581</v>
      </c>
      <c r="N8136" t="inlineStr">
        <is>
          <t>Carassius auratus</t>
        </is>
      </c>
      <c r="O8136" t="inlineStr">
        <is>
          <t>uncharacterized protein LOC113069710</t>
        </is>
      </c>
    </row>
    <row r="8137">
      <c r="A8137" t="inlineStr"/>
      <c r="B8137" t="inlineStr"/>
      <c r="C8137" t="inlineStr"/>
      <c r="D8137" t="inlineStr"/>
      <c r="E8137">
        <f>HYPERLINK("https://www.ncbi.nlm.nih.gov/gene/?term=OCT65597.1", "OCT65597.1")</f>
        <v/>
      </c>
      <c r="F8137" t="n">
        <v>39</v>
      </c>
      <c r="G8137" t="n">
        <v>154</v>
      </c>
      <c r="H8137" t="n">
        <v>1.63e-23</v>
      </c>
      <c r="I8137" t="inlineStr">
        <is>
          <t>Nr</t>
        </is>
      </c>
      <c r="J8137" t="inlineStr"/>
      <c r="K8137" t="inlineStr"/>
      <c r="L8137" t="inlineStr">
        <is>
          <t>OCT65597.1 hypothetical protein XELAEV_18041835mg [Xenopus laevis]</t>
        </is>
      </c>
      <c r="M8137" t="n">
        <v>426</v>
      </c>
      <c r="N8137" t="inlineStr">
        <is>
          <t>Xenopus laevis</t>
        </is>
      </c>
      <c r="O8137" t="inlineStr">
        <is>
          <t>hypothetical protein XELAEV_18041835mg</t>
        </is>
      </c>
    </row>
    <row r="8138">
      <c r="A8138" t="inlineStr"/>
      <c r="B8138" t="inlineStr"/>
      <c r="C8138" t="inlineStr"/>
      <c r="D8138" t="inlineStr"/>
      <c r="E8138">
        <f>HYPERLINK("https://www.ncbi.nlm.nih.gov/gene/?term=OCT89306.1", "OCT89306.1")</f>
        <v/>
      </c>
      <c r="F8138" t="n">
        <v>41.9</v>
      </c>
      <c r="G8138" t="n">
        <v>155</v>
      </c>
      <c r="H8138" t="n">
        <v>1.69e-23</v>
      </c>
      <c r="I8138" t="inlineStr">
        <is>
          <t>Nr</t>
        </is>
      </c>
      <c r="J8138" t="inlineStr"/>
      <c r="K8138" t="inlineStr"/>
      <c r="L8138" t="inlineStr">
        <is>
          <t>OCT89306.1 hypothetical protein XELAEV_18017926mg [Xenopus laevis]</t>
        </is>
      </c>
      <c r="M8138" t="n">
        <v>723</v>
      </c>
      <c r="N8138" t="inlineStr">
        <is>
          <t>Xenopus laevis</t>
        </is>
      </c>
      <c r="O8138" t="inlineStr">
        <is>
          <t>hypothetical protein XELAEV_18017926mg</t>
        </is>
      </c>
    </row>
    <row r="8139">
      <c r="A8139" t="inlineStr"/>
      <c r="B8139" t="inlineStr"/>
      <c r="C8139" t="inlineStr"/>
      <c r="D8139" t="inlineStr"/>
      <c r="E8139">
        <f>HYPERLINK("https://www.ncbi.nlm.nih.gov/gene/?term=XP_026098621.1", "XP_026098621.1")</f>
        <v/>
      </c>
      <c r="F8139" t="n">
        <v>41.4</v>
      </c>
      <c r="G8139" t="n">
        <v>152</v>
      </c>
      <c r="H8139" t="n">
        <v>1.99e-23</v>
      </c>
      <c r="I8139" t="inlineStr">
        <is>
          <t>Nr</t>
        </is>
      </c>
      <c r="J8139" t="inlineStr"/>
      <c r="K8139" t="inlineStr"/>
      <c r="L8139" t="inlineStr">
        <is>
          <t>XP_026098621.1 uncharacterized protein LOC113069710 [Carassius auratus]</t>
        </is>
      </c>
      <c r="M8139" t="n">
        <v>581</v>
      </c>
      <c r="N8139" t="inlineStr">
        <is>
          <t>Carassius auratus</t>
        </is>
      </c>
      <c r="O8139" t="inlineStr">
        <is>
          <t>uncharacterized protein LOC113069710</t>
        </is>
      </c>
    </row>
    <row r="8140">
      <c r="A8140" t="inlineStr"/>
      <c r="B8140" t="inlineStr"/>
      <c r="C8140" t="inlineStr"/>
      <c r="D8140" t="inlineStr"/>
      <c r="E8140">
        <f>HYPERLINK("https://www.ncbi.nlm.nih.gov/gene/?term=OCT97713.1", "OCT97713.1")</f>
        <v/>
      </c>
      <c r="F8140" t="n">
        <v>38.3</v>
      </c>
      <c r="G8140" t="n">
        <v>154</v>
      </c>
      <c r="H8140" t="n">
        <v>2.13e-23</v>
      </c>
      <c r="I8140" t="inlineStr">
        <is>
          <t>Nr</t>
        </is>
      </c>
      <c r="J8140" t="inlineStr"/>
      <c r="K8140" t="inlineStr"/>
      <c r="L8140" t="inlineStr">
        <is>
          <t>OCT97713.1 hypothetical protein XELAEV_18009942mg [Xenopus laevis]</t>
        </is>
      </c>
      <c r="M8140" t="n">
        <v>362</v>
      </c>
      <c r="N8140" t="inlineStr">
        <is>
          <t>Xenopus laevis</t>
        </is>
      </c>
      <c r="O8140" t="inlineStr">
        <is>
          <t>hypothetical protein XELAEV_18009942mg</t>
        </is>
      </c>
    </row>
    <row r="8141">
      <c r="A8141" t="inlineStr"/>
      <c r="B8141" t="inlineStr"/>
      <c r="C8141" t="inlineStr"/>
      <c r="D8141" t="inlineStr"/>
      <c r="E8141">
        <f>HYPERLINK("https://www.uniprot.org/uniprotkb/A0A8C5PKA4/entry", "A0A8C5PKA4")</f>
        <v/>
      </c>
      <c r="F8141" t="n">
        <v>39.4</v>
      </c>
      <c r="G8141" t="n">
        <v>160</v>
      </c>
      <c r="H8141" t="n">
        <v>3.03e-23</v>
      </c>
      <c r="I8141" t="inlineStr">
        <is>
          <t>TrEMBL</t>
        </is>
      </c>
      <c r="J8141" t="inlineStr"/>
      <c r="K8141" t="inlineStr">
        <is>
          <t>A0A8C5PKA4_9ANUR</t>
        </is>
      </c>
      <c r="L8141" t="inlineStr">
        <is>
          <t>tr|A0A8C5PKA4|A0A8C5PKA4_9ANUR Reverse transcriptase domain-containing protein OS=Leptobrachium leishanense OX=445787 PE=4 SV=1</t>
        </is>
      </c>
      <c r="M8141" t="n">
        <v>672</v>
      </c>
      <c r="N8141" t="inlineStr">
        <is>
          <t>Leptobrachium leishanense</t>
        </is>
      </c>
      <c r="O8141" t="inlineStr">
        <is>
          <t>Reverse transcriptase domain-containing protein</t>
        </is>
      </c>
    </row>
    <row r="8142">
      <c r="A8142" t="inlineStr"/>
      <c r="B8142" t="inlineStr"/>
      <c r="C8142" t="inlineStr"/>
      <c r="D8142" t="inlineStr"/>
      <c r="E8142">
        <f>HYPERLINK("https://www.uniprot.org/uniprotkb/A0A8C5QJ44/entry", "A0A8C5QJ44")</f>
        <v/>
      </c>
      <c r="F8142" t="n">
        <v>37</v>
      </c>
      <c r="G8142" t="n">
        <v>162</v>
      </c>
      <c r="H8142" t="n">
        <v>3.68e-22</v>
      </c>
      <c r="I8142" t="inlineStr">
        <is>
          <t>TrEMBL</t>
        </is>
      </c>
      <c r="J8142" t="inlineStr"/>
      <c r="K8142" t="inlineStr">
        <is>
          <t>A0A8C5QJ44_9ANUR</t>
        </is>
      </c>
      <c r="L8142" t="inlineStr">
        <is>
          <t>tr|A0A8C5QJ44|A0A8C5QJ44_9ANUR Reverse transcriptase domain-containing protein OS=Leptobrachium leishanense OX=445787 PE=4 SV=1</t>
        </is>
      </c>
      <c r="M8142" t="n">
        <v>720</v>
      </c>
      <c r="N8142" t="inlineStr">
        <is>
          <t>Leptobrachium leishanense</t>
        </is>
      </c>
      <c r="O8142" t="inlineStr">
        <is>
          <t>Reverse transcriptase domain-containing protein</t>
        </is>
      </c>
    </row>
    <row r="8143">
      <c r="A8143" t="inlineStr"/>
      <c r="B8143" t="inlineStr"/>
      <c r="C8143" t="inlineStr"/>
      <c r="D8143" t="inlineStr"/>
      <c r="E8143">
        <f>HYPERLINK("https://www.ncbi.nlm.nih.gov/gene/?term=KAJ0060014.1", "KAJ0060014.1")</f>
        <v/>
      </c>
      <c r="F8143" t="n">
        <v>38.1</v>
      </c>
      <c r="G8143" t="n">
        <v>147</v>
      </c>
      <c r="H8143" t="n">
        <v>5.83e-22</v>
      </c>
      <c r="I8143" t="inlineStr">
        <is>
          <t>Nr</t>
        </is>
      </c>
      <c r="J8143" t="inlineStr"/>
      <c r="K8143" t="inlineStr"/>
      <c r="L8143" t="inlineStr">
        <is>
          <t>KAJ0060014.1 hypothetical protein NL108_018667 [Boleophthalmus pectinirostris]</t>
        </is>
      </c>
      <c r="M8143" t="n">
        <v>472</v>
      </c>
      <c r="N8143" t="inlineStr">
        <is>
          <t>Boleophthalmus pectinirostris</t>
        </is>
      </c>
      <c r="O8143" t="inlineStr">
        <is>
          <t>hypothetical protein NL108_018667</t>
        </is>
      </c>
    </row>
    <row r="8144">
      <c r="A8144" t="inlineStr"/>
      <c r="B8144" t="inlineStr"/>
      <c r="C8144" t="inlineStr"/>
      <c r="D8144" t="inlineStr"/>
      <c r="E8144">
        <f>HYPERLINK("https://www.ncbi.nlm.nih.gov/gene/?term=OCT70275.1", "OCT70275.1")</f>
        <v/>
      </c>
      <c r="F8144" t="n">
        <v>38.3</v>
      </c>
      <c r="G8144" t="n">
        <v>154</v>
      </c>
      <c r="H8144" t="n">
        <v>8.91e-22</v>
      </c>
      <c r="I8144" t="inlineStr">
        <is>
          <t>Nr</t>
        </is>
      </c>
      <c r="J8144" t="inlineStr"/>
      <c r="K8144" t="inlineStr"/>
      <c r="L8144" t="inlineStr">
        <is>
          <t>OCT70275.1 hypothetical protein XELAEV_18037196mg [Xenopus laevis]</t>
        </is>
      </c>
      <c r="M8144" t="n">
        <v>370</v>
      </c>
      <c r="N8144" t="inlineStr">
        <is>
          <t>Xenopus laevis</t>
        </is>
      </c>
      <c r="O8144" t="inlineStr">
        <is>
          <t>hypothetical protein XELAEV_18037196mg</t>
        </is>
      </c>
    </row>
    <row r="8145">
      <c r="A8145" t="inlineStr"/>
      <c r="B8145" t="inlineStr"/>
      <c r="C8145" t="inlineStr"/>
      <c r="D8145" t="inlineStr"/>
      <c r="E8145">
        <f>HYPERLINK("https://www.uniprot.org/uniprotkb/A0A8C5WHQ7/entry", "A0A8C5WHQ7")</f>
        <v/>
      </c>
      <c r="F8145" t="n">
        <v>39.8</v>
      </c>
      <c r="G8145" t="n">
        <v>161</v>
      </c>
      <c r="H8145" t="n">
        <v>9.3e-22</v>
      </c>
      <c r="I8145" t="inlineStr">
        <is>
          <t>TrEMBL</t>
        </is>
      </c>
      <c r="J8145" t="inlineStr"/>
      <c r="K8145" t="inlineStr">
        <is>
          <t>A0A8C5WHQ7_9ANUR</t>
        </is>
      </c>
      <c r="L8145" t="inlineStr">
        <is>
          <t>tr|A0A8C5WHQ7|A0A8C5WHQ7_9ANUR Reverse transcriptase domain-containing protein OS=Leptobrachium leishanense OX=445787 PE=4 SV=1</t>
        </is>
      </c>
      <c r="M8145" t="n">
        <v>710</v>
      </c>
      <c r="N8145" t="inlineStr">
        <is>
          <t>Leptobrachium leishanense</t>
        </is>
      </c>
      <c r="O8145" t="inlineStr">
        <is>
          <t>Reverse transcriptase domain-containing protein</t>
        </is>
      </c>
    </row>
    <row r="8146">
      <c r="A8146" t="inlineStr"/>
      <c r="B8146" t="inlineStr"/>
      <c r="C8146" t="inlineStr"/>
      <c r="D8146" t="inlineStr"/>
      <c r="E8146">
        <f>HYPERLINK("https://www.uniprot.org/uniprotkb/A0A8C5W849/entry", "A0A8C5W849")</f>
        <v/>
      </c>
      <c r="F8146" t="n">
        <v>40.3</v>
      </c>
      <c r="G8146" t="n">
        <v>154</v>
      </c>
      <c r="H8146" t="n">
        <v>9.48e-22</v>
      </c>
      <c r="I8146" t="inlineStr">
        <is>
          <t>TrEMBL</t>
        </is>
      </c>
      <c r="J8146" t="inlineStr"/>
      <c r="K8146" t="inlineStr">
        <is>
          <t>A0A8C5W849_9ANUR</t>
        </is>
      </c>
      <c r="L8146" t="inlineStr">
        <is>
          <t>tr|A0A8C5W849|A0A8C5W849_9ANUR Reverse transcriptase domain-containing protein OS=Leptobrachium leishanense OX=445787 PE=4 SV=1</t>
        </is>
      </c>
      <c r="M8146" t="n">
        <v>797</v>
      </c>
      <c r="N8146" t="inlineStr">
        <is>
          <t>Leptobrachium leishanense</t>
        </is>
      </c>
      <c r="O8146" t="inlineStr">
        <is>
          <t>Reverse transcriptase domain-containing protein</t>
        </is>
      </c>
    </row>
    <row r="8147">
      <c r="A8147" t="inlineStr"/>
      <c r="B8147" t="inlineStr"/>
      <c r="C8147" t="inlineStr"/>
      <c r="D8147" t="inlineStr"/>
      <c r="E8147">
        <f>HYPERLINK("https://www.ncbi.nlm.nih.gov/gene/?term=OCT58440.1", "OCT58440.1")</f>
        <v/>
      </c>
      <c r="F8147" t="n">
        <v>39.6</v>
      </c>
      <c r="G8147" t="n">
        <v>154</v>
      </c>
      <c r="H8147" t="n">
        <v>1.94e-21</v>
      </c>
      <c r="I8147" t="inlineStr">
        <is>
          <t>Nr</t>
        </is>
      </c>
      <c r="J8147" t="inlineStr"/>
      <c r="K8147" t="inlineStr"/>
      <c r="L8147" t="inlineStr">
        <is>
          <t>OCT58440.1 hypothetical protein XELAEV_18002112mg [Xenopus laevis]</t>
        </is>
      </c>
      <c r="M8147" t="n">
        <v>381</v>
      </c>
      <c r="N8147" t="inlineStr">
        <is>
          <t>Xenopus laevis</t>
        </is>
      </c>
      <c r="O8147" t="inlineStr">
        <is>
          <t>hypothetical protein XELAEV_18002112mg</t>
        </is>
      </c>
    </row>
    <row r="8148">
      <c r="A8148" t="inlineStr"/>
      <c r="B8148" t="inlineStr"/>
      <c r="C8148" t="inlineStr"/>
      <c r="D8148" t="inlineStr"/>
      <c r="E8148">
        <f>HYPERLINK("https://www.ncbi.nlm.nih.gov/gene/?term=OCT99148.1", "OCT99148.1")</f>
        <v/>
      </c>
      <c r="F8148" t="n">
        <v>39.6</v>
      </c>
      <c r="G8148" t="n">
        <v>154</v>
      </c>
      <c r="H8148" t="n">
        <v>2.26e-21</v>
      </c>
      <c r="I8148" t="inlineStr">
        <is>
          <t>Nr</t>
        </is>
      </c>
      <c r="J8148" t="inlineStr"/>
      <c r="K8148" t="inlineStr"/>
      <c r="L8148" t="inlineStr">
        <is>
          <t>OCT99148.1 hypothetical protein XELAEV_18004940mg [Xenopus laevis]</t>
        </is>
      </c>
      <c r="M8148" t="n">
        <v>487</v>
      </c>
      <c r="N8148" t="inlineStr">
        <is>
          <t>Xenopus laevis</t>
        </is>
      </c>
      <c r="O8148" t="inlineStr">
        <is>
          <t>hypothetical protein XELAEV_18004940mg</t>
        </is>
      </c>
    </row>
    <row r="8149">
      <c r="A8149" t="inlineStr"/>
      <c r="B8149" t="inlineStr"/>
      <c r="C8149" t="inlineStr"/>
      <c r="D8149" t="inlineStr"/>
      <c r="E8149">
        <f>HYPERLINK("https://www.uniprot.org/uniprotkb/A0A2G9SJE7/entry", "A0A2G9SJE7")</f>
        <v/>
      </c>
      <c r="F8149" t="n">
        <v>35.9</v>
      </c>
      <c r="G8149" t="n">
        <v>156</v>
      </c>
      <c r="H8149" t="n">
        <v>2.81e-21</v>
      </c>
      <c r="I8149" t="inlineStr">
        <is>
          <t>TrEMBL</t>
        </is>
      </c>
      <c r="J8149" t="inlineStr">
        <is>
          <t>AB205_0069860</t>
        </is>
      </c>
      <c r="K8149" t="inlineStr">
        <is>
          <t>A0A2G9SJE7_LITCT</t>
        </is>
      </c>
      <c r="L8149" t="inlineStr">
        <is>
          <t>tr|A0A2G9SJE7|A0A2G9SJE7_LITCT GIY-YIG domain-containing protein OS=Lithobates catesbeianus OX=8400 GN=AB205_0069860 PE=4 SV=1</t>
        </is>
      </c>
      <c r="M8149" t="n">
        <v>381</v>
      </c>
      <c r="N8149" t="inlineStr">
        <is>
          <t>Lithobates catesbeianus</t>
        </is>
      </c>
      <c r="O8149" t="inlineStr">
        <is>
          <t>GIY-YIG domain-containing protein</t>
        </is>
      </c>
    </row>
    <row r="8150">
      <c r="A8150" t="inlineStr"/>
      <c r="B8150" t="inlineStr"/>
      <c r="C8150" t="inlineStr"/>
      <c r="D8150" t="inlineStr"/>
      <c r="E8150">
        <f>HYPERLINK("https://www.ncbi.nlm.nih.gov/gene/?term=OCT74460.1", "OCT74460.1")</f>
        <v/>
      </c>
      <c r="F8150" t="n">
        <v>35.1</v>
      </c>
      <c r="G8150" t="n">
        <v>151</v>
      </c>
      <c r="H8150" t="n">
        <v>2.89e-21</v>
      </c>
      <c r="I8150" t="inlineStr">
        <is>
          <t>Nr</t>
        </is>
      </c>
      <c r="J8150" t="inlineStr"/>
      <c r="K8150" t="inlineStr"/>
      <c r="L8150" t="inlineStr">
        <is>
          <t>OCT74460.1 hypothetical protein XELAEV_18033439mg [Xenopus laevis]</t>
        </is>
      </c>
      <c r="M8150" t="n">
        <v>358</v>
      </c>
      <c r="N8150" t="inlineStr">
        <is>
          <t>Xenopus laevis</t>
        </is>
      </c>
      <c r="O8150" t="inlineStr">
        <is>
          <t>hypothetical protein XELAEV_18033439mg</t>
        </is>
      </c>
    </row>
    <row r="8151">
      <c r="A8151" t="inlineStr"/>
      <c r="B8151" t="inlineStr"/>
      <c r="C8151" t="inlineStr"/>
      <c r="D8151" t="inlineStr"/>
      <c r="E8151">
        <f>HYPERLINK("https://www.uniprot.org/uniprotkb/A0A8C5M9U5/entry", "A0A8C5M9U5")</f>
        <v/>
      </c>
      <c r="F8151" t="n">
        <v>35.9</v>
      </c>
      <c r="G8151" t="n">
        <v>153</v>
      </c>
      <c r="H8151" t="n">
        <v>4.31e-21</v>
      </c>
      <c r="I8151" t="inlineStr">
        <is>
          <t>TrEMBL</t>
        </is>
      </c>
      <c r="J8151" t="inlineStr"/>
      <c r="K8151" t="inlineStr">
        <is>
          <t>A0A8C5M9U5_9ANUR</t>
        </is>
      </c>
      <c r="L8151" t="inlineStr">
        <is>
          <t>tr|A0A8C5M9U5|A0A8C5M9U5_9ANUR Reverse transcriptase domain-containing protein OS=Leptobrachium leishanense OX=445787 PE=4 SV=1</t>
        </is>
      </c>
      <c r="M8151" t="n">
        <v>667</v>
      </c>
      <c r="N8151" t="inlineStr">
        <is>
          <t>Leptobrachium leishanense</t>
        </is>
      </c>
      <c r="O8151" t="inlineStr">
        <is>
          <t>Reverse transcriptase domain-containing protein</t>
        </is>
      </c>
    </row>
    <row r="8152">
      <c r="A8152" t="inlineStr"/>
      <c r="B8152" t="inlineStr"/>
      <c r="C8152" t="inlineStr"/>
      <c r="D8152" t="inlineStr"/>
      <c r="E8152">
        <f>HYPERLINK("https://www.uniprot.org/uniprotkb/A0A8C5MP74/entry", "A0A8C5MP74")</f>
        <v/>
      </c>
      <c r="F8152" t="n">
        <v>38.6</v>
      </c>
      <c r="G8152" t="n">
        <v>153</v>
      </c>
      <c r="H8152" t="n">
        <v>4.31e-21</v>
      </c>
      <c r="I8152" t="inlineStr">
        <is>
          <t>TrEMBL</t>
        </is>
      </c>
      <c r="J8152" t="inlineStr"/>
      <c r="K8152" t="inlineStr">
        <is>
          <t>A0A8C5MP74_9ANUR</t>
        </is>
      </c>
      <c r="L8152" t="inlineStr">
        <is>
          <t>tr|A0A8C5MP74|A0A8C5MP74_9ANUR Reverse transcriptase domain-containing protein OS=Leptobrachium leishanense OX=445787 PE=4 SV=1</t>
        </is>
      </c>
      <c r="M8152" t="n">
        <v>667</v>
      </c>
      <c r="N8152" t="inlineStr">
        <is>
          <t>Leptobrachium leishanense</t>
        </is>
      </c>
      <c r="O8152" t="inlineStr">
        <is>
          <t>Reverse transcriptase domain-containing protein</t>
        </is>
      </c>
    </row>
    <row r="8153">
      <c r="A8153" t="inlineStr"/>
      <c r="B8153" t="inlineStr"/>
      <c r="C8153" t="inlineStr"/>
      <c r="D8153" t="inlineStr"/>
      <c r="E8153">
        <f>HYPERLINK("https://www.ncbi.nlm.nih.gov/gene/?term=OCT56601.1", "OCT56601.1")</f>
        <v/>
      </c>
      <c r="F8153" t="n">
        <v>35.5</v>
      </c>
      <c r="G8153" t="n">
        <v>155</v>
      </c>
      <c r="H8153" t="n">
        <v>4.4e-21</v>
      </c>
      <c r="I8153" t="inlineStr">
        <is>
          <t>Nr</t>
        </is>
      </c>
      <c r="J8153" t="inlineStr"/>
      <c r="K8153" t="inlineStr"/>
      <c r="L8153" t="inlineStr">
        <is>
          <t>OCT56601.1 hypothetical protein XELAEV_18004634mg [Xenopus laevis]</t>
        </is>
      </c>
      <c r="M8153" t="n">
        <v>684</v>
      </c>
      <c r="N8153" t="inlineStr">
        <is>
          <t>Xenopus laevis</t>
        </is>
      </c>
      <c r="O8153" t="inlineStr">
        <is>
          <t>hypothetical protein XELAEV_18004634mg</t>
        </is>
      </c>
    </row>
    <row r="8154">
      <c r="A8154" t="inlineStr"/>
      <c r="B8154" t="inlineStr"/>
      <c r="C8154" t="inlineStr"/>
      <c r="D8154" t="inlineStr"/>
      <c r="E8154">
        <f>HYPERLINK("https://www.ncbi.nlm.nih.gov/gene/?term=OCT70181.1", "OCT70181.1")</f>
        <v/>
      </c>
      <c r="F8154" t="n">
        <v>34.9</v>
      </c>
      <c r="G8154" t="n">
        <v>152</v>
      </c>
      <c r="H8154" t="n">
        <v>4.72e-21</v>
      </c>
      <c r="I8154" t="inlineStr">
        <is>
          <t>Nr</t>
        </is>
      </c>
      <c r="J8154" t="inlineStr"/>
      <c r="K8154" t="inlineStr"/>
      <c r="L8154" t="inlineStr">
        <is>
          <t>OCT70181.1 hypothetical protein XELAEV_18037102mg, partial [Xenopus laevis]</t>
        </is>
      </c>
      <c r="M8154" t="n">
        <v>512</v>
      </c>
      <c r="N8154" t="inlineStr">
        <is>
          <t>Xenopus laevis</t>
        </is>
      </c>
      <c r="O8154" t="inlineStr">
        <is>
          <t>hypothetical protein XELAEV_18037102mg, partial</t>
        </is>
      </c>
    </row>
    <row r="8155">
      <c r="A8155" t="inlineStr"/>
      <c r="B8155" t="inlineStr"/>
      <c r="C8155" t="inlineStr"/>
      <c r="D8155" t="inlineStr"/>
      <c r="E8155">
        <f>HYPERLINK("https://www.uniprot.org/uniprotkb/A0A8J1MZR7/entry", "A0A8J1MZR7")</f>
        <v/>
      </c>
      <c r="F8155" t="n">
        <v>35.1</v>
      </c>
      <c r="G8155" t="n">
        <v>148</v>
      </c>
      <c r="H8155" t="n">
        <v>5.26e-21</v>
      </c>
      <c r="I8155" t="inlineStr">
        <is>
          <t>TrEMBL</t>
        </is>
      </c>
      <c r="J8155" t="inlineStr">
        <is>
          <t>LOC121403153</t>
        </is>
      </c>
      <c r="K8155" t="inlineStr">
        <is>
          <t>A0A8J1MZR7_XENLA</t>
        </is>
      </c>
      <c r="L8155" t="inlineStr">
        <is>
          <t>tr|A0A8J1MZR7|A0A8J1MZR7_XENLA uncharacterized protein LOC121403153 OS=Xenopus laevis OX=8355 GN=LOC121403153 PE=4 SV=1</t>
        </is>
      </c>
      <c r="M8155" t="n">
        <v>414</v>
      </c>
      <c r="N8155" t="inlineStr">
        <is>
          <t>Xenopus laevis</t>
        </is>
      </c>
      <c r="O8155" t="inlineStr">
        <is>
          <t>uncharacterized protein LOC121403153</t>
        </is>
      </c>
    </row>
    <row r="8156">
      <c r="A8156" t="inlineStr"/>
      <c r="B8156" t="inlineStr"/>
      <c r="C8156" t="inlineStr"/>
      <c r="D8156" t="inlineStr"/>
      <c r="E8156">
        <f>HYPERLINK("https://www.uniprot.org/uniprotkb/A0A8J1LQU2/entry", "A0A8J1LQU2")</f>
        <v/>
      </c>
      <c r="F8156" t="n">
        <v>37.6</v>
      </c>
      <c r="G8156" t="n">
        <v>157</v>
      </c>
      <c r="H8156" t="n">
        <v>5.310000000000001e-21</v>
      </c>
      <c r="I8156" t="inlineStr">
        <is>
          <t>TrEMBL</t>
        </is>
      </c>
      <c r="J8156" t="inlineStr">
        <is>
          <t>LOC121397896</t>
        </is>
      </c>
      <c r="K8156" t="inlineStr">
        <is>
          <t>A0A8J1LQU2_XENLA</t>
        </is>
      </c>
      <c r="L8156" t="inlineStr">
        <is>
          <t>tr|A0A8J1LQU2|A0A8J1LQU2_XENLA uncharacterized protein LOC121397896 OS=Xenopus laevis OX=8355 GN=LOC121397896 PE=4 SV=1</t>
        </is>
      </c>
      <c r="M8156" t="n">
        <v>464</v>
      </c>
      <c r="N8156" t="inlineStr">
        <is>
          <t>Xenopus laevis</t>
        </is>
      </c>
      <c r="O8156" t="inlineStr">
        <is>
          <t>uncharacterized protein LOC121397896</t>
        </is>
      </c>
    </row>
    <row r="8157">
      <c r="A8157" t="inlineStr"/>
      <c r="B8157" t="inlineStr"/>
      <c r="C8157" t="inlineStr"/>
      <c r="D8157" t="inlineStr"/>
      <c r="E8157">
        <f>HYPERLINK("https://www.uniprot.org/uniprotkb/A0A8C5R7W1/entry", "A0A8C5R7W1")</f>
        <v/>
      </c>
      <c r="F8157" t="n">
        <v>40.8</v>
      </c>
      <c r="G8157" t="n">
        <v>152</v>
      </c>
      <c r="H8157" t="n">
        <v>6.050000000000001e-21</v>
      </c>
      <c r="I8157" t="inlineStr">
        <is>
          <t>TrEMBL</t>
        </is>
      </c>
      <c r="J8157" t="inlineStr"/>
      <c r="K8157" t="inlineStr">
        <is>
          <t>A0A8C5R7W1_9ANUR</t>
        </is>
      </c>
      <c r="L8157" t="inlineStr">
        <is>
          <t>tr|A0A8C5R7W1|A0A8C5R7W1_9ANUR Reverse transcriptase domain-containing protein OS=Leptobrachium leishanense OX=445787 PE=4 SV=1</t>
        </is>
      </c>
      <c r="M8157" t="n">
        <v>780</v>
      </c>
      <c r="N8157" t="inlineStr">
        <is>
          <t>Leptobrachium leishanense</t>
        </is>
      </c>
      <c r="O8157" t="inlineStr">
        <is>
          <t>Reverse transcriptase domain-containing protein</t>
        </is>
      </c>
    </row>
    <row r="8158">
      <c r="A8158" t="inlineStr"/>
      <c r="B8158" t="inlineStr"/>
      <c r="C8158" t="inlineStr"/>
      <c r="D8158" t="inlineStr"/>
      <c r="E8158">
        <f>HYPERLINK("https://www.ncbi.nlm.nih.gov/gene/?term=OCT97320.1", "OCT97320.1")</f>
        <v/>
      </c>
      <c r="F8158" t="n">
        <v>33.6</v>
      </c>
      <c r="G8158" t="n">
        <v>223</v>
      </c>
      <c r="H8158" t="n">
        <v>6.100000000000001e-21</v>
      </c>
      <c r="I8158" t="inlineStr">
        <is>
          <t>Nr</t>
        </is>
      </c>
      <c r="J8158" t="inlineStr"/>
      <c r="K8158" t="inlineStr"/>
      <c r="L8158" t="inlineStr">
        <is>
          <t>OCT97320.1 hypothetical protein XELAEV_18009546mg, partial [Xenopus laevis]</t>
        </is>
      </c>
      <c r="M8158" t="n">
        <v>504</v>
      </c>
      <c r="N8158" t="inlineStr">
        <is>
          <t>Xenopus laevis</t>
        </is>
      </c>
      <c r="O8158" t="inlineStr">
        <is>
          <t>hypothetical protein XELAEV_18009546mg, partial</t>
        </is>
      </c>
    </row>
    <row r="8159">
      <c r="A8159" t="inlineStr"/>
      <c r="B8159" t="inlineStr"/>
      <c r="C8159" t="inlineStr"/>
      <c r="D8159" t="inlineStr"/>
      <c r="E8159">
        <f>HYPERLINK("https://www.ncbi.nlm.nih.gov/gene/?term=OCT65976.1", "OCT65976.1")</f>
        <v/>
      </c>
      <c r="F8159" t="n">
        <v>36.1</v>
      </c>
      <c r="G8159" t="n">
        <v>147</v>
      </c>
      <c r="H8159" t="n">
        <v>6.130000000000001e-21</v>
      </c>
      <c r="I8159" t="inlineStr">
        <is>
          <t>Nr</t>
        </is>
      </c>
      <c r="J8159" t="inlineStr"/>
      <c r="K8159" t="inlineStr"/>
      <c r="L8159" t="inlineStr">
        <is>
          <t>OCT65976.1 hypothetical protein XELAEV_18042230mg [Xenopus laevis]</t>
        </is>
      </c>
      <c r="M8159" t="n">
        <v>339</v>
      </c>
      <c r="N8159" t="inlineStr">
        <is>
          <t>Xenopus laevis</t>
        </is>
      </c>
      <c r="O8159" t="inlineStr">
        <is>
          <t>hypothetical protein XELAEV_18042230mg</t>
        </is>
      </c>
    </row>
    <row r="8160">
      <c r="A8160" t="inlineStr"/>
      <c r="B8160" t="inlineStr"/>
      <c r="C8160" t="inlineStr"/>
      <c r="D8160" t="inlineStr"/>
      <c r="E8160">
        <f>HYPERLINK("https://www.ncbi.nlm.nih.gov/gene/?term=PIO39511.1", "PIO39511.1")</f>
        <v/>
      </c>
      <c r="F8160" t="n">
        <v>35.9</v>
      </c>
      <c r="G8160" t="n">
        <v>156</v>
      </c>
      <c r="H8160" t="n">
        <v>7.21e-21</v>
      </c>
      <c r="I8160" t="inlineStr">
        <is>
          <t>Nr</t>
        </is>
      </c>
      <c r="J8160" t="inlineStr"/>
      <c r="K8160" t="inlineStr"/>
      <c r="L8160" t="inlineStr">
        <is>
          <t>PIO39511.1 hypothetical protein AB205_0069860 [Lithobates catesbeianus]</t>
        </is>
      </c>
      <c r="M8160" t="n">
        <v>381</v>
      </c>
      <c r="N8160" t="inlineStr">
        <is>
          <t>Lithobates catesbeianus</t>
        </is>
      </c>
      <c r="O8160" t="inlineStr">
        <is>
          <t>hypothetical protein AB205_0069860</t>
        </is>
      </c>
    </row>
    <row r="8161">
      <c r="A8161" t="inlineStr"/>
      <c r="B8161" t="inlineStr"/>
      <c r="C8161" t="inlineStr"/>
      <c r="D8161" t="inlineStr"/>
      <c r="E8161">
        <f>HYPERLINK("https://www.ncbi.nlm.nih.gov/gene/?term=OCT62397.1", "OCT62397.1")</f>
        <v/>
      </c>
      <c r="F8161" t="n">
        <v>36.8</v>
      </c>
      <c r="G8161" t="n">
        <v>220</v>
      </c>
      <c r="H8161" t="n">
        <v>7.810000000000001e-21</v>
      </c>
      <c r="I8161" t="inlineStr">
        <is>
          <t>Nr</t>
        </is>
      </c>
      <c r="J8161" t="inlineStr"/>
      <c r="K8161" t="inlineStr"/>
      <c r="L8161" t="inlineStr">
        <is>
          <t>OCT62397.1 hypothetical protein XELAEV_18043478mg [Xenopus laevis]</t>
        </is>
      </c>
      <c r="M8161" t="n">
        <v>1448</v>
      </c>
      <c r="N8161" t="inlineStr">
        <is>
          <t>Xenopus laevis</t>
        </is>
      </c>
      <c r="O8161" t="inlineStr">
        <is>
          <t>hypothetical protein XELAEV_18043478mg</t>
        </is>
      </c>
    </row>
    <row r="8162">
      <c r="A8162" t="inlineStr"/>
      <c r="B8162" t="inlineStr"/>
      <c r="C8162" t="inlineStr"/>
      <c r="D8162" t="inlineStr"/>
      <c r="E8162">
        <f>HYPERLINK("https://www.uniprot.org/uniprotkb/A0A803JVB3/entry", "A0A803JVB3")</f>
        <v/>
      </c>
      <c r="F8162" t="n">
        <v>38.1</v>
      </c>
      <c r="G8162" t="n">
        <v>147</v>
      </c>
      <c r="H8162" t="n">
        <v>8.050000000000001e-21</v>
      </c>
      <c r="I8162" t="inlineStr">
        <is>
          <t>TrEMBL</t>
        </is>
      </c>
      <c r="J8162" t="inlineStr"/>
      <c r="K8162" t="inlineStr">
        <is>
          <t>A0A803JVB3_XENTR</t>
        </is>
      </c>
      <c r="L8162" t="inlineStr">
        <is>
          <t>tr|A0A803JVB3|A0A803JVB3_XENTR Reverse transcriptase domain-containing protein OS=Xenopus tropicalis OX=8364 PE=4 SV=1</t>
        </is>
      </c>
      <c r="M8162" t="n">
        <v>680</v>
      </c>
      <c r="N8162" t="inlineStr">
        <is>
          <t>Xenopus tropicalis</t>
        </is>
      </c>
      <c r="O8162" t="inlineStr">
        <is>
          <t>Reverse transcriptase domain-containing protein</t>
        </is>
      </c>
    </row>
    <row r="8163">
      <c r="A8163" t="inlineStr"/>
      <c r="B8163" t="inlineStr"/>
      <c r="C8163" t="inlineStr"/>
      <c r="D8163" t="inlineStr"/>
      <c r="E8163">
        <f>HYPERLINK("https://www.uniprot.org/uniprotkb/A0A8C5Q1A3/entry", "A0A8C5Q1A3")</f>
        <v/>
      </c>
      <c r="F8163" t="n">
        <v>39.2</v>
      </c>
      <c r="G8163" t="n">
        <v>153</v>
      </c>
      <c r="H8163" t="n">
        <v>8.120000000000001e-21</v>
      </c>
      <c r="I8163" t="inlineStr">
        <is>
          <t>TrEMBL</t>
        </is>
      </c>
      <c r="J8163" t="inlineStr"/>
      <c r="K8163" t="inlineStr">
        <is>
          <t>A0A8C5Q1A3_9ANUR</t>
        </is>
      </c>
      <c r="L8163" t="inlineStr">
        <is>
          <t>tr|A0A8C5Q1A3|A0A8C5Q1A3_9ANUR Reverse transcriptase domain-containing protein OS=Leptobrachium leishanense OX=445787 PE=4 SV=1</t>
        </is>
      </c>
      <c r="M8163" t="n">
        <v>706</v>
      </c>
      <c r="N8163" t="inlineStr">
        <is>
          <t>Leptobrachium leishanense</t>
        </is>
      </c>
      <c r="O8163" t="inlineStr">
        <is>
          <t>Reverse transcriptase domain-containing protein</t>
        </is>
      </c>
    </row>
    <row r="8164">
      <c r="A8164" t="inlineStr"/>
      <c r="B8164" t="inlineStr"/>
      <c r="C8164" t="inlineStr"/>
      <c r="D8164" t="inlineStr"/>
      <c r="E8164">
        <f>HYPERLINK("https://www.ncbi.nlm.nih.gov/gene/?term=XP_045889185.1", "XP_045889185.1")</f>
        <v/>
      </c>
      <c r="F8164" t="n">
        <v>37.9</v>
      </c>
      <c r="G8164" t="n">
        <v>140</v>
      </c>
      <c r="H8164" t="n">
        <v>1.02e-20</v>
      </c>
      <c r="I8164" t="inlineStr">
        <is>
          <t>Nr</t>
        </is>
      </c>
      <c r="J8164" t="inlineStr"/>
      <c r="K8164" t="inlineStr"/>
      <c r="L8164" t="inlineStr">
        <is>
          <t>XP_045889185.1 uncharacterized protein LOC123959274 [Micropterus dolomieu]</t>
        </is>
      </c>
      <c r="M8164" t="n">
        <v>214</v>
      </c>
      <c r="N8164" t="inlineStr">
        <is>
          <t>Micropterus dolomieu</t>
        </is>
      </c>
      <c r="O8164" t="inlineStr">
        <is>
          <t>uncharacterized protein LOC123959274</t>
        </is>
      </c>
    </row>
    <row r="8165">
      <c r="A8165" t="inlineStr"/>
      <c r="B8165" t="inlineStr"/>
      <c r="C8165" t="inlineStr"/>
      <c r="D8165" t="inlineStr"/>
      <c r="E8165">
        <f>HYPERLINK("https://www.uniprot.org/uniprotkb/A0A803JPC3/entry", "A0A803JPC3")</f>
        <v/>
      </c>
      <c r="F8165" t="n">
        <v>34.4</v>
      </c>
      <c r="G8165" t="n">
        <v>151</v>
      </c>
      <c r="H8165" t="n">
        <v>1.07e-20</v>
      </c>
      <c r="I8165" t="inlineStr">
        <is>
          <t>TrEMBL</t>
        </is>
      </c>
      <c r="J8165" t="inlineStr"/>
      <c r="K8165" t="inlineStr">
        <is>
          <t>A0A803JPC3_XENTR</t>
        </is>
      </c>
      <c r="L8165" t="inlineStr">
        <is>
          <t>tr|A0A803JPC3|A0A803JPC3_XENTR Reverse transcriptase domain-containing protein OS=Xenopus tropicalis OX=8364 PE=4 SV=1</t>
        </is>
      </c>
      <c r="M8165" t="n">
        <v>631</v>
      </c>
      <c r="N8165" t="inlineStr">
        <is>
          <t>Xenopus tropicalis</t>
        </is>
      </c>
      <c r="O8165" t="inlineStr">
        <is>
          <t>Reverse transcriptase domain-containing protein</t>
        </is>
      </c>
    </row>
    <row r="8166">
      <c r="A8166" t="inlineStr"/>
      <c r="B8166" t="inlineStr"/>
      <c r="C8166" t="inlineStr"/>
      <c r="D8166" t="inlineStr"/>
      <c r="E8166">
        <f>HYPERLINK("https://www.ncbi.nlm.nih.gov/gene/?term=KAJ1169165.1", "KAJ1169165.1")</f>
        <v/>
      </c>
      <c r="F8166" t="n">
        <v>38</v>
      </c>
      <c r="G8166" t="n">
        <v>142</v>
      </c>
      <c r="H8166" t="n">
        <v>1.12e-20</v>
      </c>
      <c r="I8166" t="inlineStr">
        <is>
          <t>Nr</t>
        </is>
      </c>
      <c r="J8166" t="inlineStr"/>
      <c r="K8166" t="inlineStr"/>
      <c r="L8166" t="inlineStr">
        <is>
          <t>KAJ1169165.1 hypothetical protein NDU88_001071, partial [Pleurodeles waltl]</t>
        </is>
      </c>
      <c r="M8166" t="n">
        <v>252</v>
      </c>
      <c r="N8166" t="inlineStr">
        <is>
          <t>Pleurodeles waltl</t>
        </is>
      </c>
      <c r="O8166" t="inlineStr">
        <is>
          <t>hypothetical protein NDU88_001071, partial</t>
        </is>
      </c>
    </row>
    <row r="8167">
      <c r="A8167" t="inlineStr"/>
      <c r="B8167" t="inlineStr"/>
      <c r="C8167" t="inlineStr"/>
      <c r="D8167" t="inlineStr"/>
      <c r="E8167">
        <f>HYPERLINK("https://www.ncbi.nlm.nih.gov/gene/?term=XP_041446981.1", "XP_041446981.1")</f>
        <v/>
      </c>
      <c r="F8167" t="n">
        <v>35.1</v>
      </c>
      <c r="G8167" t="n">
        <v>148</v>
      </c>
      <c r="H8167" t="n">
        <v>1.35e-20</v>
      </c>
      <c r="I8167" t="inlineStr">
        <is>
          <t>Nr</t>
        </is>
      </c>
      <c r="J8167" t="inlineStr"/>
      <c r="K8167" t="inlineStr"/>
      <c r="L8167" t="inlineStr">
        <is>
          <t>XP_041446981.1 uncharacterized protein LOC121403153 [Xenopus laevis]</t>
        </is>
      </c>
      <c r="M8167" t="n">
        <v>414</v>
      </c>
      <c r="N8167" t="inlineStr">
        <is>
          <t>Xenopus laevis</t>
        </is>
      </c>
      <c r="O8167" t="inlineStr">
        <is>
          <t>uncharacterized protein LOC121403153</t>
        </is>
      </c>
    </row>
    <row r="8168">
      <c r="A8168" t="inlineStr"/>
      <c r="B8168" t="inlineStr"/>
      <c r="C8168" t="inlineStr"/>
      <c r="D8168" t="inlineStr"/>
      <c r="E8168">
        <f>HYPERLINK("https://www.ncbi.nlm.nih.gov/gene/?term=XP_041431933.1", "XP_041431933.1")</f>
        <v/>
      </c>
      <c r="F8168" t="n">
        <v>37.6</v>
      </c>
      <c r="G8168" t="n">
        <v>157</v>
      </c>
      <c r="H8168" t="n">
        <v>1.36e-20</v>
      </c>
      <c r="I8168" t="inlineStr">
        <is>
          <t>Nr</t>
        </is>
      </c>
      <c r="J8168" t="inlineStr"/>
      <c r="K8168" t="inlineStr"/>
      <c r="L8168" t="inlineStr">
        <is>
          <t>XP_041431933.1 uncharacterized protein LOC121397896 [Xenopus laevis]</t>
        </is>
      </c>
      <c r="M8168" t="n">
        <v>464</v>
      </c>
      <c r="N8168" t="inlineStr">
        <is>
          <t>Xenopus laevis</t>
        </is>
      </c>
      <c r="O8168" t="inlineStr">
        <is>
          <t>uncharacterized protein LOC121397896</t>
        </is>
      </c>
    </row>
    <row r="8169">
      <c r="A8169" t="inlineStr"/>
      <c r="B8169" t="inlineStr"/>
      <c r="C8169" t="inlineStr"/>
      <c r="D8169" t="inlineStr"/>
      <c r="E8169">
        <f>HYPERLINK("https://www.ncbi.nlm.nih.gov/gene/?term=XP_035254901.1", "XP_035254901.1")</f>
        <v/>
      </c>
      <c r="F8169" t="n">
        <v>37.7</v>
      </c>
      <c r="G8169" t="n">
        <v>146</v>
      </c>
      <c r="H8169" t="n">
        <v>1.4e-20</v>
      </c>
      <c r="I8169" t="inlineStr">
        <is>
          <t>Nr</t>
        </is>
      </c>
      <c r="J8169" t="inlineStr"/>
      <c r="K8169" t="inlineStr"/>
      <c r="L8169" t="inlineStr">
        <is>
          <t>XP_035254901.1 uncharacterized protein LOC118217183, partial [Anguilla anguilla]</t>
        </is>
      </c>
      <c r="M8169" t="n">
        <v>229</v>
      </c>
      <c r="N8169" t="inlineStr">
        <is>
          <t>Anguilla anguilla</t>
        </is>
      </c>
      <c r="O8169" t="inlineStr">
        <is>
          <t>uncharacterized protein LOC118217183, partial</t>
        </is>
      </c>
    </row>
    <row r="8170">
      <c r="A8170" t="inlineStr"/>
      <c r="B8170" t="inlineStr"/>
      <c r="C8170" t="inlineStr"/>
      <c r="D8170" t="inlineStr"/>
      <c r="E8170">
        <f>HYPERLINK("https://www.uniprot.org/uniprotkb/A0A8C5MNI7/entry", "A0A8C5MNI7")</f>
        <v/>
      </c>
      <c r="F8170" t="n">
        <v>39.6</v>
      </c>
      <c r="G8170" t="n">
        <v>154</v>
      </c>
      <c r="H8170" t="n">
        <v>1.52e-20</v>
      </c>
      <c r="I8170" t="inlineStr">
        <is>
          <t>TrEMBL</t>
        </is>
      </c>
      <c r="J8170" t="inlineStr"/>
      <c r="K8170" t="inlineStr">
        <is>
          <t>A0A8C5MNI7_9ANUR</t>
        </is>
      </c>
      <c r="L8170" t="inlineStr">
        <is>
          <t>tr|A0A8C5MNI7|A0A8C5MNI7_9ANUR Reverse transcriptase domain-containing protein OS=Leptobrachium leishanense OX=445787 PE=4 SV=1</t>
        </is>
      </c>
      <c r="M8170" t="n">
        <v>728</v>
      </c>
      <c r="N8170" t="inlineStr">
        <is>
          <t>Leptobrachium leishanense</t>
        </is>
      </c>
      <c r="O8170" t="inlineStr">
        <is>
          <t>Reverse transcriptase domain-containing protein</t>
        </is>
      </c>
    </row>
    <row r="8171">
      <c r="A8171" t="inlineStr"/>
      <c r="B8171" t="inlineStr"/>
      <c r="C8171" t="inlineStr"/>
      <c r="D8171" t="inlineStr"/>
      <c r="E8171">
        <f>HYPERLINK("https://www.uniprot.org/uniprotkb/A0A8C5Q3U3/entry", "A0A8C5Q3U3")</f>
        <v/>
      </c>
      <c r="F8171" t="n">
        <v>37.7</v>
      </c>
      <c r="G8171" t="n">
        <v>151</v>
      </c>
      <c r="H8171" t="n">
        <v>1.52e-20</v>
      </c>
      <c r="I8171" t="inlineStr">
        <is>
          <t>TrEMBL</t>
        </is>
      </c>
      <c r="J8171" t="inlineStr"/>
      <c r="K8171" t="inlineStr">
        <is>
          <t>A0A8C5Q3U3_9ANUR</t>
        </is>
      </c>
      <c r="L8171" t="inlineStr">
        <is>
          <t>tr|A0A8C5Q3U3|A0A8C5Q3U3_9ANUR Reverse transcriptase domain-containing protein OS=Leptobrachium leishanense OX=445787 PE=4 SV=1</t>
        </is>
      </c>
      <c r="M8171" t="n">
        <v>734</v>
      </c>
      <c r="N8171" t="inlineStr">
        <is>
          <t>Leptobrachium leishanense</t>
        </is>
      </c>
      <c r="O8171" t="inlineStr">
        <is>
          <t>Reverse transcriptase domain-containing protein</t>
        </is>
      </c>
    </row>
    <row r="8172">
      <c r="A8172" t="inlineStr"/>
      <c r="B8172" t="inlineStr"/>
      <c r="C8172" t="inlineStr"/>
      <c r="D8172" t="inlineStr"/>
      <c r="E8172">
        <f>HYPERLINK("https://www.uniprot.org/uniprotkb/A0A8J1KXX0/entry", "A0A8J1KXX0")</f>
        <v/>
      </c>
      <c r="F8172" t="n">
        <v>35.7</v>
      </c>
      <c r="G8172" t="n">
        <v>157</v>
      </c>
      <c r="H8172" t="n">
        <v>1.83e-20</v>
      </c>
      <c r="I8172" t="inlineStr">
        <is>
          <t>TrEMBL</t>
        </is>
      </c>
      <c r="J8172" t="inlineStr">
        <is>
          <t>LOC121394669</t>
        </is>
      </c>
      <c r="K8172" t="inlineStr">
        <is>
          <t>A0A8J1KXX0_XENLA</t>
        </is>
      </c>
      <c r="L8172" t="inlineStr">
        <is>
          <t>tr|A0A8J1KXX0|A0A8J1KXX0_XENLA uncharacterized protein LOC121394669 OS=Xenopus laevis OX=8355 GN=LOC121394669 PE=4 SV=1</t>
        </is>
      </c>
      <c r="M8172" t="n">
        <v>408</v>
      </c>
      <c r="N8172" t="inlineStr">
        <is>
          <t>Xenopus laevis</t>
        </is>
      </c>
      <c r="O8172" t="inlineStr">
        <is>
          <t>uncharacterized protein LOC121394669</t>
        </is>
      </c>
    </row>
    <row r="8173">
      <c r="A8173" t="inlineStr"/>
      <c r="B8173" t="inlineStr"/>
      <c r="C8173" t="inlineStr"/>
      <c r="D8173" t="inlineStr"/>
      <c r="E8173">
        <f>HYPERLINK("https://www.ncbi.nlm.nih.gov/gene/?term=OCT72218.1", "OCT72218.1")</f>
        <v/>
      </c>
      <c r="F8173" t="n">
        <v>42.6</v>
      </c>
      <c r="G8173" t="n">
        <v>136</v>
      </c>
      <c r="H8173" t="n">
        <v>1.9e-20</v>
      </c>
      <c r="I8173" t="inlineStr">
        <is>
          <t>Nr</t>
        </is>
      </c>
      <c r="J8173" t="inlineStr"/>
      <c r="K8173" t="inlineStr"/>
      <c r="L8173" t="inlineStr">
        <is>
          <t>OCT72218.1 hypothetical protein XELAEV_18035190mg [Xenopus laevis]</t>
        </is>
      </c>
      <c r="M8173" t="n">
        <v>481</v>
      </c>
      <c r="N8173" t="inlineStr">
        <is>
          <t>Xenopus laevis</t>
        </is>
      </c>
      <c r="O8173" t="inlineStr">
        <is>
          <t>hypothetical protein XELAEV_18035190mg</t>
        </is>
      </c>
    </row>
    <row r="8174">
      <c r="A8174" t="inlineStr"/>
      <c r="B8174" t="inlineStr"/>
      <c r="C8174" t="inlineStr"/>
      <c r="D8174" t="inlineStr"/>
      <c r="E8174">
        <f>HYPERLINK("https://www.ncbi.nlm.nih.gov/gene/?term=KAJ1152570.1", "KAJ1152570.1")</f>
        <v/>
      </c>
      <c r="F8174" t="n">
        <v>30.5</v>
      </c>
      <c r="G8174" t="n">
        <v>243</v>
      </c>
      <c r="H8174" t="n">
        <v>2.49e-20</v>
      </c>
      <c r="I8174" t="inlineStr">
        <is>
          <t>Nr</t>
        </is>
      </c>
      <c r="J8174" t="inlineStr"/>
      <c r="K8174" t="inlineStr"/>
      <c r="L8174" t="inlineStr">
        <is>
          <t>KAJ1152570.1 hypothetical protein NDU88_005345 [Pleurodeles waltl]</t>
        </is>
      </c>
      <c r="M8174" t="n">
        <v>258</v>
      </c>
      <c r="N8174" t="inlineStr">
        <is>
          <t>Pleurodeles waltl</t>
        </is>
      </c>
      <c r="O8174" t="inlineStr">
        <is>
          <t>hypothetical protein NDU88_005345</t>
        </is>
      </c>
    </row>
    <row r="8175">
      <c r="A8175" t="inlineStr"/>
      <c r="B8175" t="inlineStr"/>
      <c r="C8175" t="inlineStr"/>
      <c r="D8175" t="inlineStr"/>
      <c r="E8175">
        <f>HYPERLINK("https://www.uniprot.org/uniprotkb/A0A8C5QEN8/entry", "A0A8C5QEN8")</f>
        <v/>
      </c>
      <c r="F8175" t="n">
        <v>36.8</v>
      </c>
      <c r="G8175" t="n">
        <v>152</v>
      </c>
      <c r="H8175" t="n">
        <v>2.84e-20</v>
      </c>
      <c r="I8175" t="inlineStr">
        <is>
          <t>TrEMBL</t>
        </is>
      </c>
      <c r="J8175" t="inlineStr"/>
      <c r="K8175" t="inlineStr">
        <is>
          <t>A0A8C5QEN8_9ANUR</t>
        </is>
      </c>
      <c r="L8175" t="inlineStr">
        <is>
          <t>tr|A0A8C5QEN8|A0A8C5QEN8_9ANUR Reverse transcriptase domain-containing protein OS=Leptobrachium leishanense OX=445787 PE=4 SV=1</t>
        </is>
      </c>
      <c r="M8175" t="n">
        <v>780</v>
      </c>
      <c r="N8175" t="inlineStr">
        <is>
          <t>Leptobrachium leishanense</t>
        </is>
      </c>
      <c r="O8175" t="inlineStr">
        <is>
          <t>Reverse transcriptase domain-containing protein</t>
        </is>
      </c>
    </row>
    <row r="8176">
      <c r="A8176" t="inlineStr"/>
      <c r="B8176" t="inlineStr"/>
      <c r="C8176" t="inlineStr"/>
      <c r="D8176" t="inlineStr"/>
      <c r="E8176">
        <f>HYPERLINK("https://www.ncbi.nlm.nih.gov/gene/?term=OCT61211.1", "OCT61211.1")</f>
        <v/>
      </c>
      <c r="F8176" t="n">
        <v>35.4</v>
      </c>
      <c r="G8176" t="n">
        <v>147</v>
      </c>
      <c r="H8176" t="n">
        <v>3.21e-20</v>
      </c>
      <c r="I8176" t="inlineStr">
        <is>
          <t>Nr</t>
        </is>
      </c>
      <c r="J8176" t="inlineStr"/>
      <c r="K8176" t="inlineStr"/>
      <c r="L8176" t="inlineStr">
        <is>
          <t>OCT61211.1 hypothetical protein XELAEV_18047235mg [Xenopus laevis]</t>
        </is>
      </c>
      <c r="M8176" t="n">
        <v>339</v>
      </c>
      <c r="N8176" t="inlineStr">
        <is>
          <t>Xenopus laevis</t>
        </is>
      </c>
      <c r="O8176" t="inlineStr">
        <is>
          <t>hypothetical protein XELAEV_18047235mg</t>
        </is>
      </c>
    </row>
    <row r="8177">
      <c r="A8177" t="inlineStr"/>
      <c r="B8177" t="inlineStr"/>
      <c r="C8177" t="inlineStr"/>
      <c r="D8177" t="inlineStr"/>
      <c r="E8177">
        <f>HYPERLINK("https://www.ncbi.nlm.nih.gov/gene/?term=OCT68280.1", "OCT68280.1")</f>
        <v/>
      </c>
      <c r="F8177" t="n">
        <v>32.7</v>
      </c>
      <c r="G8177" t="n">
        <v>147</v>
      </c>
      <c r="H8177" t="n">
        <v>4.07e-20</v>
      </c>
      <c r="I8177" t="inlineStr">
        <is>
          <t>Nr</t>
        </is>
      </c>
      <c r="J8177" t="inlineStr"/>
      <c r="K8177" t="inlineStr"/>
      <c r="L8177" t="inlineStr">
        <is>
          <t>OCT68280.1 hypothetical protein XELAEV_18039580mg [Xenopus laevis]</t>
        </is>
      </c>
      <c r="M8177" t="n">
        <v>308</v>
      </c>
      <c r="N8177" t="inlineStr">
        <is>
          <t>Xenopus laevis</t>
        </is>
      </c>
      <c r="O8177" t="inlineStr">
        <is>
          <t>hypothetical protein XELAEV_18039580mg</t>
        </is>
      </c>
    </row>
    <row r="8178">
      <c r="A8178" t="inlineStr"/>
      <c r="B8178" t="inlineStr"/>
      <c r="C8178" t="inlineStr"/>
      <c r="D8178" t="inlineStr"/>
      <c r="E8178">
        <f>HYPERLINK("https://www.ncbi.nlm.nih.gov/gene/?term=XP_030051899.1", "XP_030051899.1")</f>
        <v/>
      </c>
      <c r="F8178" t="n">
        <v>30</v>
      </c>
      <c r="G8178" t="n">
        <v>240</v>
      </c>
      <c r="H8178" t="n">
        <v>6.24e-20</v>
      </c>
      <c r="I8178" t="inlineStr">
        <is>
          <t>Nr</t>
        </is>
      </c>
      <c r="J8178" t="inlineStr"/>
      <c r="K8178" t="inlineStr"/>
      <c r="L8178" t="inlineStr">
        <is>
          <t>XP_030051899.1 uncharacterized protein LOC115465513 [Microcaecilia unicolor]</t>
        </is>
      </c>
      <c r="M8178" t="n">
        <v>311</v>
      </c>
      <c r="N8178" t="inlineStr">
        <is>
          <t>Microcaecilia unicolor</t>
        </is>
      </c>
      <c r="O8178" t="inlineStr">
        <is>
          <t>uncharacterized protein LOC115465513</t>
        </is>
      </c>
    </row>
    <row r="8179">
      <c r="A8179" t="inlineStr"/>
      <c r="B8179" t="inlineStr"/>
      <c r="C8179" t="inlineStr"/>
      <c r="D8179" t="inlineStr"/>
      <c r="E8179">
        <f>HYPERLINK("https://www.uniprot.org/uniprotkb/A0A803J5Z4/entry", "A0A803J5Z4")</f>
        <v/>
      </c>
      <c r="F8179" t="n">
        <v>36.1</v>
      </c>
      <c r="G8179" t="n">
        <v>147</v>
      </c>
      <c r="H8179" t="n">
        <v>7.04e-20</v>
      </c>
      <c r="I8179" t="inlineStr">
        <is>
          <t>TrEMBL</t>
        </is>
      </c>
      <c r="J8179" t="inlineStr"/>
      <c r="K8179" t="inlineStr">
        <is>
          <t>A0A803J5Z4_XENTR</t>
        </is>
      </c>
      <c r="L8179" t="inlineStr">
        <is>
          <t>tr|A0A803J5Z4|A0A803J5Z4_XENTR Reverse transcriptase domain-containing protein OS=Xenopus tropicalis OX=8364 PE=4 SV=1</t>
        </is>
      </c>
      <c r="M8179" t="n">
        <v>680</v>
      </c>
      <c r="N8179" t="inlineStr">
        <is>
          <t>Xenopus tropicalis</t>
        </is>
      </c>
      <c r="O8179" t="inlineStr">
        <is>
          <t>Reverse transcriptase domain-containing protein</t>
        </is>
      </c>
    </row>
    <row r="8180">
      <c r="A8180" t="inlineStr"/>
      <c r="B8180" t="inlineStr"/>
      <c r="C8180" t="inlineStr"/>
      <c r="D8180" t="inlineStr"/>
      <c r="E8180">
        <f>HYPERLINK("https://www.ncbi.nlm.nih.gov/gene/?term=KAJ1145913.1", "KAJ1145913.1")</f>
        <v/>
      </c>
      <c r="F8180" t="n">
        <v>30.8</v>
      </c>
      <c r="G8180" t="n">
        <v>237</v>
      </c>
      <c r="H8180" t="n">
        <v>9.49e-20</v>
      </c>
      <c r="I8180" t="inlineStr">
        <is>
          <t>Nr</t>
        </is>
      </c>
      <c r="J8180" t="inlineStr"/>
      <c r="K8180" t="inlineStr"/>
      <c r="L8180" t="inlineStr">
        <is>
          <t>KAJ1145913.1 hypothetical protein NDU88_012196 [Pleurodeles waltl]</t>
        </is>
      </c>
      <c r="M8180" t="n">
        <v>296</v>
      </c>
      <c r="N8180" t="inlineStr">
        <is>
          <t>Pleurodeles waltl</t>
        </is>
      </c>
      <c r="O8180" t="inlineStr">
        <is>
          <t>hypothetical protein NDU88_012196</t>
        </is>
      </c>
    </row>
    <row r="8181">
      <c r="A8181" t="inlineStr"/>
      <c r="B8181" t="inlineStr"/>
      <c r="C8181" t="inlineStr"/>
      <c r="D8181" t="inlineStr"/>
      <c r="E8181">
        <f>HYPERLINK("https://www.uniprot.org/uniprotkb/A0A803J3S0/entry", "A0A803J3S0")</f>
        <v/>
      </c>
      <c r="F8181" t="n">
        <v>37.5</v>
      </c>
      <c r="G8181" t="n">
        <v>144</v>
      </c>
      <c r="H8181" t="n">
        <v>9.58e-20</v>
      </c>
      <c r="I8181" t="inlineStr">
        <is>
          <t>TrEMBL</t>
        </is>
      </c>
      <c r="J8181" t="inlineStr"/>
      <c r="K8181" t="inlineStr">
        <is>
          <t>A0A803J3S0_XENTR</t>
        </is>
      </c>
      <c r="L8181" t="inlineStr">
        <is>
          <t>tr|A0A803J3S0|A0A803J3S0_XENTR Reverse transcriptase domain-containing protein OS=Xenopus tropicalis OX=8364 PE=4 SV=1</t>
        </is>
      </c>
      <c r="M8181" t="n">
        <v>679</v>
      </c>
      <c r="N8181" t="inlineStr">
        <is>
          <t>Xenopus tropicalis</t>
        </is>
      </c>
      <c r="O8181" t="inlineStr">
        <is>
          <t>Reverse transcriptase domain-containing protein</t>
        </is>
      </c>
    </row>
    <row r="8182">
      <c r="A8182" t="inlineStr"/>
      <c r="B8182" t="inlineStr"/>
      <c r="C8182" t="inlineStr"/>
      <c r="D8182" t="inlineStr"/>
      <c r="E8182">
        <f>HYPERLINK("https://www.ncbi.nlm.nih.gov/gene/?term=KAJ1110654.1", "KAJ1110654.1")</f>
        <v/>
      </c>
      <c r="F8182" t="n">
        <v>32.2</v>
      </c>
      <c r="G8182" t="n">
        <v>245</v>
      </c>
      <c r="H8182" t="n">
        <v>1.34e-19</v>
      </c>
      <c r="I8182" t="inlineStr">
        <is>
          <t>Nr</t>
        </is>
      </c>
      <c r="J8182" t="inlineStr"/>
      <c r="K8182" t="inlineStr"/>
      <c r="L8182" t="inlineStr">
        <is>
          <t>KAJ1110654.1 hypothetical protein NDU88_008002 [Pleurodeles waltl]</t>
        </is>
      </c>
      <c r="M8182" t="n">
        <v>242</v>
      </c>
      <c r="N8182" t="inlineStr">
        <is>
          <t>Pleurodeles waltl</t>
        </is>
      </c>
      <c r="O8182" t="inlineStr">
        <is>
          <t>hypothetical protein NDU88_008002</t>
        </is>
      </c>
    </row>
    <row r="8183">
      <c r="A8183" t="inlineStr"/>
      <c r="B8183" t="inlineStr"/>
      <c r="C8183" t="inlineStr"/>
      <c r="D8183" t="inlineStr"/>
      <c r="E8183">
        <f>HYPERLINK("https://www.ncbi.nlm.nih.gov/gene/?term=XP_041420430.1", "XP_041420430.1")</f>
        <v/>
      </c>
      <c r="F8183" t="n">
        <v>31.9</v>
      </c>
      <c r="G8183" t="n">
        <v>229</v>
      </c>
      <c r="H8183" t="n">
        <v>1.42e-19</v>
      </c>
      <c r="I8183" t="inlineStr">
        <is>
          <t>Nr</t>
        </is>
      </c>
      <c r="J8183" t="inlineStr"/>
      <c r="K8183" t="inlineStr"/>
      <c r="L8183" t="inlineStr">
        <is>
          <t>XP_041420430.1 uncharacterized protein LOC121394203 [Xenopus laevis]</t>
        </is>
      </c>
      <c r="M8183" t="n">
        <v>731</v>
      </c>
      <c r="N8183" t="inlineStr">
        <is>
          <t>Xenopus laevis</t>
        </is>
      </c>
      <c r="O8183" t="inlineStr">
        <is>
          <t>uncharacterized protein LOC121394203</t>
        </is>
      </c>
    </row>
    <row r="8184">
      <c r="A8184" t="inlineStr"/>
      <c r="B8184" t="inlineStr"/>
      <c r="C8184" t="inlineStr"/>
      <c r="D8184" t="inlineStr"/>
      <c r="E8184">
        <f>HYPERLINK("https://www.ncbi.nlm.nih.gov/gene/?term=KAJ1219193.1", "KAJ1219193.1")</f>
        <v/>
      </c>
      <c r="F8184" t="n">
        <v>29.5</v>
      </c>
      <c r="G8184" t="n">
        <v>241</v>
      </c>
      <c r="H8184" t="n">
        <v>1.44e-19</v>
      </c>
      <c r="I8184" t="inlineStr">
        <is>
          <t>Nr</t>
        </is>
      </c>
      <c r="J8184" t="inlineStr"/>
      <c r="K8184" t="inlineStr"/>
      <c r="L8184" t="inlineStr">
        <is>
          <t>KAJ1219193.1 hypothetical protein NDU88_006764 [Pleurodeles waltl]</t>
        </is>
      </c>
      <c r="M8184" t="n">
        <v>408</v>
      </c>
      <c r="N8184" t="inlineStr">
        <is>
          <t>Pleurodeles waltl</t>
        </is>
      </c>
      <c r="O8184" t="inlineStr">
        <is>
          <t>hypothetical protein NDU88_006764</t>
        </is>
      </c>
    </row>
    <row r="8185">
      <c r="A8185" t="inlineStr"/>
      <c r="B8185" t="inlineStr"/>
      <c r="C8185" t="inlineStr"/>
      <c r="D8185" t="inlineStr"/>
      <c r="E8185">
        <f>HYPERLINK("https://www.ncbi.nlm.nih.gov/gene/?term=PIO11720.1", "PIO11720.1")</f>
        <v/>
      </c>
      <c r="F8185" t="n">
        <v>27.6</v>
      </c>
      <c r="G8185" t="n">
        <v>243</v>
      </c>
      <c r="H8185" t="n">
        <v>2.66e-19</v>
      </c>
      <c r="I8185" t="inlineStr">
        <is>
          <t>Nr</t>
        </is>
      </c>
      <c r="J8185" t="inlineStr"/>
      <c r="K8185" t="inlineStr"/>
      <c r="L8185" t="inlineStr">
        <is>
          <t>PIO11720.1 hypothetical protein AB205_0093780 [Lithobates catesbeianus]</t>
        </is>
      </c>
      <c r="M8185" t="n">
        <v>448</v>
      </c>
      <c r="N8185" t="inlineStr">
        <is>
          <t>Lithobates catesbeianus</t>
        </is>
      </c>
      <c r="O8185" t="inlineStr">
        <is>
          <t>hypothetical protein AB205_0093780</t>
        </is>
      </c>
    </row>
    <row r="8186">
      <c r="A8186" t="inlineStr"/>
      <c r="B8186" t="inlineStr"/>
      <c r="C8186" t="inlineStr"/>
      <c r="D8186" t="inlineStr"/>
      <c r="E8186">
        <f>HYPERLINK("https://www.ncbi.nlm.nih.gov/gene/?term=PIO37882.1", "PIO37882.1")</f>
        <v/>
      </c>
      <c r="F8186" t="n">
        <v>37</v>
      </c>
      <c r="G8186" t="n">
        <v>127</v>
      </c>
      <c r="H8186" t="n">
        <v>4.97e-19</v>
      </c>
      <c r="I8186" t="inlineStr">
        <is>
          <t>Nr</t>
        </is>
      </c>
      <c r="J8186" t="inlineStr"/>
      <c r="K8186" t="inlineStr"/>
      <c r="L8186" t="inlineStr">
        <is>
          <t>PIO37882.1 hypothetical protein AB205_0152490 [Lithobates catesbeianus]</t>
        </is>
      </c>
      <c r="M8186" t="n">
        <v>822</v>
      </c>
      <c r="N8186" t="inlineStr">
        <is>
          <t>Lithobates catesbeianus</t>
        </is>
      </c>
      <c r="O8186" t="inlineStr">
        <is>
          <t>hypothetical protein AB205_0152490</t>
        </is>
      </c>
    </row>
    <row r="8187">
      <c r="A8187" t="inlineStr"/>
      <c r="B8187" t="inlineStr"/>
      <c r="C8187" t="inlineStr"/>
      <c r="D8187" t="inlineStr"/>
      <c r="E8187">
        <f>HYPERLINK("https://www.ncbi.nlm.nih.gov/gene/?term=XP_013889702.1", "XP_013889702.1")</f>
        <v/>
      </c>
      <c r="F8187" t="n">
        <v>28.2</v>
      </c>
      <c r="G8187" t="n">
        <v>241</v>
      </c>
      <c r="H8187" t="n">
        <v>9.34e-19</v>
      </c>
      <c r="I8187" t="inlineStr">
        <is>
          <t>Nr</t>
        </is>
      </c>
      <c r="J8187" t="inlineStr"/>
      <c r="K8187" t="inlineStr"/>
      <c r="L8187" t="inlineStr">
        <is>
          <t>XP_013889702.1 PREDICTED: uncharacterized protein LOC106536907, partial [Austrofundulus limnaeus]</t>
        </is>
      </c>
      <c r="M8187" t="n">
        <v>448</v>
      </c>
      <c r="N8187" t="inlineStr">
        <is>
          <t>Austrofundulus limnaeus</t>
        </is>
      </c>
      <c r="O8187" t="inlineStr">
        <is>
          <t>PREDICTED: uncharacterized protein LOC106536907, partial</t>
        </is>
      </c>
    </row>
    <row r="8188">
      <c r="A8188" t="inlineStr"/>
      <c r="B8188" t="inlineStr"/>
      <c r="C8188" t="inlineStr"/>
      <c r="D8188" t="inlineStr"/>
      <c r="E8188">
        <f>HYPERLINK("https://www.ncbi.nlm.nih.gov/gene/?term=KAJ1198834.1", "KAJ1198834.1")</f>
        <v/>
      </c>
      <c r="F8188" t="n">
        <v>30.2</v>
      </c>
      <c r="G8188" t="n">
        <v>232</v>
      </c>
      <c r="H8188" t="n">
        <v>9.729999999999999e-19</v>
      </c>
      <c r="I8188" t="inlineStr">
        <is>
          <t>Nr</t>
        </is>
      </c>
      <c r="J8188" t="inlineStr"/>
      <c r="K8188" t="inlineStr"/>
      <c r="L8188" t="inlineStr">
        <is>
          <t>KAJ1198834.1 hypothetical protein NDU88_002673 [Pleurodeles waltl]</t>
        </is>
      </c>
      <c r="M8188" t="n">
        <v>320</v>
      </c>
      <c r="N8188" t="inlineStr">
        <is>
          <t>Pleurodeles waltl</t>
        </is>
      </c>
      <c r="O8188" t="inlineStr">
        <is>
          <t>hypothetical protein NDU88_002673</t>
        </is>
      </c>
    </row>
    <row r="8189">
      <c r="A8189" t="inlineStr"/>
      <c r="B8189" t="inlineStr"/>
      <c r="C8189" t="inlineStr"/>
      <c r="D8189" t="inlineStr"/>
      <c r="E8189">
        <f>HYPERLINK("https://www.ncbi.nlm.nih.gov/gene/?term=KAJ1127340.1", "KAJ1127340.1")</f>
        <v/>
      </c>
      <c r="F8189" t="n">
        <v>32</v>
      </c>
      <c r="G8189" t="n">
        <v>225</v>
      </c>
      <c r="H8189" t="n">
        <v>1.06e-18</v>
      </c>
      <c r="I8189" t="inlineStr">
        <is>
          <t>Nr</t>
        </is>
      </c>
      <c r="J8189" t="inlineStr"/>
      <c r="K8189" t="inlineStr"/>
      <c r="L8189" t="inlineStr">
        <is>
          <t>KAJ1127340.1 hypothetical protein NDU88_005743 [Pleurodeles waltl]</t>
        </is>
      </c>
      <c r="M8189" t="n">
        <v>471</v>
      </c>
      <c r="N8189" t="inlineStr">
        <is>
          <t>Pleurodeles waltl</t>
        </is>
      </c>
      <c r="O8189" t="inlineStr">
        <is>
          <t>hypothetical protein NDU88_005743</t>
        </is>
      </c>
    </row>
    <row r="8190">
      <c r="A8190" t="inlineStr"/>
      <c r="B8190" t="inlineStr"/>
      <c r="C8190" t="inlineStr"/>
      <c r="D8190" t="inlineStr"/>
      <c r="E8190">
        <f>HYPERLINK("https://www.ncbi.nlm.nih.gov/gene/?term=KAJ1144693.1", "KAJ1144693.1")</f>
        <v/>
      </c>
      <c r="F8190" t="n">
        <v>31.4</v>
      </c>
      <c r="G8190" t="n">
        <v>229</v>
      </c>
      <c r="H8190" t="n">
        <v>1.79e-18</v>
      </c>
      <c r="I8190" t="inlineStr">
        <is>
          <t>Nr</t>
        </is>
      </c>
      <c r="J8190" t="inlineStr"/>
      <c r="K8190" t="inlineStr"/>
      <c r="L8190" t="inlineStr">
        <is>
          <t>KAJ1144693.1 hypothetical protein NDU88_010990 [Pleurodeles waltl]</t>
        </is>
      </c>
      <c r="M8190" t="n">
        <v>1095</v>
      </c>
      <c r="N8190" t="inlineStr">
        <is>
          <t>Pleurodeles waltl</t>
        </is>
      </c>
      <c r="O8190" t="inlineStr">
        <is>
          <t>hypothetical protein NDU88_010990</t>
        </is>
      </c>
    </row>
    <row r="8191">
      <c r="A8191" t="inlineStr"/>
      <c r="B8191" t="inlineStr"/>
      <c r="C8191" t="inlineStr"/>
      <c r="D8191" t="inlineStr"/>
      <c r="E8191">
        <f>HYPERLINK("https://www.ncbi.nlm.nih.gov/gene/?term=XP_040267746.1", "XP_040267746.1")</f>
        <v/>
      </c>
      <c r="F8191" t="n">
        <v>40.4</v>
      </c>
      <c r="G8191" t="n">
        <v>136</v>
      </c>
      <c r="H8191" t="n">
        <v>2.29e-18</v>
      </c>
      <c r="I8191" t="inlineStr">
        <is>
          <t>Nr</t>
        </is>
      </c>
      <c r="J8191" t="inlineStr"/>
      <c r="K8191" t="inlineStr"/>
      <c r="L8191" t="inlineStr">
        <is>
          <t>XP_040267746.1 sodium-coupled monocarboxylate transporter 1-like [Bufo bufo]</t>
        </is>
      </c>
      <c r="M8191" t="n">
        <v>838</v>
      </c>
      <c r="N8191" t="inlineStr">
        <is>
          <t>Bufo bufo</t>
        </is>
      </c>
      <c r="O8191" t="inlineStr">
        <is>
          <t>sodium-coupled monocarboxylate transporter 1-like</t>
        </is>
      </c>
    </row>
    <row r="8192">
      <c r="A8192" t="inlineStr"/>
      <c r="B8192" t="inlineStr"/>
      <c r="C8192" t="inlineStr"/>
      <c r="D8192" t="inlineStr"/>
      <c r="E8192">
        <f>HYPERLINK("https://www.ncbi.nlm.nih.gov/gene/?term=KAJ1127337.1", "KAJ1127337.1")</f>
        <v/>
      </c>
      <c r="F8192" t="n">
        <v>32</v>
      </c>
      <c r="G8192" t="n">
        <v>225</v>
      </c>
      <c r="H8192" t="n">
        <v>2.69e-18</v>
      </c>
      <c r="I8192" t="inlineStr">
        <is>
          <t>Nr</t>
        </is>
      </c>
      <c r="J8192" t="inlineStr"/>
      <c r="K8192" t="inlineStr"/>
      <c r="L8192" t="inlineStr">
        <is>
          <t>KAJ1127337.1 hypothetical protein NDU88_005740 [Pleurodeles waltl]</t>
        </is>
      </c>
      <c r="M8192" t="n">
        <v>471</v>
      </c>
      <c r="N8192" t="inlineStr">
        <is>
          <t>Pleurodeles waltl</t>
        </is>
      </c>
      <c r="O8192" t="inlineStr">
        <is>
          <t>hypothetical protein NDU88_005740</t>
        </is>
      </c>
    </row>
    <row r="8193">
      <c r="A8193" t="inlineStr"/>
      <c r="B8193" t="inlineStr"/>
      <c r="C8193" t="inlineStr"/>
      <c r="D8193" t="inlineStr"/>
      <c r="E8193">
        <f>HYPERLINK("https://www.ncbi.nlm.nih.gov/gene/?term=XP_033783167.1", "XP_033783167.1")</f>
        <v/>
      </c>
      <c r="F8193" t="n">
        <v>29.2</v>
      </c>
      <c r="G8193" t="n">
        <v>233</v>
      </c>
      <c r="H8193" t="n">
        <v>5.76e-18</v>
      </c>
      <c r="I8193" t="inlineStr">
        <is>
          <t>Nr</t>
        </is>
      </c>
      <c r="J8193" t="inlineStr"/>
      <c r="K8193" t="inlineStr"/>
      <c r="L8193" t="inlineStr">
        <is>
          <t>XP_033783167.1 uncharacterized protein LOC117351659 [Geotrypetes seraphini]</t>
        </is>
      </c>
      <c r="M8193" t="n">
        <v>509</v>
      </c>
      <c r="N8193" t="inlineStr">
        <is>
          <t>Geotrypetes seraphini</t>
        </is>
      </c>
      <c r="O8193" t="inlineStr">
        <is>
          <t>uncharacterized protein LOC117351659</t>
        </is>
      </c>
    </row>
    <row r="8194">
      <c r="A8194" t="inlineStr"/>
      <c r="B8194" t="inlineStr"/>
      <c r="C8194" t="inlineStr"/>
      <c r="D8194" t="inlineStr"/>
      <c r="E8194">
        <f>HYPERLINK("https://www.ncbi.nlm.nih.gov/gene/?term=KAJ1097759.1", "KAJ1097759.1")</f>
        <v/>
      </c>
      <c r="F8194" t="n">
        <v>30.5</v>
      </c>
      <c r="G8194" t="n">
        <v>243</v>
      </c>
      <c r="H8194" t="n">
        <v>6.31e-18</v>
      </c>
      <c r="I8194" t="inlineStr">
        <is>
          <t>Nr</t>
        </is>
      </c>
      <c r="J8194" t="inlineStr"/>
      <c r="K8194" t="inlineStr"/>
      <c r="L8194" t="inlineStr">
        <is>
          <t>KAJ1097759.1 hypothetical protein NDU88_002876 [Pleurodeles waltl]</t>
        </is>
      </c>
      <c r="M8194" t="n">
        <v>314</v>
      </c>
      <c r="N8194" t="inlineStr">
        <is>
          <t>Pleurodeles waltl</t>
        </is>
      </c>
      <c r="O8194" t="inlineStr">
        <is>
          <t>hypothetical protein NDU88_002876</t>
        </is>
      </c>
    </row>
    <row r="8195">
      <c r="A8195" t="inlineStr"/>
      <c r="B8195" t="inlineStr"/>
      <c r="C8195" t="inlineStr"/>
      <c r="D8195" t="inlineStr"/>
      <c r="E8195">
        <f>HYPERLINK("https://www.ncbi.nlm.nih.gov/gene/?term=KAJ1155488.1", "KAJ1155488.1")</f>
        <v/>
      </c>
      <c r="F8195" t="n">
        <v>31.6</v>
      </c>
      <c r="G8195" t="n">
        <v>247</v>
      </c>
      <c r="H8195" t="n">
        <v>9.160000000000001e-18</v>
      </c>
      <c r="I8195" t="inlineStr">
        <is>
          <t>Nr</t>
        </is>
      </c>
      <c r="J8195" t="inlineStr"/>
      <c r="K8195" t="inlineStr"/>
      <c r="L8195" t="inlineStr">
        <is>
          <t>KAJ1155488.1 hypothetical protein NDU88_008218 [Pleurodeles waltl]</t>
        </is>
      </c>
      <c r="M8195" t="n">
        <v>593</v>
      </c>
      <c r="N8195" t="inlineStr">
        <is>
          <t>Pleurodeles waltl</t>
        </is>
      </c>
      <c r="O8195" t="inlineStr">
        <is>
          <t>hypothetical protein NDU88_008218</t>
        </is>
      </c>
    </row>
    <row r="8196">
      <c r="A8196" t="inlineStr"/>
      <c r="B8196" t="inlineStr"/>
      <c r="C8196" t="inlineStr"/>
      <c r="D8196" t="inlineStr"/>
      <c r="E8196">
        <f>HYPERLINK("https://www.ncbi.nlm.nih.gov/gene/?term=OCT99728.1", "OCT99728.1")</f>
        <v/>
      </c>
      <c r="F8196" t="n">
        <v>31.5</v>
      </c>
      <c r="G8196" t="n">
        <v>222</v>
      </c>
      <c r="H8196" t="n">
        <v>9.420000000000001e-18</v>
      </c>
      <c r="I8196" t="inlineStr">
        <is>
          <t>Nr</t>
        </is>
      </c>
      <c r="J8196" t="inlineStr"/>
      <c r="K8196" t="inlineStr"/>
      <c r="L8196" t="inlineStr">
        <is>
          <t>OCT99728.1 hypothetical protein XELAEV_18005509mg [Xenopus laevis]</t>
        </is>
      </c>
      <c r="M8196" t="n">
        <v>473</v>
      </c>
      <c r="N8196" t="inlineStr">
        <is>
          <t>Xenopus laevis</t>
        </is>
      </c>
      <c r="O8196" t="inlineStr">
        <is>
          <t>hypothetical protein XELAEV_18005509mg</t>
        </is>
      </c>
    </row>
    <row r="8197">
      <c r="A8197" t="inlineStr"/>
      <c r="B8197" t="inlineStr"/>
      <c r="C8197" t="inlineStr"/>
      <c r="D8197" t="inlineStr"/>
      <c r="E8197">
        <f>HYPERLINK("https://www.ncbi.nlm.nih.gov/gene/?term=KAJ1127338.1", "KAJ1127338.1")</f>
        <v/>
      </c>
      <c r="F8197" t="n">
        <v>31.6</v>
      </c>
      <c r="G8197" t="n">
        <v>225</v>
      </c>
      <c r="H8197" t="n">
        <v>1.27e-17</v>
      </c>
      <c r="I8197" t="inlineStr">
        <is>
          <t>Nr</t>
        </is>
      </c>
      <c r="J8197" t="inlineStr"/>
      <c r="K8197" t="inlineStr"/>
      <c r="L8197" t="inlineStr">
        <is>
          <t>KAJ1127338.1 hypothetical protein NDU88_005741 [Pleurodeles waltl]</t>
        </is>
      </c>
      <c r="M8197" t="n">
        <v>471</v>
      </c>
      <c r="N8197" t="inlineStr">
        <is>
          <t>Pleurodeles waltl</t>
        </is>
      </c>
      <c r="O8197" t="inlineStr">
        <is>
          <t>hypothetical protein NDU88_005741</t>
        </is>
      </c>
    </row>
    <row r="8198">
      <c r="A8198" t="inlineStr"/>
      <c r="B8198" t="inlineStr"/>
      <c r="C8198" t="inlineStr"/>
      <c r="D8198" t="inlineStr"/>
      <c r="E8198">
        <f>HYPERLINK("https://www.ncbi.nlm.nih.gov/gene/?term=XP_040197488.1", "XP_040197488.1")</f>
        <v/>
      </c>
      <c r="F8198" t="n">
        <v>29.8</v>
      </c>
      <c r="G8198" t="n">
        <v>228</v>
      </c>
      <c r="H8198" t="n">
        <v>1.71e-17</v>
      </c>
      <c r="I8198" t="inlineStr">
        <is>
          <t>Nr</t>
        </is>
      </c>
      <c r="J8198" t="inlineStr"/>
      <c r="K8198" t="inlineStr"/>
      <c r="L8198" t="inlineStr">
        <is>
          <t>XP_040197488.1 olfactory receptor 5I1-like [Rana temporaria]</t>
        </is>
      </c>
      <c r="M8198" t="n">
        <v>609</v>
      </c>
      <c r="N8198" t="inlineStr">
        <is>
          <t>Rana temporaria</t>
        </is>
      </c>
      <c r="O8198" t="inlineStr">
        <is>
          <t>olfactory receptor 5I1-like</t>
        </is>
      </c>
    </row>
    <row r="8199">
      <c r="A8199" t="inlineStr"/>
      <c r="B8199" t="inlineStr"/>
      <c r="C8199" t="inlineStr"/>
      <c r="D8199" t="inlineStr"/>
      <c r="E8199">
        <f>HYPERLINK("https://www.ncbi.nlm.nih.gov/gene/?term=OCT97616.1", "OCT97616.1")</f>
        <v/>
      </c>
      <c r="F8199" t="n">
        <v>28.9</v>
      </c>
      <c r="G8199" t="n">
        <v>159</v>
      </c>
      <c r="H8199" t="n">
        <v>2.18e-10</v>
      </c>
      <c r="I8199" t="inlineStr">
        <is>
          <t>Nr</t>
        </is>
      </c>
      <c r="J8199" t="inlineStr"/>
      <c r="K8199" t="inlineStr"/>
      <c r="L8199" t="inlineStr">
        <is>
          <t>OCT97616.1 hypothetical protein XELAEV_18009846mg [Xenopus laevis]</t>
        </is>
      </c>
      <c r="M8199" t="n">
        <v>256</v>
      </c>
      <c r="N8199" t="inlineStr">
        <is>
          <t>Xenopus laevis</t>
        </is>
      </c>
      <c r="O8199" t="inlineStr">
        <is>
          <t>hypothetical protein XELAEV_18009846mg</t>
        </is>
      </c>
    </row>
    <row r="8200">
      <c r="A8200" t="inlineStr"/>
      <c r="B8200" t="inlineStr"/>
      <c r="C8200" t="inlineStr"/>
      <c r="D8200" t="inlineStr"/>
      <c r="E8200">
        <f>HYPERLINK("https://www.ncbi.nlm.nih.gov/gene/?term=OCT78081.1", "OCT78081.1")</f>
        <v/>
      </c>
      <c r="F8200" t="n">
        <v>30.2</v>
      </c>
      <c r="G8200" t="n">
        <v>126</v>
      </c>
      <c r="H8200" t="n">
        <v>2.63e-10</v>
      </c>
      <c r="I8200" t="inlineStr">
        <is>
          <t>Nr</t>
        </is>
      </c>
      <c r="J8200" t="inlineStr"/>
      <c r="K8200" t="inlineStr"/>
      <c r="L8200" t="inlineStr">
        <is>
          <t>OCT78081.1 hypothetical protein XELAEV_18029181mg [Xenopus laevis]</t>
        </is>
      </c>
      <c r="M8200" t="n">
        <v>170</v>
      </c>
      <c r="N8200" t="inlineStr">
        <is>
          <t>Xenopus laevis</t>
        </is>
      </c>
      <c r="O8200" t="inlineStr">
        <is>
          <t>hypothetical protein XELAEV_18029181mg</t>
        </is>
      </c>
    </row>
    <row r="8201">
      <c r="A8201" t="inlineStr"/>
      <c r="B8201" t="inlineStr"/>
      <c r="C8201" t="inlineStr"/>
      <c r="D8201" t="inlineStr"/>
      <c r="E8201">
        <f>HYPERLINK("https://www.ncbi.nlm.nih.gov/gene/?term=OCU02666.1", "OCU02666.1")</f>
        <v/>
      </c>
      <c r="F8201" t="n">
        <v>28.2</v>
      </c>
      <c r="G8201" t="n">
        <v>156</v>
      </c>
      <c r="H8201" t="n">
        <v>4.75e-10</v>
      </c>
      <c r="I8201" t="inlineStr">
        <is>
          <t>Nr</t>
        </is>
      </c>
      <c r="J8201" t="inlineStr"/>
      <c r="K8201" t="inlineStr"/>
      <c r="L8201" t="inlineStr">
        <is>
          <t>OCU02666.1 hypothetical protein XELAEV_18008432mg [Xenopus laevis]</t>
        </is>
      </c>
      <c r="M8201" t="n">
        <v>243</v>
      </c>
      <c r="N8201" t="inlineStr">
        <is>
          <t>Xenopus laevis</t>
        </is>
      </c>
      <c r="O8201" t="inlineStr">
        <is>
          <t>hypothetical protein XELAEV_18008432mg</t>
        </is>
      </c>
    </row>
    <row r="8202">
      <c r="A8202" t="inlineStr"/>
      <c r="B8202" t="inlineStr"/>
      <c r="C8202" t="inlineStr"/>
      <c r="D8202" t="inlineStr"/>
      <c r="E8202">
        <f>HYPERLINK("https://www.ncbi.nlm.nih.gov/gene/?term=OCT83922.1", "OCT83922.1")</f>
        <v/>
      </c>
      <c r="F8202" t="n">
        <v>30.6</v>
      </c>
      <c r="G8202" t="n">
        <v>147</v>
      </c>
      <c r="H8202" t="n">
        <v>7.06e-10</v>
      </c>
      <c r="I8202" t="inlineStr">
        <is>
          <t>Nr</t>
        </is>
      </c>
      <c r="J8202" t="inlineStr"/>
      <c r="K8202" t="inlineStr"/>
      <c r="L8202" t="inlineStr">
        <is>
          <t>OCT83922.1 hypothetical protein XELAEV_18022061mg [Xenopus laevis]</t>
        </is>
      </c>
      <c r="M8202" t="n">
        <v>310</v>
      </c>
      <c r="N8202" t="inlineStr">
        <is>
          <t>Xenopus laevis</t>
        </is>
      </c>
      <c r="O8202" t="inlineStr">
        <is>
          <t>hypothetical protein XELAEV_18022061mg</t>
        </is>
      </c>
    </row>
    <row r="8203">
      <c r="A8203" t="inlineStr"/>
      <c r="B8203" t="inlineStr"/>
      <c r="C8203" t="inlineStr"/>
      <c r="D8203" t="inlineStr"/>
      <c r="E8203">
        <f>HYPERLINK("https://www.ncbi.nlm.nih.gov/gene/?term=OCT60421.1", "OCT60421.1")</f>
        <v/>
      </c>
      <c r="F8203" t="n">
        <v>36.4</v>
      </c>
      <c r="G8203" t="n">
        <v>118</v>
      </c>
      <c r="H8203" t="n">
        <v>1.05e-09</v>
      </c>
      <c r="I8203" t="inlineStr">
        <is>
          <t>Nr</t>
        </is>
      </c>
      <c r="J8203" t="inlineStr"/>
      <c r="K8203" t="inlineStr"/>
      <c r="L8203" t="inlineStr">
        <is>
          <t>OCT60421.1 hypothetical protein XELAEV_18046443mg [Xenopus laevis]</t>
        </is>
      </c>
      <c r="M8203" t="n">
        <v>192</v>
      </c>
      <c r="N8203" t="inlineStr">
        <is>
          <t>Xenopus laevis</t>
        </is>
      </c>
      <c r="O8203" t="inlineStr">
        <is>
          <t>hypothetical protein XELAEV_18046443mg</t>
        </is>
      </c>
    </row>
    <row r="8204">
      <c r="A8204" t="inlineStr"/>
      <c r="B8204" t="inlineStr"/>
      <c r="C8204" t="inlineStr"/>
      <c r="D8204" t="inlineStr"/>
      <c r="E8204">
        <f>HYPERLINK("https://www.ncbi.nlm.nih.gov/gene/?term=OCU00497.1", "OCU00497.1")</f>
        <v/>
      </c>
      <c r="F8204" t="n">
        <v>30.6</v>
      </c>
      <c r="G8204" t="n">
        <v>147</v>
      </c>
      <c r="H8204" t="n">
        <v>1.11e-09</v>
      </c>
      <c r="I8204" t="inlineStr">
        <is>
          <t>Nr</t>
        </is>
      </c>
      <c r="J8204" t="inlineStr"/>
      <c r="K8204" t="inlineStr"/>
      <c r="L8204" t="inlineStr">
        <is>
          <t>OCU00497.1 hypothetical protein XELAEV_18006275mg [Xenopus laevis]</t>
        </is>
      </c>
      <c r="M8204" t="n">
        <v>589</v>
      </c>
      <c r="N8204" t="inlineStr">
        <is>
          <t>Xenopus laevis</t>
        </is>
      </c>
      <c r="O8204" t="inlineStr">
        <is>
          <t>hypothetical protein XELAEV_18006275mg</t>
        </is>
      </c>
    </row>
    <row r="8205">
      <c r="A8205" t="inlineStr"/>
      <c r="B8205" t="inlineStr"/>
      <c r="C8205" t="inlineStr"/>
      <c r="D8205" t="inlineStr"/>
      <c r="E8205">
        <f>HYPERLINK("https://www.uniprot.org/uniprotkb/A0A8J1M155/entry", "A0A8J1M155")</f>
        <v/>
      </c>
      <c r="F8205" t="n">
        <v>30.2</v>
      </c>
      <c r="G8205" t="n">
        <v>126</v>
      </c>
      <c r="H8205" t="n">
        <v>1.31e-09</v>
      </c>
      <c r="I8205" t="inlineStr">
        <is>
          <t>TrEMBL</t>
        </is>
      </c>
      <c r="J8205" t="inlineStr">
        <is>
          <t>LOC121399162</t>
        </is>
      </c>
      <c r="K8205" t="inlineStr">
        <is>
          <t>A0A8J1M155_XENLA</t>
        </is>
      </c>
      <c r="L8205" t="inlineStr">
        <is>
          <t>tr|A0A8J1M155|A0A8J1M155_XENLA uncharacterized protein LOC121399162 OS=Xenopus laevis OX=8355 GN=LOC121399162 PE=4 SV=1</t>
        </is>
      </c>
      <c r="M8205" t="n">
        <v>249</v>
      </c>
      <c r="N8205" t="inlineStr">
        <is>
          <t>Xenopus laevis</t>
        </is>
      </c>
      <c r="O8205" t="inlineStr">
        <is>
          <t>uncharacterized protein LOC121399162</t>
        </is>
      </c>
    </row>
    <row r="8206">
      <c r="A8206" t="inlineStr"/>
      <c r="B8206" t="inlineStr"/>
      <c r="C8206" t="inlineStr"/>
      <c r="D8206" t="inlineStr"/>
      <c r="E8206">
        <f>HYPERLINK("https://www.uniprot.org/uniprotkb/A0A8J1M1Q2/entry", "A0A8J1M1Q2")</f>
        <v/>
      </c>
      <c r="F8206" t="n">
        <v>30</v>
      </c>
      <c r="G8206" t="n">
        <v>130</v>
      </c>
      <c r="H8206" t="n">
        <v>2.4e-09</v>
      </c>
      <c r="I8206" t="inlineStr">
        <is>
          <t>TrEMBL</t>
        </is>
      </c>
      <c r="J8206" t="inlineStr">
        <is>
          <t>LOC121399256</t>
        </is>
      </c>
      <c r="K8206" t="inlineStr">
        <is>
          <t>A0A8J1M1Q2_XENLA</t>
        </is>
      </c>
      <c r="L8206" t="inlineStr">
        <is>
          <t>tr|A0A8J1M1Q2|A0A8J1M1Q2_XENLA uncharacterized protein LOC121399256 OS=Xenopus laevis OX=8355 GN=LOC121399256 PE=4 SV=1</t>
        </is>
      </c>
      <c r="M8206" t="n">
        <v>313</v>
      </c>
      <c r="N8206" t="inlineStr">
        <is>
          <t>Xenopus laevis</t>
        </is>
      </c>
      <c r="O8206" t="inlineStr">
        <is>
          <t>uncharacterized protein LOC121399256</t>
        </is>
      </c>
    </row>
    <row r="8207">
      <c r="A8207" t="inlineStr"/>
      <c r="B8207" t="inlineStr"/>
      <c r="C8207" t="inlineStr"/>
      <c r="D8207" t="inlineStr"/>
      <c r="E8207">
        <f>HYPERLINK("https://www.ncbi.nlm.nih.gov/gene/?term=XP_041435046.1", "XP_041435046.1")</f>
        <v/>
      </c>
      <c r="F8207" t="n">
        <v>30.2</v>
      </c>
      <c r="G8207" t="n">
        <v>126</v>
      </c>
      <c r="H8207" t="n">
        <v>3.37e-09</v>
      </c>
      <c r="I8207" t="inlineStr">
        <is>
          <t>Nr</t>
        </is>
      </c>
      <c r="J8207" t="inlineStr"/>
      <c r="K8207" t="inlineStr"/>
      <c r="L8207" t="inlineStr">
        <is>
          <t>XP_041435046.1 uncharacterized protein LOC121399162 [Xenopus laevis]</t>
        </is>
      </c>
      <c r="M8207" t="n">
        <v>249</v>
      </c>
      <c r="N8207" t="inlineStr">
        <is>
          <t>Xenopus laevis</t>
        </is>
      </c>
      <c r="O8207" t="inlineStr">
        <is>
          <t>uncharacterized protein LOC121399162</t>
        </is>
      </c>
    </row>
    <row r="8208">
      <c r="A8208" t="inlineStr"/>
      <c r="B8208" t="inlineStr"/>
      <c r="C8208" t="inlineStr"/>
      <c r="D8208" t="inlineStr"/>
      <c r="E8208">
        <f>HYPERLINK("https://www.ncbi.nlm.nih.gov/gene/?term=KAJ1207412.1", "KAJ1207412.1")</f>
        <v/>
      </c>
      <c r="F8208" t="n">
        <v>36.6</v>
      </c>
      <c r="G8208" t="n">
        <v>112</v>
      </c>
      <c r="H8208" t="n">
        <v>3.46e-09</v>
      </c>
      <c r="I8208" t="inlineStr">
        <is>
          <t>Nr</t>
        </is>
      </c>
      <c r="J8208" t="inlineStr"/>
      <c r="K8208" t="inlineStr"/>
      <c r="L8208" t="inlineStr">
        <is>
          <t>KAJ1207412.1 hypothetical protein NDU88_002803 [Pleurodeles waltl]</t>
        </is>
      </c>
      <c r="M8208" t="n">
        <v>227</v>
      </c>
      <c r="N8208" t="inlineStr">
        <is>
          <t>Pleurodeles waltl</t>
        </is>
      </c>
      <c r="O8208" t="inlineStr">
        <is>
          <t>hypothetical protein NDU88_002803</t>
        </is>
      </c>
    </row>
    <row r="8209">
      <c r="A8209" t="inlineStr"/>
      <c r="B8209" t="inlineStr"/>
      <c r="C8209" t="inlineStr"/>
      <c r="D8209" t="inlineStr"/>
      <c r="E8209">
        <f>HYPERLINK("https://www.ncbi.nlm.nih.gov/gene/?term=KAJ1106623.1", "KAJ1106623.1")</f>
        <v/>
      </c>
      <c r="F8209" t="n">
        <v>33.8</v>
      </c>
      <c r="G8209" t="n">
        <v>130</v>
      </c>
      <c r="H8209" t="n">
        <v>3.95e-09</v>
      </c>
      <c r="I8209" t="inlineStr">
        <is>
          <t>Nr</t>
        </is>
      </c>
      <c r="J8209" t="inlineStr"/>
      <c r="K8209" t="inlineStr"/>
      <c r="L8209" t="inlineStr">
        <is>
          <t>KAJ1106623.1 hypothetical protein NDU88_004024 [Pleurodeles waltl]</t>
        </is>
      </c>
      <c r="M8209" t="n">
        <v>177</v>
      </c>
      <c r="N8209" t="inlineStr">
        <is>
          <t>Pleurodeles waltl</t>
        </is>
      </c>
      <c r="O8209" t="inlineStr">
        <is>
          <t>hypothetical protein NDU88_004024</t>
        </is>
      </c>
    </row>
    <row r="8210">
      <c r="A8210" t="inlineStr"/>
      <c r="B8210" t="inlineStr"/>
      <c r="C8210" t="inlineStr"/>
      <c r="D8210" t="inlineStr"/>
      <c r="E8210">
        <f>HYPERLINK("https://www.ncbi.nlm.nih.gov/gene/?term=OCT84824.1", "OCT84824.1")</f>
        <v/>
      </c>
      <c r="F8210" t="n">
        <v>29.4</v>
      </c>
      <c r="G8210" t="n">
        <v>136</v>
      </c>
      <c r="H8210" t="n">
        <v>4.76e-09</v>
      </c>
      <c r="I8210" t="inlineStr">
        <is>
          <t>Nr</t>
        </is>
      </c>
      <c r="J8210" t="inlineStr"/>
      <c r="K8210" t="inlineStr"/>
      <c r="L8210" t="inlineStr">
        <is>
          <t>OCT84824.1 hypothetical protein XELAEV_18022981mg, partial [Xenopus laevis]</t>
        </is>
      </c>
      <c r="M8210" t="n">
        <v>281</v>
      </c>
      <c r="N8210" t="inlineStr">
        <is>
          <t>Xenopus laevis</t>
        </is>
      </c>
      <c r="O8210" t="inlineStr">
        <is>
          <t>hypothetical protein XELAEV_18022981mg, partial</t>
        </is>
      </c>
    </row>
    <row r="8211">
      <c r="A8211" t="inlineStr"/>
      <c r="B8211" t="inlineStr"/>
      <c r="C8211" t="inlineStr"/>
      <c r="D8211" t="inlineStr"/>
      <c r="E8211">
        <f>HYPERLINK("https://www.ncbi.nlm.nih.gov/gene/?term=KAJ1215698.1", "KAJ1215698.1")</f>
        <v/>
      </c>
      <c r="F8211" t="n">
        <v>34.8</v>
      </c>
      <c r="G8211" t="n">
        <v>112</v>
      </c>
      <c r="H8211" t="n">
        <v>5.3e-09</v>
      </c>
      <c r="I8211" t="inlineStr">
        <is>
          <t>Nr</t>
        </is>
      </c>
      <c r="J8211" t="inlineStr"/>
      <c r="K8211" t="inlineStr"/>
      <c r="L8211" t="inlineStr">
        <is>
          <t>KAJ1215698.1 hypothetical protein NDU88_003306 [Pleurodeles waltl]</t>
        </is>
      </c>
      <c r="M8211" t="n">
        <v>261</v>
      </c>
      <c r="N8211" t="inlineStr">
        <is>
          <t>Pleurodeles waltl</t>
        </is>
      </c>
      <c r="O8211" t="inlineStr">
        <is>
          <t>hypothetical protein NDU88_003306</t>
        </is>
      </c>
    </row>
    <row r="8212">
      <c r="A8212" t="inlineStr"/>
      <c r="B8212" t="inlineStr"/>
      <c r="C8212" t="inlineStr"/>
      <c r="D8212" t="inlineStr"/>
      <c r="E8212">
        <f>HYPERLINK("https://www.ncbi.nlm.nih.gov/gene/?term=XP_041435251.1", "XP_041435251.1")</f>
        <v/>
      </c>
      <c r="F8212" t="n">
        <v>30</v>
      </c>
      <c r="G8212" t="n">
        <v>130</v>
      </c>
      <c r="H8212" t="n">
        <v>6.17e-09</v>
      </c>
      <c r="I8212" t="inlineStr">
        <is>
          <t>Nr</t>
        </is>
      </c>
      <c r="J8212" t="inlineStr"/>
      <c r="K8212" t="inlineStr"/>
      <c r="L8212" t="inlineStr">
        <is>
          <t>XP_041435251.1 uncharacterized protein LOC121399256 [Xenopus laevis]</t>
        </is>
      </c>
      <c r="M8212" t="n">
        <v>313</v>
      </c>
      <c r="N8212" t="inlineStr">
        <is>
          <t>Xenopus laevis</t>
        </is>
      </c>
      <c r="O8212" t="inlineStr">
        <is>
          <t>uncharacterized protein LOC121399256</t>
        </is>
      </c>
    </row>
    <row r="8213">
      <c r="A8213" t="inlineStr"/>
      <c r="B8213" t="inlineStr"/>
      <c r="C8213" t="inlineStr"/>
      <c r="D8213" t="inlineStr"/>
      <c r="E8213">
        <f>HYPERLINK("https://www.ncbi.nlm.nih.gov/gene/?term=KAG8593608.1", "KAG8593608.1")</f>
        <v/>
      </c>
      <c r="F8213" t="n">
        <v>28.8</v>
      </c>
      <c r="G8213" t="n">
        <v>132</v>
      </c>
      <c r="H8213" t="n">
        <v>8.9e-09</v>
      </c>
      <c r="I8213" t="inlineStr">
        <is>
          <t>Nr</t>
        </is>
      </c>
      <c r="J8213" t="inlineStr"/>
      <c r="K8213" t="inlineStr"/>
      <c r="L8213" t="inlineStr">
        <is>
          <t>KAG8593608.1 hypothetical protein GDO81_000903 [Engystomops pustulosus]</t>
        </is>
      </c>
      <c r="M8213" t="n">
        <v>282</v>
      </c>
      <c r="N8213" t="inlineStr">
        <is>
          <t>Engystomops pustulosus</t>
        </is>
      </c>
      <c r="O8213" t="inlineStr">
        <is>
          <t>hypothetical protein GDO81_000903</t>
        </is>
      </c>
    </row>
    <row r="8214">
      <c r="A8214" t="inlineStr"/>
      <c r="B8214" t="inlineStr"/>
      <c r="C8214" t="inlineStr"/>
      <c r="D8214" t="inlineStr"/>
      <c r="E8214">
        <f>HYPERLINK("https://www.ncbi.nlm.nih.gov/gene/?term=OCT99700.1", "OCT99700.1")</f>
        <v/>
      </c>
      <c r="F8214" t="n">
        <v>32.8</v>
      </c>
      <c r="G8214" t="n">
        <v>122</v>
      </c>
      <c r="H8214" t="n">
        <v>1.04e-08</v>
      </c>
      <c r="I8214" t="inlineStr">
        <is>
          <t>Nr</t>
        </is>
      </c>
      <c r="J8214" t="inlineStr"/>
      <c r="K8214" t="inlineStr"/>
      <c r="L8214" t="inlineStr">
        <is>
          <t>OCT99700.1 hypothetical protein XELAEV_18005484mg [Xenopus laevis]</t>
        </is>
      </c>
      <c r="M8214" t="n">
        <v>301</v>
      </c>
      <c r="N8214" t="inlineStr">
        <is>
          <t>Xenopus laevis</t>
        </is>
      </c>
      <c r="O8214" t="inlineStr">
        <is>
          <t>hypothetical protein XELAEV_18005484mg</t>
        </is>
      </c>
    </row>
    <row r="8215">
      <c r="A8215" t="inlineStr"/>
      <c r="B8215" t="inlineStr"/>
      <c r="C8215" t="inlineStr"/>
      <c r="D8215" t="inlineStr"/>
      <c r="E8215">
        <f>HYPERLINK("https://www.uniprot.org/uniprotkb/A0A8J1L5B0/entry", "A0A8J1L5B0")</f>
        <v/>
      </c>
      <c r="F8215" t="n">
        <v>30</v>
      </c>
      <c r="G8215" t="n">
        <v>130</v>
      </c>
      <c r="H8215" t="n">
        <v>1.1e-08</v>
      </c>
      <c r="I8215" t="inlineStr">
        <is>
          <t>TrEMBL</t>
        </is>
      </c>
      <c r="J8215" t="inlineStr">
        <is>
          <t>LOC121395395</t>
        </is>
      </c>
      <c r="K8215" t="inlineStr">
        <is>
          <t>A0A8J1L5B0_XENLA</t>
        </is>
      </c>
      <c r="L8215" t="inlineStr">
        <is>
          <t>tr|A0A8J1L5B0|A0A8J1L5B0_XENLA uncharacterized protein LOC121395395 OS=Xenopus laevis OX=8355 GN=LOC121395395 PE=4 SV=1</t>
        </is>
      </c>
      <c r="M8215" t="n">
        <v>313</v>
      </c>
      <c r="N8215" t="inlineStr">
        <is>
          <t>Xenopus laevis</t>
        </is>
      </c>
      <c r="O8215" t="inlineStr">
        <is>
          <t>uncharacterized protein LOC121395395</t>
        </is>
      </c>
    </row>
    <row r="8216">
      <c r="A8216" t="inlineStr"/>
      <c r="B8216" t="inlineStr"/>
      <c r="C8216" t="inlineStr"/>
      <c r="D8216" t="inlineStr"/>
      <c r="E8216">
        <f>HYPERLINK("https://www.ncbi.nlm.nih.gov/gene/?term=KAJ1097854.1", "KAJ1097854.1")</f>
        <v/>
      </c>
      <c r="F8216" t="n">
        <v>34.8</v>
      </c>
      <c r="G8216" t="n">
        <v>112</v>
      </c>
      <c r="H8216" t="n">
        <v>1.2e-08</v>
      </c>
      <c r="I8216" t="inlineStr">
        <is>
          <t>Nr</t>
        </is>
      </c>
      <c r="J8216" t="inlineStr"/>
      <c r="K8216" t="inlineStr"/>
      <c r="L8216" t="inlineStr">
        <is>
          <t>KAJ1097854.1 hypothetical protein NDU88_002970 [Pleurodeles waltl]</t>
        </is>
      </c>
      <c r="M8216" t="n">
        <v>226</v>
      </c>
      <c r="N8216" t="inlineStr">
        <is>
          <t>Pleurodeles waltl</t>
        </is>
      </c>
      <c r="O8216" t="inlineStr">
        <is>
          <t>hypothetical protein NDU88_002970</t>
        </is>
      </c>
    </row>
    <row r="8217">
      <c r="A8217" t="inlineStr"/>
      <c r="B8217" t="inlineStr"/>
      <c r="C8217" t="inlineStr"/>
      <c r="D8217" t="inlineStr"/>
      <c r="E8217">
        <f>HYPERLINK("https://www.ncbi.nlm.nih.gov/gene/?term=OCT76223.1", "OCT76223.1")</f>
        <v/>
      </c>
      <c r="F8217" t="n">
        <v>31.4</v>
      </c>
      <c r="G8217" t="n">
        <v>140</v>
      </c>
      <c r="H8217" t="n">
        <v>1.34e-08</v>
      </c>
      <c r="I8217" t="inlineStr">
        <is>
          <t>Nr</t>
        </is>
      </c>
      <c r="J8217" t="inlineStr"/>
      <c r="K8217" t="inlineStr"/>
      <c r="L8217" t="inlineStr">
        <is>
          <t>OCT76223.1 hypothetical protein XELAEV_18031425mg [Xenopus laevis]</t>
        </is>
      </c>
      <c r="M8217" t="n">
        <v>294</v>
      </c>
      <c r="N8217" t="inlineStr">
        <is>
          <t>Xenopus laevis</t>
        </is>
      </c>
      <c r="O8217" t="inlineStr">
        <is>
          <t>hypothetical protein XELAEV_18031425mg</t>
        </is>
      </c>
    </row>
    <row r="8218">
      <c r="A8218" t="inlineStr"/>
      <c r="B8218" t="inlineStr"/>
      <c r="C8218" t="inlineStr"/>
      <c r="D8218" t="inlineStr"/>
      <c r="E8218">
        <f>HYPERLINK("https://www.ncbi.nlm.nih.gov/gene/?term=KAJ1104232.1", "KAJ1104232.1")</f>
        <v/>
      </c>
      <c r="F8218" t="n">
        <v>34.8</v>
      </c>
      <c r="G8218" t="n">
        <v>112</v>
      </c>
      <c r="H8218" t="n">
        <v>1.58e-08</v>
      </c>
      <c r="I8218" t="inlineStr">
        <is>
          <t>Nr</t>
        </is>
      </c>
      <c r="J8218" t="inlineStr"/>
      <c r="K8218" t="inlineStr"/>
      <c r="L8218" t="inlineStr">
        <is>
          <t>KAJ1104232.1 hypothetical protein NDU88_001644 [Pleurodeles waltl]</t>
        </is>
      </c>
      <c r="M8218" t="n">
        <v>166</v>
      </c>
      <c r="N8218" t="inlineStr">
        <is>
          <t>Pleurodeles waltl</t>
        </is>
      </c>
      <c r="O8218" t="inlineStr">
        <is>
          <t>hypothetical protein NDU88_001644</t>
        </is>
      </c>
    </row>
    <row r="8219">
      <c r="A8219" t="inlineStr"/>
      <c r="B8219" t="inlineStr"/>
      <c r="C8219" t="inlineStr"/>
      <c r="D8219" t="inlineStr"/>
      <c r="E8219">
        <f>HYPERLINK("https://www.ncbi.nlm.nih.gov/gene/?term=KAJ1215697.1", "KAJ1215697.1")</f>
        <v/>
      </c>
      <c r="F8219" t="n">
        <v>37.8</v>
      </c>
      <c r="G8219" t="n">
        <v>90</v>
      </c>
      <c r="H8219" t="n">
        <v>1.65e-08</v>
      </c>
      <c r="I8219" t="inlineStr">
        <is>
          <t>Nr</t>
        </is>
      </c>
      <c r="J8219" t="inlineStr"/>
      <c r="K8219" t="inlineStr"/>
      <c r="L8219" t="inlineStr">
        <is>
          <t>KAJ1215697.1 hypothetical protein NDU88_003305 [Pleurodeles waltl]</t>
        </is>
      </c>
      <c r="M8219" t="n">
        <v>137</v>
      </c>
      <c r="N8219" t="inlineStr">
        <is>
          <t>Pleurodeles waltl</t>
        </is>
      </c>
      <c r="O8219" t="inlineStr">
        <is>
          <t>hypothetical protein NDU88_003305</t>
        </is>
      </c>
    </row>
    <row r="8220">
      <c r="A8220" t="inlineStr"/>
      <c r="B8220" t="inlineStr"/>
      <c r="C8220" t="inlineStr"/>
      <c r="D8220" t="inlineStr"/>
      <c r="E8220">
        <f>HYPERLINK("https://www.ncbi.nlm.nih.gov/gene/?term=KAJ1185381.1", "KAJ1185381.1")</f>
        <v/>
      </c>
      <c r="F8220" t="n">
        <v>38.5</v>
      </c>
      <c r="G8220" t="n">
        <v>91</v>
      </c>
      <c r="H8220" t="n">
        <v>2.29e-08</v>
      </c>
      <c r="I8220" t="inlineStr">
        <is>
          <t>Nr</t>
        </is>
      </c>
      <c r="J8220" t="inlineStr"/>
      <c r="K8220" t="inlineStr"/>
      <c r="L8220" t="inlineStr">
        <is>
          <t>KAJ1185381.1 hypothetical protein NDU88_002174 [Pleurodeles waltl]</t>
        </is>
      </c>
      <c r="M8220" t="n">
        <v>253</v>
      </c>
      <c r="N8220" t="inlineStr">
        <is>
          <t>Pleurodeles waltl</t>
        </is>
      </c>
      <c r="O8220" t="inlineStr">
        <is>
          <t>hypothetical protein NDU88_002174</t>
        </is>
      </c>
    </row>
    <row r="8221">
      <c r="A8221" t="inlineStr"/>
      <c r="B8221" t="inlineStr"/>
      <c r="C8221" t="inlineStr"/>
      <c r="D8221" t="inlineStr"/>
      <c r="E8221">
        <f>HYPERLINK("https://www.ncbi.nlm.nih.gov/gene/?term=XP_041424742.1", "XP_041424742.1")</f>
        <v/>
      </c>
      <c r="F8221" t="n">
        <v>30</v>
      </c>
      <c r="G8221" t="n">
        <v>130</v>
      </c>
      <c r="H8221" t="n">
        <v>2.83e-08</v>
      </c>
      <c r="I8221" t="inlineStr">
        <is>
          <t>Nr</t>
        </is>
      </c>
      <c r="J8221" t="inlineStr"/>
      <c r="K8221" t="inlineStr"/>
      <c r="L8221" t="inlineStr">
        <is>
          <t>XP_041424742.1 uncharacterized protein LOC121395395 [Xenopus laevis]</t>
        </is>
      </c>
      <c r="M8221" t="n">
        <v>313</v>
      </c>
      <c r="N8221" t="inlineStr">
        <is>
          <t>Xenopus laevis</t>
        </is>
      </c>
      <c r="O8221" t="inlineStr">
        <is>
          <t>uncharacterized protein LOC121395395</t>
        </is>
      </c>
    </row>
    <row r="8222">
      <c r="A8222" t="inlineStr"/>
      <c r="B8222" t="inlineStr"/>
      <c r="C8222" t="inlineStr"/>
      <c r="D8222" t="inlineStr"/>
      <c r="E8222">
        <f>HYPERLINK("https://www.ncbi.nlm.nih.gov/gene/?term=KAJ1097855.1", "KAJ1097855.1")</f>
        <v/>
      </c>
      <c r="F8222" t="n">
        <v>34.8</v>
      </c>
      <c r="G8222" t="n">
        <v>112</v>
      </c>
      <c r="H8222" t="n">
        <v>2.89e-08</v>
      </c>
      <c r="I8222" t="inlineStr">
        <is>
          <t>Nr</t>
        </is>
      </c>
      <c r="J8222" t="inlineStr"/>
      <c r="K8222" t="inlineStr"/>
      <c r="L8222" t="inlineStr">
        <is>
          <t>KAJ1097855.1 hypothetical protein NDU88_002971 [Pleurodeles waltl]</t>
        </is>
      </c>
      <c r="M8222" t="n">
        <v>164</v>
      </c>
      <c r="N8222" t="inlineStr">
        <is>
          <t>Pleurodeles waltl</t>
        </is>
      </c>
      <c r="O8222" t="inlineStr">
        <is>
          <t>hypothetical protein NDU88_002971</t>
        </is>
      </c>
    </row>
    <row r="8223">
      <c r="A8223" t="inlineStr"/>
      <c r="B8223" t="inlineStr"/>
      <c r="C8223" t="inlineStr"/>
      <c r="D8223" t="inlineStr"/>
      <c r="E8223">
        <f>HYPERLINK("https://www.ncbi.nlm.nih.gov/gene/?term=KAJ1125638.1", "KAJ1125638.1")</f>
        <v/>
      </c>
      <c r="F8223" t="n">
        <v>38.5</v>
      </c>
      <c r="G8223" t="n">
        <v>91</v>
      </c>
      <c r="H8223" t="n">
        <v>4.26e-08</v>
      </c>
      <c r="I8223" t="inlineStr">
        <is>
          <t>Nr</t>
        </is>
      </c>
      <c r="J8223" t="inlineStr"/>
      <c r="K8223" t="inlineStr"/>
      <c r="L8223" t="inlineStr">
        <is>
          <t>KAJ1125638.1 hypothetical protein NDU88_004062 [Pleurodeles waltl]</t>
        </is>
      </c>
      <c r="M8223" t="n">
        <v>253</v>
      </c>
      <c r="N8223" t="inlineStr">
        <is>
          <t>Pleurodeles waltl</t>
        </is>
      </c>
      <c r="O8223" t="inlineStr">
        <is>
          <t>hypothetical protein NDU88_004062</t>
        </is>
      </c>
    </row>
    <row r="8224">
      <c r="A8224" t="inlineStr"/>
      <c r="B8224" t="inlineStr"/>
      <c r="C8224" t="inlineStr"/>
      <c r="D8224" t="inlineStr"/>
      <c r="E8224">
        <f>HYPERLINK("https://www.uniprot.org/uniprotkb/A0A8J1LN60/entry", "A0A8J1LN60")</f>
        <v/>
      </c>
      <c r="F8224" t="n">
        <v>28.6</v>
      </c>
      <c r="G8224" t="n">
        <v>119</v>
      </c>
      <c r="H8224" t="n">
        <v>4.41e-08</v>
      </c>
      <c r="I8224" t="inlineStr">
        <is>
          <t>TrEMBL</t>
        </is>
      </c>
      <c r="J8224" t="inlineStr">
        <is>
          <t>LOC121397635</t>
        </is>
      </c>
      <c r="K8224" t="inlineStr">
        <is>
          <t>A0A8J1LN60_XENLA</t>
        </is>
      </c>
      <c r="L8224" t="inlineStr">
        <is>
          <t>tr|A0A8J1LN60|A0A8J1LN60_XENLA uncharacterized protein LOC121397635 OS=Xenopus laevis OX=8355 GN=LOC121397635 PE=4 SV=1</t>
        </is>
      </c>
      <c r="M8224" t="n">
        <v>348</v>
      </c>
      <c r="N8224" t="inlineStr">
        <is>
          <t>Xenopus laevis</t>
        </is>
      </c>
      <c r="O8224" t="inlineStr">
        <is>
          <t>uncharacterized protein LOC121397635</t>
        </is>
      </c>
    </row>
    <row r="8225">
      <c r="A8225" t="inlineStr"/>
      <c r="B8225" t="inlineStr"/>
      <c r="C8225" t="inlineStr"/>
      <c r="D8225" t="inlineStr"/>
      <c r="E8225">
        <f>HYPERLINK("https://www.uniprot.org/uniprotkb/A0A8J1KUL5/entry", "A0A8J1KUL5")</f>
        <v/>
      </c>
      <c r="F8225" t="n">
        <v>28.6</v>
      </c>
      <c r="G8225" t="n">
        <v>119</v>
      </c>
      <c r="H8225" t="n">
        <v>4.41e-08</v>
      </c>
      <c r="I8225" t="inlineStr">
        <is>
          <t>TrEMBL</t>
        </is>
      </c>
      <c r="J8225" t="inlineStr">
        <is>
          <t>LOC121394206</t>
        </is>
      </c>
      <c r="K8225" t="inlineStr">
        <is>
          <t>A0A8J1KUL5_XENLA</t>
        </is>
      </c>
      <c r="L8225" t="inlineStr">
        <is>
          <t>tr|A0A8J1KUL5|A0A8J1KUL5_XENLA uncharacterized protein LOC121394206 OS=Xenopus laevis OX=8355 GN=LOC121394206 PE=4 SV=1</t>
        </is>
      </c>
      <c r="M8225" t="n">
        <v>348</v>
      </c>
      <c r="N8225" t="inlineStr">
        <is>
          <t>Xenopus laevis</t>
        </is>
      </c>
      <c r="O8225" t="inlineStr">
        <is>
          <t>uncharacterized protein LOC121394206</t>
        </is>
      </c>
    </row>
    <row r="8226">
      <c r="A8226" t="inlineStr"/>
      <c r="B8226" t="inlineStr"/>
      <c r="C8226" t="inlineStr"/>
      <c r="D8226" t="inlineStr"/>
      <c r="E8226">
        <f>HYPERLINK("https://www.ncbi.nlm.nih.gov/gene/?term=KAJ1208774.1", "KAJ1208774.1")</f>
        <v/>
      </c>
      <c r="F8226" t="n">
        <v>36.2</v>
      </c>
      <c r="G8226" t="n">
        <v>94</v>
      </c>
      <c r="H8226" t="n">
        <v>5.81e-08</v>
      </c>
      <c r="I8226" t="inlineStr">
        <is>
          <t>Nr</t>
        </is>
      </c>
      <c r="J8226" t="inlineStr"/>
      <c r="K8226" t="inlineStr"/>
      <c r="L8226" t="inlineStr">
        <is>
          <t>KAJ1208774.1 hypothetical protein NDU88_004157 [Pleurodeles waltl]</t>
        </is>
      </c>
      <c r="M8226" t="n">
        <v>253</v>
      </c>
      <c r="N8226" t="inlineStr">
        <is>
          <t>Pleurodeles waltl</t>
        </is>
      </c>
      <c r="O8226" t="inlineStr">
        <is>
          <t>hypothetical protein NDU88_004157</t>
        </is>
      </c>
    </row>
    <row r="8227">
      <c r="A8227" t="inlineStr"/>
      <c r="B8227" t="inlineStr"/>
      <c r="C8227" t="inlineStr"/>
      <c r="D8227" t="inlineStr"/>
      <c r="E8227">
        <f>HYPERLINK("https://www.ncbi.nlm.nih.gov/gene/?term=XP_044156528.1", "XP_044156528.1")</f>
        <v/>
      </c>
      <c r="F8227" t="n">
        <v>30.1</v>
      </c>
      <c r="G8227" t="n">
        <v>166</v>
      </c>
      <c r="H8227" t="n">
        <v>6.63e-08</v>
      </c>
      <c r="I8227" t="inlineStr">
        <is>
          <t>Nr</t>
        </is>
      </c>
      <c r="J8227" t="inlineStr"/>
      <c r="K8227" t="inlineStr"/>
      <c r="L8227" t="inlineStr">
        <is>
          <t>XP_044156528.1 uncharacterized protein LOC122943124 isoform X1 [Bufo gargarizans]</t>
        </is>
      </c>
      <c r="M8227" t="n">
        <v>304</v>
      </c>
      <c r="N8227" t="inlineStr">
        <is>
          <t>Bufo gargarizans</t>
        </is>
      </c>
      <c r="O8227" t="inlineStr">
        <is>
          <t>uncharacterized protein LOC122943124 isoform X1</t>
        </is>
      </c>
    </row>
    <row r="8228">
      <c r="A8228" t="inlineStr"/>
      <c r="B8228" t="inlineStr"/>
      <c r="C8228" t="inlineStr"/>
      <c r="D8228" t="inlineStr"/>
      <c r="E8228">
        <f>HYPERLINK("https://www.ncbi.nlm.nih.gov/gene/?term=OCT55920.1", "OCT55920.1")</f>
        <v/>
      </c>
      <c r="F8228" t="n">
        <v>24.8</v>
      </c>
      <c r="G8228" t="n">
        <v>149</v>
      </c>
      <c r="H8228" t="n">
        <v>7.849999999999999e-08</v>
      </c>
      <c r="I8228" t="inlineStr">
        <is>
          <t>Nr</t>
        </is>
      </c>
      <c r="J8228" t="inlineStr"/>
      <c r="K8228" t="inlineStr"/>
      <c r="L8228" t="inlineStr">
        <is>
          <t>OCT55920.1 hypothetical protein XELAEV_18000426mg [Xenopus laevis]</t>
        </is>
      </c>
      <c r="M8228" t="n">
        <v>184</v>
      </c>
      <c r="N8228" t="inlineStr">
        <is>
          <t>Xenopus laevis</t>
        </is>
      </c>
      <c r="O8228" t="inlineStr">
        <is>
          <t>hypothetical protein XELAEV_18000426mg</t>
        </is>
      </c>
    </row>
    <row r="8229">
      <c r="A8229" t="inlineStr"/>
      <c r="B8229" t="inlineStr"/>
      <c r="C8229" t="inlineStr"/>
      <c r="D8229" t="inlineStr"/>
      <c r="E8229">
        <f>HYPERLINK("https://www.uniprot.org/uniprotkb/A0A8J1J2W1/entry", "A0A8J1J2W1")</f>
        <v/>
      </c>
      <c r="F8229" t="n">
        <v>35</v>
      </c>
      <c r="G8229" t="n">
        <v>103</v>
      </c>
      <c r="H8229" t="n">
        <v>4.84e-06</v>
      </c>
      <c r="I8229" t="inlineStr">
        <is>
          <t>TrEMBL</t>
        </is>
      </c>
      <c r="J8229" t="inlineStr">
        <is>
          <t>LOC100494332</t>
        </is>
      </c>
      <c r="K8229" t="inlineStr">
        <is>
          <t>A0A8J1J2W1_XENTR</t>
        </is>
      </c>
      <c r="L8229" t="inlineStr">
        <is>
          <t>tr|A0A8J1J2W1|A0A8J1J2W1_XENTR vomeronasal type-2 receptor 26 OS=Xenopus tropicalis OX=8364 GN=LOC100494332 PE=4 SV=1</t>
        </is>
      </c>
      <c r="M8229" t="n">
        <v>1164</v>
      </c>
      <c r="N8229" t="inlineStr">
        <is>
          <t>Xenopus tropicalis</t>
        </is>
      </c>
      <c r="O8229" t="inlineStr">
        <is>
          <t>vomeronasal type-2 receptor 26</t>
        </is>
      </c>
    </row>
    <row r="8230">
      <c r="A8230" t="inlineStr"/>
      <c r="B8230" t="inlineStr"/>
      <c r="C8230" t="inlineStr"/>
      <c r="D8230" t="inlineStr"/>
      <c r="E8230">
        <f>HYPERLINK("https://www.uniprot.org/uniprotkb/A0A8J1KTG7/entry", "A0A8J1KTG7")</f>
        <v/>
      </c>
      <c r="F8230" t="n">
        <v>28.2</v>
      </c>
      <c r="G8230" t="n">
        <v>117</v>
      </c>
      <c r="H8230" t="n">
        <v>6.46e-06</v>
      </c>
      <c r="I8230" t="inlineStr">
        <is>
          <t>TrEMBL</t>
        </is>
      </c>
      <c r="J8230" t="inlineStr">
        <is>
          <t>LOC121394107</t>
        </is>
      </c>
      <c r="K8230" t="inlineStr">
        <is>
          <t>A0A8J1KTG7_XENLA</t>
        </is>
      </c>
      <c r="L8230" t="inlineStr">
        <is>
          <t>tr|A0A8J1KTG7|A0A8J1KTG7_XENLA LOW QUALITY PROTEIN: interphotoreceptor matrix proteoglycan 1-like OS=Xenopus laevis OX=8355 GN=LOC121394107 PE=4 SV=1</t>
        </is>
      </c>
      <c r="M8230" t="n">
        <v>1144</v>
      </c>
      <c r="N8230" t="inlineStr">
        <is>
          <t>Xenopus laevis</t>
        </is>
      </c>
      <c r="O8230" t="inlineStr">
        <is>
          <t>LOW QUALITY PROTEIN: interphotoreceptor matrix proteoglycan 1-like</t>
        </is>
      </c>
    </row>
    <row r="8231">
      <c r="A8231" t="inlineStr"/>
      <c r="B8231" t="inlineStr"/>
      <c r="C8231" t="inlineStr"/>
      <c r="D8231" t="inlineStr"/>
      <c r="E8231">
        <f>HYPERLINK("https://www.uniprot.org/uniprotkb/A0A8J1MJP3/entry", "A0A8J1MJP3")</f>
        <v/>
      </c>
      <c r="F8231" t="n">
        <v>28.7</v>
      </c>
      <c r="G8231" t="n">
        <v>157</v>
      </c>
      <c r="H8231" t="n">
        <v>0.000911</v>
      </c>
      <c r="I8231" t="inlineStr">
        <is>
          <t>TrEMBL</t>
        </is>
      </c>
      <c r="J8231" t="inlineStr">
        <is>
          <t>LOC108710783</t>
        </is>
      </c>
      <c r="K8231" t="inlineStr">
        <is>
          <t>A0A8J1MJP3_XENLA</t>
        </is>
      </c>
      <c r="L8231" t="inlineStr">
        <is>
          <t>tr|A0A8J1MJP3|A0A8J1MJP3_XENLA uncharacterized protein LOC108710783 OS=Xenopus laevis OX=8355 GN=LOC108710783 PE=4 SV=1</t>
        </is>
      </c>
      <c r="M8231" t="n">
        <v>311</v>
      </c>
      <c r="N8231" t="inlineStr">
        <is>
          <t>Xenopus laevis</t>
        </is>
      </c>
      <c r="O8231" t="inlineStr">
        <is>
          <t>uncharacterized protein LOC108710783</t>
        </is>
      </c>
    </row>
    <row r="8232">
      <c r="A8232" t="inlineStr">
        <is>
          <t>NODE_6043_length_7328_cov_671.273654_g1566_i3</t>
        </is>
      </c>
      <c r="B8232" t="inlineStr">
        <is>
          <t>bombina_pachypus_blastx</t>
        </is>
      </c>
      <c r="C8232" t="n">
        <v>4.23868059412005</v>
      </c>
      <c r="D8232" t="n">
        <v>1.11062348794175e-05</v>
      </c>
      <c r="E8232">
        <f>HYPERLINK("https://www.ncbi.nlm.nih.gov/gene/?term=XP_040182571.1", "XP_040182571.1")</f>
        <v/>
      </c>
      <c r="F8232" t="n">
        <v>58.6</v>
      </c>
      <c r="G8232" t="n">
        <v>157</v>
      </c>
      <c r="H8232" t="n">
        <v>7.159999999999999e-48</v>
      </c>
      <c r="I8232" t="inlineStr">
        <is>
          <t>Nr</t>
        </is>
      </c>
      <c r="J8232" t="inlineStr"/>
      <c r="K8232" t="inlineStr"/>
      <c r="L8232" t="inlineStr">
        <is>
          <t>XP_040182571.1 uncharacterized protein LOC120915831 [Rana temporaria]</t>
        </is>
      </c>
      <c r="M8232" t="n">
        <v>1451</v>
      </c>
      <c r="N8232" t="inlineStr">
        <is>
          <t>Rana temporaria</t>
        </is>
      </c>
      <c r="O8232" t="inlineStr">
        <is>
          <t>uncharacterized protein LOC120915831</t>
        </is>
      </c>
    </row>
    <row r="8233">
      <c r="A8233" t="inlineStr"/>
      <c r="B8233" t="inlineStr"/>
      <c r="C8233" t="inlineStr"/>
      <c r="D8233" t="inlineStr"/>
      <c r="E8233">
        <f>HYPERLINK("https://www.ncbi.nlm.nih.gov/gene/?term=XP_040185841.1", "XP_040185841.1")</f>
        <v/>
      </c>
      <c r="F8233" t="n">
        <v>53.7</v>
      </c>
      <c r="G8233" t="n">
        <v>162</v>
      </c>
      <c r="H8233" t="n">
        <v>1.36e-46</v>
      </c>
      <c r="I8233" t="inlineStr">
        <is>
          <t>Nr</t>
        </is>
      </c>
      <c r="J8233" t="inlineStr"/>
      <c r="K8233" t="inlineStr"/>
      <c r="L8233" t="inlineStr">
        <is>
          <t>XP_040185841.1 uncharacterized protein LOC120918366, partial [Rana temporaria]</t>
        </is>
      </c>
      <c r="M8233" t="n">
        <v>986</v>
      </c>
      <c r="N8233" t="inlineStr">
        <is>
          <t>Rana temporaria</t>
        </is>
      </c>
      <c r="O8233" t="inlineStr">
        <is>
          <t>uncharacterized protein LOC120918366, partial</t>
        </is>
      </c>
    </row>
    <row r="8234">
      <c r="A8234" t="inlineStr"/>
      <c r="B8234" t="inlineStr"/>
      <c r="C8234" t="inlineStr"/>
      <c r="D8234" t="inlineStr"/>
      <c r="E8234">
        <f>HYPERLINK("https://www.ncbi.nlm.nih.gov/gene/?term=XP_040200623.1", "XP_040200623.1")</f>
        <v/>
      </c>
      <c r="F8234" t="n">
        <v>54.1</v>
      </c>
      <c r="G8234" t="n">
        <v>159</v>
      </c>
      <c r="H8234" t="n">
        <v>4.96e-46</v>
      </c>
      <c r="I8234" t="inlineStr">
        <is>
          <t>Nr</t>
        </is>
      </c>
      <c r="J8234" t="inlineStr"/>
      <c r="K8234" t="inlineStr"/>
      <c r="L8234" t="inlineStr">
        <is>
          <t>XP_040200623.1 uncharacterized protein LOC120932359, partial [Rana temporaria]</t>
        </is>
      </c>
      <c r="M8234" t="n">
        <v>1035</v>
      </c>
      <c r="N8234" t="inlineStr">
        <is>
          <t>Rana temporaria</t>
        </is>
      </c>
      <c r="O8234" t="inlineStr">
        <is>
          <t>uncharacterized protein LOC120932359, partial</t>
        </is>
      </c>
    </row>
    <row r="8235">
      <c r="A8235" t="inlineStr"/>
      <c r="B8235" t="inlineStr"/>
      <c r="C8235" t="inlineStr"/>
      <c r="D8235" t="inlineStr"/>
      <c r="E8235">
        <f>HYPERLINK("https://www.ncbi.nlm.nih.gov/gene/?term=XP_040203728.1", "XP_040203728.1")</f>
        <v/>
      </c>
      <c r="F8235" t="n">
        <v>54.1</v>
      </c>
      <c r="G8235" t="n">
        <v>159</v>
      </c>
      <c r="H8235" t="n">
        <v>4.96e-46</v>
      </c>
      <c r="I8235" t="inlineStr">
        <is>
          <t>Nr</t>
        </is>
      </c>
      <c r="J8235" t="inlineStr"/>
      <c r="K8235" t="inlineStr"/>
      <c r="L8235" t="inlineStr">
        <is>
          <t>XP_040203728.1 uncharacterized protein LOC120935735, partial [Rana temporaria]</t>
        </is>
      </c>
      <c r="M8235" t="n">
        <v>1035</v>
      </c>
      <c r="N8235" t="inlineStr">
        <is>
          <t>Rana temporaria</t>
        </is>
      </c>
      <c r="O8235" t="inlineStr">
        <is>
          <t>uncharacterized protein LOC120935735, partial</t>
        </is>
      </c>
    </row>
    <row r="8236">
      <c r="A8236" t="inlineStr"/>
      <c r="B8236" t="inlineStr"/>
      <c r="C8236" t="inlineStr"/>
      <c r="D8236" t="inlineStr"/>
      <c r="E8236">
        <f>HYPERLINK("https://www.uniprot.org/uniprotkb/A0A8C5MMV9/entry", "A0A8C5MMV9")</f>
        <v/>
      </c>
      <c r="F8236" t="n">
        <v>52.8</v>
      </c>
      <c r="G8236" t="n">
        <v>159</v>
      </c>
      <c r="H8236" t="n">
        <v>1.09e-45</v>
      </c>
      <c r="I8236" t="inlineStr">
        <is>
          <t>TrEMBL</t>
        </is>
      </c>
      <c r="J8236" t="inlineStr"/>
      <c r="K8236" t="inlineStr">
        <is>
          <t>A0A8C5MMV9_9ANUR</t>
        </is>
      </c>
      <c r="L8236" t="inlineStr">
        <is>
          <t>tr|A0A8C5MMV9|A0A8C5MMV9_9ANUR Integrase catalytic domain-containing protein OS=Leptobrachium leishanense OX=445787 PE=4 SV=1</t>
        </is>
      </c>
      <c r="M8236" t="n">
        <v>316</v>
      </c>
      <c r="N8236" t="inlineStr">
        <is>
          <t>Leptobrachium leishanense</t>
        </is>
      </c>
      <c r="O8236" t="inlineStr">
        <is>
          <t>Integrase catalytic domain-containing protein</t>
        </is>
      </c>
    </row>
    <row r="8237">
      <c r="A8237" t="inlineStr"/>
      <c r="B8237" t="inlineStr"/>
      <c r="C8237" t="inlineStr"/>
      <c r="D8237" t="inlineStr"/>
      <c r="E8237">
        <f>HYPERLINK("https://www.ncbi.nlm.nih.gov/gene/?term=XP_040209392.1", "XP_040209392.1")</f>
        <v/>
      </c>
      <c r="F8237" t="n">
        <v>54.1</v>
      </c>
      <c r="G8237" t="n">
        <v>159</v>
      </c>
      <c r="H8237" t="n">
        <v>1.57e-45</v>
      </c>
      <c r="I8237" t="inlineStr">
        <is>
          <t>Nr</t>
        </is>
      </c>
      <c r="J8237" t="inlineStr"/>
      <c r="K8237" t="inlineStr"/>
      <c r="L8237" t="inlineStr">
        <is>
          <t>XP_040209392.1 uncharacterized protein LOC120940532, partial [Rana temporaria]</t>
        </is>
      </c>
      <c r="M8237" t="n">
        <v>954</v>
      </c>
      <c r="N8237" t="inlineStr">
        <is>
          <t>Rana temporaria</t>
        </is>
      </c>
      <c r="O8237" t="inlineStr">
        <is>
          <t>uncharacterized protein LOC120940532, partial</t>
        </is>
      </c>
    </row>
    <row r="8238">
      <c r="A8238" t="inlineStr"/>
      <c r="B8238" t="inlineStr"/>
      <c r="C8238" t="inlineStr"/>
      <c r="D8238" t="inlineStr"/>
      <c r="E8238">
        <f>HYPERLINK("https://www.uniprot.org/uniprotkb/A0A8C5PDU0/entry", "A0A8C5PDU0")</f>
        <v/>
      </c>
      <c r="F8238" t="n">
        <v>53.1</v>
      </c>
      <c r="G8238" t="n">
        <v>160</v>
      </c>
      <c r="H8238" t="n">
        <v>1.58e-45</v>
      </c>
      <c r="I8238" t="inlineStr">
        <is>
          <t>TrEMBL</t>
        </is>
      </c>
      <c r="J8238" t="inlineStr"/>
      <c r="K8238" t="inlineStr">
        <is>
          <t>A0A8C5PDU0_9ANUR</t>
        </is>
      </c>
      <c r="L8238" t="inlineStr">
        <is>
          <t>tr|A0A8C5PDU0|A0A8C5PDU0_9ANUR Integrase catalytic domain-containing protein OS=Leptobrachium leishanense OX=445787 PE=4 SV=1</t>
        </is>
      </c>
      <c r="M8238" t="n">
        <v>658</v>
      </c>
      <c r="N8238" t="inlineStr">
        <is>
          <t>Leptobrachium leishanense</t>
        </is>
      </c>
      <c r="O8238" t="inlineStr">
        <is>
          <t>Integrase catalytic domain-containing protein</t>
        </is>
      </c>
    </row>
    <row r="8239">
      <c r="A8239" t="inlineStr"/>
      <c r="B8239" t="inlineStr"/>
      <c r="C8239" t="inlineStr"/>
      <c r="D8239" t="inlineStr"/>
      <c r="E8239">
        <f>HYPERLINK("https://www.uniprot.org/uniprotkb/A0A8C5Q2M5/entry", "A0A8C5Q2M5")</f>
        <v/>
      </c>
      <c r="F8239" t="n">
        <v>52.1</v>
      </c>
      <c r="G8239" t="n">
        <v>163</v>
      </c>
      <c r="H8239" t="n">
        <v>1.67e-45</v>
      </c>
      <c r="I8239" t="inlineStr">
        <is>
          <t>TrEMBL</t>
        </is>
      </c>
      <c r="J8239" t="inlineStr"/>
      <c r="K8239" t="inlineStr">
        <is>
          <t>A0A8C5Q2M5_9ANUR</t>
        </is>
      </c>
      <c r="L8239" t="inlineStr">
        <is>
          <t>tr|A0A8C5Q2M5|A0A8C5Q2M5_9ANUR Integrase catalytic domain-containing protein OS=Leptobrachium leishanense OX=445787 PE=4 SV=1</t>
        </is>
      </c>
      <c r="M8239" t="n">
        <v>514</v>
      </c>
      <c r="N8239" t="inlineStr">
        <is>
          <t>Leptobrachium leishanense</t>
        </is>
      </c>
      <c r="O8239" t="inlineStr">
        <is>
          <t>Integrase catalytic domain-containing protein</t>
        </is>
      </c>
    </row>
    <row r="8240">
      <c r="A8240" t="inlineStr"/>
      <c r="B8240" t="inlineStr"/>
      <c r="C8240" t="inlineStr"/>
      <c r="D8240" t="inlineStr"/>
      <c r="E8240">
        <f>HYPERLINK("https://www.ncbi.nlm.nih.gov/gene/?term=XP_040185767.1", "XP_040185767.1")</f>
        <v/>
      </c>
      <c r="F8240" t="n">
        <v>53.5</v>
      </c>
      <c r="G8240" t="n">
        <v>159</v>
      </c>
      <c r="H8240" t="n">
        <v>2.32e-45</v>
      </c>
      <c r="I8240" t="inlineStr">
        <is>
          <t>Nr</t>
        </is>
      </c>
      <c r="J8240" t="inlineStr"/>
      <c r="K8240" t="inlineStr"/>
      <c r="L8240" t="inlineStr">
        <is>
          <t>XP_040185767.1 uncharacterized protein LOC120918313, partial [Rana temporaria]</t>
        </is>
      </c>
      <c r="M8240" t="n">
        <v>1029</v>
      </c>
      <c r="N8240" t="inlineStr">
        <is>
          <t>Rana temporaria</t>
        </is>
      </c>
      <c r="O8240" t="inlineStr">
        <is>
          <t>uncharacterized protein LOC120918313, partial</t>
        </is>
      </c>
    </row>
    <row r="8241">
      <c r="A8241" t="inlineStr"/>
      <c r="B8241" t="inlineStr"/>
      <c r="C8241" t="inlineStr"/>
      <c r="D8241" t="inlineStr"/>
      <c r="E8241">
        <f>HYPERLINK("https://www.ncbi.nlm.nih.gov/gene/?term=XP_040216941.1", "XP_040216941.1")</f>
        <v/>
      </c>
      <c r="F8241" t="n">
        <v>53.1</v>
      </c>
      <c r="G8241" t="n">
        <v>162</v>
      </c>
      <c r="H8241" t="n">
        <v>4.32e-45</v>
      </c>
      <c r="I8241" t="inlineStr">
        <is>
          <t>Nr</t>
        </is>
      </c>
      <c r="J8241" t="inlineStr"/>
      <c r="K8241" t="inlineStr"/>
      <c r="L8241" t="inlineStr">
        <is>
          <t>XP_040216941.1 LOW QUALITY PROTEIN: uncharacterized protein LOC120946187, partial [Rana temporaria]</t>
        </is>
      </c>
      <c r="M8241" t="n">
        <v>1029</v>
      </c>
      <c r="N8241" t="inlineStr">
        <is>
          <t>Rana temporaria</t>
        </is>
      </c>
      <c r="O8241" t="inlineStr">
        <is>
          <t>LOW QUALITY PROTEIN: uncharacterized protein LOC120946187, partial</t>
        </is>
      </c>
    </row>
    <row r="8242">
      <c r="A8242" t="inlineStr"/>
      <c r="B8242" t="inlineStr"/>
      <c r="C8242" t="inlineStr"/>
      <c r="D8242" t="inlineStr"/>
      <c r="E8242">
        <f>HYPERLINK("https://www.ncbi.nlm.nih.gov/gene/?term=XP_040182565.1", "XP_040182565.1")</f>
        <v/>
      </c>
      <c r="F8242" t="n">
        <v>53.5</v>
      </c>
      <c r="G8242" t="n">
        <v>159</v>
      </c>
      <c r="H8242" t="n">
        <v>1.5e-44</v>
      </c>
      <c r="I8242" t="inlineStr">
        <is>
          <t>Nr</t>
        </is>
      </c>
      <c r="J8242" t="inlineStr"/>
      <c r="K8242" t="inlineStr"/>
      <c r="L8242" t="inlineStr">
        <is>
          <t>XP_040182565.1 uncharacterized protein LOC120915829, partial [Rana temporaria]</t>
        </is>
      </c>
      <c r="M8242" t="n">
        <v>1035</v>
      </c>
      <c r="N8242" t="inlineStr">
        <is>
          <t>Rana temporaria</t>
        </is>
      </c>
      <c r="O8242" t="inlineStr">
        <is>
          <t>uncharacterized protein LOC120915829, partial</t>
        </is>
      </c>
    </row>
    <row r="8243">
      <c r="A8243" t="inlineStr"/>
      <c r="B8243" t="inlineStr"/>
      <c r="C8243" t="inlineStr"/>
      <c r="D8243" t="inlineStr"/>
      <c r="E8243">
        <f>HYPERLINK("https://www.uniprot.org/uniprotkb/A0A8C5M2Q8/entry", "A0A8C5M2Q8")</f>
        <v/>
      </c>
      <c r="F8243" t="n">
        <v>53.5</v>
      </c>
      <c r="G8243" t="n">
        <v>159</v>
      </c>
      <c r="H8243" t="n">
        <v>2.09e-44</v>
      </c>
      <c r="I8243" t="inlineStr">
        <is>
          <t>TrEMBL</t>
        </is>
      </c>
      <c r="J8243" t="inlineStr"/>
      <c r="K8243" t="inlineStr">
        <is>
          <t>A0A8C5M2Q8_9ANUR</t>
        </is>
      </c>
      <c r="L8243" t="inlineStr">
        <is>
          <t>tr|A0A8C5M2Q8|A0A8C5M2Q8_9ANUR Integrase catalytic domain-containing protein OS=Leptobrachium leishanense OX=445787 PE=4 SV=1</t>
        </is>
      </c>
      <c r="M8243" t="n">
        <v>505</v>
      </c>
      <c r="N8243" t="inlineStr">
        <is>
          <t>Leptobrachium leishanense</t>
        </is>
      </c>
      <c r="O8243" t="inlineStr">
        <is>
          <t>Integrase catalytic domain-containing protein</t>
        </is>
      </c>
    </row>
    <row r="8244">
      <c r="A8244" t="inlineStr"/>
      <c r="B8244" t="inlineStr"/>
      <c r="C8244" t="inlineStr"/>
      <c r="D8244" t="inlineStr"/>
      <c r="E8244">
        <f>HYPERLINK("https://www.uniprot.org/uniprotkb/A0A8C5PWN7/entry", "A0A8C5PWN7")</f>
        <v/>
      </c>
      <c r="F8244" t="n">
        <v>53.5</v>
      </c>
      <c r="G8244" t="n">
        <v>159</v>
      </c>
      <c r="H8244" t="n">
        <v>1.29e-43</v>
      </c>
      <c r="I8244" t="inlineStr">
        <is>
          <t>TrEMBL</t>
        </is>
      </c>
      <c r="J8244" t="inlineStr"/>
      <c r="K8244" t="inlineStr">
        <is>
          <t>A0A8C5PWN7_9ANUR</t>
        </is>
      </c>
      <c r="L8244" t="inlineStr">
        <is>
          <t>tr|A0A8C5PWN7|A0A8C5PWN7_9ANUR Integrase catalytic domain-containing protein OS=Leptobrachium leishanense OX=445787 PE=4 SV=1</t>
        </is>
      </c>
      <c r="M8244" t="n">
        <v>536</v>
      </c>
      <c r="N8244" t="inlineStr">
        <is>
          <t>Leptobrachium leishanense</t>
        </is>
      </c>
      <c r="O8244" t="inlineStr">
        <is>
          <t>Integrase catalytic domain-containing protein</t>
        </is>
      </c>
    </row>
    <row r="8245">
      <c r="A8245" t="inlineStr"/>
      <c r="B8245" t="inlineStr"/>
      <c r="C8245" t="inlineStr"/>
      <c r="D8245" t="inlineStr"/>
      <c r="E8245">
        <f>HYPERLINK("https://www.uniprot.org/uniprotkb/A0A8C5N4N0/entry", "A0A8C5N4N0")</f>
        <v/>
      </c>
      <c r="F8245" t="n">
        <v>52.2</v>
      </c>
      <c r="G8245" t="n">
        <v>159</v>
      </c>
      <c r="H8245" t="n">
        <v>1.32e-43</v>
      </c>
      <c r="I8245" t="inlineStr">
        <is>
          <t>TrEMBL</t>
        </is>
      </c>
      <c r="J8245" t="inlineStr"/>
      <c r="K8245" t="inlineStr">
        <is>
          <t>A0A8C5N4N0_9ANUR</t>
        </is>
      </c>
      <c r="L8245" t="inlineStr">
        <is>
          <t>tr|A0A8C5N4N0|A0A8C5N4N0_9ANUR ribonuclease H OS=Leptobrachium leishanense OX=445787 PE=3 SV=1</t>
        </is>
      </c>
      <c r="M8245" t="n">
        <v>1121</v>
      </c>
      <c r="N8245" t="inlineStr">
        <is>
          <t>Leptobrachium leishanense</t>
        </is>
      </c>
      <c r="O8245" t="inlineStr">
        <is>
          <t>ribonuclease H</t>
        </is>
      </c>
    </row>
    <row r="8246">
      <c r="A8246" t="inlineStr"/>
      <c r="B8246" t="inlineStr"/>
      <c r="C8246" t="inlineStr"/>
      <c r="D8246" t="inlineStr"/>
      <c r="E8246">
        <f>HYPERLINK("https://www.ncbi.nlm.nih.gov/gene/?term=XP_040195045.1", "XP_040195045.1")</f>
        <v/>
      </c>
      <c r="F8246" t="n">
        <v>56.3</v>
      </c>
      <c r="G8246" t="n">
        <v>158</v>
      </c>
      <c r="H8246" t="n">
        <v>1.39e-43</v>
      </c>
      <c r="I8246" t="inlineStr">
        <is>
          <t>Nr</t>
        </is>
      </c>
      <c r="J8246" t="inlineStr"/>
      <c r="K8246" t="inlineStr"/>
      <c r="L8246" t="inlineStr">
        <is>
          <t>XP_040195045.1 uncharacterized protein LOC120928035 [Rana temporaria]</t>
        </is>
      </c>
      <c r="M8246" t="n">
        <v>1353</v>
      </c>
      <c r="N8246" t="inlineStr">
        <is>
          <t>Rana temporaria</t>
        </is>
      </c>
      <c r="O8246" t="inlineStr">
        <is>
          <t>uncharacterized protein LOC120928035</t>
        </is>
      </c>
    </row>
    <row r="8247">
      <c r="A8247" t="inlineStr"/>
      <c r="B8247" t="inlineStr"/>
      <c r="C8247" t="inlineStr"/>
      <c r="D8247" t="inlineStr"/>
      <c r="E8247">
        <f>HYPERLINK("https://www.uniprot.org/uniprotkb/A0A8C5R5T9/entry", "A0A8C5R5T9")</f>
        <v/>
      </c>
      <c r="F8247" t="n">
        <v>52.2</v>
      </c>
      <c r="G8247" t="n">
        <v>159</v>
      </c>
      <c r="H8247" t="n">
        <v>2.04e-43</v>
      </c>
      <c r="I8247" t="inlineStr">
        <is>
          <t>TrEMBL</t>
        </is>
      </c>
      <c r="J8247" t="inlineStr"/>
      <c r="K8247" t="inlineStr">
        <is>
          <t>A0A8C5R5T9_9ANUR</t>
        </is>
      </c>
      <c r="L8247" t="inlineStr">
        <is>
          <t>tr|A0A8C5R5T9|A0A8C5R5T9_9ANUR Integrase catalytic domain-containing protein OS=Leptobrachium leishanense OX=445787 PE=4 SV=1</t>
        </is>
      </c>
      <c r="M8247" t="n">
        <v>462</v>
      </c>
      <c r="N8247" t="inlineStr">
        <is>
          <t>Leptobrachium leishanense</t>
        </is>
      </c>
      <c r="O8247" t="inlineStr">
        <is>
          <t>Integrase catalytic domain-containing protein</t>
        </is>
      </c>
    </row>
    <row r="8248">
      <c r="A8248" t="inlineStr"/>
      <c r="B8248" t="inlineStr"/>
      <c r="C8248" t="inlineStr"/>
      <c r="D8248" t="inlineStr"/>
      <c r="E8248">
        <f>HYPERLINK("https://www.uniprot.org/uniprotkb/A0A8C5PC44/entry", "A0A8C5PC44")</f>
        <v/>
      </c>
      <c r="F8248" t="n">
        <v>52.4</v>
      </c>
      <c r="G8248" t="n">
        <v>164</v>
      </c>
      <c r="H8248" t="n">
        <v>2.22e-43</v>
      </c>
      <c r="I8248" t="inlineStr">
        <is>
          <t>TrEMBL</t>
        </is>
      </c>
      <c r="J8248" t="inlineStr"/>
      <c r="K8248" t="inlineStr">
        <is>
          <t>A0A8C5PC44_9ANUR</t>
        </is>
      </c>
      <c r="L8248" t="inlineStr">
        <is>
          <t>tr|A0A8C5PC44|A0A8C5PC44_9ANUR Integrase catalytic domain-containing protein OS=Leptobrachium leishanense OX=445787 PE=4 SV=1</t>
        </is>
      </c>
      <c r="M8248" t="n">
        <v>486</v>
      </c>
      <c r="N8248" t="inlineStr">
        <is>
          <t>Leptobrachium leishanense</t>
        </is>
      </c>
      <c r="O8248" t="inlineStr">
        <is>
          <t>Integrase catalytic domain-containing protein</t>
        </is>
      </c>
    </row>
    <row r="8249">
      <c r="A8249" t="inlineStr"/>
      <c r="B8249" t="inlineStr"/>
      <c r="C8249" t="inlineStr"/>
      <c r="D8249" t="inlineStr"/>
      <c r="E8249">
        <f>HYPERLINK("https://www.uniprot.org/uniprotkb/A0A8C5MZM8/entry", "A0A8C5MZM8")</f>
        <v/>
      </c>
      <c r="F8249" t="n">
        <v>52.2</v>
      </c>
      <c r="G8249" t="n">
        <v>159</v>
      </c>
      <c r="H8249" t="n">
        <v>2.45e-43</v>
      </c>
      <c r="I8249" t="inlineStr">
        <is>
          <t>TrEMBL</t>
        </is>
      </c>
      <c r="J8249" t="inlineStr"/>
      <c r="K8249" t="inlineStr">
        <is>
          <t>A0A8C5MZM8_9ANUR</t>
        </is>
      </c>
      <c r="L8249" t="inlineStr">
        <is>
          <t>tr|A0A8C5MZM8|A0A8C5MZM8_9ANUR Integrase catalytic domain-containing protein OS=Leptobrachium leishanense OX=445787 PE=4 SV=1</t>
        </is>
      </c>
      <c r="M8249" t="n">
        <v>402</v>
      </c>
      <c r="N8249" t="inlineStr">
        <is>
          <t>Leptobrachium leishanense</t>
        </is>
      </c>
      <c r="O8249" t="inlineStr">
        <is>
          <t>Integrase catalytic domain-containing protein</t>
        </is>
      </c>
    </row>
    <row r="8250">
      <c r="A8250" t="inlineStr"/>
      <c r="B8250" t="inlineStr"/>
      <c r="C8250" t="inlineStr"/>
      <c r="D8250" t="inlineStr"/>
      <c r="E8250">
        <f>HYPERLINK("https://www.uniprot.org/uniprotkb/A0A8C5PKM7/entry", "A0A8C5PKM7")</f>
        <v/>
      </c>
      <c r="F8250" t="n">
        <v>54.1</v>
      </c>
      <c r="G8250" t="n">
        <v>159</v>
      </c>
      <c r="H8250" t="n">
        <v>3.35e-43</v>
      </c>
      <c r="I8250" t="inlineStr">
        <is>
          <t>TrEMBL</t>
        </is>
      </c>
      <c r="J8250" t="inlineStr"/>
      <c r="K8250" t="inlineStr">
        <is>
          <t>A0A8C5PKM7_9ANUR</t>
        </is>
      </c>
      <c r="L8250" t="inlineStr">
        <is>
          <t>tr|A0A8C5PKM7|A0A8C5PKM7_9ANUR ribonuclease H OS=Leptobrachium leishanense OX=445787 PE=3 SV=1</t>
        </is>
      </c>
      <c r="M8250" t="n">
        <v>1144</v>
      </c>
      <c r="N8250" t="inlineStr">
        <is>
          <t>Leptobrachium leishanense</t>
        </is>
      </c>
      <c r="O8250" t="inlineStr">
        <is>
          <t>ribonuclease H</t>
        </is>
      </c>
    </row>
    <row r="8251">
      <c r="A8251" t="inlineStr"/>
      <c r="B8251" t="inlineStr"/>
      <c r="C8251" t="inlineStr"/>
      <c r="D8251" t="inlineStr"/>
      <c r="E8251">
        <f>HYPERLINK("https://www.uniprot.org/uniprotkb/A0A8C5LXU4/entry", "A0A8C5LXU4")</f>
        <v/>
      </c>
      <c r="F8251" t="n">
        <v>51.6</v>
      </c>
      <c r="G8251" t="n">
        <v>159</v>
      </c>
      <c r="H8251" t="n">
        <v>3.4e-43</v>
      </c>
      <c r="I8251" t="inlineStr">
        <is>
          <t>TrEMBL</t>
        </is>
      </c>
      <c r="J8251" t="inlineStr"/>
      <c r="K8251" t="inlineStr">
        <is>
          <t>A0A8C5LXU4_9ANUR</t>
        </is>
      </c>
      <c r="L8251" t="inlineStr">
        <is>
          <t>tr|A0A8C5LXU4|A0A8C5LXU4_9ANUR Integrase catalytic domain-containing protein OS=Leptobrachium leishanense OX=445787 PE=4 SV=1</t>
        </is>
      </c>
      <c r="M8251" t="n">
        <v>418</v>
      </c>
      <c r="N8251" t="inlineStr">
        <is>
          <t>Leptobrachium leishanense</t>
        </is>
      </c>
      <c r="O8251" t="inlineStr">
        <is>
          <t>Integrase catalytic domain-containing protein</t>
        </is>
      </c>
    </row>
    <row r="8252">
      <c r="A8252" t="inlineStr"/>
      <c r="B8252" t="inlineStr"/>
      <c r="C8252" t="inlineStr"/>
      <c r="D8252" t="inlineStr"/>
      <c r="E8252">
        <f>HYPERLINK("https://www.uniprot.org/uniprotkb/A0A8C5PQ56/entry", "A0A8C5PQ56")</f>
        <v/>
      </c>
      <c r="F8252" t="n">
        <v>51.2</v>
      </c>
      <c r="G8252" t="n">
        <v>164</v>
      </c>
      <c r="H8252" t="n">
        <v>4.37e-43</v>
      </c>
      <c r="I8252" t="inlineStr">
        <is>
          <t>TrEMBL</t>
        </is>
      </c>
      <c r="J8252" t="inlineStr"/>
      <c r="K8252" t="inlineStr">
        <is>
          <t>A0A8C5PQ56_9ANUR</t>
        </is>
      </c>
      <c r="L8252" t="inlineStr">
        <is>
          <t>tr|A0A8C5PQ56|A0A8C5PQ56_9ANUR Integrase catalytic domain-containing protein OS=Leptobrachium leishanense OX=445787 PE=4 SV=1</t>
        </is>
      </c>
      <c r="M8252" t="n">
        <v>351</v>
      </c>
      <c r="N8252" t="inlineStr">
        <is>
          <t>Leptobrachium leishanense</t>
        </is>
      </c>
      <c r="O8252" t="inlineStr">
        <is>
          <t>Integrase catalytic domain-containing protein</t>
        </is>
      </c>
    </row>
    <row r="8253">
      <c r="A8253" t="inlineStr"/>
      <c r="B8253" t="inlineStr"/>
      <c r="C8253" t="inlineStr"/>
      <c r="D8253" t="inlineStr"/>
      <c r="E8253">
        <f>HYPERLINK("https://www.uniprot.org/uniprotkb/A0A8C5PKA8/entry", "A0A8C5PKA8")</f>
        <v/>
      </c>
      <c r="F8253" t="n">
        <v>51.2</v>
      </c>
      <c r="G8253" t="n">
        <v>164</v>
      </c>
      <c r="H8253" t="n">
        <v>7.510000000000001e-43</v>
      </c>
      <c r="I8253" t="inlineStr">
        <is>
          <t>TrEMBL</t>
        </is>
      </c>
      <c r="J8253" t="inlineStr"/>
      <c r="K8253" t="inlineStr">
        <is>
          <t>A0A8C5PKA8_9ANUR</t>
        </is>
      </c>
      <c r="L8253" t="inlineStr">
        <is>
          <t>tr|A0A8C5PKA8|A0A8C5PKA8_9ANUR Integrase catalytic domain-containing protein OS=Leptobrachium leishanense OX=445787 PE=4 SV=1</t>
        </is>
      </c>
      <c r="M8253" t="n">
        <v>375</v>
      </c>
      <c r="N8253" t="inlineStr">
        <is>
          <t>Leptobrachium leishanense</t>
        </is>
      </c>
      <c r="O8253" t="inlineStr">
        <is>
          <t>Integrase catalytic domain-containing protein</t>
        </is>
      </c>
    </row>
    <row r="8254">
      <c r="A8254" t="inlineStr"/>
      <c r="B8254" t="inlineStr"/>
      <c r="C8254" t="inlineStr"/>
      <c r="D8254" t="inlineStr"/>
      <c r="E8254">
        <f>HYPERLINK("https://www.uniprot.org/uniprotkb/A0A8C5WCI2/entry", "A0A8C5WCI2")</f>
        <v/>
      </c>
      <c r="F8254" t="n">
        <v>51.2</v>
      </c>
      <c r="G8254" t="n">
        <v>164</v>
      </c>
      <c r="H8254" t="n">
        <v>7.730000000000001e-43</v>
      </c>
      <c r="I8254" t="inlineStr">
        <is>
          <t>TrEMBL</t>
        </is>
      </c>
      <c r="J8254" t="inlineStr"/>
      <c r="K8254" t="inlineStr">
        <is>
          <t>A0A8C5WCI2_9ANUR</t>
        </is>
      </c>
      <c r="L8254" t="inlineStr">
        <is>
          <t>tr|A0A8C5WCI2|A0A8C5WCI2_9ANUR Integrase catalytic domain-containing protein OS=Leptobrachium leishanense OX=445787 PE=4 SV=1</t>
        </is>
      </c>
      <c r="M8254" t="n">
        <v>361</v>
      </c>
      <c r="N8254" t="inlineStr">
        <is>
          <t>Leptobrachium leishanense</t>
        </is>
      </c>
      <c r="O8254" t="inlineStr">
        <is>
          <t>Integrase catalytic domain-containing protein</t>
        </is>
      </c>
    </row>
    <row r="8255">
      <c r="A8255" t="inlineStr"/>
      <c r="B8255" t="inlineStr"/>
      <c r="C8255" t="inlineStr"/>
      <c r="D8255" t="inlineStr"/>
      <c r="E8255">
        <f>HYPERLINK("https://www.uniprot.org/uniprotkb/A0A8C5QL50/entry", "A0A8C5QL50")</f>
        <v/>
      </c>
      <c r="F8255" t="n">
        <v>51.2</v>
      </c>
      <c r="G8255" t="n">
        <v>164</v>
      </c>
      <c r="H8255" t="n">
        <v>1.69e-42</v>
      </c>
      <c r="I8255" t="inlineStr">
        <is>
          <t>TrEMBL</t>
        </is>
      </c>
      <c r="J8255" t="inlineStr"/>
      <c r="K8255" t="inlineStr">
        <is>
          <t>A0A8C5QL50_9ANUR</t>
        </is>
      </c>
      <c r="L8255" t="inlineStr">
        <is>
          <t>tr|A0A8C5QL50|A0A8C5QL50_9ANUR Integrase catalytic domain-containing protein OS=Leptobrachium leishanense OX=445787 PE=4 SV=1</t>
        </is>
      </c>
      <c r="M8255" t="n">
        <v>397</v>
      </c>
      <c r="N8255" t="inlineStr">
        <is>
          <t>Leptobrachium leishanense</t>
        </is>
      </c>
      <c r="O8255" t="inlineStr">
        <is>
          <t>Integrase catalytic domain-containing protein</t>
        </is>
      </c>
    </row>
    <row r="8256">
      <c r="A8256" t="inlineStr"/>
      <c r="B8256" t="inlineStr"/>
      <c r="C8256" t="inlineStr"/>
      <c r="D8256" t="inlineStr"/>
      <c r="E8256">
        <f>HYPERLINK("https://www.uniprot.org/uniprotkb/A0A8C5Q8K2/entry", "A0A8C5Q8K2")</f>
        <v/>
      </c>
      <c r="F8256" t="n">
        <v>50.6</v>
      </c>
      <c r="G8256" t="n">
        <v>164</v>
      </c>
      <c r="H8256" t="n">
        <v>1.91e-42</v>
      </c>
      <c r="I8256" t="inlineStr">
        <is>
          <t>TrEMBL</t>
        </is>
      </c>
      <c r="J8256" t="inlineStr"/>
      <c r="K8256" t="inlineStr">
        <is>
          <t>A0A8C5Q8K2_9ANUR</t>
        </is>
      </c>
      <c r="L8256" t="inlineStr">
        <is>
          <t>tr|A0A8C5Q8K2|A0A8C5Q8K2_9ANUR Integrase catalytic domain-containing protein OS=Leptobrachium leishanense OX=445787 PE=4 SV=1</t>
        </is>
      </c>
      <c r="M8256" t="n">
        <v>341</v>
      </c>
      <c r="N8256" t="inlineStr">
        <is>
          <t>Leptobrachium leishanense</t>
        </is>
      </c>
      <c r="O8256" t="inlineStr">
        <is>
          <t>Integrase catalytic domain-containing protein</t>
        </is>
      </c>
    </row>
    <row r="8257">
      <c r="A8257" t="inlineStr"/>
      <c r="B8257" t="inlineStr"/>
      <c r="C8257" t="inlineStr"/>
      <c r="D8257" t="inlineStr"/>
      <c r="E8257">
        <f>HYPERLINK("https://www.uniprot.org/uniprotkb/A0A8C5PNP1/entry", "A0A8C5PNP1")</f>
        <v/>
      </c>
      <c r="F8257" t="n">
        <v>50.6</v>
      </c>
      <c r="G8257" t="n">
        <v>164</v>
      </c>
      <c r="H8257" t="n">
        <v>2.2e-42</v>
      </c>
      <c r="I8257" t="inlineStr">
        <is>
          <t>TrEMBL</t>
        </is>
      </c>
      <c r="J8257" t="inlineStr"/>
      <c r="K8257" t="inlineStr">
        <is>
          <t>A0A8C5PNP1_9ANUR</t>
        </is>
      </c>
      <c r="L8257" t="inlineStr">
        <is>
          <t>tr|A0A8C5PNP1|A0A8C5PNP1_9ANUR Integrase catalytic domain-containing protein OS=Leptobrachium leishanense OX=445787 PE=4 SV=1</t>
        </is>
      </c>
      <c r="M8257" t="n">
        <v>427</v>
      </c>
      <c r="N8257" t="inlineStr">
        <is>
          <t>Leptobrachium leishanense</t>
        </is>
      </c>
      <c r="O8257" t="inlineStr">
        <is>
          <t>Integrase catalytic domain-containing protein</t>
        </is>
      </c>
    </row>
    <row r="8258">
      <c r="A8258" t="inlineStr"/>
      <c r="B8258" t="inlineStr"/>
      <c r="C8258" t="inlineStr"/>
      <c r="D8258" t="inlineStr"/>
      <c r="E8258">
        <f>HYPERLINK("https://www.uniprot.org/uniprotkb/A0A8C5LIJ9/entry", "A0A8C5LIJ9")</f>
        <v/>
      </c>
      <c r="F8258" t="n">
        <v>51.2</v>
      </c>
      <c r="G8258" t="n">
        <v>164</v>
      </c>
      <c r="H8258" t="n">
        <v>3.03e-42</v>
      </c>
      <c r="I8258" t="inlineStr">
        <is>
          <t>TrEMBL</t>
        </is>
      </c>
      <c r="J8258" t="inlineStr"/>
      <c r="K8258" t="inlineStr">
        <is>
          <t>A0A8C5LIJ9_9ANUR</t>
        </is>
      </c>
      <c r="L8258" t="inlineStr">
        <is>
          <t>tr|A0A8C5LIJ9|A0A8C5LIJ9_9ANUR Retrovirus-related Pol polyprotein from transposon OS=Leptobrachium leishanense OX=445787 PE=4 SV=1</t>
        </is>
      </c>
      <c r="M8258" t="n">
        <v>761</v>
      </c>
      <c r="N8258" t="inlineStr">
        <is>
          <t>Leptobrachium leishanense</t>
        </is>
      </c>
      <c r="O8258" t="inlineStr">
        <is>
          <t>Retrovirus-related Pol polyprotein from transposon</t>
        </is>
      </c>
    </row>
    <row r="8259">
      <c r="A8259" t="inlineStr"/>
      <c r="B8259" t="inlineStr"/>
      <c r="C8259" t="inlineStr"/>
      <c r="D8259" t="inlineStr"/>
      <c r="E8259">
        <f>HYPERLINK("https://www.uniprot.org/uniprotkb/A0A8C5MGV3/entry", "A0A8C5MGV3")</f>
        <v/>
      </c>
      <c r="F8259" t="n">
        <v>52.8</v>
      </c>
      <c r="G8259" t="n">
        <v>159</v>
      </c>
      <c r="H8259" t="n">
        <v>3.27e-42</v>
      </c>
      <c r="I8259" t="inlineStr">
        <is>
          <t>TrEMBL</t>
        </is>
      </c>
      <c r="J8259" t="inlineStr"/>
      <c r="K8259" t="inlineStr">
        <is>
          <t>A0A8C5MGV3_9ANUR</t>
        </is>
      </c>
      <c r="L8259" t="inlineStr">
        <is>
          <t>tr|A0A8C5MGV3|A0A8C5MGV3_9ANUR ribonuclease H OS=Leptobrachium leishanense OX=445787 PE=3 SV=1</t>
        </is>
      </c>
      <c r="M8259" t="n">
        <v>719</v>
      </c>
      <c r="N8259" t="inlineStr">
        <is>
          <t>Leptobrachium leishanense</t>
        </is>
      </c>
      <c r="O8259" t="inlineStr">
        <is>
          <t>ribonuclease H</t>
        </is>
      </c>
    </row>
    <row r="8260">
      <c r="A8260" t="inlineStr"/>
      <c r="B8260" t="inlineStr"/>
      <c r="C8260" t="inlineStr"/>
      <c r="D8260" t="inlineStr"/>
      <c r="E8260">
        <f>HYPERLINK("https://www.uniprot.org/uniprotkb/A0A8C5QEC1/entry", "A0A8C5QEC1")</f>
        <v/>
      </c>
      <c r="F8260" t="n">
        <v>52.4</v>
      </c>
      <c r="G8260" t="n">
        <v>164</v>
      </c>
      <c r="H8260" t="n">
        <v>3.53e-42</v>
      </c>
      <c r="I8260" t="inlineStr">
        <is>
          <t>TrEMBL</t>
        </is>
      </c>
      <c r="J8260" t="inlineStr"/>
      <c r="K8260" t="inlineStr">
        <is>
          <t>A0A8C5QEC1_9ANUR</t>
        </is>
      </c>
      <c r="L8260" t="inlineStr">
        <is>
          <t>tr|A0A8C5QEC1|A0A8C5QEC1_9ANUR ribonuclease H OS=Leptobrachium leishanense OX=445787 PE=3 SV=1</t>
        </is>
      </c>
      <c r="M8260" t="n">
        <v>685</v>
      </c>
      <c r="N8260" t="inlineStr">
        <is>
          <t>Leptobrachium leishanense</t>
        </is>
      </c>
      <c r="O8260" t="inlineStr">
        <is>
          <t>ribonuclease H</t>
        </is>
      </c>
    </row>
    <row r="8261">
      <c r="A8261" t="inlineStr"/>
      <c r="B8261" t="inlineStr"/>
      <c r="C8261" t="inlineStr"/>
      <c r="D8261" t="inlineStr"/>
      <c r="E8261">
        <f>HYPERLINK("https://www.uniprot.org/uniprotkb/A0A8C5WMF6/entry", "A0A8C5WMF6")</f>
        <v/>
      </c>
      <c r="F8261" t="n">
        <v>51.9</v>
      </c>
      <c r="G8261" t="n">
        <v>158</v>
      </c>
      <c r="H8261" t="n">
        <v>3.659999999999999e-42</v>
      </c>
      <c r="I8261" t="inlineStr">
        <is>
          <t>TrEMBL</t>
        </is>
      </c>
      <c r="J8261" t="inlineStr"/>
      <c r="K8261" t="inlineStr">
        <is>
          <t>A0A8C5WMF6_9ANUR</t>
        </is>
      </c>
      <c r="L8261" t="inlineStr">
        <is>
          <t>tr|A0A8C5WMF6|A0A8C5WMF6_9ANUR Integrase catalytic domain-containing protein OS=Leptobrachium leishanense OX=445787 PE=4 SV=1</t>
        </is>
      </c>
      <c r="M8261" t="n">
        <v>311</v>
      </c>
      <c r="N8261" t="inlineStr">
        <is>
          <t>Leptobrachium leishanense</t>
        </is>
      </c>
      <c r="O8261" t="inlineStr">
        <is>
          <t>Integrase catalytic domain-containing protein</t>
        </is>
      </c>
    </row>
    <row r="8262">
      <c r="A8262" t="inlineStr"/>
      <c r="B8262" t="inlineStr"/>
      <c r="C8262" t="inlineStr"/>
      <c r="D8262" t="inlineStr"/>
      <c r="E8262">
        <f>HYPERLINK("https://www.uniprot.org/uniprotkb/A0A8C5M6R2/entry", "A0A8C5M6R2")</f>
        <v/>
      </c>
      <c r="F8262" t="n">
        <v>52.2</v>
      </c>
      <c r="G8262" t="n">
        <v>159</v>
      </c>
      <c r="H8262" t="n">
        <v>4.02e-42</v>
      </c>
      <c r="I8262" t="inlineStr">
        <is>
          <t>TrEMBL</t>
        </is>
      </c>
      <c r="J8262" t="inlineStr"/>
      <c r="K8262" t="inlineStr">
        <is>
          <t>A0A8C5M6R2_9ANUR</t>
        </is>
      </c>
      <c r="L8262" t="inlineStr">
        <is>
          <t>tr|A0A8C5M6R2|A0A8C5M6R2_9ANUR Integrase catalytic domain-containing protein OS=Leptobrachium leishanense OX=445787 PE=4 SV=1</t>
        </is>
      </c>
      <c r="M8262" t="n">
        <v>627</v>
      </c>
      <c r="N8262" t="inlineStr">
        <is>
          <t>Leptobrachium leishanense</t>
        </is>
      </c>
      <c r="O8262" t="inlineStr">
        <is>
          <t>Integrase catalytic domain-containing protein</t>
        </is>
      </c>
    </row>
    <row r="8263">
      <c r="A8263" t="inlineStr"/>
      <c r="B8263" t="inlineStr"/>
      <c r="C8263" t="inlineStr"/>
      <c r="D8263" t="inlineStr"/>
      <c r="E8263">
        <f>HYPERLINK("https://www.uniprot.org/uniprotkb/A0A8C5LU53/entry", "A0A8C5LU53")</f>
        <v/>
      </c>
      <c r="F8263" t="n">
        <v>50.6</v>
      </c>
      <c r="G8263" t="n">
        <v>164</v>
      </c>
      <c r="H8263" t="n">
        <v>4.79e-42</v>
      </c>
      <c r="I8263" t="inlineStr">
        <is>
          <t>TrEMBL</t>
        </is>
      </c>
      <c r="J8263" t="inlineStr"/>
      <c r="K8263" t="inlineStr">
        <is>
          <t>A0A8C5LU53_9ANUR</t>
        </is>
      </c>
      <c r="L8263" t="inlineStr">
        <is>
          <t>tr|A0A8C5LU53|A0A8C5LU53_9ANUR Integrase catalytic domain-containing protein OS=Leptobrachium leishanense OX=445787 PE=4 SV=1</t>
        </is>
      </c>
      <c r="M8263" t="n">
        <v>382</v>
      </c>
      <c r="N8263" t="inlineStr">
        <is>
          <t>Leptobrachium leishanense</t>
        </is>
      </c>
      <c r="O8263" t="inlineStr">
        <is>
          <t>Integrase catalytic domain-containing protein</t>
        </is>
      </c>
    </row>
    <row r="8264">
      <c r="A8264" t="inlineStr"/>
      <c r="B8264" t="inlineStr"/>
      <c r="C8264" t="inlineStr"/>
      <c r="D8264" t="inlineStr"/>
      <c r="E8264">
        <f>HYPERLINK("https://www.uniprot.org/uniprotkb/A0A8C5R3W5/entry", "A0A8C5R3W5")</f>
        <v/>
      </c>
      <c r="F8264" t="n">
        <v>51.8</v>
      </c>
      <c r="G8264" t="n">
        <v>164</v>
      </c>
      <c r="H8264" t="n">
        <v>5.639999999999999e-42</v>
      </c>
      <c r="I8264" t="inlineStr">
        <is>
          <t>TrEMBL</t>
        </is>
      </c>
      <c r="J8264" t="inlineStr"/>
      <c r="K8264" t="inlineStr">
        <is>
          <t>A0A8C5R3W5_9ANUR</t>
        </is>
      </c>
      <c r="L8264" t="inlineStr">
        <is>
          <t>tr|A0A8C5R3W5|A0A8C5R3W5_9ANUR ribonuclease H OS=Leptobrachium leishanense OX=445787 PE=3 SV=1</t>
        </is>
      </c>
      <c r="M8264" t="n">
        <v>545</v>
      </c>
      <c r="N8264" t="inlineStr">
        <is>
          <t>Leptobrachium leishanense</t>
        </is>
      </c>
      <c r="O8264" t="inlineStr">
        <is>
          <t>ribonuclease H</t>
        </is>
      </c>
    </row>
    <row r="8265">
      <c r="A8265" t="inlineStr"/>
      <c r="B8265" t="inlineStr"/>
      <c r="C8265" t="inlineStr"/>
      <c r="D8265" t="inlineStr"/>
      <c r="E8265">
        <f>HYPERLINK("https://www.uniprot.org/uniprotkb/A0A8C5QBP7/entry", "A0A8C5QBP7")</f>
        <v/>
      </c>
      <c r="F8265" t="n">
        <v>51.2</v>
      </c>
      <c r="G8265" t="n">
        <v>164</v>
      </c>
      <c r="H8265" t="n">
        <v>5.87e-42</v>
      </c>
      <c r="I8265" t="inlineStr">
        <is>
          <t>TrEMBL</t>
        </is>
      </c>
      <c r="J8265" t="inlineStr"/>
      <c r="K8265" t="inlineStr">
        <is>
          <t>A0A8C5QBP7_9ANUR</t>
        </is>
      </c>
      <c r="L8265" t="inlineStr">
        <is>
          <t>tr|A0A8C5QBP7|A0A8C5QBP7_9ANUR Integrase catalytic domain-containing protein OS=Leptobrachium leishanense OX=445787 PE=4 SV=1</t>
        </is>
      </c>
      <c r="M8265" t="n">
        <v>462</v>
      </c>
      <c r="N8265" t="inlineStr">
        <is>
          <t>Leptobrachium leishanense</t>
        </is>
      </c>
      <c r="O8265" t="inlineStr">
        <is>
          <t>Integrase catalytic domain-containing protein</t>
        </is>
      </c>
    </row>
    <row r="8266">
      <c r="A8266" t="inlineStr"/>
      <c r="B8266" t="inlineStr"/>
      <c r="C8266" t="inlineStr"/>
      <c r="D8266" t="inlineStr"/>
      <c r="E8266">
        <f>HYPERLINK("https://www.ncbi.nlm.nih.gov/gene/?term=XP_044133676.1", "XP_044133676.1")</f>
        <v/>
      </c>
      <c r="F8266" t="n">
        <v>51.3</v>
      </c>
      <c r="G8266" t="n">
        <v>150</v>
      </c>
      <c r="H8266" t="n">
        <v>2.24e-40</v>
      </c>
      <c r="I8266" t="inlineStr">
        <is>
          <t>Nr</t>
        </is>
      </c>
      <c r="J8266" t="inlineStr"/>
      <c r="K8266" t="inlineStr"/>
      <c r="L8266" t="inlineStr">
        <is>
          <t>XP_044133676.1 uncharacterized protein LOC122926366, partial [Bufo gargarizans]</t>
        </is>
      </c>
      <c r="M8266" t="n">
        <v>1177</v>
      </c>
      <c r="N8266" t="inlineStr">
        <is>
          <t>Bufo gargarizans</t>
        </is>
      </c>
      <c r="O8266" t="inlineStr">
        <is>
          <t>uncharacterized protein LOC122926366, partial</t>
        </is>
      </c>
    </row>
    <row r="8267">
      <c r="A8267" t="inlineStr"/>
      <c r="B8267" t="inlineStr"/>
      <c r="C8267" t="inlineStr"/>
      <c r="D8267" t="inlineStr"/>
      <c r="E8267">
        <f>HYPERLINK("https://www.ncbi.nlm.nih.gov/gene/?term=XP_040262240.1", "XP_040262240.1")</f>
        <v/>
      </c>
      <c r="F8267" t="n">
        <v>53</v>
      </c>
      <c r="G8267" t="n">
        <v>134</v>
      </c>
      <c r="H8267" t="n">
        <v>2.76e-35</v>
      </c>
      <c r="I8267" t="inlineStr">
        <is>
          <t>Nr</t>
        </is>
      </c>
      <c r="J8267" t="inlineStr"/>
      <c r="K8267" t="inlineStr"/>
      <c r="L8267" t="inlineStr">
        <is>
          <t>XP_040262240.1 testis-expressed protein 11 [Bufo bufo]</t>
        </is>
      </c>
      <c r="M8267" t="n">
        <v>1222</v>
      </c>
      <c r="N8267" t="inlineStr">
        <is>
          <t>Bufo bufo</t>
        </is>
      </c>
      <c r="O8267" t="inlineStr">
        <is>
          <t>testis-expressed protein 11</t>
        </is>
      </c>
    </row>
    <row r="8268">
      <c r="A8268" t="inlineStr"/>
      <c r="B8268" t="inlineStr"/>
      <c r="C8268" t="inlineStr"/>
      <c r="D8268" t="inlineStr"/>
      <c r="E8268">
        <f>HYPERLINK("https://www.ncbi.nlm.nih.gov/gene/?term=XP_044155688.1", "XP_044155688.1")</f>
        <v/>
      </c>
      <c r="F8268" t="n">
        <v>52.1</v>
      </c>
      <c r="G8268" t="n">
        <v>117</v>
      </c>
      <c r="H8268" t="n">
        <v>1.94e-31</v>
      </c>
      <c r="I8268" t="inlineStr">
        <is>
          <t>Nr</t>
        </is>
      </c>
      <c r="J8268" t="inlineStr"/>
      <c r="K8268" t="inlineStr"/>
      <c r="L8268" t="inlineStr">
        <is>
          <t>XP_044155688.1 uncharacterized protein LOC122942250, partial [Bufo gargarizans]</t>
        </is>
      </c>
      <c r="M8268" t="n">
        <v>864</v>
      </c>
      <c r="N8268" t="inlineStr">
        <is>
          <t>Bufo gargarizans</t>
        </is>
      </c>
      <c r="O8268" t="inlineStr">
        <is>
          <t>uncharacterized protein LOC122942250, partial</t>
        </is>
      </c>
    </row>
    <row r="8269">
      <c r="A8269" t="inlineStr"/>
      <c r="B8269" t="inlineStr"/>
      <c r="C8269" t="inlineStr"/>
      <c r="D8269" t="inlineStr"/>
      <c r="E8269">
        <f>HYPERLINK("https://www.ncbi.nlm.nih.gov/gene/?term=XP_041428794.1", "XP_041428794.1")</f>
        <v/>
      </c>
      <c r="F8269" t="n">
        <v>43.4</v>
      </c>
      <c r="G8269" t="n">
        <v>159</v>
      </c>
      <c r="H8269" t="n">
        <v>9.190000000000001e-31</v>
      </c>
      <c r="I8269" t="inlineStr">
        <is>
          <t>Nr</t>
        </is>
      </c>
      <c r="J8269" t="inlineStr"/>
      <c r="K8269" t="inlineStr"/>
      <c r="L8269" t="inlineStr">
        <is>
          <t>XP_041428794.1 uncharacterized protein LOC121397047 [Xenopus laevis]</t>
        </is>
      </c>
      <c r="M8269" t="n">
        <v>901</v>
      </c>
      <c r="N8269" t="inlineStr">
        <is>
          <t>Xenopus laevis</t>
        </is>
      </c>
      <c r="O8269" t="inlineStr">
        <is>
          <t>uncharacterized protein LOC121397047</t>
        </is>
      </c>
    </row>
    <row r="8270">
      <c r="A8270" t="inlineStr"/>
      <c r="B8270" t="inlineStr"/>
      <c r="C8270" t="inlineStr"/>
      <c r="D8270" t="inlineStr"/>
      <c r="E8270">
        <f>HYPERLINK("https://www.ncbi.nlm.nih.gov/gene/?term=XP_041435978.1", "XP_041435978.1")</f>
        <v/>
      </c>
      <c r="F8270" t="n">
        <v>43.9</v>
      </c>
      <c r="G8270" t="n">
        <v>157</v>
      </c>
      <c r="H8270" t="n">
        <v>9.8e-31</v>
      </c>
      <c r="I8270" t="inlineStr">
        <is>
          <t>Nr</t>
        </is>
      </c>
      <c r="J8270" t="inlineStr"/>
      <c r="K8270" t="inlineStr"/>
      <c r="L8270" t="inlineStr">
        <is>
          <t>XP_041435978.1 uncharacterized protein LOC121399407 [Xenopus laevis]</t>
        </is>
      </c>
      <c r="M8270" t="n">
        <v>1278</v>
      </c>
      <c r="N8270" t="inlineStr">
        <is>
          <t>Xenopus laevis</t>
        </is>
      </c>
      <c r="O8270" t="inlineStr">
        <is>
          <t>uncharacterized protein LOC121399407</t>
        </is>
      </c>
    </row>
    <row r="8271">
      <c r="A8271" t="inlineStr"/>
      <c r="B8271" t="inlineStr"/>
      <c r="C8271" t="inlineStr"/>
      <c r="D8271" t="inlineStr"/>
      <c r="E8271">
        <f>HYPERLINK("https://www.ncbi.nlm.nih.gov/gene/?term=XP_041436504.1", "XP_041436504.1")</f>
        <v/>
      </c>
      <c r="F8271" t="n">
        <v>43.4</v>
      </c>
      <c r="G8271" t="n">
        <v>159</v>
      </c>
      <c r="H8271" t="n">
        <v>9.999999999999999e-31</v>
      </c>
      <c r="I8271" t="inlineStr">
        <is>
          <t>Nr</t>
        </is>
      </c>
      <c r="J8271" t="inlineStr"/>
      <c r="K8271" t="inlineStr"/>
      <c r="L8271" t="inlineStr">
        <is>
          <t>XP_041436504.1 uncharacterized protein LOC121399532 [Xenopus laevis]</t>
        </is>
      </c>
      <c r="M8271" t="n">
        <v>1489</v>
      </c>
      <c r="N8271" t="inlineStr">
        <is>
          <t>Xenopus laevis</t>
        </is>
      </c>
      <c r="O8271" t="inlineStr">
        <is>
          <t>uncharacterized protein LOC121399532</t>
        </is>
      </c>
    </row>
    <row r="8272">
      <c r="A8272" t="inlineStr"/>
      <c r="B8272" t="inlineStr"/>
      <c r="C8272" t="inlineStr"/>
      <c r="D8272" t="inlineStr"/>
      <c r="E8272">
        <f>HYPERLINK("https://www.ncbi.nlm.nih.gov/gene/?term=XP_041427105.1", "XP_041427105.1")</f>
        <v/>
      </c>
      <c r="F8272" t="n">
        <v>43.4</v>
      </c>
      <c r="G8272" t="n">
        <v>159</v>
      </c>
      <c r="H8272" t="n">
        <v>9.999999999999999e-31</v>
      </c>
      <c r="I8272" t="inlineStr">
        <is>
          <t>Nr</t>
        </is>
      </c>
      <c r="J8272" t="inlineStr"/>
      <c r="K8272" t="inlineStr"/>
      <c r="L8272" t="inlineStr">
        <is>
          <t>XP_041427105.1 uncharacterized protein LOC121396330 [Xenopus laevis]</t>
        </is>
      </c>
      <c r="M8272" t="n">
        <v>1489</v>
      </c>
      <c r="N8272" t="inlineStr">
        <is>
          <t>Xenopus laevis</t>
        </is>
      </c>
      <c r="O8272" t="inlineStr">
        <is>
          <t>uncharacterized protein LOC121396330</t>
        </is>
      </c>
    </row>
    <row r="8273">
      <c r="A8273" t="inlineStr"/>
      <c r="B8273" t="inlineStr"/>
      <c r="C8273" t="inlineStr"/>
      <c r="D8273" t="inlineStr"/>
      <c r="E8273">
        <f>HYPERLINK("https://www.ncbi.nlm.nih.gov/gene/?term=XP_041439585.1", "XP_041439585.1")</f>
        <v/>
      </c>
      <c r="F8273" t="n">
        <v>43.4</v>
      </c>
      <c r="G8273" t="n">
        <v>159</v>
      </c>
      <c r="H8273" t="n">
        <v>9.999999999999999e-31</v>
      </c>
      <c r="I8273" t="inlineStr">
        <is>
          <t>Nr</t>
        </is>
      </c>
      <c r="J8273" t="inlineStr"/>
      <c r="K8273" t="inlineStr"/>
      <c r="L8273" t="inlineStr">
        <is>
          <t>XP_041439585.1 uncharacterized protein LOC121400486 [Xenopus laevis]</t>
        </is>
      </c>
      <c r="M8273" t="n">
        <v>1489</v>
      </c>
      <c r="N8273" t="inlineStr">
        <is>
          <t>Xenopus laevis</t>
        </is>
      </c>
      <c r="O8273" t="inlineStr">
        <is>
          <t>uncharacterized protein LOC121400486</t>
        </is>
      </c>
    </row>
    <row r="8274">
      <c r="A8274" t="inlineStr"/>
      <c r="B8274" t="inlineStr"/>
      <c r="C8274" t="inlineStr"/>
      <c r="D8274" t="inlineStr"/>
      <c r="E8274">
        <f>HYPERLINK("https://www.ncbi.nlm.nih.gov/gene/?term=XP_031757847.1", "XP_031757847.1")</f>
        <v/>
      </c>
      <c r="F8274" t="n">
        <v>43.3</v>
      </c>
      <c r="G8274" t="n">
        <v>157</v>
      </c>
      <c r="H8274" t="n">
        <v>1.36e-30</v>
      </c>
      <c r="I8274" t="inlineStr">
        <is>
          <t>Nr</t>
        </is>
      </c>
      <c r="J8274" t="inlineStr"/>
      <c r="K8274" t="inlineStr"/>
      <c r="L8274" t="inlineStr">
        <is>
          <t>XP_031757847.1 uncharacterized protein LOC116410834 [Xenopus tropicalis]</t>
        </is>
      </c>
      <c r="M8274" t="n">
        <v>1487</v>
      </c>
      <c r="N8274" t="inlineStr">
        <is>
          <t>Xenopus tropicalis</t>
        </is>
      </c>
      <c r="O8274" t="inlineStr">
        <is>
          <t>uncharacterized protein LOC116410834</t>
        </is>
      </c>
    </row>
    <row r="8275">
      <c r="A8275" t="inlineStr"/>
      <c r="B8275" t="inlineStr"/>
      <c r="C8275" t="inlineStr"/>
      <c r="D8275" t="inlineStr"/>
      <c r="E8275">
        <f>HYPERLINK("https://www.ncbi.nlm.nih.gov/gene/?term=XP_031749403.1", "XP_031749403.1")</f>
        <v/>
      </c>
      <c r="F8275" t="n">
        <v>43.3</v>
      </c>
      <c r="G8275" t="n">
        <v>157</v>
      </c>
      <c r="H8275" t="n">
        <v>1.85e-30</v>
      </c>
      <c r="I8275" t="inlineStr">
        <is>
          <t>Nr</t>
        </is>
      </c>
      <c r="J8275" t="inlineStr"/>
      <c r="K8275" t="inlineStr"/>
      <c r="L8275" t="inlineStr">
        <is>
          <t>XP_031749403.1 uncharacterized protein LOC116407696 [Xenopus tropicalis]</t>
        </is>
      </c>
      <c r="M8275" t="n">
        <v>1489</v>
      </c>
      <c r="N8275" t="inlineStr">
        <is>
          <t>Xenopus tropicalis</t>
        </is>
      </c>
      <c r="O8275" t="inlineStr">
        <is>
          <t>uncharacterized protein LOC116407696</t>
        </is>
      </c>
    </row>
    <row r="8276">
      <c r="A8276" t="inlineStr"/>
      <c r="B8276" t="inlineStr"/>
      <c r="C8276" t="inlineStr"/>
      <c r="D8276" t="inlineStr"/>
      <c r="E8276">
        <f>HYPERLINK("https://www.ncbi.nlm.nih.gov/gene/?term=XP_040209167.1", "XP_040209167.1")</f>
        <v/>
      </c>
      <c r="F8276" t="n">
        <v>47.6</v>
      </c>
      <c r="G8276" t="n">
        <v>143</v>
      </c>
      <c r="H8276" t="n">
        <v>3.43e-30</v>
      </c>
      <c r="I8276" t="inlineStr">
        <is>
          <t>Nr</t>
        </is>
      </c>
      <c r="J8276" t="inlineStr"/>
      <c r="K8276" t="inlineStr"/>
      <c r="L8276" t="inlineStr">
        <is>
          <t>XP_040209167.1 uncharacterized protein LOC120940401 [Rana temporaria]</t>
        </is>
      </c>
      <c r="M8276" t="n">
        <v>1504</v>
      </c>
      <c r="N8276" t="inlineStr">
        <is>
          <t>Rana temporaria</t>
        </is>
      </c>
      <c r="O8276" t="inlineStr">
        <is>
          <t>uncharacterized protein LOC120940401</t>
        </is>
      </c>
    </row>
    <row r="8277">
      <c r="A8277" t="inlineStr"/>
      <c r="B8277" t="inlineStr"/>
      <c r="C8277" t="inlineStr"/>
      <c r="D8277" t="inlineStr"/>
      <c r="E8277">
        <f>HYPERLINK("https://www.ncbi.nlm.nih.gov/gene/?term=XP_040197512.1", "XP_040197512.1")</f>
        <v/>
      </c>
      <c r="F8277" t="n">
        <v>47.6</v>
      </c>
      <c r="G8277" t="n">
        <v>143</v>
      </c>
      <c r="H8277" t="n">
        <v>3.46e-30</v>
      </c>
      <c r="I8277" t="inlineStr">
        <is>
          <t>Nr</t>
        </is>
      </c>
      <c r="J8277" t="inlineStr"/>
      <c r="K8277" t="inlineStr"/>
      <c r="L8277" t="inlineStr">
        <is>
          <t>XP_040197512.1 uncharacterized protein LOC120930387 [Rana temporaria]</t>
        </is>
      </c>
      <c r="M8277" t="n">
        <v>1614</v>
      </c>
      <c r="N8277" t="inlineStr">
        <is>
          <t>Rana temporaria</t>
        </is>
      </c>
      <c r="O8277" t="inlineStr">
        <is>
          <t>uncharacterized protein LOC120930387</t>
        </is>
      </c>
    </row>
    <row r="8278">
      <c r="A8278" t="inlineStr"/>
      <c r="B8278" t="inlineStr"/>
      <c r="C8278" t="inlineStr"/>
      <c r="D8278" t="inlineStr"/>
      <c r="E8278">
        <f>HYPERLINK("https://www.ncbi.nlm.nih.gov/gene/?term=XP_031747741.1", "XP_031747741.1")</f>
        <v/>
      </c>
      <c r="F8278" t="n">
        <v>42.7</v>
      </c>
      <c r="G8278" t="n">
        <v>157</v>
      </c>
      <c r="H8278" t="n">
        <v>8.62e-30</v>
      </c>
      <c r="I8278" t="inlineStr">
        <is>
          <t>Nr</t>
        </is>
      </c>
      <c r="J8278" t="inlineStr"/>
      <c r="K8278" t="inlineStr"/>
      <c r="L8278" t="inlineStr">
        <is>
          <t>XP_031747741.1 uncharacterized protein LOC108647426 [Xenopus tropicalis]</t>
        </is>
      </c>
      <c r="M8278" t="n">
        <v>1489</v>
      </c>
      <c r="N8278" t="inlineStr">
        <is>
          <t>Xenopus tropicalis</t>
        </is>
      </c>
      <c r="O8278" t="inlineStr">
        <is>
          <t>uncharacterized protein LOC108647426</t>
        </is>
      </c>
    </row>
    <row r="8279">
      <c r="A8279" t="inlineStr"/>
      <c r="B8279" t="inlineStr"/>
      <c r="C8279" t="inlineStr"/>
      <c r="D8279" t="inlineStr"/>
      <c r="E8279">
        <f>HYPERLINK("https://www.ncbi.nlm.nih.gov/gene/?term=XP_004910398.2", "XP_004910398.2")</f>
        <v/>
      </c>
      <c r="F8279" t="n">
        <v>42.7</v>
      </c>
      <c r="G8279" t="n">
        <v>157</v>
      </c>
      <c r="H8279" t="n">
        <v>1.59e-29</v>
      </c>
      <c r="I8279" t="inlineStr">
        <is>
          <t>Nr</t>
        </is>
      </c>
      <c r="J8279" t="inlineStr"/>
      <c r="K8279" t="inlineStr"/>
      <c r="L8279" t="inlineStr">
        <is>
          <t>XP_004910398.2 uncharacterized protein LOC101734517 [Xenopus tropicalis]</t>
        </is>
      </c>
      <c r="M8279" t="n">
        <v>1488</v>
      </c>
      <c r="N8279" t="inlineStr">
        <is>
          <t>Xenopus tropicalis</t>
        </is>
      </c>
      <c r="O8279" t="inlineStr">
        <is>
          <t>uncharacterized protein LOC101734517</t>
        </is>
      </c>
    </row>
    <row r="8280">
      <c r="A8280" t="inlineStr"/>
      <c r="B8280" t="inlineStr"/>
      <c r="C8280" t="inlineStr"/>
      <c r="D8280" t="inlineStr"/>
      <c r="E8280">
        <f>HYPERLINK("https://www.ncbi.nlm.nih.gov/gene/?term=XP_017948839.2", "XP_017948839.2")</f>
        <v/>
      </c>
      <c r="F8280" t="n">
        <v>43.6</v>
      </c>
      <c r="G8280" t="n">
        <v>149</v>
      </c>
      <c r="H8280" t="n">
        <v>2.54e-28</v>
      </c>
      <c r="I8280" t="inlineStr">
        <is>
          <t>Nr</t>
        </is>
      </c>
      <c r="J8280" t="inlineStr"/>
      <c r="K8280" t="inlineStr"/>
      <c r="L8280" t="inlineStr">
        <is>
          <t>XP_017948839.2 uncharacterized protein LOC108647387 [Xenopus tropicalis]</t>
        </is>
      </c>
      <c r="M8280" t="n">
        <v>1498</v>
      </c>
      <c r="N8280" t="inlineStr">
        <is>
          <t>Xenopus tropicalis</t>
        </is>
      </c>
      <c r="O8280" t="inlineStr">
        <is>
          <t>uncharacterized protein LOC108647387</t>
        </is>
      </c>
    </row>
    <row r="8281">
      <c r="A8281" t="inlineStr"/>
      <c r="B8281" t="inlineStr"/>
      <c r="C8281" t="inlineStr"/>
      <c r="D8281" t="inlineStr"/>
      <c r="E8281">
        <f>HYPERLINK("https://www.ncbi.nlm.nih.gov/gene/?term=XP_031756161.1", "XP_031756161.1")</f>
        <v/>
      </c>
      <c r="F8281" t="n">
        <v>45.8</v>
      </c>
      <c r="G8281" t="n">
        <v>144</v>
      </c>
      <c r="H8281" t="n">
        <v>4.73e-28</v>
      </c>
      <c r="I8281" t="inlineStr">
        <is>
          <t>Nr</t>
        </is>
      </c>
      <c r="J8281" t="inlineStr"/>
      <c r="K8281" t="inlineStr"/>
      <c r="L8281" t="inlineStr">
        <is>
          <t>XP_031756161.1 uncharacterized protein LOC116410219 [Xenopus tropicalis]</t>
        </is>
      </c>
      <c r="M8281" t="n">
        <v>1574</v>
      </c>
      <c r="N8281" t="inlineStr">
        <is>
          <t>Xenopus tropicalis</t>
        </is>
      </c>
      <c r="O8281" t="inlineStr">
        <is>
          <t>uncharacterized protein LOC116410219</t>
        </is>
      </c>
    </row>
    <row r="8282">
      <c r="A8282" t="inlineStr"/>
      <c r="B8282" t="inlineStr"/>
      <c r="C8282" t="inlineStr"/>
      <c r="D8282" t="inlineStr"/>
      <c r="E8282">
        <f>HYPERLINK("https://www.ncbi.nlm.nih.gov/gene/?term=XP_044146655.1", "XP_044146655.1")</f>
        <v/>
      </c>
      <c r="F8282" t="n">
        <v>45.9</v>
      </c>
      <c r="G8282" t="n">
        <v>122</v>
      </c>
      <c r="H8282" t="n">
        <v>2.44e-24</v>
      </c>
      <c r="I8282" t="inlineStr">
        <is>
          <t>Nr</t>
        </is>
      </c>
      <c r="J8282" t="inlineStr"/>
      <c r="K8282" t="inlineStr"/>
      <c r="L8282" t="inlineStr">
        <is>
          <t>XP_044146655.1 uncharacterized protein LOC122935008 [Bufo gargarizans]</t>
        </is>
      </c>
      <c r="M8282" t="n">
        <v>533</v>
      </c>
      <c r="N8282" t="inlineStr">
        <is>
          <t>Bufo gargarizans</t>
        </is>
      </c>
      <c r="O8282" t="inlineStr">
        <is>
          <t>uncharacterized protein LOC122935008</t>
        </is>
      </c>
    </row>
    <row r="8283">
      <c r="A8283" t="inlineStr"/>
      <c r="B8283" t="inlineStr"/>
      <c r="C8283" t="inlineStr"/>
      <c r="D8283" t="inlineStr"/>
      <c r="E8283">
        <f>HYPERLINK("https://www.ncbi.nlm.nih.gov/gene/?term=XP_044134361.1", "XP_044134361.1")</f>
        <v/>
      </c>
      <c r="F8283" t="n">
        <v>45.9</v>
      </c>
      <c r="G8283" t="n">
        <v>122</v>
      </c>
      <c r="H8283" t="n">
        <v>4.599999999999999e-24</v>
      </c>
      <c r="I8283" t="inlineStr">
        <is>
          <t>Nr</t>
        </is>
      </c>
      <c r="J8283" t="inlineStr"/>
      <c r="K8283" t="inlineStr"/>
      <c r="L8283" t="inlineStr">
        <is>
          <t>XP_044134361.1 uncharacterized protein LOC122926906 [Bufo gargarizans]</t>
        </is>
      </c>
      <c r="M8283" t="n">
        <v>533</v>
      </c>
      <c r="N8283" t="inlineStr">
        <is>
          <t>Bufo gargarizans</t>
        </is>
      </c>
      <c r="O8283" t="inlineStr">
        <is>
          <t>uncharacterized protein LOC122926906</t>
        </is>
      </c>
    </row>
    <row r="8284">
      <c r="A8284" t="inlineStr"/>
      <c r="B8284" t="inlineStr"/>
      <c r="C8284" t="inlineStr"/>
      <c r="D8284" t="inlineStr"/>
      <c r="E8284">
        <f>HYPERLINK("https://www.ncbi.nlm.nih.gov/gene/?term=XP_044139237.1", "XP_044139237.1")</f>
        <v/>
      </c>
      <c r="F8284" t="n">
        <v>45.1</v>
      </c>
      <c r="G8284" t="n">
        <v>122</v>
      </c>
      <c r="H8284" t="n">
        <v>2.6e-23</v>
      </c>
      <c r="I8284" t="inlineStr">
        <is>
          <t>Nr</t>
        </is>
      </c>
      <c r="J8284" t="inlineStr"/>
      <c r="K8284" t="inlineStr"/>
      <c r="L8284" t="inlineStr">
        <is>
          <t>XP_044139237.1 uncharacterized protein LOC122929666 [Bufo gargarizans]</t>
        </is>
      </c>
      <c r="M8284" t="n">
        <v>497</v>
      </c>
      <c r="N8284" t="inlineStr">
        <is>
          <t>Bufo gargarizans</t>
        </is>
      </c>
      <c r="O8284" t="inlineStr">
        <is>
          <t>uncharacterized protein LOC122929666</t>
        </is>
      </c>
    </row>
    <row r="8285">
      <c r="A8285" t="inlineStr"/>
      <c r="B8285" t="inlineStr"/>
      <c r="C8285" t="inlineStr"/>
      <c r="D8285" t="inlineStr"/>
      <c r="E8285">
        <f>HYPERLINK("https://www.ncbi.nlm.nih.gov/gene/?term=XP_040271410.1", "XP_040271410.1")</f>
        <v/>
      </c>
      <c r="F8285" t="n">
        <v>48.1</v>
      </c>
      <c r="G8285" t="n">
        <v>106</v>
      </c>
      <c r="H8285" t="n">
        <v>5.72e-22</v>
      </c>
      <c r="I8285" t="inlineStr">
        <is>
          <t>Nr</t>
        </is>
      </c>
      <c r="J8285" t="inlineStr"/>
      <c r="K8285" t="inlineStr"/>
      <c r="L8285" t="inlineStr">
        <is>
          <t>XP_040271410.1 uncharacterized protein LOC120986769 [Bufo bufo]</t>
        </is>
      </c>
      <c r="M8285" t="n">
        <v>561</v>
      </c>
      <c r="N8285" t="inlineStr">
        <is>
          <t>Bufo bufo</t>
        </is>
      </c>
      <c r="O8285" t="inlineStr">
        <is>
          <t>uncharacterized protein LOC120986769</t>
        </is>
      </c>
    </row>
    <row r="8286">
      <c r="A8286" t="inlineStr"/>
      <c r="B8286" t="inlineStr"/>
      <c r="C8286" t="inlineStr"/>
      <c r="D8286" t="inlineStr"/>
      <c r="E8286">
        <f>HYPERLINK("https://www.uniprot.org/uniprotkb/A0A8C5QBC4/entry", "A0A8C5QBC4")</f>
        <v/>
      </c>
      <c r="F8286" t="n">
        <v>45.8</v>
      </c>
      <c r="G8286" t="n">
        <v>107</v>
      </c>
      <c r="H8286" t="n">
        <v>1.56e-20</v>
      </c>
      <c r="I8286" t="inlineStr">
        <is>
          <t>TrEMBL</t>
        </is>
      </c>
      <c r="J8286" t="inlineStr"/>
      <c r="K8286" t="inlineStr">
        <is>
          <t>A0A8C5QBC4_9ANUR</t>
        </is>
      </c>
      <c r="L8286" t="inlineStr">
        <is>
          <t>tr|A0A8C5QBC4|A0A8C5QBC4_9ANUR CCHC-type domain-containing protein OS=Leptobrachium leishanense OX=445787 PE=4 SV=1</t>
        </is>
      </c>
      <c r="M8286" t="n">
        <v>507</v>
      </c>
      <c r="N8286" t="inlineStr">
        <is>
          <t>Leptobrachium leishanense</t>
        </is>
      </c>
      <c r="O8286" t="inlineStr">
        <is>
          <t>CCHC-type domain-containing protein</t>
        </is>
      </c>
    </row>
    <row r="8287">
      <c r="A8287" t="inlineStr"/>
      <c r="B8287" t="inlineStr"/>
      <c r="C8287" t="inlineStr"/>
      <c r="D8287" t="inlineStr"/>
      <c r="E8287">
        <f>HYPERLINK("https://www.uniprot.org/uniprotkb/A0A8C5MTW4/entry", "A0A8C5MTW4")</f>
        <v/>
      </c>
      <c r="F8287" t="n">
        <v>37</v>
      </c>
      <c r="G8287" t="n">
        <v>146</v>
      </c>
      <c r="H8287" t="n">
        <v>3.94e-20</v>
      </c>
      <c r="I8287" t="inlineStr">
        <is>
          <t>TrEMBL</t>
        </is>
      </c>
      <c r="J8287" t="inlineStr"/>
      <c r="K8287" t="inlineStr">
        <is>
          <t>A0A8C5MTW4_9ANUR</t>
        </is>
      </c>
      <c r="L8287" t="inlineStr">
        <is>
          <t>tr|A0A8C5MTW4|A0A8C5MTW4_9ANUR CCHC-type domain-containing protein OS=Leptobrachium leishanense OX=445787 PE=4 SV=1</t>
        </is>
      </c>
      <c r="M8287" t="n">
        <v>501</v>
      </c>
      <c r="N8287" t="inlineStr">
        <is>
          <t>Leptobrachium leishanense</t>
        </is>
      </c>
      <c r="O8287" t="inlineStr">
        <is>
          <t>CCHC-type domain-containing protein</t>
        </is>
      </c>
    </row>
    <row r="8288">
      <c r="A8288" t="inlineStr"/>
      <c r="B8288" t="inlineStr"/>
      <c r="C8288" t="inlineStr"/>
      <c r="D8288" t="inlineStr"/>
      <c r="E8288">
        <f>HYPERLINK("https://www.uniprot.org/uniprotkb/A0A8C5QJM8/entry", "A0A8C5QJM8")</f>
        <v/>
      </c>
      <c r="F8288" t="n">
        <v>38</v>
      </c>
      <c r="G8288" t="n">
        <v>142</v>
      </c>
      <c r="H8288" t="n">
        <v>3.99e-20</v>
      </c>
      <c r="I8288" t="inlineStr">
        <is>
          <t>TrEMBL</t>
        </is>
      </c>
      <c r="J8288" t="inlineStr"/>
      <c r="K8288" t="inlineStr">
        <is>
          <t>A0A8C5QJM8_9ANUR</t>
        </is>
      </c>
      <c r="L8288" t="inlineStr">
        <is>
          <t>tr|A0A8C5QJM8|A0A8C5QJM8_9ANUR ribonuclease H OS=Leptobrachium leishanense OX=445787 PE=3 SV=1</t>
        </is>
      </c>
      <c r="M8288" t="n">
        <v>1524</v>
      </c>
      <c r="N8288" t="inlineStr">
        <is>
          <t>Leptobrachium leishanense</t>
        </is>
      </c>
      <c r="O8288" t="inlineStr">
        <is>
          <t>ribonuclease H</t>
        </is>
      </c>
    </row>
    <row r="8289">
      <c r="A8289" t="inlineStr"/>
      <c r="B8289" t="inlineStr"/>
      <c r="C8289" t="inlineStr"/>
      <c r="D8289" t="inlineStr"/>
      <c r="E8289">
        <f>HYPERLINK("https://www.uniprot.org/uniprotkb/A0A8C5PNU8/entry", "A0A8C5PNU8")</f>
        <v/>
      </c>
      <c r="F8289" t="n">
        <v>41.5</v>
      </c>
      <c r="G8289" t="n">
        <v>130</v>
      </c>
      <c r="H8289" t="n">
        <v>4.43e-20</v>
      </c>
      <c r="I8289" t="inlineStr">
        <is>
          <t>TrEMBL</t>
        </is>
      </c>
      <c r="J8289" t="inlineStr"/>
      <c r="K8289" t="inlineStr">
        <is>
          <t>A0A8C5PNU8_9ANUR</t>
        </is>
      </c>
      <c r="L8289" t="inlineStr">
        <is>
          <t>tr|A0A8C5PNU8|A0A8C5PNU8_9ANUR CCHC-type domain-containing protein OS=Leptobrachium leishanense OX=445787 PE=4 SV=1</t>
        </is>
      </c>
      <c r="M8289" t="n">
        <v>454</v>
      </c>
      <c r="N8289" t="inlineStr">
        <is>
          <t>Leptobrachium leishanense</t>
        </is>
      </c>
      <c r="O8289" t="inlineStr">
        <is>
          <t>CCHC-type domain-containing protein</t>
        </is>
      </c>
    </row>
    <row r="8290">
      <c r="A8290" t="inlineStr"/>
      <c r="B8290" t="inlineStr"/>
      <c r="C8290" t="inlineStr"/>
      <c r="D8290" t="inlineStr"/>
      <c r="E8290">
        <f>HYPERLINK("https://www.uniprot.org/uniprotkb/A0A8C5P6H1/entry", "A0A8C5P6H1")</f>
        <v/>
      </c>
      <c r="F8290" t="n">
        <v>44.9</v>
      </c>
      <c r="G8290" t="n">
        <v>107</v>
      </c>
      <c r="H8290" t="n">
        <v>9.54e-20</v>
      </c>
      <c r="I8290" t="inlineStr">
        <is>
          <t>TrEMBL</t>
        </is>
      </c>
      <c r="J8290" t="inlineStr"/>
      <c r="K8290" t="inlineStr">
        <is>
          <t>A0A8C5P6H1_9ANUR</t>
        </is>
      </c>
      <c r="L8290" t="inlineStr">
        <is>
          <t>tr|A0A8C5P6H1|A0A8C5P6H1_9ANUR CCHC-type domain-containing protein OS=Leptobrachium leishanense OX=445787 PE=4 SV=1</t>
        </is>
      </c>
      <c r="M8290" t="n">
        <v>422</v>
      </c>
      <c r="N8290" t="inlineStr">
        <is>
          <t>Leptobrachium leishanense</t>
        </is>
      </c>
      <c r="O8290" t="inlineStr">
        <is>
          <t>CCHC-type domain-containing protein</t>
        </is>
      </c>
    </row>
    <row r="8291">
      <c r="A8291" t="inlineStr"/>
      <c r="B8291" t="inlineStr"/>
      <c r="C8291" t="inlineStr"/>
      <c r="D8291" t="inlineStr"/>
      <c r="E8291">
        <f>HYPERLINK("https://www.uniprot.org/uniprotkb/A0A8C5MKZ6/entry", "A0A8C5MKZ6")</f>
        <v/>
      </c>
      <c r="F8291" t="n">
        <v>44.9</v>
      </c>
      <c r="G8291" t="n">
        <v>107</v>
      </c>
      <c r="H8291" t="n">
        <v>1.1e-19</v>
      </c>
      <c r="I8291" t="inlineStr">
        <is>
          <t>TrEMBL</t>
        </is>
      </c>
      <c r="J8291" t="inlineStr"/>
      <c r="K8291" t="inlineStr">
        <is>
          <t>A0A8C5MKZ6_9ANUR</t>
        </is>
      </c>
      <c r="L8291" t="inlineStr">
        <is>
          <t>tr|A0A8C5MKZ6|A0A8C5MKZ6_9ANUR CCHC-type domain-containing protein OS=Leptobrachium leishanense OX=445787 PE=4 SV=1</t>
        </is>
      </c>
      <c r="M8291" t="n">
        <v>446</v>
      </c>
      <c r="N8291" t="inlineStr">
        <is>
          <t>Leptobrachium leishanense</t>
        </is>
      </c>
      <c r="O8291" t="inlineStr">
        <is>
          <t>CCHC-type domain-containing protein</t>
        </is>
      </c>
    </row>
    <row r="8292">
      <c r="A8292" t="inlineStr"/>
      <c r="B8292" t="inlineStr"/>
      <c r="C8292" t="inlineStr"/>
      <c r="D8292" t="inlineStr"/>
      <c r="E8292">
        <f>HYPERLINK("https://www.uniprot.org/uniprotkb/A0A8C5MNW0/entry", "A0A8C5MNW0")</f>
        <v/>
      </c>
      <c r="F8292" t="n">
        <v>44.9</v>
      </c>
      <c r="G8292" t="n">
        <v>107</v>
      </c>
      <c r="H8292" t="n">
        <v>1.11e-19</v>
      </c>
      <c r="I8292" t="inlineStr">
        <is>
          <t>TrEMBL</t>
        </is>
      </c>
      <c r="J8292" t="inlineStr"/>
      <c r="K8292" t="inlineStr">
        <is>
          <t>A0A8C5MNW0_9ANUR</t>
        </is>
      </c>
      <c r="L8292" t="inlineStr">
        <is>
          <t>tr|A0A8C5MNW0|A0A8C5MNW0_9ANUR CCHC-type domain-containing protein OS=Leptobrachium leishanense OX=445787 PE=4 SV=1</t>
        </is>
      </c>
      <c r="M8292" t="n">
        <v>538</v>
      </c>
      <c r="N8292" t="inlineStr">
        <is>
          <t>Leptobrachium leishanense</t>
        </is>
      </c>
      <c r="O8292" t="inlineStr">
        <is>
          <t>CCHC-type domain-containing protein</t>
        </is>
      </c>
    </row>
    <row r="8293">
      <c r="A8293" t="inlineStr"/>
      <c r="B8293" t="inlineStr"/>
      <c r="C8293" t="inlineStr"/>
      <c r="D8293" t="inlineStr"/>
      <c r="E8293">
        <f>HYPERLINK("https://www.uniprot.org/uniprotkb/A0A8C5MKD1/entry", "A0A8C5MKD1")</f>
        <v/>
      </c>
      <c r="F8293" t="n">
        <v>44.9</v>
      </c>
      <c r="G8293" t="n">
        <v>107</v>
      </c>
      <c r="H8293" t="n">
        <v>1.23e-19</v>
      </c>
      <c r="I8293" t="inlineStr">
        <is>
          <t>TrEMBL</t>
        </is>
      </c>
      <c r="J8293" t="inlineStr"/>
      <c r="K8293" t="inlineStr">
        <is>
          <t>A0A8C5MKD1_9ANUR</t>
        </is>
      </c>
      <c r="L8293" t="inlineStr">
        <is>
          <t>tr|A0A8C5MKD1|A0A8C5MKD1_9ANUR CCHC-type domain-containing protein OS=Leptobrachium leishanense OX=445787 PE=4 SV=1</t>
        </is>
      </c>
      <c r="M8293" t="n">
        <v>643</v>
      </c>
      <c r="N8293" t="inlineStr">
        <is>
          <t>Leptobrachium leishanense</t>
        </is>
      </c>
      <c r="O8293" t="inlineStr">
        <is>
          <t>CCHC-type domain-containing protein</t>
        </is>
      </c>
    </row>
    <row r="8294">
      <c r="A8294" t="inlineStr"/>
      <c r="B8294" t="inlineStr"/>
      <c r="C8294" t="inlineStr"/>
      <c r="D8294" t="inlineStr"/>
      <c r="E8294">
        <f>HYPERLINK("https://www.uniprot.org/uniprotkb/A0A8C5Q175/entry", "A0A8C5Q175")</f>
        <v/>
      </c>
      <c r="F8294" t="n">
        <v>37.3</v>
      </c>
      <c r="G8294" t="n">
        <v>142</v>
      </c>
      <c r="H8294" t="n">
        <v>1.26e-19</v>
      </c>
      <c r="I8294" t="inlineStr">
        <is>
          <t>TrEMBL</t>
        </is>
      </c>
      <c r="J8294" t="inlineStr"/>
      <c r="K8294" t="inlineStr">
        <is>
          <t>A0A8C5Q175_9ANUR</t>
        </is>
      </c>
      <c r="L8294" t="inlineStr">
        <is>
          <t>tr|A0A8C5Q175|A0A8C5Q175_9ANUR Reverse transcriptase OS=Leptobrachium leishanense OX=445787 PE=4 SV=1</t>
        </is>
      </c>
      <c r="M8294" t="n">
        <v>714</v>
      </c>
      <c r="N8294" t="inlineStr">
        <is>
          <t>Leptobrachium leishanense</t>
        </is>
      </c>
      <c r="O8294" t="inlineStr">
        <is>
          <t>Reverse transcriptase</t>
        </is>
      </c>
    </row>
    <row r="8295">
      <c r="A8295" t="inlineStr"/>
      <c r="B8295" t="inlineStr"/>
      <c r="C8295" t="inlineStr"/>
      <c r="D8295" t="inlineStr"/>
      <c r="E8295">
        <f>HYPERLINK("https://www.uniprot.org/uniprotkb/A0A8C5N4H0/entry", "A0A8C5N4H0")</f>
        <v/>
      </c>
      <c r="F8295" t="n">
        <v>44.9</v>
      </c>
      <c r="G8295" t="n">
        <v>107</v>
      </c>
      <c r="H8295" t="n">
        <v>1.34e-19</v>
      </c>
      <c r="I8295" t="inlineStr">
        <is>
          <t>TrEMBL</t>
        </is>
      </c>
      <c r="J8295" t="inlineStr"/>
      <c r="K8295" t="inlineStr">
        <is>
          <t>A0A8C5N4H0_9ANUR</t>
        </is>
      </c>
      <c r="L8295" t="inlineStr">
        <is>
          <t>tr|A0A8C5N4H0|A0A8C5N4H0_9ANUR CCHC-type domain-containing protein OS=Leptobrachium leishanense OX=445787 PE=4 SV=1</t>
        </is>
      </c>
      <c r="M8295" t="n">
        <v>490</v>
      </c>
      <c r="N8295" t="inlineStr">
        <is>
          <t>Leptobrachium leishanense</t>
        </is>
      </c>
      <c r="O8295" t="inlineStr">
        <is>
          <t>CCHC-type domain-containing protein</t>
        </is>
      </c>
    </row>
    <row r="8296">
      <c r="A8296" t="inlineStr"/>
      <c r="B8296" t="inlineStr"/>
      <c r="C8296" t="inlineStr"/>
      <c r="D8296" t="inlineStr"/>
      <c r="E8296">
        <f>HYPERLINK("https://www.uniprot.org/uniprotkb/A0A8C5QPW1/entry", "A0A8C5QPW1")</f>
        <v/>
      </c>
      <c r="F8296" t="n">
        <v>44.9</v>
      </c>
      <c r="G8296" t="n">
        <v>107</v>
      </c>
      <c r="H8296" t="n">
        <v>1.36e-19</v>
      </c>
      <c r="I8296" t="inlineStr">
        <is>
          <t>TrEMBL</t>
        </is>
      </c>
      <c r="J8296" t="inlineStr"/>
      <c r="K8296" t="inlineStr">
        <is>
          <t>A0A8C5QPW1_9ANUR</t>
        </is>
      </c>
      <c r="L8296" t="inlineStr">
        <is>
          <t>tr|A0A8C5QPW1|A0A8C5QPW1_9ANUR ribonuclease H OS=Leptobrachium leishanense OX=445787 PE=3 SV=1</t>
        </is>
      </c>
      <c r="M8296" t="n">
        <v>1350</v>
      </c>
      <c r="N8296" t="inlineStr">
        <is>
          <t>Leptobrachium leishanense</t>
        </is>
      </c>
      <c r="O8296" t="inlineStr">
        <is>
          <t>ribonuclease H</t>
        </is>
      </c>
    </row>
    <row r="8297">
      <c r="A8297" t="inlineStr"/>
      <c r="B8297" t="inlineStr"/>
      <c r="C8297" t="inlineStr"/>
      <c r="D8297" t="inlineStr"/>
      <c r="E8297">
        <f>HYPERLINK("https://www.uniprot.org/uniprotkb/A0A8C5P7P2/entry", "A0A8C5P7P2")</f>
        <v/>
      </c>
      <c r="F8297" t="n">
        <v>44.9</v>
      </c>
      <c r="G8297" t="n">
        <v>107</v>
      </c>
      <c r="H8297" t="n">
        <v>1.53e-19</v>
      </c>
      <c r="I8297" t="inlineStr">
        <is>
          <t>TrEMBL</t>
        </is>
      </c>
      <c r="J8297" t="inlineStr"/>
      <c r="K8297" t="inlineStr">
        <is>
          <t>A0A8C5P7P2_9ANUR</t>
        </is>
      </c>
      <c r="L8297" t="inlineStr">
        <is>
          <t>tr|A0A8C5P7P2|A0A8C5P7P2_9ANUR CCHC-type domain-containing protein OS=Leptobrachium leishanense OX=445787 PE=4 SV=1</t>
        </is>
      </c>
      <c r="M8297" t="n">
        <v>545</v>
      </c>
      <c r="N8297" t="inlineStr">
        <is>
          <t>Leptobrachium leishanense</t>
        </is>
      </c>
      <c r="O8297" t="inlineStr">
        <is>
          <t>CCHC-type domain-containing protein</t>
        </is>
      </c>
    </row>
    <row r="8298">
      <c r="A8298" t="inlineStr"/>
      <c r="B8298" t="inlineStr"/>
      <c r="C8298" t="inlineStr"/>
      <c r="D8298" t="inlineStr"/>
      <c r="E8298">
        <f>HYPERLINK("https://www.uniprot.org/uniprotkb/A0A8C5QK13/entry", "A0A8C5QK13")</f>
        <v/>
      </c>
      <c r="F8298" t="n">
        <v>45.8</v>
      </c>
      <c r="G8298" t="n">
        <v>107</v>
      </c>
      <c r="H8298" t="n">
        <v>1.55e-19</v>
      </c>
      <c r="I8298" t="inlineStr">
        <is>
          <t>TrEMBL</t>
        </is>
      </c>
      <c r="J8298" t="inlineStr"/>
      <c r="K8298" t="inlineStr">
        <is>
          <t>A0A8C5QK13_9ANUR</t>
        </is>
      </c>
      <c r="L8298" t="inlineStr">
        <is>
          <t>tr|A0A8C5QK13|A0A8C5QK13_9ANUR Reverse transcriptase OS=Leptobrachium leishanense OX=445787 PE=4 SV=1</t>
        </is>
      </c>
      <c r="M8298" t="n">
        <v>551</v>
      </c>
      <c r="N8298" t="inlineStr">
        <is>
          <t>Leptobrachium leishanense</t>
        </is>
      </c>
      <c r="O8298" t="inlineStr">
        <is>
          <t>Reverse transcriptase</t>
        </is>
      </c>
    </row>
    <row r="8299">
      <c r="A8299" t="inlineStr"/>
      <c r="B8299" t="inlineStr"/>
      <c r="C8299" t="inlineStr"/>
      <c r="D8299" t="inlineStr"/>
      <c r="E8299">
        <f>HYPERLINK("https://www.uniprot.org/uniprotkb/A0A8C5PT83/entry", "A0A8C5PT83")</f>
        <v/>
      </c>
      <c r="F8299" t="n">
        <v>45.8</v>
      </c>
      <c r="G8299" t="n">
        <v>107</v>
      </c>
      <c r="H8299" t="n">
        <v>1.69e-19</v>
      </c>
      <c r="I8299" t="inlineStr">
        <is>
          <t>TrEMBL</t>
        </is>
      </c>
      <c r="J8299" t="inlineStr"/>
      <c r="K8299" t="inlineStr">
        <is>
          <t>A0A8C5PT83_9ANUR</t>
        </is>
      </c>
      <c r="L8299" t="inlineStr">
        <is>
          <t>tr|A0A8C5PT83|A0A8C5PT83_9ANUR Zinc finger and SCAN domain-containing protein 21-like OS=Leptobrachium leishanense OX=445787 PE=4 SV=1</t>
        </is>
      </c>
      <c r="M8299" t="n">
        <v>666</v>
      </c>
      <c r="N8299" t="inlineStr">
        <is>
          <t>Leptobrachium leishanense</t>
        </is>
      </c>
      <c r="O8299" t="inlineStr">
        <is>
          <t>Zinc finger and SCAN domain-containing protein 21-like</t>
        </is>
      </c>
    </row>
    <row r="8300">
      <c r="A8300" t="inlineStr"/>
      <c r="B8300" t="inlineStr"/>
      <c r="C8300" t="inlineStr"/>
      <c r="D8300" t="inlineStr"/>
      <c r="E8300">
        <f>HYPERLINK("https://www.uniprot.org/uniprotkb/A0A8C5PH90/entry", "A0A8C5PH90")</f>
        <v/>
      </c>
      <c r="F8300" t="n">
        <v>44.9</v>
      </c>
      <c r="G8300" t="n">
        <v>107</v>
      </c>
      <c r="H8300" t="n">
        <v>1.81e-19</v>
      </c>
      <c r="I8300" t="inlineStr">
        <is>
          <t>TrEMBL</t>
        </is>
      </c>
      <c r="J8300" t="inlineStr"/>
      <c r="K8300" t="inlineStr">
        <is>
          <t>A0A8C5PH90_9ANUR</t>
        </is>
      </c>
      <c r="L8300" t="inlineStr">
        <is>
          <t>tr|A0A8C5PH90|A0A8C5PH90_9ANUR Retrovirus polyprotein OS=Leptobrachium leishanense OX=445787 PE=4 SV=1</t>
        </is>
      </c>
      <c r="M8300" t="n">
        <v>1041</v>
      </c>
      <c r="N8300" t="inlineStr">
        <is>
          <t>Leptobrachium leishanense</t>
        </is>
      </c>
      <c r="O8300" t="inlineStr">
        <is>
          <t>Retrovirus polyprotein</t>
        </is>
      </c>
    </row>
    <row r="8301">
      <c r="A8301" t="inlineStr"/>
      <c r="B8301" t="inlineStr"/>
      <c r="C8301" t="inlineStr"/>
      <c r="D8301" t="inlineStr"/>
      <c r="E8301">
        <f>HYPERLINK("https://www.uniprot.org/uniprotkb/A0A8C5Q5A3/entry", "A0A8C5Q5A3")</f>
        <v/>
      </c>
      <c r="F8301" t="n">
        <v>45.6</v>
      </c>
      <c r="G8301" t="n">
        <v>125</v>
      </c>
      <c r="H8301" t="n">
        <v>1.81e-19</v>
      </c>
      <c r="I8301" t="inlineStr">
        <is>
          <t>TrEMBL</t>
        </is>
      </c>
      <c r="J8301" t="inlineStr"/>
      <c r="K8301" t="inlineStr">
        <is>
          <t>A0A8C5Q5A3_9ANUR</t>
        </is>
      </c>
      <c r="L8301" t="inlineStr">
        <is>
          <t>tr|A0A8C5Q5A3|A0A8C5Q5A3_9ANUR CCHC-type domain-containing protein OS=Leptobrachium leishanense OX=445787 PE=4 SV=1</t>
        </is>
      </c>
      <c r="M8301" t="n">
        <v>486</v>
      </c>
      <c r="N8301" t="inlineStr">
        <is>
          <t>Leptobrachium leishanense</t>
        </is>
      </c>
      <c r="O8301" t="inlineStr">
        <is>
          <t>CCHC-type domain-containing protein</t>
        </is>
      </c>
    </row>
    <row r="8302">
      <c r="A8302" t="inlineStr"/>
      <c r="B8302" t="inlineStr"/>
      <c r="C8302" t="inlineStr"/>
      <c r="D8302" t="inlineStr"/>
      <c r="E8302">
        <f>HYPERLINK("https://www.uniprot.org/uniprotkb/A0A8C5QKK4/entry", "A0A8C5QKK4")</f>
        <v/>
      </c>
      <c r="F8302" t="n">
        <v>44.4</v>
      </c>
      <c r="G8302" t="n">
        <v>124</v>
      </c>
      <c r="H8302" t="n">
        <v>2.06e-19</v>
      </c>
      <c r="I8302" t="inlineStr">
        <is>
          <t>TrEMBL</t>
        </is>
      </c>
      <c r="J8302" t="inlineStr"/>
      <c r="K8302" t="inlineStr">
        <is>
          <t>A0A8C5QKK4_9ANUR</t>
        </is>
      </c>
      <c r="L8302" t="inlineStr">
        <is>
          <t>tr|A0A8C5QKK4|A0A8C5QKK4_9ANUR Reverse transcriptase OS=Leptobrachium leishanense OX=445787 PE=4 SV=1</t>
        </is>
      </c>
      <c r="M8302" t="n">
        <v>536</v>
      </c>
      <c r="N8302" t="inlineStr">
        <is>
          <t>Leptobrachium leishanense</t>
        </is>
      </c>
      <c r="O8302" t="inlineStr">
        <is>
          <t>Reverse transcriptase</t>
        </is>
      </c>
    </row>
    <row r="8303">
      <c r="A8303" t="inlineStr"/>
      <c r="B8303" t="inlineStr"/>
      <c r="C8303" t="inlineStr"/>
      <c r="D8303" t="inlineStr"/>
      <c r="E8303">
        <f>HYPERLINK("https://www.uniprot.org/uniprotkb/A0A8C5M918/entry", "A0A8C5M918")</f>
        <v/>
      </c>
      <c r="F8303" t="n">
        <v>45.8</v>
      </c>
      <c r="G8303" t="n">
        <v>107</v>
      </c>
      <c r="H8303" t="n">
        <v>2.17e-19</v>
      </c>
      <c r="I8303" t="inlineStr">
        <is>
          <t>TrEMBL</t>
        </is>
      </c>
      <c r="J8303" t="inlineStr"/>
      <c r="K8303" t="inlineStr">
        <is>
          <t>A0A8C5M918_9ANUR</t>
        </is>
      </c>
      <c r="L8303" t="inlineStr">
        <is>
          <t>tr|A0A8C5M918|A0A8C5M918_9ANUR Reverse transcriptase OS=Leptobrachium leishanense OX=445787 PE=4 SV=1</t>
        </is>
      </c>
      <c r="M8303" t="n">
        <v>569</v>
      </c>
      <c r="N8303" t="inlineStr">
        <is>
          <t>Leptobrachium leishanense</t>
        </is>
      </c>
      <c r="O8303" t="inlineStr">
        <is>
          <t>Reverse transcriptase</t>
        </is>
      </c>
    </row>
    <row r="8304">
      <c r="A8304" t="inlineStr"/>
      <c r="B8304" t="inlineStr"/>
      <c r="C8304" t="inlineStr"/>
      <c r="D8304" t="inlineStr"/>
      <c r="E8304">
        <f>HYPERLINK("https://www.uniprot.org/uniprotkb/A0A8C5RA48/entry", "A0A8C5RA48")</f>
        <v/>
      </c>
      <c r="F8304" t="n">
        <v>44.9</v>
      </c>
      <c r="G8304" t="n">
        <v>107</v>
      </c>
      <c r="H8304" t="n">
        <v>3.13e-19</v>
      </c>
      <c r="I8304" t="inlineStr">
        <is>
          <t>TrEMBL</t>
        </is>
      </c>
      <c r="J8304" t="inlineStr"/>
      <c r="K8304" t="inlineStr">
        <is>
          <t>A0A8C5RA48_9ANUR</t>
        </is>
      </c>
      <c r="L8304" t="inlineStr">
        <is>
          <t>tr|A0A8C5RA48|A0A8C5RA48_9ANUR Tick transposon OS=Leptobrachium leishanense OX=445787 PE=4 SV=1</t>
        </is>
      </c>
      <c r="M8304" t="n">
        <v>464</v>
      </c>
      <c r="N8304" t="inlineStr">
        <is>
          <t>Leptobrachium leishanense</t>
        </is>
      </c>
      <c r="O8304" t="inlineStr">
        <is>
          <t>Tick transposon</t>
        </is>
      </c>
    </row>
    <row r="8305">
      <c r="A8305" t="inlineStr"/>
      <c r="B8305" t="inlineStr"/>
      <c r="C8305" t="inlineStr"/>
      <c r="D8305" t="inlineStr"/>
      <c r="E8305">
        <f>HYPERLINK("https://www.uniprot.org/uniprotkb/A0A8C5PR42/entry", "A0A8C5PR42")</f>
        <v/>
      </c>
      <c r="F8305" t="n">
        <v>44</v>
      </c>
      <c r="G8305" t="n">
        <v>134</v>
      </c>
      <c r="H8305" t="n">
        <v>3.31e-19</v>
      </c>
      <c r="I8305" t="inlineStr">
        <is>
          <t>TrEMBL</t>
        </is>
      </c>
      <c r="J8305" t="inlineStr"/>
      <c r="K8305" t="inlineStr">
        <is>
          <t>A0A8C5PR42_9ANUR</t>
        </is>
      </c>
      <c r="L8305" t="inlineStr">
        <is>
          <t>tr|A0A8C5PR42|A0A8C5PR42_9ANUR Reverse transcriptase OS=Leptobrachium leishanense OX=445787 PE=4 SV=1</t>
        </is>
      </c>
      <c r="M8305" t="n">
        <v>930</v>
      </c>
      <c r="N8305" t="inlineStr">
        <is>
          <t>Leptobrachium leishanense</t>
        </is>
      </c>
      <c r="O8305" t="inlineStr">
        <is>
          <t>Reverse transcriptase</t>
        </is>
      </c>
    </row>
    <row r="8306">
      <c r="A8306" t="inlineStr"/>
      <c r="B8306" t="inlineStr"/>
      <c r="C8306" t="inlineStr"/>
      <c r="D8306" t="inlineStr"/>
      <c r="E8306">
        <f>HYPERLINK("https://www.uniprot.org/uniprotkb/A0A8C5LLM3/entry", "A0A8C5LLM3")</f>
        <v/>
      </c>
      <c r="F8306" t="n">
        <v>44.9</v>
      </c>
      <c r="G8306" t="n">
        <v>107</v>
      </c>
      <c r="H8306" t="n">
        <v>3.47e-19</v>
      </c>
      <c r="I8306" t="inlineStr">
        <is>
          <t>TrEMBL</t>
        </is>
      </c>
      <c r="J8306" t="inlineStr"/>
      <c r="K8306" t="inlineStr">
        <is>
          <t>A0A8C5LLM3_9ANUR</t>
        </is>
      </c>
      <c r="L8306" t="inlineStr">
        <is>
          <t>tr|A0A8C5LLM3|A0A8C5LLM3_9ANUR ribonuclease H OS=Leptobrachium leishanense OX=445787 PE=3 SV=1</t>
        </is>
      </c>
      <c r="M8306" t="n">
        <v>1534</v>
      </c>
      <c r="N8306" t="inlineStr">
        <is>
          <t>Leptobrachium leishanense</t>
        </is>
      </c>
      <c r="O8306" t="inlineStr">
        <is>
          <t>ribonuclease H</t>
        </is>
      </c>
    </row>
    <row r="8307">
      <c r="A8307" t="inlineStr"/>
      <c r="B8307" t="inlineStr"/>
      <c r="C8307" t="inlineStr"/>
      <c r="D8307" t="inlineStr"/>
      <c r="E8307">
        <f>HYPERLINK("https://www.uniprot.org/uniprotkb/A0A8C5QZG4/entry", "A0A8C5QZG4")</f>
        <v/>
      </c>
      <c r="F8307" t="n">
        <v>45.8</v>
      </c>
      <c r="G8307" t="n">
        <v>107</v>
      </c>
      <c r="H8307" t="n">
        <v>3.85e-19</v>
      </c>
      <c r="I8307" t="inlineStr">
        <is>
          <t>TrEMBL</t>
        </is>
      </c>
      <c r="J8307" t="inlineStr"/>
      <c r="K8307" t="inlineStr">
        <is>
          <t>A0A8C5QZG4_9ANUR</t>
        </is>
      </c>
      <c r="L8307" t="inlineStr">
        <is>
          <t>tr|A0A8C5QZG4|A0A8C5QZG4_9ANUR Reverse transcriptase OS=Leptobrachium leishanense OX=445787 PE=4 SV=1</t>
        </is>
      </c>
      <c r="M8307" t="n">
        <v>536</v>
      </c>
      <c r="N8307" t="inlineStr">
        <is>
          <t>Leptobrachium leishanense</t>
        </is>
      </c>
      <c r="O8307" t="inlineStr">
        <is>
          <t>Reverse transcriptase</t>
        </is>
      </c>
    </row>
    <row r="8308">
      <c r="A8308" t="inlineStr"/>
      <c r="B8308" t="inlineStr"/>
      <c r="C8308" t="inlineStr"/>
      <c r="D8308" t="inlineStr"/>
      <c r="E8308">
        <f>HYPERLINK("https://www.uniprot.org/uniprotkb/A0A8C5W8X7/entry", "A0A8C5W8X7")</f>
        <v/>
      </c>
      <c r="F8308" t="n">
        <v>45.8</v>
      </c>
      <c r="G8308" t="n">
        <v>107</v>
      </c>
      <c r="H8308" t="n">
        <v>4.16e-19</v>
      </c>
      <c r="I8308" t="inlineStr">
        <is>
          <t>TrEMBL</t>
        </is>
      </c>
      <c r="J8308" t="inlineStr"/>
      <c r="K8308" t="inlineStr">
        <is>
          <t>A0A8C5W8X7_9ANUR</t>
        </is>
      </c>
      <c r="L8308" t="inlineStr">
        <is>
          <t>tr|A0A8C5W8X7|A0A8C5W8X7_9ANUR Reverse transcriptase OS=Leptobrachium leishanense OX=445787 PE=4 SV=1</t>
        </is>
      </c>
      <c r="M8308" t="n">
        <v>605</v>
      </c>
      <c r="N8308" t="inlineStr">
        <is>
          <t>Leptobrachium leishanense</t>
        </is>
      </c>
      <c r="O8308" t="inlineStr">
        <is>
          <t>Reverse transcriptase</t>
        </is>
      </c>
    </row>
    <row r="8309">
      <c r="A8309" t="inlineStr"/>
      <c r="B8309" t="inlineStr"/>
      <c r="C8309" t="inlineStr"/>
      <c r="D8309" t="inlineStr"/>
      <c r="E8309">
        <f>HYPERLINK("https://www.uniprot.org/uniprotkb/A0A8C5WAD4/entry", "A0A8C5WAD4")</f>
        <v/>
      </c>
      <c r="F8309" t="n">
        <v>46.7</v>
      </c>
      <c r="G8309" t="n">
        <v>107</v>
      </c>
      <c r="H8309" t="n">
        <v>4.2e-19</v>
      </c>
      <c r="I8309" t="inlineStr">
        <is>
          <t>TrEMBL</t>
        </is>
      </c>
      <c r="J8309" t="inlineStr"/>
      <c r="K8309" t="inlineStr">
        <is>
          <t>A0A8C5WAD4_9ANUR</t>
        </is>
      </c>
      <c r="L8309" t="inlineStr">
        <is>
          <t>tr|A0A8C5WAD4|A0A8C5WAD4_9ANUR CCHC-type domain-containing protein OS=Leptobrachium leishanense OX=445787 PE=4 SV=1</t>
        </is>
      </c>
      <c r="M8309" t="n">
        <v>459</v>
      </c>
      <c r="N8309" t="inlineStr">
        <is>
          <t>Leptobrachium leishanense</t>
        </is>
      </c>
      <c r="O8309" t="inlineStr">
        <is>
          <t>CCHC-type domain-containing protein</t>
        </is>
      </c>
    </row>
    <row r="8310">
      <c r="A8310" t="inlineStr"/>
      <c r="B8310" t="inlineStr"/>
      <c r="C8310" t="inlineStr"/>
      <c r="D8310" t="inlineStr"/>
      <c r="E8310">
        <f>HYPERLINK("https://www.uniprot.org/uniprotkb/A0A8C5PJ92/entry", "A0A8C5PJ92")</f>
        <v/>
      </c>
      <c r="F8310" t="n">
        <v>40</v>
      </c>
      <c r="G8310" t="n">
        <v>130</v>
      </c>
      <c r="H8310" t="n">
        <v>4.31e-19</v>
      </c>
      <c r="I8310" t="inlineStr">
        <is>
          <t>TrEMBL</t>
        </is>
      </c>
      <c r="J8310" t="inlineStr"/>
      <c r="K8310" t="inlineStr">
        <is>
          <t>A0A8C5PJ92_9ANUR</t>
        </is>
      </c>
      <c r="L8310" t="inlineStr">
        <is>
          <t>tr|A0A8C5PJ92|A0A8C5PJ92_9ANUR Reverse transcriptase OS=Leptobrachium leishanense OX=445787 PE=4 SV=1</t>
        </is>
      </c>
      <c r="M8310" t="n">
        <v>465</v>
      </c>
      <c r="N8310" t="inlineStr">
        <is>
          <t>Leptobrachium leishanense</t>
        </is>
      </c>
      <c r="O8310" t="inlineStr">
        <is>
          <t>Reverse transcriptase</t>
        </is>
      </c>
    </row>
    <row r="8311">
      <c r="A8311" t="inlineStr"/>
      <c r="B8311" t="inlineStr"/>
      <c r="C8311" t="inlineStr"/>
      <c r="D8311" t="inlineStr"/>
      <c r="E8311">
        <f>HYPERLINK("https://www.ncbi.nlm.nih.gov/gene/?term=XP_040195045.1", "XP_040195045.1")</f>
        <v/>
      </c>
      <c r="F8311" t="n">
        <v>43.9</v>
      </c>
      <c r="G8311" t="n">
        <v>107</v>
      </c>
      <c r="H8311" t="n">
        <v>3.04e-18</v>
      </c>
      <c r="I8311" t="inlineStr">
        <is>
          <t>Nr</t>
        </is>
      </c>
      <c r="J8311" t="inlineStr"/>
      <c r="K8311" t="inlineStr"/>
      <c r="L8311" t="inlineStr">
        <is>
          <t>XP_040195045.1 uncharacterized protein LOC120928035 [Rana temporaria]</t>
        </is>
      </c>
      <c r="M8311" t="n">
        <v>1353</v>
      </c>
      <c r="N8311" t="inlineStr">
        <is>
          <t>Rana temporaria</t>
        </is>
      </c>
      <c r="O8311" t="inlineStr">
        <is>
          <t>uncharacterized protein LOC120928035</t>
        </is>
      </c>
    </row>
    <row r="8312">
      <c r="A8312" t="inlineStr"/>
      <c r="B8312" t="inlineStr"/>
      <c r="C8312" t="inlineStr"/>
      <c r="D8312" t="inlineStr"/>
      <c r="E8312">
        <f>HYPERLINK("https://www.ncbi.nlm.nih.gov/gene/?term=PIO35435.1", "PIO35435.1")</f>
        <v/>
      </c>
      <c r="F8312" t="n">
        <v>45.1</v>
      </c>
      <c r="G8312" t="n">
        <v>113</v>
      </c>
      <c r="H8312" t="n">
        <v>1.35e-16</v>
      </c>
      <c r="I8312" t="inlineStr">
        <is>
          <t>Nr</t>
        </is>
      </c>
      <c r="J8312" t="inlineStr"/>
      <c r="K8312" t="inlineStr"/>
      <c r="L8312" t="inlineStr">
        <is>
          <t>PIO35435.1 hypothetical protein AB205_0055180 [Lithobates catesbeianus]</t>
        </is>
      </c>
      <c r="M8312" t="n">
        <v>300</v>
      </c>
      <c r="N8312" t="inlineStr">
        <is>
          <t>Lithobates catesbeianus</t>
        </is>
      </c>
      <c r="O8312" t="inlineStr">
        <is>
          <t>hypothetical protein AB205_0055180</t>
        </is>
      </c>
    </row>
    <row r="8313">
      <c r="A8313" t="inlineStr"/>
      <c r="B8313" t="inlineStr"/>
      <c r="C8313" t="inlineStr"/>
      <c r="D8313" t="inlineStr"/>
      <c r="E8313">
        <f>HYPERLINK("https://www.ncbi.nlm.nih.gov/gene/?term=XP_044132985.1", "XP_044132985.1")</f>
        <v/>
      </c>
      <c r="F8313" t="n">
        <v>44.3</v>
      </c>
      <c r="G8313" t="n">
        <v>106</v>
      </c>
      <c r="H8313" t="n">
        <v>1.97e-16</v>
      </c>
      <c r="I8313" t="inlineStr">
        <is>
          <t>Nr</t>
        </is>
      </c>
      <c r="J8313" t="inlineStr"/>
      <c r="K8313" t="inlineStr"/>
      <c r="L8313" t="inlineStr">
        <is>
          <t>XP_044132985.1 uncharacterized protein LOC122925703 isoform X1 [Bufo gargarizans]</t>
        </is>
      </c>
      <c r="M8313" t="n">
        <v>540</v>
      </c>
      <c r="N8313" t="inlineStr">
        <is>
          <t>Bufo gargarizans</t>
        </is>
      </c>
      <c r="O8313" t="inlineStr">
        <is>
          <t>uncharacterized protein LOC122925703 isoform X1</t>
        </is>
      </c>
    </row>
    <row r="8314">
      <c r="A8314" t="inlineStr"/>
      <c r="B8314" t="inlineStr"/>
      <c r="C8314" t="inlineStr"/>
      <c r="D8314" t="inlineStr"/>
      <c r="E8314">
        <f>HYPERLINK("https://www.ncbi.nlm.nih.gov/gene/?term=XP_044136781.1", "XP_044136781.1")</f>
        <v/>
      </c>
      <c r="F8314" t="n">
        <v>44.3</v>
      </c>
      <c r="G8314" t="n">
        <v>106</v>
      </c>
      <c r="H8314" t="n">
        <v>3.66e-16</v>
      </c>
      <c r="I8314" t="inlineStr">
        <is>
          <t>Nr</t>
        </is>
      </c>
      <c r="J8314" t="inlineStr"/>
      <c r="K8314" t="inlineStr"/>
      <c r="L8314" t="inlineStr">
        <is>
          <t>XP_044136781.1 uncharacterized protein LOC122928226 [Bufo gargarizans]</t>
        </is>
      </c>
      <c r="M8314" t="n">
        <v>540</v>
      </c>
      <c r="N8314" t="inlineStr">
        <is>
          <t>Bufo gargarizans</t>
        </is>
      </c>
      <c r="O8314" t="inlineStr">
        <is>
          <t>uncharacterized protein LOC122928226</t>
        </is>
      </c>
    </row>
    <row r="8315">
      <c r="A8315" t="inlineStr"/>
      <c r="B8315" t="inlineStr"/>
      <c r="C8315" t="inlineStr"/>
      <c r="D8315" t="inlineStr"/>
      <c r="E8315">
        <f>HYPERLINK("https://www.ncbi.nlm.nih.gov/gene/?term=XP_040182571.1", "XP_040182571.1")</f>
        <v/>
      </c>
      <c r="F8315" t="n">
        <v>43.9</v>
      </c>
      <c r="G8315" t="n">
        <v>107</v>
      </c>
      <c r="H8315" t="n">
        <v>7.93e-16</v>
      </c>
      <c r="I8315" t="inlineStr">
        <is>
          <t>Nr</t>
        </is>
      </c>
      <c r="J8315" t="inlineStr"/>
      <c r="K8315" t="inlineStr"/>
      <c r="L8315" t="inlineStr">
        <is>
          <t>XP_040182571.1 uncharacterized protein LOC120915831 [Rana temporaria]</t>
        </is>
      </c>
      <c r="M8315" t="n">
        <v>1451</v>
      </c>
      <c r="N8315" t="inlineStr">
        <is>
          <t>Rana temporaria</t>
        </is>
      </c>
      <c r="O8315" t="inlineStr">
        <is>
          <t>uncharacterized protein LOC120915831</t>
        </is>
      </c>
    </row>
    <row r="8316">
      <c r="A8316" t="inlineStr"/>
      <c r="B8316" t="inlineStr"/>
      <c r="C8316" t="inlineStr"/>
      <c r="D8316" t="inlineStr"/>
      <c r="E8316">
        <f>HYPERLINK("https://www.uniprot.org/uniprotkb/A0A8C5R192/entry", "A0A8C5R192")</f>
        <v/>
      </c>
      <c r="F8316" t="n">
        <v>36.5</v>
      </c>
      <c r="G8316" t="n">
        <v>137</v>
      </c>
      <c r="H8316" t="n">
        <v>2.28e-15</v>
      </c>
      <c r="I8316" t="inlineStr">
        <is>
          <t>TrEMBL</t>
        </is>
      </c>
      <c r="J8316" t="inlineStr"/>
      <c r="K8316" t="inlineStr">
        <is>
          <t>A0A8C5R192_9ANUR</t>
        </is>
      </c>
      <c r="L8316" t="inlineStr">
        <is>
          <t>tr|A0A8C5R192|A0A8C5R192_9ANUR Reverse transcriptase OS=Leptobrachium leishanense OX=445787 PE=4 SV=1</t>
        </is>
      </c>
      <c r="M8316" t="n">
        <v>658</v>
      </c>
      <c r="N8316" t="inlineStr">
        <is>
          <t>Leptobrachium leishanense</t>
        </is>
      </c>
      <c r="O8316" t="inlineStr">
        <is>
          <t>Reverse transcriptase</t>
        </is>
      </c>
    </row>
    <row r="8317">
      <c r="A8317" t="inlineStr"/>
      <c r="B8317" t="inlineStr"/>
      <c r="C8317" t="inlineStr"/>
      <c r="D8317" t="inlineStr"/>
      <c r="E8317">
        <f>HYPERLINK("https://www.uniprot.org/uniprotkb/A0A8C5MY28/entry", "A0A8C5MY28")</f>
        <v/>
      </c>
      <c r="F8317" t="n">
        <v>36.7</v>
      </c>
      <c r="G8317" t="n">
        <v>120</v>
      </c>
      <c r="H8317" t="n">
        <v>3.03e-15</v>
      </c>
      <c r="I8317" t="inlineStr">
        <is>
          <t>TrEMBL</t>
        </is>
      </c>
      <c r="J8317" t="inlineStr"/>
      <c r="K8317" t="inlineStr">
        <is>
          <t>A0A8C5MY28_9ANUR</t>
        </is>
      </c>
      <c r="L8317" t="inlineStr">
        <is>
          <t>tr|A0A8C5MY28|A0A8C5MY28_9ANUR Retrovirus-related Pol polyprotein from transposon OS=Leptobrachium leishanense OX=445787 PE=4 SV=1</t>
        </is>
      </c>
      <c r="M8317" t="n">
        <v>603</v>
      </c>
      <c r="N8317" t="inlineStr">
        <is>
          <t>Leptobrachium leishanense</t>
        </is>
      </c>
      <c r="O8317" t="inlineStr">
        <is>
          <t>Retrovirus-related Pol polyprotein from transposon</t>
        </is>
      </c>
    </row>
    <row r="8318">
      <c r="A8318" t="inlineStr"/>
      <c r="B8318" t="inlineStr"/>
      <c r="C8318" t="inlineStr"/>
      <c r="D8318" t="inlineStr"/>
      <c r="E8318">
        <f>HYPERLINK("https://www.uniprot.org/uniprotkb/A0A8C5MGP5/entry", "A0A8C5MGP5")</f>
        <v/>
      </c>
      <c r="F8318" t="n">
        <v>36.2</v>
      </c>
      <c r="G8318" t="n">
        <v>138</v>
      </c>
      <c r="H8318" t="n">
        <v>1.08e-14</v>
      </c>
      <c r="I8318" t="inlineStr">
        <is>
          <t>TrEMBL</t>
        </is>
      </c>
      <c r="J8318" t="inlineStr"/>
      <c r="K8318" t="inlineStr">
        <is>
          <t>A0A8C5MGP5_9ANUR</t>
        </is>
      </c>
      <c r="L8318" t="inlineStr">
        <is>
          <t>tr|A0A8C5MGP5|A0A8C5MGP5_9ANUR Ribonuclease H OS=Leptobrachium leishanense OX=445787 PE=4 SV=1</t>
        </is>
      </c>
      <c r="M8318" t="n">
        <v>714</v>
      </c>
      <c r="N8318" t="inlineStr">
        <is>
          <t>Leptobrachium leishanense</t>
        </is>
      </c>
      <c r="O8318" t="inlineStr">
        <is>
          <t>Ribonuclease H</t>
        </is>
      </c>
    </row>
    <row r="8319">
      <c r="A8319" t="inlineStr"/>
      <c r="B8319" t="inlineStr"/>
      <c r="C8319" t="inlineStr"/>
      <c r="D8319" t="inlineStr"/>
      <c r="E8319">
        <f>HYPERLINK("https://www.uniprot.org/uniprotkb/A0A8C5QTA7/entry", "A0A8C5QTA7")</f>
        <v/>
      </c>
      <c r="F8319" t="n">
        <v>34</v>
      </c>
      <c r="G8319" t="n">
        <v>147</v>
      </c>
      <c r="H8319" t="n">
        <v>1.46e-13</v>
      </c>
      <c r="I8319" t="inlineStr">
        <is>
          <t>TrEMBL</t>
        </is>
      </c>
      <c r="J8319" t="inlineStr"/>
      <c r="K8319" t="inlineStr">
        <is>
          <t>A0A8C5QTA7_9ANUR</t>
        </is>
      </c>
      <c r="L8319" t="inlineStr">
        <is>
          <t>tr|A0A8C5QTA7|A0A8C5QTA7_9ANUR CCHC-type domain-containing protein OS=Leptobrachium leishanense OX=445787 PE=4 SV=1</t>
        </is>
      </c>
      <c r="M8319" t="n">
        <v>469</v>
      </c>
      <c r="N8319" t="inlineStr">
        <is>
          <t>Leptobrachium leishanense</t>
        </is>
      </c>
      <c r="O8319" t="inlineStr">
        <is>
          <t>CCHC-type domain-containing protein</t>
        </is>
      </c>
    </row>
    <row r="8320">
      <c r="A8320" t="inlineStr"/>
      <c r="B8320" t="inlineStr"/>
      <c r="C8320" t="inlineStr"/>
      <c r="D8320" t="inlineStr"/>
      <c r="E8320">
        <f>HYPERLINK("https://www.uniprot.org/uniprotkb/A0A8C5LXT1/entry", "A0A8C5LXT1")</f>
        <v/>
      </c>
      <c r="F8320" t="n">
        <v>34.1</v>
      </c>
      <c r="G8320" t="n">
        <v>123</v>
      </c>
      <c r="H8320" t="n">
        <v>1.48e-13</v>
      </c>
      <c r="I8320" t="inlineStr">
        <is>
          <t>TrEMBL</t>
        </is>
      </c>
      <c r="J8320" t="inlineStr"/>
      <c r="K8320" t="inlineStr">
        <is>
          <t>A0A8C5LXT1_9ANUR</t>
        </is>
      </c>
      <c r="L8320" t="inlineStr">
        <is>
          <t>tr|A0A8C5LXT1|A0A8C5LXT1_9ANUR Reverse transcriptase OS=Leptobrachium leishanense OX=445787 PE=4 SV=1</t>
        </is>
      </c>
      <c r="M8320" t="n">
        <v>480</v>
      </c>
      <c r="N8320" t="inlineStr">
        <is>
          <t>Leptobrachium leishanense</t>
        </is>
      </c>
      <c r="O8320" t="inlineStr">
        <is>
          <t>Reverse transcriptase</t>
        </is>
      </c>
    </row>
    <row r="8321">
      <c r="A8321" t="inlineStr"/>
      <c r="B8321" t="inlineStr"/>
      <c r="C8321" t="inlineStr"/>
      <c r="D8321" t="inlineStr"/>
      <c r="E8321">
        <f>HYPERLINK("https://www.uniprot.org/uniprotkb/A0A8C5LZB7/entry", "A0A8C5LZB7")</f>
        <v/>
      </c>
      <c r="F8321" t="n">
        <v>38.2</v>
      </c>
      <c r="G8321" t="n">
        <v>123</v>
      </c>
      <c r="H8321" t="n">
        <v>1.59e-13</v>
      </c>
      <c r="I8321" t="inlineStr">
        <is>
          <t>TrEMBL</t>
        </is>
      </c>
      <c r="J8321" t="inlineStr"/>
      <c r="K8321" t="inlineStr">
        <is>
          <t>A0A8C5LZB7_9ANUR</t>
        </is>
      </c>
      <c r="L8321" t="inlineStr">
        <is>
          <t>tr|A0A8C5LZB7|A0A8C5LZB7_9ANUR Ribonuclease H OS=Leptobrachium leishanense OX=445787 PE=4 SV=1</t>
        </is>
      </c>
      <c r="M8321" t="n">
        <v>555</v>
      </c>
      <c r="N8321" t="inlineStr">
        <is>
          <t>Leptobrachium leishanense</t>
        </is>
      </c>
      <c r="O8321" t="inlineStr">
        <is>
          <t>Ribonuclease H</t>
        </is>
      </c>
    </row>
    <row r="8322">
      <c r="A8322" t="inlineStr"/>
      <c r="B8322" t="inlineStr"/>
      <c r="C8322" t="inlineStr"/>
      <c r="D8322" t="inlineStr"/>
      <c r="E8322">
        <f>HYPERLINK("https://www.uniprot.org/uniprotkb/A0A8C5N2Z5/entry", "A0A8C5N2Z5")</f>
        <v/>
      </c>
      <c r="F8322" t="n">
        <v>38.2</v>
      </c>
      <c r="G8322" t="n">
        <v>123</v>
      </c>
      <c r="H8322" t="n">
        <v>1.81e-13</v>
      </c>
      <c r="I8322" t="inlineStr">
        <is>
          <t>TrEMBL</t>
        </is>
      </c>
      <c r="J8322" t="inlineStr"/>
      <c r="K8322" t="inlineStr">
        <is>
          <t>A0A8C5N2Z5_9ANUR</t>
        </is>
      </c>
      <c r="L8322" t="inlineStr">
        <is>
          <t>tr|A0A8C5N2Z5|A0A8C5N2Z5_9ANUR Reverse transcriptase OS=Leptobrachium leishanense OX=445787 PE=4 SV=1</t>
        </is>
      </c>
      <c r="M8322" t="n">
        <v>1040</v>
      </c>
      <c r="N8322" t="inlineStr">
        <is>
          <t>Leptobrachium leishanense</t>
        </is>
      </c>
      <c r="O8322" t="inlineStr">
        <is>
          <t>Reverse transcriptase</t>
        </is>
      </c>
    </row>
    <row r="8323">
      <c r="A8323" t="inlineStr"/>
      <c r="B8323" t="inlineStr"/>
      <c r="C8323" t="inlineStr"/>
      <c r="D8323" t="inlineStr"/>
      <c r="E8323">
        <f>HYPERLINK("https://www.uniprot.org/uniprotkb/A0A8C5QBC4/entry", "A0A8C5QBC4")</f>
        <v/>
      </c>
      <c r="F8323" t="n">
        <v>34.9</v>
      </c>
      <c r="G8323" t="n">
        <v>149</v>
      </c>
      <c r="H8323" t="n">
        <v>2.83e-13</v>
      </c>
      <c r="I8323" t="inlineStr">
        <is>
          <t>TrEMBL</t>
        </is>
      </c>
      <c r="J8323" t="inlineStr"/>
      <c r="K8323" t="inlineStr">
        <is>
          <t>A0A8C5QBC4_9ANUR</t>
        </is>
      </c>
      <c r="L8323" t="inlineStr">
        <is>
          <t>tr|A0A8C5QBC4|A0A8C5QBC4_9ANUR CCHC-type domain-containing protein OS=Leptobrachium leishanense OX=445787 PE=4 SV=1</t>
        </is>
      </c>
      <c r="M8323" t="n">
        <v>507</v>
      </c>
      <c r="N8323" t="inlineStr">
        <is>
          <t>Leptobrachium leishanense</t>
        </is>
      </c>
      <c r="O8323" t="inlineStr">
        <is>
          <t>CCHC-type domain-containing protein</t>
        </is>
      </c>
    </row>
    <row r="8324">
      <c r="A8324" t="inlineStr"/>
      <c r="B8324" t="inlineStr"/>
      <c r="C8324" t="inlineStr"/>
      <c r="D8324" t="inlineStr"/>
      <c r="E8324">
        <f>HYPERLINK("https://www.uniprot.org/uniprotkb/A0A8C5Q9H9/entry", "A0A8C5Q9H9")</f>
        <v/>
      </c>
      <c r="F8324" t="n">
        <v>38</v>
      </c>
      <c r="G8324" t="n">
        <v>121</v>
      </c>
      <c r="H8324" t="n">
        <v>3.11e-13</v>
      </c>
      <c r="I8324" t="inlineStr">
        <is>
          <t>TrEMBL</t>
        </is>
      </c>
      <c r="J8324" t="inlineStr"/>
      <c r="K8324" t="inlineStr">
        <is>
          <t>A0A8C5Q9H9_9ANUR</t>
        </is>
      </c>
      <c r="L8324" t="inlineStr">
        <is>
          <t>tr|A0A8C5Q9H9|A0A8C5Q9H9_9ANUR Ribonuclease H OS=Leptobrachium leishanense OX=445787 PE=4 SV=1</t>
        </is>
      </c>
      <c r="M8324" t="n">
        <v>687</v>
      </c>
      <c r="N8324" t="inlineStr">
        <is>
          <t>Leptobrachium leishanense</t>
        </is>
      </c>
      <c r="O8324" t="inlineStr">
        <is>
          <t>Ribonuclease H</t>
        </is>
      </c>
    </row>
    <row r="8325">
      <c r="A8325" t="inlineStr"/>
      <c r="B8325" t="inlineStr"/>
      <c r="C8325" t="inlineStr"/>
      <c r="D8325" t="inlineStr"/>
      <c r="E8325">
        <f>HYPERLINK("https://www.uniprot.org/uniprotkb/A0A8C5P6H1/entry", "A0A8C5P6H1")</f>
        <v/>
      </c>
      <c r="F8325" t="n">
        <v>34</v>
      </c>
      <c r="G8325" t="n">
        <v>150</v>
      </c>
      <c r="H8325" t="n">
        <v>6.2e-13</v>
      </c>
      <c r="I8325" t="inlineStr">
        <is>
          <t>TrEMBL</t>
        </is>
      </c>
      <c r="J8325" t="inlineStr"/>
      <c r="K8325" t="inlineStr">
        <is>
          <t>A0A8C5P6H1_9ANUR</t>
        </is>
      </c>
      <c r="L8325" t="inlineStr">
        <is>
          <t>tr|A0A8C5P6H1|A0A8C5P6H1_9ANUR CCHC-type domain-containing protein OS=Leptobrachium leishanense OX=445787 PE=4 SV=1</t>
        </is>
      </c>
      <c r="M8325" t="n">
        <v>422</v>
      </c>
      <c r="N8325" t="inlineStr">
        <is>
          <t>Leptobrachium leishanense</t>
        </is>
      </c>
      <c r="O8325" t="inlineStr">
        <is>
          <t>CCHC-type domain-containing protein</t>
        </is>
      </c>
    </row>
    <row r="8326">
      <c r="A8326" t="inlineStr"/>
      <c r="B8326" t="inlineStr"/>
      <c r="C8326" t="inlineStr"/>
      <c r="D8326" t="inlineStr"/>
      <c r="E8326">
        <f>HYPERLINK("https://www.uniprot.org/uniprotkb/A0A8C5MF70/entry", "A0A8C5MF70")</f>
        <v/>
      </c>
      <c r="F8326" t="n">
        <v>37.2</v>
      </c>
      <c r="G8326" t="n">
        <v>121</v>
      </c>
      <c r="H8326" t="n">
        <v>7.32e-13</v>
      </c>
      <c r="I8326" t="inlineStr">
        <is>
          <t>TrEMBL</t>
        </is>
      </c>
      <c r="J8326" t="inlineStr"/>
      <c r="K8326" t="inlineStr">
        <is>
          <t>A0A8C5MF70_9ANUR</t>
        </is>
      </c>
      <c r="L8326" t="inlineStr">
        <is>
          <t>tr|A0A8C5MF70|A0A8C5MF70_9ANUR Ribonuclease H OS=Leptobrachium leishanense OX=445787 PE=4 SV=1</t>
        </is>
      </c>
      <c r="M8326" t="n">
        <v>544</v>
      </c>
      <c r="N8326" t="inlineStr">
        <is>
          <t>Leptobrachium leishanense</t>
        </is>
      </c>
      <c r="O8326" t="inlineStr">
        <is>
          <t>Ribonuclease H</t>
        </is>
      </c>
    </row>
    <row r="8327">
      <c r="A8327" t="inlineStr"/>
      <c r="B8327" t="inlineStr"/>
      <c r="C8327" t="inlineStr"/>
      <c r="D8327" t="inlineStr"/>
      <c r="E8327">
        <f>HYPERLINK("https://www.uniprot.org/uniprotkb/A0A8C5QK13/entry", "A0A8C5QK13")</f>
        <v/>
      </c>
      <c r="F8327" t="n">
        <v>37.4</v>
      </c>
      <c r="G8327" t="n">
        <v>123</v>
      </c>
      <c r="H8327" t="n">
        <v>7.36e-13</v>
      </c>
      <c r="I8327" t="inlineStr">
        <is>
          <t>TrEMBL</t>
        </is>
      </c>
      <c r="J8327" t="inlineStr"/>
      <c r="K8327" t="inlineStr">
        <is>
          <t>A0A8C5QK13_9ANUR</t>
        </is>
      </c>
      <c r="L8327" t="inlineStr">
        <is>
          <t>tr|A0A8C5QK13|A0A8C5QK13_9ANUR Reverse transcriptase OS=Leptobrachium leishanense OX=445787 PE=4 SV=1</t>
        </is>
      </c>
      <c r="M8327" t="n">
        <v>551</v>
      </c>
      <c r="N8327" t="inlineStr">
        <is>
          <t>Leptobrachium leishanense</t>
        </is>
      </c>
      <c r="O8327" t="inlineStr">
        <is>
          <t>Reverse transcriptase</t>
        </is>
      </c>
    </row>
    <row r="8328">
      <c r="A8328" t="inlineStr"/>
      <c r="B8328" t="inlineStr"/>
      <c r="C8328" t="inlineStr"/>
      <c r="D8328" t="inlineStr"/>
      <c r="E8328">
        <f>HYPERLINK("https://www.uniprot.org/uniprotkb/A0A8C5QP68/entry", "A0A8C5QP68")</f>
        <v/>
      </c>
      <c r="F8328" t="n">
        <v>37.4</v>
      </c>
      <c r="G8328" t="n">
        <v>123</v>
      </c>
      <c r="H8328" t="n">
        <v>8.6e-13</v>
      </c>
      <c r="I8328" t="inlineStr">
        <is>
          <t>TrEMBL</t>
        </is>
      </c>
      <c r="J8328" t="inlineStr"/>
      <c r="K8328" t="inlineStr">
        <is>
          <t>A0A8C5QP68_9ANUR</t>
        </is>
      </c>
      <c r="L8328" t="inlineStr">
        <is>
          <t>tr|A0A8C5QP68|A0A8C5QP68_9ANUR ribonuclease H OS=Leptobrachium leishanense OX=445787 PE=3 SV=1</t>
        </is>
      </c>
      <c r="M8328" t="n">
        <v>1275</v>
      </c>
      <c r="N8328" t="inlineStr">
        <is>
          <t>Leptobrachium leishanense</t>
        </is>
      </c>
      <c r="O8328" t="inlineStr">
        <is>
          <t>ribonuclease H</t>
        </is>
      </c>
    </row>
    <row r="8329">
      <c r="A8329" t="inlineStr"/>
      <c r="B8329" t="inlineStr"/>
      <c r="C8329" t="inlineStr"/>
      <c r="D8329" t="inlineStr"/>
      <c r="E8329">
        <f>HYPERLINK("https://www.uniprot.org/uniprotkb/A0A8C5WJD7/entry", "A0A8C5WJD7")</f>
        <v/>
      </c>
      <c r="F8329" t="n">
        <v>34.2</v>
      </c>
      <c r="G8329" t="n">
        <v>120</v>
      </c>
      <c r="H8329" t="n">
        <v>8.69e-13</v>
      </c>
      <c r="I8329" t="inlineStr">
        <is>
          <t>TrEMBL</t>
        </is>
      </c>
      <c r="J8329" t="inlineStr"/>
      <c r="K8329" t="inlineStr">
        <is>
          <t>A0A8C5WJD7_9ANUR</t>
        </is>
      </c>
      <c r="L8329" t="inlineStr">
        <is>
          <t>tr|A0A8C5WJD7|A0A8C5WJD7_9ANUR CCHC-type domain-containing protein OS=Leptobrachium leishanense OX=445787 PE=4 SV=1</t>
        </is>
      </c>
      <c r="M8329" t="n">
        <v>433</v>
      </c>
      <c r="N8329" t="inlineStr">
        <is>
          <t>Leptobrachium leishanense</t>
        </is>
      </c>
      <c r="O8329" t="inlineStr">
        <is>
          <t>CCHC-type domain-containing protein</t>
        </is>
      </c>
    </row>
    <row r="8330">
      <c r="A8330" t="inlineStr"/>
      <c r="B8330" t="inlineStr"/>
      <c r="C8330" t="inlineStr"/>
      <c r="D8330" t="inlineStr"/>
      <c r="E8330">
        <f>HYPERLINK("https://www.uniprot.org/uniprotkb/A0A8C5N4H0/entry", "A0A8C5N4H0")</f>
        <v/>
      </c>
      <c r="F8330" t="n">
        <v>33.5</v>
      </c>
      <c r="G8330" t="n">
        <v>155</v>
      </c>
      <c r="H8330" t="n">
        <v>9.52e-13</v>
      </c>
      <c r="I8330" t="inlineStr">
        <is>
          <t>TrEMBL</t>
        </is>
      </c>
      <c r="J8330" t="inlineStr"/>
      <c r="K8330" t="inlineStr">
        <is>
          <t>A0A8C5N4H0_9ANUR</t>
        </is>
      </c>
      <c r="L8330" t="inlineStr">
        <is>
          <t>tr|A0A8C5N4H0|A0A8C5N4H0_9ANUR CCHC-type domain-containing protein OS=Leptobrachium leishanense OX=445787 PE=4 SV=1</t>
        </is>
      </c>
      <c r="M8330" t="n">
        <v>490</v>
      </c>
      <c r="N8330" t="inlineStr">
        <is>
          <t>Leptobrachium leishanense</t>
        </is>
      </c>
      <c r="O8330" t="inlineStr">
        <is>
          <t>CCHC-type domain-containing protein</t>
        </is>
      </c>
    </row>
    <row r="8331">
      <c r="A8331" t="inlineStr"/>
      <c r="B8331" t="inlineStr"/>
      <c r="C8331" t="inlineStr"/>
      <c r="D8331" t="inlineStr"/>
      <c r="E8331">
        <f>HYPERLINK("https://www.uniprot.org/uniprotkb/A0A8C5N2U2/entry", "A0A8C5N2U2")</f>
        <v/>
      </c>
      <c r="F8331" t="n">
        <v>35</v>
      </c>
      <c r="G8331" t="n">
        <v>120</v>
      </c>
      <c r="H8331" t="n">
        <v>1.32e-12</v>
      </c>
      <c r="I8331" t="inlineStr">
        <is>
          <t>TrEMBL</t>
        </is>
      </c>
      <c r="J8331" t="inlineStr"/>
      <c r="K8331" t="inlineStr">
        <is>
          <t>A0A8C5N2U2_9ANUR</t>
        </is>
      </c>
      <c r="L8331" t="inlineStr">
        <is>
          <t>tr|A0A8C5N2U2|A0A8C5N2U2_9ANUR Reverse transcriptase OS=Leptobrachium leishanense OX=445787 PE=4 SV=1</t>
        </is>
      </c>
      <c r="M8331" t="n">
        <v>507</v>
      </c>
      <c r="N8331" t="inlineStr">
        <is>
          <t>Leptobrachium leishanense</t>
        </is>
      </c>
      <c r="O8331" t="inlineStr">
        <is>
          <t>Reverse transcriptase</t>
        </is>
      </c>
    </row>
    <row r="8332">
      <c r="A8332" t="inlineStr"/>
      <c r="B8332" t="inlineStr"/>
      <c r="C8332" t="inlineStr"/>
      <c r="D8332" t="inlineStr"/>
      <c r="E8332">
        <f>HYPERLINK("https://www.uniprot.org/uniprotkb/A0A8C5LQY2/entry", "A0A8C5LQY2")</f>
        <v/>
      </c>
      <c r="F8332" t="n">
        <v>34.8</v>
      </c>
      <c r="G8332" t="n">
        <v>158</v>
      </c>
      <c r="H8332" t="n">
        <v>1.61e-12</v>
      </c>
      <c r="I8332" t="inlineStr">
        <is>
          <t>TrEMBL</t>
        </is>
      </c>
      <c r="J8332" t="inlineStr"/>
      <c r="K8332" t="inlineStr">
        <is>
          <t>A0A8C5LQY2_9ANUR</t>
        </is>
      </c>
      <c r="L8332" t="inlineStr">
        <is>
          <t>tr|A0A8C5LQY2|A0A8C5LQY2_9ANUR CCHC-type domain-containing protein OS=Leptobrachium leishanense OX=445787 PE=4 SV=1</t>
        </is>
      </c>
      <c r="M8332" t="n">
        <v>432</v>
      </c>
      <c r="N8332" t="inlineStr">
        <is>
          <t>Leptobrachium leishanense</t>
        </is>
      </c>
      <c r="O8332" t="inlineStr">
        <is>
          <t>CCHC-type domain-containing protein</t>
        </is>
      </c>
    </row>
    <row r="8333">
      <c r="A8333" t="inlineStr"/>
      <c r="B8333" t="inlineStr"/>
      <c r="C8333" t="inlineStr"/>
      <c r="D8333" t="inlineStr"/>
      <c r="E8333">
        <f>HYPERLINK("https://www.uniprot.org/uniprotkb/A0A8C5WIN6/entry", "A0A8C5WIN6")</f>
        <v/>
      </c>
      <c r="F8333" t="n">
        <v>36.4</v>
      </c>
      <c r="G8333" t="n">
        <v>121</v>
      </c>
      <c r="H8333" t="n">
        <v>1.69e-12</v>
      </c>
      <c r="I8333" t="inlineStr">
        <is>
          <t>TrEMBL</t>
        </is>
      </c>
      <c r="J8333" t="inlineStr"/>
      <c r="K8333" t="inlineStr">
        <is>
          <t>A0A8C5WIN6_9ANUR</t>
        </is>
      </c>
      <c r="L8333" t="inlineStr">
        <is>
          <t>tr|A0A8C5WIN6|A0A8C5WIN6_9ANUR CCHC-type domain-containing protein OS=Leptobrachium leishanense OX=445787 PE=4 SV=1</t>
        </is>
      </c>
      <c r="M8333" t="n">
        <v>360</v>
      </c>
      <c r="N8333" t="inlineStr">
        <is>
          <t>Leptobrachium leishanense</t>
        </is>
      </c>
      <c r="O8333" t="inlineStr">
        <is>
          <t>CCHC-type domain-containing protein</t>
        </is>
      </c>
    </row>
    <row r="8334">
      <c r="A8334" t="inlineStr"/>
      <c r="B8334" t="inlineStr"/>
      <c r="C8334" t="inlineStr"/>
      <c r="D8334" t="inlineStr"/>
      <c r="E8334">
        <f>HYPERLINK("https://www.uniprot.org/uniprotkb/A0A8C5QKK4/entry", "A0A8C5QKK4")</f>
        <v/>
      </c>
      <c r="F8334" t="n">
        <v>36.4</v>
      </c>
      <c r="G8334" t="n">
        <v>118</v>
      </c>
      <c r="H8334" t="n">
        <v>1.83e-12</v>
      </c>
      <c r="I8334" t="inlineStr">
        <is>
          <t>TrEMBL</t>
        </is>
      </c>
      <c r="J8334" t="inlineStr"/>
      <c r="K8334" t="inlineStr">
        <is>
          <t>A0A8C5QKK4_9ANUR</t>
        </is>
      </c>
      <c r="L8334" t="inlineStr">
        <is>
          <t>tr|A0A8C5QKK4|A0A8C5QKK4_9ANUR Reverse transcriptase OS=Leptobrachium leishanense OX=445787 PE=4 SV=1</t>
        </is>
      </c>
      <c r="M8334" t="n">
        <v>536</v>
      </c>
      <c r="N8334" t="inlineStr">
        <is>
          <t>Leptobrachium leishanense</t>
        </is>
      </c>
      <c r="O8334" t="inlineStr">
        <is>
          <t>Reverse transcriptase</t>
        </is>
      </c>
    </row>
    <row r="8335">
      <c r="A8335" t="inlineStr"/>
      <c r="B8335" t="inlineStr"/>
      <c r="C8335" t="inlineStr"/>
      <c r="D8335" t="inlineStr"/>
      <c r="E8335">
        <f>HYPERLINK("https://www.uniprot.org/uniprotkb/A0A8C5QQD3/entry", "A0A8C5QQD3")</f>
        <v/>
      </c>
      <c r="F8335" t="n">
        <v>35</v>
      </c>
      <c r="G8335" t="n">
        <v>120</v>
      </c>
      <c r="H8335" t="n">
        <v>1.92e-12</v>
      </c>
      <c r="I8335" t="inlineStr">
        <is>
          <t>TrEMBL</t>
        </is>
      </c>
      <c r="J8335" t="inlineStr"/>
      <c r="K8335" t="inlineStr">
        <is>
          <t>A0A8C5QQD3_9ANUR</t>
        </is>
      </c>
      <c r="L8335" t="inlineStr">
        <is>
          <t>tr|A0A8C5QQD3|A0A8C5QQD3_9ANUR Reverse transcriptase OS=Leptobrachium leishanense OX=445787 PE=4 SV=1</t>
        </is>
      </c>
      <c r="M8335" t="n">
        <v>643</v>
      </c>
      <c r="N8335" t="inlineStr">
        <is>
          <t>Leptobrachium leishanense</t>
        </is>
      </c>
      <c r="O8335" t="inlineStr">
        <is>
          <t>Reverse transcriptase</t>
        </is>
      </c>
    </row>
    <row r="8336">
      <c r="A8336" t="inlineStr"/>
      <c r="B8336" t="inlineStr"/>
      <c r="C8336" t="inlineStr"/>
      <c r="D8336" t="inlineStr"/>
      <c r="E8336">
        <f>HYPERLINK("https://www.uniprot.org/uniprotkb/A0A8C5RA48/entry", "A0A8C5RA48")</f>
        <v/>
      </c>
      <c r="F8336" t="n">
        <v>37.2</v>
      </c>
      <c r="G8336" t="n">
        <v>121</v>
      </c>
      <c r="H8336" t="n">
        <v>2.32e-12</v>
      </c>
      <c r="I8336" t="inlineStr">
        <is>
          <t>TrEMBL</t>
        </is>
      </c>
      <c r="J8336" t="inlineStr"/>
      <c r="K8336" t="inlineStr">
        <is>
          <t>A0A8C5RA48_9ANUR</t>
        </is>
      </c>
      <c r="L8336" t="inlineStr">
        <is>
          <t>tr|A0A8C5RA48|A0A8C5RA48_9ANUR Tick transposon OS=Leptobrachium leishanense OX=445787 PE=4 SV=1</t>
        </is>
      </c>
      <c r="M8336" t="n">
        <v>464</v>
      </c>
      <c r="N8336" t="inlineStr">
        <is>
          <t>Leptobrachium leishanense</t>
        </is>
      </c>
      <c r="O8336" t="inlineStr">
        <is>
          <t>Tick transposon</t>
        </is>
      </c>
    </row>
    <row r="8337">
      <c r="A8337" t="inlineStr"/>
      <c r="B8337" t="inlineStr"/>
      <c r="C8337" t="inlineStr"/>
      <c r="D8337" t="inlineStr"/>
      <c r="E8337">
        <f>HYPERLINK("https://www.uniprot.org/uniprotkb/A0A8C5R6J3/entry", "A0A8C5R6J3")</f>
        <v/>
      </c>
      <c r="F8337" t="n">
        <v>33.9</v>
      </c>
      <c r="G8337" t="n">
        <v>121</v>
      </c>
      <c r="H8337" t="n">
        <v>2.33e-12</v>
      </c>
      <c r="I8337" t="inlineStr">
        <is>
          <t>TrEMBL</t>
        </is>
      </c>
      <c r="J8337" t="inlineStr"/>
      <c r="K8337" t="inlineStr">
        <is>
          <t>A0A8C5R6J3_9ANUR</t>
        </is>
      </c>
      <c r="L8337" t="inlineStr">
        <is>
          <t>tr|A0A8C5R6J3|A0A8C5R6J3_9ANUR CCHC-type domain-containing protein OS=Leptobrachium leishanense OX=445787 PE=4 SV=1</t>
        </is>
      </c>
      <c r="M8337" t="n">
        <v>468</v>
      </c>
      <c r="N8337" t="inlineStr">
        <is>
          <t>Leptobrachium leishanense</t>
        </is>
      </c>
      <c r="O8337" t="inlineStr">
        <is>
          <t>CCHC-type domain-containing protein</t>
        </is>
      </c>
    </row>
    <row r="8338">
      <c r="A8338" t="inlineStr"/>
      <c r="B8338" t="inlineStr"/>
      <c r="C8338" t="inlineStr"/>
      <c r="D8338" t="inlineStr"/>
      <c r="E8338">
        <f>HYPERLINK("https://www.uniprot.org/uniprotkb/A0A8C5LU82/entry", "A0A8C5LU82")</f>
        <v/>
      </c>
      <c r="F8338" t="n">
        <v>36</v>
      </c>
      <c r="G8338" t="n">
        <v>139</v>
      </c>
      <c r="H8338" t="n">
        <v>2.4e-12</v>
      </c>
      <c r="I8338" t="inlineStr">
        <is>
          <t>TrEMBL</t>
        </is>
      </c>
      <c r="J8338" t="inlineStr"/>
      <c r="K8338" t="inlineStr">
        <is>
          <t>A0A8C5LU82_9ANUR</t>
        </is>
      </c>
      <c r="L8338" t="inlineStr">
        <is>
          <t>tr|A0A8C5LU82|A0A8C5LU82_9ANUR Reverse transcriptase OS=Leptobrachium leishanense OX=445787 PE=4 SV=1</t>
        </is>
      </c>
      <c r="M8338" t="n">
        <v>493</v>
      </c>
      <c r="N8338" t="inlineStr">
        <is>
          <t>Leptobrachium leishanense</t>
        </is>
      </c>
      <c r="O8338" t="inlineStr">
        <is>
          <t>Reverse transcriptase</t>
        </is>
      </c>
    </row>
    <row r="8339">
      <c r="A8339" t="inlineStr"/>
      <c r="B8339" t="inlineStr"/>
      <c r="C8339" t="inlineStr"/>
      <c r="D8339" t="inlineStr"/>
      <c r="E8339">
        <f>HYPERLINK("https://www.uniprot.org/uniprotkb/A0A8C5MTW4/entry", "A0A8C5MTW4")</f>
        <v/>
      </c>
      <c r="F8339" t="n">
        <v>35.5</v>
      </c>
      <c r="G8339" t="n">
        <v>121</v>
      </c>
      <c r="H8339" t="n">
        <v>2.42e-12</v>
      </c>
      <c r="I8339" t="inlineStr">
        <is>
          <t>TrEMBL</t>
        </is>
      </c>
      <c r="J8339" t="inlineStr"/>
      <c r="K8339" t="inlineStr">
        <is>
          <t>A0A8C5MTW4_9ANUR</t>
        </is>
      </c>
      <c r="L8339" t="inlineStr">
        <is>
          <t>tr|A0A8C5MTW4|A0A8C5MTW4_9ANUR CCHC-type domain-containing protein OS=Leptobrachium leishanense OX=445787 PE=4 SV=1</t>
        </is>
      </c>
      <c r="M8339" t="n">
        <v>501</v>
      </c>
      <c r="N8339" t="inlineStr">
        <is>
          <t>Leptobrachium leishanense</t>
        </is>
      </c>
      <c r="O8339" t="inlineStr">
        <is>
          <t>CCHC-type domain-containing protein</t>
        </is>
      </c>
    </row>
    <row r="8340">
      <c r="A8340" t="inlineStr"/>
      <c r="B8340" t="inlineStr"/>
      <c r="C8340" t="inlineStr"/>
      <c r="D8340" t="inlineStr"/>
      <c r="E8340">
        <f>HYPERLINK("https://www.uniprot.org/uniprotkb/A0A8C5P7P2/entry", "A0A8C5P7P2")</f>
        <v/>
      </c>
      <c r="F8340" t="n">
        <v>37.2</v>
      </c>
      <c r="G8340" t="n">
        <v>121</v>
      </c>
      <c r="H8340" t="n">
        <v>2.5e-12</v>
      </c>
      <c r="I8340" t="inlineStr">
        <is>
          <t>TrEMBL</t>
        </is>
      </c>
      <c r="J8340" t="inlineStr"/>
      <c r="K8340" t="inlineStr">
        <is>
          <t>A0A8C5P7P2_9ANUR</t>
        </is>
      </c>
      <c r="L8340" t="inlineStr">
        <is>
          <t>tr|A0A8C5P7P2|A0A8C5P7P2_9ANUR CCHC-type domain-containing protein OS=Leptobrachium leishanense OX=445787 PE=4 SV=1</t>
        </is>
      </c>
      <c r="M8340" t="n">
        <v>545</v>
      </c>
      <c r="N8340" t="inlineStr">
        <is>
          <t>Leptobrachium leishanense</t>
        </is>
      </c>
      <c r="O8340" t="inlineStr">
        <is>
          <t>CCHC-type domain-containing protein</t>
        </is>
      </c>
    </row>
    <row r="8341">
      <c r="A8341" t="inlineStr"/>
      <c r="B8341" t="inlineStr"/>
      <c r="C8341" t="inlineStr"/>
      <c r="D8341" t="inlineStr"/>
      <c r="E8341">
        <f>HYPERLINK("https://www.ncbi.nlm.nih.gov/gene/?term=XP_040195045.1", "XP_040195045.1")</f>
        <v/>
      </c>
      <c r="F8341" t="n">
        <v>40</v>
      </c>
      <c r="G8341" t="n">
        <v>120</v>
      </c>
      <c r="H8341" t="n">
        <v>5.57e-12</v>
      </c>
      <c r="I8341" t="inlineStr">
        <is>
          <t>Nr</t>
        </is>
      </c>
      <c r="J8341" t="inlineStr"/>
      <c r="K8341" t="inlineStr"/>
      <c r="L8341" t="inlineStr">
        <is>
          <t>XP_040195045.1 uncharacterized protein LOC120928035 [Rana temporaria]</t>
        </is>
      </c>
      <c r="M8341" t="n">
        <v>1353</v>
      </c>
      <c r="N8341" t="inlineStr">
        <is>
          <t>Rana temporaria</t>
        </is>
      </c>
      <c r="O8341" t="inlineStr">
        <is>
          <t>uncharacterized protein LOC120928035</t>
        </is>
      </c>
    </row>
    <row r="8342">
      <c r="A8342" t="inlineStr"/>
      <c r="B8342" t="inlineStr"/>
      <c r="C8342" t="inlineStr"/>
      <c r="D8342" t="inlineStr"/>
      <c r="E8342">
        <f>HYPERLINK("https://www.ncbi.nlm.nih.gov/gene/?term=XP_044155655.1", "XP_044155655.1")</f>
        <v/>
      </c>
      <c r="F8342" t="n">
        <v>41.5</v>
      </c>
      <c r="G8342" t="n">
        <v>94</v>
      </c>
      <c r="H8342" t="n">
        <v>8.160000000000001e-12</v>
      </c>
      <c r="I8342" t="inlineStr">
        <is>
          <t>Nr</t>
        </is>
      </c>
      <c r="J8342" t="inlineStr"/>
      <c r="K8342" t="inlineStr"/>
      <c r="L8342" t="inlineStr">
        <is>
          <t>XP_044155655.1 uncharacterized protein LOC122942219, partial [Bufo gargarizans]</t>
        </is>
      </c>
      <c r="M8342" t="n">
        <v>1233</v>
      </c>
      <c r="N8342" t="inlineStr">
        <is>
          <t>Bufo gargarizans</t>
        </is>
      </c>
      <c r="O8342" t="inlineStr">
        <is>
          <t>uncharacterized protein LOC122942219, partial</t>
        </is>
      </c>
    </row>
    <row r="8343">
      <c r="A8343" t="inlineStr"/>
      <c r="B8343" t="inlineStr"/>
      <c r="C8343" t="inlineStr"/>
      <c r="D8343" t="inlineStr"/>
      <c r="E8343">
        <f>HYPERLINK("https://www.ncbi.nlm.nih.gov/gene/?term=PIO14719.1", "PIO14719.1")</f>
        <v/>
      </c>
      <c r="F8343" t="n">
        <v>46.3</v>
      </c>
      <c r="G8343" t="n">
        <v>95</v>
      </c>
      <c r="H8343" t="n">
        <v>4.81e-11</v>
      </c>
      <c r="I8343" t="inlineStr">
        <is>
          <t>Nr</t>
        </is>
      </c>
      <c r="J8343" t="inlineStr"/>
      <c r="K8343" t="inlineStr"/>
      <c r="L8343" t="inlineStr">
        <is>
          <t>PIO14719.1 hypothetical protein AB205_0152450 [Lithobates catesbeianus]</t>
        </is>
      </c>
      <c r="M8343" t="n">
        <v>308</v>
      </c>
      <c r="N8343" t="inlineStr">
        <is>
          <t>Lithobates catesbeianus</t>
        </is>
      </c>
      <c r="O8343" t="inlineStr">
        <is>
          <t>hypothetical protein AB205_0152450</t>
        </is>
      </c>
    </row>
    <row r="8344">
      <c r="A8344" t="inlineStr"/>
      <c r="B8344" t="inlineStr"/>
      <c r="C8344" t="inlineStr"/>
      <c r="D8344" t="inlineStr"/>
      <c r="E8344">
        <f>HYPERLINK("https://www.ncbi.nlm.nih.gov/gene/?term=XP_040288719.1", "XP_040288719.1")</f>
        <v/>
      </c>
      <c r="F8344" t="n">
        <v>42.2</v>
      </c>
      <c r="G8344" t="n">
        <v>83</v>
      </c>
      <c r="H8344" t="n">
        <v>1.7e-10</v>
      </c>
      <c r="I8344" t="inlineStr">
        <is>
          <t>Nr</t>
        </is>
      </c>
      <c r="J8344" t="inlineStr"/>
      <c r="K8344" t="inlineStr"/>
      <c r="L8344" t="inlineStr">
        <is>
          <t>XP_040288719.1 uncharacterized protein LOC121001621, partial [Bufo bufo]</t>
        </is>
      </c>
      <c r="M8344" t="n">
        <v>846</v>
      </c>
      <c r="N8344" t="inlineStr">
        <is>
          <t>Bufo bufo</t>
        </is>
      </c>
      <c r="O8344" t="inlineStr">
        <is>
          <t>uncharacterized protein LOC121001621, partial</t>
        </is>
      </c>
    </row>
    <row r="8345">
      <c r="A8345" t="inlineStr"/>
      <c r="B8345" t="inlineStr"/>
      <c r="C8345" t="inlineStr"/>
      <c r="D8345" t="inlineStr"/>
      <c r="E8345">
        <f>HYPERLINK("https://www.ncbi.nlm.nih.gov/gene/?term=XP_040262454.1", "XP_040262454.1")</f>
        <v/>
      </c>
      <c r="F8345" t="n">
        <v>38</v>
      </c>
      <c r="G8345" t="n">
        <v>92</v>
      </c>
      <c r="H8345" t="n">
        <v>1.08e-09</v>
      </c>
      <c r="I8345" t="inlineStr">
        <is>
          <t>Nr</t>
        </is>
      </c>
      <c r="J8345" t="inlineStr"/>
      <c r="K8345" t="inlineStr"/>
      <c r="L8345" t="inlineStr">
        <is>
          <t>XP_040262454.1 uncharacterized protein LOC120978250, partial [Bufo bufo]</t>
        </is>
      </c>
      <c r="M8345" t="n">
        <v>845</v>
      </c>
      <c r="N8345" t="inlineStr">
        <is>
          <t>Bufo bufo</t>
        </is>
      </c>
      <c r="O8345" t="inlineStr">
        <is>
          <t>uncharacterized protein LOC120978250, partial</t>
        </is>
      </c>
    </row>
    <row r="8346">
      <c r="A8346" t="inlineStr"/>
      <c r="B8346" t="inlineStr"/>
      <c r="C8346" t="inlineStr"/>
      <c r="D8346" t="inlineStr"/>
      <c r="E8346">
        <f>HYPERLINK("https://www.ncbi.nlm.nih.gov/gene/?term=XP_040296035.1", "XP_040296035.1")</f>
        <v/>
      </c>
      <c r="F8346" t="n">
        <v>41</v>
      </c>
      <c r="G8346" t="n">
        <v>83</v>
      </c>
      <c r="H8346" t="n">
        <v>2.02e-09</v>
      </c>
      <c r="I8346" t="inlineStr">
        <is>
          <t>Nr</t>
        </is>
      </c>
      <c r="J8346" t="inlineStr"/>
      <c r="K8346" t="inlineStr"/>
      <c r="L8346" t="inlineStr">
        <is>
          <t>XP_040296035.1 uncharacterized protein LOC121007851, partial [Bufo bufo]</t>
        </is>
      </c>
      <c r="M8346" t="n">
        <v>920</v>
      </c>
      <c r="N8346" t="inlineStr">
        <is>
          <t>Bufo bufo</t>
        </is>
      </c>
      <c r="O8346" t="inlineStr">
        <is>
          <t>uncharacterized protein LOC121007851, partial</t>
        </is>
      </c>
    </row>
    <row r="8347">
      <c r="A8347" t="inlineStr"/>
      <c r="B8347" t="inlineStr"/>
      <c r="C8347" t="inlineStr"/>
      <c r="D8347" t="inlineStr"/>
      <c r="E8347">
        <f>HYPERLINK("https://www.ncbi.nlm.nih.gov/gene/?term=XP_040278175.1", "XP_040278175.1")</f>
        <v/>
      </c>
      <c r="F8347" t="n">
        <v>41</v>
      </c>
      <c r="G8347" t="n">
        <v>83</v>
      </c>
      <c r="H8347" t="n">
        <v>2.05e-09</v>
      </c>
      <c r="I8347" t="inlineStr">
        <is>
          <t>Nr</t>
        </is>
      </c>
      <c r="J8347" t="inlineStr"/>
      <c r="K8347" t="inlineStr"/>
      <c r="L8347" t="inlineStr">
        <is>
          <t>XP_040278175.1 uncharacterized protein LOC120993770, partial [Bufo bufo]</t>
        </is>
      </c>
      <c r="M8347" t="n">
        <v>1065</v>
      </c>
      <c r="N8347" t="inlineStr">
        <is>
          <t>Bufo bufo</t>
        </is>
      </c>
      <c r="O8347" t="inlineStr">
        <is>
          <t>uncharacterized protein LOC120993770, partial</t>
        </is>
      </c>
    </row>
    <row r="8348">
      <c r="A8348" t="inlineStr"/>
      <c r="B8348" t="inlineStr"/>
      <c r="C8348" t="inlineStr"/>
      <c r="D8348" t="inlineStr"/>
      <c r="E8348">
        <f>HYPERLINK("https://www.ncbi.nlm.nih.gov/gene/?term=XP_044133676.1", "XP_044133676.1")</f>
        <v/>
      </c>
      <c r="F8348" t="n">
        <v>41</v>
      </c>
      <c r="G8348" t="n">
        <v>83</v>
      </c>
      <c r="H8348" t="n">
        <v>2.07e-09</v>
      </c>
      <c r="I8348" t="inlineStr">
        <is>
          <t>Nr</t>
        </is>
      </c>
      <c r="J8348" t="inlineStr"/>
      <c r="K8348" t="inlineStr"/>
      <c r="L8348" t="inlineStr">
        <is>
          <t>XP_044133676.1 uncharacterized protein LOC122926366, partial [Bufo gargarizans]</t>
        </is>
      </c>
      <c r="M8348" t="n">
        <v>1177</v>
      </c>
      <c r="N8348" t="inlineStr">
        <is>
          <t>Bufo gargarizans</t>
        </is>
      </c>
      <c r="O8348" t="inlineStr">
        <is>
          <t>uncharacterized protein LOC122926366, partial</t>
        </is>
      </c>
    </row>
    <row r="8349">
      <c r="A8349" t="inlineStr"/>
      <c r="B8349" t="inlineStr"/>
      <c r="C8349" t="inlineStr"/>
      <c r="D8349" t="inlineStr"/>
      <c r="E8349">
        <f>HYPERLINK("https://www.ncbi.nlm.nih.gov/gene/?term=KAE8614707.1", "KAE8614707.1")</f>
        <v/>
      </c>
      <c r="F8349" t="n">
        <v>39.8</v>
      </c>
      <c r="G8349" t="n">
        <v>108</v>
      </c>
      <c r="H8349" t="n">
        <v>2.39e-09</v>
      </c>
      <c r="I8349" t="inlineStr">
        <is>
          <t>Nr</t>
        </is>
      </c>
      <c r="J8349" t="inlineStr"/>
      <c r="K8349" t="inlineStr"/>
      <c r="L8349" t="inlineStr">
        <is>
          <t>KAE8614707.1 hypothetical protein XENTR_v10008272 [Xenopus tropicalis]</t>
        </is>
      </c>
      <c r="M8349" t="n">
        <v>322</v>
      </c>
      <c r="N8349" t="inlineStr">
        <is>
          <t>Xenopus tropicalis</t>
        </is>
      </c>
      <c r="O8349" t="inlineStr">
        <is>
          <t>hypothetical protein XENTR_v10008272</t>
        </is>
      </c>
    </row>
    <row r="8350">
      <c r="A8350" t="inlineStr"/>
      <c r="B8350" t="inlineStr"/>
      <c r="C8350" t="inlineStr"/>
      <c r="D8350" t="inlineStr"/>
      <c r="E8350">
        <f>HYPERLINK("https://www.ncbi.nlm.nih.gov/gene/?term=KAE8628971.1", "KAE8628971.1")</f>
        <v/>
      </c>
      <c r="F8350" t="n">
        <v>39.8</v>
      </c>
      <c r="G8350" t="n">
        <v>108</v>
      </c>
      <c r="H8350" t="n">
        <v>3.31e-09</v>
      </c>
      <c r="I8350" t="inlineStr">
        <is>
          <t>Nr</t>
        </is>
      </c>
      <c r="J8350" t="inlineStr"/>
      <c r="K8350" t="inlineStr"/>
      <c r="L8350" t="inlineStr">
        <is>
          <t>KAE8628971.1 hypothetical protein XENTR_v10000309 [Xenopus tropicalis]</t>
        </is>
      </c>
      <c r="M8350" t="n">
        <v>482</v>
      </c>
      <c r="N8350" t="inlineStr">
        <is>
          <t>Xenopus tropicalis</t>
        </is>
      </c>
      <c r="O8350" t="inlineStr">
        <is>
          <t>hypothetical protein XENTR_v10000309</t>
        </is>
      </c>
    </row>
    <row r="8351">
      <c r="A8351" t="inlineStr"/>
      <c r="B8351" t="inlineStr"/>
      <c r="C8351" t="inlineStr"/>
      <c r="D8351" t="inlineStr"/>
      <c r="E8351">
        <f>HYPERLINK("https://www.ncbi.nlm.nih.gov/gene/?term=KAE8580843.1", "KAE8580843.1")</f>
        <v/>
      </c>
      <c r="F8351" t="n">
        <v>39.8</v>
      </c>
      <c r="G8351" t="n">
        <v>108</v>
      </c>
      <c r="H8351" t="n">
        <v>3.36e-09</v>
      </c>
      <c r="I8351" t="inlineStr">
        <is>
          <t>Nr</t>
        </is>
      </c>
      <c r="J8351" t="inlineStr"/>
      <c r="K8351" t="inlineStr"/>
      <c r="L8351" t="inlineStr">
        <is>
          <t>KAE8580843.1 hypothetical protein XENTR_v10024562 [Xenopus tropicalis]</t>
        </is>
      </c>
      <c r="M8351" t="n">
        <v>511</v>
      </c>
      <c r="N8351" t="inlineStr">
        <is>
          <t>Xenopus tropicalis</t>
        </is>
      </c>
      <c r="O8351" t="inlineStr">
        <is>
          <t>hypothetical protein XENTR_v10024562</t>
        </is>
      </c>
    </row>
    <row r="8352">
      <c r="A8352" t="inlineStr"/>
      <c r="B8352" t="inlineStr"/>
      <c r="C8352" t="inlineStr"/>
      <c r="D8352" t="inlineStr"/>
      <c r="E8352">
        <f>HYPERLINK("https://www.ncbi.nlm.nih.gov/gene/?term=XP_031755400.1", "XP_031755400.1")</f>
        <v/>
      </c>
      <c r="F8352" t="n">
        <v>39.8</v>
      </c>
      <c r="G8352" t="n">
        <v>108</v>
      </c>
      <c r="H8352" t="n">
        <v>3.43e-09</v>
      </c>
      <c r="I8352" t="inlineStr">
        <is>
          <t>Nr</t>
        </is>
      </c>
      <c r="J8352" t="inlineStr"/>
      <c r="K8352" t="inlineStr"/>
      <c r="L8352" t="inlineStr">
        <is>
          <t>XP_031755400.1 uncharacterized protein LOC116409840 [Xenopus tropicalis]</t>
        </is>
      </c>
      <c r="M8352" t="n">
        <v>555</v>
      </c>
      <c r="N8352" t="inlineStr">
        <is>
          <t>Xenopus tropicalis</t>
        </is>
      </c>
      <c r="O8352" t="inlineStr">
        <is>
          <t>uncharacterized protein LOC116409840</t>
        </is>
      </c>
    </row>
    <row r="8353">
      <c r="A8353" t="inlineStr"/>
      <c r="B8353" t="inlineStr"/>
      <c r="C8353" t="inlineStr"/>
      <c r="D8353" t="inlineStr"/>
      <c r="E8353">
        <f>HYPERLINK("https://www.ncbi.nlm.nih.gov/gene/?term=XP_031758433.1", "XP_031758433.1")</f>
        <v/>
      </c>
      <c r="F8353" t="n">
        <v>39.8</v>
      </c>
      <c r="G8353" t="n">
        <v>108</v>
      </c>
      <c r="H8353" t="n">
        <v>3.43e-09</v>
      </c>
      <c r="I8353" t="inlineStr">
        <is>
          <t>Nr</t>
        </is>
      </c>
      <c r="J8353" t="inlineStr"/>
      <c r="K8353" t="inlineStr"/>
      <c r="L8353" t="inlineStr">
        <is>
          <t>XP_031758433.1 uncharacterized protein LOC116410926 [Xenopus tropicalis]</t>
        </is>
      </c>
      <c r="M8353" t="n">
        <v>555</v>
      </c>
      <c r="N8353" t="inlineStr">
        <is>
          <t>Xenopus tropicalis</t>
        </is>
      </c>
      <c r="O8353" t="inlineStr">
        <is>
          <t>uncharacterized protein LOC116410926</t>
        </is>
      </c>
    </row>
    <row r="8354">
      <c r="A8354" t="inlineStr"/>
      <c r="B8354" t="inlineStr"/>
      <c r="C8354" t="inlineStr"/>
      <c r="D8354" t="inlineStr"/>
      <c r="E8354">
        <f>HYPERLINK("https://www.ncbi.nlm.nih.gov/gene/?term=XP_031758549.1", "XP_031758549.1")</f>
        <v/>
      </c>
      <c r="F8354" t="n">
        <v>39.8</v>
      </c>
      <c r="G8354" t="n">
        <v>108</v>
      </c>
      <c r="H8354" t="n">
        <v>3.43e-09</v>
      </c>
      <c r="I8354" t="inlineStr">
        <is>
          <t>Nr</t>
        </is>
      </c>
      <c r="J8354" t="inlineStr"/>
      <c r="K8354" t="inlineStr"/>
      <c r="L8354" t="inlineStr">
        <is>
          <t>XP_031758549.1 uncharacterized protein LOC105947475 [Xenopus tropicalis]</t>
        </is>
      </c>
      <c r="M8354" t="n">
        <v>555</v>
      </c>
      <c r="N8354" t="inlineStr">
        <is>
          <t>Xenopus tropicalis</t>
        </is>
      </c>
      <c r="O8354" t="inlineStr">
        <is>
          <t>uncharacterized protein LOC105947475</t>
        </is>
      </c>
    </row>
    <row r="8355">
      <c r="A8355" t="inlineStr"/>
      <c r="B8355" t="inlineStr"/>
      <c r="C8355" t="inlineStr"/>
      <c r="D8355" t="inlineStr"/>
      <c r="E8355">
        <f>HYPERLINK("https://www.ncbi.nlm.nih.gov/gene/?term=XP_031749403.1", "XP_031749403.1")</f>
        <v/>
      </c>
      <c r="F8355" t="n">
        <v>39.8</v>
      </c>
      <c r="G8355" t="n">
        <v>108</v>
      </c>
      <c r="H8355" t="n">
        <v>3.9e-09</v>
      </c>
      <c r="I8355" t="inlineStr">
        <is>
          <t>Nr</t>
        </is>
      </c>
      <c r="J8355" t="inlineStr"/>
      <c r="K8355" t="inlineStr"/>
      <c r="L8355" t="inlineStr">
        <is>
          <t>XP_031749403.1 uncharacterized protein LOC116407696 [Xenopus tropicalis]</t>
        </is>
      </c>
      <c r="M8355" t="n">
        <v>1489</v>
      </c>
      <c r="N8355" t="inlineStr">
        <is>
          <t>Xenopus tropicalis</t>
        </is>
      </c>
      <c r="O8355" t="inlineStr">
        <is>
          <t>uncharacterized protein LOC116407696</t>
        </is>
      </c>
    </row>
    <row r="8356">
      <c r="A8356" t="inlineStr"/>
      <c r="B8356" t="inlineStr"/>
      <c r="C8356" t="inlineStr"/>
      <c r="D8356" t="inlineStr"/>
      <c r="E8356">
        <f>HYPERLINK("https://www.ncbi.nlm.nih.gov/gene/?term=XP_031747741.1", "XP_031747741.1")</f>
        <v/>
      </c>
      <c r="F8356" t="n">
        <v>39.8</v>
      </c>
      <c r="G8356" t="n">
        <v>108</v>
      </c>
      <c r="H8356" t="n">
        <v>3.9e-09</v>
      </c>
      <c r="I8356" t="inlineStr">
        <is>
          <t>Nr</t>
        </is>
      </c>
      <c r="J8356" t="inlineStr"/>
      <c r="K8356" t="inlineStr"/>
      <c r="L8356" t="inlineStr">
        <is>
          <t>XP_031747741.1 uncharacterized protein LOC108647426 [Xenopus tropicalis]</t>
        </is>
      </c>
      <c r="M8356" t="n">
        <v>1489</v>
      </c>
      <c r="N8356" t="inlineStr">
        <is>
          <t>Xenopus tropicalis</t>
        </is>
      </c>
      <c r="O8356" t="inlineStr">
        <is>
          <t>uncharacterized protein LOC108647426</t>
        </is>
      </c>
    </row>
    <row r="8357">
      <c r="A8357" t="inlineStr"/>
      <c r="B8357" t="inlineStr"/>
      <c r="C8357" t="inlineStr"/>
      <c r="D8357" t="inlineStr"/>
      <c r="E8357">
        <f>HYPERLINK("https://www.ncbi.nlm.nih.gov/gene/?term=KAE8599469.1", "KAE8599469.1")</f>
        <v/>
      </c>
      <c r="F8357" t="n">
        <v>39.8</v>
      </c>
      <c r="G8357" t="n">
        <v>108</v>
      </c>
      <c r="H8357" t="n">
        <v>4.5e-09</v>
      </c>
      <c r="I8357" t="inlineStr">
        <is>
          <t>Nr</t>
        </is>
      </c>
      <c r="J8357" t="inlineStr"/>
      <c r="K8357" t="inlineStr"/>
      <c r="L8357" t="inlineStr">
        <is>
          <t>KAE8599469.1 hypothetical protein XENTR_v10017199 [Xenopus tropicalis]</t>
        </is>
      </c>
      <c r="M8357" t="n">
        <v>482</v>
      </c>
      <c r="N8357" t="inlineStr">
        <is>
          <t>Xenopus tropicalis</t>
        </is>
      </c>
      <c r="O8357" t="inlineStr">
        <is>
          <t>hypothetical protein XENTR_v10017199</t>
        </is>
      </c>
    </row>
    <row r="8358">
      <c r="A8358" t="inlineStr"/>
      <c r="B8358" t="inlineStr"/>
      <c r="C8358" t="inlineStr"/>
      <c r="D8358" t="inlineStr"/>
      <c r="E8358">
        <f>HYPERLINK("https://www.ncbi.nlm.nih.gov/gene/?term=XP_044133676.1", "XP_044133676.1")</f>
        <v/>
      </c>
      <c r="F8358" t="n">
        <v>34.9</v>
      </c>
      <c r="G8358" t="n">
        <v>126</v>
      </c>
      <c r="H8358" t="n">
        <v>2.08e-08</v>
      </c>
      <c r="I8358" t="inlineStr">
        <is>
          <t>Nr</t>
        </is>
      </c>
      <c r="J8358" t="inlineStr"/>
      <c r="K8358" t="inlineStr"/>
      <c r="L8358" t="inlineStr">
        <is>
          <t>XP_044133676.1 uncharacterized protein LOC122926366, partial [Bufo gargarizans]</t>
        </is>
      </c>
      <c r="M8358" t="n">
        <v>1177</v>
      </c>
      <c r="N8358" t="inlineStr">
        <is>
          <t>Bufo gargarizans</t>
        </is>
      </c>
      <c r="O8358" t="inlineStr">
        <is>
          <t>uncharacterized protein LOC122926366, partial</t>
        </is>
      </c>
    </row>
    <row r="8359">
      <c r="A8359" t="inlineStr"/>
      <c r="B8359" t="inlineStr"/>
      <c r="C8359" t="inlineStr"/>
      <c r="D8359" t="inlineStr"/>
      <c r="E8359">
        <f>HYPERLINK("https://www.ncbi.nlm.nih.gov/gene/?term=XP_040278175.1", "XP_040278175.1")</f>
        <v/>
      </c>
      <c r="F8359" t="n">
        <v>34.9</v>
      </c>
      <c r="G8359" t="n">
        <v>126</v>
      </c>
      <c r="H8359" t="n">
        <v>2.79e-08</v>
      </c>
      <c r="I8359" t="inlineStr">
        <is>
          <t>Nr</t>
        </is>
      </c>
      <c r="J8359" t="inlineStr"/>
      <c r="K8359" t="inlineStr"/>
      <c r="L8359" t="inlineStr">
        <is>
          <t>XP_040278175.1 uncharacterized protein LOC120993770, partial [Bufo bufo]</t>
        </is>
      </c>
      <c r="M8359" t="n">
        <v>1065</v>
      </c>
      <c r="N8359" t="inlineStr">
        <is>
          <t>Bufo bufo</t>
        </is>
      </c>
      <c r="O8359" t="inlineStr">
        <is>
          <t>uncharacterized protein LOC120993770, partial</t>
        </is>
      </c>
    </row>
    <row r="8360">
      <c r="A8360" t="inlineStr"/>
      <c r="B8360" t="inlineStr"/>
      <c r="C8360" t="inlineStr"/>
      <c r="D8360" t="inlineStr"/>
      <c r="E8360">
        <f>HYPERLINK("https://www.ncbi.nlm.nih.gov/gene/?term=XP_040274673.1", "XP_040274673.1")</f>
        <v/>
      </c>
      <c r="F8360" t="n">
        <v>31.9</v>
      </c>
      <c r="G8360" t="n">
        <v>119</v>
      </c>
      <c r="H8360" t="n">
        <v>4.56e-08</v>
      </c>
      <c r="I8360" t="inlineStr">
        <is>
          <t>Nr</t>
        </is>
      </c>
      <c r="J8360" t="inlineStr"/>
      <c r="K8360" t="inlineStr"/>
      <c r="L8360" t="inlineStr">
        <is>
          <t>XP_040274673.1 olfactory receptor 1468-like [Bufo bufo]</t>
        </is>
      </c>
      <c r="M8360" t="n">
        <v>577</v>
      </c>
      <c r="N8360" t="inlineStr">
        <is>
          <t>Bufo bufo</t>
        </is>
      </c>
      <c r="O8360" t="inlineStr">
        <is>
          <t>olfactory receptor 1468-like</t>
        </is>
      </c>
    </row>
    <row r="8361">
      <c r="A8361" t="inlineStr"/>
      <c r="B8361" t="inlineStr"/>
      <c r="C8361" t="inlineStr"/>
      <c r="D8361" t="inlineStr"/>
      <c r="E8361">
        <f>HYPERLINK("https://www.ncbi.nlm.nih.gov/gene/?term=XP_044134361.1", "XP_044134361.1")</f>
        <v/>
      </c>
      <c r="F8361" t="n">
        <v>33</v>
      </c>
      <c r="G8361" t="n">
        <v>115</v>
      </c>
      <c r="H8361" t="n">
        <v>1.71e-06</v>
      </c>
      <c r="I8361" t="inlineStr">
        <is>
          <t>Nr</t>
        </is>
      </c>
      <c r="J8361" t="inlineStr"/>
      <c r="K8361" t="inlineStr"/>
      <c r="L8361" t="inlineStr">
        <is>
          <t>XP_044134361.1 uncharacterized protein LOC122926906 [Bufo gargarizans]</t>
        </is>
      </c>
      <c r="M8361" t="n">
        <v>533</v>
      </c>
      <c r="N8361" t="inlineStr">
        <is>
          <t>Bufo gargarizans</t>
        </is>
      </c>
      <c r="O8361" t="inlineStr">
        <is>
          <t>uncharacterized protein LOC122926906</t>
        </is>
      </c>
    </row>
    <row r="8362">
      <c r="A8362" t="inlineStr"/>
      <c r="B8362" t="inlineStr"/>
      <c r="C8362" t="inlineStr"/>
      <c r="D8362" t="inlineStr"/>
      <c r="E8362">
        <f>HYPERLINK("https://www.ncbi.nlm.nih.gov/gene/?term=XP_044139237.1", "XP_044139237.1")</f>
        <v/>
      </c>
      <c r="F8362" t="n">
        <v>33</v>
      </c>
      <c r="G8362" t="n">
        <v>115</v>
      </c>
      <c r="H8362" t="n">
        <v>2.27e-06</v>
      </c>
      <c r="I8362" t="inlineStr">
        <is>
          <t>Nr</t>
        </is>
      </c>
      <c r="J8362" t="inlineStr"/>
      <c r="K8362" t="inlineStr"/>
      <c r="L8362" t="inlineStr">
        <is>
          <t>XP_044139237.1 uncharacterized protein LOC122929666 [Bufo gargarizans]</t>
        </is>
      </c>
      <c r="M8362" t="n">
        <v>497</v>
      </c>
      <c r="N8362" t="inlineStr">
        <is>
          <t>Bufo gargarizans</t>
        </is>
      </c>
      <c r="O8362" t="inlineStr">
        <is>
          <t>uncharacterized protein LOC122929666</t>
        </is>
      </c>
    </row>
    <row r="8363">
      <c r="A8363" t="inlineStr"/>
      <c r="B8363" t="inlineStr"/>
      <c r="C8363" t="inlineStr"/>
      <c r="D8363" t="inlineStr"/>
      <c r="E8363">
        <f>HYPERLINK("https://www.ncbi.nlm.nih.gov/gene/?term=XP_044146655.1", "XP_044146655.1")</f>
        <v/>
      </c>
      <c r="F8363" t="n">
        <v>33</v>
      </c>
      <c r="G8363" t="n">
        <v>115</v>
      </c>
      <c r="H8363" t="n">
        <v>2.32e-06</v>
      </c>
      <c r="I8363" t="inlineStr">
        <is>
          <t>Nr</t>
        </is>
      </c>
      <c r="J8363" t="inlineStr"/>
      <c r="K8363" t="inlineStr"/>
      <c r="L8363" t="inlineStr">
        <is>
          <t>XP_044146655.1 uncharacterized protein LOC122935008 [Bufo gargarizans]</t>
        </is>
      </c>
      <c r="M8363" t="n">
        <v>533</v>
      </c>
      <c r="N8363" t="inlineStr">
        <is>
          <t>Bufo gargarizans</t>
        </is>
      </c>
      <c r="O8363" t="inlineStr">
        <is>
          <t>uncharacterized protein LOC122935008</t>
        </is>
      </c>
    </row>
    <row r="8364">
      <c r="A8364" t="inlineStr"/>
      <c r="B8364" t="inlineStr"/>
      <c r="C8364" t="inlineStr"/>
      <c r="D8364" t="inlineStr"/>
      <c r="E8364">
        <f>HYPERLINK("https://www.ncbi.nlm.nih.gov/gene/?term=XP_040182571.1", "XP_040182571.1")</f>
        <v/>
      </c>
      <c r="F8364" t="n">
        <v>31.9</v>
      </c>
      <c r="G8364" t="n">
        <v>119</v>
      </c>
      <c r="H8364" t="n">
        <v>3.08e-05</v>
      </c>
      <c r="I8364" t="inlineStr">
        <is>
          <t>Nr</t>
        </is>
      </c>
      <c r="J8364" t="inlineStr"/>
      <c r="K8364" t="inlineStr"/>
      <c r="L8364" t="inlineStr">
        <is>
          <t>XP_040182571.1 uncharacterized protein LOC120915831 [Rana temporaria]</t>
        </is>
      </c>
      <c r="M8364" t="n">
        <v>1451</v>
      </c>
      <c r="N8364" t="inlineStr">
        <is>
          <t>Rana temporaria</t>
        </is>
      </c>
      <c r="O8364" t="inlineStr">
        <is>
          <t>uncharacterized protein LOC120915831</t>
        </is>
      </c>
    </row>
    <row r="8365">
      <c r="A8365" t="inlineStr"/>
      <c r="B8365" t="inlineStr"/>
      <c r="C8365" t="inlineStr"/>
      <c r="D8365" t="inlineStr"/>
      <c r="E8365">
        <f>HYPERLINK("https://www.ncbi.nlm.nih.gov/gene/?term=XP_044132985.1", "XP_044132985.1")</f>
        <v/>
      </c>
      <c r="F8365" t="n">
        <v>28.8</v>
      </c>
      <c r="G8365" t="n">
        <v>125</v>
      </c>
      <c r="H8365" t="n">
        <v>4.81e-05</v>
      </c>
      <c r="I8365" t="inlineStr">
        <is>
          <t>Nr</t>
        </is>
      </c>
      <c r="J8365" t="inlineStr"/>
      <c r="K8365" t="inlineStr"/>
      <c r="L8365" t="inlineStr">
        <is>
          <t>XP_044132985.1 uncharacterized protein LOC122925703 isoform X1 [Bufo gargarizans]</t>
        </is>
      </c>
      <c r="M8365" t="n">
        <v>540</v>
      </c>
      <c r="N8365" t="inlineStr">
        <is>
          <t>Bufo gargarizans</t>
        </is>
      </c>
      <c r="O8365" t="inlineStr">
        <is>
          <t>uncharacterized protein LOC122925703 isoform X1</t>
        </is>
      </c>
    </row>
    <row r="8366">
      <c r="A8366" t="inlineStr"/>
      <c r="B8366" t="inlineStr"/>
      <c r="C8366" t="inlineStr"/>
      <c r="D8366" t="inlineStr"/>
      <c r="E8366">
        <f>HYPERLINK("https://www.ncbi.nlm.nih.gov/gene/?term=XP_044155655.1", "XP_044155655.1")</f>
        <v/>
      </c>
      <c r="F8366" t="n">
        <v>29.3</v>
      </c>
      <c r="G8366" t="n">
        <v>123</v>
      </c>
      <c r="H8366" t="n">
        <v>7.51e-05</v>
      </c>
      <c r="I8366" t="inlineStr">
        <is>
          <t>Nr</t>
        </is>
      </c>
      <c r="J8366" t="inlineStr"/>
      <c r="K8366" t="inlineStr"/>
      <c r="L8366" t="inlineStr">
        <is>
          <t>XP_044155655.1 uncharacterized protein LOC122942219, partial [Bufo gargarizans]</t>
        </is>
      </c>
      <c r="M8366" t="n">
        <v>1233</v>
      </c>
      <c r="N8366" t="inlineStr">
        <is>
          <t>Bufo gargarizans</t>
        </is>
      </c>
      <c r="O8366" t="inlineStr">
        <is>
          <t>uncharacterized protein LOC122942219, partial</t>
        </is>
      </c>
    </row>
    <row r="8367">
      <c r="A8367" t="inlineStr"/>
      <c r="B8367" t="inlineStr"/>
      <c r="C8367" t="inlineStr"/>
      <c r="D8367" t="inlineStr"/>
      <c r="E8367">
        <f>HYPERLINK("https://www.ncbi.nlm.nih.gov/gene/?term=XP_044136781.1", "XP_044136781.1")</f>
        <v/>
      </c>
      <c r="F8367" t="n">
        <v>26.5</v>
      </c>
      <c r="G8367" t="n">
        <v>132</v>
      </c>
      <c r="H8367" t="n">
        <v>0.000294</v>
      </c>
      <c r="I8367" t="inlineStr">
        <is>
          <t>Nr</t>
        </is>
      </c>
      <c r="J8367" t="inlineStr"/>
      <c r="K8367" t="inlineStr"/>
      <c r="L8367" t="inlineStr">
        <is>
          <t>XP_044136781.1 uncharacterized protein LOC122928226 [Bufo gargarizans]</t>
        </is>
      </c>
      <c r="M8367" t="n">
        <v>540</v>
      </c>
      <c r="N8367" t="inlineStr">
        <is>
          <t>Bufo gargarizans</t>
        </is>
      </c>
      <c r="O8367" t="inlineStr">
        <is>
          <t>uncharacterized protein LOC122928226</t>
        </is>
      </c>
    </row>
    <row r="8368">
      <c r="A8368" t="inlineStr">
        <is>
          <t>NODE_61464_length_2574_cov_8.925808_g4512_i3</t>
        </is>
      </c>
      <c r="B8368" t="inlineStr">
        <is>
          <t>bombina_pachypus_blastx</t>
        </is>
      </c>
      <c r="C8368" t="n">
        <v>-3.31272389405941</v>
      </c>
      <c r="D8368" t="n">
        <v>0.0032916784696021</v>
      </c>
      <c r="E8368">
        <f>HYPERLINK("https://www.ncbi.nlm.nih.gov/gene/?term=XP_044151545.1", "XP_044151545.1")</f>
        <v/>
      </c>
      <c r="F8368" t="n">
        <v>39.7</v>
      </c>
      <c r="G8368" t="n">
        <v>189</v>
      </c>
      <c r="H8368" t="n">
        <v>3.99e-30</v>
      </c>
      <c r="I8368" t="inlineStr">
        <is>
          <t>Nr</t>
        </is>
      </c>
      <c r="J8368" t="inlineStr"/>
      <c r="K8368" t="inlineStr"/>
      <c r="L8368" t="inlineStr">
        <is>
          <t>XP_044151545.1 nuclear pore complex protein Nup155 [Bufo gargarizans]</t>
        </is>
      </c>
      <c r="M8368" t="n">
        <v>1594</v>
      </c>
      <c r="N8368" t="inlineStr">
        <is>
          <t>Bufo gargarizans</t>
        </is>
      </c>
      <c r="O8368" t="inlineStr">
        <is>
          <t>nuclear pore complex protein Nup155</t>
        </is>
      </c>
    </row>
    <row r="8369">
      <c r="A8369" t="inlineStr"/>
      <c r="B8369" t="inlineStr"/>
      <c r="C8369" t="inlineStr"/>
      <c r="D8369" t="inlineStr"/>
      <c r="E8369">
        <f>HYPERLINK("https://www.ncbi.nlm.nih.gov/gene/?term=XP_040270849.1", "XP_040270849.1")</f>
        <v/>
      </c>
      <c r="F8369" t="n">
        <v>41.3</v>
      </c>
      <c r="G8369" t="n">
        <v>184</v>
      </c>
      <c r="H8369" t="n">
        <v>1.95e-28</v>
      </c>
      <c r="I8369" t="inlineStr">
        <is>
          <t>Nr</t>
        </is>
      </c>
      <c r="J8369" t="inlineStr"/>
      <c r="K8369" t="inlineStr"/>
      <c r="L8369" t="inlineStr">
        <is>
          <t>XP_040270849.1 uncharacterized protein LOC120986377 [Bufo bufo]</t>
        </is>
      </c>
      <c r="M8369" t="n">
        <v>328</v>
      </c>
      <c r="N8369" t="inlineStr">
        <is>
          <t>Bufo bufo</t>
        </is>
      </c>
      <c r="O8369" t="inlineStr">
        <is>
          <t>uncharacterized protein LOC120986377</t>
        </is>
      </c>
    </row>
    <row r="8370">
      <c r="A8370" t="inlineStr"/>
      <c r="B8370" t="inlineStr"/>
      <c r="C8370" t="inlineStr"/>
      <c r="D8370" t="inlineStr"/>
      <c r="E8370">
        <f>HYPERLINK("https://www.ncbi.nlm.nih.gov/gene/?term=XP_040286209.1", "XP_040286209.1")</f>
        <v/>
      </c>
      <c r="F8370" t="n">
        <v>39.2</v>
      </c>
      <c r="G8370" t="n">
        <v>189</v>
      </c>
      <c r="H8370" t="n">
        <v>4.35e-28</v>
      </c>
      <c r="I8370" t="inlineStr">
        <is>
          <t>Nr</t>
        </is>
      </c>
      <c r="J8370" t="inlineStr"/>
      <c r="K8370" t="inlineStr"/>
      <c r="L8370" t="inlineStr">
        <is>
          <t>XP_040286209.1 dynein heavy chain 8, axonemal [Bufo bufo]</t>
        </is>
      </c>
      <c r="M8370" t="n">
        <v>5444</v>
      </c>
      <c r="N8370" t="inlineStr">
        <is>
          <t>Bufo bufo</t>
        </is>
      </c>
      <c r="O8370" t="inlineStr">
        <is>
          <t>dynein heavy chain 8, axonemal</t>
        </is>
      </c>
    </row>
    <row r="8371">
      <c r="A8371" t="inlineStr"/>
      <c r="B8371" t="inlineStr"/>
      <c r="C8371" t="inlineStr"/>
      <c r="D8371" t="inlineStr"/>
      <c r="E8371">
        <f>HYPERLINK("https://www.ncbi.nlm.nih.gov/gene/?term=KAE8591808.1", "KAE8591808.1")</f>
        <v/>
      </c>
      <c r="F8371" t="n">
        <v>38</v>
      </c>
      <c r="G8371" t="n">
        <v>192</v>
      </c>
      <c r="H8371" t="n">
        <v>2.29e-26</v>
      </c>
      <c r="I8371" t="inlineStr">
        <is>
          <t>Nr</t>
        </is>
      </c>
      <c r="J8371" t="inlineStr"/>
      <c r="K8371" t="inlineStr"/>
      <c r="L8371" t="inlineStr">
        <is>
          <t>KAE8591808.1 hypothetical protein XENTR_v10018578 [Xenopus tropicalis]</t>
        </is>
      </c>
      <c r="M8371" t="n">
        <v>331</v>
      </c>
      <c r="N8371" t="inlineStr">
        <is>
          <t>Xenopus tropicalis</t>
        </is>
      </c>
      <c r="O8371" t="inlineStr">
        <is>
          <t>hypothetical protein XENTR_v10018578</t>
        </is>
      </c>
    </row>
    <row r="8372">
      <c r="A8372" t="inlineStr"/>
      <c r="B8372" t="inlineStr"/>
      <c r="C8372" t="inlineStr"/>
      <c r="D8372" t="inlineStr"/>
      <c r="E8372">
        <f>HYPERLINK("https://www.uniprot.org/uniprotkb/A0A6I8SBU0/entry", "A0A6I8SBU0")</f>
        <v/>
      </c>
      <c r="F8372" t="n">
        <v>39.4</v>
      </c>
      <c r="G8372" t="n">
        <v>193</v>
      </c>
      <c r="H8372" t="n">
        <v>8.93e-26</v>
      </c>
      <c r="I8372" t="inlineStr">
        <is>
          <t>TrEMBL</t>
        </is>
      </c>
      <c r="J8372" t="inlineStr"/>
      <c r="K8372" t="inlineStr">
        <is>
          <t>A0A6I8SBU0_XENTR</t>
        </is>
      </c>
      <c r="L8372" t="inlineStr">
        <is>
          <t>tr|A0A6I8SBU0|A0A6I8SBU0_XENTR Core-binding (CB) domain-containing protein OS=Xenopus tropicalis OX=8364 PE=4 SV=2</t>
        </is>
      </c>
      <c r="M8372" t="n">
        <v>674</v>
      </c>
      <c r="N8372" t="inlineStr">
        <is>
          <t>Xenopus tropicalis</t>
        </is>
      </c>
      <c r="O8372" t="inlineStr">
        <is>
          <t>Core-binding (CB) domain-containing protein</t>
        </is>
      </c>
    </row>
    <row r="8373">
      <c r="A8373" t="inlineStr"/>
      <c r="B8373" t="inlineStr"/>
      <c r="C8373" t="inlineStr"/>
      <c r="D8373" t="inlineStr"/>
      <c r="E8373">
        <f>HYPERLINK("https://www.ncbi.nlm.nih.gov/gene/?term=KAE8576050.1", "KAE8576050.1")</f>
        <v/>
      </c>
      <c r="F8373" t="n">
        <v>39.4</v>
      </c>
      <c r="G8373" t="n">
        <v>193</v>
      </c>
      <c r="H8373" t="n">
        <v>2.28e-25</v>
      </c>
      <c r="I8373" t="inlineStr">
        <is>
          <t>Nr</t>
        </is>
      </c>
      <c r="J8373" t="inlineStr"/>
      <c r="K8373" t="inlineStr"/>
      <c r="L8373" t="inlineStr">
        <is>
          <t>KAE8576050.1 hypothetical protein XENTR_v10004031 [Xenopus tropicalis]</t>
        </is>
      </c>
      <c r="M8373" t="n">
        <v>668</v>
      </c>
      <c r="N8373" t="inlineStr">
        <is>
          <t>Xenopus tropicalis</t>
        </is>
      </c>
      <c r="O8373" t="inlineStr">
        <is>
          <t>hypothetical protein XENTR_v10004031</t>
        </is>
      </c>
    </row>
    <row r="8374">
      <c r="A8374" t="inlineStr"/>
      <c r="B8374" t="inlineStr"/>
      <c r="C8374" t="inlineStr"/>
      <c r="D8374" t="inlineStr"/>
      <c r="E8374">
        <f>HYPERLINK("https://www.uniprot.org/uniprotkb/A0A8J1MZ44/entry", "A0A8J1MZ44")</f>
        <v/>
      </c>
      <c r="F8374" t="n">
        <v>35.3</v>
      </c>
      <c r="G8374" t="n">
        <v>184</v>
      </c>
      <c r="H8374" t="n">
        <v>3.949999999999999e-24</v>
      </c>
      <c r="I8374" t="inlineStr">
        <is>
          <t>TrEMBL</t>
        </is>
      </c>
      <c r="J8374" t="inlineStr">
        <is>
          <t>LOC121403038</t>
        </is>
      </c>
      <c r="K8374" t="inlineStr">
        <is>
          <t>A0A8J1MZ44_XENLA</t>
        </is>
      </c>
      <c r="L8374" t="inlineStr">
        <is>
          <t>tr|A0A8J1MZ44|A0A8J1MZ44_XENLA ribonuclease H OS=Xenopus laevis OX=8355 GN=LOC121403038 PE=3 SV=1</t>
        </is>
      </c>
      <c r="M8374" t="n">
        <v>852</v>
      </c>
      <c r="N8374" t="inlineStr">
        <is>
          <t>Xenopus laevis</t>
        </is>
      </c>
      <c r="O8374" t="inlineStr">
        <is>
          <t>ribonuclease H</t>
        </is>
      </c>
    </row>
    <row r="8375">
      <c r="A8375" t="inlineStr"/>
      <c r="B8375" t="inlineStr"/>
      <c r="C8375" t="inlineStr"/>
      <c r="D8375" t="inlineStr"/>
      <c r="E8375">
        <f>HYPERLINK("https://www.ncbi.nlm.nih.gov/gene/?term=XP_041446270.1", "XP_041446270.1")</f>
        <v/>
      </c>
      <c r="F8375" t="n">
        <v>35.3</v>
      </c>
      <c r="G8375" t="n">
        <v>184</v>
      </c>
      <c r="H8375" t="n">
        <v>1.01e-23</v>
      </c>
      <c r="I8375" t="inlineStr">
        <is>
          <t>Nr</t>
        </is>
      </c>
      <c r="J8375" t="inlineStr"/>
      <c r="K8375" t="inlineStr"/>
      <c r="L8375" t="inlineStr">
        <is>
          <t>XP_041446270.1 uncharacterized protein LOC121403038 [Xenopus laevis]</t>
        </is>
      </c>
      <c r="M8375" t="n">
        <v>852</v>
      </c>
      <c r="N8375" t="inlineStr">
        <is>
          <t>Xenopus laevis</t>
        </is>
      </c>
      <c r="O8375" t="inlineStr">
        <is>
          <t>uncharacterized protein LOC121403038</t>
        </is>
      </c>
    </row>
    <row r="8376">
      <c r="A8376" t="inlineStr"/>
      <c r="B8376" t="inlineStr"/>
      <c r="C8376" t="inlineStr"/>
      <c r="D8376" t="inlineStr"/>
      <c r="E8376">
        <f>HYPERLINK("https://www.ncbi.nlm.nih.gov/gene/?term=XP_018432223.1", "XP_018432223.1")</f>
        <v/>
      </c>
      <c r="F8376" t="n">
        <v>37.2</v>
      </c>
      <c r="G8376" t="n">
        <v>188</v>
      </c>
      <c r="H8376" t="n">
        <v>2.85e-23</v>
      </c>
      <c r="I8376" t="inlineStr">
        <is>
          <t>Nr</t>
        </is>
      </c>
      <c r="J8376" t="inlineStr"/>
      <c r="K8376" t="inlineStr"/>
      <c r="L8376" t="inlineStr">
        <is>
          <t>XP_018432223.1 PREDICTED: gamma-tubulin complex component 6 [Nanorana parkeri]</t>
        </is>
      </c>
      <c r="M8376" t="n">
        <v>2620</v>
      </c>
      <c r="N8376" t="inlineStr">
        <is>
          <t>Nanorana parkeri</t>
        </is>
      </c>
      <c r="O8376" t="inlineStr">
        <is>
          <t>PREDICTED: gamma-tubulin complex component 6</t>
        </is>
      </c>
    </row>
    <row r="8377">
      <c r="A8377" t="inlineStr"/>
      <c r="B8377" t="inlineStr"/>
      <c r="C8377" t="inlineStr"/>
      <c r="D8377" t="inlineStr"/>
      <c r="E8377">
        <f>HYPERLINK("https://www.uniprot.org/uniprotkb/A0A8J1LAE2/entry", "A0A8J1LAE2")</f>
        <v/>
      </c>
      <c r="F8377" t="n">
        <v>34.6</v>
      </c>
      <c r="G8377" t="n">
        <v>188</v>
      </c>
      <c r="H8377" t="n">
        <v>3.19e-23</v>
      </c>
      <c r="I8377" t="inlineStr">
        <is>
          <t>TrEMBL</t>
        </is>
      </c>
      <c r="J8377" t="inlineStr">
        <is>
          <t>MGC115313</t>
        </is>
      </c>
      <c r="K8377" t="inlineStr">
        <is>
          <t>A0A8J1LAE2_XENLA</t>
        </is>
      </c>
      <c r="L8377" t="inlineStr">
        <is>
          <t>tr|A0A8J1LAE2|A0A8J1LAE2_XENLA uncharacterized protein LOC734383 isoform X1 OS=Xenopus laevis OX=8355 GN=MGC115313 PE=4 SV=1</t>
        </is>
      </c>
      <c r="M8377" t="n">
        <v>393</v>
      </c>
      <c r="N8377" t="inlineStr">
        <is>
          <t>Xenopus laevis</t>
        </is>
      </c>
      <c r="O8377" t="inlineStr">
        <is>
          <t>uncharacterized protein LOC734383 isoform X1</t>
        </is>
      </c>
    </row>
    <row r="8378">
      <c r="A8378" t="inlineStr"/>
      <c r="B8378" t="inlineStr"/>
      <c r="C8378" t="inlineStr"/>
      <c r="D8378" t="inlineStr"/>
      <c r="E8378">
        <f>HYPERLINK("https://www.uniprot.org/uniprotkb/A0A8J1M3F4/entry", "A0A8J1M3F4")</f>
        <v/>
      </c>
      <c r="F8378" t="n">
        <v>38.2</v>
      </c>
      <c r="G8378" t="n">
        <v>191</v>
      </c>
      <c r="H8378" t="n">
        <v>3.24e-23</v>
      </c>
      <c r="I8378" t="inlineStr">
        <is>
          <t>TrEMBL</t>
        </is>
      </c>
      <c r="J8378" t="inlineStr">
        <is>
          <t>LOC121399363</t>
        </is>
      </c>
      <c r="K8378" t="inlineStr">
        <is>
          <t>A0A8J1M3F4_XENLA</t>
        </is>
      </c>
      <c r="L8378" t="inlineStr">
        <is>
          <t>tr|A0A8J1M3F4|A0A8J1M3F4_XENLA uncharacterized protein LOC121399363 OS=Xenopus laevis OX=8355 GN=LOC121399363 PE=4 SV=1</t>
        </is>
      </c>
      <c r="M8378" t="n">
        <v>682</v>
      </c>
      <c r="N8378" t="inlineStr">
        <is>
          <t>Xenopus laevis</t>
        </is>
      </c>
      <c r="O8378" t="inlineStr">
        <is>
          <t>uncharacterized protein LOC121399363</t>
        </is>
      </c>
    </row>
    <row r="8379">
      <c r="A8379" t="inlineStr"/>
      <c r="B8379" t="inlineStr"/>
      <c r="C8379" t="inlineStr"/>
      <c r="D8379" t="inlineStr"/>
      <c r="E8379">
        <f>HYPERLINK("https://www.uniprot.org/uniprotkb/A0A8J1LVD3/entry", "A0A8J1LVD3")</f>
        <v/>
      </c>
      <c r="F8379" t="n">
        <v>32.5</v>
      </c>
      <c r="G8379" t="n">
        <v>197</v>
      </c>
      <c r="H8379" t="n">
        <v>5.02e-23</v>
      </c>
      <c r="I8379" t="inlineStr">
        <is>
          <t>TrEMBL</t>
        </is>
      </c>
      <c r="J8379" t="inlineStr">
        <is>
          <t>LOC121398305</t>
        </is>
      </c>
      <c r="K8379" t="inlineStr">
        <is>
          <t>A0A8J1LVD3_XENLA</t>
        </is>
      </c>
      <c r="L8379" t="inlineStr">
        <is>
          <t>tr|A0A8J1LVD3|A0A8J1LVD3_XENLA uncharacterized protein LOC121398305 OS=Xenopus laevis OX=8355 GN=LOC121398305 PE=4 SV=1</t>
        </is>
      </c>
      <c r="M8379" t="n">
        <v>485</v>
      </c>
      <c r="N8379" t="inlineStr">
        <is>
          <t>Xenopus laevis</t>
        </is>
      </c>
      <c r="O8379" t="inlineStr">
        <is>
          <t>uncharacterized protein LOC121398305</t>
        </is>
      </c>
    </row>
    <row r="8380">
      <c r="A8380" t="inlineStr"/>
      <c r="B8380" t="inlineStr"/>
      <c r="C8380" t="inlineStr"/>
      <c r="D8380" t="inlineStr"/>
      <c r="E8380">
        <f>HYPERLINK("https://www.ncbi.nlm.nih.gov/gene/?term=XP_041426492.1", "XP_041426492.1")</f>
        <v/>
      </c>
      <c r="F8380" t="n">
        <v>34.6</v>
      </c>
      <c r="G8380" t="n">
        <v>188</v>
      </c>
      <c r="H8380" t="n">
        <v>8.199999999999999e-23</v>
      </c>
      <c r="I8380" t="inlineStr">
        <is>
          <t>Nr</t>
        </is>
      </c>
      <c r="J8380" t="inlineStr"/>
      <c r="K8380" t="inlineStr"/>
      <c r="L8380" t="inlineStr">
        <is>
          <t>XP_041426492.1 uncharacterized protein LOC734383 isoform X1 [Xenopus laevis]</t>
        </is>
      </c>
      <c r="M8380" t="n">
        <v>393</v>
      </c>
      <c r="N8380" t="inlineStr">
        <is>
          <t>Xenopus laevis</t>
        </is>
      </c>
      <c r="O8380" t="inlineStr">
        <is>
          <t>uncharacterized protein LOC734383 isoform X1</t>
        </is>
      </c>
    </row>
    <row r="8381">
      <c r="A8381" t="inlineStr"/>
      <c r="B8381" t="inlineStr"/>
      <c r="C8381" t="inlineStr"/>
      <c r="D8381" t="inlineStr"/>
      <c r="E8381">
        <f>HYPERLINK("https://www.ncbi.nlm.nih.gov/gene/?term=XP_041435826.1", "XP_041435826.1")</f>
        <v/>
      </c>
      <c r="F8381" t="n">
        <v>38.2</v>
      </c>
      <c r="G8381" t="n">
        <v>191</v>
      </c>
      <c r="H8381" t="n">
        <v>8.329999999999999e-23</v>
      </c>
      <c r="I8381" t="inlineStr">
        <is>
          <t>Nr</t>
        </is>
      </c>
      <c r="J8381" t="inlineStr"/>
      <c r="K8381" t="inlineStr"/>
      <c r="L8381" t="inlineStr">
        <is>
          <t>XP_041435826.1 uncharacterized protein LOC121399363 [Xenopus laevis]</t>
        </is>
      </c>
      <c r="M8381" t="n">
        <v>682</v>
      </c>
      <c r="N8381" t="inlineStr">
        <is>
          <t>Xenopus laevis</t>
        </is>
      </c>
      <c r="O8381" t="inlineStr">
        <is>
          <t>uncharacterized protein LOC121399363</t>
        </is>
      </c>
    </row>
    <row r="8382">
      <c r="A8382" t="inlineStr"/>
      <c r="B8382" t="inlineStr"/>
      <c r="C8382" t="inlineStr"/>
      <c r="D8382" t="inlineStr"/>
      <c r="E8382">
        <f>HYPERLINK("https://www.ncbi.nlm.nih.gov/gene/?term=XP_041433304.1", "XP_041433304.1")</f>
        <v/>
      </c>
      <c r="F8382" t="n">
        <v>32.5</v>
      </c>
      <c r="G8382" t="n">
        <v>197</v>
      </c>
      <c r="H8382" t="n">
        <v>1.29e-22</v>
      </c>
      <c r="I8382" t="inlineStr">
        <is>
          <t>Nr</t>
        </is>
      </c>
      <c r="J8382" t="inlineStr"/>
      <c r="K8382" t="inlineStr"/>
      <c r="L8382" t="inlineStr">
        <is>
          <t>XP_041433304.1 uncharacterized protein LOC121398305 [Xenopus laevis]</t>
        </is>
      </c>
      <c r="M8382" t="n">
        <v>485</v>
      </c>
      <c r="N8382" t="inlineStr">
        <is>
          <t>Xenopus laevis</t>
        </is>
      </c>
      <c r="O8382" t="inlineStr">
        <is>
          <t>uncharacterized protein LOC121398305</t>
        </is>
      </c>
    </row>
    <row r="8383">
      <c r="A8383" t="inlineStr"/>
      <c r="B8383" t="inlineStr"/>
      <c r="C8383" t="inlineStr"/>
      <c r="D8383" t="inlineStr"/>
      <c r="E8383">
        <f>HYPERLINK("https://www.uniprot.org/uniprotkb/A0A8J1M8F0/entry", "A0A8J1M8F0")</f>
        <v/>
      </c>
      <c r="F8383" t="n">
        <v>34.5</v>
      </c>
      <c r="G8383" t="n">
        <v>197</v>
      </c>
      <c r="H8383" t="n">
        <v>1.71e-21</v>
      </c>
      <c r="I8383" t="inlineStr">
        <is>
          <t>TrEMBL</t>
        </is>
      </c>
      <c r="J8383" t="inlineStr">
        <is>
          <t>pfkfb2.L</t>
        </is>
      </c>
      <c r="K8383" t="inlineStr">
        <is>
          <t>A0A8J1M8F0_XENLA</t>
        </is>
      </c>
      <c r="L8383" t="inlineStr">
        <is>
          <t>tr|A0A8J1M8F0|A0A8J1M8F0_XENLA ribonuclease H OS=Xenopus laevis OX=8355 GN=pfkfb2.L PE=3 SV=1</t>
        </is>
      </c>
      <c r="M8383" t="n">
        <v>615</v>
      </c>
      <c r="N8383" t="inlineStr">
        <is>
          <t>Xenopus laevis</t>
        </is>
      </c>
      <c r="O8383" t="inlineStr">
        <is>
          <t>ribonuclease H</t>
        </is>
      </c>
    </row>
    <row r="8384">
      <c r="A8384" t="inlineStr"/>
      <c r="B8384" t="inlineStr"/>
      <c r="C8384" t="inlineStr"/>
      <c r="D8384" t="inlineStr"/>
      <c r="E8384">
        <f>HYPERLINK("https://www.ncbi.nlm.nih.gov/gene/?term=XP_041437982.1", "XP_041437982.1")</f>
        <v/>
      </c>
      <c r="F8384" t="n">
        <v>34.5</v>
      </c>
      <c r="G8384" t="n">
        <v>197</v>
      </c>
      <c r="H8384" t="n">
        <v>4.4e-21</v>
      </c>
      <c r="I8384" t="inlineStr">
        <is>
          <t>Nr</t>
        </is>
      </c>
      <c r="J8384" t="inlineStr"/>
      <c r="K8384" t="inlineStr"/>
      <c r="L8384" t="inlineStr">
        <is>
          <t>XP_041437982.1 uncharacterized protein pfkfb2.L isoform X1 [Xenopus laevis]</t>
        </is>
      </c>
      <c r="M8384" t="n">
        <v>615</v>
      </c>
      <c r="N8384" t="inlineStr">
        <is>
          <t>Xenopus laevis</t>
        </is>
      </c>
      <c r="O8384" t="inlineStr">
        <is>
          <t>uncharacterized protein pfkfb2.L isoform X1</t>
        </is>
      </c>
    </row>
    <row r="8385">
      <c r="A8385" t="inlineStr"/>
      <c r="B8385" t="inlineStr"/>
      <c r="C8385" t="inlineStr"/>
      <c r="D8385" t="inlineStr"/>
      <c r="E8385">
        <f>HYPERLINK("https://www.uniprot.org/uniprotkb/A0A8J1KMD2/entry", "A0A8J1KMD2")</f>
        <v/>
      </c>
      <c r="F8385" t="n">
        <v>34.2</v>
      </c>
      <c r="G8385" t="n">
        <v>196</v>
      </c>
      <c r="H8385" t="n">
        <v>1.72e-18</v>
      </c>
      <c r="I8385" t="inlineStr">
        <is>
          <t>TrEMBL</t>
        </is>
      </c>
      <c r="J8385" t="inlineStr">
        <is>
          <t>LOC121393601</t>
        </is>
      </c>
      <c r="K8385" t="inlineStr">
        <is>
          <t>A0A8J1KMD2_XENLA</t>
        </is>
      </c>
      <c r="L8385" t="inlineStr">
        <is>
          <t>tr|A0A8J1KMD2|A0A8J1KMD2_XENLA ribonuclease H OS=Xenopus laevis OX=8355 GN=LOC121393601 PE=3 SV=1</t>
        </is>
      </c>
      <c r="M8385" t="n">
        <v>1091</v>
      </c>
      <c r="N8385" t="inlineStr">
        <is>
          <t>Xenopus laevis</t>
        </is>
      </c>
      <c r="O8385" t="inlineStr">
        <is>
          <t>ribonuclease H</t>
        </is>
      </c>
    </row>
    <row r="8386">
      <c r="A8386" t="inlineStr"/>
      <c r="B8386" t="inlineStr"/>
      <c r="C8386" t="inlineStr"/>
      <c r="D8386" t="inlineStr"/>
      <c r="E8386">
        <f>HYPERLINK("https://www.ncbi.nlm.nih.gov/gene/?term=XP_041418470.1", "XP_041418470.1")</f>
        <v/>
      </c>
      <c r="F8386" t="n">
        <v>34.2</v>
      </c>
      <c r="G8386" t="n">
        <v>196</v>
      </c>
      <c r="H8386" t="n">
        <v>4.42e-18</v>
      </c>
      <c r="I8386" t="inlineStr">
        <is>
          <t>Nr</t>
        </is>
      </c>
      <c r="J8386" t="inlineStr"/>
      <c r="K8386" t="inlineStr"/>
      <c r="L8386" t="inlineStr">
        <is>
          <t>XP_041418470.1 uncharacterized protein LOC121393601 [Xenopus laevis]</t>
        </is>
      </c>
      <c r="M8386" t="n">
        <v>1091</v>
      </c>
      <c r="N8386" t="inlineStr">
        <is>
          <t>Xenopus laevis</t>
        </is>
      </c>
      <c r="O8386" t="inlineStr">
        <is>
          <t>uncharacterized protein LOC121393601</t>
        </is>
      </c>
    </row>
    <row r="8387">
      <c r="A8387" t="inlineStr"/>
      <c r="B8387" t="inlineStr"/>
      <c r="C8387" t="inlineStr"/>
      <c r="D8387" t="inlineStr"/>
      <c r="E8387">
        <f>HYPERLINK("https://www.ncbi.nlm.nih.gov/gene/?term=KAE8617332.1", "KAE8617332.1")</f>
        <v/>
      </c>
      <c r="F8387" t="n">
        <v>33.7</v>
      </c>
      <c r="G8387" t="n">
        <v>184</v>
      </c>
      <c r="H8387" t="n">
        <v>1.11e-17</v>
      </c>
      <c r="I8387" t="inlineStr">
        <is>
          <t>Nr</t>
        </is>
      </c>
      <c r="J8387" t="inlineStr"/>
      <c r="K8387" t="inlineStr"/>
      <c r="L8387" t="inlineStr">
        <is>
          <t>KAE8617332.1 hypothetical protein XENTR_v10009038 [Xenopus tropicalis]</t>
        </is>
      </c>
      <c r="M8387" t="n">
        <v>413</v>
      </c>
      <c r="N8387" t="inlineStr">
        <is>
          <t>Xenopus tropicalis</t>
        </is>
      </c>
      <c r="O8387" t="inlineStr">
        <is>
          <t>hypothetical protein XENTR_v10009038</t>
        </is>
      </c>
    </row>
    <row r="8388">
      <c r="A8388" t="inlineStr"/>
      <c r="B8388" t="inlineStr"/>
      <c r="C8388" t="inlineStr"/>
      <c r="D8388" t="inlineStr"/>
      <c r="E8388">
        <f>HYPERLINK("https://www.ncbi.nlm.nih.gov/gene/?term=XP_042315084.1", "XP_042315084.1")</f>
        <v/>
      </c>
      <c r="F8388" t="n">
        <v>33.5</v>
      </c>
      <c r="G8388" t="n">
        <v>188</v>
      </c>
      <c r="H8388" t="n">
        <v>1.99e-15</v>
      </c>
      <c r="I8388" t="inlineStr">
        <is>
          <t>Nr</t>
        </is>
      </c>
      <c r="J8388" t="inlineStr"/>
      <c r="K8388" t="inlineStr"/>
      <c r="L8388" t="inlineStr">
        <is>
          <t>XP_042315084.1 uncharacterized protein LOC121926295 [Sceloporus undulatus]</t>
        </is>
      </c>
      <c r="M8388" t="n">
        <v>440</v>
      </c>
      <c r="N8388" t="inlineStr">
        <is>
          <t>Sceloporus undulatus</t>
        </is>
      </c>
      <c r="O8388" t="inlineStr">
        <is>
          <t>uncharacterized protein LOC121926295</t>
        </is>
      </c>
    </row>
    <row r="8389">
      <c r="A8389" t="inlineStr"/>
      <c r="B8389" t="inlineStr"/>
      <c r="C8389" t="inlineStr"/>
      <c r="D8389" t="inlineStr"/>
      <c r="E8389">
        <f>HYPERLINK("https://www.uniprot.org/uniprotkb/A0A8J1LMV4/entry", "A0A8J1LMV4")</f>
        <v/>
      </c>
      <c r="F8389" t="n">
        <v>38.1</v>
      </c>
      <c r="G8389" t="n">
        <v>155</v>
      </c>
      <c r="H8389" t="n">
        <v>7.29e-15</v>
      </c>
      <c r="I8389" t="inlineStr">
        <is>
          <t>TrEMBL</t>
        </is>
      </c>
      <c r="J8389" t="inlineStr">
        <is>
          <t>LOC108699997</t>
        </is>
      </c>
      <c r="K8389" t="inlineStr">
        <is>
          <t>A0A8J1LMV4_XENLA</t>
        </is>
      </c>
      <c r="L8389" t="inlineStr">
        <is>
          <t>tr|A0A8J1LMV4|A0A8J1LMV4_XENLA uncharacterized protein LOC108699997 OS=Xenopus laevis OX=8355 GN=LOC108699997 PE=4 SV=1</t>
        </is>
      </c>
      <c r="M8389" t="n">
        <v>448</v>
      </c>
      <c r="N8389" t="inlineStr">
        <is>
          <t>Xenopus laevis</t>
        </is>
      </c>
      <c r="O8389" t="inlineStr">
        <is>
          <t>uncharacterized protein LOC108699997</t>
        </is>
      </c>
    </row>
    <row r="8390">
      <c r="A8390" t="inlineStr"/>
      <c r="B8390" t="inlineStr"/>
      <c r="C8390" t="inlineStr"/>
      <c r="D8390" t="inlineStr"/>
      <c r="E8390">
        <f>HYPERLINK("https://www.uniprot.org/uniprotkb/A0A1W7RDQ0/entry", "A0A1W7RDQ0")</f>
        <v/>
      </c>
      <c r="F8390" t="n">
        <v>32.4</v>
      </c>
      <c r="G8390" t="n">
        <v>185</v>
      </c>
      <c r="H8390" t="n">
        <v>1.13e-14</v>
      </c>
      <c r="I8390" t="inlineStr">
        <is>
          <t>TrEMBL</t>
        </is>
      </c>
      <c r="J8390" t="inlineStr"/>
      <c r="K8390" t="inlineStr">
        <is>
          <t>A0A1W7RDQ0_AGKCO</t>
        </is>
      </c>
      <c r="L8390" t="inlineStr">
        <is>
          <t>tr|A0A1W7RDQ0|A0A1W7RDQ0_AGKCO ribonuclease H OS=Agkistrodon contortrix contortrix OX=8713 PE=3 SV=1</t>
        </is>
      </c>
      <c r="M8390" t="n">
        <v>567</v>
      </c>
      <c r="N8390" t="inlineStr">
        <is>
          <t>Agkistrodon contortrix contortrix</t>
        </is>
      </c>
      <c r="O8390" t="inlineStr">
        <is>
          <t>ribonuclease H</t>
        </is>
      </c>
    </row>
    <row r="8391">
      <c r="A8391" t="inlineStr"/>
      <c r="B8391" t="inlineStr"/>
      <c r="C8391" t="inlineStr"/>
      <c r="D8391" t="inlineStr"/>
      <c r="E8391">
        <f>HYPERLINK("https://www.ncbi.nlm.nih.gov/gene/?term=XP_041430852.1", "XP_041430852.1")</f>
        <v/>
      </c>
      <c r="F8391" t="n">
        <v>38.1</v>
      </c>
      <c r="G8391" t="n">
        <v>155</v>
      </c>
      <c r="H8391" t="n">
        <v>1.87e-14</v>
      </c>
      <c r="I8391" t="inlineStr">
        <is>
          <t>Nr</t>
        </is>
      </c>
      <c r="J8391" t="inlineStr"/>
      <c r="K8391" t="inlineStr"/>
      <c r="L8391" t="inlineStr">
        <is>
          <t>XP_041430852.1 uncharacterized protein LOC108699997 [Xenopus laevis]</t>
        </is>
      </c>
      <c r="M8391" t="n">
        <v>448</v>
      </c>
      <c r="N8391" t="inlineStr">
        <is>
          <t>Xenopus laevis</t>
        </is>
      </c>
      <c r="O8391" t="inlineStr">
        <is>
          <t>uncharacterized protein LOC108699997</t>
        </is>
      </c>
    </row>
    <row r="8392">
      <c r="A8392" t="inlineStr"/>
      <c r="B8392" t="inlineStr"/>
      <c r="C8392" t="inlineStr"/>
      <c r="D8392" t="inlineStr"/>
      <c r="E8392">
        <f>HYPERLINK("https://www.uniprot.org/uniprotkb/A0A6P9ANZ3/entry", "A0A6P9ANZ3")</f>
        <v/>
      </c>
      <c r="F8392" t="n">
        <v>34.4</v>
      </c>
      <c r="G8392" t="n">
        <v>192</v>
      </c>
      <c r="H8392" t="n">
        <v>5.65e-14</v>
      </c>
      <c r="I8392" t="inlineStr">
        <is>
          <t>TrEMBL</t>
        </is>
      </c>
      <c r="J8392" t="inlineStr">
        <is>
          <t>LOC117655422</t>
        </is>
      </c>
      <c r="K8392" t="inlineStr">
        <is>
          <t>A0A6P9ANZ3_PANGU</t>
        </is>
      </c>
      <c r="L8392" t="inlineStr">
        <is>
          <t>tr|A0A6P9ANZ3|A0A6P9ANZ3_PANGU uncharacterized protein LOC117655422 OS=Pantherophis guttatus OX=94885 GN=LOC117655422 PE=4 SV=1</t>
        </is>
      </c>
      <c r="M8392" t="n">
        <v>413</v>
      </c>
      <c r="N8392" t="inlineStr">
        <is>
          <t>Pantherophis guttatus</t>
        </is>
      </c>
      <c r="O8392" t="inlineStr">
        <is>
          <t>uncharacterized protein LOC117655422</t>
        </is>
      </c>
    </row>
    <row r="8393">
      <c r="A8393" t="inlineStr"/>
      <c r="B8393" t="inlineStr"/>
      <c r="C8393" t="inlineStr"/>
      <c r="D8393" t="inlineStr"/>
      <c r="E8393">
        <f>HYPERLINK("https://www.uniprot.org/uniprotkb/A0A8J1MVQ6/entry", "A0A8J1MVQ6")</f>
        <v/>
      </c>
      <c r="F8393" t="n">
        <v>38.7</v>
      </c>
      <c r="G8393" t="n">
        <v>119</v>
      </c>
      <c r="H8393" t="n">
        <v>6.7e-14</v>
      </c>
      <c r="I8393" t="inlineStr">
        <is>
          <t>TrEMBL</t>
        </is>
      </c>
      <c r="J8393" t="inlineStr">
        <is>
          <t>LOC108714053</t>
        </is>
      </c>
      <c r="K8393" t="inlineStr">
        <is>
          <t>A0A8J1MVQ6_XENLA</t>
        </is>
      </c>
      <c r="L8393" t="inlineStr">
        <is>
          <t>tr|A0A8J1MVQ6|A0A8J1MVQ6_XENLA ribonuclease H OS=Xenopus laevis OX=8355 GN=LOC108714053 PE=3 SV=1</t>
        </is>
      </c>
      <c r="M8393" t="n">
        <v>951</v>
      </c>
      <c r="N8393" t="inlineStr">
        <is>
          <t>Xenopus laevis</t>
        </is>
      </c>
      <c r="O8393" t="inlineStr">
        <is>
          <t>ribonuclease H</t>
        </is>
      </c>
    </row>
    <row r="8394">
      <c r="A8394" t="inlineStr"/>
      <c r="B8394" t="inlineStr"/>
      <c r="C8394" t="inlineStr"/>
      <c r="D8394" t="inlineStr"/>
      <c r="E8394">
        <f>HYPERLINK("https://www.ncbi.nlm.nih.gov/gene/?term=XP_034258760.1", "XP_034258760.1")</f>
        <v/>
      </c>
      <c r="F8394" t="n">
        <v>34.4</v>
      </c>
      <c r="G8394" t="n">
        <v>192</v>
      </c>
      <c r="H8394" t="n">
        <v>1.45e-13</v>
      </c>
      <c r="I8394" t="inlineStr">
        <is>
          <t>Nr</t>
        </is>
      </c>
      <c r="J8394" t="inlineStr"/>
      <c r="K8394" t="inlineStr"/>
      <c r="L8394" t="inlineStr">
        <is>
          <t>XP_034258760.1 uncharacterized protein LOC117655422 [Pantherophis guttatus]</t>
        </is>
      </c>
      <c r="M8394" t="n">
        <v>413</v>
      </c>
      <c r="N8394" t="inlineStr">
        <is>
          <t>Pantherophis guttatus</t>
        </is>
      </c>
      <c r="O8394" t="inlineStr">
        <is>
          <t>uncharacterized protein LOC117655422</t>
        </is>
      </c>
    </row>
    <row r="8395">
      <c r="A8395" t="inlineStr"/>
      <c r="B8395" t="inlineStr"/>
      <c r="C8395" t="inlineStr"/>
      <c r="D8395" t="inlineStr"/>
      <c r="E8395">
        <f>HYPERLINK("https://www.uniprot.org/uniprotkb/A0A6P9BY85/entry", "A0A6P9BY85")</f>
        <v/>
      </c>
      <c r="F8395" t="n">
        <v>30.9</v>
      </c>
      <c r="G8395" t="n">
        <v>181</v>
      </c>
      <c r="H8395" t="n">
        <v>1.49e-13</v>
      </c>
      <c r="I8395" t="inlineStr">
        <is>
          <t>TrEMBL</t>
        </is>
      </c>
      <c r="J8395" t="inlineStr">
        <is>
          <t>MAP3K3</t>
        </is>
      </c>
      <c r="K8395" t="inlineStr">
        <is>
          <t>A0A6P9BY85_PANGU</t>
        </is>
      </c>
      <c r="L8395" t="inlineStr">
        <is>
          <t>tr|A0A6P9BY85|A0A6P9BY85_PANGU mitogen-activated protein kinase kinase kinase 3 OS=Pantherophis guttatus OX=94885 GN=MAP3K3 PE=4 SV=1</t>
        </is>
      </c>
      <c r="M8395" t="n">
        <v>1051</v>
      </c>
      <c r="N8395" t="inlineStr">
        <is>
          <t>Pantherophis guttatus</t>
        </is>
      </c>
      <c r="O8395" t="inlineStr">
        <is>
          <t>mitogen-activated protein kinase kinase kinase 3</t>
        </is>
      </c>
    </row>
    <row r="8396">
      <c r="A8396" t="inlineStr"/>
      <c r="B8396" t="inlineStr"/>
      <c r="C8396" t="inlineStr"/>
      <c r="D8396" t="inlineStr"/>
      <c r="E8396">
        <f>HYPERLINK("https://www.ncbi.nlm.nih.gov/gene/?term=XP_041445393.1", "XP_041445393.1")</f>
        <v/>
      </c>
      <c r="F8396" t="n">
        <v>38.7</v>
      </c>
      <c r="G8396" t="n">
        <v>119</v>
      </c>
      <c r="H8396" t="n">
        <v>1.72e-13</v>
      </c>
      <c r="I8396" t="inlineStr">
        <is>
          <t>Nr</t>
        </is>
      </c>
      <c r="J8396" t="inlineStr"/>
      <c r="K8396" t="inlineStr"/>
      <c r="L8396" t="inlineStr">
        <is>
          <t>XP_041445393.1 uncharacterized protein LOC108714053 isoform X1 [Xenopus laevis]</t>
        </is>
      </c>
      <c r="M8396" t="n">
        <v>951</v>
      </c>
      <c r="N8396" t="inlineStr">
        <is>
          <t>Xenopus laevis</t>
        </is>
      </c>
      <c r="O8396" t="inlineStr">
        <is>
          <t>uncharacterized protein LOC108714053 isoform X1</t>
        </is>
      </c>
    </row>
    <row r="8397">
      <c r="A8397" t="inlineStr"/>
      <c r="B8397" t="inlineStr"/>
      <c r="C8397" t="inlineStr"/>
      <c r="D8397" t="inlineStr"/>
      <c r="E8397">
        <f>HYPERLINK("https://www.uniprot.org/uniprotkb/A0A0B1TFB7/entry", "A0A0B1TFB7")</f>
        <v/>
      </c>
      <c r="F8397" t="n">
        <v>35.8</v>
      </c>
      <c r="G8397" t="n">
        <v>201</v>
      </c>
      <c r="H8397" t="n">
        <v>1.94e-13</v>
      </c>
      <c r="I8397" t="inlineStr">
        <is>
          <t>TrEMBL</t>
        </is>
      </c>
      <c r="J8397" t="inlineStr">
        <is>
          <t>OESDEN_05265</t>
        </is>
      </c>
      <c r="K8397" t="inlineStr">
        <is>
          <t>A0A0B1TFB7_OESDE</t>
        </is>
      </c>
      <c r="L8397" t="inlineStr">
        <is>
          <t>tr|A0A0B1TFB7|A0A0B1TFB7_OESDE Reverse transcriptase OS=Oesophagostomum dentatum OX=61180 GN=OESDEN_05265 PE=4 SV=1</t>
        </is>
      </c>
      <c r="M8397" t="n">
        <v>782</v>
      </c>
      <c r="N8397" t="inlineStr">
        <is>
          <t>Oesophagostomum dentatum</t>
        </is>
      </c>
      <c r="O8397" t="inlineStr">
        <is>
          <t>Reverse transcriptase</t>
        </is>
      </c>
    </row>
    <row r="8398">
      <c r="A8398" t="inlineStr"/>
      <c r="B8398" t="inlineStr"/>
      <c r="C8398" t="inlineStr"/>
      <c r="D8398" t="inlineStr"/>
      <c r="E8398">
        <f>HYPERLINK("https://www.uniprot.org/uniprotkb/A0A6P9B2X4/entry", "A0A6P9B2X4")</f>
        <v/>
      </c>
      <c r="F8398" t="n">
        <v>33.9</v>
      </c>
      <c r="G8398" t="n">
        <v>192</v>
      </c>
      <c r="H8398" t="n">
        <v>2.75e-13</v>
      </c>
      <c r="I8398" t="inlineStr">
        <is>
          <t>TrEMBL</t>
        </is>
      </c>
      <c r="J8398" t="inlineStr">
        <is>
          <t>LOC117658467</t>
        </is>
      </c>
      <c r="K8398" t="inlineStr">
        <is>
          <t>A0A6P9B2X4_PANGU</t>
        </is>
      </c>
      <c r="L8398" t="inlineStr">
        <is>
          <t>tr|A0A6P9B2X4|A0A6P9B2X4_PANGU uncharacterized protein LOC117658467 OS=Pantherophis guttatus OX=94885 GN=LOC117658467 PE=4 SV=1</t>
        </is>
      </c>
      <c r="M8398" t="n">
        <v>420</v>
      </c>
      <c r="N8398" t="inlineStr">
        <is>
          <t>Pantherophis guttatus</t>
        </is>
      </c>
      <c r="O8398" t="inlineStr">
        <is>
          <t>uncharacterized protein LOC117658467</t>
        </is>
      </c>
    </row>
    <row r="8399">
      <c r="A8399" t="inlineStr"/>
      <c r="B8399" t="inlineStr"/>
      <c r="C8399" t="inlineStr"/>
      <c r="D8399" t="inlineStr"/>
      <c r="E8399">
        <f>HYPERLINK("https://www.ncbi.nlm.nih.gov/gene/?term=OCT79967.1", "OCT79967.1")</f>
        <v/>
      </c>
      <c r="F8399" t="n">
        <v>50</v>
      </c>
      <c r="G8399" t="n">
        <v>74</v>
      </c>
      <c r="H8399" t="n">
        <v>3.03e-13</v>
      </c>
      <c r="I8399" t="inlineStr">
        <is>
          <t>Nr</t>
        </is>
      </c>
      <c r="J8399" t="inlineStr"/>
      <c r="K8399" t="inlineStr"/>
      <c r="L8399" t="inlineStr">
        <is>
          <t>OCT79967.1 hypothetical protein XELAEV_18026783mg [Xenopus laevis]</t>
        </is>
      </c>
      <c r="M8399" t="n">
        <v>153</v>
      </c>
      <c r="N8399" t="inlineStr">
        <is>
          <t>Xenopus laevis</t>
        </is>
      </c>
      <c r="O8399" t="inlineStr">
        <is>
          <t>hypothetical protein XELAEV_18026783mg</t>
        </is>
      </c>
    </row>
    <row r="8400">
      <c r="A8400" t="inlineStr"/>
      <c r="B8400" t="inlineStr"/>
      <c r="C8400" t="inlineStr"/>
      <c r="D8400" t="inlineStr"/>
      <c r="E8400">
        <f>HYPERLINK("https://www.uniprot.org/uniprotkb/A0A2D4EJC9/entry", "A0A2D4EJC9")</f>
        <v/>
      </c>
      <c r="F8400" t="n">
        <v>31.2</v>
      </c>
      <c r="G8400" t="n">
        <v>186</v>
      </c>
      <c r="H8400" t="n">
        <v>3.35e-13</v>
      </c>
      <c r="I8400" t="inlineStr">
        <is>
          <t>TrEMBL</t>
        </is>
      </c>
      <c r="J8400" t="inlineStr"/>
      <c r="K8400" t="inlineStr">
        <is>
          <t>A0A2D4EJC9_MICCO</t>
        </is>
      </c>
      <c r="L8400" t="inlineStr">
        <is>
          <t>tr|A0A2D4EJC9|A0A2D4EJC9_MICCO ribonuclease H (Fragment) OS=Micrurus corallinus OX=54390 PE=3 SV=1</t>
        </is>
      </c>
      <c r="M8400" t="n">
        <v>580</v>
      </c>
      <c r="N8400" t="inlineStr">
        <is>
          <t>Micrurus corallinus</t>
        </is>
      </c>
      <c r="O8400" t="inlineStr">
        <is>
          <t>ribonuclease H (Fragment)</t>
        </is>
      </c>
    </row>
    <row r="8401">
      <c r="A8401" t="inlineStr"/>
      <c r="B8401" t="inlineStr"/>
      <c r="C8401" t="inlineStr"/>
      <c r="D8401" t="inlineStr"/>
      <c r="E8401">
        <f>HYPERLINK("https://www.ncbi.nlm.nih.gov/gene/?term=XP_034272445.1", "XP_034272445.1")</f>
        <v/>
      </c>
      <c r="F8401" t="n">
        <v>30.9</v>
      </c>
      <c r="G8401" t="n">
        <v>181</v>
      </c>
      <c r="H8401" t="n">
        <v>3.83e-13</v>
      </c>
      <c r="I8401" t="inlineStr">
        <is>
          <t>Nr</t>
        </is>
      </c>
      <c r="J8401" t="inlineStr"/>
      <c r="K8401" t="inlineStr"/>
      <c r="L8401" t="inlineStr">
        <is>
          <t>XP_034272445.1 mitogen-activated protein kinase kinase kinase 3 [Pantherophis guttatus]</t>
        </is>
      </c>
      <c r="M8401" t="n">
        <v>1051</v>
      </c>
      <c r="N8401" t="inlineStr">
        <is>
          <t>Pantherophis guttatus</t>
        </is>
      </c>
      <c r="O8401" t="inlineStr">
        <is>
          <t>mitogen-activated protein kinase kinase kinase 3</t>
        </is>
      </c>
    </row>
    <row r="8402">
      <c r="A8402" t="inlineStr"/>
      <c r="B8402" t="inlineStr"/>
      <c r="C8402" t="inlineStr"/>
      <c r="D8402" t="inlineStr"/>
      <c r="E8402">
        <f>HYPERLINK("https://www.ncbi.nlm.nih.gov/gene/?term=XP_039904294.1", "XP_039904294.1")</f>
        <v/>
      </c>
      <c r="F8402" t="n">
        <v>31.9</v>
      </c>
      <c r="G8402" t="n">
        <v>182</v>
      </c>
      <c r="H8402" t="n">
        <v>4.67e-13</v>
      </c>
      <c r="I8402" t="inlineStr">
        <is>
          <t>Nr</t>
        </is>
      </c>
      <c r="J8402" t="inlineStr"/>
      <c r="K8402" t="inlineStr"/>
      <c r="L8402" t="inlineStr">
        <is>
          <t>XP_039904294.1 uncharacterized protein LOC120744181 [Simochromis diagramma]</t>
        </is>
      </c>
      <c r="M8402" t="n">
        <v>586</v>
      </c>
      <c r="N8402" t="inlineStr">
        <is>
          <t>Simochromis diagramma</t>
        </is>
      </c>
      <c r="O8402" t="inlineStr">
        <is>
          <t>uncharacterized protein LOC120744181</t>
        </is>
      </c>
    </row>
    <row r="8403">
      <c r="A8403" t="inlineStr"/>
      <c r="B8403" t="inlineStr"/>
      <c r="C8403" t="inlineStr"/>
      <c r="D8403" t="inlineStr"/>
      <c r="E8403">
        <f>HYPERLINK("https://www.ncbi.nlm.nih.gov/gene/?term=KHJ94801.1", "KHJ94801.1")</f>
        <v/>
      </c>
      <c r="F8403" t="n">
        <v>35.8</v>
      </c>
      <c r="G8403" t="n">
        <v>201</v>
      </c>
      <c r="H8403" t="n">
        <v>4.98e-13</v>
      </c>
      <c r="I8403" t="inlineStr">
        <is>
          <t>Nr</t>
        </is>
      </c>
      <c r="J8403" t="inlineStr"/>
      <c r="K8403" t="inlineStr"/>
      <c r="L8403" t="inlineStr">
        <is>
          <t>KHJ94801.1 reverse transcriptase [Oesophagostomum dentatum]</t>
        </is>
      </c>
      <c r="M8403" t="n">
        <v>782</v>
      </c>
      <c r="N8403" t="inlineStr">
        <is>
          <t>Oesophagostomum dentatum</t>
        </is>
      </c>
      <c r="O8403" t="inlineStr">
        <is>
          <t>reverse transcriptase</t>
        </is>
      </c>
    </row>
    <row r="8404">
      <c r="A8404" t="inlineStr"/>
      <c r="B8404" t="inlineStr"/>
      <c r="C8404" t="inlineStr"/>
      <c r="D8404" t="inlineStr"/>
      <c r="E8404">
        <f>HYPERLINK("https://www.ncbi.nlm.nih.gov/gene/?term=XP_034262485.1", "XP_034262485.1")</f>
        <v/>
      </c>
      <c r="F8404" t="n">
        <v>33.9</v>
      </c>
      <c r="G8404" t="n">
        <v>192</v>
      </c>
      <c r="H8404" t="n">
        <v>7.08e-13</v>
      </c>
      <c r="I8404" t="inlineStr">
        <is>
          <t>Nr</t>
        </is>
      </c>
      <c r="J8404" t="inlineStr"/>
      <c r="K8404" t="inlineStr"/>
      <c r="L8404" t="inlineStr">
        <is>
          <t>XP_034262485.1 uncharacterized protein LOC117658467 [Pantherophis guttatus]</t>
        </is>
      </c>
      <c r="M8404" t="n">
        <v>420</v>
      </c>
      <c r="N8404" t="inlineStr">
        <is>
          <t>Pantherophis guttatus</t>
        </is>
      </c>
      <c r="O8404" t="inlineStr">
        <is>
          <t>uncharacterized protein LOC117658467</t>
        </is>
      </c>
    </row>
    <row r="8405">
      <c r="A8405" t="inlineStr"/>
      <c r="B8405" t="inlineStr"/>
      <c r="C8405" t="inlineStr"/>
      <c r="D8405" t="inlineStr"/>
      <c r="E8405">
        <f>HYPERLINK("https://www.ncbi.nlm.nih.gov/gene/?term=XP_034384248.1", "XP_034384248.1")</f>
        <v/>
      </c>
      <c r="F8405" t="n">
        <v>29.4</v>
      </c>
      <c r="G8405" t="n">
        <v>194</v>
      </c>
      <c r="H8405" t="n">
        <v>8.18e-13</v>
      </c>
      <c r="I8405" t="inlineStr">
        <is>
          <t>Nr</t>
        </is>
      </c>
      <c r="J8405" t="inlineStr"/>
      <c r="K8405" t="inlineStr"/>
      <c r="L8405" t="inlineStr">
        <is>
          <t>XP_034384248.1 LOW QUALITY PROTEIN: uncharacterized protein LOC117727848 [Cyclopterus lumpus]</t>
        </is>
      </c>
      <c r="M8405" t="n">
        <v>503</v>
      </c>
      <c r="N8405" t="inlineStr">
        <is>
          <t>Cyclopterus lumpus</t>
        </is>
      </c>
      <c r="O8405" t="inlineStr">
        <is>
          <t>LOW QUALITY PROTEIN: uncharacterized protein LOC117727848</t>
        </is>
      </c>
    </row>
    <row r="8406">
      <c r="A8406" t="inlineStr"/>
      <c r="B8406" t="inlineStr"/>
      <c r="C8406" t="inlineStr"/>
      <c r="D8406" t="inlineStr"/>
      <c r="E8406">
        <f>HYPERLINK("https://www.uniprot.org/uniprotkb/A0A6P7Y5B8/entry", "A0A6P7Y5B8")</f>
        <v/>
      </c>
      <c r="F8406" t="n">
        <v>30.5</v>
      </c>
      <c r="G8406" t="n">
        <v>200</v>
      </c>
      <c r="H8406" t="n">
        <v>1.28e-12</v>
      </c>
      <c r="I8406" t="inlineStr">
        <is>
          <t>TrEMBL</t>
        </is>
      </c>
      <c r="J8406" t="inlineStr">
        <is>
          <t>MBTD1</t>
        </is>
      </c>
      <c r="K8406" t="inlineStr">
        <is>
          <t>A0A6P7Y5B8_9AMPH</t>
        </is>
      </c>
      <c r="L8406" t="inlineStr">
        <is>
          <t>tr|A0A6P7Y5B8|A0A6P7Y5B8_9AMPH MBT domain-containing protein 1 OS=Microcaecilia unicolor OX=1415580 GN=MBTD1 PE=4 SV=1</t>
        </is>
      </c>
      <c r="M8406" t="n">
        <v>1090</v>
      </c>
      <c r="N8406" t="inlineStr">
        <is>
          <t>Microcaecilia unicolor</t>
        </is>
      </c>
      <c r="O8406" t="inlineStr">
        <is>
          <t>MBT domain-containing protein 1</t>
        </is>
      </c>
    </row>
    <row r="8407">
      <c r="A8407" t="inlineStr"/>
      <c r="B8407" t="inlineStr"/>
      <c r="C8407" t="inlineStr"/>
      <c r="D8407" t="inlineStr"/>
      <c r="E8407">
        <f>HYPERLINK("https://www.ncbi.nlm.nih.gov/gene/?term=XP_037615536.1", "XP_037615536.1")</f>
        <v/>
      </c>
      <c r="F8407" t="n">
        <v>34.9</v>
      </c>
      <c r="G8407" t="n">
        <v>166</v>
      </c>
      <c r="H8407" t="n">
        <v>1.3e-12</v>
      </c>
      <c r="I8407" t="inlineStr">
        <is>
          <t>Nr</t>
        </is>
      </c>
      <c r="J8407" t="inlineStr"/>
      <c r="K8407" t="inlineStr"/>
      <c r="L8407" t="inlineStr">
        <is>
          <t>XP_037615536.1 LOW QUALITY PROTEIN: uncharacterized protein LOC119482184 [Sebastes umbrosus]</t>
        </is>
      </c>
      <c r="M8407" t="n">
        <v>1020</v>
      </c>
      <c r="N8407" t="inlineStr">
        <is>
          <t>Sebastes umbrosus</t>
        </is>
      </c>
      <c r="O8407" t="inlineStr">
        <is>
          <t>LOW QUALITY PROTEIN: uncharacterized protein LOC119482184</t>
        </is>
      </c>
    </row>
    <row r="8408">
      <c r="A8408" t="inlineStr"/>
      <c r="B8408" t="inlineStr"/>
      <c r="C8408" t="inlineStr"/>
      <c r="D8408" t="inlineStr"/>
      <c r="E8408">
        <f>HYPERLINK("https://www.ncbi.nlm.nih.gov/gene/?term=XP_049432622.1", "XP_049432622.1")</f>
        <v/>
      </c>
      <c r="F8408" t="n">
        <v>32.6</v>
      </c>
      <c r="G8408" t="n">
        <v>172</v>
      </c>
      <c r="H8408" t="n">
        <v>1.51e-12</v>
      </c>
      <c r="I8408" t="inlineStr">
        <is>
          <t>Nr</t>
        </is>
      </c>
      <c r="J8408" t="inlineStr"/>
      <c r="K8408" t="inlineStr"/>
      <c r="L8408" t="inlineStr">
        <is>
          <t>XP_049432622.1 uncharacterized protein LOC125889006 [Epinephelus fuscoguttatus]</t>
        </is>
      </c>
      <c r="M8408" t="n">
        <v>500</v>
      </c>
      <c r="N8408" t="inlineStr">
        <is>
          <t>Epinephelus fuscoguttatus</t>
        </is>
      </c>
      <c r="O8408" t="inlineStr">
        <is>
          <t>uncharacterized protein LOC125889006</t>
        </is>
      </c>
    </row>
    <row r="8409">
      <c r="A8409" t="inlineStr"/>
      <c r="B8409" t="inlineStr"/>
      <c r="C8409" t="inlineStr"/>
      <c r="D8409" t="inlineStr"/>
      <c r="E8409">
        <f>HYPERLINK("https://www.ncbi.nlm.nih.gov/gene/?term=XP_044130116.1", "XP_044130116.1")</f>
        <v/>
      </c>
      <c r="F8409" t="n">
        <v>56.9</v>
      </c>
      <c r="G8409" t="n">
        <v>72</v>
      </c>
      <c r="H8409" t="n">
        <v>1.53e-12</v>
      </c>
      <c r="I8409" t="inlineStr">
        <is>
          <t>Nr</t>
        </is>
      </c>
      <c r="J8409" t="inlineStr"/>
      <c r="K8409" t="inlineStr"/>
      <c r="L8409" t="inlineStr">
        <is>
          <t>XP_044130116.1 solute carrier family 35 member F5 [Bufo gargarizans]</t>
        </is>
      </c>
      <c r="M8409" t="n">
        <v>1106</v>
      </c>
      <c r="N8409" t="inlineStr">
        <is>
          <t>Bufo gargarizans</t>
        </is>
      </c>
      <c r="O8409" t="inlineStr">
        <is>
          <t>solute carrier family 35 member F5</t>
        </is>
      </c>
    </row>
    <row r="8410">
      <c r="A8410" t="inlineStr"/>
      <c r="B8410" t="inlineStr"/>
      <c r="C8410" t="inlineStr"/>
      <c r="D8410" t="inlineStr"/>
      <c r="E8410">
        <f>HYPERLINK("https://www.uniprot.org/uniprotkb/A0A6I9X064/entry", "A0A6I9X064")</f>
        <v/>
      </c>
      <c r="F8410" t="n">
        <v>31.1</v>
      </c>
      <c r="G8410" t="n">
        <v>177</v>
      </c>
      <c r="H8410" t="n">
        <v>2.73e-12</v>
      </c>
      <c r="I8410" t="inlineStr">
        <is>
          <t>TrEMBL</t>
        </is>
      </c>
      <c r="J8410" t="inlineStr">
        <is>
          <t>LOC106537516</t>
        </is>
      </c>
      <c r="K8410" t="inlineStr">
        <is>
          <t>A0A6I9X064_9SAUR</t>
        </is>
      </c>
      <c r="L8410" t="inlineStr">
        <is>
          <t>tr|A0A6I9X064|A0A6I9X064_9SAUR uncharacterized protein LOC106537516 OS=Thamnophis sirtalis OX=35019 GN=LOC106537516 PE=4 SV=1</t>
        </is>
      </c>
      <c r="M8410" t="n">
        <v>315</v>
      </c>
      <c r="N8410" t="inlineStr">
        <is>
          <t>Thamnophis sirtalis</t>
        </is>
      </c>
      <c r="O8410" t="inlineStr">
        <is>
          <t>uncharacterized protein LOC106537516</t>
        </is>
      </c>
    </row>
    <row r="8411">
      <c r="A8411" t="inlineStr"/>
      <c r="B8411" t="inlineStr"/>
      <c r="C8411" t="inlineStr"/>
      <c r="D8411" t="inlineStr"/>
      <c r="E8411">
        <f>HYPERLINK("https://www.uniprot.org/uniprotkb/A0A2D4PV99/entry", "A0A2D4PV99")</f>
        <v/>
      </c>
      <c r="F8411" t="n">
        <v>29.4</v>
      </c>
      <c r="G8411" t="n">
        <v>187</v>
      </c>
      <c r="H8411" t="n">
        <v>2.9e-12</v>
      </c>
      <c r="I8411" t="inlineStr">
        <is>
          <t>TrEMBL</t>
        </is>
      </c>
      <c r="J8411" t="inlineStr"/>
      <c r="K8411" t="inlineStr">
        <is>
          <t>A0A2D4PV99_MICSU</t>
        </is>
      </c>
      <c r="L8411" t="inlineStr">
        <is>
          <t>tr|A0A2D4PV99|A0A2D4PV99_MICSU RNase H domain-containing protein (Fragment) OS=Micrurus surinamensis OX=129470 PE=4 SV=1</t>
        </is>
      </c>
      <c r="M8411" t="n">
        <v>258</v>
      </c>
      <c r="N8411" t="inlineStr">
        <is>
          <t>Micrurus surinamensis</t>
        </is>
      </c>
      <c r="O8411" t="inlineStr">
        <is>
          <t>RNase H domain-containing protein (Fragment)</t>
        </is>
      </c>
    </row>
    <row r="8412">
      <c r="A8412" t="inlineStr"/>
      <c r="B8412" t="inlineStr"/>
      <c r="C8412" t="inlineStr"/>
      <c r="D8412" t="inlineStr"/>
      <c r="E8412">
        <f>HYPERLINK("https://www.ncbi.nlm.nih.gov/gene/?term=XP_030062722.1", "XP_030062722.1")</f>
        <v/>
      </c>
      <c r="F8412" t="n">
        <v>30.5</v>
      </c>
      <c r="G8412" t="n">
        <v>200</v>
      </c>
      <c r="H8412" t="n">
        <v>3.29e-12</v>
      </c>
      <c r="I8412" t="inlineStr">
        <is>
          <t>Nr</t>
        </is>
      </c>
      <c r="J8412" t="inlineStr"/>
      <c r="K8412" t="inlineStr"/>
      <c r="L8412" t="inlineStr">
        <is>
          <t>XP_030062722.1 MBT domain-containing protein 1 [Microcaecilia unicolor]</t>
        </is>
      </c>
      <c r="M8412" t="n">
        <v>1090</v>
      </c>
      <c r="N8412" t="inlineStr">
        <is>
          <t>Microcaecilia unicolor</t>
        </is>
      </c>
      <c r="O8412" t="inlineStr">
        <is>
          <t>MBT domain-containing protein 1</t>
        </is>
      </c>
    </row>
    <row r="8413">
      <c r="A8413" t="inlineStr"/>
      <c r="B8413" t="inlineStr"/>
      <c r="C8413" t="inlineStr"/>
      <c r="D8413" t="inlineStr"/>
      <c r="E8413">
        <f>HYPERLINK("https://www.uniprot.org/uniprotkb/A0A803J9S3/entry", "A0A803J9S3")</f>
        <v/>
      </c>
      <c r="F8413" t="n">
        <v>59.6</v>
      </c>
      <c r="G8413" t="n">
        <v>57</v>
      </c>
      <c r="H8413" t="n">
        <v>5.07e-12</v>
      </c>
      <c r="I8413" t="inlineStr">
        <is>
          <t>TrEMBL</t>
        </is>
      </c>
      <c r="J8413" t="inlineStr"/>
      <c r="K8413" t="inlineStr">
        <is>
          <t>A0A803J9S3_XENTR</t>
        </is>
      </c>
      <c r="L8413" t="inlineStr">
        <is>
          <t>tr|A0A803J9S3|A0A803J9S3_XENTR Integrase catalytic domain-containing protein OS=Xenopus tropicalis OX=8364 PE=4 SV=1</t>
        </is>
      </c>
      <c r="M8413" t="n">
        <v>358</v>
      </c>
      <c r="N8413" t="inlineStr">
        <is>
          <t>Xenopus tropicalis</t>
        </is>
      </c>
      <c r="O8413" t="inlineStr">
        <is>
          <t>Integrase catalytic domain-containing protein</t>
        </is>
      </c>
    </row>
    <row r="8414">
      <c r="A8414" t="inlineStr"/>
      <c r="B8414" t="inlineStr"/>
      <c r="C8414" t="inlineStr"/>
      <c r="D8414" t="inlineStr"/>
      <c r="E8414">
        <f>HYPERLINK("https://www.uniprot.org/uniprotkb/A0A8J1J4M0/entry", "A0A8J1J4M0")</f>
        <v/>
      </c>
      <c r="F8414" t="n">
        <v>29.3</v>
      </c>
      <c r="G8414" t="n">
        <v>191</v>
      </c>
      <c r="H8414" t="n">
        <v>5.35e-12</v>
      </c>
      <c r="I8414" t="inlineStr">
        <is>
          <t>TrEMBL</t>
        </is>
      </c>
      <c r="J8414" t="inlineStr">
        <is>
          <t>LOC101731022</t>
        </is>
      </c>
      <c r="K8414" t="inlineStr">
        <is>
          <t>A0A8J1J4M0_XENTR</t>
        </is>
      </c>
      <c r="L8414" t="inlineStr">
        <is>
          <t>tr|A0A8J1J4M0|A0A8J1J4M0_XENTR uncharacterized protein LOC101731022 isoform X4 OS=Xenopus tropicalis OX=8364 GN=LOC101731022 PE=4 SV=1</t>
        </is>
      </c>
      <c r="M8414" t="n">
        <v>375</v>
      </c>
      <c r="N8414" t="inlineStr">
        <is>
          <t>Xenopus tropicalis</t>
        </is>
      </c>
      <c r="O8414" t="inlineStr">
        <is>
          <t>uncharacterized protein LOC101731022 isoform X4</t>
        </is>
      </c>
    </row>
    <row r="8415">
      <c r="A8415" t="inlineStr"/>
      <c r="B8415" t="inlineStr"/>
      <c r="C8415" t="inlineStr"/>
      <c r="D8415" t="inlineStr"/>
      <c r="E8415">
        <f>HYPERLINK("https://www.uniprot.org/uniprotkb/Q8UWC9/entry", "Q8UWC9")</f>
        <v/>
      </c>
      <c r="F8415" t="n">
        <v>31.2</v>
      </c>
      <c r="G8415" t="n">
        <v>189</v>
      </c>
      <c r="H8415" t="n">
        <v>5.65e-12</v>
      </c>
      <c r="I8415" t="inlineStr">
        <is>
          <t>TrEMBL</t>
        </is>
      </c>
      <c r="J8415" t="inlineStr"/>
      <c r="K8415" t="inlineStr">
        <is>
          <t>Q8UWC9_TETNG</t>
        </is>
      </c>
      <c r="L8415" t="inlineStr">
        <is>
          <t>tr|Q8UWC9|Q8UWC9_TETNG ribonuclease H (Fragment) OS=Tetraodon nigroviridis OX=99883 PE=3 SV=1</t>
        </is>
      </c>
      <c r="M8415" t="n">
        <v>785</v>
      </c>
      <c r="N8415" t="inlineStr">
        <is>
          <t>Tetraodon nigroviridis</t>
        </is>
      </c>
      <c r="O8415" t="inlineStr">
        <is>
          <t>ribonuclease H (Fragment)</t>
        </is>
      </c>
    </row>
    <row r="8416">
      <c r="A8416" t="inlineStr"/>
      <c r="B8416" t="inlineStr"/>
      <c r="C8416" t="inlineStr"/>
      <c r="D8416" t="inlineStr"/>
      <c r="E8416">
        <f>HYPERLINK("https://www.uniprot.org/uniprotkb/A0A6P9C7W1/entry", "A0A6P9C7W1")</f>
        <v/>
      </c>
      <c r="F8416" t="n">
        <v>31.8</v>
      </c>
      <c r="G8416" t="n">
        <v>179</v>
      </c>
      <c r="H8416" t="n">
        <v>1.47e-11</v>
      </c>
      <c r="I8416" t="inlineStr">
        <is>
          <t>TrEMBL</t>
        </is>
      </c>
      <c r="J8416" t="inlineStr">
        <is>
          <t>LOC117666806</t>
        </is>
      </c>
      <c r="K8416" t="inlineStr">
        <is>
          <t>A0A6P9C7W1_PANGU</t>
        </is>
      </c>
      <c r="L8416" t="inlineStr">
        <is>
          <t>tr|A0A6P9C7W1|A0A6P9C7W1_PANGU uncharacterized protein LOC117666806 OS=Pantherophis guttatus OX=94885 GN=LOC117666806 PE=4 SV=1</t>
        </is>
      </c>
      <c r="M8416" t="n">
        <v>328</v>
      </c>
      <c r="N8416" t="inlineStr">
        <is>
          <t>Pantherophis guttatus</t>
        </is>
      </c>
      <c r="O8416" t="inlineStr">
        <is>
          <t>uncharacterized protein LOC117666806</t>
        </is>
      </c>
    </row>
    <row r="8417">
      <c r="A8417" t="inlineStr"/>
      <c r="B8417" t="inlineStr"/>
      <c r="C8417" t="inlineStr"/>
      <c r="D8417" t="inlineStr"/>
      <c r="E8417">
        <f>HYPERLINK("https://www.uniprot.org/uniprotkb/A0A8J1KQ25/entry", "A0A8J1KQ25")</f>
        <v/>
      </c>
      <c r="F8417" t="n">
        <v>28</v>
      </c>
      <c r="G8417" t="n">
        <v>207</v>
      </c>
      <c r="H8417" t="n">
        <v>1.8e-11</v>
      </c>
      <c r="I8417" t="inlineStr">
        <is>
          <t>TrEMBL</t>
        </is>
      </c>
      <c r="J8417" t="inlineStr">
        <is>
          <t>LOC121393829</t>
        </is>
      </c>
      <c r="K8417" t="inlineStr">
        <is>
          <t>A0A8J1KQ25_XENLA</t>
        </is>
      </c>
      <c r="L8417" t="inlineStr">
        <is>
          <t>tr|A0A8J1KQ25|A0A8J1KQ25_XENLA ribonuclease H OS=Xenopus laevis OX=8355 GN=LOC121393829 PE=3 SV=1</t>
        </is>
      </c>
      <c r="M8417" t="n">
        <v>569</v>
      </c>
      <c r="N8417" t="inlineStr">
        <is>
          <t>Xenopus laevis</t>
        </is>
      </c>
      <c r="O8417" t="inlineStr">
        <is>
          <t>ribonuclease H</t>
        </is>
      </c>
    </row>
    <row r="8418">
      <c r="A8418" t="inlineStr"/>
      <c r="B8418" t="inlineStr"/>
      <c r="C8418" t="inlineStr"/>
      <c r="D8418" t="inlineStr"/>
      <c r="E8418">
        <f>HYPERLINK("https://www.uniprot.org/uniprotkb/A0A8J1MS43/entry", "A0A8J1MS43")</f>
        <v/>
      </c>
      <c r="F8418" t="n">
        <v>32.1</v>
      </c>
      <c r="G8418" t="n">
        <v>193</v>
      </c>
      <c r="H8418" t="n">
        <v>2.02e-11</v>
      </c>
      <c r="I8418" t="inlineStr">
        <is>
          <t>TrEMBL</t>
        </is>
      </c>
      <c r="J8418" t="inlineStr">
        <is>
          <t>LOC121402168</t>
        </is>
      </c>
      <c r="K8418" t="inlineStr">
        <is>
          <t>A0A8J1MS43_XENLA</t>
        </is>
      </c>
      <c r="L8418" t="inlineStr">
        <is>
          <t>tr|A0A8J1MS43|A0A8J1MS43_XENLA ribonuclease H OS=Xenopus laevis OX=8355 GN=LOC121402168 PE=3 SV=1</t>
        </is>
      </c>
      <c r="M8418" t="n">
        <v>1068</v>
      </c>
      <c r="N8418" t="inlineStr">
        <is>
          <t>Xenopus laevis</t>
        </is>
      </c>
      <c r="O8418" t="inlineStr">
        <is>
          <t>ribonuclease H</t>
        </is>
      </c>
    </row>
    <row r="8419">
      <c r="A8419" t="inlineStr"/>
      <c r="B8419" t="inlineStr"/>
      <c r="C8419" t="inlineStr"/>
      <c r="D8419" t="inlineStr"/>
      <c r="E8419">
        <f>HYPERLINK("https://www.uniprot.org/uniprotkb/A0A6P9D0P1/entry", "A0A6P9D0P1")</f>
        <v/>
      </c>
      <c r="F8419" t="n">
        <v>30.4</v>
      </c>
      <c r="G8419" t="n">
        <v>181</v>
      </c>
      <c r="H8419" t="n">
        <v>2.05e-11</v>
      </c>
      <c r="I8419" t="inlineStr">
        <is>
          <t>TrEMBL</t>
        </is>
      </c>
      <c r="J8419" t="inlineStr">
        <is>
          <t>LOC117675085</t>
        </is>
      </c>
      <c r="K8419" t="inlineStr">
        <is>
          <t>A0A6P9D0P1_PANGU</t>
        </is>
      </c>
      <c r="L8419" t="inlineStr">
        <is>
          <t>tr|A0A6P9D0P1|A0A6P9D0P1_PANGU ribonuclease H OS=Pantherophis guttatus OX=94885 GN=LOC117675085 PE=3 SV=1</t>
        </is>
      </c>
      <c r="M8419" t="n">
        <v>1211</v>
      </c>
      <c r="N8419" t="inlineStr">
        <is>
          <t>Pantherophis guttatus</t>
        </is>
      </c>
      <c r="O8419" t="inlineStr">
        <is>
          <t>ribonuclease H</t>
        </is>
      </c>
    </row>
    <row r="8420">
      <c r="A8420" t="inlineStr"/>
      <c r="B8420" t="inlineStr"/>
      <c r="C8420" t="inlineStr"/>
      <c r="D8420" t="inlineStr"/>
      <c r="E8420">
        <f>HYPERLINK("https://www.uniprot.org/uniprotkb/A0A2G8JYF8/entry", "A0A2G8JYF8")</f>
        <v/>
      </c>
      <c r="F8420" t="n">
        <v>40.7</v>
      </c>
      <c r="G8420" t="n">
        <v>113</v>
      </c>
      <c r="H8420" t="n">
        <v>2.25e-11</v>
      </c>
      <c r="I8420" t="inlineStr">
        <is>
          <t>TrEMBL</t>
        </is>
      </c>
      <c r="J8420" t="inlineStr">
        <is>
          <t>BSL78_22344</t>
        </is>
      </c>
      <c r="K8420" t="inlineStr">
        <is>
          <t>A0A2G8JYF8_STIJA</t>
        </is>
      </c>
      <c r="L8420" t="inlineStr">
        <is>
          <t>tr|A0A2G8JYF8|A0A2G8JYF8_STIJA Putative TBC1 domain family member 2A OS=Stichopus japonicus OX=307972 GN=BSL78_22344 PE=4 SV=1</t>
        </is>
      </c>
      <c r="M8420" t="n">
        <v>247</v>
      </c>
      <c r="N8420" t="inlineStr">
        <is>
          <t>Stichopus japonicus</t>
        </is>
      </c>
      <c r="O8420" t="inlineStr">
        <is>
          <t>Putative TBC1 domain family member 2A</t>
        </is>
      </c>
    </row>
    <row r="8421">
      <c r="A8421" t="inlineStr"/>
      <c r="B8421" t="inlineStr"/>
      <c r="C8421" t="inlineStr"/>
      <c r="D8421" t="inlineStr"/>
      <c r="E8421">
        <f>HYPERLINK("https://www.uniprot.org/uniprotkb/A0A6P9ARQ0/entry", "A0A6P9ARQ0")</f>
        <v/>
      </c>
      <c r="F8421" t="n">
        <v>26.9</v>
      </c>
      <c r="G8421" t="n">
        <v>201</v>
      </c>
      <c r="H8421" t="n">
        <v>2.41e-11</v>
      </c>
      <c r="I8421" t="inlineStr">
        <is>
          <t>TrEMBL</t>
        </is>
      </c>
      <c r="J8421" t="inlineStr">
        <is>
          <t>LOC117656176</t>
        </is>
      </c>
      <c r="K8421" t="inlineStr">
        <is>
          <t>A0A6P9ARQ0_PANGU</t>
        </is>
      </c>
      <c r="L8421" t="inlineStr">
        <is>
          <t>tr|A0A6P9ARQ0|A0A6P9ARQ0_PANGU uncharacterized protein LOC117656176 OS=Pantherophis guttatus OX=94885 GN=LOC117656176 PE=4 SV=1</t>
        </is>
      </c>
      <c r="M8421" t="n">
        <v>545</v>
      </c>
      <c r="N8421" t="inlineStr">
        <is>
          <t>Pantherophis guttatus</t>
        </is>
      </c>
      <c r="O8421" t="inlineStr">
        <is>
          <t>uncharacterized protein LOC117656176</t>
        </is>
      </c>
    </row>
    <row r="8422">
      <c r="A8422" t="inlineStr"/>
      <c r="B8422" t="inlineStr"/>
      <c r="C8422" t="inlineStr"/>
      <c r="D8422" t="inlineStr"/>
      <c r="E8422">
        <f>HYPERLINK("https://www.uniprot.org/uniprotkb/A0A8J1M8F0/entry", "A0A8J1M8F0")</f>
        <v/>
      </c>
      <c r="F8422" t="n">
        <v>54.3</v>
      </c>
      <c r="G8422" t="n">
        <v>70</v>
      </c>
      <c r="H8422" t="n">
        <v>3.24e-11</v>
      </c>
      <c r="I8422" t="inlineStr">
        <is>
          <t>TrEMBL</t>
        </is>
      </c>
      <c r="J8422" t="inlineStr">
        <is>
          <t>pfkfb2.L</t>
        </is>
      </c>
      <c r="K8422" t="inlineStr">
        <is>
          <t>A0A8J1M8F0_XENLA</t>
        </is>
      </c>
      <c r="L8422" t="inlineStr">
        <is>
          <t>tr|A0A8J1M8F0|A0A8J1M8F0_XENLA ribonuclease H OS=Xenopus laevis OX=8355 GN=pfkfb2.L PE=3 SV=1</t>
        </is>
      </c>
      <c r="M8422" t="n">
        <v>615</v>
      </c>
      <c r="N8422" t="inlineStr">
        <is>
          <t>Xenopus laevis</t>
        </is>
      </c>
      <c r="O8422" t="inlineStr">
        <is>
          <t>ribonuclease H</t>
        </is>
      </c>
    </row>
    <row r="8423">
      <c r="A8423" t="inlineStr"/>
      <c r="B8423" t="inlineStr"/>
      <c r="C8423" t="inlineStr"/>
      <c r="D8423" t="inlineStr"/>
      <c r="E8423">
        <f>HYPERLINK("https://www.ncbi.nlm.nih.gov/gene/?term=PIK40806.1", "PIK40806.1")</f>
        <v/>
      </c>
      <c r="F8423" t="n">
        <v>40.7</v>
      </c>
      <c r="G8423" t="n">
        <v>113</v>
      </c>
      <c r="H8423" t="n">
        <v>5.77e-11</v>
      </c>
      <c r="I8423" t="inlineStr">
        <is>
          <t>Nr</t>
        </is>
      </c>
      <c r="J8423" t="inlineStr"/>
      <c r="K8423" t="inlineStr"/>
      <c r="L8423" t="inlineStr">
        <is>
          <t>PIK40806.1 putative TBC1 domain family member 2A [Apostichopus japonicus]</t>
        </is>
      </c>
      <c r="M8423" t="n">
        <v>247</v>
      </c>
      <c r="N8423" t="inlineStr">
        <is>
          <t>Apostichopus japonicus</t>
        </is>
      </c>
      <c r="O8423" t="inlineStr">
        <is>
          <t>putative TBC1 domain family member 2A</t>
        </is>
      </c>
    </row>
    <row r="8424">
      <c r="A8424" t="inlineStr"/>
      <c r="B8424" t="inlineStr"/>
      <c r="C8424" t="inlineStr"/>
      <c r="D8424" t="inlineStr"/>
      <c r="E8424">
        <f>HYPERLINK("https://www.ncbi.nlm.nih.gov/gene/?term=XP_041437982.1", "XP_041437982.1")</f>
        <v/>
      </c>
      <c r="F8424" t="n">
        <v>54.3</v>
      </c>
      <c r="G8424" t="n">
        <v>70</v>
      </c>
      <c r="H8424" t="n">
        <v>8.319999999999999e-11</v>
      </c>
      <c r="I8424" t="inlineStr">
        <is>
          <t>Nr</t>
        </is>
      </c>
      <c r="J8424" t="inlineStr"/>
      <c r="K8424" t="inlineStr"/>
      <c r="L8424" t="inlineStr">
        <is>
          <t>XP_041437982.1 uncharacterized protein pfkfb2.L isoform X1 [Xenopus laevis]</t>
        </is>
      </c>
      <c r="M8424" t="n">
        <v>615</v>
      </c>
      <c r="N8424" t="inlineStr">
        <is>
          <t>Xenopus laevis</t>
        </is>
      </c>
      <c r="O8424" t="inlineStr">
        <is>
          <t>uncharacterized protein pfkfb2.L isoform X1</t>
        </is>
      </c>
    </row>
    <row r="8425">
      <c r="A8425" t="inlineStr"/>
      <c r="B8425" t="inlineStr"/>
      <c r="C8425" t="inlineStr"/>
      <c r="D8425" t="inlineStr"/>
      <c r="E8425">
        <f>HYPERLINK("https://www.uniprot.org/uniprotkb/A0A8J1L8U5/entry", "A0A8J1L8U5")</f>
        <v/>
      </c>
      <c r="F8425" t="n">
        <v>51.4</v>
      </c>
      <c r="G8425" t="n">
        <v>70</v>
      </c>
      <c r="H8425" t="n">
        <v>8.51e-11</v>
      </c>
      <c r="I8425" t="inlineStr">
        <is>
          <t>TrEMBL</t>
        </is>
      </c>
      <c r="J8425" t="inlineStr">
        <is>
          <t>LOC121395599</t>
        </is>
      </c>
      <c r="K8425" t="inlineStr">
        <is>
          <t>A0A8J1L8U5_XENLA</t>
        </is>
      </c>
      <c r="L8425" t="inlineStr">
        <is>
          <t>tr|A0A8J1L8U5|A0A8J1L8U5_XENLA ribonuclease H OS=Xenopus laevis OX=8355 GN=LOC121395599 PE=3 SV=1</t>
        </is>
      </c>
      <c r="M8425" t="n">
        <v>910</v>
      </c>
      <c r="N8425" t="inlineStr">
        <is>
          <t>Xenopus laevis</t>
        </is>
      </c>
      <c r="O8425" t="inlineStr">
        <is>
          <t>ribonuclease H</t>
        </is>
      </c>
    </row>
    <row r="8426">
      <c r="A8426" t="inlineStr"/>
      <c r="B8426" t="inlineStr"/>
      <c r="C8426" t="inlineStr"/>
      <c r="D8426" t="inlineStr"/>
      <c r="E8426">
        <f>HYPERLINK("https://www.ncbi.nlm.nih.gov/gene/?term=XP_044151545.1", "XP_044151545.1")</f>
        <v/>
      </c>
      <c r="F8426" t="n">
        <v>58.2</v>
      </c>
      <c r="G8426" t="n">
        <v>67</v>
      </c>
      <c r="H8426" t="n">
        <v>1.65e-10</v>
      </c>
      <c r="I8426" t="inlineStr">
        <is>
          <t>Nr</t>
        </is>
      </c>
      <c r="J8426" t="inlineStr"/>
      <c r="K8426" t="inlineStr"/>
      <c r="L8426" t="inlineStr">
        <is>
          <t>XP_044151545.1 nuclear pore complex protein Nup155 [Bufo gargarizans]</t>
        </is>
      </c>
      <c r="M8426" t="n">
        <v>1594</v>
      </c>
      <c r="N8426" t="inlineStr">
        <is>
          <t>Bufo gargarizans</t>
        </is>
      </c>
      <c r="O8426" t="inlineStr">
        <is>
          <t>nuclear pore complex protein Nup155</t>
        </is>
      </c>
    </row>
    <row r="8427">
      <c r="A8427" t="inlineStr"/>
      <c r="B8427" t="inlineStr"/>
      <c r="C8427" t="inlineStr"/>
      <c r="D8427" t="inlineStr"/>
      <c r="E8427">
        <f>HYPERLINK("https://www.uniprot.org/uniprotkb/A0A2D4KEW8/entry", "A0A2D4KEW8")</f>
        <v/>
      </c>
      <c r="F8427" t="n">
        <v>50.7</v>
      </c>
      <c r="G8427" t="n">
        <v>75</v>
      </c>
      <c r="H8427" t="n">
        <v>1.7e-10</v>
      </c>
      <c r="I8427" t="inlineStr">
        <is>
          <t>TrEMBL</t>
        </is>
      </c>
      <c r="J8427" t="inlineStr"/>
      <c r="K8427" t="inlineStr">
        <is>
          <t>A0A2D4KEW8_9SAUR</t>
        </is>
      </c>
      <c r="L8427" t="inlineStr">
        <is>
          <t>tr|A0A2D4KEW8|A0A2D4KEW8_9SAUR ribonuclease H (Fragment) OS=Micrurus paraensis OX=1970185 PE=3 SV=1</t>
        </is>
      </c>
      <c r="M8427" t="n">
        <v>288</v>
      </c>
      <c r="N8427" t="inlineStr">
        <is>
          <t>Micrurus paraensis</t>
        </is>
      </c>
      <c r="O8427" t="inlineStr">
        <is>
          <t>ribonuclease H (Fragment)</t>
        </is>
      </c>
    </row>
    <row r="8428">
      <c r="A8428" t="inlineStr"/>
      <c r="B8428" t="inlineStr"/>
      <c r="C8428" t="inlineStr"/>
      <c r="D8428" t="inlineStr"/>
      <c r="E8428">
        <f>HYPERLINK("https://www.ncbi.nlm.nih.gov/gene/?term=XP_041425389.1", "XP_041425389.1")</f>
        <v/>
      </c>
      <c r="F8428" t="n">
        <v>51.4</v>
      </c>
      <c r="G8428" t="n">
        <v>70</v>
      </c>
      <c r="H8428" t="n">
        <v>2.19e-10</v>
      </c>
      <c r="I8428" t="inlineStr">
        <is>
          <t>Nr</t>
        </is>
      </c>
      <c r="J8428" t="inlineStr"/>
      <c r="K8428" t="inlineStr"/>
      <c r="L8428" t="inlineStr">
        <is>
          <t>XP_041425389.1 uncharacterized protein LOC121395599 [Xenopus laevis]</t>
        </is>
      </c>
      <c r="M8428" t="n">
        <v>910</v>
      </c>
      <c r="N8428" t="inlineStr">
        <is>
          <t>Xenopus laevis</t>
        </is>
      </c>
      <c r="O8428" t="inlineStr">
        <is>
          <t>uncharacterized protein LOC121395599</t>
        </is>
      </c>
    </row>
    <row r="8429">
      <c r="A8429" t="inlineStr"/>
      <c r="B8429" t="inlineStr"/>
      <c r="C8429" t="inlineStr"/>
      <c r="D8429" t="inlineStr"/>
      <c r="E8429">
        <f>HYPERLINK("https://www.uniprot.org/uniprotkb/A0A2D4EJC9/entry", "A0A2D4EJC9")</f>
        <v/>
      </c>
      <c r="F8429" t="n">
        <v>50.7</v>
      </c>
      <c r="G8429" t="n">
        <v>75</v>
      </c>
      <c r="H8429" t="n">
        <v>2.84e-10</v>
      </c>
      <c r="I8429" t="inlineStr">
        <is>
          <t>TrEMBL</t>
        </is>
      </c>
      <c r="J8429" t="inlineStr"/>
      <c r="K8429" t="inlineStr">
        <is>
          <t>A0A2D4EJC9_MICCO</t>
        </is>
      </c>
      <c r="L8429" t="inlineStr">
        <is>
          <t>tr|A0A2D4EJC9|A0A2D4EJC9_MICCO ribonuclease H (Fragment) OS=Micrurus corallinus OX=54390 PE=3 SV=1</t>
        </is>
      </c>
      <c r="M8429" t="n">
        <v>580</v>
      </c>
      <c r="N8429" t="inlineStr">
        <is>
          <t>Micrurus corallinus</t>
        </is>
      </c>
      <c r="O8429" t="inlineStr">
        <is>
          <t>ribonuclease H (Fragment)</t>
        </is>
      </c>
    </row>
    <row r="8430">
      <c r="A8430" t="inlineStr"/>
      <c r="B8430" t="inlineStr"/>
      <c r="C8430" t="inlineStr"/>
      <c r="D8430" t="inlineStr"/>
      <c r="E8430">
        <f>HYPERLINK("https://www.uniprot.org/uniprotkb/A0A8J1MZ44/entry", "A0A8J1MZ44")</f>
        <v/>
      </c>
      <c r="F8430" t="n">
        <v>51.4</v>
      </c>
      <c r="G8430" t="n">
        <v>70</v>
      </c>
      <c r="H8430" t="n">
        <v>2.94e-10</v>
      </c>
      <c r="I8430" t="inlineStr">
        <is>
          <t>TrEMBL</t>
        </is>
      </c>
      <c r="J8430" t="inlineStr">
        <is>
          <t>LOC121403038</t>
        </is>
      </c>
      <c r="K8430" t="inlineStr">
        <is>
          <t>A0A8J1MZ44_XENLA</t>
        </is>
      </c>
      <c r="L8430" t="inlineStr">
        <is>
          <t>tr|A0A8J1MZ44|A0A8J1MZ44_XENLA ribonuclease H OS=Xenopus laevis OX=8355 GN=LOC121403038 PE=3 SV=1</t>
        </is>
      </c>
      <c r="M8430" t="n">
        <v>852</v>
      </c>
      <c r="N8430" t="inlineStr">
        <is>
          <t>Xenopus laevis</t>
        </is>
      </c>
      <c r="O8430" t="inlineStr">
        <is>
          <t>ribonuclease H</t>
        </is>
      </c>
    </row>
    <row r="8431">
      <c r="A8431" t="inlineStr"/>
      <c r="B8431" t="inlineStr"/>
      <c r="C8431" t="inlineStr"/>
      <c r="D8431" t="inlineStr"/>
      <c r="E8431">
        <f>HYPERLINK("https://www.ncbi.nlm.nih.gov/gene/?term=XP_044134874.1", "XP_044134874.1")</f>
        <v/>
      </c>
      <c r="F8431" t="n">
        <v>50.7</v>
      </c>
      <c r="G8431" t="n">
        <v>75</v>
      </c>
      <c r="H8431" t="n">
        <v>4.03e-10</v>
      </c>
      <c r="I8431" t="inlineStr">
        <is>
          <t>Nr</t>
        </is>
      </c>
      <c r="J8431" t="inlineStr"/>
      <c r="K8431" t="inlineStr"/>
      <c r="L8431" t="inlineStr">
        <is>
          <t>XP_044134874.1 F-box/WD repeat-containing protein 9 isoform X1 [Bufo gargarizans]</t>
        </is>
      </c>
      <c r="M8431" t="n">
        <v>787</v>
      </c>
      <c r="N8431" t="inlineStr">
        <is>
          <t>Bufo gargarizans</t>
        </is>
      </c>
      <c r="O8431" t="inlineStr">
        <is>
          <t>F-box/WD repeat-containing protein 9 isoform X1</t>
        </is>
      </c>
    </row>
    <row r="8432">
      <c r="A8432" t="inlineStr"/>
      <c r="B8432" t="inlineStr"/>
      <c r="C8432" t="inlineStr"/>
      <c r="D8432" t="inlineStr"/>
      <c r="E8432">
        <f>HYPERLINK("https://www.uniprot.org/uniprotkb/A0A6P9BN79/entry", "A0A6P9BN79")</f>
        <v/>
      </c>
      <c r="F8432" t="n">
        <v>36.7</v>
      </c>
      <c r="G8432" t="n">
        <v>109</v>
      </c>
      <c r="H8432" t="n">
        <v>7.47e-10</v>
      </c>
      <c r="I8432" t="inlineStr">
        <is>
          <t>TrEMBL</t>
        </is>
      </c>
      <c r="J8432" t="inlineStr">
        <is>
          <t>LOC117664969</t>
        </is>
      </c>
      <c r="K8432" t="inlineStr">
        <is>
          <t>A0A6P9BN79_PANGU</t>
        </is>
      </c>
      <c r="L8432" t="inlineStr">
        <is>
          <t>tr|A0A6P9BN79|A0A6P9BN79_PANGU ribonuclease H OS=Pantherophis guttatus OX=94885 GN=LOC117664969 PE=3 SV=1</t>
        </is>
      </c>
      <c r="M8432" t="n">
        <v>862</v>
      </c>
      <c r="N8432" t="inlineStr">
        <is>
          <t>Pantherophis guttatus</t>
        </is>
      </c>
      <c r="O8432" t="inlineStr">
        <is>
          <t>ribonuclease H</t>
        </is>
      </c>
    </row>
    <row r="8433">
      <c r="A8433" t="inlineStr"/>
      <c r="B8433" t="inlineStr"/>
      <c r="C8433" t="inlineStr"/>
      <c r="D8433" t="inlineStr"/>
      <c r="E8433">
        <f>HYPERLINK("https://www.ncbi.nlm.nih.gov/gene/?term=XP_041446270.1", "XP_041446270.1")</f>
        <v/>
      </c>
      <c r="F8433" t="n">
        <v>51.4</v>
      </c>
      <c r="G8433" t="n">
        <v>70</v>
      </c>
      <c r="H8433" t="n">
        <v>7.54e-10</v>
      </c>
      <c r="I8433" t="inlineStr">
        <is>
          <t>Nr</t>
        </is>
      </c>
      <c r="J8433" t="inlineStr"/>
      <c r="K8433" t="inlineStr"/>
      <c r="L8433" t="inlineStr">
        <is>
          <t>XP_041446270.1 uncharacterized protein LOC121403038 [Xenopus laevis]</t>
        </is>
      </c>
      <c r="M8433" t="n">
        <v>852</v>
      </c>
      <c r="N8433" t="inlineStr">
        <is>
          <t>Xenopus laevis</t>
        </is>
      </c>
      <c r="O8433" t="inlineStr">
        <is>
          <t>uncharacterized protein LOC121403038</t>
        </is>
      </c>
    </row>
    <row r="8434">
      <c r="A8434" t="inlineStr"/>
      <c r="B8434" t="inlineStr"/>
      <c r="C8434" t="inlineStr"/>
      <c r="D8434" t="inlineStr"/>
      <c r="E8434">
        <f>HYPERLINK("https://www.uniprot.org/uniprotkb/A0A2D4HKW4/entry", "A0A2D4HKW4")</f>
        <v/>
      </c>
      <c r="F8434" t="n">
        <v>47.9</v>
      </c>
      <c r="G8434" t="n">
        <v>73</v>
      </c>
      <c r="H8434" t="n">
        <v>8.4e-10</v>
      </c>
      <c r="I8434" t="inlineStr">
        <is>
          <t>TrEMBL</t>
        </is>
      </c>
      <c r="J8434" t="inlineStr"/>
      <c r="K8434" t="inlineStr">
        <is>
          <t>A0A2D4HKW4_MICLE</t>
        </is>
      </c>
      <c r="L8434" t="inlineStr">
        <is>
          <t>tr|A0A2D4HKW4|A0A2D4HKW4_MICLE ribonuclease H (Fragment) OS=Micrurus lemniscatus lemniscatus OX=129467 PE=3 SV=1</t>
        </is>
      </c>
      <c r="M8434" t="n">
        <v>138</v>
      </c>
      <c r="N8434" t="inlineStr">
        <is>
          <t>Micrurus lemniscatus lemniscatus</t>
        </is>
      </c>
      <c r="O8434" t="inlineStr">
        <is>
          <t>ribonuclease H (Fragment)</t>
        </is>
      </c>
    </row>
    <row r="8435">
      <c r="A8435" t="inlineStr"/>
      <c r="B8435" t="inlineStr"/>
      <c r="C8435" t="inlineStr"/>
      <c r="D8435" t="inlineStr"/>
      <c r="E8435">
        <f>HYPERLINK("https://www.uniprot.org/uniprotkb/A0A8T2K608/entry", "A0A8T2K608")</f>
        <v/>
      </c>
      <c r="F8435" t="n">
        <v>47.8</v>
      </c>
      <c r="G8435" t="n">
        <v>69</v>
      </c>
      <c r="H8435" t="n">
        <v>1.08e-09</v>
      </c>
      <c r="I8435" t="inlineStr">
        <is>
          <t>TrEMBL</t>
        </is>
      </c>
      <c r="J8435" t="inlineStr">
        <is>
          <t>GDO86_004664</t>
        </is>
      </c>
      <c r="K8435" t="inlineStr">
        <is>
          <t>A0A8T2K608_9PIPI</t>
        </is>
      </c>
      <c r="L8435" t="inlineStr">
        <is>
          <t>tr|A0A8T2K608|A0A8T2K608_9PIPI non-specific serine/threonine protein kinase OS=Hymenochirus boettgeri OX=247094 GN=GDO86_004664 PE=3 SV=1</t>
        </is>
      </c>
      <c r="M8435" t="n">
        <v>3511</v>
      </c>
      <c r="N8435" t="inlineStr">
        <is>
          <t>Hymenochirus boettgeri</t>
        </is>
      </c>
      <c r="O8435" t="inlineStr">
        <is>
          <t>non-specific serine/threonine protein kinase</t>
        </is>
      </c>
    </row>
    <row r="8436">
      <c r="A8436" t="inlineStr"/>
      <c r="B8436" t="inlineStr"/>
      <c r="C8436" t="inlineStr"/>
      <c r="D8436" t="inlineStr"/>
      <c r="E8436">
        <f>HYPERLINK("https://www.ncbi.nlm.nih.gov/gene/?term=XP_040286209.1", "XP_040286209.1")</f>
        <v/>
      </c>
      <c r="F8436" t="n">
        <v>56.7</v>
      </c>
      <c r="G8436" t="n">
        <v>67</v>
      </c>
      <c r="H8436" t="n">
        <v>1.09e-09</v>
      </c>
      <c r="I8436" t="inlineStr">
        <is>
          <t>Nr</t>
        </is>
      </c>
      <c r="J8436" t="inlineStr"/>
      <c r="K8436" t="inlineStr"/>
      <c r="L8436" t="inlineStr">
        <is>
          <t>XP_040286209.1 dynein heavy chain 8, axonemal [Bufo bufo]</t>
        </is>
      </c>
      <c r="M8436" t="n">
        <v>5444</v>
      </c>
      <c r="N8436" t="inlineStr">
        <is>
          <t>Bufo bufo</t>
        </is>
      </c>
      <c r="O8436" t="inlineStr">
        <is>
          <t>dynein heavy chain 8, axonemal</t>
        </is>
      </c>
    </row>
    <row r="8437">
      <c r="A8437" t="inlineStr"/>
      <c r="B8437" t="inlineStr"/>
      <c r="C8437" t="inlineStr"/>
      <c r="D8437" t="inlineStr"/>
      <c r="E8437">
        <f>HYPERLINK("https://www.uniprot.org/uniprotkb/A0A8J1KLR0/entry", "A0A8J1KLR0")</f>
        <v/>
      </c>
      <c r="F8437" t="n">
        <v>54.3</v>
      </c>
      <c r="G8437" t="n">
        <v>70</v>
      </c>
      <c r="H8437" t="n">
        <v>1.37e-09</v>
      </c>
      <c r="I8437" t="inlineStr">
        <is>
          <t>TrEMBL</t>
        </is>
      </c>
      <c r="J8437" t="inlineStr">
        <is>
          <t>LOC121393288</t>
        </is>
      </c>
      <c r="K8437" t="inlineStr">
        <is>
          <t>A0A8J1KLR0_XENLA</t>
        </is>
      </c>
      <c r="L8437" t="inlineStr">
        <is>
          <t>tr|A0A8J1KLR0|A0A8J1KLR0_XENLA ribonuclease H OS=Xenopus laevis OX=8355 GN=LOC121393288 PE=3 SV=1</t>
        </is>
      </c>
      <c r="M8437" t="n">
        <v>718</v>
      </c>
      <c r="N8437" t="inlineStr">
        <is>
          <t>Xenopus laevis</t>
        </is>
      </c>
      <c r="O8437" t="inlineStr">
        <is>
          <t>ribonuclease H</t>
        </is>
      </c>
    </row>
    <row r="8438">
      <c r="A8438" t="inlineStr"/>
      <c r="B8438" t="inlineStr"/>
      <c r="C8438" t="inlineStr"/>
      <c r="D8438" t="inlineStr"/>
      <c r="E8438">
        <f>HYPERLINK("https://www.ncbi.nlm.nih.gov/gene/?term=XP_029453158.1", "XP_029453158.1")</f>
        <v/>
      </c>
      <c r="F8438" t="n">
        <v>52.8</v>
      </c>
      <c r="G8438" t="n">
        <v>72</v>
      </c>
      <c r="H8438" t="n">
        <v>1.72e-09</v>
      </c>
      <c r="I8438" t="inlineStr">
        <is>
          <t>Nr</t>
        </is>
      </c>
      <c r="J8438" t="inlineStr"/>
      <c r="K8438" t="inlineStr"/>
      <c r="L8438" t="inlineStr">
        <is>
          <t>XP_029453158.1 protein-glutamate O-methyltransferase isoform X3 [Rhinatrema bivittatum]</t>
        </is>
      </c>
      <c r="M8438" t="n">
        <v>405</v>
      </c>
      <c r="N8438" t="inlineStr">
        <is>
          <t>Rhinatrema bivittatum</t>
        </is>
      </c>
      <c r="O8438" t="inlineStr">
        <is>
          <t>protein-glutamate O-methyltransferase isoform X3</t>
        </is>
      </c>
    </row>
    <row r="8439">
      <c r="A8439" t="inlineStr"/>
      <c r="B8439" t="inlineStr"/>
      <c r="C8439" t="inlineStr"/>
      <c r="D8439" t="inlineStr"/>
      <c r="E8439">
        <f>HYPERLINK("https://www.ncbi.nlm.nih.gov/gene/?term=XP_034272358.1", "XP_034272358.1")</f>
        <v/>
      </c>
      <c r="F8439" t="n">
        <v>36.7</v>
      </c>
      <c r="G8439" t="n">
        <v>109</v>
      </c>
      <c r="H8439" t="n">
        <v>1.92e-09</v>
      </c>
      <c r="I8439" t="inlineStr">
        <is>
          <t>Nr</t>
        </is>
      </c>
      <c r="J8439" t="inlineStr"/>
      <c r="K8439" t="inlineStr"/>
      <c r="L8439" t="inlineStr">
        <is>
          <t>XP_034272358.1 uncharacterized protein LOC117664969 isoform X1 [Pantherophis guttatus]</t>
        </is>
      </c>
      <c r="M8439" t="n">
        <v>862</v>
      </c>
      <c r="N8439" t="inlineStr">
        <is>
          <t>Pantherophis guttatus</t>
        </is>
      </c>
      <c r="O8439" t="inlineStr">
        <is>
          <t>uncharacterized protein LOC117664969 isoform X1</t>
        </is>
      </c>
    </row>
    <row r="8440">
      <c r="A8440" t="inlineStr"/>
      <c r="B8440" t="inlineStr"/>
      <c r="C8440" t="inlineStr"/>
      <c r="D8440" t="inlineStr"/>
      <c r="E8440">
        <f>HYPERLINK("https://www.ncbi.nlm.nih.gov/gene/?term=KAG8452945.1", "KAG8452945.1")</f>
        <v/>
      </c>
      <c r="F8440" t="n">
        <v>47.8</v>
      </c>
      <c r="G8440" t="n">
        <v>69</v>
      </c>
      <c r="H8440" t="n">
        <v>2.76e-09</v>
      </c>
      <c r="I8440" t="inlineStr">
        <is>
          <t>Nr</t>
        </is>
      </c>
      <c r="J8440" t="inlineStr"/>
      <c r="K8440" t="inlineStr"/>
      <c r="L8440" t="inlineStr">
        <is>
          <t>KAG8452945.1 hypothetical protein GDO86_004664 [Hymenochirus boettgeri]</t>
        </is>
      </c>
      <c r="M8440" t="n">
        <v>3511</v>
      </c>
      <c r="N8440" t="inlineStr">
        <is>
          <t>Hymenochirus boettgeri</t>
        </is>
      </c>
      <c r="O8440" t="inlineStr">
        <is>
          <t>hypothetical protein GDO86_004664</t>
        </is>
      </c>
    </row>
    <row r="8441">
      <c r="A8441" t="inlineStr"/>
      <c r="B8441" t="inlineStr"/>
      <c r="C8441" t="inlineStr"/>
      <c r="D8441" t="inlineStr"/>
      <c r="E8441">
        <f>HYPERLINK("https://www.ncbi.nlm.nih.gov/gene/?term=KAJ1091926.1", "KAJ1091926.1")</f>
        <v/>
      </c>
      <c r="F8441" t="n">
        <v>53</v>
      </c>
      <c r="G8441" t="n">
        <v>66</v>
      </c>
      <c r="H8441" t="n">
        <v>3.3e-09</v>
      </c>
      <c r="I8441" t="inlineStr">
        <is>
          <t>Nr</t>
        </is>
      </c>
      <c r="J8441" t="inlineStr"/>
      <c r="K8441" t="inlineStr"/>
      <c r="L8441" t="inlineStr">
        <is>
          <t>KAJ1091926.1 hypothetical protein NDU88_005040 [Pleurodeles waltl]</t>
        </is>
      </c>
      <c r="M8441" t="n">
        <v>200</v>
      </c>
      <c r="N8441" t="inlineStr">
        <is>
          <t>Pleurodeles waltl</t>
        </is>
      </c>
      <c r="O8441" t="inlineStr">
        <is>
          <t>hypothetical protein NDU88_005040</t>
        </is>
      </c>
    </row>
    <row r="8442">
      <c r="A8442" t="inlineStr"/>
      <c r="B8442" t="inlineStr"/>
      <c r="C8442" t="inlineStr"/>
      <c r="D8442" t="inlineStr"/>
      <c r="E8442">
        <f>HYPERLINK("https://www.ncbi.nlm.nih.gov/gene/?term=XP_041417179.1", "XP_041417179.1")</f>
        <v/>
      </c>
      <c r="F8442" t="n">
        <v>54.3</v>
      </c>
      <c r="G8442" t="n">
        <v>70</v>
      </c>
      <c r="H8442" t="n">
        <v>3.52e-09</v>
      </c>
      <c r="I8442" t="inlineStr">
        <is>
          <t>Nr</t>
        </is>
      </c>
      <c r="J8442" t="inlineStr"/>
      <c r="K8442" t="inlineStr"/>
      <c r="L8442" t="inlineStr">
        <is>
          <t>XP_041417179.1 uncharacterized protein LOC121393288 [Xenopus laevis]</t>
        </is>
      </c>
      <c r="M8442" t="n">
        <v>718</v>
      </c>
      <c r="N8442" t="inlineStr">
        <is>
          <t>Xenopus laevis</t>
        </is>
      </c>
      <c r="O8442" t="inlineStr">
        <is>
          <t>uncharacterized protein LOC121393288</t>
        </is>
      </c>
    </row>
    <row r="8443">
      <c r="A8443" t="inlineStr"/>
      <c r="B8443" t="inlineStr"/>
      <c r="C8443" t="inlineStr"/>
      <c r="D8443" t="inlineStr"/>
      <c r="E8443">
        <f>HYPERLINK("https://www.uniprot.org/uniprotkb/A0A2D4JGJ4/entry", "A0A2D4JGJ4")</f>
        <v/>
      </c>
      <c r="F8443" t="n">
        <v>44</v>
      </c>
      <c r="G8443" t="n">
        <v>75</v>
      </c>
      <c r="H8443" t="n">
        <v>3.53e-09</v>
      </c>
      <c r="I8443" t="inlineStr">
        <is>
          <t>TrEMBL</t>
        </is>
      </c>
      <c r="J8443" t="inlineStr"/>
      <c r="K8443" t="inlineStr">
        <is>
          <t>A0A2D4JGJ4_MICLE</t>
        </is>
      </c>
      <c r="L8443" t="inlineStr">
        <is>
          <t>tr|A0A2D4JGJ4|A0A2D4JGJ4_MICLE ribonuclease H (Fragment) OS=Micrurus lemniscatus lemniscatus OX=129467 PE=3 SV=1</t>
        </is>
      </c>
      <c r="M8443" t="n">
        <v>125</v>
      </c>
      <c r="N8443" t="inlineStr">
        <is>
          <t>Micrurus lemniscatus lemniscatus</t>
        </is>
      </c>
      <c r="O8443" t="inlineStr">
        <is>
          <t>ribonuclease H (Fragment)</t>
        </is>
      </c>
    </row>
    <row r="8444">
      <c r="A8444" t="inlineStr"/>
      <c r="B8444" t="inlineStr"/>
      <c r="C8444" t="inlineStr"/>
      <c r="D8444" t="inlineStr"/>
      <c r="E8444">
        <f>HYPERLINK("https://www.ncbi.nlm.nih.gov/gene/?term=XP_015669223.1", "XP_015669223.1")</f>
        <v/>
      </c>
      <c r="F8444" t="n">
        <v>41</v>
      </c>
      <c r="G8444" t="n">
        <v>100</v>
      </c>
      <c r="H8444" t="n">
        <v>5.07e-09</v>
      </c>
      <c r="I8444" t="inlineStr">
        <is>
          <t>Nr</t>
        </is>
      </c>
      <c r="J8444" t="inlineStr"/>
      <c r="K8444" t="inlineStr"/>
      <c r="L8444" t="inlineStr">
        <is>
          <t>XP_015669223.1 rho guanine nucleotide exchange factor 12 [Protobothrops mucrosquamatus]</t>
        </is>
      </c>
      <c r="M8444" t="n">
        <v>1889</v>
      </c>
      <c r="N8444" t="inlineStr">
        <is>
          <t>Protobothrops mucrosquamatus</t>
        </is>
      </c>
      <c r="O8444" t="inlineStr">
        <is>
          <t>rho guanine nucleotide exchange factor 12</t>
        </is>
      </c>
    </row>
    <row r="8445">
      <c r="A8445" t="inlineStr"/>
      <c r="B8445" t="inlineStr"/>
      <c r="C8445" t="inlineStr"/>
      <c r="D8445" t="inlineStr"/>
      <c r="E8445">
        <f>HYPERLINK("https://www.uniprot.org/uniprotkb/A0A2G8KCD0/entry", "A0A2G8KCD0")</f>
        <v/>
      </c>
      <c r="F8445" t="n">
        <v>45.3</v>
      </c>
      <c r="G8445" t="n">
        <v>86</v>
      </c>
      <c r="H8445" t="n">
        <v>6.07e-09</v>
      </c>
      <c r="I8445" t="inlineStr">
        <is>
          <t>TrEMBL</t>
        </is>
      </c>
      <c r="J8445" t="inlineStr">
        <is>
          <t>BSL78_17512</t>
        </is>
      </c>
      <c r="K8445" t="inlineStr">
        <is>
          <t>A0A2G8KCD0_STIJA</t>
        </is>
      </c>
      <c r="L8445" t="inlineStr">
        <is>
          <t>tr|A0A2G8KCD0|A0A2G8KCD0_STIJA Reverse transcriptase domain-containing protein OS=Stichopus japonicus OX=307972 GN=BSL78_17512 PE=4 SV=1</t>
        </is>
      </c>
      <c r="M8445" t="n">
        <v>432</v>
      </c>
      <c r="N8445" t="inlineStr">
        <is>
          <t>Stichopus japonicus</t>
        </is>
      </c>
      <c r="O8445" t="inlineStr">
        <is>
          <t>Reverse transcriptase domain-containing protein</t>
        </is>
      </c>
    </row>
    <row r="8446">
      <c r="A8446" t="inlineStr"/>
      <c r="B8446" t="inlineStr"/>
      <c r="C8446" t="inlineStr"/>
      <c r="D8446" t="inlineStr"/>
      <c r="E8446">
        <f>HYPERLINK("https://www.uniprot.org/uniprotkb/A0A2D4ETU5/entry", "A0A2D4ETU5")</f>
        <v/>
      </c>
      <c r="F8446" t="n">
        <v>48</v>
      </c>
      <c r="G8446" t="n">
        <v>75</v>
      </c>
      <c r="H8446" t="n">
        <v>6.29e-09</v>
      </c>
      <c r="I8446" t="inlineStr">
        <is>
          <t>TrEMBL</t>
        </is>
      </c>
      <c r="J8446" t="inlineStr"/>
      <c r="K8446" t="inlineStr">
        <is>
          <t>A0A2D4ETU5_MICCO</t>
        </is>
      </c>
      <c r="L8446" t="inlineStr">
        <is>
          <t>tr|A0A2D4ETU5|A0A2D4ETU5_MICCO ribonuclease H (Fragment) OS=Micrurus corallinus OX=54390 PE=3 SV=1</t>
        </is>
      </c>
      <c r="M8446" t="n">
        <v>120</v>
      </c>
      <c r="N8446" t="inlineStr">
        <is>
          <t>Micrurus corallinus</t>
        </is>
      </c>
      <c r="O8446" t="inlineStr">
        <is>
          <t>ribonuclease H (Fragment)</t>
        </is>
      </c>
    </row>
    <row r="8447">
      <c r="A8447" t="inlineStr"/>
      <c r="B8447" t="inlineStr"/>
      <c r="C8447" t="inlineStr"/>
      <c r="D8447" t="inlineStr"/>
      <c r="E8447">
        <f>HYPERLINK("https://www.ncbi.nlm.nih.gov/gene/?term=XP_029451018.1", "XP_029451018.1")</f>
        <v/>
      </c>
      <c r="F8447" t="n">
        <v>52</v>
      </c>
      <c r="G8447" t="n">
        <v>75</v>
      </c>
      <c r="H8447" t="n">
        <v>1.12e-08</v>
      </c>
      <c r="I8447" t="inlineStr">
        <is>
          <t>Nr</t>
        </is>
      </c>
      <c r="J8447" t="inlineStr"/>
      <c r="K8447" t="inlineStr"/>
      <c r="L8447" t="inlineStr">
        <is>
          <t>XP_029451018.1 heterogeneous nuclear ribonucleoprotein A1 isoform X2 [Rhinatrema bivittatum]</t>
        </is>
      </c>
      <c r="M8447" t="n">
        <v>407</v>
      </c>
      <c r="N8447" t="inlineStr">
        <is>
          <t>Rhinatrema bivittatum</t>
        </is>
      </c>
      <c r="O8447" t="inlineStr">
        <is>
          <t>heterogeneous nuclear ribonucleoprotein A1 isoform X2</t>
        </is>
      </c>
    </row>
    <row r="8448">
      <c r="A8448" t="inlineStr"/>
      <c r="B8448" t="inlineStr"/>
      <c r="C8448" t="inlineStr"/>
      <c r="D8448" t="inlineStr"/>
      <c r="E8448">
        <f>HYPERLINK("https://www.uniprot.org/uniprotkb/A0A8J1MIB1/entry", "A0A8J1MIB1")</f>
        <v/>
      </c>
      <c r="F8448" t="n">
        <v>54.4</v>
      </c>
      <c r="G8448" t="n">
        <v>57</v>
      </c>
      <c r="H8448" t="n">
        <v>1.22e-08</v>
      </c>
      <c r="I8448" t="inlineStr">
        <is>
          <t>TrEMBL</t>
        </is>
      </c>
      <c r="J8448" t="inlineStr">
        <is>
          <t>LOC121401203</t>
        </is>
      </c>
      <c r="K8448" t="inlineStr">
        <is>
          <t>A0A8J1MIB1_XENLA</t>
        </is>
      </c>
      <c r="L8448" t="inlineStr">
        <is>
          <t>tr|A0A8J1MIB1|A0A8J1MIB1_XENLA ribonuclease H OS=Xenopus laevis OX=8355 GN=LOC121401203 PE=3 SV=1</t>
        </is>
      </c>
      <c r="M8448" t="n">
        <v>804</v>
      </c>
      <c r="N8448" t="inlineStr">
        <is>
          <t>Xenopus laevis</t>
        </is>
      </c>
      <c r="O8448" t="inlineStr">
        <is>
          <t>ribonuclease H</t>
        </is>
      </c>
    </row>
    <row r="8449">
      <c r="A8449" t="inlineStr"/>
      <c r="B8449" t="inlineStr"/>
      <c r="C8449" t="inlineStr"/>
      <c r="D8449" t="inlineStr"/>
      <c r="E8449">
        <f>HYPERLINK("https://www.ncbi.nlm.nih.gov/gene/?term=XP_039211541.1", "XP_039211541.1")</f>
        <v/>
      </c>
      <c r="F8449" t="n">
        <v>48</v>
      </c>
      <c r="G8449" t="n">
        <v>75</v>
      </c>
      <c r="H8449" t="n">
        <v>1.23e-08</v>
      </c>
      <c r="I8449" t="inlineStr">
        <is>
          <t>Nr</t>
        </is>
      </c>
      <c r="J8449" t="inlineStr"/>
      <c r="K8449" t="inlineStr"/>
      <c r="L8449" t="inlineStr">
        <is>
          <t>XP_039211541.1 exocyst complex component 3 isoform X1 [Crotalus tigris]</t>
        </is>
      </c>
      <c r="M8449" t="n">
        <v>787</v>
      </c>
      <c r="N8449" t="inlineStr">
        <is>
          <t>Crotalus tigris</t>
        </is>
      </c>
      <c r="O8449" t="inlineStr">
        <is>
          <t>exocyst complex component 3 isoform X1</t>
        </is>
      </c>
    </row>
    <row r="8450">
      <c r="A8450" t="inlineStr"/>
      <c r="B8450" t="inlineStr"/>
      <c r="C8450" t="inlineStr"/>
      <c r="D8450" t="inlineStr"/>
      <c r="E8450">
        <f>HYPERLINK("https://www.ncbi.nlm.nih.gov/gene/?term=XP_018432223.1", "XP_018432223.1")</f>
        <v/>
      </c>
      <c r="F8450" t="n">
        <v>54.4</v>
      </c>
      <c r="G8450" t="n">
        <v>68</v>
      </c>
      <c r="H8450" t="n">
        <v>1.3e-08</v>
      </c>
      <c r="I8450" t="inlineStr">
        <is>
          <t>Nr</t>
        </is>
      </c>
      <c r="J8450" t="inlineStr"/>
      <c r="K8450" t="inlineStr"/>
      <c r="L8450" t="inlineStr">
        <is>
          <t>XP_018432223.1 PREDICTED: gamma-tubulin complex component 6 [Nanorana parkeri]</t>
        </is>
      </c>
      <c r="M8450" t="n">
        <v>2620</v>
      </c>
      <c r="N8450" t="inlineStr">
        <is>
          <t>Nanorana parkeri</t>
        </is>
      </c>
      <c r="O8450" t="inlineStr">
        <is>
          <t>PREDICTED: gamma-tubulin complex component 6</t>
        </is>
      </c>
    </row>
    <row r="8451">
      <c r="A8451" t="inlineStr"/>
      <c r="B8451" t="inlineStr"/>
      <c r="C8451" t="inlineStr"/>
      <c r="D8451" t="inlineStr"/>
      <c r="E8451">
        <f>HYPERLINK("https://www.ncbi.nlm.nih.gov/gene/?term=PIK45632.1", "PIK45632.1")</f>
        <v/>
      </c>
      <c r="F8451" t="n">
        <v>45.3</v>
      </c>
      <c r="G8451" t="n">
        <v>86</v>
      </c>
      <c r="H8451" t="n">
        <v>1.56e-08</v>
      </c>
      <c r="I8451" t="inlineStr">
        <is>
          <t>Nr</t>
        </is>
      </c>
      <c r="J8451" t="inlineStr"/>
      <c r="K8451" t="inlineStr"/>
      <c r="L8451" t="inlineStr">
        <is>
          <t>PIK45632.1 hypothetical protein BSL78_17512 [Apostichopus japonicus]</t>
        </is>
      </c>
      <c r="M8451" t="n">
        <v>432</v>
      </c>
      <c r="N8451" t="inlineStr">
        <is>
          <t>Apostichopus japonicus</t>
        </is>
      </c>
      <c r="O8451" t="inlineStr">
        <is>
          <t>hypothetical protein BSL78_17512</t>
        </is>
      </c>
    </row>
    <row r="8452">
      <c r="A8452" t="inlineStr"/>
      <c r="B8452" t="inlineStr"/>
      <c r="C8452" t="inlineStr"/>
      <c r="D8452" t="inlineStr"/>
      <c r="E8452">
        <f>HYPERLINK("https://www.ncbi.nlm.nih.gov/gene/?term=KAJ1135229.1", "KAJ1135229.1")</f>
        <v/>
      </c>
      <c r="F8452" t="n">
        <v>55.9</v>
      </c>
      <c r="G8452" t="n">
        <v>59</v>
      </c>
      <c r="H8452" t="n">
        <v>1.58e-08</v>
      </c>
      <c r="I8452" t="inlineStr">
        <is>
          <t>Nr</t>
        </is>
      </c>
      <c r="J8452" t="inlineStr"/>
      <c r="K8452" t="inlineStr"/>
      <c r="L8452" t="inlineStr">
        <is>
          <t>KAJ1135229.1 hypothetical protein NDU88_001673, partial [Pleurodeles waltl]</t>
        </is>
      </c>
      <c r="M8452" t="n">
        <v>75</v>
      </c>
      <c r="N8452" t="inlineStr">
        <is>
          <t>Pleurodeles waltl</t>
        </is>
      </c>
      <c r="O8452" t="inlineStr">
        <is>
          <t>hypothetical protein NDU88_001673, partial</t>
        </is>
      </c>
    </row>
    <row r="8453">
      <c r="A8453" t="inlineStr"/>
      <c r="B8453" t="inlineStr"/>
      <c r="C8453" t="inlineStr"/>
      <c r="D8453" t="inlineStr"/>
      <c r="E8453">
        <f>HYPERLINK("https://www.uniprot.org/uniprotkb/R4GCJ8/entry", "R4GCJ8")</f>
        <v/>
      </c>
      <c r="F8453" t="n">
        <v>54.2</v>
      </c>
      <c r="G8453" t="n">
        <v>72</v>
      </c>
      <c r="H8453" t="n">
        <v>1.59e-08</v>
      </c>
      <c r="I8453" t="inlineStr">
        <is>
          <t>TrEMBL</t>
        </is>
      </c>
      <c r="J8453" t="inlineStr"/>
      <c r="K8453" t="inlineStr">
        <is>
          <t>R4GCJ8_ANOCA</t>
        </is>
      </c>
      <c r="L8453" t="inlineStr">
        <is>
          <t>tr|R4GCJ8|R4GCJ8_ANOCA ribonuclease H OS=Anolis carolinensis OX=28377 PE=3 SV=2</t>
        </is>
      </c>
      <c r="M8453" t="n">
        <v>512</v>
      </c>
      <c r="N8453" t="inlineStr">
        <is>
          <t>Anolis carolinensis</t>
        </is>
      </c>
      <c r="O8453" t="inlineStr">
        <is>
          <t>ribonuclease H</t>
        </is>
      </c>
    </row>
    <row r="8454">
      <c r="A8454" t="inlineStr"/>
      <c r="B8454" t="inlineStr"/>
      <c r="C8454" t="inlineStr"/>
      <c r="D8454" t="inlineStr"/>
      <c r="E8454">
        <f>HYPERLINK("https://www.uniprot.org/uniprotkb/A0A803KB01/entry", "A0A803KB01")</f>
        <v/>
      </c>
      <c r="F8454" t="n">
        <v>48.5</v>
      </c>
      <c r="G8454" t="n">
        <v>68</v>
      </c>
      <c r="H8454" t="n">
        <v>1.68e-08</v>
      </c>
      <c r="I8454" t="inlineStr">
        <is>
          <t>TrEMBL</t>
        </is>
      </c>
      <c r="J8454" t="inlineStr"/>
      <c r="K8454" t="inlineStr">
        <is>
          <t>A0A803KB01_XENTR</t>
        </is>
      </c>
      <c r="L8454" t="inlineStr">
        <is>
          <t>tr|A0A803KB01|A0A803KB01_XENTR ribonuclease H OS=Xenopus tropicalis OX=8364 PE=3 SV=1</t>
        </is>
      </c>
      <c r="M8454" t="n">
        <v>909</v>
      </c>
      <c r="N8454" t="inlineStr">
        <is>
          <t>Xenopus tropicalis</t>
        </is>
      </c>
      <c r="O8454" t="inlineStr">
        <is>
          <t>ribonuclease H</t>
        </is>
      </c>
    </row>
    <row r="8455">
      <c r="A8455" t="inlineStr"/>
      <c r="B8455" t="inlineStr"/>
      <c r="C8455" t="inlineStr"/>
      <c r="D8455" t="inlineStr"/>
      <c r="E8455">
        <f>HYPERLINK("https://www.ncbi.nlm.nih.gov/gene/?term=KAJ1125028.1", "KAJ1125028.1")</f>
        <v/>
      </c>
      <c r="F8455" t="n">
        <v>51.5</v>
      </c>
      <c r="G8455" t="n">
        <v>66</v>
      </c>
      <c r="H8455" t="n">
        <v>1.73e-08</v>
      </c>
      <c r="I8455" t="inlineStr">
        <is>
          <t>Nr</t>
        </is>
      </c>
      <c r="J8455" t="inlineStr"/>
      <c r="K8455" t="inlineStr"/>
      <c r="L8455" t="inlineStr">
        <is>
          <t>KAJ1125028.1 hypothetical protein NDU88_003468 [Pleurodeles waltl]</t>
        </is>
      </c>
      <c r="M8455" t="n">
        <v>1222</v>
      </c>
      <c r="N8455" t="inlineStr">
        <is>
          <t>Pleurodeles waltl</t>
        </is>
      </c>
      <c r="O8455" t="inlineStr">
        <is>
          <t>hypothetical protein NDU88_003468</t>
        </is>
      </c>
    </row>
    <row r="8456">
      <c r="A8456" t="inlineStr"/>
      <c r="B8456" t="inlineStr"/>
      <c r="C8456" t="inlineStr"/>
      <c r="D8456" t="inlineStr"/>
      <c r="E8456">
        <f>HYPERLINK("https://www.uniprot.org/uniprotkb/A0A2D4PYN9/entry", "A0A2D4PYN9")</f>
        <v/>
      </c>
      <c r="F8456" t="n">
        <v>56.8</v>
      </c>
      <c r="G8456" t="n">
        <v>44</v>
      </c>
      <c r="H8456" t="n">
        <v>2.06e-08</v>
      </c>
      <c r="I8456" t="inlineStr">
        <is>
          <t>TrEMBL</t>
        </is>
      </c>
      <c r="J8456" t="inlineStr"/>
      <c r="K8456" t="inlineStr">
        <is>
          <t>A0A2D4PYN9_MICSU</t>
        </is>
      </c>
      <c r="L8456" t="inlineStr">
        <is>
          <t>tr|A0A2D4PYN9|A0A2D4PYN9_MICSU ribonuclease H (Fragment) OS=Micrurus surinamensis OX=129470 PE=3 SV=1</t>
        </is>
      </c>
      <c r="M8456" t="n">
        <v>286</v>
      </c>
      <c r="N8456" t="inlineStr">
        <is>
          <t>Micrurus surinamensis</t>
        </is>
      </c>
      <c r="O8456" t="inlineStr">
        <is>
          <t>ribonuclease H (Fragment)</t>
        </is>
      </c>
    </row>
    <row r="8457">
      <c r="A8457" t="inlineStr"/>
      <c r="B8457" t="inlineStr"/>
      <c r="C8457" t="inlineStr"/>
      <c r="D8457" t="inlineStr"/>
      <c r="E8457">
        <f>HYPERLINK("https://www.ncbi.nlm.nih.gov/gene/?term=KAJ1187211.1", "KAJ1187211.1")</f>
        <v/>
      </c>
      <c r="F8457" t="n">
        <v>53</v>
      </c>
      <c r="G8457" t="n">
        <v>66</v>
      </c>
      <c r="H8457" t="n">
        <v>2.26e-08</v>
      </c>
      <c r="I8457" t="inlineStr">
        <is>
          <t>Nr</t>
        </is>
      </c>
      <c r="J8457" t="inlineStr"/>
      <c r="K8457" t="inlineStr"/>
      <c r="L8457" t="inlineStr">
        <is>
          <t>KAJ1187211.1 hypothetical protein NDU88_003990 [Pleurodeles waltl]</t>
        </is>
      </c>
      <c r="M8457" t="n">
        <v>684</v>
      </c>
      <c r="N8457" t="inlineStr">
        <is>
          <t>Pleurodeles waltl</t>
        </is>
      </c>
      <c r="O8457" t="inlineStr">
        <is>
          <t>hypothetical protein NDU88_003990</t>
        </is>
      </c>
    </row>
    <row r="8458">
      <c r="A8458" t="inlineStr"/>
      <c r="B8458" t="inlineStr"/>
      <c r="C8458" t="inlineStr"/>
      <c r="D8458" t="inlineStr"/>
      <c r="E8458">
        <f>HYPERLINK("https://www.uniprot.org/uniprotkb/A0A2D4MTD7/entry", "A0A2D4MTD7")</f>
        <v/>
      </c>
      <c r="F8458" t="n">
        <v>45.7</v>
      </c>
      <c r="G8458" t="n">
        <v>70</v>
      </c>
      <c r="H8458" t="n">
        <v>2.29e-08</v>
      </c>
      <c r="I8458" t="inlineStr">
        <is>
          <t>TrEMBL</t>
        </is>
      </c>
      <c r="J8458" t="inlineStr"/>
      <c r="K8458" t="inlineStr">
        <is>
          <t>A0A2D4MTD7_9SAUR</t>
        </is>
      </c>
      <c r="L8458" t="inlineStr">
        <is>
          <t>tr|A0A2D4MTD7|A0A2D4MTD7_9SAUR ribonuclease H (Fragment) OS=Micrurus spixii OX=129469 PE=3 SV=1</t>
        </is>
      </c>
      <c r="M8458" t="n">
        <v>101</v>
      </c>
      <c r="N8458" t="inlineStr">
        <is>
          <t>Micrurus spixii</t>
        </is>
      </c>
      <c r="O8458" t="inlineStr">
        <is>
          <t>ribonuclease H (Fragment)</t>
        </is>
      </c>
    </row>
    <row r="8459">
      <c r="A8459" t="inlineStr"/>
      <c r="B8459" t="inlineStr"/>
      <c r="C8459" t="inlineStr"/>
      <c r="D8459" t="inlineStr"/>
      <c r="E8459">
        <f>HYPERLINK("https://www.uniprot.org/uniprotkb/A0A2H6MUS4/entry", "A0A2H6MUS4")</f>
        <v/>
      </c>
      <c r="F8459" t="n">
        <v>38.4</v>
      </c>
      <c r="G8459" t="n">
        <v>86</v>
      </c>
      <c r="H8459" t="n">
        <v>2.29e-08</v>
      </c>
      <c r="I8459" t="inlineStr">
        <is>
          <t>TrEMBL</t>
        </is>
      </c>
      <c r="J8459" t="inlineStr"/>
      <c r="K8459" t="inlineStr">
        <is>
          <t>A0A2H6MUS4_MICLE</t>
        </is>
      </c>
      <c r="L8459" t="inlineStr">
        <is>
          <t>tr|A0A2H6MUS4|A0A2H6MUS4_MICLE ribonuclease H (Fragment) OS=Micrurus lemniscatus carvalhoi OX=129465 PE=3 SV=1</t>
        </is>
      </c>
      <c r="M8459" t="n">
        <v>101</v>
      </c>
      <c r="N8459" t="inlineStr">
        <is>
          <t>Micrurus lemniscatus carvalhoi</t>
        </is>
      </c>
      <c r="O8459" t="inlineStr">
        <is>
          <t>ribonuclease H (Fragment)</t>
        </is>
      </c>
    </row>
    <row r="8460">
      <c r="A8460" t="inlineStr"/>
      <c r="B8460" t="inlineStr"/>
      <c r="C8460" t="inlineStr"/>
      <c r="D8460" t="inlineStr"/>
      <c r="E8460">
        <f>HYPERLINK("https://www.uniprot.org/uniprotkb/A0A1X7TVH7/entry", "A0A1X7TVH7")</f>
        <v/>
      </c>
      <c r="F8460" t="n">
        <v>33</v>
      </c>
      <c r="G8460" t="n">
        <v>115</v>
      </c>
      <c r="H8460" t="n">
        <v>2.33e-08</v>
      </c>
      <c r="I8460" t="inlineStr">
        <is>
          <t>TrEMBL</t>
        </is>
      </c>
      <c r="J8460" t="inlineStr"/>
      <c r="K8460" t="inlineStr">
        <is>
          <t>A0A1X7TVH7_AMPQE</t>
        </is>
      </c>
      <c r="L8460" t="inlineStr">
        <is>
          <t>tr|A0A1X7TVH7|A0A1X7TVH7_AMPQE Reverse transcriptase domain-containing protein OS=Amphimedon queenslandica OX=400682 PE=4 SV=1</t>
        </is>
      </c>
      <c r="M8460" t="n">
        <v>192</v>
      </c>
      <c r="N8460" t="inlineStr">
        <is>
          <t>Amphimedon queenslandica</t>
        </is>
      </c>
      <c r="O8460" t="inlineStr">
        <is>
          <t>Reverse transcriptase domain-containing protein</t>
        </is>
      </c>
    </row>
    <row r="8461">
      <c r="A8461" t="inlineStr"/>
      <c r="B8461" t="inlineStr"/>
      <c r="C8461" t="inlineStr"/>
      <c r="D8461" t="inlineStr"/>
      <c r="E8461">
        <f>HYPERLINK("https://www.uniprot.org/uniprotkb/A0A6I9Y928/entry", "A0A6I9Y928")</f>
        <v/>
      </c>
      <c r="F8461" t="n">
        <v>59.1</v>
      </c>
      <c r="G8461" t="n">
        <v>44</v>
      </c>
      <c r="H8461" t="n">
        <v>2.81e-08</v>
      </c>
      <c r="I8461" t="inlineStr">
        <is>
          <t>TrEMBL</t>
        </is>
      </c>
      <c r="J8461" t="inlineStr">
        <is>
          <t>PPP3R1</t>
        </is>
      </c>
      <c r="K8461" t="inlineStr">
        <is>
          <t>A0A6I9Y928_9SAUR</t>
        </is>
      </c>
      <c r="L8461" t="inlineStr">
        <is>
          <t>tr|A0A6I9Y928|A0A6I9Y928_9SAUR ribonuclease H OS=Thamnophis sirtalis OX=35019 GN=PPP3R1 PE=3 SV=1</t>
        </is>
      </c>
      <c r="M8461" t="n">
        <v>456</v>
      </c>
      <c r="N8461" t="inlineStr">
        <is>
          <t>Thamnophis sirtalis</t>
        </is>
      </c>
      <c r="O8461" t="inlineStr">
        <is>
          <t>ribonuclease H</t>
        </is>
      </c>
    </row>
    <row r="8462">
      <c r="A8462" t="inlineStr"/>
      <c r="B8462" t="inlineStr"/>
      <c r="C8462" t="inlineStr"/>
      <c r="D8462" t="inlineStr"/>
      <c r="E8462">
        <f>HYPERLINK("https://www.ncbi.nlm.nih.gov/gene/?term=KAJ1158113.1", "KAJ1158113.1")</f>
        <v/>
      </c>
      <c r="F8462" t="n">
        <v>51.5</v>
      </c>
      <c r="G8462" t="n">
        <v>66</v>
      </c>
      <c r="H8462" t="n">
        <v>2.87e-08</v>
      </c>
      <c r="I8462" t="inlineStr">
        <is>
          <t>Nr</t>
        </is>
      </c>
      <c r="J8462" t="inlineStr"/>
      <c r="K8462" t="inlineStr"/>
      <c r="L8462" t="inlineStr">
        <is>
          <t>KAJ1158113.1 hypothetical protein NDU88_010807 [Pleurodeles waltl]</t>
        </is>
      </c>
      <c r="M8462" t="n">
        <v>212</v>
      </c>
      <c r="N8462" t="inlineStr">
        <is>
          <t>Pleurodeles waltl</t>
        </is>
      </c>
      <c r="O8462" t="inlineStr">
        <is>
          <t>hypothetical protein NDU88_010807</t>
        </is>
      </c>
    </row>
    <row r="8463">
      <c r="A8463" t="inlineStr"/>
      <c r="B8463" t="inlineStr"/>
      <c r="C8463" t="inlineStr"/>
      <c r="D8463" t="inlineStr"/>
      <c r="E8463">
        <f>HYPERLINK("https://www.ncbi.nlm.nih.gov/gene/?term=KAJ1206681.1", "KAJ1206681.1")</f>
        <v/>
      </c>
      <c r="F8463" t="n">
        <v>48.5</v>
      </c>
      <c r="G8463" t="n">
        <v>66</v>
      </c>
      <c r="H8463" t="n">
        <v>2.94e-08</v>
      </c>
      <c r="I8463" t="inlineStr">
        <is>
          <t>Nr</t>
        </is>
      </c>
      <c r="J8463" t="inlineStr"/>
      <c r="K8463" t="inlineStr"/>
      <c r="L8463" t="inlineStr">
        <is>
          <t>KAJ1206681.1 hypothetical protein NDU88_002082 [Pleurodeles waltl]</t>
        </is>
      </c>
      <c r="M8463" t="n">
        <v>116</v>
      </c>
      <c r="N8463" t="inlineStr">
        <is>
          <t>Pleurodeles waltl</t>
        </is>
      </c>
      <c r="O8463" t="inlineStr">
        <is>
          <t>hypothetical protein NDU88_002082</t>
        </is>
      </c>
    </row>
    <row r="8464">
      <c r="A8464" t="inlineStr"/>
      <c r="B8464" t="inlineStr"/>
      <c r="C8464" t="inlineStr"/>
      <c r="D8464" t="inlineStr"/>
      <c r="E8464">
        <f>HYPERLINK("https://www.ncbi.nlm.nih.gov/gene/?term=KAJ1155940.1", "KAJ1155940.1")</f>
        <v/>
      </c>
      <c r="F8464" t="n">
        <v>51.5</v>
      </c>
      <c r="G8464" t="n">
        <v>66</v>
      </c>
      <c r="H8464" t="n">
        <v>2.98e-08</v>
      </c>
      <c r="I8464" t="inlineStr">
        <is>
          <t>Nr</t>
        </is>
      </c>
      <c r="J8464" t="inlineStr"/>
      <c r="K8464" t="inlineStr"/>
      <c r="L8464" t="inlineStr">
        <is>
          <t>KAJ1155940.1 hypothetical protein NDU88_008665 [Pleurodeles waltl]</t>
        </is>
      </c>
      <c r="M8464" t="n">
        <v>500</v>
      </c>
      <c r="N8464" t="inlineStr">
        <is>
          <t>Pleurodeles waltl</t>
        </is>
      </c>
      <c r="O8464" t="inlineStr">
        <is>
          <t>hypothetical protein NDU88_008665</t>
        </is>
      </c>
    </row>
    <row r="8465">
      <c r="A8465" t="inlineStr"/>
      <c r="B8465" t="inlineStr"/>
      <c r="C8465" t="inlineStr"/>
      <c r="D8465" t="inlineStr"/>
      <c r="E8465">
        <f>HYPERLINK("https://www.uniprot.org/uniprotkb/A0A8J1LCK5/entry", "A0A8J1LCK5")</f>
        <v/>
      </c>
      <c r="F8465" t="n">
        <v>61.9</v>
      </c>
      <c r="G8465" t="n">
        <v>42</v>
      </c>
      <c r="H8465" t="n">
        <v>3.03e-08</v>
      </c>
      <c r="I8465" t="inlineStr">
        <is>
          <t>TrEMBL</t>
        </is>
      </c>
      <c r="J8465" t="inlineStr">
        <is>
          <t>LOC121396402</t>
        </is>
      </c>
      <c r="K8465" t="inlineStr">
        <is>
          <t>A0A8J1LCK5_XENLA</t>
        </is>
      </c>
      <c r="L8465" t="inlineStr">
        <is>
          <t>tr|A0A8J1LCK5|A0A8J1LCK5_XENLA uncharacterized protein LOC121396402 OS=Xenopus laevis OX=8355 GN=LOC121396402 PE=4 SV=1</t>
        </is>
      </c>
      <c r="M8465" t="n">
        <v>949</v>
      </c>
      <c r="N8465" t="inlineStr">
        <is>
          <t>Xenopus laevis</t>
        </is>
      </c>
      <c r="O8465" t="inlineStr">
        <is>
          <t>uncharacterized protein LOC121396402</t>
        </is>
      </c>
    </row>
    <row r="8466">
      <c r="A8466" t="inlineStr"/>
      <c r="B8466" t="inlineStr"/>
      <c r="C8466" t="inlineStr"/>
      <c r="D8466" t="inlineStr"/>
      <c r="E8466">
        <f>HYPERLINK("https://www.uniprot.org/uniprotkb/A0A8J1LR62/entry", "A0A8J1LR62")</f>
        <v/>
      </c>
      <c r="F8466" t="n">
        <v>49.3</v>
      </c>
      <c r="G8466" t="n">
        <v>75</v>
      </c>
      <c r="H8466" t="n">
        <v>4.04e-08</v>
      </c>
      <c r="I8466" t="inlineStr">
        <is>
          <t>TrEMBL</t>
        </is>
      </c>
      <c r="J8466" t="inlineStr">
        <is>
          <t>LOC121397903</t>
        </is>
      </c>
      <c r="K8466" t="inlineStr">
        <is>
          <t>A0A8J1LR62_XENLA</t>
        </is>
      </c>
      <c r="L8466" t="inlineStr">
        <is>
          <t>tr|A0A8J1LR62|A0A8J1LR62_XENLA ribonuclease H OS=Xenopus laevis OX=8355 GN=LOC121397903 PE=3 SV=1</t>
        </is>
      </c>
      <c r="M8466" t="n">
        <v>513</v>
      </c>
      <c r="N8466" t="inlineStr">
        <is>
          <t>Xenopus laevis</t>
        </is>
      </c>
      <c r="O8466" t="inlineStr">
        <is>
          <t>ribonuclease H</t>
        </is>
      </c>
    </row>
    <row r="8467">
      <c r="A8467" t="inlineStr"/>
      <c r="B8467" t="inlineStr"/>
      <c r="C8467" t="inlineStr"/>
      <c r="D8467" t="inlineStr"/>
      <c r="E8467">
        <f>HYPERLINK("https://www.uniprot.org/uniprotkb/A0A2D4HC35/entry", "A0A2D4HC35")</f>
        <v/>
      </c>
      <c r="F8467" t="n">
        <v>46.7</v>
      </c>
      <c r="G8467" t="n">
        <v>75</v>
      </c>
      <c r="H8467" t="n">
        <v>4.06e-08</v>
      </c>
      <c r="I8467" t="inlineStr">
        <is>
          <t>TrEMBL</t>
        </is>
      </c>
      <c r="J8467" t="inlineStr"/>
      <c r="K8467" t="inlineStr">
        <is>
          <t>A0A2D4HC35_MICLE</t>
        </is>
      </c>
      <c r="L8467" t="inlineStr">
        <is>
          <t>tr|A0A2D4HC35|A0A2D4HC35_MICLE ribonuclease H (Fragment) OS=Micrurus lemniscatus lemniscatus OX=129467 PE=3 SV=1</t>
        </is>
      </c>
      <c r="M8467" t="n">
        <v>127</v>
      </c>
      <c r="N8467" t="inlineStr">
        <is>
          <t>Micrurus lemniscatus lemniscatus</t>
        </is>
      </c>
      <c r="O8467" t="inlineStr">
        <is>
          <t>ribonuclease H (Fragment)</t>
        </is>
      </c>
    </row>
    <row r="8468">
      <c r="A8468" t="inlineStr"/>
      <c r="B8468" t="inlineStr"/>
      <c r="C8468" t="inlineStr"/>
      <c r="D8468" t="inlineStr"/>
      <c r="E8468">
        <f>HYPERLINK("https://www.uniprot.org/uniprotkb/Q91DM0/entry", "Q91DM0")</f>
        <v/>
      </c>
      <c r="F8468" t="n">
        <v>39.2</v>
      </c>
      <c r="G8468" t="n">
        <v>74</v>
      </c>
      <c r="H8468" t="n">
        <v>0.000132</v>
      </c>
      <c r="I8468" t="inlineStr">
        <is>
          <t>Swiss-Prot</t>
        </is>
      </c>
      <c r="J8468" t="inlineStr"/>
      <c r="K8468" t="inlineStr">
        <is>
          <t>POLG_PVCV1</t>
        </is>
      </c>
      <c r="L8468" t="inlineStr">
        <is>
          <t>sp|Q91DM0|POLG_PVCV1 Genome polyprotein OS=Petunia vein clearing virus (isolate Shepherd) OX=492094 PE=3 SV=1</t>
        </is>
      </c>
      <c r="M8468" t="n">
        <v>2179</v>
      </c>
      <c r="N8468" t="inlineStr">
        <is>
          <t>Petunia vein clearing virus (isolate Shepherd)</t>
        </is>
      </c>
      <c r="O8468" t="inlineStr">
        <is>
          <t>Genome polyprotein</t>
        </is>
      </c>
    </row>
    <row r="8469">
      <c r="A8469" t="inlineStr"/>
      <c r="B8469" t="inlineStr"/>
      <c r="C8469" t="inlineStr"/>
      <c r="D8469" t="inlineStr"/>
      <c r="E8469">
        <f>HYPERLINK("https://www.uniprot.org/uniprotkb/Q6XKE6/entry", "Q6XKE6")</f>
        <v/>
      </c>
      <c r="F8469" t="n">
        <v>39.2</v>
      </c>
      <c r="G8469" t="n">
        <v>74</v>
      </c>
      <c r="H8469" t="n">
        <v>0.000132</v>
      </c>
      <c r="I8469" t="inlineStr">
        <is>
          <t>Swiss-Prot</t>
        </is>
      </c>
      <c r="J8469" t="inlineStr"/>
      <c r="K8469" t="inlineStr">
        <is>
          <t>POLG_PVCV2</t>
        </is>
      </c>
      <c r="L8469" t="inlineStr">
        <is>
          <t>sp|Q6XKE6|POLG_PVCV2 Genome polyprotein OS=Petunia vein clearing virus (isolate Hohn) OX=492095 PE=3 SV=1</t>
        </is>
      </c>
      <c r="M8469" t="n">
        <v>2180</v>
      </c>
      <c r="N8469" t="inlineStr">
        <is>
          <t>Petunia vein clearing virus (isolate Hohn)</t>
        </is>
      </c>
      <c r="O8469" t="inlineStr">
        <is>
          <t>Genome polyprotein</t>
        </is>
      </c>
    </row>
    <row r="8470">
      <c r="A8470" t="inlineStr"/>
      <c r="B8470" t="inlineStr"/>
      <c r="C8470" t="inlineStr"/>
      <c r="D8470" t="inlineStr"/>
      <c r="E8470">
        <f>HYPERLINK("https://www.uniprot.org/uniprotkb/Q09575/entry", "Q09575")</f>
        <v/>
      </c>
      <c r="F8470" t="n">
        <v>29.8</v>
      </c>
      <c r="G8470" t="n">
        <v>121</v>
      </c>
      <c r="H8470" t="n">
        <v>0.000447</v>
      </c>
      <c r="I8470" t="inlineStr">
        <is>
          <t>Swiss-Prot</t>
        </is>
      </c>
      <c r="J8470" t="inlineStr">
        <is>
          <t>K02A2.6</t>
        </is>
      </c>
      <c r="K8470" t="inlineStr">
        <is>
          <t>YRD6_CAEEL</t>
        </is>
      </c>
      <c r="L8470" t="inlineStr">
        <is>
          <t>sp|Q09575|YRD6_CAEEL Uncharacterized protein K02A2.6 OS=Caenorhabditis elegans OX=6239 GN=K02A2.6 PE=4 SV=1</t>
        </is>
      </c>
      <c r="M8470" t="n">
        <v>1268</v>
      </c>
      <c r="N8470" t="inlineStr">
        <is>
          <t>Caenorhabditis elegans</t>
        </is>
      </c>
      <c r="O8470" t="inlineStr">
        <is>
          <t>Uncharacterized protein K02A2.6</t>
        </is>
      </c>
    </row>
    <row r="8471">
      <c r="A8471" t="inlineStr">
        <is>
          <t>NODE_61585_length_2569_cov_311.947242_g19482_i3</t>
        </is>
      </c>
      <c r="B8471" t="inlineStr">
        <is>
          <t>bombina_pachypus_blastx</t>
        </is>
      </c>
      <c r="C8471" t="n">
        <v>-1.73977995180269</v>
      </c>
      <c r="D8471" t="n">
        <v>0.0009272575490144</v>
      </c>
      <c r="E8471">
        <f>HYPERLINK("https://www.ncbi.nlm.nih.gov/gene/?term=XP_018424932.1", "XP_018424932.1")</f>
        <v/>
      </c>
      <c r="F8471" t="n">
        <v>58.3</v>
      </c>
      <c r="G8471" t="n">
        <v>211</v>
      </c>
      <c r="H8471" t="n">
        <v>8.95e-88</v>
      </c>
      <c r="I8471" t="inlineStr">
        <is>
          <t>Nr</t>
        </is>
      </c>
      <c r="J8471" t="inlineStr"/>
      <c r="K8471" t="inlineStr"/>
      <c r="L8471" t="inlineStr">
        <is>
          <t>XP_018424932.1 PREDICTED: posterior protein-like [Nanorana parkeri]</t>
        </is>
      </c>
      <c r="M8471" t="n">
        <v>339</v>
      </c>
      <c r="N8471" t="inlineStr">
        <is>
          <t>Nanorana parkeri</t>
        </is>
      </c>
      <c r="O8471" t="inlineStr">
        <is>
          <t>PREDICTED: posterior protein-like</t>
        </is>
      </c>
    </row>
    <row r="8472">
      <c r="A8472" t="inlineStr"/>
      <c r="B8472" t="inlineStr"/>
      <c r="C8472" t="inlineStr"/>
      <c r="D8472" t="inlineStr"/>
      <c r="E8472">
        <f>HYPERLINK("https://www.ncbi.nlm.nih.gov/gene/?term=XP_044124935.1", "XP_044124935.1")</f>
        <v/>
      </c>
      <c r="F8472" t="n">
        <v>57.1</v>
      </c>
      <c r="G8472" t="n">
        <v>217</v>
      </c>
      <c r="H8472" t="n">
        <v>3.64e-85</v>
      </c>
      <c r="I8472" t="inlineStr">
        <is>
          <t>Nr</t>
        </is>
      </c>
      <c r="J8472" t="inlineStr"/>
      <c r="K8472" t="inlineStr"/>
      <c r="L8472" t="inlineStr">
        <is>
          <t>XP_044124935.1 posterior protein-like [Bufo gargarizans]</t>
        </is>
      </c>
      <c r="M8472" t="n">
        <v>535</v>
      </c>
      <c r="N8472" t="inlineStr">
        <is>
          <t>Bufo gargarizans</t>
        </is>
      </c>
      <c r="O8472" t="inlineStr">
        <is>
          <t>posterior protein-like</t>
        </is>
      </c>
    </row>
    <row r="8473">
      <c r="A8473" t="inlineStr"/>
      <c r="B8473" t="inlineStr"/>
      <c r="C8473" t="inlineStr"/>
      <c r="D8473" t="inlineStr"/>
      <c r="E8473">
        <f>HYPERLINK("https://www.ncbi.nlm.nih.gov/gene/?term=XP_040294334.1", "XP_040294334.1")</f>
        <v/>
      </c>
      <c r="F8473" t="n">
        <v>56.7</v>
      </c>
      <c r="G8473" t="n">
        <v>217</v>
      </c>
      <c r="H8473" t="n">
        <v>7.640000000000001e-85</v>
      </c>
      <c r="I8473" t="inlineStr">
        <is>
          <t>Nr</t>
        </is>
      </c>
      <c r="J8473" t="inlineStr"/>
      <c r="K8473" t="inlineStr"/>
      <c r="L8473" t="inlineStr">
        <is>
          <t>XP_040294334.1 LOW QUALITY PROTEIN: posterior protein-like [Bufo bufo]</t>
        </is>
      </c>
      <c r="M8473" t="n">
        <v>511</v>
      </c>
      <c r="N8473" t="inlineStr">
        <is>
          <t>Bufo bufo</t>
        </is>
      </c>
      <c r="O8473" t="inlineStr">
        <is>
          <t>LOW QUALITY PROTEIN: posterior protein-like</t>
        </is>
      </c>
    </row>
    <row r="8474">
      <c r="A8474" t="inlineStr"/>
      <c r="B8474" t="inlineStr"/>
      <c r="C8474" t="inlineStr"/>
      <c r="D8474" t="inlineStr"/>
      <c r="E8474">
        <f>HYPERLINK("https://www.ncbi.nlm.nih.gov/gene/?term=XP_040275597.1", "XP_040275597.1")</f>
        <v/>
      </c>
      <c r="F8474" t="n">
        <v>57.1</v>
      </c>
      <c r="G8474" t="n">
        <v>217</v>
      </c>
      <c r="H8474" t="n">
        <v>1.02e-84</v>
      </c>
      <c r="I8474" t="inlineStr">
        <is>
          <t>Nr</t>
        </is>
      </c>
      <c r="J8474" t="inlineStr"/>
      <c r="K8474" t="inlineStr"/>
      <c r="L8474" t="inlineStr">
        <is>
          <t>XP_040275597.1 posterior protein-like [Bufo bufo]</t>
        </is>
      </c>
      <c r="M8474" t="n">
        <v>535</v>
      </c>
      <c r="N8474" t="inlineStr">
        <is>
          <t>Bufo bufo</t>
        </is>
      </c>
      <c r="O8474" t="inlineStr">
        <is>
          <t>posterior protein-like</t>
        </is>
      </c>
    </row>
    <row r="8475">
      <c r="A8475" t="inlineStr"/>
      <c r="B8475" t="inlineStr"/>
      <c r="C8475" t="inlineStr"/>
      <c r="D8475" t="inlineStr"/>
      <c r="E8475">
        <f>HYPERLINK("https://www.uniprot.org/uniprotkb/A0A8T2IEP7/entry", "A0A8T2IEP7")</f>
        <v/>
      </c>
      <c r="F8475" t="n">
        <v>57.8</v>
      </c>
      <c r="G8475" t="n">
        <v>218</v>
      </c>
      <c r="H8475" t="n">
        <v>1.15e-84</v>
      </c>
      <c r="I8475" t="inlineStr">
        <is>
          <t>TrEMBL</t>
        </is>
      </c>
      <c r="J8475" t="inlineStr">
        <is>
          <t>GDO86_018343</t>
        </is>
      </c>
      <c r="K8475" t="inlineStr">
        <is>
          <t>A0A8T2IEP7_9PIPI</t>
        </is>
      </c>
      <c r="L8475" t="inlineStr">
        <is>
          <t>tr|A0A8T2IEP7|A0A8T2IEP7_9PIPI CCHC-type domain-containing protein OS=Hymenochirus boettgeri OX=247094 GN=GDO86_018343 PE=4 SV=1</t>
        </is>
      </c>
      <c r="M8475" t="n">
        <v>523</v>
      </c>
      <c r="N8475" t="inlineStr">
        <is>
          <t>Hymenochirus boettgeri</t>
        </is>
      </c>
      <c r="O8475" t="inlineStr">
        <is>
          <t>CCHC-type domain-containing protein</t>
        </is>
      </c>
    </row>
    <row r="8476">
      <c r="A8476" t="inlineStr"/>
      <c r="B8476" t="inlineStr"/>
      <c r="C8476" t="inlineStr"/>
      <c r="D8476" t="inlineStr"/>
      <c r="E8476">
        <f>HYPERLINK("https://www.uniprot.org/uniprotkb/A0A1L8EPW3/entry", "A0A1L8EPW3")</f>
        <v/>
      </c>
      <c r="F8476" t="n">
        <v>54.2</v>
      </c>
      <c r="G8476" t="n">
        <v>240</v>
      </c>
      <c r="H8476" t="n">
        <v>1.24e-84</v>
      </c>
      <c r="I8476" t="inlineStr">
        <is>
          <t>TrEMBL</t>
        </is>
      </c>
      <c r="J8476" t="inlineStr">
        <is>
          <t>post3.S</t>
        </is>
      </c>
      <c r="K8476" t="inlineStr">
        <is>
          <t>A0A1L8EPW3_XENLA</t>
        </is>
      </c>
      <c r="L8476" t="inlineStr">
        <is>
          <t>tr|A0A1L8EPW3|A0A1L8EPW3_XENLA posterior protein-like OS=Xenopus laevis OX=8355 GN=post3.S PE=4 SV=1</t>
        </is>
      </c>
      <c r="M8476" t="n">
        <v>526</v>
      </c>
      <c r="N8476" t="inlineStr">
        <is>
          <t>Xenopus laevis</t>
        </is>
      </c>
      <c r="O8476" t="inlineStr">
        <is>
          <t>posterior protein-like</t>
        </is>
      </c>
    </row>
    <row r="8477">
      <c r="A8477" t="inlineStr"/>
      <c r="B8477" t="inlineStr"/>
      <c r="C8477" t="inlineStr"/>
      <c r="D8477" t="inlineStr"/>
      <c r="E8477">
        <f>HYPERLINK("https://www.ncbi.nlm.nih.gov/gene/?term=XP_040278031.1", "XP_040278031.1")</f>
        <v/>
      </c>
      <c r="F8477" t="n">
        <v>56.7</v>
      </c>
      <c r="G8477" t="n">
        <v>217</v>
      </c>
      <c r="H8477" t="n">
        <v>1.44e-84</v>
      </c>
      <c r="I8477" t="inlineStr">
        <is>
          <t>Nr</t>
        </is>
      </c>
      <c r="J8477" t="inlineStr"/>
      <c r="K8477" t="inlineStr"/>
      <c r="L8477" t="inlineStr">
        <is>
          <t>XP_040278031.1 posterior protein-like [Bufo bufo]</t>
        </is>
      </c>
      <c r="M8477" t="n">
        <v>535</v>
      </c>
      <c r="N8477" t="inlineStr">
        <is>
          <t>Bufo bufo</t>
        </is>
      </c>
      <c r="O8477" t="inlineStr">
        <is>
          <t>posterior protein-like</t>
        </is>
      </c>
    </row>
    <row r="8478">
      <c r="A8478" t="inlineStr"/>
      <c r="B8478" t="inlineStr"/>
      <c r="C8478" t="inlineStr"/>
      <c r="D8478" t="inlineStr"/>
      <c r="E8478">
        <f>HYPERLINK("https://www.ncbi.nlm.nih.gov/gene/?term=XP_040262228.1", "XP_040262228.1")</f>
        <v/>
      </c>
      <c r="F8478" t="n">
        <v>56.7</v>
      </c>
      <c r="G8478" t="n">
        <v>217</v>
      </c>
      <c r="H8478" t="n">
        <v>2.14e-84</v>
      </c>
      <c r="I8478" t="inlineStr">
        <is>
          <t>Nr</t>
        </is>
      </c>
      <c r="J8478" t="inlineStr"/>
      <c r="K8478" t="inlineStr"/>
      <c r="L8478" t="inlineStr">
        <is>
          <t>XP_040262228.1 posterior protein-like [Bufo bufo]</t>
        </is>
      </c>
      <c r="M8478" t="n">
        <v>537</v>
      </c>
      <c r="N8478" t="inlineStr">
        <is>
          <t>Bufo bufo</t>
        </is>
      </c>
      <c r="O8478" t="inlineStr">
        <is>
          <t>posterior protein-like</t>
        </is>
      </c>
    </row>
    <row r="8479">
      <c r="A8479" t="inlineStr"/>
      <c r="B8479" t="inlineStr"/>
      <c r="C8479" t="inlineStr"/>
      <c r="D8479" t="inlineStr"/>
      <c r="E8479">
        <f>HYPERLINK("https://www.ncbi.nlm.nih.gov/gene/?term=KAG8429081.1", "KAG8429081.1")</f>
        <v/>
      </c>
      <c r="F8479" t="n">
        <v>57.8</v>
      </c>
      <c r="G8479" t="n">
        <v>218</v>
      </c>
      <c r="H8479" t="n">
        <v>2.95e-84</v>
      </c>
      <c r="I8479" t="inlineStr">
        <is>
          <t>Nr</t>
        </is>
      </c>
      <c r="J8479" t="inlineStr"/>
      <c r="K8479" t="inlineStr"/>
      <c r="L8479" t="inlineStr">
        <is>
          <t>KAG8429081.1 hypothetical protein GDO86_018343 [Hymenochirus boettgeri]</t>
        </is>
      </c>
      <c r="M8479" t="n">
        <v>523</v>
      </c>
      <c r="N8479" t="inlineStr">
        <is>
          <t>Hymenochirus boettgeri</t>
        </is>
      </c>
      <c r="O8479" t="inlineStr">
        <is>
          <t>hypothetical protein GDO86_018343</t>
        </is>
      </c>
    </row>
    <row r="8480">
      <c r="A8480" t="inlineStr"/>
      <c r="B8480" t="inlineStr"/>
      <c r="C8480" t="inlineStr"/>
      <c r="D8480" t="inlineStr"/>
      <c r="E8480">
        <f>HYPERLINK("https://www.ncbi.nlm.nih.gov/gene/?term=XP_018094516.1", "XP_018094516.1")</f>
        <v/>
      </c>
      <c r="F8480" t="n">
        <v>54.2</v>
      </c>
      <c r="G8480" t="n">
        <v>240</v>
      </c>
      <c r="H8480" t="n">
        <v>3.19e-84</v>
      </c>
      <c r="I8480" t="inlineStr">
        <is>
          <t>Nr</t>
        </is>
      </c>
      <c r="J8480" t="inlineStr"/>
      <c r="K8480" t="inlineStr"/>
      <c r="L8480" t="inlineStr">
        <is>
          <t>XP_018094516.1 posterior protein-like [Xenopus laevis]</t>
        </is>
      </c>
      <c r="M8480" t="n">
        <v>526</v>
      </c>
      <c r="N8480" t="inlineStr">
        <is>
          <t>Xenopus laevis</t>
        </is>
      </c>
      <c r="O8480" t="inlineStr">
        <is>
          <t>posterior protein-like</t>
        </is>
      </c>
    </row>
    <row r="8481">
      <c r="A8481" t="inlineStr"/>
      <c r="B8481" t="inlineStr"/>
      <c r="C8481" t="inlineStr"/>
      <c r="D8481" t="inlineStr"/>
      <c r="E8481">
        <f>HYPERLINK("https://www.ncbi.nlm.nih.gov/gene/?term=XP_040277935.1", "XP_040277935.1")</f>
        <v/>
      </c>
      <c r="F8481" t="n">
        <v>56.7</v>
      </c>
      <c r="G8481" t="n">
        <v>217</v>
      </c>
      <c r="H8481" t="n">
        <v>7.86e-84</v>
      </c>
      <c r="I8481" t="inlineStr">
        <is>
          <t>Nr</t>
        </is>
      </c>
      <c r="J8481" t="inlineStr"/>
      <c r="K8481" t="inlineStr"/>
      <c r="L8481" t="inlineStr">
        <is>
          <t>XP_040277935.1 posterior protein-like [Bufo bufo]</t>
        </is>
      </c>
      <c r="M8481" t="n">
        <v>521</v>
      </c>
      <c r="N8481" t="inlineStr">
        <is>
          <t>Bufo bufo</t>
        </is>
      </c>
      <c r="O8481" t="inlineStr">
        <is>
          <t>posterior protein-like</t>
        </is>
      </c>
    </row>
    <row r="8482">
      <c r="A8482" t="inlineStr"/>
      <c r="B8482" t="inlineStr"/>
      <c r="C8482" t="inlineStr"/>
      <c r="D8482" t="inlineStr"/>
      <c r="E8482">
        <f>HYPERLINK("https://www.ncbi.nlm.nih.gov/gene/?term=XP_040294330.1", "XP_040294330.1")</f>
        <v/>
      </c>
      <c r="F8482" t="n">
        <v>56.7</v>
      </c>
      <c r="G8482" t="n">
        <v>217</v>
      </c>
      <c r="H8482" t="n">
        <v>1.13e-83</v>
      </c>
      <c r="I8482" t="inlineStr">
        <is>
          <t>Nr</t>
        </is>
      </c>
      <c r="J8482" t="inlineStr"/>
      <c r="K8482" t="inlineStr"/>
      <c r="L8482" t="inlineStr">
        <is>
          <t>XP_040294330.1 posterior protein-like [Bufo bufo]</t>
        </is>
      </c>
      <c r="M8482" t="n">
        <v>535</v>
      </c>
      <c r="N8482" t="inlineStr">
        <is>
          <t>Bufo bufo</t>
        </is>
      </c>
      <c r="O8482" t="inlineStr">
        <is>
          <t>posterior protein-like</t>
        </is>
      </c>
    </row>
    <row r="8483">
      <c r="A8483" t="inlineStr"/>
      <c r="B8483" t="inlineStr"/>
      <c r="C8483" t="inlineStr"/>
      <c r="D8483" t="inlineStr"/>
      <c r="E8483">
        <f>HYPERLINK("https://www.uniprot.org/uniprotkb/A0A2G9QCF5/entry", "A0A2G9QCF5")</f>
        <v/>
      </c>
      <c r="F8483" t="n">
        <v>53.6</v>
      </c>
      <c r="G8483" t="n">
        <v>211</v>
      </c>
      <c r="H8483" t="n">
        <v>5.06e-80</v>
      </c>
      <c r="I8483" t="inlineStr">
        <is>
          <t>TrEMBL</t>
        </is>
      </c>
      <c r="J8483" t="inlineStr">
        <is>
          <t>AB205_0158940</t>
        </is>
      </c>
      <c r="K8483" t="inlineStr">
        <is>
          <t>A0A2G9QCF5_LITCT</t>
        </is>
      </c>
      <c r="L8483" t="inlineStr">
        <is>
          <t>tr|A0A2G9QCF5|A0A2G9QCF5_LITCT CCHC-type domain-containing protein OS=Lithobates catesbeianus OX=8400 GN=AB205_0158940 PE=4 SV=1</t>
        </is>
      </c>
      <c r="M8483" t="n">
        <v>447</v>
      </c>
      <c r="N8483" t="inlineStr">
        <is>
          <t>Lithobates catesbeianus</t>
        </is>
      </c>
      <c r="O8483" t="inlineStr">
        <is>
          <t>CCHC-type domain-containing protein</t>
        </is>
      </c>
    </row>
    <row r="8484">
      <c r="A8484" t="inlineStr"/>
      <c r="B8484" t="inlineStr"/>
      <c r="C8484" t="inlineStr"/>
      <c r="D8484" t="inlineStr"/>
      <c r="E8484">
        <f>HYPERLINK("https://www.ncbi.nlm.nih.gov/gene/?term=PIO13280.1", "PIO13280.1")</f>
        <v/>
      </c>
      <c r="F8484" t="n">
        <v>53.6</v>
      </c>
      <c r="G8484" t="n">
        <v>211</v>
      </c>
      <c r="H8484" t="n">
        <v>1.3e-79</v>
      </c>
      <c r="I8484" t="inlineStr">
        <is>
          <t>Nr</t>
        </is>
      </c>
      <c r="J8484" t="inlineStr"/>
      <c r="K8484" t="inlineStr"/>
      <c r="L8484" t="inlineStr">
        <is>
          <t>PIO13280.1 hypothetical protein AB205_0158940 [Lithobates catesbeianus]</t>
        </is>
      </c>
      <c r="M8484" t="n">
        <v>447</v>
      </c>
      <c r="N8484" t="inlineStr">
        <is>
          <t>Lithobates catesbeianus</t>
        </is>
      </c>
      <c r="O8484" t="inlineStr">
        <is>
          <t>hypothetical protein AB205_0158940</t>
        </is>
      </c>
    </row>
    <row r="8485">
      <c r="A8485" t="inlineStr"/>
      <c r="B8485" t="inlineStr"/>
      <c r="C8485" t="inlineStr"/>
      <c r="D8485" t="inlineStr"/>
      <c r="E8485">
        <f>HYPERLINK("https://www.ncbi.nlm.nih.gov/gene/?term=XP_044124932.1", "XP_044124932.1")</f>
        <v/>
      </c>
      <c r="F8485" t="n">
        <v>57.2</v>
      </c>
      <c r="G8485" t="n">
        <v>201</v>
      </c>
      <c r="H8485" t="n">
        <v>1.74e-79</v>
      </c>
      <c r="I8485" t="inlineStr">
        <is>
          <t>Nr</t>
        </is>
      </c>
      <c r="J8485" t="inlineStr"/>
      <c r="K8485" t="inlineStr"/>
      <c r="L8485" t="inlineStr">
        <is>
          <t>XP_044124932.1 LOW QUALITY PROTEIN: posterior protein-like [Bufo gargarizans]</t>
        </is>
      </c>
      <c r="M8485" t="n">
        <v>483</v>
      </c>
      <c r="N8485" t="inlineStr">
        <is>
          <t>Bufo gargarizans</t>
        </is>
      </c>
      <c r="O8485" t="inlineStr">
        <is>
          <t>LOW QUALITY PROTEIN: posterior protein-like</t>
        </is>
      </c>
    </row>
    <row r="8486">
      <c r="A8486" t="inlineStr"/>
      <c r="B8486" t="inlineStr"/>
      <c r="C8486" t="inlineStr"/>
      <c r="D8486" t="inlineStr"/>
      <c r="E8486">
        <f>HYPERLINK("https://www.uniprot.org/uniprotkb/A0A8J1M777/entry", "A0A8J1M777")</f>
        <v/>
      </c>
      <c r="F8486" t="n">
        <v>42.3</v>
      </c>
      <c r="G8486" t="n">
        <v>331</v>
      </c>
      <c r="H8486" t="n">
        <v>2.65e-77</v>
      </c>
      <c r="I8486" t="inlineStr">
        <is>
          <t>TrEMBL</t>
        </is>
      </c>
      <c r="J8486" t="inlineStr">
        <is>
          <t>LOC121399820</t>
        </is>
      </c>
      <c r="K8486" t="inlineStr">
        <is>
          <t>A0A8J1M777_XENLA</t>
        </is>
      </c>
      <c r="L8486" t="inlineStr">
        <is>
          <t>tr|A0A8J1M777|A0A8J1M777_XENLA posterior protein-like OS=Xenopus laevis OX=8355 GN=LOC121399820 PE=4 SV=1</t>
        </is>
      </c>
      <c r="M8486" t="n">
        <v>556</v>
      </c>
      <c r="N8486" t="inlineStr">
        <is>
          <t>Xenopus laevis</t>
        </is>
      </c>
      <c r="O8486" t="inlineStr">
        <is>
          <t>posterior protein-like</t>
        </is>
      </c>
    </row>
    <row r="8487">
      <c r="A8487" t="inlineStr"/>
      <c r="B8487" t="inlineStr"/>
      <c r="C8487" t="inlineStr"/>
      <c r="D8487" t="inlineStr"/>
      <c r="E8487">
        <f>HYPERLINK("https://www.ncbi.nlm.nih.gov/gene/?term=XP_041437552.1", "XP_041437552.1")</f>
        <v/>
      </c>
      <c r="F8487" t="n">
        <v>42.3</v>
      </c>
      <c r="G8487" t="n">
        <v>331</v>
      </c>
      <c r="H8487" t="n">
        <v>6.81e-77</v>
      </c>
      <c r="I8487" t="inlineStr">
        <is>
          <t>Nr</t>
        </is>
      </c>
      <c r="J8487" t="inlineStr"/>
      <c r="K8487" t="inlineStr"/>
      <c r="L8487" t="inlineStr">
        <is>
          <t>XP_041437552.1 posterior protein-like [Xenopus laevis]</t>
        </is>
      </c>
      <c r="M8487" t="n">
        <v>556</v>
      </c>
      <c r="N8487" t="inlineStr">
        <is>
          <t>Xenopus laevis</t>
        </is>
      </c>
      <c r="O8487" t="inlineStr">
        <is>
          <t>posterior protein-like</t>
        </is>
      </c>
    </row>
    <row r="8488">
      <c r="A8488" t="inlineStr"/>
      <c r="B8488" t="inlineStr"/>
      <c r="C8488" t="inlineStr"/>
      <c r="D8488" t="inlineStr"/>
      <c r="E8488">
        <f>HYPERLINK("https://www.uniprot.org/uniprotkb/A0A8J1KXC8/entry", "A0A8J1KXC8")</f>
        <v/>
      </c>
      <c r="F8488" t="n">
        <v>42</v>
      </c>
      <c r="G8488" t="n">
        <v>331</v>
      </c>
      <c r="H8488" t="n">
        <v>1.04e-76</v>
      </c>
      <c r="I8488" t="inlineStr">
        <is>
          <t>TrEMBL</t>
        </is>
      </c>
      <c r="J8488" t="inlineStr">
        <is>
          <t>LOC121394602</t>
        </is>
      </c>
      <c r="K8488" t="inlineStr">
        <is>
          <t>A0A8J1KXC8_XENLA</t>
        </is>
      </c>
      <c r="L8488" t="inlineStr">
        <is>
          <t>tr|A0A8J1KXC8|A0A8J1KXC8_XENLA posterior protein-like OS=Xenopus laevis OX=8355 GN=LOC121394602 PE=4 SV=1</t>
        </is>
      </c>
      <c r="M8488" t="n">
        <v>556</v>
      </c>
      <c r="N8488" t="inlineStr">
        <is>
          <t>Xenopus laevis</t>
        </is>
      </c>
      <c r="O8488" t="inlineStr">
        <is>
          <t>posterior protein-like</t>
        </is>
      </c>
    </row>
    <row r="8489">
      <c r="A8489" t="inlineStr"/>
      <c r="B8489" t="inlineStr"/>
      <c r="C8489" t="inlineStr"/>
      <c r="D8489" t="inlineStr"/>
      <c r="E8489">
        <f>HYPERLINK("https://www.uniprot.org/uniprotkb/P27536/entry", "P27536")</f>
        <v/>
      </c>
      <c r="F8489" t="n">
        <v>41.1</v>
      </c>
      <c r="G8489" t="n">
        <v>331</v>
      </c>
      <c r="H8489" t="n">
        <v>1.21e-76</v>
      </c>
      <c r="I8489" t="inlineStr">
        <is>
          <t>Swiss-Prot</t>
        </is>
      </c>
      <c r="J8489" t="inlineStr">
        <is>
          <t>po</t>
        </is>
      </c>
      <c r="K8489" t="inlineStr">
        <is>
          <t>POST_XENLA</t>
        </is>
      </c>
      <c r="L8489" t="inlineStr">
        <is>
          <t>sp|P27536|POST_XENLA Posterior protein OS=Xenopus laevis OX=8355 GN=po PE=2 SV=1</t>
        </is>
      </c>
      <c r="M8489" t="n">
        <v>555</v>
      </c>
      <c r="N8489" t="inlineStr">
        <is>
          <t>Xenopus laevis</t>
        </is>
      </c>
      <c r="O8489" t="inlineStr">
        <is>
          <t>Posterior protein</t>
        </is>
      </c>
    </row>
    <row r="8490">
      <c r="A8490" t="inlineStr"/>
      <c r="B8490" t="inlineStr"/>
      <c r="C8490" t="inlineStr"/>
      <c r="D8490" t="inlineStr"/>
      <c r="E8490">
        <f>HYPERLINK("https://www.uniprot.org/uniprotkb/A0A8J1M398/entry", "A0A8J1M398")</f>
        <v/>
      </c>
      <c r="F8490" t="n">
        <v>42</v>
      </c>
      <c r="G8490" t="n">
        <v>331</v>
      </c>
      <c r="H8490" t="n">
        <v>1.46e-76</v>
      </c>
      <c r="I8490" t="inlineStr">
        <is>
          <t>TrEMBL</t>
        </is>
      </c>
      <c r="J8490" t="inlineStr">
        <is>
          <t>LOC121399296</t>
        </is>
      </c>
      <c r="K8490" t="inlineStr">
        <is>
          <t>A0A8J1M398_XENLA</t>
        </is>
      </c>
      <c r="L8490" t="inlineStr">
        <is>
          <t>tr|A0A8J1M398|A0A8J1M398_XENLA posterior protein-like OS=Xenopus laevis OX=8355 GN=LOC121399296 PE=4 SV=1</t>
        </is>
      </c>
      <c r="M8490" t="n">
        <v>556</v>
      </c>
      <c r="N8490" t="inlineStr">
        <is>
          <t>Xenopus laevis</t>
        </is>
      </c>
      <c r="O8490" t="inlineStr">
        <is>
          <t>posterior protein-like</t>
        </is>
      </c>
    </row>
    <row r="8491">
      <c r="A8491" t="inlineStr"/>
      <c r="B8491" t="inlineStr"/>
      <c r="C8491" t="inlineStr"/>
      <c r="D8491" t="inlineStr"/>
      <c r="E8491">
        <f>HYPERLINK("https://www.uniprot.org/uniprotkb/A0A8J1ME64/entry", "A0A8J1ME64")</f>
        <v/>
      </c>
      <c r="F8491" t="n">
        <v>42</v>
      </c>
      <c r="G8491" t="n">
        <v>331</v>
      </c>
      <c r="H8491" t="n">
        <v>2.06e-76</v>
      </c>
      <c r="I8491" t="inlineStr">
        <is>
          <t>TrEMBL</t>
        </is>
      </c>
      <c r="J8491" t="inlineStr">
        <is>
          <t>LOC121400409</t>
        </is>
      </c>
      <c r="K8491" t="inlineStr">
        <is>
          <t>A0A8J1ME64_XENLA</t>
        </is>
      </c>
      <c r="L8491" t="inlineStr">
        <is>
          <t>tr|A0A8J1ME64|A0A8J1ME64_XENLA posterior protein-like OS=Xenopus laevis OX=8355 GN=LOC121400409 PE=4 SV=1</t>
        </is>
      </c>
      <c r="M8491" t="n">
        <v>556</v>
      </c>
      <c r="N8491" t="inlineStr">
        <is>
          <t>Xenopus laevis</t>
        </is>
      </c>
      <c r="O8491" t="inlineStr">
        <is>
          <t>posterior protein-like</t>
        </is>
      </c>
    </row>
    <row r="8492">
      <c r="A8492" t="inlineStr"/>
      <c r="B8492" t="inlineStr"/>
      <c r="C8492" t="inlineStr"/>
      <c r="D8492" t="inlineStr"/>
      <c r="E8492">
        <f>HYPERLINK("https://www.ncbi.nlm.nih.gov/gene/?term=XP_041421960.1", "XP_041421960.1")</f>
        <v/>
      </c>
      <c r="F8492" t="n">
        <v>42</v>
      </c>
      <c r="G8492" t="n">
        <v>331</v>
      </c>
      <c r="H8492" t="n">
        <v>2.67e-76</v>
      </c>
      <c r="I8492" t="inlineStr">
        <is>
          <t>Nr</t>
        </is>
      </c>
      <c r="J8492" t="inlineStr"/>
      <c r="K8492" t="inlineStr"/>
      <c r="L8492" t="inlineStr">
        <is>
          <t>XP_041421960.1 posterior protein-like [Xenopus laevis]</t>
        </is>
      </c>
      <c r="M8492" t="n">
        <v>556</v>
      </c>
      <c r="N8492" t="inlineStr">
        <is>
          <t>Xenopus laevis</t>
        </is>
      </c>
      <c r="O8492" t="inlineStr">
        <is>
          <t>posterior protein-like</t>
        </is>
      </c>
    </row>
    <row r="8493">
      <c r="A8493" t="inlineStr"/>
      <c r="B8493" t="inlineStr"/>
      <c r="C8493" t="inlineStr"/>
      <c r="D8493" t="inlineStr"/>
      <c r="E8493">
        <f>HYPERLINK("https://www.ncbi.nlm.nih.gov/gene/?term=XP_041435510.1", "XP_041435510.1")</f>
        <v/>
      </c>
      <c r="F8493" t="n">
        <v>42</v>
      </c>
      <c r="G8493" t="n">
        <v>331</v>
      </c>
      <c r="H8493" t="n">
        <v>3.76e-76</v>
      </c>
      <c r="I8493" t="inlineStr">
        <is>
          <t>Nr</t>
        </is>
      </c>
      <c r="J8493" t="inlineStr"/>
      <c r="K8493" t="inlineStr"/>
      <c r="L8493" t="inlineStr">
        <is>
          <t>XP_041435510.1 posterior protein-like [Xenopus laevis]</t>
        </is>
      </c>
      <c r="M8493" t="n">
        <v>556</v>
      </c>
      <c r="N8493" t="inlineStr">
        <is>
          <t>Xenopus laevis</t>
        </is>
      </c>
      <c r="O8493" t="inlineStr">
        <is>
          <t>posterior protein-like</t>
        </is>
      </c>
    </row>
    <row r="8494">
      <c r="A8494" t="inlineStr"/>
      <c r="B8494" t="inlineStr"/>
      <c r="C8494" t="inlineStr"/>
      <c r="D8494" t="inlineStr"/>
      <c r="E8494">
        <f>HYPERLINK("https://www.uniprot.org/uniprotkb/B7ZQG6/entry", "B7ZQG6")</f>
        <v/>
      </c>
      <c r="F8494" t="n">
        <v>42</v>
      </c>
      <c r="G8494" t="n">
        <v>331</v>
      </c>
      <c r="H8494" t="n">
        <v>4.08e-76</v>
      </c>
      <c r="I8494" t="inlineStr">
        <is>
          <t>TrEMBL</t>
        </is>
      </c>
      <c r="J8494" t="inlineStr">
        <is>
          <t>LOC121399988</t>
        </is>
      </c>
      <c r="K8494" t="inlineStr">
        <is>
          <t>B7ZQG6_XENLA</t>
        </is>
      </c>
      <c r="L8494" t="inlineStr">
        <is>
          <t>tr|B7ZQG6|B7ZQG6_XENLA posterior protein-like isoform X1 OS=Xenopus laevis OX=8355 GN=LOC121399988 PE=2 SV=1</t>
        </is>
      </c>
      <c r="M8494" t="n">
        <v>556</v>
      </c>
      <c r="N8494" t="inlineStr">
        <is>
          <t>Xenopus laevis</t>
        </is>
      </c>
      <c r="O8494" t="inlineStr">
        <is>
          <t>posterior protein-like isoform X1</t>
        </is>
      </c>
    </row>
    <row r="8495">
      <c r="A8495" t="inlineStr"/>
      <c r="B8495" t="inlineStr"/>
      <c r="C8495" t="inlineStr"/>
      <c r="D8495" t="inlineStr"/>
      <c r="E8495">
        <f>HYPERLINK("https://www.uniprot.org/uniprotkb/A0A8J1LPR3/entry", "A0A8J1LPR3")</f>
        <v/>
      </c>
      <c r="F8495" t="n">
        <v>41.7</v>
      </c>
      <c r="G8495" t="n">
        <v>331</v>
      </c>
      <c r="H8495" t="n">
        <v>4.08e-76</v>
      </c>
      <c r="I8495" t="inlineStr">
        <is>
          <t>TrEMBL</t>
        </is>
      </c>
      <c r="J8495" t="inlineStr">
        <is>
          <t>LOC121397663</t>
        </is>
      </c>
      <c r="K8495" t="inlineStr">
        <is>
          <t>A0A8J1LPR3_XENLA</t>
        </is>
      </c>
      <c r="L8495" t="inlineStr">
        <is>
          <t>tr|A0A8J1LPR3|A0A8J1LPR3_XENLA posterior protein-like OS=Xenopus laevis OX=8355 GN=LOC121397663 PE=4 SV=1</t>
        </is>
      </c>
      <c r="M8495" t="n">
        <v>556</v>
      </c>
      <c r="N8495" t="inlineStr">
        <is>
          <t>Xenopus laevis</t>
        </is>
      </c>
      <c r="O8495" t="inlineStr">
        <is>
          <t>posterior protein-like</t>
        </is>
      </c>
    </row>
    <row r="8496">
      <c r="A8496" t="inlineStr"/>
      <c r="B8496" t="inlineStr"/>
      <c r="C8496" t="inlineStr"/>
      <c r="D8496" t="inlineStr"/>
      <c r="E8496">
        <f>HYPERLINK("https://www.ncbi.nlm.nih.gov/gene/?term=XP_041439360.1", "XP_041439360.1")</f>
        <v/>
      </c>
      <c r="F8496" t="n">
        <v>42</v>
      </c>
      <c r="G8496" t="n">
        <v>331</v>
      </c>
      <c r="H8496" t="n">
        <v>5.3e-76</v>
      </c>
      <c r="I8496" t="inlineStr">
        <is>
          <t>Nr</t>
        </is>
      </c>
      <c r="J8496" t="inlineStr"/>
      <c r="K8496" t="inlineStr"/>
      <c r="L8496" t="inlineStr">
        <is>
          <t>XP_041439360.1 posterior protein-like [Xenopus laevis]</t>
        </is>
      </c>
      <c r="M8496" t="n">
        <v>556</v>
      </c>
      <c r="N8496" t="inlineStr">
        <is>
          <t>Xenopus laevis</t>
        </is>
      </c>
      <c r="O8496" t="inlineStr">
        <is>
          <t>posterior protein-like</t>
        </is>
      </c>
    </row>
    <row r="8497">
      <c r="A8497" t="inlineStr"/>
      <c r="B8497" t="inlineStr"/>
      <c r="C8497" t="inlineStr"/>
      <c r="D8497" t="inlineStr"/>
      <c r="E8497">
        <f>HYPERLINK("https://www.uniprot.org/uniprotkb/A0A8J1M3J3/entry", "A0A8J1M3J3")</f>
        <v/>
      </c>
      <c r="F8497" t="n">
        <v>42.3</v>
      </c>
      <c r="G8497" t="n">
        <v>331</v>
      </c>
      <c r="H8497" t="n">
        <v>5.34e-76</v>
      </c>
      <c r="I8497" t="inlineStr">
        <is>
          <t>TrEMBL</t>
        </is>
      </c>
      <c r="J8497" t="inlineStr">
        <is>
          <t>post5.S</t>
        </is>
      </c>
      <c r="K8497" t="inlineStr">
        <is>
          <t>A0A8J1M3J3_XENLA</t>
        </is>
      </c>
      <c r="L8497" t="inlineStr">
        <is>
          <t>tr|A0A8J1M3J3|A0A8J1M3J3_XENLA posterior protein-like isoform X1 OS=Xenopus laevis OX=8355 GN=post5.S PE=4 SV=1</t>
        </is>
      </c>
      <c r="M8497" t="n">
        <v>597</v>
      </c>
      <c r="N8497" t="inlineStr">
        <is>
          <t>Xenopus laevis</t>
        </is>
      </c>
      <c r="O8497" t="inlineStr">
        <is>
          <t>posterior protein-like isoform X1</t>
        </is>
      </c>
    </row>
    <row r="8498">
      <c r="A8498" t="inlineStr"/>
      <c r="B8498" t="inlineStr"/>
      <c r="C8498" t="inlineStr"/>
      <c r="D8498" t="inlineStr"/>
      <c r="E8498">
        <f>HYPERLINK("https://www.ncbi.nlm.nih.gov/gene/?term=XP_041430685.1", "XP_041430685.1")</f>
        <v/>
      </c>
      <c r="F8498" t="n">
        <v>41.7</v>
      </c>
      <c r="G8498" t="n">
        <v>331</v>
      </c>
      <c r="H8498" t="n">
        <v>1.05e-75</v>
      </c>
      <c r="I8498" t="inlineStr">
        <is>
          <t>Nr</t>
        </is>
      </c>
      <c r="J8498" t="inlineStr"/>
      <c r="K8498" t="inlineStr"/>
      <c r="L8498" t="inlineStr">
        <is>
          <t>XP_041430685.1 posterior protein-like [Xenopus laevis]</t>
        </is>
      </c>
      <c r="M8498" t="n">
        <v>556</v>
      </c>
      <c r="N8498" t="inlineStr">
        <is>
          <t>Xenopus laevis</t>
        </is>
      </c>
      <c r="O8498" t="inlineStr">
        <is>
          <t>posterior protein-like</t>
        </is>
      </c>
    </row>
    <row r="8499">
      <c r="A8499" t="inlineStr"/>
      <c r="B8499" t="inlineStr"/>
      <c r="C8499" t="inlineStr"/>
      <c r="D8499" t="inlineStr"/>
      <c r="E8499">
        <f>HYPERLINK("https://www.ncbi.nlm.nih.gov/gene/?term=XP_041438039.1", "XP_041438039.1")</f>
        <v/>
      </c>
      <c r="F8499" t="n">
        <v>42</v>
      </c>
      <c r="G8499" t="n">
        <v>331</v>
      </c>
      <c r="H8499" t="n">
        <v>1.05e-75</v>
      </c>
      <c r="I8499" t="inlineStr">
        <is>
          <t>Nr</t>
        </is>
      </c>
      <c r="J8499" t="inlineStr"/>
      <c r="K8499" t="inlineStr"/>
      <c r="L8499" t="inlineStr">
        <is>
          <t>XP_041438039.1 posterior protein-like isoform X1 [Xenopus laevis]</t>
        </is>
      </c>
      <c r="M8499" t="n">
        <v>556</v>
      </c>
      <c r="N8499" t="inlineStr">
        <is>
          <t>Xenopus laevis</t>
        </is>
      </c>
      <c r="O8499" t="inlineStr">
        <is>
          <t>posterior protein-like isoform X1</t>
        </is>
      </c>
    </row>
    <row r="8500">
      <c r="A8500" t="inlineStr"/>
      <c r="B8500" t="inlineStr"/>
      <c r="C8500" t="inlineStr"/>
      <c r="D8500" t="inlineStr"/>
      <c r="E8500">
        <f>HYPERLINK("https://www.uniprot.org/uniprotkb/A0A8J1LMF0/entry", "A0A8J1LMF0")</f>
        <v/>
      </c>
      <c r="F8500" t="n">
        <v>41.7</v>
      </c>
      <c r="G8500" t="n">
        <v>331</v>
      </c>
      <c r="H8500" t="n">
        <v>1.11e-75</v>
      </c>
      <c r="I8500" t="inlineStr">
        <is>
          <t>TrEMBL</t>
        </is>
      </c>
      <c r="J8500" t="inlineStr">
        <is>
          <t>LOC121397668</t>
        </is>
      </c>
      <c r="K8500" t="inlineStr">
        <is>
          <t>A0A8J1LMF0_XENLA</t>
        </is>
      </c>
      <c r="L8500" t="inlineStr">
        <is>
          <t>tr|A0A8J1LMF0|A0A8J1LMF0_XENLA posterior protein-like OS=Xenopus laevis OX=8355 GN=LOC121397668 PE=4 SV=1</t>
        </is>
      </c>
      <c r="M8500" t="n">
        <v>555</v>
      </c>
      <c r="N8500" t="inlineStr">
        <is>
          <t>Xenopus laevis</t>
        </is>
      </c>
      <c r="O8500" t="inlineStr">
        <is>
          <t>posterior protein-like</t>
        </is>
      </c>
    </row>
    <row r="8501">
      <c r="A8501" t="inlineStr"/>
      <c r="B8501" t="inlineStr"/>
      <c r="C8501" t="inlineStr"/>
      <c r="D8501" t="inlineStr"/>
      <c r="E8501">
        <f>HYPERLINK("https://www.ncbi.nlm.nih.gov/gene/?term=XP_041435866.1", "XP_041435866.1")</f>
        <v/>
      </c>
      <c r="F8501" t="n">
        <v>42.3</v>
      </c>
      <c r="G8501" t="n">
        <v>331</v>
      </c>
      <c r="H8501" t="n">
        <v>1.37e-75</v>
      </c>
      <c r="I8501" t="inlineStr">
        <is>
          <t>Nr</t>
        </is>
      </c>
      <c r="J8501" t="inlineStr"/>
      <c r="K8501" t="inlineStr"/>
      <c r="L8501" t="inlineStr">
        <is>
          <t>XP_041435866.1 posterior protein-like isoform X1 [Xenopus laevis]</t>
        </is>
      </c>
      <c r="M8501" t="n">
        <v>597</v>
      </c>
      <c r="N8501" t="inlineStr">
        <is>
          <t>Xenopus laevis</t>
        </is>
      </c>
      <c r="O8501" t="inlineStr">
        <is>
          <t>posterior protein-like isoform X1</t>
        </is>
      </c>
    </row>
    <row r="8502">
      <c r="A8502" t="inlineStr"/>
      <c r="B8502" t="inlineStr"/>
      <c r="C8502" t="inlineStr"/>
      <c r="D8502" t="inlineStr"/>
      <c r="E8502">
        <f>HYPERLINK("https://www.uniprot.org/uniprotkb/A0A8J1L788/entry", "A0A8J1L788")</f>
        <v/>
      </c>
      <c r="F8502" t="n">
        <v>41.7</v>
      </c>
      <c r="G8502" t="n">
        <v>331</v>
      </c>
      <c r="H8502" t="n">
        <v>2.25e-75</v>
      </c>
      <c r="I8502" t="inlineStr">
        <is>
          <t>TrEMBL</t>
        </is>
      </c>
      <c r="J8502" t="inlineStr">
        <is>
          <t>LOC121395399</t>
        </is>
      </c>
      <c r="K8502" t="inlineStr">
        <is>
          <t>A0A8J1L788_XENLA</t>
        </is>
      </c>
      <c r="L8502" t="inlineStr">
        <is>
          <t>tr|A0A8J1L788|A0A8J1L788_XENLA posterior protein-like isoform X1 OS=Xenopus laevis OX=8355 GN=LOC121395399 PE=4 SV=1</t>
        </is>
      </c>
      <c r="M8502" t="n">
        <v>556</v>
      </c>
      <c r="N8502" t="inlineStr">
        <is>
          <t>Xenopus laevis</t>
        </is>
      </c>
      <c r="O8502" t="inlineStr">
        <is>
          <t>posterior protein-like isoform X1</t>
        </is>
      </c>
    </row>
    <row r="8503">
      <c r="A8503" t="inlineStr"/>
      <c r="B8503" t="inlineStr"/>
      <c r="C8503" t="inlineStr"/>
      <c r="D8503" t="inlineStr"/>
      <c r="E8503">
        <f>HYPERLINK("https://www.ncbi.nlm.nih.gov/gene/?term=XP_041430702.1", "XP_041430702.1")</f>
        <v/>
      </c>
      <c r="F8503" t="n">
        <v>41.7</v>
      </c>
      <c r="G8503" t="n">
        <v>331</v>
      </c>
      <c r="H8503" t="n">
        <v>2.86e-75</v>
      </c>
      <c r="I8503" t="inlineStr">
        <is>
          <t>Nr</t>
        </is>
      </c>
      <c r="J8503" t="inlineStr"/>
      <c r="K8503" t="inlineStr"/>
      <c r="L8503" t="inlineStr">
        <is>
          <t>XP_041430702.1 posterior protein-like [Xenopus laevis]</t>
        </is>
      </c>
      <c r="M8503" t="n">
        <v>555</v>
      </c>
      <c r="N8503" t="inlineStr">
        <is>
          <t>Xenopus laevis</t>
        </is>
      </c>
      <c r="O8503" t="inlineStr">
        <is>
          <t>posterior protein-like</t>
        </is>
      </c>
    </row>
    <row r="8504">
      <c r="A8504" t="inlineStr"/>
      <c r="B8504" t="inlineStr"/>
      <c r="C8504" t="inlineStr"/>
      <c r="D8504" t="inlineStr"/>
      <c r="E8504">
        <f>HYPERLINK("https://www.ncbi.nlm.nih.gov/gene/?term=XP_041424804.1", "XP_041424804.1")</f>
        <v/>
      </c>
      <c r="F8504" t="n">
        <v>41.7</v>
      </c>
      <c r="G8504" t="n">
        <v>331</v>
      </c>
      <c r="H8504" t="n">
        <v>5.79e-75</v>
      </c>
      <c r="I8504" t="inlineStr">
        <is>
          <t>Nr</t>
        </is>
      </c>
      <c r="J8504" t="inlineStr"/>
      <c r="K8504" t="inlineStr"/>
      <c r="L8504" t="inlineStr">
        <is>
          <t>XP_041424804.1 posterior protein-like isoform X1 [Xenopus laevis]</t>
        </is>
      </c>
      <c r="M8504" t="n">
        <v>556</v>
      </c>
      <c r="N8504" t="inlineStr">
        <is>
          <t>Xenopus laevis</t>
        </is>
      </c>
      <c r="O8504" t="inlineStr">
        <is>
          <t>posterior protein-like isoform X1</t>
        </is>
      </c>
    </row>
    <row r="8505">
      <c r="A8505" t="inlineStr"/>
      <c r="B8505" t="inlineStr"/>
      <c r="C8505" t="inlineStr"/>
      <c r="D8505" t="inlineStr"/>
      <c r="E8505">
        <f>HYPERLINK("https://www.uniprot.org/uniprotkb/A0A8J1MSV0/entry", "A0A8J1MSV0")</f>
        <v/>
      </c>
      <c r="F8505" t="n">
        <v>41.4</v>
      </c>
      <c r="G8505" t="n">
        <v>331</v>
      </c>
      <c r="H8505" t="n">
        <v>2.4e-74</v>
      </c>
      <c r="I8505" t="inlineStr">
        <is>
          <t>TrEMBL</t>
        </is>
      </c>
      <c r="J8505" t="inlineStr">
        <is>
          <t>LOC121402194</t>
        </is>
      </c>
      <c r="K8505" t="inlineStr">
        <is>
          <t>A0A8J1MSV0_XENLA</t>
        </is>
      </c>
      <c r="L8505" t="inlineStr">
        <is>
          <t>tr|A0A8J1MSV0|A0A8J1MSV0_XENLA posterior protein-like OS=Xenopus laevis OX=8355 GN=LOC121402194 PE=4 SV=1</t>
        </is>
      </c>
      <c r="M8505" t="n">
        <v>555</v>
      </c>
      <c r="N8505" t="inlineStr">
        <is>
          <t>Xenopus laevis</t>
        </is>
      </c>
      <c r="O8505" t="inlineStr">
        <is>
          <t>posterior protein-like</t>
        </is>
      </c>
    </row>
    <row r="8506">
      <c r="A8506" t="inlineStr"/>
      <c r="B8506" t="inlineStr"/>
      <c r="C8506" t="inlineStr"/>
      <c r="D8506" t="inlineStr"/>
      <c r="E8506">
        <f>HYPERLINK("https://www.ncbi.nlm.nih.gov/gene/?term=XP_041444536.1", "XP_041444536.1")</f>
        <v/>
      </c>
      <c r="F8506" t="n">
        <v>41.4</v>
      </c>
      <c r="G8506" t="n">
        <v>331</v>
      </c>
      <c r="H8506" t="n">
        <v>6.17e-74</v>
      </c>
      <c r="I8506" t="inlineStr">
        <is>
          <t>Nr</t>
        </is>
      </c>
      <c r="J8506" t="inlineStr"/>
      <c r="K8506" t="inlineStr"/>
      <c r="L8506" t="inlineStr">
        <is>
          <t>XP_041444536.1 posterior protein-like [Xenopus laevis]</t>
        </is>
      </c>
      <c r="M8506" t="n">
        <v>555</v>
      </c>
      <c r="N8506" t="inlineStr">
        <is>
          <t>Xenopus laevis</t>
        </is>
      </c>
      <c r="O8506" t="inlineStr">
        <is>
          <t>posterior protein-like</t>
        </is>
      </c>
    </row>
    <row r="8507">
      <c r="A8507" t="inlineStr"/>
      <c r="B8507" t="inlineStr"/>
      <c r="C8507" t="inlineStr"/>
      <c r="D8507" t="inlineStr"/>
      <c r="E8507">
        <f>HYPERLINK("https://www.uniprot.org/uniprotkb/A0A8J1KVQ1/entry", "A0A8J1KVQ1")</f>
        <v/>
      </c>
      <c r="F8507" t="n">
        <v>41.4</v>
      </c>
      <c r="G8507" t="n">
        <v>331</v>
      </c>
      <c r="H8507" t="n">
        <v>9.41e-74</v>
      </c>
      <c r="I8507" t="inlineStr">
        <is>
          <t>TrEMBL</t>
        </is>
      </c>
      <c r="J8507" t="inlineStr">
        <is>
          <t>LOC121394293</t>
        </is>
      </c>
      <c r="K8507" t="inlineStr">
        <is>
          <t>A0A8J1KVQ1_XENLA</t>
        </is>
      </c>
      <c r="L8507" t="inlineStr">
        <is>
          <t>tr|A0A8J1KVQ1|A0A8J1KVQ1_XENLA posterior protein-like OS=Xenopus laevis OX=8355 GN=LOC121394293 PE=4 SV=1</t>
        </is>
      </c>
      <c r="M8507" t="n">
        <v>555</v>
      </c>
      <c r="N8507" t="inlineStr">
        <is>
          <t>Xenopus laevis</t>
        </is>
      </c>
      <c r="O8507" t="inlineStr">
        <is>
          <t>posterior protein-like</t>
        </is>
      </c>
    </row>
    <row r="8508">
      <c r="A8508" t="inlineStr"/>
      <c r="B8508" t="inlineStr"/>
      <c r="C8508" t="inlineStr"/>
      <c r="D8508" t="inlineStr"/>
      <c r="E8508">
        <f>HYPERLINK("https://www.ncbi.nlm.nih.gov/gene/?term=NP_001095251.1", "NP_001095251.1")</f>
        <v/>
      </c>
      <c r="F8508" t="n">
        <v>41.1</v>
      </c>
      <c r="G8508" t="n">
        <v>331</v>
      </c>
      <c r="H8508" t="n">
        <v>1.22e-73</v>
      </c>
      <c r="I8508" t="inlineStr">
        <is>
          <t>Nr</t>
        </is>
      </c>
      <c r="J8508" t="inlineStr"/>
      <c r="K8508" t="inlineStr"/>
      <c r="L8508" t="inlineStr">
        <is>
          <t>NP_001095251.1 posterior protein [Xenopus laevis]</t>
        </is>
      </c>
      <c r="M8508" t="n">
        <v>555</v>
      </c>
      <c r="N8508" t="inlineStr">
        <is>
          <t>Xenopus laevis</t>
        </is>
      </c>
      <c r="O8508" t="inlineStr">
        <is>
          <t>posterior protein</t>
        </is>
      </c>
    </row>
    <row r="8509">
      <c r="A8509" t="inlineStr"/>
      <c r="B8509" t="inlineStr"/>
      <c r="C8509" t="inlineStr"/>
      <c r="D8509" t="inlineStr"/>
      <c r="E8509">
        <f>HYPERLINK("https://www.ncbi.nlm.nih.gov/gene/?term=XP_041420838.1", "XP_041420838.1")</f>
        <v/>
      </c>
      <c r="F8509" t="n">
        <v>41.4</v>
      </c>
      <c r="G8509" t="n">
        <v>331</v>
      </c>
      <c r="H8509" t="n">
        <v>2.42e-73</v>
      </c>
      <c r="I8509" t="inlineStr">
        <is>
          <t>Nr</t>
        </is>
      </c>
      <c r="J8509" t="inlineStr"/>
      <c r="K8509" t="inlineStr"/>
      <c r="L8509" t="inlineStr">
        <is>
          <t>XP_041420838.1 posterior protein-like [Xenopus laevis]</t>
        </is>
      </c>
      <c r="M8509" t="n">
        <v>555</v>
      </c>
      <c r="N8509" t="inlineStr">
        <is>
          <t>Xenopus laevis</t>
        </is>
      </c>
      <c r="O8509" t="inlineStr">
        <is>
          <t>posterior protein-like</t>
        </is>
      </c>
    </row>
    <row r="8510">
      <c r="A8510" t="inlineStr"/>
      <c r="B8510" t="inlineStr"/>
      <c r="C8510" t="inlineStr"/>
      <c r="D8510" t="inlineStr"/>
      <c r="E8510">
        <f>HYPERLINK("https://www.uniprot.org/uniprotkb/A0A803J8D8/entry", "A0A803J8D8")</f>
        <v/>
      </c>
      <c r="F8510" t="n">
        <v>41.8</v>
      </c>
      <c r="G8510" t="n">
        <v>340</v>
      </c>
      <c r="H8510" t="n">
        <v>3.07e-73</v>
      </c>
      <c r="I8510" t="inlineStr">
        <is>
          <t>TrEMBL</t>
        </is>
      </c>
      <c r="J8510" t="inlineStr">
        <is>
          <t>post2</t>
        </is>
      </c>
      <c r="K8510" t="inlineStr">
        <is>
          <t>A0A803J8D8_XENTR</t>
        </is>
      </c>
      <c r="L8510" t="inlineStr">
        <is>
          <t>tr|A0A803J8D8|A0A803J8D8_XENTR Posterior protein 2 OS=Xenopus tropicalis OX=8364 GN=post2 PE=4 SV=1</t>
        </is>
      </c>
      <c r="M8510" t="n">
        <v>592</v>
      </c>
      <c r="N8510" t="inlineStr">
        <is>
          <t>Xenopus tropicalis</t>
        </is>
      </c>
      <c r="O8510" t="inlineStr">
        <is>
          <t>Posterior protein 2</t>
        </is>
      </c>
    </row>
    <row r="8511">
      <c r="A8511" t="inlineStr"/>
      <c r="B8511" t="inlineStr"/>
      <c r="C8511" t="inlineStr"/>
      <c r="D8511" t="inlineStr"/>
      <c r="E8511">
        <f>HYPERLINK("https://www.ncbi.nlm.nih.gov/gene/?term=XP_012808326.2", "XP_012808326.2")</f>
        <v/>
      </c>
      <c r="F8511" t="n">
        <v>41.8</v>
      </c>
      <c r="G8511" t="n">
        <v>340</v>
      </c>
      <c r="H8511" t="n">
        <v>7.890000000000001e-73</v>
      </c>
      <c r="I8511" t="inlineStr">
        <is>
          <t>Nr</t>
        </is>
      </c>
      <c r="J8511" t="inlineStr"/>
      <c r="K8511" t="inlineStr"/>
      <c r="L8511" t="inlineStr">
        <is>
          <t>XP_012808326.2 posterior protein [Xenopus tropicalis]</t>
        </is>
      </c>
      <c r="M8511" t="n">
        <v>592</v>
      </c>
      <c r="N8511" t="inlineStr">
        <is>
          <t>Xenopus tropicalis</t>
        </is>
      </c>
      <c r="O8511" t="inlineStr">
        <is>
          <t>posterior protein</t>
        </is>
      </c>
    </row>
    <row r="8512">
      <c r="A8512" t="inlineStr"/>
      <c r="B8512" t="inlineStr"/>
      <c r="C8512" t="inlineStr"/>
      <c r="D8512" t="inlineStr"/>
      <c r="E8512">
        <f>HYPERLINK("https://www.uniprot.org/uniprotkb/A0A8J1JW52/entry", "A0A8J1JW52")</f>
        <v/>
      </c>
      <c r="F8512" t="n">
        <v>41.2</v>
      </c>
      <c r="G8512" t="n">
        <v>340</v>
      </c>
      <c r="H8512" t="n">
        <v>1.55e-70</v>
      </c>
      <c r="I8512" t="inlineStr">
        <is>
          <t>TrEMBL</t>
        </is>
      </c>
      <c r="J8512" t="inlineStr">
        <is>
          <t>LOC105947317</t>
        </is>
      </c>
      <c r="K8512" t="inlineStr">
        <is>
          <t>A0A8J1JW52_XENTR</t>
        </is>
      </c>
      <c r="L8512" t="inlineStr">
        <is>
          <t>tr|A0A8J1JW52|A0A8J1JW52_XENTR LOW QUALITY PROTEIN: posterior protein-like OS=Xenopus tropicalis OX=8364 GN=LOC105947317 PE=4 SV=1</t>
        </is>
      </c>
      <c r="M8512" t="n">
        <v>566</v>
      </c>
      <c r="N8512" t="inlineStr">
        <is>
          <t>Xenopus tropicalis</t>
        </is>
      </c>
      <c r="O8512" t="inlineStr">
        <is>
          <t>LOW QUALITY PROTEIN: posterior protein-like</t>
        </is>
      </c>
    </row>
    <row r="8513">
      <c r="A8513" t="inlineStr"/>
      <c r="B8513" t="inlineStr"/>
      <c r="C8513" t="inlineStr"/>
      <c r="D8513" t="inlineStr"/>
      <c r="E8513">
        <f>HYPERLINK("https://www.uniprot.org/uniprotkb/A0A8J1MW08/entry", "A0A8J1MW08")</f>
        <v/>
      </c>
      <c r="F8513" t="n">
        <v>54.8</v>
      </c>
      <c r="G8513" t="n">
        <v>199</v>
      </c>
      <c r="H8513" t="n">
        <v>3.41e-69</v>
      </c>
      <c r="I8513" t="inlineStr">
        <is>
          <t>TrEMBL</t>
        </is>
      </c>
      <c r="J8513" t="inlineStr">
        <is>
          <t>LOC121402994</t>
        </is>
      </c>
      <c r="K8513" t="inlineStr">
        <is>
          <t>A0A8J1MW08_XENLA</t>
        </is>
      </c>
      <c r="L8513" t="inlineStr">
        <is>
          <t>tr|A0A8J1MW08|A0A8J1MW08_XENLA posterior protein-like OS=Xenopus laevis OX=8355 GN=LOC121402994 PE=4 SV=1</t>
        </is>
      </c>
      <c r="M8513" t="n">
        <v>453</v>
      </c>
      <c r="N8513" t="inlineStr">
        <is>
          <t>Xenopus laevis</t>
        </is>
      </c>
      <c r="O8513" t="inlineStr">
        <is>
          <t>posterior protein-like</t>
        </is>
      </c>
    </row>
    <row r="8514">
      <c r="A8514" t="inlineStr"/>
      <c r="B8514" t="inlineStr"/>
      <c r="C8514" t="inlineStr"/>
      <c r="D8514" t="inlineStr"/>
      <c r="E8514">
        <f>HYPERLINK("https://www.uniprot.org/uniprotkb/A0A8J1L3I1/entry", "A0A8J1L3I1")</f>
        <v/>
      </c>
      <c r="F8514" t="n">
        <v>53.4</v>
      </c>
      <c r="G8514" t="n">
        <v>204</v>
      </c>
      <c r="H8514" t="n">
        <v>4.42e-68</v>
      </c>
      <c r="I8514" t="inlineStr">
        <is>
          <t>TrEMBL</t>
        </is>
      </c>
      <c r="J8514" t="inlineStr">
        <is>
          <t>LOC121395069</t>
        </is>
      </c>
      <c r="K8514" t="inlineStr">
        <is>
          <t>A0A8J1L3I1_XENLA</t>
        </is>
      </c>
      <c r="L8514" t="inlineStr">
        <is>
          <t>tr|A0A8J1L3I1|A0A8J1L3I1_XENLA posterior protein-like OS=Xenopus laevis OX=8355 GN=LOC121395069 PE=4 SV=1</t>
        </is>
      </c>
      <c r="M8514" t="n">
        <v>446</v>
      </c>
      <c r="N8514" t="inlineStr">
        <is>
          <t>Xenopus laevis</t>
        </is>
      </c>
      <c r="O8514" t="inlineStr">
        <is>
          <t>posterior protein-like</t>
        </is>
      </c>
    </row>
    <row r="8515">
      <c r="A8515" t="inlineStr"/>
      <c r="B8515" t="inlineStr"/>
      <c r="C8515" t="inlineStr"/>
      <c r="D8515" t="inlineStr"/>
      <c r="E8515">
        <f>HYPERLINK("https://www.uniprot.org/uniprotkb/A0A8J1MAE2/entry", "A0A8J1MAE2")</f>
        <v/>
      </c>
      <c r="F8515" t="n">
        <v>39.9</v>
      </c>
      <c r="G8515" t="n">
        <v>306</v>
      </c>
      <c r="H8515" t="n">
        <v>2.97e-63</v>
      </c>
      <c r="I8515" t="inlineStr">
        <is>
          <t>TrEMBL</t>
        </is>
      </c>
      <c r="J8515" t="inlineStr">
        <is>
          <t>LOC121399988</t>
        </is>
      </c>
      <c r="K8515" t="inlineStr">
        <is>
          <t>A0A8J1MAE2_XENLA</t>
        </is>
      </c>
      <c r="L8515" t="inlineStr">
        <is>
          <t>tr|A0A8J1MAE2|A0A8J1MAE2_XENLA posterior protein-like isoform X2 OS=Xenopus laevis OX=8355 GN=LOC121399988 PE=4 SV=1</t>
        </is>
      </c>
      <c r="M8515" t="n">
        <v>510</v>
      </c>
      <c r="N8515" t="inlineStr">
        <is>
          <t>Xenopus laevis</t>
        </is>
      </c>
      <c r="O8515" t="inlineStr">
        <is>
          <t>posterior protein-like isoform X2</t>
        </is>
      </c>
    </row>
    <row r="8516">
      <c r="A8516" t="inlineStr"/>
      <c r="B8516" t="inlineStr"/>
      <c r="C8516" t="inlineStr"/>
      <c r="D8516" t="inlineStr"/>
      <c r="E8516">
        <f>HYPERLINK("https://www.uniprot.org/uniprotkb/A0A8J1M2F1/entry", "A0A8J1M2F1")</f>
        <v/>
      </c>
      <c r="F8516" t="n">
        <v>40.2</v>
      </c>
      <c r="G8516" t="n">
        <v>306</v>
      </c>
      <c r="H8516" t="n">
        <v>5.17e-63</v>
      </c>
      <c r="I8516" t="inlineStr">
        <is>
          <t>TrEMBL</t>
        </is>
      </c>
      <c r="J8516" t="inlineStr">
        <is>
          <t>post5.S</t>
        </is>
      </c>
      <c r="K8516" t="inlineStr">
        <is>
          <t>A0A8J1M2F1_XENLA</t>
        </is>
      </c>
      <c r="L8516" t="inlineStr">
        <is>
          <t>tr|A0A8J1M2F1|A0A8J1M2F1_XENLA posterior protein-like isoform X2 OS=Xenopus laevis OX=8355 GN=post5.S PE=4 SV=1</t>
        </is>
      </c>
      <c r="M8516" t="n">
        <v>551</v>
      </c>
      <c r="N8516" t="inlineStr">
        <is>
          <t>Xenopus laevis</t>
        </is>
      </c>
      <c r="O8516" t="inlineStr">
        <is>
          <t>posterior protein-like isoform X2</t>
        </is>
      </c>
    </row>
    <row r="8517">
      <c r="A8517" t="inlineStr"/>
      <c r="B8517" t="inlineStr"/>
      <c r="C8517" t="inlineStr"/>
      <c r="D8517" t="inlineStr"/>
      <c r="E8517">
        <f>HYPERLINK("https://www.uniprot.org/uniprotkb/A0A8J1L892/entry", "A0A8J1L892")</f>
        <v/>
      </c>
      <c r="F8517" t="n">
        <v>39.5</v>
      </c>
      <c r="G8517" t="n">
        <v>306</v>
      </c>
      <c r="H8517" t="n">
        <v>1.62e-62</v>
      </c>
      <c r="I8517" t="inlineStr">
        <is>
          <t>TrEMBL</t>
        </is>
      </c>
      <c r="J8517" t="inlineStr">
        <is>
          <t>LOC121395399</t>
        </is>
      </c>
      <c r="K8517" t="inlineStr">
        <is>
          <t>A0A8J1L892_XENLA</t>
        </is>
      </c>
      <c r="L8517" t="inlineStr">
        <is>
          <t>tr|A0A8J1L892|A0A8J1L892_XENLA posterior protein-like isoform X2 OS=Xenopus laevis OX=8355 GN=LOC121395399 PE=4 SV=1</t>
        </is>
      </c>
      <c r="M8517" t="n">
        <v>510</v>
      </c>
      <c r="N8517" t="inlineStr">
        <is>
          <t>Xenopus laevis</t>
        </is>
      </c>
      <c r="O8517" t="inlineStr">
        <is>
          <t>posterior protein-like isoform X2</t>
        </is>
      </c>
    </row>
    <row r="8518">
      <c r="A8518" t="inlineStr"/>
      <c r="B8518" t="inlineStr"/>
      <c r="C8518" t="inlineStr"/>
      <c r="D8518" t="inlineStr"/>
      <c r="E8518">
        <f>HYPERLINK("https://www.uniprot.org/uniprotkb/F6VIS7/entry", "F6VIS7")</f>
        <v/>
      </c>
      <c r="F8518" t="n">
        <v>38.5</v>
      </c>
      <c r="G8518" t="n">
        <v>317</v>
      </c>
      <c r="H8518" t="n">
        <v>9.940000000000001e-56</v>
      </c>
      <c r="I8518" t="inlineStr">
        <is>
          <t>TrEMBL</t>
        </is>
      </c>
      <c r="J8518" t="inlineStr"/>
      <c r="K8518" t="inlineStr">
        <is>
          <t>F6VIS7_XENTR</t>
        </is>
      </c>
      <c r="L8518" t="inlineStr">
        <is>
          <t>tr|F6VIS7|F6VIS7_XENTR CCHC-type domain-containing protein OS=Xenopus tropicalis OX=8364 PE=4 SV=4</t>
        </is>
      </c>
      <c r="M8518" t="n">
        <v>529</v>
      </c>
      <c r="N8518" t="inlineStr">
        <is>
          <t>Xenopus tropicalis</t>
        </is>
      </c>
      <c r="O8518" t="inlineStr">
        <is>
          <t>CCHC-type domain-containing protein</t>
        </is>
      </c>
    </row>
    <row r="8519">
      <c r="A8519" t="inlineStr"/>
      <c r="B8519" t="inlineStr"/>
      <c r="C8519" t="inlineStr"/>
      <c r="D8519" t="inlineStr"/>
      <c r="E8519">
        <f>HYPERLINK("https://www.uniprot.org/uniprotkb/A0A2G9QKJ3/entry", "A0A2G9QKJ3")</f>
        <v/>
      </c>
      <c r="F8519" t="n">
        <v>45</v>
      </c>
      <c r="G8519" t="n">
        <v>180</v>
      </c>
      <c r="H8519" t="n">
        <v>2.89e-39</v>
      </c>
      <c r="I8519" t="inlineStr">
        <is>
          <t>TrEMBL</t>
        </is>
      </c>
      <c r="J8519" t="inlineStr">
        <is>
          <t>AB205_0056150</t>
        </is>
      </c>
      <c r="K8519" t="inlineStr">
        <is>
          <t>A0A2G9QKJ3_LITCT</t>
        </is>
      </c>
      <c r="L8519" t="inlineStr">
        <is>
          <t>tr|A0A2G9QKJ3|A0A2G9QKJ3_LITCT Dilute domain-containing protein OS=Lithobates catesbeianus OX=8400 GN=AB205_0056150 PE=4 SV=1</t>
        </is>
      </c>
      <c r="M8519" t="n">
        <v>330</v>
      </c>
      <c r="N8519" t="inlineStr">
        <is>
          <t>Lithobates catesbeianus</t>
        </is>
      </c>
      <c r="O8519" t="inlineStr">
        <is>
          <t>Dilute domain-containing protein</t>
        </is>
      </c>
    </row>
    <row r="8520">
      <c r="A8520" t="inlineStr"/>
      <c r="B8520" t="inlineStr"/>
      <c r="C8520" t="inlineStr"/>
      <c r="D8520" t="inlineStr"/>
      <c r="E8520">
        <f>HYPERLINK("https://www.uniprot.org/uniprotkb/A0A2G9QBK0/entry", "A0A2G9QBK0")</f>
        <v/>
      </c>
      <c r="F8520" t="n">
        <v>41.3</v>
      </c>
      <c r="G8520" t="n">
        <v>196</v>
      </c>
      <c r="H8520" t="n">
        <v>2.22e-38</v>
      </c>
      <c r="I8520" t="inlineStr">
        <is>
          <t>TrEMBL</t>
        </is>
      </c>
      <c r="J8520" t="inlineStr">
        <is>
          <t>AB205_0115420</t>
        </is>
      </c>
      <c r="K8520" t="inlineStr">
        <is>
          <t>A0A2G9QBK0_LITCT</t>
        </is>
      </c>
      <c r="L8520" t="inlineStr">
        <is>
          <t>tr|A0A2G9QBK0|A0A2G9QBK0_LITCT Uncharacterized protein OS=Lithobates catesbeianus OX=8400 GN=AB205_0115420 PE=4 SV=1</t>
        </is>
      </c>
      <c r="M8520" t="n">
        <v>302</v>
      </c>
      <c r="N8520" t="inlineStr">
        <is>
          <t>Lithobates catesbeianus</t>
        </is>
      </c>
      <c r="O8520" t="inlineStr">
        <is>
          <t>Uncharacterized protein</t>
        </is>
      </c>
    </row>
    <row r="8521">
      <c r="A8521" t="inlineStr"/>
      <c r="B8521" t="inlineStr"/>
      <c r="C8521" t="inlineStr"/>
      <c r="D8521" t="inlineStr"/>
      <c r="E8521">
        <f>HYPERLINK("https://www.uniprot.org/uniprotkb/A0A2G9SLZ8/entry", "A0A2G9SLZ8")</f>
        <v/>
      </c>
      <c r="F8521" t="n">
        <v>41.7</v>
      </c>
      <c r="G8521" t="n">
        <v>199</v>
      </c>
      <c r="H8521" t="n">
        <v>2.43e-38</v>
      </c>
      <c r="I8521" t="inlineStr">
        <is>
          <t>TrEMBL</t>
        </is>
      </c>
      <c r="J8521" t="inlineStr">
        <is>
          <t>AB205_0160060</t>
        </is>
      </c>
      <c r="K8521" t="inlineStr">
        <is>
          <t>A0A2G9SLZ8_LITCT</t>
        </is>
      </c>
      <c r="L8521" t="inlineStr">
        <is>
          <t>tr|A0A2G9SLZ8|A0A2G9SLZ8_LITCT Sec2p domain-containing protein OS=Lithobates catesbeianus OX=8400 GN=AB205_0160060 PE=4 SV=1</t>
        </is>
      </c>
      <c r="M8521" t="n">
        <v>365</v>
      </c>
      <c r="N8521" t="inlineStr">
        <is>
          <t>Lithobates catesbeianus</t>
        </is>
      </c>
      <c r="O8521" t="inlineStr">
        <is>
          <t>Sec2p domain-containing protein</t>
        </is>
      </c>
    </row>
    <row r="8522">
      <c r="A8522" t="inlineStr">
        <is>
          <t>NODE_61850_length_2561_cov_16.025261_g21480_i0</t>
        </is>
      </c>
      <c r="B8522" t="inlineStr">
        <is>
          <t>bombina_pachypus_blastx</t>
        </is>
      </c>
      <c r="C8522" t="n">
        <v>2.6968230636229</v>
      </c>
      <c r="D8522" t="n">
        <v>0.0365380189339954</v>
      </c>
      <c r="E8522">
        <f>HYPERLINK("https://www.uniprot.org/uniprotkb/A0A8J1L6H8/entry", "A0A8J1L6H8")</f>
        <v/>
      </c>
      <c r="F8522" t="n">
        <v>45.5</v>
      </c>
      <c r="G8522" t="n">
        <v>341</v>
      </c>
      <c r="H8522" t="n">
        <v>1.4e-99</v>
      </c>
      <c r="I8522" t="inlineStr">
        <is>
          <t>TrEMBL</t>
        </is>
      </c>
      <c r="J8522" t="inlineStr">
        <is>
          <t>LOC121395238</t>
        </is>
      </c>
      <c r="K8522" t="inlineStr">
        <is>
          <t>A0A8J1L6H8_XENLA</t>
        </is>
      </c>
      <c r="L8522" t="inlineStr">
        <is>
          <t>tr|A0A8J1L6H8|A0A8J1L6H8_XENLA uncharacterized protein LOC121395238 OS=Xenopus laevis OX=8355 GN=LOC121395238 PE=4 SV=1</t>
        </is>
      </c>
      <c r="M8522" t="n">
        <v>346</v>
      </c>
      <c r="N8522" t="inlineStr">
        <is>
          <t>Xenopus laevis</t>
        </is>
      </c>
      <c r="O8522" t="inlineStr">
        <is>
          <t>uncharacterized protein LOC121395238</t>
        </is>
      </c>
    </row>
    <row r="8523">
      <c r="A8523" t="inlineStr"/>
      <c r="B8523" t="inlineStr"/>
      <c r="C8523" t="inlineStr"/>
      <c r="D8523" t="inlineStr"/>
      <c r="E8523">
        <f>HYPERLINK("https://www.ncbi.nlm.nih.gov/gene/?term=XP_041424205.1", "XP_041424205.1")</f>
        <v/>
      </c>
      <c r="F8523" t="n">
        <v>45.5</v>
      </c>
      <c r="G8523" t="n">
        <v>341</v>
      </c>
      <c r="H8523" t="n">
        <v>3.61e-99</v>
      </c>
      <c r="I8523" t="inlineStr">
        <is>
          <t>Nr</t>
        </is>
      </c>
      <c r="J8523" t="inlineStr"/>
      <c r="K8523" t="inlineStr"/>
      <c r="L8523" t="inlineStr">
        <is>
          <t>XP_041424205.1 uncharacterized protein LOC121395238 [Xenopus laevis]</t>
        </is>
      </c>
      <c r="M8523" t="n">
        <v>346</v>
      </c>
      <c r="N8523" t="inlineStr">
        <is>
          <t>Xenopus laevis</t>
        </is>
      </c>
      <c r="O8523" t="inlineStr">
        <is>
          <t>uncharacterized protein LOC121395238</t>
        </is>
      </c>
    </row>
    <row r="8524">
      <c r="A8524" t="inlineStr"/>
      <c r="B8524" t="inlineStr"/>
      <c r="C8524" t="inlineStr"/>
      <c r="D8524" t="inlineStr"/>
      <c r="E8524">
        <f>HYPERLINK("https://www.uniprot.org/uniprotkb/A0A8J1KQR2/entry", "A0A8J1KQR2")</f>
        <v/>
      </c>
      <c r="F8524" t="n">
        <v>42.9</v>
      </c>
      <c r="G8524" t="n">
        <v>375</v>
      </c>
      <c r="H8524" t="n">
        <v>6.72e-99</v>
      </c>
      <c r="I8524" t="inlineStr">
        <is>
          <t>TrEMBL</t>
        </is>
      </c>
      <c r="J8524" t="inlineStr">
        <is>
          <t>LOC121393620</t>
        </is>
      </c>
      <c r="K8524" t="inlineStr">
        <is>
          <t>A0A8J1KQR2_XENLA</t>
        </is>
      </c>
      <c r="L8524" t="inlineStr">
        <is>
          <t>tr|A0A8J1KQR2|A0A8J1KQR2_XENLA uncharacterized protein LOC121393620 OS=Xenopus laevis OX=8355 GN=LOC121393620 PE=4 SV=1</t>
        </is>
      </c>
      <c r="M8524" t="n">
        <v>611</v>
      </c>
      <c r="N8524" t="inlineStr">
        <is>
          <t>Xenopus laevis</t>
        </is>
      </c>
      <c r="O8524" t="inlineStr">
        <is>
          <t>uncharacterized protein LOC121393620</t>
        </is>
      </c>
    </row>
    <row r="8525">
      <c r="A8525" t="inlineStr"/>
      <c r="B8525" t="inlineStr"/>
      <c r="C8525" t="inlineStr"/>
      <c r="D8525" t="inlineStr"/>
      <c r="E8525">
        <f>HYPERLINK("https://www.uniprot.org/uniprotkb/A0A8J1LQ87/entry", "A0A8J1LQ87")</f>
        <v/>
      </c>
      <c r="F8525" t="n">
        <v>42.9</v>
      </c>
      <c r="G8525" t="n">
        <v>375</v>
      </c>
      <c r="H8525" t="n">
        <v>6.72e-99</v>
      </c>
      <c r="I8525" t="inlineStr">
        <is>
          <t>TrEMBL</t>
        </is>
      </c>
      <c r="J8525" t="inlineStr">
        <is>
          <t>LOC121397711</t>
        </is>
      </c>
      <c r="K8525" t="inlineStr">
        <is>
          <t>A0A8J1LQ87_XENLA</t>
        </is>
      </c>
      <c r="L8525" t="inlineStr">
        <is>
          <t>tr|A0A8J1LQ87|A0A8J1LQ87_XENLA uncharacterized protein LOC121397711 OS=Xenopus laevis OX=8355 GN=LOC121397711 PE=4 SV=1</t>
        </is>
      </c>
      <c r="M8525" t="n">
        <v>611</v>
      </c>
      <c r="N8525" t="inlineStr">
        <is>
          <t>Xenopus laevis</t>
        </is>
      </c>
      <c r="O8525" t="inlineStr">
        <is>
          <t>uncharacterized protein LOC121397711</t>
        </is>
      </c>
    </row>
    <row r="8526">
      <c r="A8526" t="inlineStr"/>
      <c r="B8526" t="inlineStr"/>
      <c r="C8526" t="inlineStr"/>
      <c r="D8526" t="inlineStr"/>
      <c r="E8526">
        <f>HYPERLINK("https://www.uniprot.org/uniprotkb/A0A8J1KQT3/entry", "A0A8J1KQT3")</f>
        <v/>
      </c>
      <c r="F8526" t="n">
        <v>42.9</v>
      </c>
      <c r="G8526" t="n">
        <v>375</v>
      </c>
      <c r="H8526" t="n">
        <v>6.72e-99</v>
      </c>
      <c r="I8526" t="inlineStr">
        <is>
          <t>TrEMBL</t>
        </is>
      </c>
      <c r="J8526" t="inlineStr">
        <is>
          <t>LOC121393628</t>
        </is>
      </c>
      <c r="K8526" t="inlineStr">
        <is>
          <t>A0A8J1KQT3_XENLA</t>
        </is>
      </c>
      <c r="L8526" t="inlineStr">
        <is>
          <t>tr|A0A8J1KQT3|A0A8J1KQT3_XENLA uncharacterized protein LOC121393628 OS=Xenopus laevis OX=8355 GN=LOC121393628 PE=4 SV=1</t>
        </is>
      </c>
      <c r="M8526" t="n">
        <v>611</v>
      </c>
      <c r="N8526" t="inlineStr">
        <is>
          <t>Xenopus laevis</t>
        </is>
      </c>
      <c r="O8526" t="inlineStr">
        <is>
          <t>uncharacterized protein LOC121393628</t>
        </is>
      </c>
    </row>
    <row r="8527">
      <c r="A8527" t="inlineStr"/>
      <c r="B8527" t="inlineStr"/>
      <c r="C8527" t="inlineStr"/>
      <c r="D8527" t="inlineStr"/>
      <c r="E8527">
        <f>HYPERLINK("https://www.ncbi.nlm.nih.gov/gene/?term=XP_041418569.1", "XP_041418569.1")</f>
        <v/>
      </c>
      <c r="F8527" t="n">
        <v>42.9</v>
      </c>
      <c r="G8527" t="n">
        <v>375</v>
      </c>
      <c r="H8527" t="n">
        <v>1.73e-98</v>
      </c>
      <c r="I8527" t="inlineStr">
        <is>
          <t>Nr</t>
        </is>
      </c>
      <c r="J8527" t="inlineStr"/>
      <c r="K8527" t="inlineStr"/>
      <c r="L8527" t="inlineStr">
        <is>
          <t>XP_041418569.1 uncharacterized protein LOC121393620 [Xenopus laevis]</t>
        </is>
      </c>
      <c r="M8527" t="n">
        <v>611</v>
      </c>
      <c r="N8527" t="inlineStr">
        <is>
          <t>Xenopus laevis</t>
        </is>
      </c>
      <c r="O8527" t="inlineStr">
        <is>
          <t>uncharacterized protein LOC121393620</t>
        </is>
      </c>
    </row>
    <row r="8528">
      <c r="A8528" t="inlineStr"/>
      <c r="B8528" t="inlineStr"/>
      <c r="C8528" t="inlineStr"/>
      <c r="D8528" t="inlineStr"/>
      <c r="E8528">
        <f>HYPERLINK("https://www.ncbi.nlm.nih.gov/gene/?term=XP_041418589.1", "XP_041418589.1")</f>
        <v/>
      </c>
      <c r="F8528" t="n">
        <v>42.9</v>
      </c>
      <c r="G8528" t="n">
        <v>375</v>
      </c>
      <c r="H8528" t="n">
        <v>1.73e-98</v>
      </c>
      <c r="I8528" t="inlineStr">
        <is>
          <t>Nr</t>
        </is>
      </c>
      <c r="J8528" t="inlineStr"/>
      <c r="K8528" t="inlineStr"/>
      <c r="L8528" t="inlineStr">
        <is>
          <t>XP_041418589.1 uncharacterized protein LOC121393628 [Xenopus laevis]</t>
        </is>
      </c>
      <c r="M8528" t="n">
        <v>611</v>
      </c>
      <c r="N8528" t="inlineStr">
        <is>
          <t>Xenopus laevis</t>
        </is>
      </c>
      <c r="O8528" t="inlineStr">
        <is>
          <t>uncharacterized protein LOC121393628</t>
        </is>
      </c>
    </row>
    <row r="8529">
      <c r="A8529" t="inlineStr"/>
      <c r="B8529" t="inlineStr"/>
      <c r="C8529" t="inlineStr"/>
      <c r="D8529" t="inlineStr"/>
      <c r="E8529">
        <f>HYPERLINK("https://www.ncbi.nlm.nih.gov/gene/?term=XP_041430880.1", "XP_041430880.1")</f>
        <v/>
      </c>
      <c r="F8529" t="n">
        <v>42.9</v>
      </c>
      <c r="G8529" t="n">
        <v>375</v>
      </c>
      <c r="H8529" t="n">
        <v>1.73e-98</v>
      </c>
      <c r="I8529" t="inlineStr">
        <is>
          <t>Nr</t>
        </is>
      </c>
      <c r="J8529" t="inlineStr"/>
      <c r="K8529" t="inlineStr"/>
      <c r="L8529" t="inlineStr">
        <is>
          <t>XP_041430880.1 uncharacterized protein LOC121397711 [Xenopus laevis]</t>
        </is>
      </c>
      <c r="M8529" t="n">
        <v>611</v>
      </c>
      <c r="N8529" t="inlineStr">
        <is>
          <t>Xenopus laevis</t>
        </is>
      </c>
      <c r="O8529" t="inlineStr">
        <is>
          <t>uncharacterized protein LOC121397711</t>
        </is>
      </c>
    </row>
    <row r="8530">
      <c r="A8530" t="inlineStr"/>
      <c r="B8530" t="inlineStr"/>
      <c r="C8530" t="inlineStr"/>
      <c r="D8530" t="inlineStr"/>
      <c r="E8530">
        <f>HYPERLINK("https://www.ncbi.nlm.nih.gov/gene/?term=OCT84615.1", "OCT84615.1")</f>
        <v/>
      </c>
      <c r="F8530" t="n">
        <v>43.4</v>
      </c>
      <c r="G8530" t="n">
        <v>350</v>
      </c>
      <c r="H8530" t="n">
        <v>3.67e-96</v>
      </c>
      <c r="I8530" t="inlineStr">
        <is>
          <t>Nr</t>
        </is>
      </c>
      <c r="J8530" t="inlineStr"/>
      <c r="K8530" t="inlineStr"/>
      <c r="L8530" t="inlineStr">
        <is>
          <t>OCT84615.1 hypothetical protein XELAEV_18022768mg [Xenopus laevis]</t>
        </is>
      </c>
      <c r="M8530" t="n">
        <v>389</v>
      </c>
      <c r="N8530" t="inlineStr">
        <is>
          <t>Xenopus laevis</t>
        </is>
      </c>
      <c r="O8530" t="inlineStr">
        <is>
          <t>hypothetical protein XELAEV_18022768mg</t>
        </is>
      </c>
    </row>
    <row r="8531">
      <c r="A8531" t="inlineStr"/>
      <c r="B8531" t="inlineStr"/>
      <c r="C8531" t="inlineStr"/>
      <c r="D8531" t="inlineStr"/>
      <c r="E8531">
        <f>HYPERLINK("https://www.uniprot.org/uniprotkb/A0A8C5MGY3/entry", "A0A8C5MGY3")</f>
        <v/>
      </c>
      <c r="F8531" t="n">
        <v>44.4</v>
      </c>
      <c r="G8531" t="n">
        <v>342</v>
      </c>
      <c r="H8531" t="n">
        <v>7.29e-95</v>
      </c>
      <c r="I8531" t="inlineStr">
        <is>
          <t>TrEMBL</t>
        </is>
      </c>
      <c r="J8531" t="inlineStr"/>
      <c r="K8531" t="inlineStr">
        <is>
          <t>A0A8C5MGY3_9ANUR</t>
        </is>
      </c>
      <c r="L8531" t="inlineStr">
        <is>
          <t>tr|A0A8C5MGY3|A0A8C5MGY3_9ANUR Reverse transcriptase domain-containing protein OS=Leptobrachium leishanense OX=445787 PE=4 SV=1</t>
        </is>
      </c>
      <c r="M8531" t="n">
        <v>639</v>
      </c>
      <c r="N8531" t="inlineStr">
        <is>
          <t>Leptobrachium leishanense</t>
        </is>
      </c>
      <c r="O8531" t="inlineStr">
        <is>
          <t>Reverse transcriptase domain-containing protein</t>
        </is>
      </c>
    </row>
    <row r="8532">
      <c r="A8532" t="inlineStr"/>
      <c r="B8532" t="inlineStr"/>
      <c r="C8532" t="inlineStr"/>
      <c r="D8532" t="inlineStr"/>
      <c r="E8532">
        <f>HYPERLINK("https://www.uniprot.org/uniprotkb/A0A8J1LM93/entry", "A0A8J1LM93")</f>
        <v/>
      </c>
      <c r="F8532" t="n">
        <v>44.2</v>
      </c>
      <c r="G8532" t="n">
        <v>339</v>
      </c>
      <c r="H8532" t="n">
        <v>1.84e-94</v>
      </c>
      <c r="I8532" t="inlineStr">
        <is>
          <t>TrEMBL</t>
        </is>
      </c>
      <c r="J8532" t="inlineStr">
        <is>
          <t>LOC121397297</t>
        </is>
      </c>
      <c r="K8532" t="inlineStr">
        <is>
          <t>A0A8J1LM93_XENLA</t>
        </is>
      </c>
      <c r="L8532" t="inlineStr">
        <is>
          <t>tr|A0A8J1LM93|A0A8J1LM93_XENLA uncharacterized protein LOC121397297 OS=Xenopus laevis OX=8355 GN=LOC121397297 PE=4 SV=1</t>
        </is>
      </c>
      <c r="M8532" t="n">
        <v>635</v>
      </c>
      <c r="N8532" t="inlineStr">
        <is>
          <t>Xenopus laevis</t>
        </is>
      </c>
      <c r="O8532" t="inlineStr">
        <is>
          <t>uncharacterized protein LOC121397297</t>
        </is>
      </c>
    </row>
    <row r="8533">
      <c r="A8533" t="inlineStr"/>
      <c r="B8533" t="inlineStr"/>
      <c r="C8533" t="inlineStr"/>
      <c r="D8533" t="inlineStr"/>
      <c r="E8533">
        <f>HYPERLINK("https://www.ncbi.nlm.nih.gov/gene/?term=XP_041429845.1", "XP_041429845.1")</f>
        <v/>
      </c>
      <c r="F8533" t="n">
        <v>44.2</v>
      </c>
      <c r="G8533" t="n">
        <v>339</v>
      </c>
      <c r="H8533" t="n">
        <v>4.73e-94</v>
      </c>
      <c r="I8533" t="inlineStr">
        <is>
          <t>Nr</t>
        </is>
      </c>
      <c r="J8533" t="inlineStr"/>
      <c r="K8533" t="inlineStr"/>
      <c r="L8533" t="inlineStr">
        <is>
          <t>XP_041429845.1 uncharacterized protein LOC121397297 [Xenopus laevis]</t>
        </is>
      </c>
      <c r="M8533" t="n">
        <v>635</v>
      </c>
      <c r="N8533" t="inlineStr">
        <is>
          <t>Xenopus laevis</t>
        </is>
      </c>
      <c r="O8533" t="inlineStr">
        <is>
          <t>uncharacterized protein LOC121397297</t>
        </is>
      </c>
    </row>
    <row r="8534">
      <c r="A8534" t="inlineStr"/>
      <c r="B8534" t="inlineStr"/>
      <c r="C8534" t="inlineStr"/>
      <c r="D8534" t="inlineStr"/>
      <c r="E8534">
        <f>HYPERLINK("https://www.ncbi.nlm.nih.gov/gene/?term=OCT57250.1", "OCT57250.1")</f>
        <v/>
      </c>
      <c r="F8534" t="n">
        <v>43.1</v>
      </c>
      <c r="G8534" t="n">
        <v>364</v>
      </c>
      <c r="H8534" t="n">
        <v>1.8e-93</v>
      </c>
      <c r="I8534" t="inlineStr">
        <is>
          <t>Nr</t>
        </is>
      </c>
      <c r="J8534" t="inlineStr"/>
      <c r="K8534" t="inlineStr"/>
      <c r="L8534" t="inlineStr">
        <is>
          <t>OCT57250.1 hypothetical protein XELAEV_18003760mg [Xenopus laevis]</t>
        </is>
      </c>
      <c r="M8534" t="n">
        <v>410</v>
      </c>
      <c r="N8534" t="inlineStr">
        <is>
          <t>Xenopus laevis</t>
        </is>
      </c>
      <c r="O8534" t="inlineStr">
        <is>
          <t>hypothetical protein XELAEV_18003760mg</t>
        </is>
      </c>
    </row>
    <row r="8535">
      <c r="A8535" t="inlineStr"/>
      <c r="B8535" t="inlineStr"/>
      <c r="C8535" t="inlineStr"/>
      <c r="D8535" t="inlineStr"/>
      <c r="E8535">
        <f>HYPERLINK("https://www.uniprot.org/uniprotkb/A0A8J1KPS1/entry", "A0A8J1KPS1")</f>
        <v/>
      </c>
      <c r="F8535" t="n">
        <v>43.9</v>
      </c>
      <c r="G8535" t="n">
        <v>355</v>
      </c>
      <c r="H8535" t="n">
        <v>1.13e-92</v>
      </c>
      <c r="I8535" t="inlineStr">
        <is>
          <t>TrEMBL</t>
        </is>
      </c>
      <c r="J8535" t="inlineStr">
        <is>
          <t>LOC121393680</t>
        </is>
      </c>
      <c r="K8535" t="inlineStr">
        <is>
          <t>A0A8J1KPS1_XENLA</t>
        </is>
      </c>
      <c r="L8535" t="inlineStr">
        <is>
          <t>tr|A0A8J1KPS1|A0A8J1KPS1_XENLA uncharacterized protein LOC121393680 isoform X1 OS=Xenopus laevis OX=8355 GN=LOC121393680 PE=4 SV=1</t>
        </is>
      </c>
      <c r="M8535" t="n">
        <v>753</v>
      </c>
      <c r="N8535" t="inlineStr">
        <is>
          <t>Xenopus laevis</t>
        </is>
      </c>
      <c r="O8535" t="inlineStr">
        <is>
          <t>uncharacterized protein LOC121393680 isoform X1</t>
        </is>
      </c>
    </row>
    <row r="8536">
      <c r="A8536" t="inlineStr"/>
      <c r="B8536" t="inlineStr"/>
      <c r="C8536" t="inlineStr"/>
      <c r="D8536" t="inlineStr"/>
      <c r="E8536">
        <f>HYPERLINK("https://www.ncbi.nlm.nih.gov/gene/?term=XP_041418743.1", "XP_041418743.1")</f>
        <v/>
      </c>
      <c r="F8536" t="n">
        <v>43.9</v>
      </c>
      <c r="G8536" t="n">
        <v>355</v>
      </c>
      <c r="H8536" t="n">
        <v>2.89e-92</v>
      </c>
      <c r="I8536" t="inlineStr">
        <is>
          <t>Nr</t>
        </is>
      </c>
      <c r="J8536" t="inlineStr"/>
      <c r="K8536" t="inlineStr"/>
      <c r="L8536" t="inlineStr">
        <is>
          <t>XP_041418743.1 uncharacterized protein LOC121393680 isoform X1 [Xenopus laevis]</t>
        </is>
      </c>
      <c r="M8536" t="n">
        <v>753</v>
      </c>
      <c r="N8536" t="inlineStr">
        <is>
          <t>Xenopus laevis</t>
        </is>
      </c>
      <c r="O8536" t="inlineStr">
        <is>
          <t>uncharacterized protein LOC121393680 isoform X1</t>
        </is>
      </c>
    </row>
    <row r="8537">
      <c r="A8537" t="inlineStr"/>
      <c r="B8537" t="inlineStr"/>
      <c r="C8537" t="inlineStr"/>
      <c r="D8537" t="inlineStr"/>
      <c r="E8537">
        <f>HYPERLINK("https://www.uniprot.org/uniprotkb/A0A8J1LGI6/entry", "A0A8J1LGI6")</f>
        <v/>
      </c>
      <c r="F8537" t="n">
        <v>42.8</v>
      </c>
      <c r="G8537" t="n">
        <v>341</v>
      </c>
      <c r="H8537" t="n">
        <v>5.32e-92</v>
      </c>
      <c r="I8537" t="inlineStr">
        <is>
          <t>TrEMBL</t>
        </is>
      </c>
      <c r="J8537" t="inlineStr">
        <is>
          <t>LOC121396834</t>
        </is>
      </c>
      <c r="K8537" t="inlineStr">
        <is>
          <t>A0A8J1LGI6_XENLA</t>
        </is>
      </c>
      <c r="L8537" t="inlineStr">
        <is>
          <t>tr|A0A8J1LGI6|A0A8J1LGI6_XENLA uncharacterized protein LOC121396834 OS=Xenopus laevis OX=8355 GN=LOC121396834 PE=4 SV=1</t>
        </is>
      </c>
      <c r="M8537" t="n">
        <v>393</v>
      </c>
      <c r="N8537" t="inlineStr">
        <is>
          <t>Xenopus laevis</t>
        </is>
      </c>
      <c r="O8537" t="inlineStr">
        <is>
          <t>uncharacterized protein LOC121396834</t>
        </is>
      </c>
    </row>
    <row r="8538">
      <c r="A8538" t="inlineStr"/>
      <c r="B8538" t="inlineStr"/>
      <c r="C8538" t="inlineStr"/>
      <c r="D8538" t="inlineStr"/>
      <c r="E8538">
        <f>HYPERLINK("https://www.ncbi.nlm.nih.gov/gene/?term=XP_041428149.1", "XP_041428149.1")</f>
        <v/>
      </c>
      <c r="F8538" t="n">
        <v>42.8</v>
      </c>
      <c r="G8538" t="n">
        <v>341</v>
      </c>
      <c r="H8538" t="n">
        <v>1.37e-91</v>
      </c>
      <c r="I8538" t="inlineStr">
        <is>
          <t>Nr</t>
        </is>
      </c>
      <c r="J8538" t="inlineStr"/>
      <c r="K8538" t="inlineStr"/>
      <c r="L8538" t="inlineStr">
        <is>
          <t>XP_041428149.1 uncharacterized protein LOC121396834 [Xenopus laevis]</t>
        </is>
      </c>
      <c r="M8538" t="n">
        <v>393</v>
      </c>
      <c r="N8538" t="inlineStr">
        <is>
          <t>Xenopus laevis</t>
        </is>
      </c>
      <c r="O8538" t="inlineStr">
        <is>
          <t>uncharacterized protein LOC121396834</t>
        </is>
      </c>
    </row>
    <row r="8539">
      <c r="A8539" t="inlineStr"/>
      <c r="B8539" t="inlineStr"/>
      <c r="C8539" t="inlineStr"/>
      <c r="D8539" t="inlineStr"/>
      <c r="E8539">
        <f>HYPERLINK("https://www.ncbi.nlm.nih.gov/gene/?term=OCT92171.1", "OCT92171.1")</f>
        <v/>
      </c>
      <c r="F8539" t="n">
        <v>42.8</v>
      </c>
      <c r="G8539" t="n">
        <v>353</v>
      </c>
      <c r="H8539" t="n">
        <v>3.79e-91</v>
      </c>
      <c r="I8539" t="inlineStr">
        <is>
          <t>Nr</t>
        </is>
      </c>
      <c r="J8539" t="inlineStr"/>
      <c r="K8539" t="inlineStr"/>
      <c r="L8539" t="inlineStr">
        <is>
          <t>OCT92171.1 hypothetical protein XELAEV_18015225mg [Xenopus laevis]</t>
        </is>
      </c>
      <c r="M8539" t="n">
        <v>370</v>
      </c>
      <c r="N8539" t="inlineStr">
        <is>
          <t>Xenopus laevis</t>
        </is>
      </c>
      <c r="O8539" t="inlineStr">
        <is>
          <t>hypothetical protein XELAEV_18015225mg</t>
        </is>
      </c>
    </row>
    <row r="8540">
      <c r="A8540" t="inlineStr"/>
      <c r="B8540" t="inlineStr"/>
      <c r="C8540" t="inlineStr"/>
      <c r="D8540" t="inlineStr"/>
      <c r="E8540">
        <f>HYPERLINK("https://www.uniprot.org/uniprotkb/A0A8C5MB09/entry", "A0A8C5MB09")</f>
        <v/>
      </c>
      <c r="F8540" t="n">
        <v>41.1</v>
      </c>
      <c r="G8540" t="n">
        <v>360</v>
      </c>
      <c r="H8540" t="n">
        <v>7.04e-91</v>
      </c>
      <c r="I8540" t="inlineStr">
        <is>
          <t>TrEMBL</t>
        </is>
      </c>
      <c r="J8540" t="inlineStr"/>
      <c r="K8540" t="inlineStr">
        <is>
          <t>A0A8C5MB09_9ANUR</t>
        </is>
      </c>
      <c r="L8540" t="inlineStr">
        <is>
          <t>tr|A0A8C5MB09|A0A8C5MB09_9ANUR Reverse transcriptase domain-containing protein OS=Leptobrachium leishanense OX=445787 PE=4 SV=1</t>
        </is>
      </c>
      <c r="M8540" t="n">
        <v>665</v>
      </c>
      <c r="N8540" t="inlineStr">
        <is>
          <t>Leptobrachium leishanense</t>
        </is>
      </c>
      <c r="O8540" t="inlineStr">
        <is>
          <t>Reverse transcriptase domain-containing protein</t>
        </is>
      </c>
    </row>
    <row r="8541">
      <c r="A8541" t="inlineStr"/>
      <c r="B8541" t="inlineStr"/>
      <c r="C8541" t="inlineStr"/>
      <c r="D8541" t="inlineStr"/>
      <c r="E8541">
        <f>HYPERLINK("https://www.uniprot.org/uniprotkb/A0A8C5LUF2/entry", "A0A8C5LUF2")</f>
        <v/>
      </c>
      <c r="F8541" t="n">
        <v>40.8</v>
      </c>
      <c r="G8541" t="n">
        <v>360</v>
      </c>
      <c r="H8541" t="n">
        <v>9.910000000000001e-91</v>
      </c>
      <c r="I8541" t="inlineStr">
        <is>
          <t>TrEMBL</t>
        </is>
      </c>
      <c r="J8541" t="inlineStr"/>
      <c r="K8541" t="inlineStr">
        <is>
          <t>A0A8C5LUF2_9ANUR</t>
        </is>
      </c>
      <c r="L8541" t="inlineStr">
        <is>
          <t>tr|A0A8C5LUF2|A0A8C5LUF2_9ANUR Reverse transcriptase domain-containing protein OS=Leptobrachium leishanense OX=445787 PE=4 SV=1</t>
        </is>
      </c>
      <c r="M8541" t="n">
        <v>665</v>
      </c>
      <c r="N8541" t="inlineStr">
        <is>
          <t>Leptobrachium leishanense</t>
        </is>
      </c>
      <c r="O8541" t="inlineStr">
        <is>
          <t>Reverse transcriptase domain-containing protein</t>
        </is>
      </c>
    </row>
    <row r="8542">
      <c r="A8542" t="inlineStr"/>
      <c r="B8542" t="inlineStr"/>
      <c r="C8542" t="inlineStr"/>
      <c r="D8542" t="inlineStr"/>
      <c r="E8542">
        <f>HYPERLINK("https://www.uniprot.org/uniprotkb/A0A8C5Q061/entry", "A0A8C5Q061")</f>
        <v/>
      </c>
      <c r="F8542" t="n">
        <v>40.8</v>
      </c>
      <c r="G8542" t="n">
        <v>360</v>
      </c>
      <c r="H8542" t="n">
        <v>9.910000000000001e-91</v>
      </c>
      <c r="I8542" t="inlineStr">
        <is>
          <t>TrEMBL</t>
        </is>
      </c>
      <c r="J8542" t="inlineStr"/>
      <c r="K8542" t="inlineStr">
        <is>
          <t>A0A8C5Q061_9ANUR</t>
        </is>
      </c>
      <c r="L8542" t="inlineStr">
        <is>
          <t>tr|A0A8C5Q061|A0A8C5Q061_9ANUR Reverse transcriptase domain-containing protein OS=Leptobrachium leishanense OX=445787 PE=4 SV=1</t>
        </is>
      </c>
      <c r="M8542" t="n">
        <v>665</v>
      </c>
      <c r="N8542" t="inlineStr">
        <is>
          <t>Leptobrachium leishanense</t>
        </is>
      </c>
      <c r="O8542" t="inlineStr">
        <is>
          <t>Reverse transcriptase domain-containing protein</t>
        </is>
      </c>
    </row>
    <row r="8543">
      <c r="A8543" t="inlineStr"/>
      <c r="B8543" t="inlineStr"/>
      <c r="C8543" t="inlineStr"/>
      <c r="D8543" t="inlineStr"/>
      <c r="E8543">
        <f>HYPERLINK("https://www.uniprot.org/uniprotkb/A0A8C5MG30/entry", "A0A8C5MG30")</f>
        <v/>
      </c>
      <c r="F8543" t="n">
        <v>40.8</v>
      </c>
      <c r="G8543" t="n">
        <v>360</v>
      </c>
      <c r="H8543" t="n">
        <v>9.869999999999999e-90</v>
      </c>
      <c r="I8543" t="inlineStr">
        <is>
          <t>TrEMBL</t>
        </is>
      </c>
      <c r="J8543" t="inlineStr"/>
      <c r="K8543" t="inlineStr">
        <is>
          <t>A0A8C5MG30_9ANUR</t>
        </is>
      </c>
      <c r="L8543" t="inlineStr">
        <is>
          <t>tr|A0A8C5MG30|A0A8C5MG30_9ANUR Reverse transcriptase domain-containing protein OS=Leptobrachium leishanense OX=445787 PE=4 SV=1</t>
        </is>
      </c>
      <c r="M8543" t="n">
        <v>769</v>
      </c>
      <c r="N8543" t="inlineStr">
        <is>
          <t>Leptobrachium leishanense</t>
        </is>
      </c>
      <c r="O8543" t="inlineStr">
        <is>
          <t>Reverse transcriptase domain-containing protein</t>
        </is>
      </c>
    </row>
    <row r="8544">
      <c r="A8544" t="inlineStr"/>
      <c r="B8544" t="inlineStr"/>
      <c r="C8544" t="inlineStr"/>
      <c r="D8544" t="inlineStr"/>
      <c r="E8544">
        <f>HYPERLINK("https://www.uniprot.org/uniprotkb/A0A8C5PXA8/entry", "A0A8C5PXA8")</f>
        <v/>
      </c>
      <c r="F8544" t="n">
        <v>40.8</v>
      </c>
      <c r="G8544" t="n">
        <v>360</v>
      </c>
      <c r="H8544" t="n">
        <v>8.339999999999999e-89</v>
      </c>
      <c r="I8544" t="inlineStr">
        <is>
          <t>TrEMBL</t>
        </is>
      </c>
      <c r="J8544" t="inlineStr"/>
      <c r="K8544" t="inlineStr">
        <is>
          <t>A0A8C5PXA8_9ANUR</t>
        </is>
      </c>
      <c r="L8544" t="inlineStr">
        <is>
          <t>tr|A0A8C5PXA8|A0A8C5PXA8_9ANUR Reverse transcriptase domain-containing protein OS=Leptobrachium leishanense OX=445787 PE=4 SV=1</t>
        </is>
      </c>
      <c r="M8544" t="n">
        <v>665</v>
      </c>
      <c r="N8544" t="inlineStr">
        <is>
          <t>Leptobrachium leishanense</t>
        </is>
      </c>
      <c r="O8544" t="inlineStr">
        <is>
          <t>Reverse transcriptase domain-containing protein</t>
        </is>
      </c>
    </row>
    <row r="8545">
      <c r="A8545" t="inlineStr"/>
      <c r="B8545" t="inlineStr"/>
      <c r="C8545" t="inlineStr"/>
      <c r="D8545" t="inlineStr"/>
      <c r="E8545">
        <f>HYPERLINK("https://www.uniprot.org/uniprotkb/A0A8C5MLF7/entry", "A0A8C5MLF7")</f>
        <v/>
      </c>
      <c r="F8545" t="n">
        <v>40.4</v>
      </c>
      <c r="G8545" t="n">
        <v>356</v>
      </c>
      <c r="H8545" t="n">
        <v>8.339999999999999e-89</v>
      </c>
      <c r="I8545" t="inlineStr">
        <is>
          <t>TrEMBL</t>
        </is>
      </c>
      <c r="J8545" t="inlineStr"/>
      <c r="K8545" t="inlineStr">
        <is>
          <t>A0A8C5MLF7_9ANUR</t>
        </is>
      </c>
      <c r="L8545" t="inlineStr">
        <is>
          <t>tr|A0A8C5MLF7|A0A8C5MLF7_9ANUR Reverse transcriptase domain-containing protein OS=Leptobrachium leishanense OX=445787 PE=4 SV=1</t>
        </is>
      </c>
      <c r="M8545" t="n">
        <v>665</v>
      </c>
      <c r="N8545" t="inlineStr">
        <is>
          <t>Leptobrachium leishanense</t>
        </is>
      </c>
      <c r="O8545" t="inlineStr">
        <is>
          <t>Reverse transcriptase domain-containing protein</t>
        </is>
      </c>
    </row>
    <row r="8546">
      <c r="A8546" t="inlineStr"/>
      <c r="B8546" t="inlineStr"/>
      <c r="C8546" t="inlineStr"/>
      <c r="D8546" t="inlineStr"/>
      <c r="E8546">
        <f>HYPERLINK("https://www.uniprot.org/uniprotkb/A0A803JQT4/entry", "A0A803JQT4")</f>
        <v/>
      </c>
      <c r="F8546" t="n">
        <v>43.4</v>
      </c>
      <c r="G8546" t="n">
        <v>339</v>
      </c>
      <c r="H8546" t="n">
        <v>2.1e-87</v>
      </c>
      <c r="I8546" t="inlineStr">
        <is>
          <t>TrEMBL</t>
        </is>
      </c>
      <c r="J8546" t="inlineStr"/>
      <c r="K8546" t="inlineStr">
        <is>
          <t>A0A803JQT4_XENTR</t>
        </is>
      </c>
      <c r="L8546" t="inlineStr">
        <is>
          <t>tr|A0A803JQT4|A0A803JQT4_XENTR Reverse transcriptase domain-containing protein OS=Xenopus tropicalis OX=8364 PE=4 SV=1</t>
        </is>
      </c>
      <c r="M8546" t="n">
        <v>750</v>
      </c>
      <c r="N8546" t="inlineStr">
        <is>
          <t>Xenopus tropicalis</t>
        </is>
      </c>
      <c r="O8546" t="inlineStr">
        <is>
          <t>Reverse transcriptase domain-containing protein</t>
        </is>
      </c>
    </row>
    <row r="8547">
      <c r="A8547" t="inlineStr"/>
      <c r="B8547" t="inlineStr"/>
      <c r="C8547" t="inlineStr"/>
      <c r="D8547" t="inlineStr"/>
      <c r="E8547">
        <f>HYPERLINK("https://www.ncbi.nlm.nih.gov/gene/?term=OCT79083.1", "OCT79083.1")</f>
        <v/>
      </c>
      <c r="F8547" t="n">
        <v>39.9</v>
      </c>
      <c r="G8547" t="n">
        <v>341</v>
      </c>
      <c r="H8547" t="n">
        <v>2.85e-87</v>
      </c>
      <c r="I8547" t="inlineStr">
        <is>
          <t>Nr</t>
        </is>
      </c>
      <c r="J8547" t="inlineStr"/>
      <c r="K8547" t="inlineStr"/>
      <c r="L8547" t="inlineStr">
        <is>
          <t>OCT79083.1 hypothetical protein XELAEV_18030179mg [Xenopus laevis]</t>
        </is>
      </c>
      <c r="M8547" t="n">
        <v>345</v>
      </c>
      <c r="N8547" t="inlineStr">
        <is>
          <t>Xenopus laevis</t>
        </is>
      </c>
      <c r="O8547" t="inlineStr">
        <is>
          <t>hypothetical protein XELAEV_18030179mg</t>
        </is>
      </c>
    </row>
    <row r="8548">
      <c r="A8548" t="inlineStr"/>
      <c r="B8548" t="inlineStr"/>
      <c r="C8548" t="inlineStr"/>
      <c r="D8548" t="inlineStr"/>
      <c r="E8548">
        <f>HYPERLINK("https://www.ncbi.nlm.nih.gov/gene/?term=OCT56300.1", "OCT56300.1")</f>
        <v/>
      </c>
      <c r="F8548" t="n">
        <v>43.4</v>
      </c>
      <c r="G8548" t="n">
        <v>339</v>
      </c>
      <c r="H8548" t="n">
        <v>4.45e-87</v>
      </c>
      <c r="I8548" t="inlineStr">
        <is>
          <t>Nr</t>
        </is>
      </c>
      <c r="J8548" t="inlineStr"/>
      <c r="K8548" t="inlineStr"/>
      <c r="L8548" t="inlineStr">
        <is>
          <t>OCT56300.1 hypothetical protein XELAEV_18000302mg [Xenopus laevis]</t>
        </is>
      </c>
      <c r="M8548" t="n">
        <v>428</v>
      </c>
      <c r="N8548" t="inlineStr">
        <is>
          <t>Xenopus laevis</t>
        </is>
      </c>
      <c r="O8548" t="inlineStr">
        <is>
          <t>hypothetical protein XELAEV_18000302mg</t>
        </is>
      </c>
    </row>
    <row r="8549">
      <c r="A8549" t="inlineStr"/>
      <c r="B8549" t="inlineStr"/>
      <c r="C8549" t="inlineStr"/>
      <c r="D8549" t="inlineStr"/>
      <c r="E8549">
        <f>HYPERLINK("https://www.ncbi.nlm.nih.gov/gene/?term=OCT69187.1", "OCT69187.1")</f>
        <v/>
      </c>
      <c r="F8549" t="n">
        <v>39.1</v>
      </c>
      <c r="G8549" t="n">
        <v>317</v>
      </c>
      <c r="H8549" t="n">
        <v>1.6e-82</v>
      </c>
      <c r="I8549" t="inlineStr">
        <is>
          <t>Nr</t>
        </is>
      </c>
      <c r="J8549" t="inlineStr"/>
      <c r="K8549" t="inlineStr"/>
      <c r="L8549" t="inlineStr">
        <is>
          <t>OCT69187.1 hypothetical protein XELAEV_18040497mg [Xenopus laevis]</t>
        </is>
      </c>
      <c r="M8549" t="n">
        <v>318</v>
      </c>
      <c r="N8549" t="inlineStr">
        <is>
          <t>Xenopus laevis</t>
        </is>
      </c>
      <c r="O8549" t="inlineStr">
        <is>
          <t>hypothetical protein XELAEV_18040497mg</t>
        </is>
      </c>
    </row>
    <row r="8550">
      <c r="A8550" t="inlineStr"/>
      <c r="B8550" t="inlineStr"/>
      <c r="C8550" t="inlineStr"/>
      <c r="D8550" t="inlineStr"/>
      <c r="E8550">
        <f>HYPERLINK("https://www.uniprot.org/uniprotkb/A0A8J1L5X1/entry", "A0A8J1L5X1")</f>
        <v/>
      </c>
      <c r="F8550" t="n">
        <v>40.3</v>
      </c>
      <c r="G8550" t="n">
        <v>345</v>
      </c>
      <c r="H8550" t="n">
        <v>9.03e-82</v>
      </c>
      <c r="I8550" t="inlineStr">
        <is>
          <t>TrEMBL</t>
        </is>
      </c>
      <c r="J8550" t="inlineStr">
        <is>
          <t>LOC121395443</t>
        </is>
      </c>
      <c r="K8550" t="inlineStr">
        <is>
          <t>A0A8J1L5X1_XENLA</t>
        </is>
      </c>
      <c r="L8550" t="inlineStr">
        <is>
          <t>tr|A0A8J1L5X1|A0A8J1L5X1_XENLA uncharacterized protein LOC121395443 isoform X1 OS=Xenopus laevis OX=8355 GN=LOC121395443 PE=4 SV=1</t>
        </is>
      </c>
      <c r="M8550" t="n">
        <v>371</v>
      </c>
      <c r="N8550" t="inlineStr">
        <is>
          <t>Xenopus laevis</t>
        </is>
      </c>
      <c r="O8550" t="inlineStr">
        <is>
          <t>uncharacterized protein LOC121395443 isoform X1</t>
        </is>
      </c>
    </row>
    <row r="8551">
      <c r="A8551" t="inlineStr"/>
      <c r="B8551" t="inlineStr"/>
      <c r="C8551" t="inlineStr"/>
      <c r="D8551" t="inlineStr"/>
      <c r="E8551">
        <f>HYPERLINK("https://www.ncbi.nlm.nih.gov/gene/?term=XP_041424928.1", "XP_041424928.1")</f>
        <v/>
      </c>
      <c r="F8551" t="n">
        <v>40.3</v>
      </c>
      <c r="G8551" t="n">
        <v>345</v>
      </c>
      <c r="H8551" t="n">
        <v>2.32e-81</v>
      </c>
      <c r="I8551" t="inlineStr">
        <is>
          <t>Nr</t>
        </is>
      </c>
      <c r="J8551" t="inlineStr"/>
      <c r="K8551" t="inlineStr"/>
      <c r="L8551" t="inlineStr">
        <is>
          <t>XP_041424928.1 uncharacterized protein LOC121395443 isoform X1 [Xenopus laevis]</t>
        </is>
      </c>
      <c r="M8551" t="n">
        <v>371</v>
      </c>
      <c r="N8551" t="inlineStr">
        <is>
          <t>Xenopus laevis</t>
        </is>
      </c>
      <c r="O8551" t="inlineStr">
        <is>
          <t>uncharacterized protein LOC121395443 isoform X1</t>
        </is>
      </c>
    </row>
    <row r="8552">
      <c r="A8552" t="inlineStr"/>
      <c r="B8552" t="inlineStr"/>
      <c r="C8552" t="inlineStr"/>
      <c r="D8552" t="inlineStr"/>
      <c r="E8552">
        <f>HYPERLINK("https://www.uniprot.org/uniprotkb/A0A8J1KX62/entry", "A0A8J1KX62")</f>
        <v/>
      </c>
      <c r="F8552" t="n">
        <v>40.3</v>
      </c>
      <c r="G8552" t="n">
        <v>345</v>
      </c>
      <c r="H8552" t="n">
        <v>1.68e-80</v>
      </c>
      <c r="I8552" t="inlineStr">
        <is>
          <t>TrEMBL</t>
        </is>
      </c>
      <c r="J8552" t="inlineStr">
        <is>
          <t>LOC121394310</t>
        </is>
      </c>
      <c r="K8552" t="inlineStr">
        <is>
          <t>A0A8J1KX62_XENLA</t>
        </is>
      </c>
      <c r="L8552" t="inlineStr">
        <is>
          <t>tr|A0A8J1KX62|A0A8J1KX62_XENLA uncharacterized protein LOC121394310 isoform X1 OS=Xenopus laevis OX=8355 GN=LOC121394310 PE=4 SV=1</t>
        </is>
      </c>
      <c r="M8552" t="n">
        <v>473</v>
      </c>
      <c r="N8552" t="inlineStr">
        <is>
          <t>Xenopus laevis</t>
        </is>
      </c>
      <c r="O8552" t="inlineStr">
        <is>
          <t>uncharacterized protein LOC121394310 isoform X1</t>
        </is>
      </c>
    </row>
    <row r="8553">
      <c r="A8553" t="inlineStr"/>
      <c r="B8553" t="inlineStr"/>
      <c r="C8553" t="inlineStr"/>
      <c r="D8553" t="inlineStr"/>
      <c r="E8553">
        <f>HYPERLINK("https://www.ncbi.nlm.nih.gov/gene/?term=OCT74377.1", "OCT74377.1")</f>
        <v/>
      </c>
      <c r="F8553" t="n">
        <v>39.3</v>
      </c>
      <c r="G8553" t="n">
        <v>341</v>
      </c>
      <c r="H8553" t="n">
        <v>2.11e-80</v>
      </c>
      <c r="I8553" t="inlineStr">
        <is>
          <t>Nr</t>
        </is>
      </c>
      <c r="J8553" t="inlineStr"/>
      <c r="K8553" t="inlineStr"/>
      <c r="L8553" t="inlineStr">
        <is>
          <t>OCT74377.1 hypothetical protein XELAEV_18033352mg [Xenopus laevis]</t>
        </is>
      </c>
      <c r="M8553" t="n">
        <v>319</v>
      </c>
      <c r="N8553" t="inlineStr">
        <is>
          <t>Xenopus laevis</t>
        </is>
      </c>
      <c r="O8553" t="inlineStr">
        <is>
          <t>hypothetical protein XELAEV_18033352mg</t>
        </is>
      </c>
    </row>
    <row r="8554">
      <c r="A8554" t="inlineStr"/>
      <c r="B8554" t="inlineStr"/>
      <c r="C8554" t="inlineStr"/>
      <c r="D8554" t="inlineStr"/>
      <c r="E8554">
        <f>HYPERLINK("https://www.ncbi.nlm.nih.gov/gene/?term=OCT80018.1", "OCT80018.1")</f>
        <v/>
      </c>
      <c r="F8554" t="n">
        <v>40.6</v>
      </c>
      <c r="G8554" t="n">
        <v>347</v>
      </c>
      <c r="H8554" t="n">
        <v>3.47e-80</v>
      </c>
      <c r="I8554" t="inlineStr">
        <is>
          <t>Nr</t>
        </is>
      </c>
      <c r="J8554" t="inlineStr"/>
      <c r="K8554" t="inlineStr"/>
      <c r="L8554" t="inlineStr">
        <is>
          <t>OCT80018.1 hypothetical protein XELAEV_18026834mg [Xenopus laevis]</t>
        </is>
      </c>
      <c r="M8554" t="n">
        <v>369</v>
      </c>
      <c r="N8554" t="inlineStr">
        <is>
          <t>Xenopus laevis</t>
        </is>
      </c>
      <c r="O8554" t="inlineStr">
        <is>
          <t>hypothetical protein XELAEV_18026834mg</t>
        </is>
      </c>
    </row>
    <row r="8555">
      <c r="A8555" t="inlineStr"/>
      <c r="B8555" t="inlineStr"/>
      <c r="C8555" t="inlineStr"/>
      <c r="D8555" t="inlineStr"/>
      <c r="E8555">
        <f>HYPERLINK("https://www.ncbi.nlm.nih.gov/gene/?term=XP_041420849.1", "XP_041420849.1")</f>
        <v/>
      </c>
      <c r="F8555" t="n">
        <v>40.3</v>
      </c>
      <c r="G8555" t="n">
        <v>345</v>
      </c>
      <c r="H8555" t="n">
        <v>4.33e-80</v>
      </c>
      <c r="I8555" t="inlineStr">
        <is>
          <t>Nr</t>
        </is>
      </c>
      <c r="J8555" t="inlineStr"/>
      <c r="K8555" t="inlineStr"/>
      <c r="L8555" t="inlineStr">
        <is>
          <t>XP_041420849.1 uncharacterized protein LOC121394310 isoform X1 [Xenopus laevis]</t>
        </is>
      </c>
      <c r="M8555" t="n">
        <v>473</v>
      </c>
      <c r="N8555" t="inlineStr">
        <is>
          <t>Xenopus laevis</t>
        </is>
      </c>
      <c r="O8555" t="inlineStr">
        <is>
          <t>uncharacterized protein LOC121394310 isoform X1</t>
        </is>
      </c>
    </row>
    <row r="8556">
      <c r="A8556" t="inlineStr"/>
      <c r="B8556" t="inlineStr"/>
      <c r="C8556" t="inlineStr"/>
      <c r="D8556" t="inlineStr"/>
      <c r="E8556">
        <f>HYPERLINK("https://www.ncbi.nlm.nih.gov/gene/?term=OCT87357.1", "OCT87357.1")</f>
        <v/>
      </c>
      <c r="F8556" t="n">
        <v>47.3</v>
      </c>
      <c r="G8556" t="n">
        <v>281</v>
      </c>
      <c r="H8556" t="n">
        <v>6.580000000000001e-79</v>
      </c>
      <c r="I8556" t="inlineStr">
        <is>
          <t>Nr</t>
        </is>
      </c>
      <c r="J8556" t="inlineStr"/>
      <c r="K8556" t="inlineStr"/>
      <c r="L8556" t="inlineStr">
        <is>
          <t>OCT87357.1 hypothetical protein XELAEV_18021057mg, partial [Xenopus laevis]</t>
        </is>
      </c>
      <c r="M8556" t="n">
        <v>375</v>
      </c>
      <c r="N8556" t="inlineStr">
        <is>
          <t>Xenopus laevis</t>
        </is>
      </c>
      <c r="O8556" t="inlineStr">
        <is>
          <t>hypothetical protein XELAEV_18021057mg, partial</t>
        </is>
      </c>
    </row>
    <row r="8557">
      <c r="A8557" t="inlineStr"/>
      <c r="B8557" t="inlineStr"/>
      <c r="C8557" t="inlineStr"/>
      <c r="D8557" t="inlineStr"/>
      <c r="E8557">
        <f>HYPERLINK("https://www.ncbi.nlm.nih.gov/gene/?term=XP_044139139.1", "XP_044139139.1")</f>
        <v/>
      </c>
      <c r="F8557" t="n">
        <v>41.2</v>
      </c>
      <c r="G8557" t="n">
        <v>340</v>
      </c>
      <c r="H8557" t="n">
        <v>1.98e-77</v>
      </c>
      <c r="I8557" t="inlineStr">
        <is>
          <t>Nr</t>
        </is>
      </c>
      <c r="J8557" t="inlineStr"/>
      <c r="K8557" t="inlineStr"/>
      <c r="L8557" t="inlineStr">
        <is>
          <t>XP_044139139.1 uncharacterized protein LOC122929581 [Bufo gargarizans]</t>
        </is>
      </c>
      <c r="M8557" t="n">
        <v>1065</v>
      </c>
      <c r="N8557" t="inlineStr">
        <is>
          <t>Bufo gargarizans</t>
        </is>
      </c>
      <c r="O8557" t="inlineStr">
        <is>
          <t>uncharacterized protein LOC122929581</t>
        </is>
      </c>
    </row>
    <row r="8558">
      <c r="A8558" t="inlineStr"/>
      <c r="B8558" t="inlineStr"/>
      <c r="C8558" t="inlineStr"/>
      <c r="D8558" t="inlineStr"/>
      <c r="E8558">
        <f>HYPERLINK("https://www.ncbi.nlm.nih.gov/gene/?term=OCT89505.1", "OCT89505.1")</f>
        <v/>
      </c>
      <c r="F8558" t="n">
        <v>37.8</v>
      </c>
      <c r="G8558" t="n">
        <v>341</v>
      </c>
      <c r="H8558" t="n">
        <v>4.52e-77</v>
      </c>
      <c r="I8558" t="inlineStr">
        <is>
          <t>Nr</t>
        </is>
      </c>
      <c r="J8558" t="inlineStr"/>
      <c r="K8558" t="inlineStr"/>
      <c r="L8558" t="inlineStr">
        <is>
          <t>OCT89505.1 hypothetical protein XELAEV_18018126mg [Xenopus laevis]</t>
        </is>
      </c>
      <c r="M8558" t="n">
        <v>332</v>
      </c>
      <c r="N8558" t="inlineStr">
        <is>
          <t>Xenopus laevis</t>
        </is>
      </c>
      <c r="O8558" t="inlineStr">
        <is>
          <t>hypothetical protein XELAEV_18018126mg</t>
        </is>
      </c>
    </row>
    <row r="8559">
      <c r="A8559" t="inlineStr"/>
      <c r="B8559" t="inlineStr"/>
      <c r="C8559" t="inlineStr"/>
      <c r="D8559" t="inlineStr"/>
      <c r="E8559">
        <f>HYPERLINK("https://www.uniprot.org/uniprotkb/A0A8T2J9L5/entry", "A0A8T2J9L5")</f>
        <v/>
      </c>
      <c r="F8559" t="n">
        <v>38.3</v>
      </c>
      <c r="G8559" t="n">
        <v>329</v>
      </c>
      <c r="H8559" t="n">
        <v>4.94e-76</v>
      </c>
      <c r="I8559" t="inlineStr">
        <is>
          <t>TrEMBL</t>
        </is>
      </c>
      <c r="J8559" t="inlineStr">
        <is>
          <t>GDO86_006243</t>
        </is>
      </c>
      <c r="K8559" t="inlineStr">
        <is>
          <t>A0A8T2J9L5_9PIPI</t>
        </is>
      </c>
      <c r="L8559" t="inlineStr">
        <is>
          <t>tr|A0A8T2J9L5|A0A8T2J9L5_9PIPI GIY-YIG domain-containing protein OS=Hymenochirus boettgeri OX=247094 GN=GDO86_006243 PE=4 SV=1</t>
        </is>
      </c>
      <c r="M8559" t="n">
        <v>447</v>
      </c>
      <c r="N8559" t="inlineStr">
        <is>
          <t>Hymenochirus boettgeri</t>
        </is>
      </c>
      <c r="O8559" t="inlineStr">
        <is>
          <t>GIY-YIG domain-containing protein</t>
        </is>
      </c>
    </row>
    <row r="8560">
      <c r="A8560" t="inlineStr"/>
      <c r="B8560" t="inlineStr"/>
      <c r="C8560" t="inlineStr"/>
      <c r="D8560" t="inlineStr"/>
      <c r="E8560">
        <f>HYPERLINK("https://www.ncbi.nlm.nih.gov/gene/?term=OCT82437.1", "OCT82437.1")</f>
        <v/>
      </c>
      <c r="F8560" t="n">
        <v>39.3</v>
      </c>
      <c r="G8560" t="n">
        <v>308</v>
      </c>
      <c r="H8560" t="n">
        <v>9.38e-76</v>
      </c>
      <c r="I8560" t="inlineStr">
        <is>
          <t>Nr</t>
        </is>
      </c>
      <c r="J8560" t="inlineStr"/>
      <c r="K8560" t="inlineStr"/>
      <c r="L8560" t="inlineStr">
        <is>
          <t>OCT82437.1 hypothetical protein XELAEV_18024967mg, partial [Xenopus laevis]</t>
        </is>
      </c>
      <c r="M8560" t="n">
        <v>296</v>
      </c>
      <c r="N8560" t="inlineStr">
        <is>
          <t>Xenopus laevis</t>
        </is>
      </c>
      <c r="O8560" t="inlineStr">
        <is>
          <t>hypothetical protein XELAEV_18024967mg, partial</t>
        </is>
      </c>
    </row>
    <row r="8561">
      <c r="A8561" t="inlineStr"/>
      <c r="B8561" t="inlineStr"/>
      <c r="C8561" t="inlineStr"/>
      <c r="D8561" t="inlineStr"/>
      <c r="E8561">
        <f>HYPERLINK("https://www.ncbi.nlm.nih.gov/gene/?term=KAG8440413.1", "KAG8440413.1")</f>
        <v/>
      </c>
      <c r="F8561" t="n">
        <v>38.3</v>
      </c>
      <c r="G8561" t="n">
        <v>329</v>
      </c>
      <c r="H8561" t="n">
        <v>1.27e-75</v>
      </c>
      <c r="I8561" t="inlineStr">
        <is>
          <t>Nr</t>
        </is>
      </c>
      <c r="J8561" t="inlineStr"/>
      <c r="K8561" t="inlineStr"/>
      <c r="L8561" t="inlineStr">
        <is>
          <t>KAG8440413.1 hypothetical protein GDO86_006243 [Hymenochirus boettgeri]</t>
        </is>
      </c>
      <c r="M8561" t="n">
        <v>447</v>
      </c>
      <c r="N8561" t="inlineStr">
        <is>
          <t>Hymenochirus boettgeri</t>
        </is>
      </c>
      <c r="O8561" t="inlineStr">
        <is>
          <t>hypothetical protein GDO86_006243</t>
        </is>
      </c>
    </row>
    <row r="8562">
      <c r="A8562" t="inlineStr"/>
      <c r="B8562" t="inlineStr"/>
      <c r="C8562" t="inlineStr"/>
      <c r="D8562" t="inlineStr"/>
      <c r="E8562">
        <f>HYPERLINK("https://www.uniprot.org/uniprotkb/A0A8C5LUC9/entry", "A0A8C5LUC9")</f>
        <v/>
      </c>
      <c r="F8562" t="n">
        <v>40</v>
      </c>
      <c r="G8562" t="n">
        <v>355</v>
      </c>
      <c r="H8562" t="n">
        <v>1.57e-75</v>
      </c>
      <c r="I8562" t="inlineStr">
        <is>
          <t>TrEMBL</t>
        </is>
      </c>
      <c r="J8562" t="inlineStr"/>
      <c r="K8562" t="inlineStr">
        <is>
          <t>A0A8C5LUC9_9ANUR</t>
        </is>
      </c>
      <c r="L8562" t="inlineStr">
        <is>
          <t>tr|A0A8C5LUC9|A0A8C5LUC9_9ANUR Reverse transcriptase domain-containing protein OS=Leptobrachium leishanense OX=445787 PE=4 SV=1</t>
        </is>
      </c>
      <c r="M8562" t="n">
        <v>754</v>
      </c>
      <c r="N8562" t="inlineStr">
        <is>
          <t>Leptobrachium leishanense</t>
        </is>
      </c>
      <c r="O8562" t="inlineStr">
        <is>
          <t>Reverse transcriptase domain-containing protein</t>
        </is>
      </c>
    </row>
    <row r="8563">
      <c r="A8563" t="inlineStr"/>
      <c r="B8563" t="inlineStr"/>
      <c r="C8563" t="inlineStr"/>
      <c r="D8563" t="inlineStr"/>
      <c r="E8563">
        <f>HYPERLINK("https://www.ncbi.nlm.nih.gov/gene/?term=OCT88193.1", "OCT88193.1")</f>
        <v/>
      </c>
      <c r="F8563" t="n">
        <v>35.7</v>
      </c>
      <c r="G8563" t="n">
        <v>353</v>
      </c>
      <c r="H8563" t="n">
        <v>1.13e-74</v>
      </c>
      <c r="I8563" t="inlineStr">
        <is>
          <t>Nr</t>
        </is>
      </c>
      <c r="J8563" t="inlineStr"/>
      <c r="K8563" t="inlineStr"/>
      <c r="L8563" t="inlineStr">
        <is>
          <t>OCT88193.1 hypothetical protein XELAEV_18016819mg [Xenopus laevis]</t>
        </is>
      </c>
      <c r="M8563" t="n">
        <v>390</v>
      </c>
      <c r="N8563" t="inlineStr">
        <is>
          <t>Xenopus laevis</t>
        </is>
      </c>
      <c r="O8563" t="inlineStr">
        <is>
          <t>hypothetical protein XELAEV_18016819mg</t>
        </is>
      </c>
    </row>
    <row r="8564">
      <c r="A8564" t="inlineStr"/>
      <c r="B8564" t="inlineStr"/>
      <c r="C8564" t="inlineStr"/>
      <c r="D8564" t="inlineStr"/>
      <c r="E8564">
        <f>HYPERLINK("https://www.ncbi.nlm.nih.gov/gene/?term=OCT60779.1", "OCT60779.1")</f>
        <v/>
      </c>
      <c r="F8564" t="n">
        <v>37.5</v>
      </c>
      <c r="G8564" t="n">
        <v>341</v>
      </c>
      <c r="H8564" t="n">
        <v>1.5e-74</v>
      </c>
      <c r="I8564" t="inlineStr">
        <is>
          <t>Nr</t>
        </is>
      </c>
      <c r="J8564" t="inlineStr"/>
      <c r="K8564" t="inlineStr"/>
      <c r="L8564" t="inlineStr">
        <is>
          <t>OCT60779.1 hypothetical protein XELAEV_18046801mg, partial [Xenopus laevis]</t>
        </is>
      </c>
      <c r="M8564" t="n">
        <v>376</v>
      </c>
      <c r="N8564" t="inlineStr">
        <is>
          <t>Xenopus laevis</t>
        </is>
      </c>
      <c r="O8564" t="inlineStr">
        <is>
          <t>hypothetical protein XELAEV_18046801mg, partial</t>
        </is>
      </c>
    </row>
    <row r="8565">
      <c r="A8565" t="inlineStr"/>
      <c r="B8565" t="inlineStr"/>
      <c r="C8565" t="inlineStr"/>
      <c r="D8565" t="inlineStr"/>
      <c r="E8565">
        <f>HYPERLINK("https://www.ncbi.nlm.nih.gov/gene/?term=OCT55870.1", "OCT55870.1")</f>
        <v/>
      </c>
      <c r="F8565" t="n">
        <v>36.4</v>
      </c>
      <c r="G8565" t="n">
        <v>354</v>
      </c>
      <c r="H8565" t="n">
        <v>1.26e-73</v>
      </c>
      <c r="I8565" t="inlineStr">
        <is>
          <t>Nr</t>
        </is>
      </c>
      <c r="J8565" t="inlineStr"/>
      <c r="K8565" t="inlineStr"/>
      <c r="L8565" t="inlineStr">
        <is>
          <t>OCT55870.1 hypothetical protein XELAEV_18002621mg, partial [Xenopus laevis]</t>
        </is>
      </c>
      <c r="M8565" t="n">
        <v>343</v>
      </c>
      <c r="N8565" t="inlineStr">
        <is>
          <t>Xenopus laevis</t>
        </is>
      </c>
      <c r="O8565" t="inlineStr">
        <is>
          <t>hypothetical protein XELAEV_18002621mg, partial</t>
        </is>
      </c>
    </row>
    <row r="8566">
      <c r="A8566" t="inlineStr"/>
      <c r="B8566" t="inlineStr"/>
      <c r="C8566" t="inlineStr"/>
      <c r="D8566" t="inlineStr"/>
      <c r="E8566">
        <f>HYPERLINK("https://www.uniprot.org/uniprotkb/A0A8J1LZ77/entry", "A0A8J1LZ77")</f>
        <v/>
      </c>
      <c r="F8566" t="n">
        <v>39.3</v>
      </c>
      <c r="G8566" t="n">
        <v>349</v>
      </c>
      <c r="H8566" t="n">
        <v>3.02e-73</v>
      </c>
      <c r="I8566" t="inlineStr">
        <is>
          <t>TrEMBL</t>
        </is>
      </c>
      <c r="J8566" t="inlineStr">
        <is>
          <t>LOC108702978</t>
        </is>
      </c>
      <c r="K8566" t="inlineStr">
        <is>
          <t>A0A8J1LZ77_XENLA</t>
        </is>
      </c>
      <c r="L8566" t="inlineStr">
        <is>
          <t>tr|A0A8J1LZ77|A0A8J1LZ77_XENLA uncharacterized protein LOC108702978 OS=Xenopus laevis OX=8355 GN=LOC108702978 PE=4 SV=1</t>
        </is>
      </c>
      <c r="M8566" t="n">
        <v>831</v>
      </c>
      <c r="N8566" t="inlineStr">
        <is>
          <t>Xenopus laevis</t>
        </is>
      </c>
      <c r="O8566" t="inlineStr">
        <is>
          <t>uncharacterized protein LOC108702978</t>
        </is>
      </c>
    </row>
    <row r="8567">
      <c r="A8567" t="inlineStr"/>
      <c r="B8567" t="inlineStr"/>
      <c r="C8567" t="inlineStr"/>
      <c r="D8567" t="inlineStr"/>
      <c r="E8567">
        <f>HYPERLINK("https://www.uniprot.org/uniprotkb/A0A8J1L3P5/entry", "A0A8J1L3P5")</f>
        <v/>
      </c>
      <c r="F8567" t="n">
        <v>35.9</v>
      </c>
      <c r="G8567" t="n">
        <v>351</v>
      </c>
      <c r="H8567" t="n">
        <v>1.8e-72</v>
      </c>
      <c r="I8567" t="inlineStr">
        <is>
          <t>TrEMBL</t>
        </is>
      </c>
      <c r="J8567" t="inlineStr">
        <is>
          <t>LOC121395092</t>
        </is>
      </c>
      <c r="K8567" t="inlineStr">
        <is>
          <t>A0A8J1L3P5_XENLA</t>
        </is>
      </c>
      <c r="L8567" t="inlineStr">
        <is>
          <t>tr|A0A8J1L3P5|A0A8J1L3P5_XENLA uncharacterized protein LOC121395092 OS=Xenopus laevis OX=8355 GN=LOC121395092 PE=4 SV=1</t>
        </is>
      </c>
      <c r="M8567" t="n">
        <v>408</v>
      </c>
      <c r="N8567" t="inlineStr">
        <is>
          <t>Xenopus laevis</t>
        </is>
      </c>
      <c r="O8567" t="inlineStr">
        <is>
          <t>uncharacterized protein LOC121395092</t>
        </is>
      </c>
    </row>
    <row r="8568">
      <c r="A8568" t="inlineStr"/>
      <c r="B8568" t="inlineStr"/>
      <c r="C8568" t="inlineStr"/>
      <c r="D8568" t="inlineStr"/>
      <c r="E8568">
        <f>HYPERLINK("https://www.uniprot.org/uniprotkb/A0A8J1L528/entry", "A0A8J1L528")</f>
        <v/>
      </c>
      <c r="F8568" t="n">
        <v>34.9</v>
      </c>
      <c r="G8568" t="n">
        <v>373</v>
      </c>
      <c r="H8568" t="n">
        <v>2.61e-72</v>
      </c>
      <c r="I8568" t="inlineStr">
        <is>
          <t>TrEMBL</t>
        </is>
      </c>
      <c r="J8568" t="inlineStr">
        <is>
          <t>LOC121395364</t>
        </is>
      </c>
      <c r="K8568" t="inlineStr">
        <is>
          <t>A0A8J1L528_XENLA</t>
        </is>
      </c>
      <c r="L8568" t="inlineStr">
        <is>
          <t>tr|A0A8J1L528|A0A8J1L528_XENLA uncharacterized protein LOC121395364 OS=Xenopus laevis OX=8355 GN=LOC121395364 PE=4 SV=1</t>
        </is>
      </c>
      <c r="M8568" t="n">
        <v>409</v>
      </c>
      <c r="N8568" t="inlineStr">
        <is>
          <t>Xenopus laevis</t>
        </is>
      </c>
      <c r="O8568" t="inlineStr">
        <is>
          <t>uncharacterized protein LOC121395364</t>
        </is>
      </c>
    </row>
    <row r="8569">
      <c r="A8569" t="inlineStr"/>
      <c r="B8569" t="inlineStr"/>
      <c r="C8569" t="inlineStr"/>
      <c r="D8569" t="inlineStr"/>
      <c r="E8569">
        <f>HYPERLINK("https://www.uniprot.org/uniprotkb/A0A8C5M435/entry", "A0A8C5M435")</f>
        <v/>
      </c>
      <c r="F8569" t="n">
        <v>39.5</v>
      </c>
      <c r="G8569" t="n">
        <v>349</v>
      </c>
      <c r="H8569" t="n">
        <v>3.13e-72</v>
      </c>
      <c r="I8569" t="inlineStr">
        <is>
          <t>TrEMBL</t>
        </is>
      </c>
      <c r="J8569" t="inlineStr"/>
      <c r="K8569" t="inlineStr">
        <is>
          <t>A0A8C5M435_9ANUR</t>
        </is>
      </c>
      <c r="L8569" t="inlineStr">
        <is>
          <t>tr|A0A8C5M435|A0A8C5M435_9ANUR Reverse transcriptase domain-containing protein OS=Leptobrachium leishanense OX=445787 PE=4 SV=1</t>
        </is>
      </c>
      <c r="M8569" t="n">
        <v>642</v>
      </c>
      <c r="N8569" t="inlineStr">
        <is>
          <t>Leptobrachium leishanense</t>
        </is>
      </c>
      <c r="O8569" t="inlineStr">
        <is>
          <t>Reverse transcriptase domain-containing protein</t>
        </is>
      </c>
    </row>
    <row r="8570">
      <c r="A8570" t="inlineStr"/>
      <c r="B8570" t="inlineStr"/>
      <c r="C8570" t="inlineStr"/>
      <c r="D8570" t="inlineStr"/>
      <c r="E8570">
        <f>HYPERLINK("https://www.uniprot.org/uniprotkb/A0A8J1M119/entry", "A0A8J1M119")</f>
        <v/>
      </c>
      <c r="F8570" t="n">
        <v>35.9</v>
      </c>
      <c r="G8570" t="n">
        <v>351</v>
      </c>
      <c r="H8570" t="n">
        <v>3.58e-72</v>
      </c>
      <c r="I8570" t="inlineStr">
        <is>
          <t>TrEMBL</t>
        </is>
      </c>
      <c r="J8570" t="inlineStr">
        <is>
          <t>LOC121399280</t>
        </is>
      </c>
      <c r="K8570" t="inlineStr">
        <is>
          <t>A0A8J1M119_XENLA</t>
        </is>
      </c>
      <c r="L8570" t="inlineStr">
        <is>
          <t>tr|A0A8J1M119|A0A8J1M119_XENLA uncharacterized protein LOC121399280 OS=Xenopus laevis OX=8355 GN=LOC121399280 PE=4 SV=1</t>
        </is>
      </c>
      <c r="M8570" t="n">
        <v>408</v>
      </c>
      <c r="N8570" t="inlineStr">
        <is>
          <t>Xenopus laevis</t>
        </is>
      </c>
      <c r="O8570" t="inlineStr">
        <is>
          <t>uncharacterized protein LOC121399280</t>
        </is>
      </c>
    </row>
    <row r="8571">
      <c r="A8571" t="inlineStr"/>
      <c r="B8571" t="inlineStr"/>
      <c r="C8571" t="inlineStr"/>
      <c r="D8571" t="inlineStr"/>
      <c r="E8571">
        <f>HYPERLINK("https://www.uniprot.org/uniprotkb/A0A8J1MZR7/entry", "A0A8J1MZR7")</f>
        <v/>
      </c>
      <c r="F8571" t="n">
        <v>36.3</v>
      </c>
      <c r="G8571" t="n">
        <v>353</v>
      </c>
      <c r="H8571" t="n">
        <v>1.18e-71</v>
      </c>
      <c r="I8571" t="inlineStr">
        <is>
          <t>TrEMBL</t>
        </is>
      </c>
      <c r="J8571" t="inlineStr">
        <is>
          <t>LOC121403153</t>
        </is>
      </c>
      <c r="K8571" t="inlineStr">
        <is>
          <t>A0A8J1MZR7_XENLA</t>
        </is>
      </c>
      <c r="L8571" t="inlineStr">
        <is>
          <t>tr|A0A8J1MZR7|A0A8J1MZR7_XENLA uncharacterized protein LOC121403153 OS=Xenopus laevis OX=8355 GN=LOC121403153 PE=4 SV=1</t>
        </is>
      </c>
      <c r="M8571" t="n">
        <v>414</v>
      </c>
      <c r="N8571" t="inlineStr">
        <is>
          <t>Xenopus laevis</t>
        </is>
      </c>
      <c r="O8571" t="inlineStr">
        <is>
          <t>uncharacterized protein LOC121403153</t>
        </is>
      </c>
    </row>
    <row r="8572">
      <c r="A8572" t="inlineStr">
        <is>
          <t>NODE_63533_length_2510_cov_181.810070_g21075_i1</t>
        </is>
      </c>
      <c r="B8572" t="inlineStr">
        <is>
          <t>bombina_pachypus_blastx</t>
        </is>
      </c>
      <c r="C8572" t="n">
        <v>-6.32031026010758</v>
      </c>
      <c r="D8572" t="n">
        <v>0.0397769354903341</v>
      </c>
      <c r="E8572">
        <f>HYPERLINK("https://www.ncbi.nlm.nih.gov/gene/?term=XP_044154618.1", "XP_044154618.1")</f>
        <v/>
      </c>
      <c r="F8572" t="n">
        <v>61.9</v>
      </c>
      <c r="G8572" t="n">
        <v>147</v>
      </c>
      <c r="H8572" t="n">
        <v>4.3e-59</v>
      </c>
      <c r="I8572" t="inlineStr">
        <is>
          <t>Nr</t>
        </is>
      </c>
      <c r="J8572" t="inlineStr"/>
      <c r="K8572" t="inlineStr"/>
      <c r="L8572" t="inlineStr">
        <is>
          <t>XP_044154618.1 endogenous retroviral envelope protein HEMO-like [Bufo gargarizans]</t>
        </is>
      </c>
      <c r="M8572" t="n">
        <v>444</v>
      </c>
      <c r="N8572" t="inlineStr">
        <is>
          <t>Bufo gargarizans</t>
        </is>
      </c>
      <c r="O8572" t="inlineStr">
        <is>
          <t>endogenous retroviral envelope protein HEMO-like</t>
        </is>
      </c>
    </row>
    <row r="8573">
      <c r="A8573" t="inlineStr"/>
      <c r="B8573" t="inlineStr"/>
      <c r="C8573" t="inlineStr"/>
      <c r="D8573" t="inlineStr"/>
      <c r="E8573">
        <f>HYPERLINK("https://www.ncbi.nlm.nih.gov/gene/?term=XP_040288807.1", "XP_040288807.1")</f>
        <v/>
      </c>
      <c r="F8573" t="n">
        <v>59.2</v>
      </c>
      <c r="G8573" t="n">
        <v>147</v>
      </c>
      <c r="H8573" t="n">
        <v>4.52e-55</v>
      </c>
      <c r="I8573" t="inlineStr">
        <is>
          <t>Nr</t>
        </is>
      </c>
      <c r="J8573" t="inlineStr"/>
      <c r="K8573" t="inlineStr"/>
      <c r="L8573" t="inlineStr">
        <is>
          <t>XP_040288807.1 endogenous retroviral envelope protein HEMO-like [Bufo bufo]</t>
        </is>
      </c>
      <c r="M8573" t="n">
        <v>444</v>
      </c>
      <c r="N8573" t="inlineStr">
        <is>
          <t>Bufo bufo</t>
        </is>
      </c>
      <c r="O8573" t="inlineStr">
        <is>
          <t>endogenous retroviral envelope protein HEMO-like</t>
        </is>
      </c>
    </row>
    <row r="8574">
      <c r="A8574" t="inlineStr"/>
      <c r="B8574" t="inlineStr"/>
      <c r="C8574" t="inlineStr"/>
      <c r="D8574" t="inlineStr"/>
      <c r="E8574">
        <f>HYPERLINK("https://www.ncbi.nlm.nih.gov/gene/?term=XP_044160606.1", "XP_044160606.1")</f>
        <v/>
      </c>
      <c r="F8574" t="n">
        <v>66.09999999999999</v>
      </c>
      <c r="G8574" t="n">
        <v>109</v>
      </c>
      <c r="H8574" t="n">
        <v>7.17e-46</v>
      </c>
      <c r="I8574" t="inlineStr">
        <is>
          <t>Nr</t>
        </is>
      </c>
      <c r="J8574" t="inlineStr"/>
      <c r="K8574" t="inlineStr"/>
      <c r="L8574" t="inlineStr">
        <is>
          <t>XP_044160606.1 uncharacterized protein LOC122945588 isoform X2 [Bufo gargarizans]</t>
        </is>
      </c>
      <c r="M8574" t="n">
        <v>257</v>
      </c>
      <c r="N8574" t="inlineStr">
        <is>
          <t>Bufo gargarizans</t>
        </is>
      </c>
      <c r="O8574" t="inlineStr">
        <is>
          <t>uncharacterized protein LOC122945588 isoform X2</t>
        </is>
      </c>
    </row>
    <row r="8575">
      <c r="A8575" t="inlineStr"/>
      <c r="B8575" t="inlineStr"/>
      <c r="C8575" t="inlineStr"/>
      <c r="D8575" t="inlineStr"/>
      <c r="E8575">
        <f>HYPERLINK("https://www.ncbi.nlm.nih.gov/gene/?term=XP_044160605.1", "XP_044160605.1")</f>
        <v/>
      </c>
      <c r="F8575" t="n">
        <v>66.09999999999999</v>
      </c>
      <c r="G8575" t="n">
        <v>109</v>
      </c>
      <c r="H8575" t="n">
        <v>1.03e-45</v>
      </c>
      <c r="I8575" t="inlineStr">
        <is>
          <t>Nr</t>
        </is>
      </c>
      <c r="J8575" t="inlineStr"/>
      <c r="K8575" t="inlineStr"/>
      <c r="L8575" t="inlineStr">
        <is>
          <t>XP_044160605.1 uncharacterized protein LOC122945588 isoform X1 [Bufo gargarizans]</t>
        </is>
      </c>
      <c r="M8575" t="n">
        <v>270</v>
      </c>
      <c r="N8575" t="inlineStr">
        <is>
          <t>Bufo gargarizans</t>
        </is>
      </c>
      <c r="O8575" t="inlineStr">
        <is>
          <t>uncharacterized protein LOC122945588 isoform X1</t>
        </is>
      </c>
    </row>
    <row r="8576">
      <c r="A8576" t="inlineStr"/>
      <c r="B8576" t="inlineStr"/>
      <c r="C8576" t="inlineStr"/>
      <c r="D8576" t="inlineStr"/>
      <c r="E8576">
        <f>HYPERLINK("https://www.uniprot.org/uniprotkb/A0A803JYR9/entry", "A0A803JYR9")</f>
        <v/>
      </c>
      <c r="F8576" t="n">
        <v>47.9</v>
      </c>
      <c r="G8576" t="n">
        <v>142</v>
      </c>
      <c r="H8576" t="n">
        <v>3.87e-43</v>
      </c>
      <c r="I8576" t="inlineStr">
        <is>
          <t>TrEMBL</t>
        </is>
      </c>
      <c r="J8576" t="inlineStr"/>
      <c r="K8576" t="inlineStr">
        <is>
          <t>A0A803JYR9_XENTR</t>
        </is>
      </c>
      <c r="L8576" t="inlineStr">
        <is>
          <t>tr|A0A803JYR9|A0A803JYR9_XENTR Envelope glycoprotein OS=Xenopus tropicalis OX=8364 PE=4 SV=1</t>
        </is>
      </c>
      <c r="M8576" t="n">
        <v>416</v>
      </c>
      <c r="N8576" t="inlineStr">
        <is>
          <t>Xenopus tropicalis</t>
        </is>
      </c>
      <c r="O8576" t="inlineStr">
        <is>
          <t>Envelope glycoprotein</t>
        </is>
      </c>
    </row>
    <row r="8577">
      <c r="A8577" t="inlineStr"/>
      <c r="B8577" t="inlineStr"/>
      <c r="C8577" t="inlineStr"/>
      <c r="D8577" t="inlineStr"/>
      <c r="E8577">
        <f>HYPERLINK("https://www.uniprot.org/uniprotkb/A0A803JP05/entry", "A0A803JP05")</f>
        <v/>
      </c>
      <c r="F8577" t="n">
        <v>47.9</v>
      </c>
      <c r="G8577" t="n">
        <v>142</v>
      </c>
      <c r="H8577" t="n">
        <v>1.29e-42</v>
      </c>
      <c r="I8577" t="inlineStr">
        <is>
          <t>TrEMBL</t>
        </is>
      </c>
      <c r="J8577" t="inlineStr"/>
      <c r="K8577" t="inlineStr">
        <is>
          <t>A0A803JP05_XENTR</t>
        </is>
      </c>
      <c r="L8577" t="inlineStr">
        <is>
          <t>tr|A0A803JP05|A0A803JP05_XENTR Envelope glycoprotein OS=Xenopus tropicalis OX=8364 PE=4 SV=1</t>
        </is>
      </c>
      <c r="M8577" t="n">
        <v>444</v>
      </c>
      <c r="N8577" t="inlineStr">
        <is>
          <t>Xenopus tropicalis</t>
        </is>
      </c>
      <c r="O8577" t="inlineStr">
        <is>
          <t>Envelope glycoprotein</t>
        </is>
      </c>
    </row>
    <row r="8578">
      <c r="A8578" t="inlineStr"/>
      <c r="B8578" t="inlineStr"/>
      <c r="C8578" t="inlineStr"/>
      <c r="D8578" t="inlineStr"/>
      <c r="E8578">
        <f>HYPERLINK("https://www.ncbi.nlm.nih.gov/gene/?term=XP_044155517.1", "XP_044155517.1")</f>
        <v/>
      </c>
      <c r="F8578" t="n">
        <v>66.3</v>
      </c>
      <c r="G8578" t="n">
        <v>98</v>
      </c>
      <c r="H8578" t="n">
        <v>1.05e-38</v>
      </c>
      <c r="I8578" t="inlineStr">
        <is>
          <t>Nr</t>
        </is>
      </c>
      <c r="J8578" t="inlineStr"/>
      <c r="K8578" t="inlineStr"/>
      <c r="L8578" t="inlineStr">
        <is>
          <t>XP_044155517.1 uncharacterized protein LOC122942088 [Bufo gargarizans]</t>
        </is>
      </c>
      <c r="M8578" t="n">
        <v>322</v>
      </c>
      <c r="N8578" t="inlineStr">
        <is>
          <t>Bufo gargarizans</t>
        </is>
      </c>
      <c r="O8578" t="inlineStr">
        <is>
          <t>uncharacterized protein LOC122942088</t>
        </is>
      </c>
    </row>
    <row r="8579">
      <c r="A8579" t="inlineStr"/>
      <c r="B8579" t="inlineStr"/>
      <c r="C8579" t="inlineStr"/>
      <c r="D8579" t="inlineStr"/>
      <c r="E8579">
        <f>HYPERLINK("https://www.uniprot.org/uniprotkb/A0A8J6B2W2/entry", "A0A8J6B2W2")</f>
        <v/>
      </c>
      <c r="F8579" t="n">
        <v>44.4</v>
      </c>
      <c r="G8579" t="n">
        <v>142</v>
      </c>
      <c r="H8579" t="n">
        <v>3.23e-32</v>
      </c>
      <c r="I8579" t="inlineStr">
        <is>
          <t>TrEMBL</t>
        </is>
      </c>
      <c r="J8579" t="inlineStr">
        <is>
          <t>GDO78_022354</t>
        </is>
      </c>
      <c r="K8579" t="inlineStr">
        <is>
          <t>A0A8J6B2W2_ELECQ</t>
        </is>
      </c>
      <c r="L8579" t="inlineStr">
        <is>
          <t>tr|A0A8J6B2W2|A0A8J6B2W2_ELECQ Envelope glycoprotein OS=Eleutherodactylus coqui OX=57060 GN=GDO78_022354 PE=4 SV=1</t>
        </is>
      </c>
      <c r="M8579" t="n">
        <v>512</v>
      </c>
      <c r="N8579" t="inlineStr">
        <is>
          <t>Eleutherodactylus coqui</t>
        </is>
      </c>
      <c r="O8579" t="inlineStr">
        <is>
          <t>Envelope glycoprotein</t>
        </is>
      </c>
    </row>
    <row r="8580">
      <c r="A8580" t="inlineStr"/>
      <c r="B8580" t="inlineStr"/>
      <c r="C8580" t="inlineStr"/>
      <c r="D8580" t="inlineStr"/>
      <c r="E8580">
        <f>HYPERLINK("https://www.ncbi.nlm.nih.gov/gene/?term=KAG9463127.1", "KAG9463127.1")</f>
        <v/>
      </c>
      <c r="F8580" t="n">
        <v>44.4</v>
      </c>
      <c r="G8580" t="n">
        <v>142</v>
      </c>
      <c r="H8580" t="n">
        <v>8.3e-32</v>
      </c>
      <c r="I8580" t="inlineStr">
        <is>
          <t>Nr</t>
        </is>
      </c>
      <c r="J8580" t="inlineStr"/>
      <c r="K8580" t="inlineStr"/>
      <c r="L8580" t="inlineStr">
        <is>
          <t>KAG9463127.1 hypothetical protein GDO78_022354 [Eleutherodactylus coqui]</t>
        </is>
      </c>
      <c r="M8580" t="n">
        <v>512</v>
      </c>
      <c r="N8580" t="inlineStr">
        <is>
          <t>Eleutherodactylus coqui</t>
        </is>
      </c>
      <c r="O8580" t="inlineStr">
        <is>
          <t>hypothetical protein GDO78_022354</t>
        </is>
      </c>
    </row>
    <row r="8581">
      <c r="A8581" t="inlineStr">
        <is>
          <t>NODE_63644_length_2507_cov_4.480738_g22231_i0</t>
        </is>
      </c>
      <c r="B8581" t="inlineStr">
        <is>
          <t>bombina_pachypus_blastx</t>
        </is>
      </c>
      <c r="C8581" t="n">
        <v>2.40695292242838</v>
      </c>
      <c r="D8581" t="n">
        <v>0.043664933082818</v>
      </c>
      <c r="E8581">
        <f>HYPERLINK("https://www.ncbi.nlm.nih.gov/gene/?term=OCT88103.1", "OCT88103.1")</f>
        <v/>
      </c>
      <c r="F8581" t="n">
        <v>39.5</v>
      </c>
      <c r="G8581" t="n">
        <v>119</v>
      </c>
      <c r="H8581" t="n">
        <v>1.77e-19</v>
      </c>
      <c r="I8581" t="inlineStr">
        <is>
          <t>Nr</t>
        </is>
      </c>
      <c r="J8581" t="inlineStr"/>
      <c r="K8581" t="inlineStr"/>
      <c r="L8581" t="inlineStr">
        <is>
          <t>OCT88103.1 hypothetical protein XELAEV_18016732mg [Xenopus laevis]</t>
        </is>
      </c>
      <c r="M8581" t="n">
        <v>460</v>
      </c>
      <c r="N8581" t="inlineStr">
        <is>
          <t>Xenopus laevis</t>
        </is>
      </c>
      <c r="O8581" t="inlineStr">
        <is>
          <t>hypothetical protein XELAEV_18016732mg</t>
        </is>
      </c>
    </row>
    <row r="8582">
      <c r="A8582" t="inlineStr"/>
      <c r="B8582" t="inlineStr"/>
      <c r="C8582" t="inlineStr"/>
      <c r="D8582" t="inlineStr"/>
      <c r="E8582">
        <f>HYPERLINK("https://www.ncbi.nlm.nih.gov/gene/?term=OCT61647.1", "OCT61647.1")</f>
        <v/>
      </c>
      <c r="F8582" t="n">
        <v>40.4</v>
      </c>
      <c r="G8582" t="n">
        <v>114</v>
      </c>
      <c r="H8582" t="n">
        <v>7.16e-19</v>
      </c>
      <c r="I8582" t="inlineStr">
        <is>
          <t>Nr</t>
        </is>
      </c>
      <c r="J8582" t="inlineStr"/>
      <c r="K8582" t="inlineStr"/>
      <c r="L8582" t="inlineStr">
        <is>
          <t>OCT61647.1 hypothetical protein XELAEV_18047676mg [Xenopus laevis]</t>
        </is>
      </c>
      <c r="M8582" t="n">
        <v>376</v>
      </c>
      <c r="N8582" t="inlineStr">
        <is>
          <t>Xenopus laevis</t>
        </is>
      </c>
      <c r="O8582" t="inlineStr">
        <is>
          <t>hypothetical protein XELAEV_18047676mg</t>
        </is>
      </c>
    </row>
    <row r="8583">
      <c r="A8583" t="inlineStr"/>
      <c r="B8583" t="inlineStr"/>
      <c r="C8583" t="inlineStr"/>
      <c r="D8583" t="inlineStr"/>
      <c r="E8583">
        <f>HYPERLINK("https://www.ncbi.nlm.nih.gov/gene/?term=XP_044130662.1", "XP_044130662.1")</f>
        <v/>
      </c>
      <c r="F8583" t="n">
        <v>41.1</v>
      </c>
      <c r="G8583" t="n">
        <v>112</v>
      </c>
      <c r="H8583" t="n">
        <v>5.43e-17</v>
      </c>
      <c r="I8583" t="inlineStr">
        <is>
          <t>Nr</t>
        </is>
      </c>
      <c r="J8583" t="inlineStr"/>
      <c r="K8583" t="inlineStr"/>
      <c r="L8583" t="inlineStr">
        <is>
          <t>XP_044130662.1 coagulation factor XIII B chain-like, partial [Bufo gargarizans]</t>
        </is>
      </c>
      <c r="M8583" t="n">
        <v>464</v>
      </c>
      <c r="N8583" t="inlineStr">
        <is>
          <t>Bufo gargarizans</t>
        </is>
      </c>
      <c r="O8583" t="inlineStr">
        <is>
          <t>coagulation factor XIII B chain-like, partial</t>
        </is>
      </c>
    </row>
    <row r="8584">
      <c r="A8584" t="inlineStr"/>
      <c r="B8584" t="inlineStr"/>
      <c r="C8584" t="inlineStr"/>
      <c r="D8584" t="inlineStr"/>
      <c r="E8584">
        <f>HYPERLINK("https://www.ncbi.nlm.nih.gov/gene/?term=XP_040279110.1", "XP_040279110.1")</f>
        <v/>
      </c>
      <c r="F8584" t="n">
        <v>35.7</v>
      </c>
      <c r="G8584" t="n">
        <v>112</v>
      </c>
      <c r="H8584" t="n">
        <v>9.069999999999999e-16</v>
      </c>
      <c r="I8584" t="inlineStr">
        <is>
          <t>Nr</t>
        </is>
      </c>
      <c r="J8584" t="inlineStr"/>
      <c r="K8584" t="inlineStr"/>
      <c r="L8584" t="inlineStr">
        <is>
          <t>XP_040279110.1 uncharacterized protein LOC120994534 [Bufo bufo]</t>
        </is>
      </c>
      <c r="M8584" t="n">
        <v>276</v>
      </c>
      <c r="N8584" t="inlineStr">
        <is>
          <t>Bufo bufo</t>
        </is>
      </c>
      <c r="O8584" t="inlineStr">
        <is>
          <t>uncharacterized protein LOC120994534</t>
        </is>
      </c>
    </row>
    <row r="8585">
      <c r="A8585" t="inlineStr"/>
      <c r="B8585" t="inlineStr"/>
      <c r="C8585" t="inlineStr"/>
      <c r="D8585" t="inlineStr"/>
      <c r="E8585">
        <f>HYPERLINK("https://www.ncbi.nlm.nih.gov/gene/?term=XP_044142548.1", "XP_044142548.1")</f>
        <v/>
      </c>
      <c r="F8585" t="n">
        <v>37.1</v>
      </c>
      <c r="G8585" t="n">
        <v>116</v>
      </c>
      <c r="H8585" t="n">
        <v>3.12e-15</v>
      </c>
      <c r="I8585" t="inlineStr">
        <is>
          <t>Nr</t>
        </is>
      </c>
      <c r="J8585" t="inlineStr"/>
      <c r="K8585" t="inlineStr"/>
      <c r="L8585" t="inlineStr">
        <is>
          <t>XP_044142548.1 uncharacterized protein LOC122932281 isoform X2 [Bufo gargarizans]</t>
        </is>
      </c>
      <c r="M8585" t="n">
        <v>295</v>
      </c>
      <c r="N8585" t="inlineStr">
        <is>
          <t>Bufo gargarizans</t>
        </is>
      </c>
      <c r="O8585" t="inlineStr">
        <is>
          <t>uncharacterized protein LOC122932281 isoform X2</t>
        </is>
      </c>
    </row>
    <row r="8586">
      <c r="A8586" t="inlineStr"/>
      <c r="B8586" t="inlineStr"/>
      <c r="C8586" t="inlineStr"/>
      <c r="D8586" t="inlineStr"/>
      <c r="E8586">
        <f>HYPERLINK("https://www.ncbi.nlm.nih.gov/gene/?term=XP_044132609.1", "XP_044132609.1")</f>
        <v/>
      </c>
      <c r="F8586" t="n">
        <v>35.7</v>
      </c>
      <c r="G8586" t="n">
        <v>112</v>
      </c>
      <c r="H8586" t="n">
        <v>3.98e-15</v>
      </c>
      <c r="I8586" t="inlineStr">
        <is>
          <t>Nr</t>
        </is>
      </c>
      <c r="J8586" t="inlineStr"/>
      <c r="K8586" t="inlineStr"/>
      <c r="L8586" t="inlineStr">
        <is>
          <t>XP_044132609.1 LIM and calponin homology domains-containing protein 1 [Bufo gargarizans]</t>
        </is>
      </c>
      <c r="M8586" t="n">
        <v>4256</v>
      </c>
      <c r="N8586" t="inlineStr">
        <is>
          <t>Bufo gargarizans</t>
        </is>
      </c>
      <c r="O8586" t="inlineStr">
        <is>
          <t>LIM and calponin homology domains-containing protein 1</t>
        </is>
      </c>
    </row>
    <row r="8587">
      <c r="A8587" t="inlineStr"/>
      <c r="B8587" t="inlineStr"/>
      <c r="C8587" t="inlineStr"/>
      <c r="D8587" t="inlineStr"/>
      <c r="E8587">
        <f>HYPERLINK("https://www.ncbi.nlm.nih.gov/gene/?term=OCT65675.1", "OCT65675.1")</f>
        <v/>
      </c>
      <c r="F8587" t="n">
        <v>41.3</v>
      </c>
      <c r="G8587" t="n">
        <v>80</v>
      </c>
      <c r="H8587" t="n">
        <v>8.03e-15</v>
      </c>
      <c r="I8587" t="inlineStr">
        <is>
          <t>Nr</t>
        </is>
      </c>
      <c r="J8587" t="inlineStr"/>
      <c r="K8587" t="inlineStr"/>
      <c r="L8587" t="inlineStr">
        <is>
          <t>OCT65675.1 hypothetical protein XELAEV_18041911mg [Xenopus laevis]</t>
        </is>
      </c>
      <c r="M8587" t="n">
        <v>291</v>
      </c>
      <c r="N8587" t="inlineStr">
        <is>
          <t>Xenopus laevis</t>
        </is>
      </c>
      <c r="O8587" t="inlineStr">
        <is>
          <t>hypothetical protein XELAEV_18041911mg</t>
        </is>
      </c>
    </row>
    <row r="8588">
      <c r="A8588" t="inlineStr"/>
      <c r="B8588" t="inlineStr"/>
      <c r="C8588" t="inlineStr"/>
      <c r="D8588" t="inlineStr"/>
      <c r="E8588">
        <f>HYPERLINK("https://www.ncbi.nlm.nih.gov/gene/?term=OCT60421.1", "OCT60421.1")</f>
        <v/>
      </c>
      <c r="F8588" t="n">
        <v>49.3</v>
      </c>
      <c r="G8588" t="n">
        <v>71</v>
      </c>
      <c r="H8588" t="n">
        <v>1.81e-14</v>
      </c>
      <c r="I8588" t="inlineStr">
        <is>
          <t>Nr</t>
        </is>
      </c>
      <c r="J8588" t="inlineStr"/>
      <c r="K8588" t="inlineStr"/>
      <c r="L8588" t="inlineStr">
        <is>
          <t>OCT60421.1 hypothetical protein XELAEV_18046443mg [Xenopus laevis]</t>
        </is>
      </c>
      <c r="M8588" t="n">
        <v>192</v>
      </c>
      <c r="N8588" t="inlineStr">
        <is>
          <t>Xenopus laevis</t>
        </is>
      </c>
      <c r="O8588" t="inlineStr">
        <is>
          <t>hypothetical protein XELAEV_18046443mg</t>
        </is>
      </c>
    </row>
    <row r="8589">
      <c r="A8589" t="inlineStr"/>
      <c r="B8589" t="inlineStr"/>
      <c r="C8589" t="inlineStr"/>
      <c r="D8589" t="inlineStr"/>
      <c r="E8589">
        <f>HYPERLINK("https://www.ncbi.nlm.nih.gov/gene/?term=XP_044160840.1", "XP_044160840.1")</f>
        <v/>
      </c>
      <c r="F8589" t="n">
        <v>37.7</v>
      </c>
      <c r="G8589" t="n">
        <v>114</v>
      </c>
      <c r="H8589" t="n">
        <v>1.91e-14</v>
      </c>
      <c r="I8589" t="inlineStr">
        <is>
          <t>Nr</t>
        </is>
      </c>
      <c r="J8589" t="inlineStr"/>
      <c r="K8589" t="inlineStr"/>
      <c r="L8589" t="inlineStr">
        <is>
          <t>XP_044160840.1 uncharacterized protein LOC122945737 [Bufo gargarizans]</t>
        </is>
      </c>
      <c r="M8589" t="n">
        <v>255</v>
      </c>
      <c r="N8589" t="inlineStr">
        <is>
          <t>Bufo gargarizans</t>
        </is>
      </c>
      <c r="O8589" t="inlineStr">
        <is>
          <t>uncharacterized protein LOC122945737</t>
        </is>
      </c>
    </row>
    <row r="8590">
      <c r="A8590" t="inlineStr"/>
      <c r="B8590" t="inlineStr"/>
      <c r="C8590" t="inlineStr"/>
      <c r="D8590" t="inlineStr"/>
      <c r="E8590">
        <f>HYPERLINK("https://www.ncbi.nlm.nih.gov/gene/?term=OCT78081.1", "OCT78081.1")</f>
        <v/>
      </c>
      <c r="F8590" t="n">
        <v>40.7</v>
      </c>
      <c r="G8590" t="n">
        <v>81</v>
      </c>
      <c r="H8590" t="n">
        <v>1.26e-13</v>
      </c>
      <c r="I8590" t="inlineStr">
        <is>
          <t>Nr</t>
        </is>
      </c>
      <c r="J8590" t="inlineStr"/>
      <c r="K8590" t="inlineStr"/>
      <c r="L8590" t="inlineStr">
        <is>
          <t>OCT78081.1 hypothetical protein XELAEV_18029181mg [Xenopus laevis]</t>
        </is>
      </c>
      <c r="M8590" t="n">
        <v>170</v>
      </c>
      <c r="N8590" t="inlineStr">
        <is>
          <t>Xenopus laevis</t>
        </is>
      </c>
      <c r="O8590" t="inlineStr">
        <is>
          <t>hypothetical protein XELAEV_18029181mg</t>
        </is>
      </c>
    </row>
    <row r="8591">
      <c r="A8591" t="inlineStr"/>
      <c r="B8591" t="inlineStr"/>
      <c r="C8591" t="inlineStr"/>
      <c r="D8591" t="inlineStr"/>
      <c r="E8591">
        <f>HYPERLINK("https://www.ncbi.nlm.nih.gov/gene/?term=OCU02666.1", "OCU02666.1")</f>
        <v/>
      </c>
      <c r="F8591" t="n">
        <v>36.2</v>
      </c>
      <c r="G8591" t="n">
        <v>94</v>
      </c>
      <c r="H8591" t="n">
        <v>3.26e-13</v>
      </c>
      <c r="I8591" t="inlineStr">
        <is>
          <t>Nr</t>
        </is>
      </c>
      <c r="J8591" t="inlineStr"/>
      <c r="K8591" t="inlineStr"/>
      <c r="L8591" t="inlineStr">
        <is>
          <t>OCU02666.1 hypothetical protein XELAEV_18008432mg [Xenopus laevis]</t>
        </is>
      </c>
      <c r="M8591" t="n">
        <v>243</v>
      </c>
      <c r="N8591" t="inlineStr">
        <is>
          <t>Xenopus laevis</t>
        </is>
      </c>
      <c r="O8591" t="inlineStr">
        <is>
          <t>hypothetical protein XELAEV_18008432mg</t>
        </is>
      </c>
    </row>
    <row r="8592">
      <c r="A8592" t="inlineStr"/>
      <c r="B8592" t="inlineStr"/>
      <c r="C8592" t="inlineStr"/>
      <c r="D8592" t="inlineStr"/>
      <c r="E8592">
        <f>HYPERLINK("https://www.ncbi.nlm.nih.gov/gene/?term=XP_044147956.1", "XP_044147956.1")</f>
        <v/>
      </c>
      <c r="F8592" t="n">
        <v>34.1</v>
      </c>
      <c r="G8592" t="n">
        <v>85</v>
      </c>
      <c r="H8592" t="n">
        <v>4.26e-13</v>
      </c>
      <c r="I8592" t="inlineStr">
        <is>
          <t>Nr</t>
        </is>
      </c>
      <c r="J8592" t="inlineStr"/>
      <c r="K8592" t="inlineStr"/>
      <c r="L8592" t="inlineStr">
        <is>
          <t>XP_044147956.1 uncharacterized protein LOC122936026 isoform X2 [Bufo gargarizans]</t>
        </is>
      </c>
      <c r="M8592" t="n">
        <v>263</v>
      </c>
      <c r="N8592" t="inlineStr">
        <is>
          <t>Bufo gargarizans</t>
        </is>
      </c>
      <c r="O8592" t="inlineStr">
        <is>
          <t>uncharacterized protein LOC122936026 isoform X2</t>
        </is>
      </c>
    </row>
    <row r="8593">
      <c r="A8593" t="inlineStr"/>
      <c r="B8593" t="inlineStr"/>
      <c r="C8593" t="inlineStr"/>
      <c r="D8593" t="inlineStr"/>
      <c r="E8593">
        <f>HYPERLINK("https://www.ncbi.nlm.nih.gov/gene/?term=OCT76519.1", "OCT76519.1")</f>
        <v/>
      </c>
      <c r="F8593" t="n">
        <v>41.5</v>
      </c>
      <c r="G8593" t="n">
        <v>82</v>
      </c>
      <c r="H8593" t="n">
        <v>5.09e-13</v>
      </c>
      <c r="I8593" t="inlineStr">
        <is>
          <t>Nr</t>
        </is>
      </c>
      <c r="J8593" t="inlineStr"/>
      <c r="K8593" t="inlineStr"/>
      <c r="L8593" t="inlineStr">
        <is>
          <t>OCT76519.1 hypothetical protein XELAEV_18031722mg [Xenopus laevis]</t>
        </is>
      </c>
      <c r="M8593" t="n">
        <v>525</v>
      </c>
      <c r="N8593" t="inlineStr">
        <is>
          <t>Xenopus laevis</t>
        </is>
      </c>
      <c r="O8593" t="inlineStr">
        <is>
          <t>hypothetical protein XELAEV_18031722mg</t>
        </is>
      </c>
    </row>
    <row r="8594">
      <c r="A8594" t="inlineStr"/>
      <c r="B8594" t="inlineStr"/>
      <c r="C8594" t="inlineStr"/>
      <c r="D8594" t="inlineStr"/>
      <c r="E8594">
        <f>HYPERLINK("https://www.ncbi.nlm.nih.gov/gene/?term=XP_044147955.1", "XP_044147955.1")</f>
        <v/>
      </c>
      <c r="F8594" t="n">
        <v>34.1</v>
      </c>
      <c r="G8594" t="n">
        <v>85</v>
      </c>
      <c r="H8594" t="n">
        <v>5.42e-13</v>
      </c>
      <c r="I8594" t="inlineStr">
        <is>
          <t>Nr</t>
        </is>
      </c>
      <c r="J8594" t="inlineStr"/>
      <c r="K8594" t="inlineStr"/>
      <c r="L8594" t="inlineStr">
        <is>
          <t>XP_044147955.1 uncharacterized protein LOC122936026 isoform X1 [Bufo gargarizans]</t>
        </is>
      </c>
      <c r="M8594" t="n">
        <v>284</v>
      </c>
      <c r="N8594" t="inlineStr">
        <is>
          <t>Bufo gargarizans</t>
        </is>
      </c>
      <c r="O8594" t="inlineStr">
        <is>
          <t>uncharacterized protein LOC122936026 isoform X1</t>
        </is>
      </c>
    </row>
    <row r="8595">
      <c r="A8595" t="inlineStr"/>
      <c r="B8595" t="inlineStr"/>
      <c r="C8595" t="inlineStr"/>
      <c r="D8595" t="inlineStr"/>
      <c r="E8595">
        <f>HYPERLINK("https://www.uniprot.org/uniprotkb/A0A8J1KTG7/entry", "A0A8J1KTG7")</f>
        <v/>
      </c>
      <c r="F8595" t="n">
        <v>40.5</v>
      </c>
      <c r="G8595" t="n">
        <v>74</v>
      </c>
      <c r="H8595" t="n">
        <v>5.43e-13</v>
      </c>
      <c r="I8595" t="inlineStr">
        <is>
          <t>TrEMBL</t>
        </is>
      </c>
      <c r="J8595" t="inlineStr">
        <is>
          <t>LOC121394107</t>
        </is>
      </c>
      <c r="K8595" t="inlineStr">
        <is>
          <t>A0A8J1KTG7_XENLA</t>
        </is>
      </c>
      <c r="L8595" t="inlineStr">
        <is>
          <t>tr|A0A8J1KTG7|A0A8J1KTG7_XENLA LOW QUALITY PROTEIN: interphotoreceptor matrix proteoglycan 1-like OS=Xenopus laevis OX=8355 GN=LOC121394107 PE=4 SV=1</t>
        </is>
      </c>
      <c r="M8595" t="n">
        <v>1144</v>
      </c>
      <c r="N8595" t="inlineStr">
        <is>
          <t>Xenopus laevis</t>
        </is>
      </c>
      <c r="O8595" t="inlineStr">
        <is>
          <t>LOW QUALITY PROTEIN: interphotoreceptor matrix proteoglycan 1-like</t>
        </is>
      </c>
    </row>
    <row r="8596">
      <c r="A8596" t="inlineStr"/>
      <c r="B8596" t="inlineStr"/>
      <c r="C8596" t="inlineStr"/>
      <c r="D8596" t="inlineStr"/>
      <c r="E8596">
        <f>HYPERLINK("https://www.ncbi.nlm.nih.gov/gene/?term=OCT70285.1", "OCT70285.1")</f>
        <v/>
      </c>
      <c r="F8596" t="n">
        <v>36.5</v>
      </c>
      <c r="G8596" t="n">
        <v>85</v>
      </c>
      <c r="H8596" t="n">
        <v>5.73e-13</v>
      </c>
      <c r="I8596" t="inlineStr">
        <is>
          <t>Nr</t>
        </is>
      </c>
      <c r="J8596" t="inlineStr"/>
      <c r="K8596" t="inlineStr"/>
      <c r="L8596" t="inlineStr">
        <is>
          <t>OCT70285.1 hypothetical protein XELAEV_18037207mg [Xenopus laevis]</t>
        </is>
      </c>
      <c r="M8596" t="n">
        <v>116</v>
      </c>
      <c r="N8596" t="inlineStr">
        <is>
          <t>Xenopus laevis</t>
        </is>
      </c>
      <c r="O8596" t="inlineStr">
        <is>
          <t>hypothetical protein XELAEV_18037207mg</t>
        </is>
      </c>
    </row>
    <row r="8597">
      <c r="A8597" t="inlineStr"/>
      <c r="B8597" t="inlineStr"/>
      <c r="C8597" t="inlineStr"/>
      <c r="D8597" t="inlineStr"/>
      <c r="E8597">
        <f>HYPERLINK("https://www.ncbi.nlm.nih.gov/gene/?term=XP_041420043.1", "XP_041420043.1")</f>
        <v/>
      </c>
      <c r="F8597" t="n">
        <v>40.5</v>
      </c>
      <c r="G8597" t="n">
        <v>74</v>
      </c>
      <c r="H8597" t="n">
        <v>1.4e-12</v>
      </c>
      <c r="I8597" t="inlineStr">
        <is>
          <t>Nr</t>
        </is>
      </c>
      <c r="J8597" t="inlineStr"/>
      <c r="K8597" t="inlineStr"/>
      <c r="L8597" t="inlineStr">
        <is>
          <t>XP_041420043.1 LOW QUALITY PROTEIN: interphotoreceptor matrix proteoglycan 1-like [Xenopus laevis]</t>
        </is>
      </c>
      <c r="M8597" t="n">
        <v>1144</v>
      </c>
      <c r="N8597" t="inlineStr">
        <is>
          <t>Xenopus laevis</t>
        </is>
      </c>
      <c r="O8597" t="inlineStr">
        <is>
          <t>LOW QUALITY PROTEIN: interphotoreceptor matrix proteoglycan 1-like</t>
        </is>
      </c>
    </row>
    <row r="8598">
      <c r="A8598" t="inlineStr"/>
      <c r="B8598" t="inlineStr"/>
      <c r="C8598" t="inlineStr"/>
      <c r="D8598" t="inlineStr"/>
      <c r="E8598">
        <f>HYPERLINK("https://www.ncbi.nlm.nih.gov/gene/?term=OCT97320.1", "OCT97320.1")</f>
        <v/>
      </c>
      <c r="F8598" t="n">
        <v>41.8</v>
      </c>
      <c r="G8598" t="n">
        <v>79</v>
      </c>
      <c r="H8598" t="n">
        <v>2.39e-12</v>
      </c>
      <c r="I8598" t="inlineStr">
        <is>
          <t>Nr</t>
        </is>
      </c>
      <c r="J8598" t="inlineStr"/>
      <c r="K8598" t="inlineStr"/>
      <c r="L8598" t="inlineStr">
        <is>
          <t>OCT97320.1 hypothetical protein XELAEV_18009546mg, partial [Xenopus laevis]</t>
        </is>
      </c>
      <c r="M8598" t="n">
        <v>504</v>
      </c>
      <c r="N8598" t="inlineStr">
        <is>
          <t>Xenopus laevis</t>
        </is>
      </c>
      <c r="O8598" t="inlineStr">
        <is>
          <t>hypothetical protein XELAEV_18009546mg, partial</t>
        </is>
      </c>
    </row>
    <row r="8599">
      <c r="A8599" t="inlineStr"/>
      <c r="B8599" t="inlineStr"/>
      <c r="C8599" t="inlineStr"/>
      <c r="D8599" t="inlineStr"/>
      <c r="E8599">
        <f>HYPERLINK("https://www.uniprot.org/uniprotkb/A0A8J1L5B0/entry", "A0A8J1L5B0")</f>
        <v/>
      </c>
      <c r="F8599" t="n">
        <v>40</v>
      </c>
      <c r="G8599" t="n">
        <v>85</v>
      </c>
      <c r="H8599" t="n">
        <v>3.7e-12</v>
      </c>
      <c r="I8599" t="inlineStr">
        <is>
          <t>TrEMBL</t>
        </is>
      </c>
      <c r="J8599" t="inlineStr">
        <is>
          <t>LOC121395395</t>
        </is>
      </c>
      <c r="K8599" t="inlineStr">
        <is>
          <t>A0A8J1L5B0_XENLA</t>
        </is>
      </c>
      <c r="L8599" t="inlineStr">
        <is>
          <t>tr|A0A8J1L5B0|A0A8J1L5B0_XENLA uncharacterized protein LOC121395395 OS=Xenopus laevis OX=8355 GN=LOC121395395 PE=4 SV=1</t>
        </is>
      </c>
      <c r="M8599" t="n">
        <v>313</v>
      </c>
      <c r="N8599" t="inlineStr">
        <is>
          <t>Xenopus laevis</t>
        </is>
      </c>
      <c r="O8599" t="inlineStr">
        <is>
          <t>uncharacterized protein LOC121395395</t>
        </is>
      </c>
    </row>
    <row r="8600">
      <c r="A8600" t="inlineStr"/>
      <c r="B8600" t="inlineStr"/>
      <c r="C8600" t="inlineStr"/>
      <c r="D8600" t="inlineStr"/>
      <c r="E8600">
        <f>HYPERLINK("https://www.uniprot.org/uniprotkb/A0A8J1M1Q2/entry", "A0A8J1M1Q2")</f>
        <v/>
      </c>
      <c r="F8600" t="n">
        <v>40</v>
      </c>
      <c r="G8600" t="n">
        <v>85</v>
      </c>
      <c r="H8600" t="n">
        <v>3.7e-12</v>
      </c>
      <c r="I8600" t="inlineStr">
        <is>
          <t>TrEMBL</t>
        </is>
      </c>
      <c r="J8600" t="inlineStr">
        <is>
          <t>LOC121399256</t>
        </is>
      </c>
      <c r="K8600" t="inlineStr">
        <is>
          <t>A0A8J1M1Q2_XENLA</t>
        </is>
      </c>
      <c r="L8600" t="inlineStr">
        <is>
          <t>tr|A0A8J1M1Q2|A0A8J1M1Q2_XENLA uncharacterized protein LOC121399256 OS=Xenopus laevis OX=8355 GN=LOC121399256 PE=4 SV=1</t>
        </is>
      </c>
      <c r="M8600" t="n">
        <v>313</v>
      </c>
      <c r="N8600" t="inlineStr">
        <is>
          <t>Xenopus laevis</t>
        </is>
      </c>
      <c r="O8600" t="inlineStr">
        <is>
          <t>uncharacterized protein LOC121399256</t>
        </is>
      </c>
    </row>
    <row r="8601">
      <c r="A8601" t="inlineStr"/>
      <c r="B8601" t="inlineStr"/>
      <c r="C8601" t="inlineStr"/>
      <c r="D8601" t="inlineStr"/>
      <c r="E8601">
        <f>HYPERLINK("https://www.ncbi.nlm.nih.gov/gene/?term=OCT84824.1", "OCT84824.1")</f>
        <v/>
      </c>
      <c r="F8601" t="n">
        <v>42.5</v>
      </c>
      <c r="G8601" t="n">
        <v>80</v>
      </c>
      <c r="H8601" t="n">
        <v>3.77e-12</v>
      </c>
      <c r="I8601" t="inlineStr">
        <is>
          <t>Nr</t>
        </is>
      </c>
      <c r="J8601" t="inlineStr"/>
      <c r="K8601" t="inlineStr"/>
      <c r="L8601" t="inlineStr">
        <is>
          <t>OCT84824.1 hypothetical protein XELAEV_18022981mg, partial [Xenopus laevis]</t>
        </is>
      </c>
      <c r="M8601" t="n">
        <v>281</v>
      </c>
      <c r="N8601" t="inlineStr">
        <is>
          <t>Xenopus laevis</t>
        </is>
      </c>
      <c r="O8601" t="inlineStr">
        <is>
          <t>hypothetical protein XELAEV_18022981mg, partial</t>
        </is>
      </c>
    </row>
    <row r="8602">
      <c r="A8602" t="inlineStr"/>
      <c r="B8602" t="inlineStr"/>
      <c r="C8602" t="inlineStr"/>
      <c r="D8602" t="inlineStr"/>
      <c r="E8602">
        <f>HYPERLINK("https://www.ncbi.nlm.nih.gov/gene/?term=OCT83472.1", "OCT83472.1")</f>
        <v/>
      </c>
      <c r="F8602" t="n">
        <v>43.8</v>
      </c>
      <c r="G8602" t="n">
        <v>73</v>
      </c>
      <c r="H8602" t="n">
        <v>4.65e-12</v>
      </c>
      <c r="I8602" t="inlineStr">
        <is>
          <t>Nr</t>
        </is>
      </c>
      <c r="J8602" t="inlineStr"/>
      <c r="K8602" t="inlineStr"/>
      <c r="L8602" t="inlineStr">
        <is>
          <t>OCT83472.1 hypothetical protein XELAEV_18026014mg [Xenopus laevis]</t>
        </is>
      </c>
      <c r="M8602" t="n">
        <v>693</v>
      </c>
      <c r="N8602" t="inlineStr">
        <is>
          <t>Xenopus laevis</t>
        </is>
      </c>
      <c r="O8602" t="inlineStr">
        <is>
          <t>hypothetical protein XELAEV_18026014mg</t>
        </is>
      </c>
    </row>
    <row r="8603">
      <c r="A8603" t="inlineStr"/>
      <c r="B8603" t="inlineStr"/>
      <c r="C8603" t="inlineStr"/>
      <c r="D8603" t="inlineStr"/>
      <c r="E8603">
        <f>HYPERLINK("https://www.ncbi.nlm.nih.gov/gene/?term=OCT61343.1", "OCT61343.1")</f>
        <v/>
      </c>
      <c r="F8603" t="n">
        <v>39.5</v>
      </c>
      <c r="G8603" t="n">
        <v>76</v>
      </c>
      <c r="H8603" t="n">
        <v>4.95e-12</v>
      </c>
      <c r="I8603" t="inlineStr">
        <is>
          <t>Nr</t>
        </is>
      </c>
      <c r="J8603" t="inlineStr"/>
      <c r="K8603" t="inlineStr"/>
      <c r="L8603" t="inlineStr">
        <is>
          <t>OCT61343.1 hypothetical protein XELAEV_18047366mg [Xenopus laevis]</t>
        </is>
      </c>
      <c r="M8603" t="n">
        <v>1952</v>
      </c>
      <c r="N8603" t="inlineStr">
        <is>
          <t>Xenopus laevis</t>
        </is>
      </c>
      <c r="O8603" t="inlineStr">
        <is>
          <t>hypothetical protein XELAEV_18047366mg</t>
        </is>
      </c>
    </row>
    <row r="8604">
      <c r="A8604" t="inlineStr"/>
      <c r="B8604" t="inlineStr"/>
      <c r="C8604" t="inlineStr"/>
      <c r="D8604" t="inlineStr"/>
      <c r="E8604">
        <f>HYPERLINK("https://www.ncbi.nlm.nih.gov/gene/?term=OCT55727.1", "OCT55727.1")</f>
        <v/>
      </c>
      <c r="F8604" t="n">
        <v>50</v>
      </c>
      <c r="G8604" t="n">
        <v>60</v>
      </c>
      <c r="H8604" t="n">
        <v>5.11e-12</v>
      </c>
      <c r="I8604" t="inlineStr">
        <is>
          <t>Nr</t>
        </is>
      </c>
      <c r="J8604" t="inlineStr"/>
      <c r="K8604" t="inlineStr"/>
      <c r="L8604" t="inlineStr">
        <is>
          <t>OCT55727.1 hypothetical protein XELAEV_18004523mg [Xenopus laevis]</t>
        </is>
      </c>
      <c r="M8604" t="n">
        <v>225</v>
      </c>
      <c r="N8604" t="inlineStr">
        <is>
          <t>Xenopus laevis</t>
        </is>
      </c>
      <c r="O8604" t="inlineStr">
        <is>
          <t>hypothetical protein XELAEV_18004523mg</t>
        </is>
      </c>
    </row>
    <row r="8605">
      <c r="A8605" t="inlineStr"/>
      <c r="B8605" t="inlineStr"/>
      <c r="C8605" t="inlineStr"/>
      <c r="D8605" t="inlineStr"/>
      <c r="E8605">
        <f>HYPERLINK("https://www.ncbi.nlm.nih.gov/gene/?term=OCT76223.1", "OCT76223.1")</f>
        <v/>
      </c>
      <c r="F8605" t="n">
        <v>40.5</v>
      </c>
      <c r="G8605" t="n">
        <v>84</v>
      </c>
      <c r="H8605" t="n">
        <v>5.91e-12</v>
      </c>
      <c r="I8605" t="inlineStr">
        <is>
          <t>Nr</t>
        </is>
      </c>
      <c r="J8605" t="inlineStr"/>
      <c r="K8605" t="inlineStr"/>
      <c r="L8605" t="inlineStr">
        <is>
          <t>OCT76223.1 hypothetical protein XELAEV_18031425mg [Xenopus laevis]</t>
        </is>
      </c>
      <c r="M8605" t="n">
        <v>294</v>
      </c>
      <c r="N8605" t="inlineStr">
        <is>
          <t>Xenopus laevis</t>
        </is>
      </c>
      <c r="O8605" t="inlineStr">
        <is>
          <t>hypothetical protein XELAEV_18031425mg</t>
        </is>
      </c>
    </row>
    <row r="8606">
      <c r="A8606" t="inlineStr"/>
      <c r="B8606" t="inlineStr"/>
      <c r="C8606" t="inlineStr"/>
      <c r="D8606" t="inlineStr"/>
      <c r="E8606">
        <f>HYPERLINK("https://www.ncbi.nlm.nih.gov/gene/?term=OCT97489.1", "OCT97489.1")</f>
        <v/>
      </c>
      <c r="F8606" t="n">
        <v>35.4</v>
      </c>
      <c r="G8606" t="n">
        <v>79</v>
      </c>
      <c r="H8606" t="n">
        <v>5.99e-12</v>
      </c>
      <c r="I8606" t="inlineStr">
        <is>
          <t>Nr</t>
        </is>
      </c>
      <c r="J8606" t="inlineStr"/>
      <c r="K8606" t="inlineStr"/>
      <c r="L8606" t="inlineStr">
        <is>
          <t>OCT97489.1 hypothetical protein XELAEV_18009716mg [Xenopus laevis]</t>
        </is>
      </c>
      <c r="M8606" t="n">
        <v>478</v>
      </c>
      <c r="N8606" t="inlineStr">
        <is>
          <t>Xenopus laevis</t>
        </is>
      </c>
      <c r="O8606" t="inlineStr">
        <is>
          <t>hypothetical protein XELAEV_18009716mg</t>
        </is>
      </c>
    </row>
    <row r="8607">
      <c r="A8607" t="inlineStr"/>
      <c r="B8607" t="inlineStr"/>
      <c r="C8607" t="inlineStr"/>
      <c r="D8607" t="inlineStr"/>
      <c r="E8607">
        <f>HYPERLINK("https://www.ncbi.nlm.nih.gov/gene/?term=OCT98540.1", "OCT98540.1")</f>
        <v/>
      </c>
      <c r="F8607" t="n">
        <v>40.4</v>
      </c>
      <c r="G8607" t="n">
        <v>89</v>
      </c>
      <c r="H8607" t="n">
        <v>7.750000000000001e-12</v>
      </c>
      <c r="I8607" t="inlineStr">
        <is>
          <t>Nr</t>
        </is>
      </c>
      <c r="J8607" t="inlineStr"/>
      <c r="K8607" t="inlineStr"/>
      <c r="L8607" t="inlineStr">
        <is>
          <t>OCT98540.1 hypothetical protein XELAEV_18010776mg [Xenopus laevis]</t>
        </is>
      </c>
      <c r="M8607" t="n">
        <v>425</v>
      </c>
      <c r="N8607" t="inlineStr">
        <is>
          <t>Xenopus laevis</t>
        </is>
      </c>
      <c r="O8607" t="inlineStr">
        <is>
          <t>hypothetical protein XELAEV_18010776mg</t>
        </is>
      </c>
    </row>
    <row r="8608">
      <c r="A8608" t="inlineStr"/>
      <c r="B8608" t="inlineStr"/>
      <c r="C8608" t="inlineStr"/>
      <c r="D8608" t="inlineStr"/>
      <c r="E8608">
        <f>HYPERLINK("https://www.ncbi.nlm.nih.gov/gene/?term=XP_041424742.1", "XP_041424742.1")</f>
        <v/>
      </c>
      <c r="F8608" t="n">
        <v>40</v>
      </c>
      <c r="G8608" t="n">
        <v>85</v>
      </c>
      <c r="H8608" t="n">
        <v>9.5e-12</v>
      </c>
      <c r="I8608" t="inlineStr">
        <is>
          <t>Nr</t>
        </is>
      </c>
      <c r="J8608" t="inlineStr"/>
      <c r="K8608" t="inlineStr"/>
      <c r="L8608" t="inlineStr">
        <is>
          <t>XP_041424742.1 uncharacterized protein LOC121395395 [Xenopus laevis]</t>
        </is>
      </c>
      <c r="M8608" t="n">
        <v>313</v>
      </c>
      <c r="N8608" t="inlineStr">
        <is>
          <t>Xenopus laevis</t>
        </is>
      </c>
      <c r="O8608" t="inlineStr">
        <is>
          <t>uncharacterized protein LOC121395395</t>
        </is>
      </c>
    </row>
    <row r="8609">
      <c r="A8609" t="inlineStr"/>
      <c r="B8609" t="inlineStr"/>
      <c r="C8609" t="inlineStr"/>
      <c r="D8609" t="inlineStr"/>
      <c r="E8609">
        <f>HYPERLINK("https://www.uniprot.org/uniprotkb/A0A8J1M155/entry", "A0A8J1M155")</f>
        <v/>
      </c>
      <c r="F8609" t="n">
        <v>41</v>
      </c>
      <c r="G8609" t="n">
        <v>78</v>
      </c>
      <c r="H8609" t="n">
        <v>1.04e-11</v>
      </c>
      <c r="I8609" t="inlineStr">
        <is>
          <t>TrEMBL</t>
        </is>
      </c>
      <c r="J8609" t="inlineStr">
        <is>
          <t>LOC121399162</t>
        </is>
      </c>
      <c r="K8609" t="inlineStr">
        <is>
          <t>A0A8J1M155_XENLA</t>
        </is>
      </c>
      <c r="L8609" t="inlineStr">
        <is>
          <t>tr|A0A8J1M155|A0A8J1M155_XENLA uncharacterized protein LOC121399162 OS=Xenopus laevis OX=8355 GN=LOC121399162 PE=4 SV=1</t>
        </is>
      </c>
      <c r="M8609" t="n">
        <v>249</v>
      </c>
      <c r="N8609" t="inlineStr">
        <is>
          <t>Xenopus laevis</t>
        </is>
      </c>
      <c r="O8609" t="inlineStr">
        <is>
          <t>uncharacterized protein LOC121399162</t>
        </is>
      </c>
    </row>
    <row r="8610">
      <c r="A8610" t="inlineStr"/>
      <c r="B8610" t="inlineStr"/>
      <c r="C8610" t="inlineStr"/>
      <c r="D8610" t="inlineStr"/>
      <c r="E8610">
        <f>HYPERLINK("https://www.uniprot.org/uniprotkb/A0A8C5WH29/entry", "A0A8C5WH29")</f>
        <v/>
      </c>
      <c r="F8610" t="n">
        <v>33.6</v>
      </c>
      <c r="G8610" t="n">
        <v>140</v>
      </c>
      <c r="H8610" t="n">
        <v>3.69e-11</v>
      </c>
      <c r="I8610" t="inlineStr">
        <is>
          <t>TrEMBL</t>
        </is>
      </c>
      <c r="J8610" t="inlineStr"/>
      <c r="K8610" t="inlineStr">
        <is>
          <t>A0A8C5WH29_9ANUR</t>
        </is>
      </c>
      <c r="L8610" t="inlineStr">
        <is>
          <t>tr|A0A8C5WH29|A0A8C5WH29_9ANUR Reverse transcriptase domain-containing protein OS=Leptobrachium leishanense OX=445787 PE=4 SV=1</t>
        </is>
      </c>
      <c r="M8610" t="n">
        <v>788</v>
      </c>
      <c r="N8610" t="inlineStr">
        <is>
          <t>Leptobrachium leishanense</t>
        </is>
      </c>
      <c r="O8610" t="inlineStr">
        <is>
          <t>Reverse transcriptase domain-containing protein</t>
        </is>
      </c>
    </row>
    <row r="8611">
      <c r="A8611" t="inlineStr"/>
      <c r="B8611" t="inlineStr"/>
      <c r="C8611" t="inlineStr"/>
      <c r="D8611" t="inlineStr"/>
      <c r="E8611">
        <f>HYPERLINK("https://www.uniprot.org/uniprotkb/A0A8C5Q9K2/entry", "A0A8C5Q9K2")</f>
        <v/>
      </c>
      <c r="F8611" t="n">
        <v>35.3</v>
      </c>
      <c r="G8611" t="n">
        <v>133</v>
      </c>
      <c r="H8611" t="n">
        <v>2.11e-10</v>
      </c>
      <c r="I8611" t="inlineStr">
        <is>
          <t>TrEMBL</t>
        </is>
      </c>
      <c r="J8611" t="inlineStr"/>
      <c r="K8611" t="inlineStr">
        <is>
          <t>A0A8C5Q9K2_9ANUR</t>
        </is>
      </c>
      <c r="L8611" t="inlineStr">
        <is>
          <t>tr|A0A8C5Q9K2|A0A8C5Q9K2_9ANUR Reverse transcriptase domain-containing protein OS=Leptobrachium leishanense OX=445787 PE=4 SV=1</t>
        </is>
      </c>
      <c r="M8611" t="n">
        <v>440</v>
      </c>
      <c r="N8611" t="inlineStr">
        <is>
          <t>Leptobrachium leishanense</t>
        </is>
      </c>
      <c r="O8611" t="inlineStr">
        <is>
          <t>Reverse transcriptase domain-containing protein</t>
        </is>
      </c>
    </row>
    <row r="8612">
      <c r="A8612" t="inlineStr"/>
      <c r="B8612" t="inlineStr"/>
      <c r="C8612" t="inlineStr"/>
      <c r="D8612" t="inlineStr"/>
      <c r="E8612">
        <f>HYPERLINK("https://www.uniprot.org/uniprotkb/A0A8C5M1L9/entry", "A0A8C5M1L9")</f>
        <v/>
      </c>
      <c r="F8612" t="n">
        <v>36</v>
      </c>
      <c r="G8612" t="n">
        <v>125</v>
      </c>
      <c r="H8612" t="n">
        <v>3.17e-10</v>
      </c>
      <c r="I8612" t="inlineStr">
        <is>
          <t>TrEMBL</t>
        </is>
      </c>
      <c r="J8612" t="inlineStr"/>
      <c r="K8612" t="inlineStr">
        <is>
          <t>A0A8C5M1L9_9ANUR</t>
        </is>
      </c>
      <c r="L8612" t="inlineStr">
        <is>
          <t>tr|A0A8C5M1L9|A0A8C5M1L9_9ANUR Reverse transcriptase domain-containing protein OS=Leptobrachium leishanense OX=445787 PE=4 SV=1</t>
        </is>
      </c>
      <c r="M8612" t="n">
        <v>725</v>
      </c>
      <c r="N8612" t="inlineStr">
        <is>
          <t>Leptobrachium leishanense</t>
        </is>
      </c>
      <c r="O8612" t="inlineStr">
        <is>
          <t>Reverse transcriptase domain-containing protein</t>
        </is>
      </c>
    </row>
    <row r="8613">
      <c r="A8613" t="inlineStr"/>
      <c r="B8613" t="inlineStr"/>
      <c r="C8613" t="inlineStr"/>
      <c r="D8613" t="inlineStr"/>
      <c r="E8613">
        <f>HYPERLINK("https://www.uniprot.org/uniprotkb/A0A1S3S1N2/entry", "A0A1S3S1N2")</f>
        <v/>
      </c>
      <c r="F8613" t="n">
        <v>35.4</v>
      </c>
      <c r="G8613" t="n">
        <v>113</v>
      </c>
      <c r="H8613" t="n">
        <v>3.48e-10</v>
      </c>
      <c r="I8613" t="inlineStr">
        <is>
          <t>TrEMBL</t>
        </is>
      </c>
      <c r="J8613" t="inlineStr">
        <is>
          <t>LOC106606555</t>
        </is>
      </c>
      <c r="K8613" t="inlineStr">
        <is>
          <t>A0A1S3S1N2_SALSA</t>
        </is>
      </c>
      <c r="L8613" t="inlineStr">
        <is>
          <t>tr|A0A1S3S1N2|A0A1S3S1N2_SALSA uncharacterized protein LOC106606555 OS=Salmo salar OX=8030 GN=LOC106606555 PE=4 SV=1</t>
        </is>
      </c>
      <c r="M8613" t="n">
        <v>320</v>
      </c>
      <c r="N8613" t="inlineStr">
        <is>
          <t>Salmo salar</t>
        </is>
      </c>
      <c r="O8613" t="inlineStr">
        <is>
          <t>uncharacterized protein LOC106606555</t>
        </is>
      </c>
    </row>
    <row r="8614">
      <c r="A8614" t="inlineStr"/>
      <c r="B8614" t="inlineStr"/>
      <c r="C8614" t="inlineStr"/>
      <c r="D8614" t="inlineStr"/>
      <c r="E8614">
        <f>HYPERLINK("https://www.uniprot.org/uniprotkb/A0A8J1KRV7/entry", "A0A8J1KRV7")</f>
        <v/>
      </c>
      <c r="F8614" t="n">
        <v>34.7</v>
      </c>
      <c r="G8614" t="n">
        <v>95</v>
      </c>
      <c r="H8614" t="n">
        <v>5.94e-10</v>
      </c>
      <c r="I8614" t="inlineStr">
        <is>
          <t>TrEMBL</t>
        </is>
      </c>
      <c r="J8614" t="inlineStr">
        <is>
          <t>LOC121394099</t>
        </is>
      </c>
      <c r="K8614" t="inlineStr">
        <is>
          <t>A0A8J1KRV7_XENLA</t>
        </is>
      </c>
      <c r="L8614" t="inlineStr">
        <is>
          <t>tr|A0A8J1KRV7|A0A8J1KRV7_XENLA uncharacterized protein LOC121394099 OS=Xenopus laevis OX=8355 GN=LOC121394099 PE=4 SV=1</t>
        </is>
      </c>
      <c r="M8614" t="n">
        <v>258</v>
      </c>
      <c r="N8614" t="inlineStr">
        <is>
          <t>Xenopus laevis</t>
        </is>
      </c>
      <c r="O8614" t="inlineStr">
        <is>
          <t>uncharacterized protein LOC121394099</t>
        </is>
      </c>
    </row>
    <row r="8615">
      <c r="A8615" t="inlineStr"/>
      <c r="B8615" t="inlineStr"/>
      <c r="C8615" t="inlineStr"/>
      <c r="D8615" t="inlineStr"/>
      <c r="E8615">
        <f>HYPERLINK("https://www.uniprot.org/uniprotkb/A0A8J1MFI0/entry", "A0A8J1MFI0")</f>
        <v/>
      </c>
      <c r="F8615" t="n">
        <v>33.7</v>
      </c>
      <c r="G8615" t="n">
        <v>95</v>
      </c>
      <c r="H8615" t="n">
        <v>6e-10</v>
      </c>
      <c r="I8615" t="inlineStr">
        <is>
          <t>TrEMBL</t>
        </is>
      </c>
      <c r="J8615" t="inlineStr">
        <is>
          <t>LOC121400671</t>
        </is>
      </c>
      <c r="K8615" t="inlineStr">
        <is>
          <t>A0A8J1MFI0_XENLA</t>
        </is>
      </c>
      <c r="L8615" t="inlineStr">
        <is>
          <t>tr|A0A8J1MFI0|A0A8J1MFI0_XENLA uncharacterized protein LOC121393841 OS=Xenopus laevis OX=8355 GN=LOC121400671 PE=4 SV=1</t>
        </is>
      </c>
      <c r="M8615" t="n">
        <v>259</v>
      </c>
      <c r="N8615" t="inlineStr">
        <is>
          <t>Xenopus laevis</t>
        </is>
      </c>
      <c r="O8615" t="inlineStr">
        <is>
          <t>uncharacterized protein LOC121393841</t>
        </is>
      </c>
    </row>
    <row r="8616">
      <c r="A8616" t="inlineStr"/>
      <c r="B8616" t="inlineStr"/>
      <c r="C8616" t="inlineStr"/>
      <c r="D8616" t="inlineStr"/>
      <c r="E8616">
        <f>HYPERLINK("https://www.uniprot.org/uniprotkb/A0A8J1MFK4/entry", "A0A8J1MFK4")</f>
        <v/>
      </c>
      <c r="F8616" t="n">
        <v>35.8</v>
      </c>
      <c r="G8616" t="n">
        <v>95</v>
      </c>
      <c r="H8616" t="n">
        <v>8.24e-10</v>
      </c>
      <c r="I8616" t="inlineStr">
        <is>
          <t>TrEMBL</t>
        </is>
      </c>
      <c r="J8616" t="inlineStr">
        <is>
          <t>LOC121400656</t>
        </is>
      </c>
      <c r="K8616" t="inlineStr">
        <is>
          <t>A0A8J1MFK4_XENLA</t>
        </is>
      </c>
      <c r="L8616" t="inlineStr">
        <is>
          <t>tr|A0A8J1MFK4|A0A8J1MFK4_XENLA uncharacterized protein LOC121400656 OS=Xenopus laevis OX=8355 GN=LOC121400656 PE=4 SV=1</t>
        </is>
      </c>
      <c r="M8616" t="n">
        <v>258</v>
      </c>
      <c r="N8616" t="inlineStr">
        <is>
          <t>Xenopus laevis</t>
        </is>
      </c>
      <c r="O8616" t="inlineStr">
        <is>
          <t>uncharacterized protein LOC121400656</t>
        </is>
      </c>
    </row>
    <row r="8617">
      <c r="A8617" t="inlineStr"/>
      <c r="B8617" t="inlineStr"/>
      <c r="C8617" t="inlineStr"/>
      <c r="D8617" t="inlineStr"/>
      <c r="E8617">
        <f>HYPERLINK("https://www.uniprot.org/uniprotkb/A0A8J1MVA4/entry", "A0A8J1MVA4")</f>
        <v/>
      </c>
      <c r="F8617" t="n">
        <v>33.7</v>
      </c>
      <c r="G8617" t="n">
        <v>95</v>
      </c>
      <c r="H8617" t="n">
        <v>8.32e-10</v>
      </c>
      <c r="I8617" t="inlineStr">
        <is>
          <t>TrEMBL</t>
        </is>
      </c>
      <c r="J8617" t="inlineStr">
        <is>
          <t>LOC121402375</t>
        </is>
      </c>
      <c r="K8617" t="inlineStr">
        <is>
          <t>A0A8J1MVA4_XENLA</t>
        </is>
      </c>
      <c r="L8617" t="inlineStr">
        <is>
          <t>tr|A0A8J1MVA4|A0A8J1MVA4_XENLA uncharacterized protein LOC121402375 OS=Xenopus laevis OX=8355 GN=LOC121402375 PE=4 SV=1</t>
        </is>
      </c>
      <c r="M8617" t="n">
        <v>259</v>
      </c>
      <c r="N8617" t="inlineStr">
        <is>
          <t>Xenopus laevis</t>
        </is>
      </c>
      <c r="O8617" t="inlineStr">
        <is>
          <t>uncharacterized protein LOC121402375</t>
        </is>
      </c>
    </row>
    <row r="8618">
      <c r="A8618" t="inlineStr"/>
      <c r="B8618" t="inlineStr"/>
      <c r="C8618" t="inlineStr"/>
      <c r="D8618" t="inlineStr"/>
      <c r="E8618">
        <f>HYPERLINK("https://www.ncbi.nlm.nih.gov/gene/?term=XP_044132609.1", "XP_044132609.1")</f>
        <v/>
      </c>
      <c r="F8618" t="n">
        <v>32.6</v>
      </c>
      <c r="G8618" t="n">
        <v>135</v>
      </c>
      <c r="H8618" t="n">
        <v>9.05e-10</v>
      </c>
      <c r="I8618" t="inlineStr">
        <is>
          <t>Nr</t>
        </is>
      </c>
      <c r="J8618" t="inlineStr"/>
      <c r="K8618" t="inlineStr"/>
      <c r="L8618" t="inlineStr">
        <is>
          <t>XP_044132609.1 LIM and calponin homology domains-containing protein 1 [Bufo gargarizans]</t>
        </is>
      </c>
      <c r="M8618" t="n">
        <v>4256</v>
      </c>
      <c r="N8618" t="inlineStr">
        <is>
          <t>Bufo gargarizans</t>
        </is>
      </c>
      <c r="O8618" t="inlineStr">
        <is>
          <t>LIM and calponin homology domains-containing protein 1</t>
        </is>
      </c>
    </row>
    <row r="8619">
      <c r="A8619" t="inlineStr"/>
      <c r="B8619" t="inlineStr"/>
      <c r="C8619" t="inlineStr"/>
      <c r="D8619" t="inlineStr"/>
      <c r="E8619">
        <f>HYPERLINK("https://www.uniprot.org/uniprotkb/A0A8C5QEV0/entry", "A0A8C5QEV0")</f>
        <v/>
      </c>
      <c r="F8619" t="n">
        <v>37.1</v>
      </c>
      <c r="G8619" t="n">
        <v>132</v>
      </c>
      <c r="H8619" t="n">
        <v>1.48e-09</v>
      </c>
      <c r="I8619" t="inlineStr">
        <is>
          <t>TrEMBL</t>
        </is>
      </c>
      <c r="J8619" t="inlineStr"/>
      <c r="K8619" t="inlineStr">
        <is>
          <t>A0A8C5QEV0_9ANUR</t>
        </is>
      </c>
      <c r="L8619" t="inlineStr">
        <is>
          <t>tr|A0A8C5QEV0|A0A8C5QEV0_9ANUR ESCRT-II complex subunit VPS36 OS=Leptobrachium leishanense OX=445787 PE=4 SV=1</t>
        </is>
      </c>
      <c r="M8619" t="n">
        <v>330</v>
      </c>
      <c r="N8619" t="inlineStr">
        <is>
          <t>Leptobrachium leishanense</t>
        </is>
      </c>
      <c r="O8619" t="inlineStr">
        <is>
          <t>ESCRT-II complex subunit VPS36</t>
        </is>
      </c>
    </row>
    <row r="8620">
      <c r="A8620" t="inlineStr"/>
      <c r="B8620" t="inlineStr"/>
      <c r="C8620" t="inlineStr"/>
      <c r="D8620" t="inlineStr"/>
      <c r="E8620">
        <f>HYPERLINK("https://www.uniprot.org/uniprotkb/A0A8C5M6S6/entry", "A0A8C5M6S6")</f>
        <v/>
      </c>
      <c r="F8620" t="n">
        <v>34.1</v>
      </c>
      <c r="G8620" t="n">
        <v>132</v>
      </c>
      <c r="H8620" t="n">
        <v>2.04e-09</v>
      </c>
      <c r="I8620" t="inlineStr">
        <is>
          <t>TrEMBL</t>
        </is>
      </c>
      <c r="J8620" t="inlineStr"/>
      <c r="K8620" t="inlineStr">
        <is>
          <t>A0A8C5M6S6_9ANUR</t>
        </is>
      </c>
      <c r="L8620" t="inlineStr">
        <is>
          <t>tr|A0A8C5M6S6|A0A8C5M6S6_9ANUR Reverse transcriptase domain-containing protein OS=Leptobrachium leishanense OX=445787 PE=4 SV=1</t>
        </is>
      </c>
      <c r="M8620" t="n">
        <v>752</v>
      </c>
      <c r="N8620" t="inlineStr">
        <is>
          <t>Leptobrachium leishanense</t>
        </is>
      </c>
      <c r="O8620" t="inlineStr">
        <is>
          <t>Reverse transcriptase domain-containing protein</t>
        </is>
      </c>
    </row>
    <row r="8621">
      <c r="A8621" t="inlineStr"/>
      <c r="B8621" t="inlineStr"/>
      <c r="C8621" t="inlineStr"/>
      <c r="D8621" t="inlineStr"/>
      <c r="E8621">
        <f>HYPERLINK("https://www.uniprot.org/uniprotkb/A0A8J1LM18/entry", "A0A8J1LM18")</f>
        <v/>
      </c>
      <c r="F8621" t="n">
        <v>48.4</v>
      </c>
      <c r="G8621" t="n">
        <v>62</v>
      </c>
      <c r="H8621" t="n">
        <v>4.18e-09</v>
      </c>
      <c r="I8621" t="inlineStr">
        <is>
          <t>TrEMBL</t>
        </is>
      </c>
      <c r="J8621" t="inlineStr">
        <is>
          <t>LOC121397630</t>
        </is>
      </c>
      <c r="K8621" t="inlineStr">
        <is>
          <t>A0A8J1LM18_XENLA</t>
        </is>
      </c>
      <c r="L8621" t="inlineStr">
        <is>
          <t>tr|A0A8J1LM18|A0A8J1LM18_XENLA uncharacterized protein LOC121397630 OS=Xenopus laevis OX=8355 GN=LOC121397630 PE=4 SV=1</t>
        </is>
      </c>
      <c r="M8621" t="n">
        <v>306</v>
      </c>
      <c r="N8621" t="inlineStr">
        <is>
          <t>Xenopus laevis</t>
        </is>
      </c>
      <c r="O8621" t="inlineStr">
        <is>
          <t>uncharacterized protein LOC121397630</t>
        </is>
      </c>
    </row>
    <row r="8622">
      <c r="A8622" t="inlineStr"/>
      <c r="B8622" t="inlineStr"/>
      <c r="C8622" t="inlineStr"/>
      <c r="D8622" t="inlineStr"/>
      <c r="E8622">
        <f>HYPERLINK("https://www.uniprot.org/uniprotkb/A0A8J1KTL9/entry", "A0A8J1KTL9")</f>
        <v/>
      </c>
      <c r="F8622" t="n">
        <v>39.6</v>
      </c>
      <c r="G8622" t="n">
        <v>101</v>
      </c>
      <c r="H8622" t="n">
        <v>4.53e-09</v>
      </c>
      <c r="I8622" t="inlineStr">
        <is>
          <t>TrEMBL</t>
        </is>
      </c>
      <c r="J8622" t="inlineStr">
        <is>
          <t>LOC121394259</t>
        </is>
      </c>
      <c r="K8622" t="inlineStr">
        <is>
          <t>A0A8J1KTL9_XENLA</t>
        </is>
      </c>
      <c r="L8622" t="inlineStr">
        <is>
          <t>tr|A0A8J1KTL9|A0A8J1KTL9_XENLA uncharacterized protein LOC121394259 OS=Xenopus laevis OX=8355 GN=LOC121394259 PE=4 SV=1</t>
        </is>
      </c>
      <c r="M8622" t="n">
        <v>325</v>
      </c>
      <c r="N8622" t="inlineStr">
        <is>
          <t>Xenopus laevis</t>
        </is>
      </c>
      <c r="O8622" t="inlineStr">
        <is>
          <t>uncharacterized protein LOC121394259</t>
        </is>
      </c>
    </row>
    <row r="8623">
      <c r="A8623" t="inlineStr"/>
      <c r="B8623" t="inlineStr"/>
      <c r="C8623" t="inlineStr"/>
      <c r="D8623" t="inlineStr"/>
      <c r="E8623">
        <f>HYPERLINK("https://www.uniprot.org/uniprotkb/A0A8J1MDD9/entry", "A0A8J1MDD9")</f>
        <v/>
      </c>
      <c r="F8623" t="n">
        <v>34.7</v>
      </c>
      <c r="G8623" t="n">
        <v>95</v>
      </c>
      <c r="H8623" t="n">
        <v>5.88e-09</v>
      </c>
      <c r="I8623" t="inlineStr">
        <is>
          <t>TrEMBL</t>
        </is>
      </c>
      <c r="J8623" t="inlineStr">
        <is>
          <t>LOC121400528</t>
        </is>
      </c>
      <c r="K8623" t="inlineStr">
        <is>
          <t>A0A8J1MDD9_XENLA</t>
        </is>
      </c>
      <c r="L8623" t="inlineStr">
        <is>
          <t>tr|A0A8J1MDD9|A0A8J1MDD9_XENLA uncharacterized protein LOC121400528 OS=Xenopus laevis OX=8355 GN=LOC121400528 PE=4 SV=1</t>
        </is>
      </c>
      <c r="M8623" t="n">
        <v>259</v>
      </c>
      <c r="N8623" t="inlineStr">
        <is>
          <t>Xenopus laevis</t>
        </is>
      </c>
      <c r="O8623" t="inlineStr">
        <is>
          <t>uncharacterized protein LOC121400528</t>
        </is>
      </c>
    </row>
    <row r="8624">
      <c r="A8624" t="inlineStr"/>
      <c r="B8624" t="inlineStr"/>
      <c r="C8624" t="inlineStr"/>
      <c r="D8624" t="inlineStr"/>
      <c r="E8624">
        <f>HYPERLINK("https://www.uniprot.org/uniprotkb/A0A8J1MZB9/entry", "A0A8J1MZB9")</f>
        <v/>
      </c>
      <c r="F8624" t="n">
        <v>32.2</v>
      </c>
      <c r="G8624" t="n">
        <v>115</v>
      </c>
      <c r="H8624" t="n">
        <v>5.93e-09</v>
      </c>
      <c r="I8624" t="inlineStr">
        <is>
          <t>TrEMBL</t>
        </is>
      </c>
      <c r="J8624" t="inlineStr">
        <is>
          <t>LOC121403098</t>
        </is>
      </c>
      <c r="K8624" t="inlineStr">
        <is>
          <t>A0A8J1MZB9_XENLA</t>
        </is>
      </c>
      <c r="L8624" t="inlineStr">
        <is>
          <t>tr|A0A8J1MZB9|A0A8J1MZB9_XENLA uncharacterized protein LOC121401658 OS=Xenopus laevis OX=8355 GN=LOC121403098 PE=4 SV=1</t>
        </is>
      </c>
      <c r="M8624" t="n">
        <v>313</v>
      </c>
      <c r="N8624" t="inlineStr">
        <is>
          <t>Xenopus laevis</t>
        </is>
      </c>
      <c r="O8624" t="inlineStr">
        <is>
          <t>uncharacterized protein LOC121401658</t>
        </is>
      </c>
    </row>
    <row r="8625">
      <c r="A8625" t="inlineStr"/>
      <c r="B8625" t="inlineStr"/>
      <c r="C8625" t="inlineStr"/>
      <c r="D8625" t="inlineStr"/>
      <c r="E8625">
        <f>HYPERLINK("https://www.uniprot.org/uniprotkb/A0A8C5P7I8/entry", "A0A8C5P7I8")</f>
        <v/>
      </c>
      <c r="F8625" t="n">
        <v>35</v>
      </c>
      <c r="G8625" t="n">
        <v>123</v>
      </c>
      <c r="H8625" t="n">
        <v>9.489999999999999e-09</v>
      </c>
      <c r="I8625" t="inlineStr">
        <is>
          <t>TrEMBL</t>
        </is>
      </c>
      <c r="J8625" t="inlineStr"/>
      <c r="K8625" t="inlineStr">
        <is>
          <t>A0A8C5P7I8_9ANUR</t>
        </is>
      </c>
      <c r="L8625" t="inlineStr">
        <is>
          <t>tr|A0A8C5P7I8|A0A8C5P7I8_9ANUR Reverse transcriptase domain-containing protein OS=Leptobrachium leishanense OX=445787 PE=4 SV=1</t>
        </is>
      </c>
      <c r="M8625" t="n">
        <v>728</v>
      </c>
      <c r="N8625" t="inlineStr">
        <is>
          <t>Leptobrachium leishanense</t>
        </is>
      </c>
      <c r="O8625" t="inlineStr">
        <is>
          <t>Reverse transcriptase domain-containing protein</t>
        </is>
      </c>
    </row>
    <row r="8626">
      <c r="A8626" t="inlineStr"/>
      <c r="B8626" t="inlineStr"/>
      <c r="C8626" t="inlineStr"/>
      <c r="D8626" t="inlineStr"/>
      <c r="E8626">
        <f>HYPERLINK("https://www.uniprot.org/uniprotkb/A0A8J1M9E1/entry", "A0A8J1M9E1")</f>
        <v/>
      </c>
      <c r="F8626" t="n">
        <v>35.8</v>
      </c>
      <c r="G8626" t="n">
        <v>106</v>
      </c>
      <c r="H8626" t="n">
        <v>1.04e-08</v>
      </c>
      <c r="I8626" t="inlineStr">
        <is>
          <t>TrEMBL</t>
        </is>
      </c>
      <c r="J8626" t="inlineStr">
        <is>
          <t>LOC121399976</t>
        </is>
      </c>
      <c r="K8626" t="inlineStr">
        <is>
          <t>A0A8J1M9E1_XENLA</t>
        </is>
      </c>
      <c r="L8626" t="inlineStr">
        <is>
          <t>tr|A0A8J1M9E1|A0A8J1M9E1_XENLA uncharacterized protein LOC121399976 OS=Xenopus laevis OX=8355 GN=LOC121399976 PE=4 SV=1</t>
        </is>
      </c>
      <c r="M8626" t="n">
        <v>297</v>
      </c>
      <c r="N8626" t="inlineStr">
        <is>
          <t>Xenopus laevis</t>
        </is>
      </c>
      <c r="O8626" t="inlineStr">
        <is>
          <t>uncharacterized protein LOC121399976</t>
        </is>
      </c>
    </row>
    <row r="8627">
      <c r="A8627" t="inlineStr"/>
      <c r="B8627" t="inlineStr"/>
      <c r="C8627" t="inlineStr"/>
      <c r="D8627" t="inlineStr"/>
      <c r="E8627">
        <f>HYPERLINK("https://www.ncbi.nlm.nih.gov/gene/?term=XP_044146977.1", "XP_044146977.1")</f>
        <v/>
      </c>
      <c r="F8627" t="n">
        <v>35.5</v>
      </c>
      <c r="G8627" t="n">
        <v>124</v>
      </c>
      <c r="H8627" t="n">
        <v>1.06e-08</v>
      </c>
      <c r="I8627" t="inlineStr">
        <is>
          <t>Nr</t>
        </is>
      </c>
      <c r="J8627" t="inlineStr"/>
      <c r="K8627" t="inlineStr"/>
      <c r="L8627" t="inlineStr">
        <is>
          <t>XP_044146977.1 mediator of RNA polymerase II transcription subunit 12-like protein [Bufo gargarizans]</t>
        </is>
      </c>
      <c r="M8627" t="n">
        <v>2971</v>
      </c>
      <c r="N8627" t="inlineStr">
        <is>
          <t>Bufo gargarizans</t>
        </is>
      </c>
      <c r="O8627" t="inlineStr">
        <is>
          <t>mediator of RNA polymerase II transcription subunit 12-like protein</t>
        </is>
      </c>
    </row>
    <row r="8628">
      <c r="A8628" t="inlineStr"/>
      <c r="B8628" t="inlineStr"/>
      <c r="C8628" t="inlineStr"/>
      <c r="D8628" t="inlineStr"/>
      <c r="E8628">
        <f>HYPERLINK("https://www.uniprot.org/uniprotkb/A0A822I2R7/entry", "A0A822I2R7")</f>
        <v/>
      </c>
      <c r="F8628" t="n">
        <v>42.9</v>
      </c>
      <c r="G8628" t="n">
        <v>63</v>
      </c>
      <c r="H8628" t="n">
        <v>1.06e-08</v>
      </c>
      <c r="I8628" t="inlineStr">
        <is>
          <t>TrEMBL</t>
        </is>
      </c>
      <c r="J8628" t="inlineStr">
        <is>
          <t>RIMITATOR_LOCUS14211278</t>
        </is>
      </c>
      <c r="K8628" t="inlineStr">
        <is>
          <t>A0A822I2R7_9NEOB</t>
        </is>
      </c>
      <c r="L8628" t="inlineStr">
        <is>
          <t>tr|A0A822I2R7|A0A822I2R7_9NEOB (mimic poison frog) hypothetical protein OS=Ranitomeya imitator OX=111125 GN=RIMITATOR_LOCUS14211278 PE=4 SV=1</t>
        </is>
      </c>
      <c r="M8628" t="n">
        <v>194</v>
      </c>
      <c r="N8628" t="inlineStr">
        <is>
          <t>Ranitomeya imitator</t>
        </is>
      </c>
      <c r="O8628" t="inlineStr">
        <is>
          <t>(mimic poison frog) hypothetical protein</t>
        </is>
      </c>
    </row>
    <row r="8629">
      <c r="A8629" t="inlineStr"/>
      <c r="B8629" t="inlineStr"/>
      <c r="C8629" t="inlineStr"/>
      <c r="D8629" t="inlineStr"/>
      <c r="E8629">
        <f>HYPERLINK("https://www.uniprot.org/uniprotkb/A0A8J1LMK6/entry", "A0A8J1LMK6")</f>
        <v/>
      </c>
      <c r="F8629" t="n">
        <v>47.8</v>
      </c>
      <c r="G8629" t="n">
        <v>67</v>
      </c>
      <c r="H8629" t="n">
        <v>1.35e-08</v>
      </c>
      <c r="I8629" t="inlineStr">
        <is>
          <t>TrEMBL</t>
        </is>
      </c>
      <c r="J8629" t="inlineStr">
        <is>
          <t>LOC121397685</t>
        </is>
      </c>
      <c r="K8629" t="inlineStr">
        <is>
          <t>A0A8J1LMK6_XENLA</t>
        </is>
      </c>
      <c r="L8629" t="inlineStr">
        <is>
          <t>tr|A0A8J1LMK6|A0A8J1LMK6_XENLA uncharacterized protein LOC121397685 OS=Xenopus laevis OX=8355 GN=LOC121397685 PE=4 SV=1</t>
        </is>
      </c>
      <c r="M8629" t="n">
        <v>285</v>
      </c>
      <c r="N8629" t="inlineStr">
        <is>
          <t>Xenopus laevis</t>
        </is>
      </c>
      <c r="O8629" t="inlineStr">
        <is>
          <t>uncharacterized protein LOC121397685</t>
        </is>
      </c>
    </row>
    <row r="8630">
      <c r="A8630" t="inlineStr"/>
      <c r="B8630" t="inlineStr"/>
      <c r="C8630" t="inlineStr"/>
      <c r="D8630" t="inlineStr"/>
      <c r="E8630">
        <f>HYPERLINK("https://www.uniprot.org/uniprotkb/A0A8J1J2W1/entry", "A0A8J1J2W1")</f>
        <v/>
      </c>
      <c r="F8630" t="n">
        <v>45.8</v>
      </c>
      <c r="G8630" t="n">
        <v>59</v>
      </c>
      <c r="H8630" t="n">
        <v>1.53e-08</v>
      </c>
      <c r="I8630" t="inlineStr">
        <is>
          <t>TrEMBL</t>
        </is>
      </c>
      <c r="J8630" t="inlineStr">
        <is>
          <t>LOC100494332</t>
        </is>
      </c>
      <c r="K8630" t="inlineStr">
        <is>
          <t>A0A8J1J2W1_XENTR</t>
        </is>
      </c>
      <c r="L8630" t="inlineStr">
        <is>
          <t>tr|A0A8J1J2W1|A0A8J1J2W1_XENTR vomeronasal type-2 receptor 26 OS=Xenopus tropicalis OX=8364 GN=LOC100494332 PE=4 SV=1</t>
        </is>
      </c>
      <c r="M8630" t="n">
        <v>1164</v>
      </c>
      <c r="N8630" t="inlineStr">
        <is>
          <t>Xenopus tropicalis</t>
        </is>
      </c>
      <c r="O8630" t="inlineStr">
        <is>
          <t>vomeronasal type-2 receptor 26</t>
        </is>
      </c>
    </row>
    <row r="8631">
      <c r="A8631" t="inlineStr"/>
      <c r="B8631" t="inlineStr"/>
      <c r="C8631" t="inlineStr"/>
      <c r="D8631" t="inlineStr"/>
      <c r="E8631">
        <f>HYPERLINK("https://www.uniprot.org/uniprotkb/A0A8C5LSW4/entry", "A0A8C5LSW4")</f>
        <v/>
      </c>
      <c r="F8631" t="n">
        <v>36.5</v>
      </c>
      <c r="G8631" t="n">
        <v>126</v>
      </c>
      <c r="H8631" t="n">
        <v>1.59e-08</v>
      </c>
      <c r="I8631" t="inlineStr">
        <is>
          <t>TrEMBL</t>
        </is>
      </c>
      <c r="J8631" t="inlineStr"/>
      <c r="K8631" t="inlineStr">
        <is>
          <t>A0A8C5LSW4_9ANUR</t>
        </is>
      </c>
      <c r="L8631" t="inlineStr">
        <is>
          <t>tr|A0A8C5LSW4|A0A8C5LSW4_9ANUR ESCRT-II complex subunit VPS36 OS=Leptobrachium leishanense OX=445787 PE=4 SV=1</t>
        </is>
      </c>
      <c r="M8631" t="n">
        <v>296</v>
      </c>
      <c r="N8631" t="inlineStr">
        <is>
          <t>Leptobrachium leishanense</t>
        </is>
      </c>
      <c r="O8631" t="inlineStr">
        <is>
          <t>ESCRT-II complex subunit VPS36</t>
        </is>
      </c>
    </row>
    <row r="8632">
      <c r="A8632" t="inlineStr"/>
      <c r="B8632" t="inlineStr"/>
      <c r="C8632" t="inlineStr"/>
      <c r="D8632" t="inlineStr"/>
      <c r="E8632">
        <f>HYPERLINK("https://www.uniprot.org/uniprotkb/A0A2I4BLC5/entry", "A0A2I4BLC5")</f>
        <v/>
      </c>
      <c r="F8632" t="n">
        <v>31.4</v>
      </c>
      <c r="G8632" t="n">
        <v>102</v>
      </c>
      <c r="H8632" t="n">
        <v>1.8e-08</v>
      </c>
      <c r="I8632" t="inlineStr">
        <is>
          <t>TrEMBL</t>
        </is>
      </c>
      <c r="J8632" t="inlineStr">
        <is>
          <t>LOC106520813</t>
        </is>
      </c>
      <c r="K8632" t="inlineStr">
        <is>
          <t>A0A2I4BLC5_9TELE</t>
        </is>
      </c>
      <c r="L8632" t="inlineStr">
        <is>
          <t>tr|A0A2I4BLC5|A0A2I4BLC5_9TELE uncharacterized protein LOC106520813 OS=Austrofundulus limnaeus OX=52670 GN=LOC106520813 PE=4 SV=1</t>
        </is>
      </c>
      <c r="M8632" t="n">
        <v>238</v>
      </c>
      <c r="N8632" t="inlineStr">
        <is>
          <t>Austrofundulus limnaeus</t>
        </is>
      </c>
      <c r="O8632" t="inlineStr">
        <is>
          <t>uncharacterized protein LOC106520813</t>
        </is>
      </c>
    </row>
    <row r="8633">
      <c r="A8633" t="inlineStr"/>
      <c r="B8633" t="inlineStr"/>
      <c r="C8633" t="inlineStr"/>
      <c r="D8633" t="inlineStr"/>
      <c r="E8633">
        <f>HYPERLINK("https://www.uniprot.org/uniprotkb/A0A8C5LPP9/entry", "A0A8C5LPP9")</f>
        <v/>
      </c>
      <c r="F8633" t="n">
        <v>36.5</v>
      </c>
      <c r="G8633" t="n">
        <v>126</v>
      </c>
      <c r="H8633" t="n">
        <v>2.21e-08</v>
      </c>
      <c r="I8633" t="inlineStr">
        <is>
          <t>TrEMBL</t>
        </is>
      </c>
      <c r="J8633" t="inlineStr"/>
      <c r="K8633" t="inlineStr">
        <is>
          <t>A0A8C5LPP9_9ANUR</t>
        </is>
      </c>
      <c r="L8633" t="inlineStr">
        <is>
          <t>tr|A0A8C5LPP9|A0A8C5LPP9_9ANUR Reverse transcriptase domain-containing protein OS=Leptobrachium leishanense OX=445787 PE=4 SV=1</t>
        </is>
      </c>
      <c r="M8633" t="n">
        <v>458</v>
      </c>
      <c r="N8633" t="inlineStr">
        <is>
          <t>Leptobrachium leishanense</t>
        </is>
      </c>
      <c r="O8633" t="inlineStr">
        <is>
          <t>Reverse transcriptase domain-containing protein</t>
        </is>
      </c>
    </row>
    <row r="8634">
      <c r="A8634" t="inlineStr"/>
      <c r="B8634" t="inlineStr"/>
      <c r="C8634" t="inlineStr"/>
      <c r="D8634" t="inlineStr"/>
      <c r="E8634">
        <f>HYPERLINK("https://www.uniprot.org/uniprotkb/A0A8J1LVF0/entry", "A0A8J1LVF0")</f>
        <v/>
      </c>
      <c r="F8634" t="n">
        <v>44.9</v>
      </c>
      <c r="G8634" t="n">
        <v>69</v>
      </c>
      <c r="H8634" t="n">
        <v>2.53e-08</v>
      </c>
      <c r="I8634" t="inlineStr">
        <is>
          <t>TrEMBL</t>
        </is>
      </c>
      <c r="J8634" t="inlineStr">
        <is>
          <t>LOC121398216</t>
        </is>
      </c>
      <c r="K8634" t="inlineStr">
        <is>
          <t>A0A8J1LVF0_XENLA</t>
        </is>
      </c>
      <c r="L8634" t="inlineStr">
        <is>
          <t>tr|A0A8J1LVF0|A0A8J1LVF0_XENLA uncharacterized protein LOC121398216 OS=Xenopus laevis OX=8355 GN=LOC121398216 PE=4 SV=1</t>
        </is>
      </c>
      <c r="M8634" t="n">
        <v>283</v>
      </c>
      <c r="N8634" t="inlineStr">
        <is>
          <t>Xenopus laevis</t>
        </is>
      </c>
      <c r="O8634" t="inlineStr">
        <is>
          <t>uncharacterized protein LOC121398216</t>
        </is>
      </c>
    </row>
    <row r="8635">
      <c r="A8635" t="inlineStr"/>
      <c r="B8635" t="inlineStr"/>
      <c r="C8635" t="inlineStr"/>
      <c r="D8635" t="inlineStr"/>
      <c r="E8635">
        <f>HYPERLINK("https://www.uniprot.org/uniprotkb/A0A8J1M3V6/entry", "A0A8J1M3V6")</f>
        <v/>
      </c>
      <c r="F8635" t="n">
        <v>39.1</v>
      </c>
      <c r="G8635" t="n">
        <v>69</v>
      </c>
      <c r="H8635" t="n">
        <v>2.68e-08</v>
      </c>
      <c r="I8635" t="inlineStr">
        <is>
          <t>TrEMBL</t>
        </is>
      </c>
      <c r="J8635" t="inlineStr">
        <is>
          <t>LOC121399504</t>
        </is>
      </c>
      <c r="K8635" t="inlineStr">
        <is>
          <t>A0A8J1M3V6_XENLA</t>
        </is>
      </c>
      <c r="L8635" t="inlineStr">
        <is>
          <t>tr|A0A8J1M3V6|A0A8J1M3V6_XENLA uncharacterized protein LOC121399504 OS=Xenopus laevis OX=8355 GN=LOC121399504 PE=4 SV=1</t>
        </is>
      </c>
      <c r="M8635" t="n">
        <v>294</v>
      </c>
      <c r="N8635" t="inlineStr">
        <is>
          <t>Xenopus laevis</t>
        </is>
      </c>
      <c r="O8635" t="inlineStr">
        <is>
          <t>uncharacterized protein LOC121399504</t>
        </is>
      </c>
    </row>
    <row r="8636">
      <c r="A8636" t="inlineStr"/>
      <c r="B8636" t="inlineStr"/>
      <c r="C8636" t="inlineStr"/>
      <c r="D8636" t="inlineStr"/>
      <c r="E8636">
        <f>HYPERLINK("https://www.uniprot.org/uniprotkb/A0A8J1L1V4/entry", "A0A8J1L1V4")</f>
        <v/>
      </c>
      <c r="F8636" t="n">
        <v>39.1</v>
      </c>
      <c r="G8636" t="n">
        <v>69</v>
      </c>
      <c r="H8636" t="n">
        <v>2.68e-08</v>
      </c>
      <c r="I8636" t="inlineStr">
        <is>
          <t>TrEMBL</t>
        </is>
      </c>
      <c r="J8636" t="inlineStr">
        <is>
          <t>LOC121395064</t>
        </is>
      </c>
      <c r="K8636" t="inlineStr">
        <is>
          <t>A0A8J1L1V4_XENLA</t>
        </is>
      </c>
      <c r="L8636" t="inlineStr">
        <is>
          <t>tr|A0A8J1L1V4|A0A8J1L1V4_XENLA uncharacterized protein LOC121395064 OS=Xenopus laevis OX=8355 GN=LOC121395064 PE=4 SV=1</t>
        </is>
      </c>
      <c r="M8636" t="n">
        <v>294</v>
      </c>
      <c r="N8636" t="inlineStr">
        <is>
          <t>Xenopus laevis</t>
        </is>
      </c>
      <c r="O8636" t="inlineStr">
        <is>
          <t>uncharacterized protein LOC121395064</t>
        </is>
      </c>
    </row>
    <row r="8637">
      <c r="A8637" t="inlineStr"/>
      <c r="B8637" t="inlineStr"/>
      <c r="C8637" t="inlineStr"/>
      <c r="D8637" t="inlineStr"/>
      <c r="E8637">
        <f>HYPERLINK("https://www.uniprot.org/uniprotkb/A0A8J1KLU2/entry", "A0A8J1KLU2")</f>
        <v/>
      </c>
      <c r="F8637" t="n">
        <v>39.1</v>
      </c>
      <c r="G8637" t="n">
        <v>69</v>
      </c>
      <c r="H8637" t="n">
        <v>2.68e-08</v>
      </c>
      <c r="I8637" t="inlineStr">
        <is>
          <t>TrEMBL</t>
        </is>
      </c>
      <c r="J8637" t="inlineStr">
        <is>
          <t>LOC121393375</t>
        </is>
      </c>
      <c r="K8637" t="inlineStr">
        <is>
          <t>A0A8J1KLU2_XENLA</t>
        </is>
      </c>
      <c r="L8637" t="inlineStr">
        <is>
          <t>tr|A0A8J1KLU2|A0A8J1KLU2_XENLA uncharacterized protein LOC121393375 OS=Xenopus laevis OX=8355 GN=LOC121393375 PE=4 SV=1</t>
        </is>
      </c>
      <c r="M8637" t="n">
        <v>294</v>
      </c>
      <c r="N8637" t="inlineStr">
        <is>
          <t>Xenopus laevis</t>
        </is>
      </c>
      <c r="O8637" t="inlineStr">
        <is>
          <t>uncharacterized protein LOC121393375</t>
        </is>
      </c>
    </row>
    <row r="8638">
      <c r="A8638" t="inlineStr"/>
      <c r="B8638" t="inlineStr"/>
      <c r="C8638" t="inlineStr"/>
      <c r="D8638" t="inlineStr"/>
      <c r="E8638">
        <f>HYPERLINK("https://www.ncbi.nlm.nih.gov/gene/?term=CAH2329431.1", "CAH2329431.1")</f>
        <v/>
      </c>
      <c r="F8638" t="n">
        <v>40</v>
      </c>
      <c r="G8638" t="n">
        <v>75</v>
      </c>
      <c r="H8638" t="n">
        <v>3.6e-08</v>
      </c>
      <c r="I8638" t="inlineStr">
        <is>
          <t>Nr</t>
        </is>
      </c>
      <c r="J8638" t="inlineStr"/>
      <c r="K8638" t="inlineStr"/>
      <c r="L8638" t="inlineStr">
        <is>
          <t>CAH2329431.1 Hypothetical predicted protein, partial [Pelobates cultripes]</t>
        </is>
      </c>
      <c r="M8638" t="n">
        <v>101</v>
      </c>
      <c r="N8638" t="inlineStr">
        <is>
          <t>Pelobates cultripes</t>
        </is>
      </c>
      <c r="O8638" t="inlineStr">
        <is>
          <t>Hypothetical predicted protein, partial</t>
        </is>
      </c>
    </row>
    <row r="8639">
      <c r="A8639" t="inlineStr"/>
      <c r="B8639" t="inlineStr"/>
      <c r="C8639" t="inlineStr"/>
      <c r="D8639" t="inlineStr"/>
      <c r="E8639">
        <f>HYPERLINK("https://www.uniprot.org/uniprotkb/A0A8C5WFM7/entry", "A0A8C5WFM7")</f>
        <v/>
      </c>
      <c r="F8639" t="n">
        <v>36.5</v>
      </c>
      <c r="G8639" t="n">
        <v>126</v>
      </c>
      <c r="H8639" t="n">
        <v>3.94e-08</v>
      </c>
      <c r="I8639" t="inlineStr">
        <is>
          <t>TrEMBL</t>
        </is>
      </c>
      <c r="J8639" t="inlineStr"/>
      <c r="K8639" t="inlineStr">
        <is>
          <t>A0A8C5WFM7_9ANUR</t>
        </is>
      </c>
      <c r="L8639" t="inlineStr">
        <is>
          <t>tr|A0A8C5WFM7|A0A8C5WFM7_9ANUR Reverse transcriptase domain-containing protein OS=Leptobrachium leishanense OX=445787 PE=4 SV=1</t>
        </is>
      </c>
      <c r="M8639" t="n">
        <v>403</v>
      </c>
      <c r="N8639" t="inlineStr">
        <is>
          <t>Leptobrachium leishanense</t>
        </is>
      </c>
      <c r="O8639" t="inlineStr">
        <is>
          <t>Reverse transcriptase domain-containing protein</t>
        </is>
      </c>
    </row>
    <row r="8640">
      <c r="A8640" t="inlineStr"/>
      <c r="B8640" t="inlineStr"/>
      <c r="C8640" t="inlineStr"/>
      <c r="D8640" t="inlineStr"/>
      <c r="E8640">
        <f>HYPERLINK("https://www.uniprot.org/uniprotkb/A0A8C5QQL5/entry", "A0A8C5QQL5")</f>
        <v/>
      </c>
      <c r="F8640" t="n">
        <v>34.1</v>
      </c>
      <c r="G8640" t="n">
        <v>123</v>
      </c>
      <c r="H8640" t="n">
        <v>5.36e-08</v>
      </c>
      <c r="I8640" t="inlineStr">
        <is>
          <t>TrEMBL</t>
        </is>
      </c>
      <c r="J8640" t="inlineStr"/>
      <c r="K8640" t="inlineStr">
        <is>
          <t>A0A8C5QQL5_9ANUR</t>
        </is>
      </c>
      <c r="L8640" t="inlineStr">
        <is>
          <t>tr|A0A8C5QQL5|A0A8C5QQL5_9ANUR Reverse transcriptase domain-containing protein OS=Leptobrachium leishanense OX=445787 PE=4 SV=1</t>
        </is>
      </c>
      <c r="M8640" t="n">
        <v>401</v>
      </c>
      <c r="N8640" t="inlineStr">
        <is>
          <t>Leptobrachium leishanense</t>
        </is>
      </c>
      <c r="O8640" t="inlineStr">
        <is>
          <t>Reverse transcriptase domain-containing protein</t>
        </is>
      </c>
    </row>
    <row r="8641">
      <c r="A8641" t="inlineStr"/>
      <c r="B8641" t="inlineStr"/>
      <c r="C8641" t="inlineStr"/>
      <c r="D8641" t="inlineStr"/>
      <c r="E8641">
        <f>HYPERLINK("https://www.uniprot.org/uniprotkb/A0A8C5W8X4/entry", "A0A8C5W8X4")</f>
        <v/>
      </c>
      <c r="F8641" t="n">
        <v>34.4</v>
      </c>
      <c r="G8641" t="n">
        <v>131</v>
      </c>
      <c r="H8641" t="n">
        <v>8.21e-08</v>
      </c>
      <c r="I8641" t="inlineStr">
        <is>
          <t>TrEMBL</t>
        </is>
      </c>
      <c r="J8641" t="inlineStr"/>
      <c r="K8641" t="inlineStr">
        <is>
          <t>A0A8C5W8X4_9ANUR</t>
        </is>
      </c>
      <c r="L8641" t="inlineStr">
        <is>
          <t>tr|A0A8C5W8X4|A0A8C5W8X4_9ANUR Reverse transcriptase domain-containing protein OS=Leptobrachium leishanense OX=445787 PE=4 SV=1</t>
        </is>
      </c>
      <c r="M8641" t="n">
        <v>716</v>
      </c>
      <c r="N8641" t="inlineStr">
        <is>
          <t>Leptobrachium leishanense</t>
        </is>
      </c>
      <c r="O8641" t="inlineStr">
        <is>
          <t>Reverse transcriptase domain-containing protein</t>
        </is>
      </c>
    </row>
    <row r="8642">
      <c r="A8642" t="inlineStr"/>
      <c r="B8642" t="inlineStr"/>
      <c r="C8642" t="inlineStr"/>
      <c r="D8642" t="inlineStr"/>
      <c r="E8642">
        <f>HYPERLINK("https://www.uniprot.org/uniprotkb/A0A8S3REA8/entry", "A0A8S3REA8")</f>
        <v/>
      </c>
      <c r="F8642" t="n">
        <v>37</v>
      </c>
      <c r="G8642" t="n">
        <v>81</v>
      </c>
      <c r="H8642" t="n">
        <v>8.77e-08</v>
      </c>
      <c r="I8642" t="inlineStr">
        <is>
          <t>TrEMBL</t>
        </is>
      </c>
      <c r="J8642" t="inlineStr">
        <is>
          <t>MEDL_19548</t>
        </is>
      </c>
      <c r="K8642" t="inlineStr">
        <is>
          <t>A0A8S3REA8_MYTED</t>
        </is>
      </c>
      <c r="L8642" t="inlineStr">
        <is>
          <t>tr|A0A8S3REA8|A0A8S3REA8_MYTED C-type lectin domain-containing protein OS=Mytilus edulis OX=6550 GN=MEDL_19548 PE=4 SV=1</t>
        </is>
      </c>
      <c r="M8642" t="n">
        <v>407</v>
      </c>
      <c r="N8642" t="inlineStr">
        <is>
          <t>Mytilus edulis</t>
        </is>
      </c>
      <c r="O8642" t="inlineStr">
        <is>
          <t>C-type lectin domain-containing protein</t>
        </is>
      </c>
    </row>
    <row r="8643">
      <c r="A8643" t="inlineStr"/>
      <c r="B8643" t="inlineStr"/>
      <c r="C8643" t="inlineStr"/>
      <c r="D8643" t="inlineStr"/>
      <c r="E8643">
        <f>HYPERLINK("https://www.uniprot.org/uniprotkb/A0A8C5PX07/entry", "A0A8C5PX07")</f>
        <v/>
      </c>
      <c r="F8643" t="n">
        <v>33.3</v>
      </c>
      <c r="G8643" t="n">
        <v>123</v>
      </c>
      <c r="H8643" t="n">
        <v>1.06e-07</v>
      </c>
      <c r="I8643" t="inlineStr">
        <is>
          <t>TrEMBL</t>
        </is>
      </c>
      <c r="J8643" t="inlineStr"/>
      <c r="K8643" t="inlineStr">
        <is>
          <t>A0A8C5PX07_9ANUR</t>
        </is>
      </c>
      <c r="L8643" t="inlineStr">
        <is>
          <t>tr|A0A8C5PX07|A0A8C5PX07_9ANUR Reverse transcriptase domain-containing protein OS=Leptobrachium leishanense OX=445787 PE=4 SV=1</t>
        </is>
      </c>
      <c r="M8643" t="n">
        <v>504</v>
      </c>
      <c r="N8643" t="inlineStr">
        <is>
          <t>Leptobrachium leishanense</t>
        </is>
      </c>
      <c r="O8643" t="inlineStr">
        <is>
          <t>Reverse transcriptase domain-containing protein</t>
        </is>
      </c>
    </row>
    <row r="8644">
      <c r="A8644" t="inlineStr"/>
      <c r="B8644" t="inlineStr"/>
      <c r="C8644" t="inlineStr"/>
      <c r="D8644" t="inlineStr"/>
      <c r="E8644">
        <f>HYPERLINK("https://www.uniprot.org/uniprotkb/A0A8C5MH15/entry", "A0A8C5MH15")</f>
        <v/>
      </c>
      <c r="F8644" t="n">
        <v>35.9</v>
      </c>
      <c r="G8644" t="n">
        <v>131</v>
      </c>
      <c r="H8644" t="n">
        <v>1.09e-07</v>
      </c>
      <c r="I8644" t="inlineStr">
        <is>
          <t>TrEMBL</t>
        </is>
      </c>
      <c r="J8644" t="inlineStr"/>
      <c r="K8644" t="inlineStr">
        <is>
          <t>A0A8C5MH15_9ANUR</t>
        </is>
      </c>
      <c r="L8644" t="inlineStr">
        <is>
          <t>tr|A0A8C5MH15|A0A8C5MH15_9ANUR Reverse transcriptase domain-containing protein OS=Leptobrachium leishanense OX=445787 PE=4 SV=1</t>
        </is>
      </c>
      <c r="M8644" t="n">
        <v>608</v>
      </c>
      <c r="N8644" t="inlineStr">
        <is>
          <t>Leptobrachium leishanense</t>
        </is>
      </c>
      <c r="O8644" t="inlineStr">
        <is>
          <t>Reverse transcriptase domain-containing protein</t>
        </is>
      </c>
    </row>
    <row r="8645">
      <c r="A8645" t="inlineStr"/>
      <c r="B8645" t="inlineStr"/>
      <c r="C8645" t="inlineStr"/>
      <c r="D8645" t="inlineStr"/>
      <c r="E8645">
        <f>HYPERLINK("https://www.uniprot.org/uniprotkb/A0A8J1KST9/entry", "A0A8J1KST9")</f>
        <v/>
      </c>
      <c r="F8645" t="n">
        <v>42</v>
      </c>
      <c r="G8645" t="n">
        <v>69</v>
      </c>
      <c r="H8645" t="n">
        <v>1.34e-07</v>
      </c>
      <c r="I8645" t="inlineStr">
        <is>
          <t>TrEMBL</t>
        </is>
      </c>
      <c r="J8645" t="inlineStr">
        <is>
          <t>LOC121394195</t>
        </is>
      </c>
      <c r="K8645" t="inlineStr">
        <is>
          <t>A0A8J1KST9_XENLA</t>
        </is>
      </c>
      <c r="L8645" t="inlineStr">
        <is>
          <t>tr|A0A8J1KST9|A0A8J1KST9_XENLA uncharacterized protein LOC121394194 OS=Xenopus laevis OX=8355 GN=LOC121394195 PE=4 SV=1</t>
        </is>
      </c>
      <c r="M8645" t="n">
        <v>299</v>
      </c>
      <c r="N8645" t="inlineStr">
        <is>
          <t>Xenopus laevis</t>
        </is>
      </c>
      <c r="O8645" t="inlineStr">
        <is>
          <t>uncharacterized protein LOC121394194</t>
        </is>
      </c>
    </row>
    <row r="8646">
      <c r="A8646" t="inlineStr"/>
      <c r="B8646" t="inlineStr"/>
      <c r="C8646" t="inlineStr"/>
      <c r="D8646" t="inlineStr"/>
      <c r="E8646">
        <f>HYPERLINK("https://www.uniprot.org/uniprotkb/A0A8J1MEZ2/entry", "A0A8J1MEZ2")</f>
        <v/>
      </c>
      <c r="F8646" t="n">
        <v>35.6</v>
      </c>
      <c r="G8646" t="n">
        <v>101</v>
      </c>
      <c r="H8646" t="n">
        <v>1.42e-07</v>
      </c>
      <c r="I8646" t="inlineStr">
        <is>
          <t>TrEMBL</t>
        </is>
      </c>
      <c r="J8646" t="inlineStr">
        <is>
          <t>LOC121400642</t>
        </is>
      </c>
      <c r="K8646" t="inlineStr">
        <is>
          <t>A0A8J1MEZ2_XENLA</t>
        </is>
      </c>
      <c r="L8646" t="inlineStr">
        <is>
          <t>tr|A0A8J1MEZ2|A0A8J1MEZ2_XENLA uncharacterized protein LOC121400642 OS=Xenopus laevis OX=8355 GN=LOC121400642 PE=4 SV=1</t>
        </is>
      </c>
      <c r="M8646" t="n">
        <v>314</v>
      </c>
      <c r="N8646" t="inlineStr">
        <is>
          <t>Xenopus laevis</t>
        </is>
      </c>
      <c r="O8646" t="inlineStr">
        <is>
          <t>uncharacterized protein LOC121400642</t>
        </is>
      </c>
    </row>
    <row r="8647">
      <c r="A8647" t="inlineStr"/>
      <c r="B8647" t="inlineStr"/>
      <c r="C8647" t="inlineStr"/>
      <c r="D8647" t="inlineStr"/>
      <c r="E8647">
        <f>HYPERLINK("https://www.uniprot.org/uniprotkb/A0A8C5MKL4/entry", "A0A8C5MKL4")</f>
        <v/>
      </c>
      <c r="F8647" t="n">
        <v>33.8</v>
      </c>
      <c r="G8647" t="n">
        <v>133</v>
      </c>
      <c r="H8647" t="n">
        <v>1.77e-07</v>
      </c>
      <c r="I8647" t="inlineStr">
        <is>
          <t>TrEMBL</t>
        </is>
      </c>
      <c r="J8647" t="inlineStr"/>
      <c r="K8647" t="inlineStr">
        <is>
          <t>A0A8C5MKL4_9ANUR</t>
        </is>
      </c>
      <c r="L8647" t="inlineStr">
        <is>
          <t>tr|A0A8C5MKL4|A0A8C5MKL4_9ANUR RING-type domain-containing protein OS=Leptobrachium leishanense OX=445787 PE=4 SV=1</t>
        </is>
      </c>
      <c r="M8647" t="n">
        <v>273</v>
      </c>
      <c r="N8647" t="inlineStr">
        <is>
          <t>Leptobrachium leishanense</t>
        </is>
      </c>
      <c r="O8647" t="inlineStr">
        <is>
          <t>RING-type domain-containing protein</t>
        </is>
      </c>
    </row>
    <row r="8648">
      <c r="A8648" t="inlineStr"/>
      <c r="B8648" t="inlineStr"/>
      <c r="C8648" t="inlineStr"/>
      <c r="D8648" t="inlineStr"/>
      <c r="E8648">
        <f>HYPERLINK("https://www.uniprot.org/uniprotkb/A0A8C5LZ44/entry", "A0A8C5LZ44")</f>
        <v/>
      </c>
      <c r="F8648" t="n">
        <v>34.8</v>
      </c>
      <c r="G8648" t="n">
        <v>132</v>
      </c>
      <c r="H8648" t="n">
        <v>2e-07</v>
      </c>
      <c r="I8648" t="inlineStr">
        <is>
          <t>TrEMBL</t>
        </is>
      </c>
      <c r="J8648" t="inlineStr"/>
      <c r="K8648" t="inlineStr">
        <is>
          <t>A0A8C5LZ44_9ANUR</t>
        </is>
      </c>
      <c r="L8648" t="inlineStr">
        <is>
          <t>tr|A0A8C5LZ44|A0A8C5LZ44_9ANUR Reverse transcriptase domain-containing protein OS=Leptobrachium leishanense OX=445787 PE=4 SV=1</t>
        </is>
      </c>
      <c r="M8648" t="n">
        <v>563</v>
      </c>
      <c r="N8648" t="inlineStr">
        <is>
          <t>Leptobrachium leishanense</t>
        </is>
      </c>
      <c r="O8648" t="inlineStr">
        <is>
          <t>Reverse transcriptase domain-containing protein</t>
        </is>
      </c>
    </row>
    <row r="8649">
      <c r="A8649" t="inlineStr"/>
      <c r="B8649" t="inlineStr"/>
      <c r="C8649" t="inlineStr"/>
      <c r="D8649" t="inlineStr"/>
      <c r="E8649">
        <f>HYPERLINK("https://www.ncbi.nlm.nih.gov/gene/?term=XP_044141565.1", "XP_044141565.1")</f>
        <v/>
      </c>
      <c r="F8649" t="n">
        <v>35.6</v>
      </c>
      <c r="G8649" t="n">
        <v>118</v>
      </c>
      <c r="H8649" t="n">
        <v>2.2e-07</v>
      </c>
      <c r="I8649" t="inlineStr">
        <is>
          <t>Nr</t>
        </is>
      </c>
      <c r="J8649" t="inlineStr"/>
      <c r="K8649" t="inlineStr"/>
      <c r="L8649" t="inlineStr">
        <is>
          <t>XP_044141565.1 cytidine monophosphate-N-acetylneuraminic acid hydroxylase-like [Bufo gargarizans]</t>
        </is>
      </c>
      <c r="M8649" t="n">
        <v>1055</v>
      </c>
      <c r="N8649" t="inlineStr">
        <is>
          <t>Bufo gargarizans</t>
        </is>
      </c>
      <c r="O8649" t="inlineStr">
        <is>
          <t>cytidine monophosphate-N-acetylneuraminic acid hydroxylase-like</t>
        </is>
      </c>
    </row>
    <row r="8650">
      <c r="A8650" t="inlineStr"/>
      <c r="B8650" t="inlineStr"/>
      <c r="C8650" t="inlineStr"/>
      <c r="D8650" t="inlineStr"/>
      <c r="E8650">
        <f>HYPERLINK("https://www.uniprot.org/uniprotkb/A0A8C5PSG1/entry", "A0A8C5PSG1")</f>
        <v/>
      </c>
      <c r="F8650" t="n">
        <v>37.1</v>
      </c>
      <c r="G8650" t="n">
        <v>97</v>
      </c>
      <c r="H8650" t="n">
        <v>2.32e-07</v>
      </c>
      <c r="I8650" t="inlineStr">
        <is>
          <t>TrEMBL</t>
        </is>
      </c>
      <c r="J8650" t="inlineStr"/>
      <c r="K8650" t="inlineStr">
        <is>
          <t>A0A8C5PSG1_9ANUR</t>
        </is>
      </c>
      <c r="L8650" t="inlineStr">
        <is>
          <t>tr|A0A8C5PSG1|A0A8C5PSG1_9ANUR Vacuolar protein sorting-associated protein 33B OS=Leptobrachium leishanense OX=445787 PE=4 SV=1</t>
        </is>
      </c>
      <c r="M8650" t="n">
        <v>265</v>
      </c>
      <c r="N8650" t="inlineStr">
        <is>
          <t>Leptobrachium leishanense</t>
        </is>
      </c>
      <c r="O8650" t="inlineStr">
        <is>
          <t>Vacuolar protein sorting-associated protein 33B</t>
        </is>
      </c>
    </row>
    <row r="8651">
      <c r="A8651" t="inlineStr"/>
      <c r="B8651" t="inlineStr"/>
      <c r="C8651" t="inlineStr"/>
      <c r="D8651" t="inlineStr"/>
      <c r="E8651">
        <f>HYPERLINK("https://www.uniprot.org/uniprotkb/A0A8C5R1Q4/entry", "A0A8C5R1Q4")</f>
        <v/>
      </c>
      <c r="F8651" t="n">
        <v>33.1</v>
      </c>
      <c r="G8651" t="n">
        <v>121</v>
      </c>
      <c r="H8651" t="n">
        <v>2.72e-07</v>
      </c>
      <c r="I8651" t="inlineStr">
        <is>
          <t>TrEMBL</t>
        </is>
      </c>
      <c r="J8651" t="inlineStr"/>
      <c r="K8651" t="inlineStr">
        <is>
          <t>A0A8C5R1Q4_9ANUR</t>
        </is>
      </c>
      <c r="L8651" t="inlineStr">
        <is>
          <t>tr|A0A8C5R1Q4|A0A8C5R1Q4_9ANUR Reverse transcriptase domain-containing protein OS=Leptobrachium leishanense OX=445787 PE=4 SV=1</t>
        </is>
      </c>
      <c r="M8651" t="n">
        <v>564</v>
      </c>
      <c r="N8651" t="inlineStr">
        <is>
          <t>Leptobrachium leishanense</t>
        </is>
      </c>
      <c r="O8651" t="inlineStr">
        <is>
          <t>Reverse transcriptase domain-containing protein</t>
        </is>
      </c>
    </row>
    <row r="8652">
      <c r="A8652" t="inlineStr"/>
      <c r="B8652" t="inlineStr"/>
      <c r="C8652" t="inlineStr"/>
      <c r="D8652" t="inlineStr"/>
      <c r="E8652">
        <f>HYPERLINK("https://www.uniprot.org/uniprotkb/A0A8C5MP19/entry", "A0A8C5MP19")</f>
        <v/>
      </c>
      <c r="F8652" t="n">
        <v>35.5</v>
      </c>
      <c r="G8652" t="n">
        <v>107</v>
      </c>
      <c r="H8652" t="n">
        <v>5.24e-07</v>
      </c>
      <c r="I8652" t="inlineStr">
        <is>
          <t>TrEMBL</t>
        </is>
      </c>
      <c r="J8652" t="inlineStr"/>
      <c r="K8652" t="inlineStr">
        <is>
          <t>A0A8C5MP19_9ANUR</t>
        </is>
      </c>
      <c r="L8652" t="inlineStr">
        <is>
          <t>tr|A0A8C5MP19|A0A8C5MP19_9ANUR Reverse transcriptase domain-containing protein OS=Leptobrachium leishanense OX=445787 PE=4 SV=1</t>
        </is>
      </c>
      <c r="M8652" t="n">
        <v>729</v>
      </c>
      <c r="N8652" t="inlineStr">
        <is>
          <t>Leptobrachium leishanense</t>
        </is>
      </c>
      <c r="O8652" t="inlineStr">
        <is>
          <t>Reverse transcriptase domain-containing protein</t>
        </is>
      </c>
    </row>
    <row r="8653">
      <c r="A8653" t="inlineStr"/>
      <c r="B8653" t="inlineStr"/>
      <c r="C8653" t="inlineStr"/>
      <c r="D8653" t="inlineStr"/>
      <c r="E8653">
        <f>HYPERLINK("https://www.uniprot.org/uniprotkb/A0A8C5LSF6/entry", "A0A8C5LSF6")</f>
        <v/>
      </c>
      <c r="F8653" t="n">
        <v>34.6</v>
      </c>
      <c r="G8653" t="n">
        <v>107</v>
      </c>
      <c r="H8653" t="n">
        <v>1.68e-06</v>
      </c>
      <c r="I8653" t="inlineStr">
        <is>
          <t>TrEMBL</t>
        </is>
      </c>
      <c r="J8653" t="inlineStr"/>
      <c r="K8653" t="inlineStr">
        <is>
          <t>A0A8C5LSF6_9ANUR</t>
        </is>
      </c>
      <c r="L8653" t="inlineStr">
        <is>
          <t>tr|A0A8C5LSF6|A0A8C5LSF6_9ANUR Reverse transcriptase domain-containing protein OS=Leptobrachium leishanense OX=445787 PE=4 SV=1</t>
        </is>
      </c>
      <c r="M8653" t="n">
        <v>482</v>
      </c>
      <c r="N8653" t="inlineStr">
        <is>
          <t>Leptobrachium leishanense</t>
        </is>
      </c>
      <c r="O8653" t="inlineStr">
        <is>
          <t>Reverse transcriptase domain-containing protein</t>
        </is>
      </c>
    </row>
    <row r="8654">
      <c r="A8654" t="inlineStr"/>
      <c r="B8654" t="inlineStr"/>
      <c r="C8654" t="inlineStr"/>
      <c r="D8654" t="inlineStr"/>
      <c r="E8654">
        <f>HYPERLINK("https://www.uniprot.org/uniprotkb/A0A8C5Q3U2/entry", "A0A8C5Q3U2")</f>
        <v/>
      </c>
      <c r="F8654" t="n">
        <v>37.4</v>
      </c>
      <c r="G8654" t="n">
        <v>99</v>
      </c>
      <c r="H8654" t="n">
        <v>1.96e-06</v>
      </c>
      <c r="I8654" t="inlineStr">
        <is>
          <t>TrEMBL</t>
        </is>
      </c>
      <c r="J8654" t="inlineStr"/>
      <c r="K8654" t="inlineStr">
        <is>
          <t>A0A8C5Q3U2_9ANUR</t>
        </is>
      </c>
      <c r="L8654" t="inlineStr">
        <is>
          <t>tr|A0A8C5Q3U2|A0A8C5Q3U2_9ANUR Reverse transcriptase domain-containing protein OS=Leptobrachium leishanense OX=445787 PE=4 SV=1</t>
        </is>
      </c>
      <c r="M8654" t="n">
        <v>322</v>
      </c>
      <c r="N8654" t="inlineStr">
        <is>
          <t>Leptobrachium leishanense</t>
        </is>
      </c>
      <c r="O8654" t="inlineStr">
        <is>
          <t>Reverse transcriptase domain-containing protein</t>
        </is>
      </c>
    </row>
    <row r="8655">
      <c r="A8655" t="inlineStr"/>
      <c r="B8655" t="inlineStr"/>
      <c r="C8655" t="inlineStr"/>
      <c r="D8655" t="inlineStr"/>
      <c r="E8655">
        <f>HYPERLINK("https://www.uniprot.org/uniprotkb/A0A8C5QCQ3/entry", "A0A8C5QCQ3")</f>
        <v/>
      </c>
      <c r="F8655" t="n">
        <v>35.1</v>
      </c>
      <c r="G8655" t="n">
        <v>114</v>
      </c>
      <c r="H8655" t="n">
        <v>2.19e-06</v>
      </c>
      <c r="I8655" t="inlineStr">
        <is>
          <t>TrEMBL</t>
        </is>
      </c>
      <c r="J8655" t="inlineStr"/>
      <c r="K8655" t="inlineStr">
        <is>
          <t>A0A8C5QCQ3_9ANUR</t>
        </is>
      </c>
      <c r="L8655" t="inlineStr">
        <is>
          <t>tr|A0A8C5QCQ3|A0A8C5QCQ3_9ANUR Reverse transcriptase domain-containing protein OS=Leptobrachium leishanense OX=445787 PE=4 SV=1</t>
        </is>
      </c>
      <c r="M8655" t="n">
        <v>404</v>
      </c>
      <c r="N8655" t="inlineStr">
        <is>
          <t>Leptobrachium leishanense</t>
        </is>
      </c>
      <c r="O8655" t="inlineStr">
        <is>
          <t>Reverse transcriptase domain-containing protein</t>
        </is>
      </c>
    </row>
    <row r="8656">
      <c r="A8656" t="inlineStr"/>
      <c r="B8656" t="inlineStr"/>
      <c r="C8656" t="inlineStr"/>
      <c r="D8656" t="inlineStr"/>
      <c r="E8656">
        <f>HYPERLINK("https://www.ncbi.nlm.nih.gov/gene/?term=XP_040191613.1", "XP_040191613.1")</f>
        <v/>
      </c>
      <c r="F8656" t="n">
        <v>42.5</v>
      </c>
      <c r="G8656" t="n">
        <v>80</v>
      </c>
      <c r="H8656" t="n">
        <v>3.39e-06</v>
      </c>
      <c r="I8656" t="inlineStr">
        <is>
          <t>Nr</t>
        </is>
      </c>
      <c r="J8656" t="inlineStr"/>
      <c r="K8656" t="inlineStr"/>
      <c r="L8656" t="inlineStr">
        <is>
          <t>XP_040191613.1 uncharacterized protein LOC120924680 [Rana temporaria]</t>
        </is>
      </c>
      <c r="M8656" t="n">
        <v>735</v>
      </c>
      <c r="N8656" t="inlineStr">
        <is>
          <t>Rana temporaria</t>
        </is>
      </c>
      <c r="O8656" t="inlineStr">
        <is>
          <t>uncharacterized protein LOC120924680</t>
        </is>
      </c>
    </row>
    <row r="8657">
      <c r="A8657" t="inlineStr"/>
      <c r="B8657" t="inlineStr"/>
      <c r="C8657" t="inlineStr"/>
      <c r="D8657" t="inlineStr"/>
      <c r="E8657">
        <f>HYPERLINK("https://www.ncbi.nlm.nih.gov/gene/?term=XP_040196440.1", "XP_040196440.1")</f>
        <v/>
      </c>
      <c r="F8657" t="n">
        <v>27.9</v>
      </c>
      <c r="G8657" t="n">
        <v>140</v>
      </c>
      <c r="H8657" t="n">
        <v>3.4e-06</v>
      </c>
      <c r="I8657" t="inlineStr">
        <is>
          <t>Nr</t>
        </is>
      </c>
      <c r="J8657" t="inlineStr"/>
      <c r="K8657" t="inlineStr"/>
      <c r="L8657" t="inlineStr">
        <is>
          <t>XP_040196440.1 uncharacterized protein LOC120929221 [Rana temporaria]</t>
        </is>
      </c>
      <c r="M8657" t="n">
        <v>742</v>
      </c>
      <c r="N8657" t="inlineStr">
        <is>
          <t>Rana temporaria</t>
        </is>
      </c>
      <c r="O8657" t="inlineStr">
        <is>
          <t>uncharacterized protein LOC120929221</t>
        </is>
      </c>
    </row>
    <row r="8658">
      <c r="A8658" t="inlineStr"/>
      <c r="B8658" t="inlineStr"/>
      <c r="C8658" t="inlineStr"/>
      <c r="D8658" t="inlineStr"/>
      <c r="E8658">
        <f>HYPERLINK("https://www.ncbi.nlm.nih.gov/gene/?term=XP_044155331.1", "XP_044155331.1")</f>
        <v/>
      </c>
      <c r="F8658" t="n">
        <v>39.1</v>
      </c>
      <c r="G8658" t="n">
        <v>92</v>
      </c>
      <c r="H8658" t="n">
        <v>4.88e-06</v>
      </c>
      <c r="I8658" t="inlineStr">
        <is>
          <t>Nr</t>
        </is>
      </c>
      <c r="J8658" t="inlineStr"/>
      <c r="K8658" t="inlineStr"/>
      <c r="L8658" t="inlineStr">
        <is>
          <t>XP_044155331.1 zinc finger protein 841-like [Bufo gargarizans]</t>
        </is>
      </c>
      <c r="M8658" t="n">
        <v>1319</v>
      </c>
      <c r="N8658" t="inlineStr">
        <is>
          <t>Bufo gargarizans</t>
        </is>
      </c>
      <c r="O8658" t="inlineStr">
        <is>
          <t>zinc finger protein 841-like</t>
        </is>
      </c>
    </row>
    <row r="8659">
      <c r="A8659" t="inlineStr"/>
      <c r="B8659" t="inlineStr"/>
      <c r="C8659" t="inlineStr"/>
      <c r="D8659" t="inlineStr"/>
      <c r="E8659">
        <f>HYPERLINK("https://www.uniprot.org/uniprotkb/A0A8C5PXJ3/entry", "A0A8C5PXJ3")</f>
        <v/>
      </c>
      <c r="F8659" t="n">
        <v>37.9</v>
      </c>
      <c r="G8659" t="n">
        <v>103</v>
      </c>
      <c r="H8659" t="n">
        <v>7.12e-06</v>
      </c>
      <c r="I8659" t="inlineStr">
        <is>
          <t>TrEMBL</t>
        </is>
      </c>
      <c r="J8659" t="inlineStr"/>
      <c r="K8659" t="inlineStr">
        <is>
          <t>A0A8C5PXJ3_9ANUR</t>
        </is>
      </c>
      <c r="L8659" t="inlineStr">
        <is>
          <t>tr|A0A8C5PXJ3|A0A8C5PXJ3_9ANUR ATP-grasp domain-containing protein OS=Leptobrachium leishanense OX=445787 PE=4 SV=1</t>
        </is>
      </c>
      <c r="M8659" t="n">
        <v>349</v>
      </c>
      <c r="N8659" t="inlineStr">
        <is>
          <t>Leptobrachium leishanense</t>
        </is>
      </c>
      <c r="O8659" t="inlineStr">
        <is>
          <t>ATP-grasp domain-containing protein</t>
        </is>
      </c>
    </row>
    <row r="8660">
      <c r="A8660" t="inlineStr"/>
      <c r="B8660" t="inlineStr"/>
      <c r="C8660" t="inlineStr"/>
      <c r="D8660" t="inlineStr"/>
      <c r="E8660">
        <f>HYPERLINK("https://www.uniprot.org/uniprotkb/A0A803J6A3/entry", "A0A803J6A3")</f>
        <v/>
      </c>
      <c r="F8660" t="n">
        <v>32.6</v>
      </c>
      <c r="G8660" t="n">
        <v>129</v>
      </c>
      <c r="H8660" t="n">
        <v>7.37e-06</v>
      </c>
      <c r="I8660" t="inlineStr">
        <is>
          <t>TrEMBL</t>
        </is>
      </c>
      <c r="J8660" t="inlineStr"/>
      <c r="K8660" t="inlineStr">
        <is>
          <t>A0A803J6A3_XENTR</t>
        </is>
      </c>
      <c r="L8660" t="inlineStr">
        <is>
          <t>tr|A0A803J6A3|A0A803J6A3_XENTR Chloride intracellular channel protein OS=Xenopus tropicalis OX=8364 PE=4 SV=1</t>
        </is>
      </c>
      <c r="M8660" t="n">
        <v>215</v>
      </c>
      <c r="N8660" t="inlineStr">
        <is>
          <t>Xenopus tropicalis</t>
        </is>
      </c>
      <c r="O8660" t="inlineStr">
        <is>
          <t>Chloride intracellular channel protein</t>
        </is>
      </c>
    </row>
    <row r="8661">
      <c r="A8661" t="inlineStr"/>
      <c r="B8661" t="inlineStr"/>
      <c r="C8661" t="inlineStr"/>
      <c r="D8661" t="inlineStr"/>
      <c r="E8661">
        <f>HYPERLINK("https://www.uniprot.org/uniprotkb/A0A8C5MZ48/entry", "A0A8C5MZ48")</f>
        <v/>
      </c>
      <c r="F8661" t="n">
        <v>37.9</v>
      </c>
      <c r="G8661" t="n">
        <v>103</v>
      </c>
      <c r="H8661" t="n">
        <v>7.52e-06</v>
      </c>
      <c r="I8661" t="inlineStr">
        <is>
          <t>TrEMBL</t>
        </is>
      </c>
      <c r="J8661" t="inlineStr"/>
      <c r="K8661" t="inlineStr">
        <is>
          <t>A0A8C5MZ48_9ANUR</t>
        </is>
      </c>
      <c r="L8661" t="inlineStr">
        <is>
          <t>tr|A0A8C5MZ48|A0A8C5MZ48_9ANUR Reverse transcriptase domain-containing protein OS=Leptobrachium leishanense OX=445787 PE=4 SV=1</t>
        </is>
      </c>
      <c r="M8661" t="n">
        <v>406</v>
      </c>
      <c r="N8661" t="inlineStr">
        <is>
          <t>Leptobrachium leishanense</t>
        </is>
      </c>
      <c r="O8661" t="inlineStr">
        <is>
          <t>Reverse transcriptase domain-containing protein</t>
        </is>
      </c>
    </row>
    <row r="8662">
      <c r="A8662" t="inlineStr"/>
      <c r="B8662" t="inlineStr"/>
      <c r="C8662" t="inlineStr"/>
      <c r="D8662" t="inlineStr"/>
      <c r="E8662">
        <f>HYPERLINK("https://www.uniprot.org/uniprotkb/A0A8C5LU68/entry", "A0A8C5LU68")</f>
        <v/>
      </c>
      <c r="F8662" t="n">
        <v>37.9</v>
      </c>
      <c r="G8662" t="n">
        <v>103</v>
      </c>
      <c r="H8662" t="n">
        <v>7.79e-06</v>
      </c>
      <c r="I8662" t="inlineStr">
        <is>
          <t>TrEMBL</t>
        </is>
      </c>
      <c r="J8662" t="inlineStr"/>
      <c r="K8662" t="inlineStr">
        <is>
          <t>A0A8C5LU68_9ANUR</t>
        </is>
      </c>
      <c r="L8662" t="inlineStr">
        <is>
          <t>tr|A0A8C5LU68|A0A8C5LU68_9ANUR Reverse transcriptase domain-containing protein OS=Leptobrachium leishanense OX=445787 PE=4 SV=1</t>
        </is>
      </c>
      <c r="M8662" t="n">
        <v>469</v>
      </c>
      <c r="N8662" t="inlineStr">
        <is>
          <t>Leptobrachium leishanense</t>
        </is>
      </c>
      <c r="O8662" t="inlineStr">
        <is>
          <t>Reverse transcriptase domain-containing protein</t>
        </is>
      </c>
    </row>
    <row r="8663">
      <c r="A8663" t="inlineStr"/>
      <c r="B8663" t="inlineStr"/>
      <c r="C8663" t="inlineStr"/>
      <c r="D8663" t="inlineStr"/>
      <c r="E8663">
        <f>HYPERLINK("https://www.ncbi.nlm.nih.gov/gene/?term=CAG2218430.1", "CAG2218430.1")</f>
        <v/>
      </c>
      <c r="F8663" t="n">
        <v>33.3</v>
      </c>
      <c r="G8663" t="n">
        <v>99</v>
      </c>
      <c r="H8663" t="n">
        <v>0.000245</v>
      </c>
      <c r="I8663" t="inlineStr">
        <is>
          <t>Nr</t>
        </is>
      </c>
      <c r="J8663" t="inlineStr"/>
      <c r="K8663" t="inlineStr"/>
      <c r="L8663" t="inlineStr">
        <is>
          <t>CAG2218430.1 unnamed protein product [Mytilus edulis]</t>
        </is>
      </c>
      <c r="M8663" t="n">
        <v>592</v>
      </c>
      <c r="N8663" t="inlineStr">
        <is>
          <t>Mytilus edulis</t>
        </is>
      </c>
      <c r="O8663" t="inlineStr">
        <is>
          <t>unnamed protein product</t>
        </is>
      </c>
    </row>
    <row r="8664">
      <c r="A8664" t="inlineStr"/>
      <c r="B8664" t="inlineStr"/>
      <c r="C8664" t="inlineStr"/>
      <c r="D8664" t="inlineStr"/>
      <c r="E8664">
        <f>HYPERLINK("https://www.ncbi.nlm.nih.gov/gene/?term=GFO26034.1", "GFO26034.1")</f>
        <v/>
      </c>
      <c r="F8664" t="n">
        <v>33</v>
      </c>
      <c r="G8664" t="n">
        <v>94</v>
      </c>
      <c r="H8664" t="n">
        <v>0.000397</v>
      </c>
      <c r="I8664" t="inlineStr">
        <is>
          <t>Nr</t>
        </is>
      </c>
      <c r="J8664" t="inlineStr"/>
      <c r="K8664" t="inlineStr"/>
      <c r="L8664" t="inlineStr">
        <is>
          <t>GFO26034.1 hypothetical protein PoB_005253900 [Plakobranchus ocellatus]</t>
        </is>
      </c>
      <c r="M8664" t="n">
        <v>236</v>
      </c>
      <c r="N8664" t="inlineStr">
        <is>
          <t>Plakobranchus ocellatus</t>
        </is>
      </c>
      <c r="O8664" t="inlineStr">
        <is>
          <t>hypothetical protein PoB_005253900</t>
        </is>
      </c>
    </row>
    <row r="8665">
      <c r="A8665" t="inlineStr"/>
      <c r="B8665" t="inlineStr"/>
      <c r="C8665" t="inlineStr"/>
      <c r="D8665" t="inlineStr"/>
      <c r="E8665">
        <f>HYPERLINK("https://www.ncbi.nlm.nih.gov/gene/?term=XP_033099755.1", "XP_033099755.1")</f>
        <v/>
      </c>
      <c r="F8665" t="n">
        <v>37.8</v>
      </c>
      <c r="G8665" t="n">
        <v>90</v>
      </c>
      <c r="H8665" t="n">
        <v>0.000411</v>
      </c>
      <c r="I8665" t="inlineStr">
        <is>
          <t>Nr</t>
        </is>
      </c>
      <c r="J8665" t="inlineStr"/>
      <c r="K8665" t="inlineStr"/>
      <c r="L8665" t="inlineStr">
        <is>
          <t>XP_033099755.1 uncharacterized protein LOC117103324, partial [Anneissia japonica]</t>
        </is>
      </c>
      <c r="M8665" t="n">
        <v>377</v>
      </c>
      <c r="N8665" t="inlineStr">
        <is>
          <t>Anneissia japonica</t>
        </is>
      </c>
      <c r="O8665" t="inlineStr">
        <is>
          <t>uncharacterized protein LOC117103324, partial</t>
        </is>
      </c>
    </row>
    <row r="8666">
      <c r="A8666" t="inlineStr"/>
      <c r="B8666" t="inlineStr"/>
      <c r="C8666" t="inlineStr"/>
      <c r="D8666" t="inlineStr"/>
      <c r="E8666">
        <f>HYPERLINK("https://www.ncbi.nlm.nih.gov/gene/?term=XP_040179872.1", "XP_040179872.1")</f>
        <v/>
      </c>
      <c r="F8666" t="n">
        <v>35.6</v>
      </c>
      <c r="G8666" t="n">
        <v>90</v>
      </c>
      <c r="H8666" t="n">
        <v>0.000469</v>
      </c>
      <c r="I8666" t="inlineStr">
        <is>
          <t>Nr</t>
        </is>
      </c>
      <c r="J8666" t="inlineStr"/>
      <c r="K8666" t="inlineStr"/>
      <c r="L8666" t="inlineStr">
        <is>
          <t>XP_040179872.1 uncharacterized protein LOC120913749 [Rana temporaria]</t>
        </is>
      </c>
      <c r="M8666" t="n">
        <v>761</v>
      </c>
      <c r="N8666" t="inlineStr">
        <is>
          <t>Rana temporaria</t>
        </is>
      </c>
      <c r="O8666" t="inlineStr">
        <is>
          <t>uncharacterized protein LOC120913749</t>
        </is>
      </c>
    </row>
    <row r="8667">
      <c r="A8667" t="inlineStr">
        <is>
          <t>NODE_6408_length_7203_cov_189.503223_g1062_i2</t>
        </is>
      </c>
      <c r="B8667" t="inlineStr">
        <is>
          <t>bombina_pachypus_blastx</t>
        </is>
      </c>
      <c r="C8667" t="n">
        <v>-3.55492632859212</v>
      </c>
      <c r="D8667" t="n">
        <v>8.936351271708211e-06</v>
      </c>
      <c r="E8667">
        <f>HYPERLINK("https://www.ncbi.nlm.nih.gov/gene/?term=XP_044153569.1", "XP_044153569.1")</f>
        <v/>
      </c>
      <c r="F8667" t="n">
        <v>65.7</v>
      </c>
      <c r="G8667" t="n">
        <v>472</v>
      </c>
      <c r="H8667" t="n">
        <v>2.45e-168</v>
      </c>
      <c r="I8667" t="inlineStr">
        <is>
          <t>Nr</t>
        </is>
      </c>
      <c r="J8667" t="inlineStr"/>
      <c r="K8667" t="inlineStr"/>
      <c r="L8667" t="inlineStr">
        <is>
          <t>XP_044153569.1 cilia- and flagella-associated protein 97 isoform X2 [Bufo gargarizans]</t>
        </is>
      </c>
      <c r="M8667" t="n">
        <v>466</v>
      </c>
      <c r="N8667" t="inlineStr">
        <is>
          <t>Bufo gargarizans</t>
        </is>
      </c>
      <c r="O8667" t="inlineStr">
        <is>
          <t>cilia- and flagella-associated protein 97 isoform X2</t>
        </is>
      </c>
    </row>
    <row r="8668">
      <c r="A8668" t="inlineStr"/>
      <c r="B8668" t="inlineStr"/>
      <c r="C8668" t="inlineStr"/>
      <c r="D8668" t="inlineStr"/>
      <c r="E8668">
        <f>HYPERLINK("https://www.ncbi.nlm.nih.gov/gene/?term=KAE8629782.1", "KAE8629782.1")</f>
        <v/>
      </c>
      <c r="F8668" t="n">
        <v>67.09999999999999</v>
      </c>
      <c r="G8668" t="n">
        <v>434</v>
      </c>
      <c r="H8668" t="n">
        <v>7.32e-166</v>
      </c>
      <c r="I8668" t="inlineStr">
        <is>
          <t>Nr</t>
        </is>
      </c>
      <c r="J8668" t="inlineStr"/>
      <c r="K8668" t="inlineStr"/>
      <c r="L8668" t="inlineStr">
        <is>
          <t>KAE8629782.1 hypothetical protein XENTR_v10000591 [Xenopus tropicalis]</t>
        </is>
      </c>
      <c r="M8668" t="n">
        <v>439</v>
      </c>
      <c r="N8668" t="inlineStr">
        <is>
          <t>Xenopus tropicalis</t>
        </is>
      </c>
      <c r="O8668" t="inlineStr">
        <is>
          <t>hypothetical protein XENTR_v10000591</t>
        </is>
      </c>
    </row>
    <row r="8669">
      <c r="A8669" t="inlineStr"/>
      <c r="B8669" t="inlineStr"/>
      <c r="C8669" t="inlineStr"/>
      <c r="D8669" t="inlineStr"/>
      <c r="E8669">
        <f>HYPERLINK("https://www.ncbi.nlm.nih.gov/gene/?term=XP_044153559.1", "XP_044153559.1")</f>
        <v/>
      </c>
      <c r="F8669" t="n">
        <v>64.90000000000001</v>
      </c>
      <c r="G8669" t="n">
        <v>478</v>
      </c>
      <c r="H8669" t="n">
        <v>1.14e-165</v>
      </c>
      <c r="I8669" t="inlineStr">
        <is>
          <t>Nr</t>
        </is>
      </c>
      <c r="J8669" t="inlineStr"/>
      <c r="K8669" t="inlineStr"/>
      <c r="L8669" t="inlineStr">
        <is>
          <t>XP_044153559.1 cilia- and flagella-associated protein 97 isoform X1 [Bufo gargarizans]</t>
        </is>
      </c>
      <c r="M8669" t="n">
        <v>472</v>
      </c>
      <c r="N8669" t="inlineStr">
        <is>
          <t>Bufo gargarizans</t>
        </is>
      </c>
      <c r="O8669" t="inlineStr">
        <is>
          <t>cilia- and flagella-associated protein 97 isoform X1</t>
        </is>
      </c>
    </row>
    <row r="8670">
      <c r="A8670" t="inlineStr"/>
      <c r="B8670" t="inlineStr"/>
      <c r="C8670" t="inlineStr"/>
      <c r="D8670" t="inlineStr"/>
      <c r="E8670">
        <f>HYPERLINK("https://www.uniprot.org/uniprotkb/A4IJ15/entry", "A4IJ15")</f>
        <v/>
      </c>
      <c r="F8670" t="n">
        <v>66.5</v>
      </c>
      <c r="G8670" t="n">
        <v>427</v>
      </c>
      <c r="H8670" t="n">
        <v>3.33e-164</v>
      </c>
      <c r="I8670" t="inlineStr">
        <is>
          <t>Swiss-Prot</t>
        </is>
      </c>
      <c r="J8670" t="inlineStr">
        <is>
          <t>cfap97</t>
        </is>
      </c>
      <c r="K8670" t="inlineStr">
        <is>
          <t>CFA97_XENTR</t>
        </is>
      </c>
      <c r="L8670" t="inlineStr">
        <is>
          <t>sp|A4IJ15|CFA97_XENTR Cilia- and flagella-associated protein 97 OS=Xenopus tropicalis OX=8364 GN=cfap97 PE=2 SV=1</t>
        </is>
      </c>
      <c r="M8670" t="n">
        <v>467</v>
      </c>
      <c r="N8670" t="inlineStr">
        <is>
          <t>Xenopus tropicalis</t>
        </is>
      </c>
      <c r="O8670" t="inlineStr">
        <is>
          <t>Cilia- and flagella-associated protein 97</t>
        </is>
      </c>
    </row>
    <row r="8671">
      <c r="A8671" t="inlineStr"/>
      <c r="B8671" t="inlineStr"/>
      <c r="C8671" t="inlineStr"/>
      <c r="D8671" t="inlineStr"/>
      <c r="E8671">
        <f>HYPERLINK("https://www.uniprot.org/uniprotkb/A0A1L8HTZ9/entry", "A0A1L8HTZ9")</f>
        <v/>
      </c>
      <c r="F8671" t="n">
        <v>66.7</v>
      </c>
      <c r="G8671" t="n">
        <v>429</v>
      </c>
      <c r="H8671" t="n">
        <v>1.61e-162</v>
      </c>
      <c r="I8671" t="inlineStr">
        <is>
          <t>TrEMBL</t>
        </is>
      </c>
      <c r="J8671" t="inlineStr">
        <is>
          <t>cfap97.L</t>
        </is>
      </c>
      <c r="K8671" t="inlineStr">
        <is>
          <t>A0A1L8HTZ9_XENLA</t>
        </is>
      </c>
      <c r="L8671" t="inlineStr">
        <is>
          <t>tr|A0A1L8HTZ9|A0A1L8HTZ9_XENLA Cilia- and flagella-associated protein 97 OS=Xenopus laevis OX=8355 GN=cfap97.L PE=3 SV=1</t>
        </is>
      </c>
      <c r="M8671" t="n">
        <v>467</v>
      </c>
      <c r="N8671" t="inlineStr">
        <is>
          <t>Xenopus laevis</t>
        </is>
      </c>
      <c r="O8671" t="inlineStr">
        <is>
          <t>Cilia- and flagella-associated protein 97</t>
        </is>
      </c>
    </row>
    <row r="8672">
      <c r="A8672" t="inlineStr"/>
      <c r="B8672" t="inlineStr"/>
      <c r="C8672" t="inlineStr"/>
      <c r="D8672" t="inlineStr"/>
      <c r="E8672">
        <f>HYPERLINK("https://www.ncbi.nlm.nih.gov/gene/?term=XP_018085903.1", "XP_018085903.1")</f>
        <v/>
      </c>
      <c r="F8672" t="n">
        <v>66.7</v>
      </c>
      <c r="G8672" t="n">
        <v>429</v>
      </c>
      <c r="H8672" t="n">
        <v>4.14e-162</v>
      </c>
      <c r="I8672" t="inlineStr">
        <is>
          <t>Nr</t>
        </is>
      </c>
      <c r="J8672" t="inlineStr"/>
      <c r="K8672" t="inlineStr"/>
      <c r="L8672" t="inlineStr">
        <is>
          <t>XP_018085903.1 cilia- and flagella-associated protein 97 [Xenopus laevis]</t>
        </is>
      </c>
      <c r="M8672" t="n">
        <v>467</v>
      </c>
      <c r="N8672" t="inlineStr">
        <is>
          <t>Xenopus laevis</t>
        </is>
      </c>
      <c r="O8672" t="inlineStr">
        <is>
          <t>cilia- and flagella-associated protein 97</t>
        </is>
      </c>
    </row>
    <row r="8673">
      <c r="A8673" t="inlineStr"/>
      <c r="B8673" t="inlineStr"/>
      <c r="C8673" t="inlineStr"/>
      <c r="D8673" t="inlineStr"/>
      <c r="E8673">
        <f>HYPERLINK("https://www.ncbi.nlm.nih.gov/gene/?term=XP_040274677.1", "XP_040274677.1")</f>
        <v/>
      </c>
      <c r="F8673" t="n">
        <v>63.1</v>
      </c>
      <c r="G8673" t="n">
        <v>471</v>
      </c>
      <c r="H8673" t="n">
        <v>8.05e-162</v>
      </c>
      <c r="I8673" t="inlineStr">
        <is>
          <t>Nr</t>
        </is>
      </c>
      <c r="J8673" t="inlineStr"/>
      <c r="K8673" t="inlineStr"/>
      <c r="L8673" t="inlineStr">
        <is>
          <t>XP_040274677.1 cilia- and flagella-associated protein 97 isoform X2 [Bufo bufo]</t>
        </is>
      </c>
      <c r="M8673" t="n">
        <v>466</v>
      </c>
      <c r="N8673" t="inlineStr">
        <is>
          <t>Bufo bufo</t>
        </is>
      </c>
      <c r="O8673" t="inlineStr">
        <is>
          <t>cilia- and flagella-associated protein 97 isoform X2</t>
        </is>
      </c>
    </row>
    <row r="8674">
      <c r="A8674" t="inlineStr"/>
      <c r="B8674" t="inlineStr"/>
      <c r="C8674" t="inlineStr"/>
      <c r="D8674" t="inlineStr"/>
      <c r="E8674">
        <f>HYPERLINK("https://www.ncbi.nlm.nih.gov/gene/?term=NP_001096211.1", "NP_001096211.1")</f>
        <v/>
      </c>
      <c r="F8674" t="n">
        <v>66.5</v>
      </c>
      <c r="G8674" t="n">
        <v>427</v>
      </c>
      <c r="H8674" t="n">
        <v>3.36e-161</v>
      </c>
      <c r="I8674" t="inlineStr">
        <is>
          <t>Nr</t>
        </is>
      </c>
      <c r="J8674" t="inlineStr"/>
      <c r="K8674" t="inlineStr"/>
      <c r="L8674" t="inlineStr">
        <is>
          <t>NP_001096211.1 cilia- and flagella-associated protein 97 [Xenopus tropicalis]</t>
        </is>
      </c>
      <c r="M8674" t="n">
        <v>467</v>
      </c>
      <c r="N8674" t="inlineStr">
        <is>
          <t>Xenopus tropicalis</t>
        </is>
      </c>
      <c r="O8674" t="inlineStr">
        <is>
          <t>cilia- and flagella-associated protein 97</t>
        </is>
      </c>
    </row>
    <row r="8675">
      <c r="A8675" t="inlineStr"/>
      <c r="B8675" t="inlineStr"/>
      <c r="C8675" t="inlineStr"/>
      <c r="D8675" t="inlineStr"/>
      <c r="E8675">
        <f>HYPERLINK("https://www.ncbi.nlm.nih.gov/gene/?term=XP_040274676.1", "XP_040274676.1")</f>
        <v/>
      </c>
      <c r="F8675" t="n">
        <v>62.3</v>
      </c>
      <c r="G8675" t="n">
        <v>477</v>
      </c>
      <c r="H8675" t="n">
        <v>3.71e-159</v>
      </c>
      <c r="I8675" t="inlineStr">
        <is>
          <t>Nr</t>
        </is>
      </c>
      <c r="J8675" t="inlineStr"/>
      <c r="K8675" t="inlineStr"/>
      <c r="L8675" t="inlineStr">
        <is>
          <t>XP_040274676.1 cilia- and flagella-associated protein 97 isoform X1 [Bufo bufo]</t>
        </is>
      </c>
      <c r="M8675" t="n">
        <v>472</v>
      </c>
      <c r="N8675" t="inlineStr">
        <is>
          <t>Bufo bufo</t>
        </is>
      </c>
      <c r="O8675" t="inlineStr">
        <is>
          <t>cilia- and flagella-associated protein 97 isoform X1</t>
        </is>
      </c>
    </row>
    <row r="8676">
      <c r="A8676" t="inlineStr"/>
      <c r="B8676" t="inlineStr"/>
      <c r="C8676" t="inlineStr"/>
      <c r="D8676" t="inlineStr"/>
      <c r="E8676">
        <f>HYPERLINK("https://www.uniprot.org/uniprotkb/F6TSJ8/entry", "F6TSJ8")</f>
        <v/>
      </c>
      <c r="F8676" t="n">
        <v>65.59999999999999</v>
      </c>
      <c r="G8676" t="n">
        <v>433</v>
      </c>
      <c r="H8676" t="n">
        <v>6.03e-159</v>
      </c>
      <c r="I8676" t="inlineStr">
        <is>
          <t>TrEMBL</t>
        </is>
      </c>
      <c r="J8676" t="inlineStr">
        <is>
          <t>cfap97</t>
        </is>
      </c>
      <c r="K8676" t="inlineStr">
        <is>
          <t>F6TSJ8_XENTR</t>
        </is>
      </c>
      <c r="L8676" t="inlineStr">
        <is>
          <t>tr|F6TSJ8|F6TSJ8_XENTR Cilia- and flagella-associated protein 97 OS=Xenopus tropicalis OX=8364 GN=cfap97 PE=3 SV=4</t>
        </is>
      </c>
      <c r="M8676" t="n">
        <v>473</v>
      </c>
      <c r="N8676" t="inlineStr">
        <is>
          <t>Xenopus tropicalis</t>
        </is>
      </c>
      <c r="O8676" t="inlineStr">
        <is>
          <t>Cilia- and flagella-associated protein 97</t>
        </is>
      </c>
    </row>
    <row r="8677">
      <c r="A8677" t="inlineStr"/>
      <c r="B8677" t="inlineStr"/>
      <c r="C8677" t="inlineStr"/>
      <c r="D8677" t="inlineStr"/>
      <c r="E8677">
        <f>HYPERLINK("https://www.ncbi.nlm.nih.gov/gene/?term=KAG8592121.1", "KAG8592121.1")</f>
        <v/>
      </c>
      <c r="F8677" t="n">
        <v>62.7</v>
      </c>
      <c r="G8677" t="n">
        <v>477</v>
      </c>
      <c r="H8677" t="n">
        <v>1.06e-157</v>
      </c>
      <c r="I8677" t="inlineStr">
        <is>
          <t>Nr</t>
        </is>
      </c>
      <c r="J8677" t="inlineStr"/>
      <c r="K8677" t="inlineStr"/>
      <c r="L8677" t="inlineStr">
        <is>
          <t>KAG8592121.1 hypothetical protein GDO81_000418 [Engystomops pustulosus]</t>
        </is>
      </c>
      <c r="M8677" t="n">
        <v>468</v>
      </c>
      <c r="N8677" t="inlineStr">
        <is>
          <t>Engystomops pustulosus</t>
        </is>
      </c>
      <c r="O8677" t="inlineStr">
        <is>
          <t>hypothetical protein GDO81_000418</t>
        </is>
      </c>
    </row>
    <row r="8678">
      <c r="A8678" t="inlineStr"/>
      <c r="B8678" t="inlineStr"/>
      <c r="C8678" t="inlineStr"/>
      <c r="D8678" t="inlineStr"/>
      <c r="E8678">
        <f>HYPERLINK("https://www.ncbi.nlm.nih.gov/gene/?term=XP_040190075.1", "XP_040190075.1")</f>
        <v/>
      </c>
      <c r="F8678" t="n">
        <v>61.3</v>
      </c>
      <c r="G8678" t="n">
        <v>476</v>
      </c>
      <c r="H8678" t="n">
        <v>3.99e-157</v>
      </c>
      <c r="I8678" t="inlineStr">
        <is>
          <t>Nr</t>
        </is>
      </c>
      <c r="J8678" t="inlineStr"/>
      <c r="K8678" t="inlineStr"/>
      <c r="L8678" t="inlineStr">
        <is>
          <t>XP_040190075.1 cilia- and flagella-associated protein 97 [Rana temporaria]</t>
        </is>
      </c>
      <c r="M8678" t="n">
        <v>466</v>
      </c>
      <c r="N8678" t="inlineStr">
        <is>
          <t>Rana temporaria</t>
        </is>
      </c>
      <c r="O8678" t="inlineStr">
        <is>
          <t>cilia- and flagella-associated protein 97</t>
        </is>
      </c>
    </row>
    <row r="8679">
      <c r="A8679" t="inlineStr"/>
      <c r="B8679" t="inlineStr"/>
      <c r="C8679" t="inlineStr"/>
      <c r="D8679" t="inlineStr"/>
      <c r="E8679">
        <f>HYPERLINK("https://www.uniprot.org/uniprotkb/A0A822I9M0/entry", "A0A822I9M0")</f>
        <v/>
      </c>
      <c r="F8679" t="n">
        <v>62.1</v>
      </c>
      <c r="G8679" t="n">
        <v>472</v>
      </c>
      <c r="H8679" t="n">
        <v>9.5e-157</v>
      </c>
      <c r="I8679" t="inlineStr">
        <is>
          <t>TrEMBL</t>
        </is>
      </c>
      <c r="J8679" t="inlineStr">
        <is>
          <t>RIMITATOR_LOCUS15367472</t>
        </is>
      </c>
      <c r="K8679" t="inlineStr">
        <is>
          <t>A0A822I9M0_9NEOB</t>
        </is>
      </c>
      <c r="L8679" t="inlineStr">
        <is>
          <t>tr|A0A822I9M0|A0A822I9M0_9NEOB Cilia- and flagella-associated protein 97 OS=Ranitomeya imitator OX=111125 GN=RIMITATOR_LOCUS15367472 PE=3 SV=1</t>
        </is>
      </c>
      <c r="M8679" t="n">
        <v>468</v>
      </c>
      <c r="N8679" t="inlineStr">
        <is>
          <t>Ranitomeya imitator</t>
        </is>
      </c>
      <c r="O8679" t="inlineStr">
        <is>
          <t>Cilia- and flagella-associated protein 97</t>
        </is>
      </c>
    </row>
    <row r="8680">
      <c r="A8680" t="inlineStr"/>
      <c r="B8680" t="inlineStr"/>
      <c r="C8680" t="inlineStr"/>
      <c r="D8680" t="inlineStr"/>
      <c r="E8680">
        <f>HYPERLINK("https://www.ncbi.nlm.nih.gov/gene/?term=XP_018416800.1", "XP_018416800.1")</f>
        <v/>
      </c>
      <c r="F8680" t="n">
        <v>62.1</v>
      </c>
      <c r="G8680" t="n">
        <v>472</v>
      </c>
      <c r="H8680" t="n">
        <v>1.22e-155</v>
      </c>
      <c r="I8680" t="inlineStr">
        <is>
          <t>Nr</t>
        </is>
      </c>
      <c r="J8680" t="inlineStr"/>
      <c r="K8680" t="inlineStr"/>
      <c r="L8680" t="inlineStr">
        <is>
          <t>XP_018416800.1 PREDICTED: cilia- and flagella-associated protein 97 [Nanorana parkeri]</t>
        </is>
      </c>
      <c r="M8680" t="n">
        <v>464</v>
      </c>
      <c r="N8680" t="inlineStr">
        <is>
          <t>Nanorana parkeri</t>
        </is>
      </c>
      <c r="O8680" t="inlineStr">
        <is>
          <t>PREDICTED: cilia- and flagella-associated protein 97</t>
        </is>
      </c>
    </row>
    <row r="8681">
      <c r="A8681" t="inlineStr"/>
      <c r="B8681" t="inlineStr"/>
      <c r="C8681" t="inlineStr"/>
      <c r="D8681" t="inlineStr"/>
      <c r="E8681">
        <f>HYPERLINK("https://www.uniprot.org/uniprotkb/A0A8J6F3E6/entry", "A0A8J6F3E6")</f>
        <v/>
      </c>
      <c r="F8681" t="n">
        <v>61.1</v>
      </c>
      <c r="G8681" t="n">
        <v>471</v>
      </c>
      <c r="H8681" t="n">
        <v>1.44e-153</v>
      </c>
      <c r="I8681" t="inlineStr">
        <is>
          <t>TrEMBL</t>
        </is>
      </c>
      <c r="J8681" t="inlineStr">
        <is>
          <t>GDO78_011735</t>
        </is>
      </c>
      <c r="K8681" t="inlineStr">
        <is>
          <t>A0A8J6F3E6_ELECQ</t>
        </is>
      </c>
      <c r="L8681" t="inlineStr">
        <is>
          <t>tr|A0A8J6F3E6|A0A8J6F3E6_ELECQ Cilia- and flagella-associated protein 97 OS=Eleutherodactylus coqui OX=57060 GN=GDO78_011735 PE=3 SV=1</t>
        </is>
      </c>
      <c r="M8681" t="n">
        <v>468</v>
      </c>
      <c r="N8681" t="inlineStr">
        <is>
          <t>Eleutherodactylus coqui</t>
        </is>
      </c>
      <c r="O8681" t="inlineStr">
        <is>
          <t>Cilia- and flagella-associated protein 97</t>
        </is>
      </c>
    </row>
    <row r="8682">
      <c r="A8682" t="inlineStr"/>
      <c r="B8682" t="inlineStr"/>
      <c r="C8682" t="inlineStr"/>
      <c r="D8682" t="inlineStr"/>
      <c r="E8682">
        <f>HYPERLINK("https://www.ncbi.nlm.nih.gov/gene/?term=KAG9479860.1", "KAG9479860.1")</f>
        <v/>
      </c>
      <c r="F8682" t="n">
        <v>61.1</v>
      </c>
      <c r="G8682" t="n">
        <v>471</v>
      </c>
      <c r="H8682" t="n">
        <v>3.69e-153</v>
      </c>
      <c r="I8682" t="inlineStr">
        <is>
          <t>Nr</t>
        </is>
      </c>
      <c r="J8682" t="inlineStr"/>
      <c r="K8682" t="inlineStr"/>
      <c r="L8682" t="inlineStr">
        <is>
          <t>KAG9479860.1 hypothetical protein GDO78_011735 [Eleutherodactylus coqui]</t>
        </is>
      </c>
      <c r="M8682" t="n">
        <v>468</v>
      </c>
      <c r="N8682" t="inlineStr">
        <is>
          <t>Eleutherodactylus coqui</t>
        </is>
      </c>
      <c r="O8682" t="inlineStr">
        <is>
          <t>hypothetical protein GDO78_011735</t>
        </is>
      </c>
    </row>
    <row r="8683">
      <c r="A8683" t="inlineStr"/>
      <c r="B8683" t="inlineStr"/>
      <c r="C8683" t="inlineStr"/>
      <c r="D8683" t="inlineStr"/>
      <c r="E8683">
        <f>HYPERLINK("https://www.ncbi.nlm.nih.gov/gene/?term=XP_053311194.1", "XP_053311194.1")</f>
        <v/>
      </c>
      <c r="F8683" t="n">
        <v>60.8</v>
      </c>
      <c r="G8683" t="n">
        <v>469</v>
      </c>
      <c r="H8683" t="n">
        <v>5.48e-151</v>
      </c>
      <c r="I8683" t="inlineStr">
        <is>
          <t>Nr</t>
        </is>
      </c>
      <c r="J8683" t="inlineStr"/>
      <c r="K8683" t="inlineStr"/>
      <c r="L8683" t="inlineStr">
        <is>
          <t>XP_053311194.1 cilia- and flagella-associated protein 97 [Spea bombifrons]</t>
        </is>
      </c>
      <c r="M8683" t="n">
        <v>451</v>
      </c>
      <c r="N8683" t="inlineStr">
        <is>
          <t>Spea bombifrons</t>
        </is>
      </c>
      <c r="O8683" t="inlineStr">
        <is>
          <t>cilia- and flagella-associated protein 97</t>
        </is>
      </c>
    </row>
    <row r="8684">
      <c r="A8684" t="inlineStr"/>
      <c r="B8684" t="inlineStr"/>
      <c r="C8684" t="inlineStr"/>
      <c r="D8684" t="inlineStr"/>
      <c r="E8684">
        <f>HYPERLINK("https://www.uniprot.org/uniprotkb/A0A8T2KBD0/entry", "A0A8T2KBD0")</f>
        <v/>
      </c>
      <c r="F8684" t="n">
        <v>59.4</v>
      </c>
      <c r="G8684" t="n">
        <v>470</v>
      </c>
      <c r="H8684" t="n">
        <v>2.03e-149</v>
      </c>
      <c r="I8684" t="inlineStr">
        <is>
          <t>TrEMBL</t>
        </is>
      </c>
      <c r="J8684" t="inlineStr">
        <is>
          <t>GDO86_000363</t>
        </is>
      </c>
      <c r="K8684" t="inlineStr">
        <is>
          <t>A0A8T2KBD0_9PIPI</t>
        </is>
      </c>
      <c r="L8684" t="inlineStr">
        <is>
          <t>tr|A0A8T2KBD0|A0A8T2KBD0_9PIPI Cilia- and flagella-associated protein 97 OS=Hymenochirus boettgeri OX=247094 GN=GDO86_000363 PE=3 SV=1</t>
        </is>
      </c>
      <c r="M8684" t="n">
        <v>462</v>
      </c>
      <c r="N8684" t="inlineStr">
        <is>
          <t>Hymenochirus boettgeri</t>
        </is>
      </c>
      <c r="O8684" t="inlineStr">
        <is>
          <t>Cilia- and flagella-associated protein 97</t>
        </is>
      </c>
    </row>
    <row r="8685">
      <c r="A8685" t="inlineStr"/>
      <c r="B8685" t="inlineStr"/>
      <c r="C8685" t="inlineStr"/>
      <c r="D8685" t="inlineStr"/>
      <c r="E8685">
        <f>HYPERLINK("https://www.ncbi.nlm.nih.gov/gene/?term=KAG8453702.1", "KAG8453702.1")</f>
        <v/>
      </c>
      <c r="F8685" t="n">
        <v>59.4</v>
      </c>
      <c r="G8685" t="n">
        <v>470</v>
      </c>
      <c r="H8685" t="n">
        <v>5.2e-149</v>
      </c>
      <c r="I8685" t="inlineStr">
        <is>
          <t>Nr</t>
        </is>
      </c>
      <c r="J8685" t="inlineStr"/>
      <c r="K8685" t="inlineStr"/>
      <c r="L8685" t="inlineStr">
        <is>
          <t>KAG8453702.1 hypothetical protein GDO86_000363 [Hymenochirus boettgeri]</t>
        </is>
      </c>
      <c r="M8685" t="n">
        <v>462</v>
      </c>
      <c r="N8685" t="inlineStr">
        <is>
          <t>Hymenochirus boettgeri</t>
        </is>
      </c>
      <c r="O8685" t="inlineStr">
        <is>
          <t>hypothetical protein GDO86_000363</t>
        </is>
      </c>
    </row>
    <row r="8686">
      <c r="A8686" t="inlineStr"/>
      <c r="B8686" t="inlineStr"/>
      <c r="C8686" t="inlineStr"/>
      <c r="D8686" t="inlineStr"/>
      <c r="E8686">
        <f>HYPERLINK("https://www.uniprot.org/uniprotkb/A0A8C5LNB4/entry", "A0A8C5LNB4")</f>
        <v/>
      </c>
      <c r="F8686" t="n">
        <v>59</v>
      </c>
      <c r="G8686" t="n">
        <v>478</v>
      </c>
      <c r="H8686" t="n">
        <v>2.81e-145</v>
      </c>
      <c r="I8686" t="inlineStr">
        <is>
          <t>TrEMBL</t>
        </is>
      </c>
      <c r="J8686" t="inlineStr">
        <is>
          <t>CFAP97</t>
        </is>
      </c>
      <c r="K8686" t="inlineStr">
        <is>
          <t>A0A8C5LNB4_9ANUR</t>
        </is>
      </c>
      <c r="L8686" t="inlineStr">
        <is>
          <t>tr|A0A8C5LNB4|A0A8C5LNB4_9ANUR Cilia- and flagella-associated protein 97 OS=Leptobrachium leishanense OX=445787 GN=CFAP97 PE=3 SV=1</t>
        </is>
      </c>
      <c r="M8686" t="n">
        <v>466</v>
      </c>
      <c r="N8686" t="inlineStr">
        <is>
          <t>Leptobrachium leishanense</t>
        </is>
      </c>
      <c r="O8686" t="inlineStr">
        <is>
          <t>Cilia- and flagella-associated protein 97</t>
        </is>
      </c>
    </row>
    <row r="8687">
      <c r="A8687" t="inlineStr"/>
      <c r="B8687" t="inlineStr"/>
      <c r="C8687" t="inlineStr"/>
      <c r="D8687" t="inlineStr"/>
      <c r="E8687">
        <f>HYPERLINK("https://www.ncbi.nlm.nih.gov/gene/?term=KAE8629784.1", "KAE8629784.1")</f>
        <v/>
      </c>
      <c r="F8687" t="n">
        <v>64</v>
      </c>
      <c r="G8687" t="n">
        <v>383</v>
      </c>
      <c r="H8687" t="n">
        <v>2.03e-133</v>
      </c>
      <c r="I8687" t="inlineStr">
        <is>
          <t>Nr</t>
        </is>
      </c>
      <c r="J8687" t="inlineStr"/>
      <c r="K8687" t="inlineStr"/>
      <c r="L8687" t="inlineStr">
        <is>
          <t>KAE8629784.1 hypothetical protein XENTR_v10000591 [Xenopus tropicalis]</t>
        </is>
      </c>
      <c r="M8687" t="n">
        <v>411</v>
      </c>
      <c r="N8687" t="inlineStr">
        <is>
          <t>Xenopus tropicalis</t>
        </is>
      </c>
      <c r="O8687" t="inlineStr">
        <is>
          <t>hypothetical protein XENTR_v10000591</t>
        </is>
      </c>
    </row>
    <row r="8688">
      <c r="A8688" t="inlineStr"/>
      <c r="B8688" t="inlineStr"/>
      <c r="C8688" t="inlineStr"/>
      <c r="D8688" t="inlineStr"/>
      <c r="E8688">
        <f>HYPERLINK("https://www.ncbi.nlm.nih.gov/gene/?term=KAE8629783.1", "KAE8629783.1")</f>
        <v/>
      </c>
      <c r="F8688" t="n">
        <v>63</v>
      </c>
      <c r="G8688" t="n">
        <v>389</v>
      </c>
      <c r="H8688" t="n">
        <v>9.21e-131</v>
      </c>
      <c r="I8688" t="inlineStr">
        <is>
          <t>Nr</t>
        </is>
      </c>
      <c r="J8688" t="inlineStr"/>
      <c r="K8688" t="inlineStr"/>
      <c r="L8688" t="inlineStr">
        <is>
          <t>KAE8629783.1 hypothetical protein XENTR_v10000591 [Xenopus tropicalis]</t>
        </is>
      </c>
      <c r="M8688" t="n">
        <v>417</v>
      </c>
      <c r="N8688" t="inlineStr">
        <is>
          <t>Xenopus tropicalis</t>
        </is>
      </c>
      <c r="O8688" t="inlineStr">
        <is>
          <t>hypothetical protein XENTR_v10000591</t>
        </is>
      </c>
    </row>
    <row r="8689">
      <c r="A8689" t="inlineStr"/>
      <c r="B8689" t="inlineStr"/>
      <c r="C8689" t="inlineStr"/>
      <c r="D8689" t="inlineStr"/>
      <c r="E8689">
        <f>HYPERLINK("https://www.ncbi.nlm.nih.gov/gene/?term=XP_029442388.1", "XP_029442388.1")</f>
        <v/>
      </c>
      <c r="F8689" t="n">
        <v>50.7</v>
      </c>
      <c r="G8689" t="n">
        <v>487</v>
      </c>
      <c r="H8689" t="n">
        <v>5.99e-106</v>
      </c>
      <c r="I8689" t="inlineStr">
        <is>
          <t>Nr</t>
        </is>
      </c>
      <c r="J8689" t="inlineStr"/>
      <c r="K8689" t="inlineStr"/>
      <c r="L8689" t="inlineStr">
        <is>
          <t>XP_029442388.1 cilia- and flagella-associated protein 97 isoform X1 [Rhinatrema bivittatum]</t>
        </is>
      </c>
      <c r="M8689" t="n">
        <v>479</v>
      </c>
      <c r="N8689" t="inlineStr">
        <is>
          <t>Rhinatrema bivittatum</t>
        </is>
      </c>
      <c r="O8689" t="inlineStr">
        <is>
          <t>cilia- and flagella-associated protein 97 isoform X1</t>
        </is>
      </c>
    </row>
    <row r="8690">
      <c r="A8690" t="inlineStr"/>
      <c r="B8690" t="inlineStr"/>
      <c r="C8690" t="inlineStr"/>
      <c r="D8690" t="inlineStr"/>
      <c r="E8690">
        <f>HYPERLINK("https://www.ncbi.nlm.nih.gov/gene/?term=XP_044873253.1", "XP_044873253.1")</f>
        <v/>
      </c>
      <c r="F8690" t="n">
        <v>49.4</v>
      </c>
      <c r="G8690" t="n">
        <v>498</v>
      </c>
      <c r="H8690" t="n">
        <v>3.81e-101</v>
      </c>
      <c r="I8690" t="inlineStr">
        <is>
          <t>Nr</t>
        </is>
      </c>
      <c r="J8690" t="inlineStr"/>
      <c r="K8690" t="inlineStr"/>
      <c r="L8690" t="inlineStr">
        <is>
          <t>XP_044873253.1 cilia- and flagella-associated protein 97 [Mauremys mutica]</t>
        </is>
      </c>
      <c r="M8690" t="n">
        <v>491</v>
      </c>
      <c r="N8690" t="inlineStr">
        <is>
          <t>Mauremys mutica</t>
        </is>
      </c>
      <c r="O8690" t="inlineStr">
        <is>
          <t>cilia- and flagella-associated protein 97</t>
        </is>
      </c>
    </row>
    <row r="8691">
      <c r="A8691" t="inlineStr"/>
      <c r="B8691" t="inlineStr"/>
      <c r="C8691" t="inlineStr"/>
      <c r="D8691" t="inlineStr"/>
      <c r="E8691">
        <f>HYPERLINK("https://www.uniprot.org/uniprotkb/A0A674ILI9/entry", "A0A674ILI9")</f>
        <v/>
      </c>
      <c r="F8691" t="n">
        <v>48.7</v>
      </c>
      <c r="G8691" t="n">
        <v>501</v>
      </c>
      <c r="H8691" t="n">
        <v>9.1e-101</v>
      </c>
      <c r="I8691" t="inlineStr">
        <is>
          <t>TrEMBL</t>
        </is>
      </c>
      <c r="J8691" t="inlineStr">
        <is>
          <t>CFAP97</t>
        </is>
      </c>
      <c r="K8691" t="inlineStr">
        <is>
          <t>A0A674ILI9_TERCA</t>
        </is>
      </c>
      <c r="L8691" t="inlineStr">
        <is>
          <t>tr|A0A674ILI9|A0A674ILI9_TERCA Cilia- and flagella-associated protein 97 OS=Terrapene carolina triunguis OX=2587831 GN=CFAP97 PE=3 SV=1</t>
        </is>
      </c>
      <c r="M8691" t="n">
        <v>494</v>
      </c>
      <c r="N8691" t="inlineStr">
        <is>
          <t>Terrapene carolina triunguis</t>
        </is>
      </c>
      <c r="O8691" t="inlineStr">
        <is>
          <t>Cilia- and flagella-associated protein 97</t>
        </is>
      </c>
    </row>
    <row r="8692">
      <c r="A8692" t="inlineStr"/>
      <c r="B8692" t="inlineStr"/>
      <c r="C8692" t="inlineStr"/>
      <c r="D8692" t="inlineStr"/>
      <c r="E8692">
        <f>HYPERLINK("https://www.ncbi.nlm.nih.gov/gene/?term=XP_024075006.1", "XP_024075006.1")</f>
        <v/>
      </c>
      <c r="F8692" t="n">
        <v>48.7</v>
      </c>
      <c r="G8692" t="n">
        <v>501</v>
      </c>
      <c r="H8692" t="n">
        <v>2.34e-100</v>
      </c>
      <c r="I8692" t="inlineStr">
        <is>
          <t>Nr</t>
        </is>
      </c>
      <c r="J8692" t="inlineStr"/>
      <c r="K8692" t="inlineStr"/>
      <c r="L8692" t="inlineStr">
        <is>
          <t>XP_024075006.1 cilia- and flagella-associated protein 97 [Terrapene carolina triunguis]</t>
        </is>
      </c>
      <c r="M8692" t="n">
        <v>494</v>
      </c>
      <c r="N8692" t="inlineStr">
        <is>
          <t>Terrapene carolina triunguis</t>
        </is>
      </c>
      <c r="O8692" t="inlineStr">
        <is>
          <t>cilia- and flagella-associated protein 97</t>
        </is>
      </c>
    </row>
    <row r="8693">
      <c r="A8693" t="inlineStr"/>
      <c r="B8693" t="inlineStr"/>
      <c r="C8693" t="inlineStr"/>
      <c r="D8693" t="inlineStr"/>
      <c r="E8693">
        <f>HYPERLINK("https://www.uniprot.org/uniprotkb/A0A4D9F9N0/entry", "A0A4D9F9N0")</f>
        <v/>
      </c>
      <c r="F8693" t="n">
        <v>48.5</v>
      </c>
      <c r="G8693" t="n">
        <v>501</v>
      </c>
      <c r="H8693" t="n">
        <v>7.2e-100</v>
      </c>
      <c r="I8693" t="inlineStr">
        <is>
          <t>TrEMBL</t>
        </is>
      </c>
      <c r="J8693" t="inlineStr">
        <is>
          <t>DR999_PMT00463</t>
        </is>
      </c>
      <c r="K8693" t="inlineStr">
        <is>
          <t>A0A4D9F9N0_9SAUR</t>
        </is>
      </c>
      <c r="L8693" t="inlineStr">
        <is>
          <t>tr|A0A4D9F9N0|A0A4D9F9N0_9SAUR Cilia- and flagella-associated protein 97 OS=Platysternon megacephalum OX=55544 GN=DR999_PMT00463 PE=3 SV=1</t>
        </is>
      </c>
      <c r="M8693" t="n">
        <v>494</v>
      </c>
      <c r="N8693" t="inlineStr">
        <is>
          <t>Platysternon megacephalum</t>
        </is>
      </c>
      <c r="O8693" t="inlineStr">
        <is>
          <t>Cilia- and flagella-associated protein 97</t>
        </is>
      </c>
    </row>
    <row r="8694">
      <c r="A8694" t="inlineStr"/>
      <c r="B8694" t="inlineStr"/>
      <c r="C8694" t="inlineStr"/>
      <c r="D8694" t="inlineStr"/>
      <c r="E8694">
        <f>HYPERLINK("https://www.uniprot.org/uniprotkb/A0A8C3SFR2/entry", "A0A8C3SFR2")</f>
        <v/>
      </c>
      <c r="F8694" t="n">
        <v>48.3</v>
      </c>
      <c r="G8694" t="n">
        <v>499</v>
      </c>
      <c r="H8694" t="n">
        <v>9.040000000000001e-100</v>
      </c>
      <c r="I8694" t="inlineStr">
        <is>
          <t>TrEMBL</t>
        </is>
      </c>
      <c r="J8694" t="inlineStr">
        <is>
          <t>CFAP97</t>
        </is>
      </c>
      <c r="K8694" t="inlineStr">
        <is>
          <t>A0A8C3SFR2_CHESE</t>
        </is>
      </c>
      <c r="L8694" t="inlineStr">
        <is>
          <t>tr|A0A8C3SFR2|A0A8C3SFR2_CHESE Cilia- and flagella-associated protein 97 OS=Chelydra serpentina OX=8475 GN=CFAP97 PE=3 SV=1</t>
        </is>
      </c>
      <c r="M8694" t="n">
        <v>490</v>
      </c>
      <c r="N8694" t="inlineStr">
        <is>
          <t>Chelydra serpentina</t>
        </is>
      </c>
      <c r="O8694" t="inlineStr">
        <is>
          <t>Cilia- and flagella-associated protein 97</t>
        </is>
      </c>
    </row>
    <row r="8695">
      <c r="A8695" t="inlineStr"/>
      <c r="B8695" t="inlineStr"/>
      <c r="C8695" t="inlineStr"/>
      <c r="D8695" t="inlineStr"/>
      <c r="E8695">
        <f>HYPERLINK("https://www.ncbi.nlm.nih.gov/gene/?term=XP_034626586.1", "XP_034626586.1")</f>
        <v/>
      </c>
      <c r="F8695" t="n">
        <v>48.5</v>
      </c>
      <c r="G8695" t="n">
        <v>501</v>
      </c>
      <c r="H8695" t="n">
        <v>9.280000000000001e-100</v>
      </c>
      <c r="I8695" t="inlineStr">
        <is>
          <t>Nr</t>
        </is>
      </c>
      <c r="J8695" t="inlineStr"/>
      <c r="K8695" t="inlineStr"/>
      <c r="L8695" t="inlineStr">
        <is>
          <t>XP_034626586.1 cilia- and flagella-associated protein 97 [Trachemys scripta elegans]</t>
        </is>
      </c>
      <c r="M8695" t="n">
        <v>494</v>
      </c>
      <c r="N8695" t="inlineStr">
        <is>
          <t>Trachemys scripta elegans</t>
        </is>
      </c>
      <c r="O8695" t="inlineStr">
        <is>
          <t>cilia- and flagella-associated protein 97</t>
        </is>
      </c>
    </row>
    <row r="8696">
      <c r="A8696" t="inlineStr"/>
      <c r="B8696" t="inlineStr"/>
      <c r="C8696" t="inlineStr"/>
      <c r="D8696" t="inlineStr"/>
      <c r="E8696">
        <f>HYPERLINK("https://www.ncbi.nlm.nih.gov/gene/?term=TFK16048.1", "TFK16048.1")</f>
        <v/>
      </c>
      <c r="F8696" t="n">
        <v>48.5</v>
      </c>
      <c r="G8696" t="n">
        <v>501</v>
      </c>
      <c r="H8696" t="n">
        <v>1.85e-99</v>
      </c>
      <c r="I8696" t="inlineStr">
        <is>
          <t>Nr</t>
        </is>
      </c>
      <c r="J8696" t="inlineStr"/>
      <c r="K8696" t="inlineStr"/>
      <c r="L8696" t="inlineStr">
        <is>
          <t>TFK16048.1 proline-rich membrane anchor 1 [Platysternon megacephalum]</t>
        </is>
      </c>
      <c r="M8696" t="n">
        <v>494</v>
      </c>
      <c r="N8696" t="inlineStr">
        <is>
          <t>Platysternon megacephalum</t>
        </is>
      </c>
      <c r="O8696" t="inlineStr">
        <is>
          <t>proline-rich membrane anchor 1</t>
        </is>
      </c>
    </row>
    <row r="8697">
      <c r="A8697" t="inlineStr"/>
      <c r="B8697" t="inlineStr"/>
      <c r="C8697" t="inlineStr"/>
      <c r="D8697" t="inlineStr"/>
      <c r="E8697">
        <f>HYPERLINK("https://www.ncbi.nlm.nih.gov/gene/?term=KAG6933532.1", "KAG6933532.1")</f>
        <v/>
      </c>
      <c r="F8697" t="n">
        <v>48.3</v>
      </c>
      <c r="G8697" t="n">
        <v>499</v>
      </c>
      <c r="H8697" t="n">
        <v>2.32e-99</v>
      </c>
      <c r="I8697" t="inlineStr">
        <is>
          <t>Nr</t>
        </is>
      </c>
      <c r="J8697" t="inlineStr"/>
      <c r="K8697" t="inlineStr"/>
      <c r="L8697" t="inlineStr">
        <is>
          <t>KAG6933532.1 cilia and flagella associated protein 97 [Chelydra serpentina]</t>
        </is>
      </c>
      <c r="M8697" t="n">
        <v>490</v>
      </c>
      <c r="N8697" t="inlineStr">
        <is>
          <t>Chelydra serpentina</t>
        </is>
      </c>
      <c r="O8697" t="inlineStr">
        <is>
          <t>cilia and flagella associated protein 97</t>
        </is>
      </c>
    </row>
    <row r="8698">
      <c r="A8698" t="inlineStr"/>
      <c r="B8698" t="inlineStr"/>
      <c r="C8698" t="inlineStr"/>
      <c r="D8698" t="inlineStr"/>
      <c r="E8698">
        <f>HYPERLINK("https://www.ncbi.nlm.nih.gov/gene/?term=XP_023961101.1", "XP_023961101.1")</f>
        <v/>
      </c>
      <c r="F8698" t="n">
        <v>48.3</v>
      </c>
      <c r="G8698" t="n">
        <v>501</v>
      </c>
      <c r="H8698" t="n">
        <v>1.04e-98</v>
      </c>
      <c r="I8698" t="inlineStr">
        <is>
          <t>Nr</t>
        </is>
      </c>
      <c r="J8698" t="inlineStr"/>
      <c r="K8698" t="inlineStr"/>
      <c r="L8698" t="inlineStr">
        <is>
          <t>XP_023961101.1 LOW QUALITY PROTEIN: cilia- and flagella-associated protein 97 [Chrysemys picta bellii]</t>
        </is>
      </c>
      <c r="M8698" t="n">
        <v>494</v>
      </c>
      <c r="N8698" t="inlineStr">
        <is>
          <t>Chrysemys picta bellii</t>
        </is>
      </c>
      <c r="O8698" t="inlineStr">
        <is>
          <t>LOW QUALITY PROTEIN: cilia- and flagella-associated protein 97</t>
        </is>
      </c>
    </row>
    <row r="8699">
      <c r="A8699" t="inlineStr"/>
      <c r="B8699" t="inlineStr"/>
      <c r="C8699" t="inlineStr"/>
      <c r="D8699" t="inlineStr"/>
      <c r="E8699">
        <f>HYPERLINK("https://www.uniprot.org/uniprotkb/A0A8C8SEQ9/entry", "A0A8C8SEQ9")</f>
        <v/>
      </c>
      <c r="F8699" t="n">
        <v>48.7</v>
      </c>
      <c r="G8699" t="n">
        <v>495</v>
      </c>
      <c r="H8699" t="n">
        <v>1.69e-98</v>
      </c>
      <c r="I8699" t="inlineStr">
        <is>
          <t>TrEMBL</t>
        </is>
      </c>
      <c r="J8699" t="inlineStr"/>
      <c r="K8699" t="inlineStr">
        <is>
          <t>A0A8C8SEQ9_9SAUR</t>
        </is>
      </c>
      <c r="L8699" t="inlineStr">
        <is>
          <t>tr|A0A8C8SEQ9|A0A8C8SEQ9_9SAUR Cilia- and flagella-associated protein 97 OS=Pelusios castaneus OX=367368 PE=3 SV=1</t>
        </is>
      </c>
      <c r="M8699" t="n">
        <v>484</v>
      </c>
      <c r="N8699" t="inlineStr">
        <is>
          <t>Pelusios castaneus</t>
        </is>
      </c>
      <c r="O8699" t="inlineStr">
        <is>
          <t>Cilia- and flagella-associated protein 97</t>
        </is>
      </c>
    </row>
    <row r="8700">
      <c r="A8700" t="inlineStr"/>
      <c r="B8700" t="inlineStr"/>
      <c r="C8700" t="inlineStr"/>
      <c r="D8700" t="inlineStr"/>
      <c r="E8700">
        <f>HYPERLINK("https://www.ncbi.nlm.nih.gov/gene/?term=XP_039396133.1", "XP_039396133.1")</f>
        <v/>
      </c>
      <c r="F8700" t="n">
        <v>48.8</v>
      </c>
      <c r="G8700" t="n">
        <v>498</v>
      </c>
      <c r="H8700" t="n">
        <v>3.66e-98</v>
      </c>
      <c r="I8700" t="inlineStr">
        <is>
          <t>Nr</t>
        </is>
      </c>
      <c r="J8700" t="inlineStr"/>
      <c r="K8700" t="inlineStr"/>
      <c r="L8700" t="inlineStr">
        <is>
          <t>XP_039396133.1 cilia- and flagella-associated protein 97 [Mauremys reevesii]</t>
        </is>
      </c>
      <c r="M8700" t="n">
        <v>490</v>
      </c>
      <c r="N8700" t="inlineStr">
        <is>
          <t>Mauremys reevesii</t>
        </is>
      </c>
      <c r="O8700" t="inlineStr">
        <is>
          <t>cilia- and flagella-associated protein 97</t>
        </is>
      </c>
    </row>
    <row r="8701">
      <c r="A8701" t="inlineStr"/>
      <c r="B8701" t="inlineStr"/>
      <c r="C8701" t="inlineStr"/>
      <c r="D8701" t="inlineStr"/>
      <c r="E8701">
        <f>HYPERLINK("https://www.ncbi.nlm.nih.gov/gene/?term=XP_048703913.1", "XP_048703913.1")</f>
        <v/>
      </c>
      <c r="F8701" t="n">
        <v>48</v>
      </c>
      <c r="G8701" t="n">
        <v>502</v>
      </c>
      <c r="H8701" t="n">
        <v>5.8e-98</v>
      </c>
      <c r="I8701" t="inlineStr">
        <is>
          <t>Nr</t>
        </is>
      </c>
      <c r="J8701" t="inlineStr"/>
      <c r="K8701" t="inlineStr"/>
      <c r="L8701" t="inlineStr">
        <is>
          <t>XP_048703913.1 cilia- and flagella-associated protein 97 isoform X2 [Caretta caretta]</t>
        </is>
      </c>
      <c r="M8701" t="n">
        <v>494</v>
      </c>
      <c r="N8701" t="inlineStr">
        <is>
          <t>Caretta caretta</t>
        </is>
      </c>
      <c r="O8701" t="inlineStr">
        <is>
          <t>cilia- and flagella-associated protein 97 isoform X2</t>
        </is>
      </c>
    </row>
    <row r="8702">
      <c r="A8702" t="inlineStr"/>
      <c r="B8702" t="inlineStr"/>
      <c r="C8702" t="inlineStr"/>
      <c r="D8702" t="inlineStr"/>
      <c r="E8702">
        <f>HYPERLINK("https://www.ncbi.nlm.nih.gov/gene/?term=XP_038256715.1", "XP_038256715.1")</f>
        <v/>
      </c>
      <c r="F8702" t="n">
        <v>47.2</v>
      </c>
      <c r="G8702" t="n">
        <v>500</v>
      </c>
      <c r="H8702" t="n">
        <v>1.16e-97</v>
      </c>
      <c r="I8702" t="inlineStr">
        <is>
          <t>Nr</t>
        </is>
      </c>
      <c r="J8702" t="inlineStr"/>
      <c r="K8702" t="inlineStr"/>
      <c r="L8702" t="inlineStr">
        <is>
          <t>XP_038256715.1 cilia- and flagella-associated protein 97 [Dermochelys coriacea]</t>
        </is>
      </c>
      <c r="M8702" t="n">
        <v>494</v>
      </c>
      <c r="N8702" t="inlineStr">
        <is>
          <t>Dermochelys coriacea</t>
        </is>
      </c>
      <c r="O8702" t="inlineStr">
        <is>
          <t>cilia- and flagella-associated protein 97</t>
        </is>
      </c>
    </row>
    <row r="8703">
      <c r="A8703" t="inlineStr"/>
      <c r="B8703" t="inlineStr"/>
      <c r="C8703" t="inlineStr"/>
      <c r="D8703" t="inlineStr"/>
      <c r="E8703">
        <f>HYPERLINK("https://www.uniprot.org/uniprotkb/A0A6P8QLB8/entry", "A0A6P8QLB8")</f>
        <v/>
      </c>
      <c r="F8703" t="n">
        <v>47.3</v>
      </c>
      <c r="G8703" t="n">
        <v>480</v>
      </c>
      <c r="H8703" t="n">
        <v>4.8e-97</v>
      </c>
      <c r="I8703" t="inlineStr">
        <is>
          <t>TrEMBL</t>
        </is>
      </c>
      <c r="J8703" t="inlineStr">
        <is>
          <t>CFAP97</t>
        </is>
      </c>
      <c r="K8703" t="inlineStr">
        <is>
          <t>A0A6P8QLB8_GEOSA</t>
        </is>
      </c>
      <c r="L8703" t="inlineStr">
        <is>
          <t>tr|A0A6P8QLB8|A0A6P8QLB8_GEOSA Cilia- and flagella-associated protein 97 OS=Geotrypetes seraphini OX=260995 GN=CFAP97 PE=3 SV=1</t>
        </is>
      </c>
      <c r="M8703" t="n">
        <v>469</v>
      </c>
      <c r="N8703" t="inlineStr">
        <is>
          <t>Geotrypetes seraphini</t>
        </is>
      </c>
      <c r="O8703" t="inlineStr">
        <is>
          <t>Cilia- and flagella-associated protein 97</t>
        </is>
      </c>
    </row>
    <row r="8704">
      <c r="A8704" t="inlineStr"/>
      <c r="B8704" t="inlineStr"/>
      <c r="C8704" t="inlineStr"/>
      <c r="D8704" t="inlineStr"/>
      <c r="E8704">
        <f>HYPERLINK("https://www.uniprot.org/uniprotkb/A0A452HGW3/entry", "A0A452HGW3")</f>
        <v/>
      </c>
      <c r="F8704" t="n">
        <v>47.4</v>
      </c>
      <c r="G8704" t="n">
        <v>500</v>
      </c>
      <c r="H8704" t="n">
        <v>9.98e-97</v>
      </c>
      <c r="I8704" t="inlineStr">
        <is>
          <t>TrEMBL</t>
        </is>
      </c>
      <c r="J8704" t="inlineStr"/>
      <c r="K8704" t="inlineStr">
        <is>
          <t>A0A452HGW3_9SAUR</t>
        </is>
      </c>
      <c r="L8704" t="inlineStr">
        <is>
          <t>tr|A0A452HGW3|A0A452HGW3_9SAUR Cilia- and flagella-associated protein 97 OS=Gopherus agassizii OX=38772 PE=3 SV=1</t>
        </is>
      </c>
      <c r="M8704" t="n">
        <v>494</v>
      </c>
      <c r="N8704" t="inlineStr">
        <is>
          <t>Gopherus agassizii</t>
        </is>
      </c>
      <c r="O8704" t="inlineStr">
        <is>
          <t>Cilia- and flagella-associated protein 97</t>
        </is>
      </c>
    </row>
    <row r="8705">
      <c r="A8705" t="inlineStr"/>
      <c r="B8705" t="inlineStr"/>
      <c r="C8705" t="inlineStr"/>
      <c r="D8705" t="inlineStr"/>
      <c r="E8705">
        <f>HYPERLINK("https://www.uniprot.org/uniprotkb/A0A8C4VP28/entry", "A0A8C4VP28")</f>
        <v/>
      </c>
      <c r="F8705" t="n">
        <v>47.2</v>
      </c>
      <c r="G8705" t="n">
        <v>500</v>
      </c>
      <c r="H8705" t="n">
        <v>5.58e-96</v>
      </c>
      <c r="I8705" t="inlineStr">
        <is>
          <t>TrEMBL</t>
        </is>
      </c>
      <c r="J8705" t="inlineStr">
        <is>
          <t>CFAP97</t>
        </is>
      </c>
      <c r="K8705" t="inlineStr">
        <is>
          <t>A0A8C4VP28_9SAUR</t>
        </is>
      </c>
      <c r="L8705" t="inlineStr">
        <is>
          <t>tr|A0A8C4VP28|A0A8C4VP28_9SAUR Cilia- and flagella-associated protein 97 OS=Gopherus evgoodei OX=1825980 GN=CFAP97 PE=3 SV=1</t>
        </is>
      </c>
      <c r="M8705" t="n">
        <v>494</v>
      </c>
      <c r="N8705" t="inlineStr">
        <is>
          <t>Gopherus evgoodei</t>
        </is>
      </c>
      <c r="O8705" t="inlineStr">
        <is>
          <t>Cilia- and flagella-associated protein 97</t>
        </is>
      </c>
    </row>
    <row r="8706">
      <c r="A8706" t="inlineStr"/>
      <c r="B8706" t="inlineStr"/>
      <c r="C8706" t="inlineStr"/>
      <c r="D8706" t="inlineStr"/>
      <c r="E8706">
        <f>HYPERLINK("https://www.uniprot.org/uniprotkb/A0A1U8D9Y3/entry", "A0A1U8D9Y3")</f>
        <v/>
      </c>
      <c r="F8706" t="n">
        <v>47.6</v>
      </c>
      <c r="G8706" t="n">
        <v>502</v>
      </c>
      <c r="H8706" t="n">
        <v>7.59e-95</v>
      </c>
      <c r="I8706" t="inlineStr">
        <is>
          <t>TrEMBL</t>
        </is>
      </c>
      <c r="J8706" t="inlineStr">
        <is>
          <t>CFAP97</t>
        </is>
      </c>
      <c r="K8706" t="inlineStr">
        <is>
          <t>A0A1U8D9Y3_ALLSI</t>
        </is>
      </c>
      <c r="L8706" t="inlineStr">
        <is>
          <t>tr|A0A1U8D9Y3|A0A1U8D9Y3_ALLSI Cilia- and flagella-associated protein 97 OS=Alligator sinensis OX=38654 GN=CFAP97 PE=3 SV=1</t>
        </is>
      </c>
      <c r="M8706" t="n">
        <v>489</v>
      </c>
      <c r="N8706" t="inlineStr">
        <is>
          <t>Alligator sinensis</t>
        </is>
      </c>
      <c r="O8706" t="inlineStr">
        <is>
          <t>Cilia- and flagella-associated protein 97</t>
        </is>
      </c>
    </row>
    <row r="8707">
      <c r="A8707" t="inlineStr"/>
      <c r="B8707" t="inlineStr"/>
      <c r="C8707" t="inlineStr"/>
      <c r="D8707" t="inlineStr"/>
      <c r="E8707">
        <f>HYPERLINK("https://www.uniprot.org/uniprotkb/K7GA68/entry", "K7GA68")</f>
        <v/>
      </c>
      <c r="F8707" t="n">
        <v>47.2</v>
      </c>
      <c r="G8707" t="n">
        <v>498</v>
      </c>
      <c r="H8707" t="n">
        <v>1.13e-94</v>
      </c>
      <c r="I8707" t="inlineStr">
        <is>
          <t>TrEMBL</t>
        </is>
      </c>
      <c r="J8707" t="inlineStr">
        <is>
          <t>CFAP97</t>
        </is>
      </c>
      <c r="K8707" t="inlineStr">
        <is>
          <t>K7GA68_PELSI</t>
        </is>
      </c>
      <c r="L8707" t="inlineStr">
        <is>
          <t>tr|K7GA68|K7GA68_PELSI Cilia- and flagella-associated protein 97 OS=Pelodiscus sinensis OX=13735 GN=CFAP97 PE=3 SV=1</t>
        </is>
      </c>
      <c r="M8707" t="n">
        <v>491</v>
      </c>
      <c r="N8707" t="inlineStr">
        <is>
          <t>Pelodiscus sinensis</t>
        </is>
      </c>
      <c r="O8707" t="inlineStr">
        <is>
          <t>Cilia- and flagella-associated protein 97</t>
        </is>
      </c>
    </row>
    <row r="8708">
      <c r="A8708" t="inlineStr"/>
      <c r="B8708" t="inlineStr"/>
      <c r="C8708" t="inlineStr"/>
      <c r="D8708" t="inlineStr"/>
      <c r="E8708">
        <f>HYPERLINK("https://www.uniprot.org/uniprotkb/A0A7M4DVH1/entry", "A0A7M4DVH1")</f>
        <v/>
      </c>
      <c r="F8708" t="n">
        <v>47.9</v>
      </c>
      <c r="G8708" t="n">
        <v>509</v>
      </c>
      <c r="H8708" t="n">
        <v>2.6e-94</v>
      </c>
      <c r="I8708" t="inlineStr">
        <is>
          <t>TrEMBL</t>
        </is>
      </c>
      <c r="J8708" t="inlineStr">
        <is>
          <t>CFAP97</t>
        </is>
      </c>
      <c r="K8708" t="inlineStr">
        <is>
          <t>A0A7M4DVH1_CROPO</t>
        </is>
      </c>
      <c r="L8708" t="inlineStr">
        <is>
          <t>tr|A0A7M4DVH1|A0A7M4DVH1_CROPO Cilia- and flagella-associated protein 97 OS=Crocodylus porosus OX=8502 GN=CFAP97 PE=3 SV=1</t>
        </is>
      </c>
      <c r="M8708" t="n">
        <v>496</v>
      </c>
      <c r="N8708" t="inlineStr">
        <is>
          <t>Crocodylus porosus</t>
        </is>
      </c>
      <c r="O8708" t="inlineStr">
        <is>
          <t>Cilia- and flagella-associated protein 97</t>
        </is>
      </c>
    </row>
    <row r="8709">
      <c r="A8709" t="inlineStr"/>
      <c r="B8709" t="inlineStr"/>
      <c r="C8709" t="inlineStr"/>
      <c r="D8709" t="inlineStr"/>
      <c r="E8709">
        <f>HYPERLINK("https://www.uniprot.org/uniprotkb/A0A8D0HDR6/entry", "A0A8D0HDR6")</f>
        <v/>
      </c>
      <c r="F8709" t="n">
        <v>47.1</v>
      </c>
      <c r="G8709" t="n">
        <v>505</v>
      </c>
      <c r="H8709" t="n">
        <v>4.19e-93</v>
      </c>
      <c r="I8709" t="inlineStr">
        <is>
          <t>TrEMBL</t>
        </is>
      </c>
      <c r="J8709" t="inlineStr">
        <is>
          <t>CFAP97</t>
        </is>
      </c>
      <c r="K8709" t="inlineStr">
        <is>
          <t>A0A8D0HDR6_SPHPU</t>
        </is>
      </c>
      <c r="L8709" t="inlineStr">
        <is>
          <t>tr|A0A8D0HDR6|A0A8D0HDR6_SPHPU Cilia- and flagella-associated protein 97 OS=Sphenodon punctatus OX=8508 GN=CFAP97 PE=3 SV=1</t>
        </is>
      </c>
      <c r="M8709" t="n">
        <v>497</v>
      </c>
      <c r="N8709" t="inlineStr">
        <is>
          <t>Sphenodon punctatus</t>
        </is>
      </c>
      <c r="O8709" t="inlineStr">
        <is>
          <t>Cilia- and flagella-associated protein 97</t>
        </is>
      </c>
    </row>
    <row r="8710">
      <c r="A8710" t="inlineStr"/>
      <c r="B8710" t="inlineStr"/>
      <c r="C8710" t="inlineStr"/>
      <c r="D8710" t="inlineStr"/>
      <c r="E8710">
        <f>HYPERLINK("https://www.uniprot.org/uniprotkb/A0A8C4XUA8/entry", "A0A8C4XUA8")</f>
        <v/>
      </c>
      <c r="F8710" t="n">
        <v>47.5</v>
      </c>
      <c r="G8710" t="n">
        <v>503</v>
      </c>
      <c r="H8710" t="n">
        <v>1.92e-92</v>
      </c>
      <c r="I8710" t="inlineStr">
        <is>
          <t>TrEMBL</t>
        </is>
      </c>
      <c r="J8710" t="inlineStr"/>
      <c r="K8710" t="inlineStr">
        <is>
          <t>A0A8C4XUA8_FALTI</t>
        </is>
      </c>
      <c r="L8710" t="inlineStr">
        <is>
          <t>tr|A0A8C4XUA8|A0A8C4XUA8_FALTI Cilia- and flagella-associated protein 97 OS=Falco tinnunculus OX=100819 PE=3 SV=1</t>
        </is>
      </c>
      <c r="M8710" t="n">
        <v>490</v>
      </c>
      <c r="N8710" t="inlineStr">
        <is>
          <t>Falco tinnunculus</t>
        </is>
      </c>
      <c r="O8710" t="inlineStr">
        <is>
          <t>Cilia- and flagella-associated protein 97</t>
        </is>
      </c>
    </row>
    <row r="8711">
      <c r="A8711" t="inlineStr"/>
      <c r="B8711" t="inlineStr"/>
      <c r="C8711" t="inlineStr"/>
      <c r="D8711" t="inlineStr"/>
      <c r="E8711">
        <f>HYPERLINK("https://www.uniprot.org/uniprotkb/A0A6P7WVZ1/entry", "A0A6P7WVZ1")</f>
        <v/>
      </c>
      <c r="F8711" t="n">
        <v>47.2</v>
      </c>
      <c r="G8711" t="n">
        <v>451</v>
      </c>
      <c r="H8711" t="n">
        <v>2.78e-90</v>
      </c>
      <c r="I8711" t="inlineStr">
        <is>
          <t>TrEMBL</t>
        </is>
      </c>
      <c r="J8711" t="inlineStr">
        <is>
          <t>CFAP97</t>
        </is>
      </c>
      <c r="K8711" t="inlineStr">
        <is>
          <t>A0A6P7WVZ1_9AMPH</t>
        </is>
      </c>
      <c r="L8711" t="inlineStr">
        <is>
          <t>tr|A0A6P7WVZ1|A0A6P7WVZ1_9AMPH Cilia- and flagella-associated protein 97 OS=Microcaecilia unicolor OX=1415580 GN=CFAP97 PE=3 SV=1</t>
        </is>
      </c>
      <c r="M8711" t="n">
        <v>448</v>
      </c>
      <c r="N8711" t="inlineStr">
        <is>
          <t>Microcaecilia unicolor</t>
        </is>
      </c>
      <c r="O8711" t="inlineStr">
        <is>
          <t>Cilia- and flagella-associated protein 97</t>
        </is>
      </c>
    </row>
    <row r="8712">
      <c r="A8712" t="inlineStr"/>
      <c r="B8712" t="inlineStr"/>
      <c r="C8712" t="inlineStr"/>
      <c r="D8712" t="inlineStr"/>
      <c r="E8712">
        <f>HYPERLINK("https://www.uniprot.org/uniprotkb/A0A2I0MM46/entry", "A0A2I0MM46")</f>
        <v/>
      </c>
      <c r="F8712" t="n">
        <v>47.1</v>
      </c>
      <c r="G8712" t="n">
        <v>497</v>
      </c>
      <c r="H8712" t="n">
        <v>3.14e-90</v>
      </c>
      <c r="I8712" t="inlineStr">
        <is>
          <t>TrEMBL</t>
        </is>
      </c>
      <c r="J8712" t="inlineStr">
        <is>
          <t>CFAP97</t>
        </is>
      </c>
      <c r="K8712" t="inlineStr">
        <is>
          <t>A0A2I0MM46_COLLI</t>
        </is>
      </c>
      <c r="L8712" t="inlineStr">
        <is>
          <t>tr|A0A2I0MM46|A0A2I0MM46_COLLI Cilia- and flagella-associated protein 97 OS=Columba livia OX=8932 GN=CFAP97 PE=3 SV=1</t>
        </is>
      </c>
      <c r="M8712" t="n">
        <v>488</v>
      </c>
      <c r="N8712" t="inlineStr">
        <is>
          <t>Columba livia</t>
        </is>
      </c>
      <c r="O8712" t="inlineStr">
        <is>
          <t>Cilia- and flagella-associated protein 97</t>
        </is>
      </c>
    </row>
    <row r="8713">
      <c r="A8713" t="inlineStr"/>
      <c r="B8713" t="inlineStr"/>
      <c r="C8713" t="inlineStr"/>
      <c r="D8713" t="inlineStr"/>
      <c r="E8713">
        <f>HYPERLINK("https://www.uniprot.org/uniprotkb/A0A663M565/entry", "A0A663M565")</f>
        <v/>
      </c>
      <c r="F8713" t="n">
        <v>48.1</v>
      </c>
      <c r="G8713" t="n">
        <v>501</v>
      </c>
      <c r="H8713" t="n">
        <v>3.32e-90</v>
      </c>
      <c r="I8713" t="inlineStr">
        <is>
          <t>TrEMBL</t>
        </is>
      </c>
      <c r="J8713" t="inlineStr">
        <is>
          <t>CFAP97</t>
        </is>
      </c>
      <c r="K8713" t="inlineStr">
        <is>
          <t>A0A663M565_ATHCN</t>
        </is>
      </c>
      <c r="L8713" t="inlineStr">
        <is>
          <t>tr|A0A663M565|A0A663M565_ATHCN Cilia- and flagella-associated protein 97 OS=Athene cunicularia OX=194338 GN=CFAP97 PE=3 SV=1</t>
        </is>
      </c>
      <c r="M8713" t="n">
        <v>490</v>
      </c>
      <c r="N8713" t="inlineStr">
        <is>
          <t>Athene cunicularia</t>
        </is>
      </c>
      <c r="O8713" t="inlineStr">
        <is>
          <t>Cilia- and flagella-associated protein 97</t>
        </is>
      </c>
    </row>
    <row r="8714">
      <c r="A8714" t="inlineStr"/>
      <c r="B8714" t="inlineStr"/>
      <c r="C8714" t="inlineStr"/>
      <c r="D8714" t="inlineStr"/>
      <c r="E8714">
        <f>HYPERLINK("https://www.uniprot.org/uniprotkb/A0A8C3FM19/entry", "A0A8C3FM19")</f>
        <v/>
      </c>
      <c r="F8714" t="n">
        <v>45.5</v>
      </c>
      <c r="G8714" t="n">
        <v>527</v>
      </c>
      <c r="H8714" t="n">
        <v>4.36e-90</v>
      </c>
      <c r="I8714" t="inlineStr">
        <is>
          <t>TrEMBL</t>
        </is>
      </c>
      <c r="J8714" t="inlineStr">
        <is>
          <t>CFAP97</t>
        </is>
      </c>
      <c r="K8714" t="inlineStr">
        <is>
          <t>A0A8C3FM19_CHRPI</t>
        </is>
      </c>
      <c r="L8714" t="inlineStr">
        <is>
          <t>tr|A0A8C3FM19|A0A8C3FM19_CHRPI Cilia- and flagella-associated protein 97 OS=Chrysemys picta bellii OX=8478 GN=CFAP97 PE=3 SV=1</t>
        </is>
      </c>
      <c r="M8714" t="n">
        <v>512</v>
      </c>
      <c r="N8714" t="inlineStr">
        <is>
          <t>Chrysemys picta bellii</t>
        </is>
      </c>
      <c r="O8714" t="inlineStr">
        <is>
          <t>Cilia- and flagella-associated protein 97</t>
        </is>
      </c>
    </row>
    <row r="8715">
      <c r="A8715" t="inlineStr"/>
      <c r="B8715" t="inlineStr"/>
      <c r="C8715" t="inlineStr"/>
      <c r="D8715" t="inlineStr"/>
      <c r="E8715">
        <f>HYPERLINK("https://www.uniprot.org/uniprotkb/A0A8B7IH52/entry", "A0A8B7IH52")</f>
        <v/>
      </c>
      <c r="F8715" t="n">
        <v>45.3</v>
      </c>
      <c r="G8715" t="n">
        <v>516</v>
      </c>
      <c r="H8715" t="n">
        <v>5e-89</v>
      </c>
      <c r="I8715" t="inlineStr">
        <is>
          <t>TrEMBL</t>
        </is>
      </c>
      <c r="J8715" t="inlineStr">
        <is>
          <t>CFAP97</t>
        </is>
      </c>
      <c r="K8715" t="inlineStr">
        <is>
          <t>A0A8B7IH52_9AVES</t>
        </is>
      </c>
      <c r="L8715" t="inlineStr">
        <is>
          <t>tr|A0A8B7IH52|A0A8B7IH52_9AVES Cilia- and flagella-associated protein 97 OS=Apteryx mantelli mantelli OX=202946 GN=CFAP97 PE=3 SV=1</t>
        </is>
      </c>
      <c r="M8715" t="n">
        <v>501</v>
      </c>
      <c r="N8715" t="inlineStr">
        <is>
          <t>Apteryx mantelli mantelli</t>
        </is>
      </c>
      <c r="O8715" t="inlineStr">
        <is>
          <t>Cilia- and flagella-associated protein 97</t>
        </is>
      </c>
    </row>
    <row r="8716">
      <c r="A8716" t="inlineStr"/>
      <c r="B8716" t="inlineStr"/>
      <c r="C8716" t="inlineStr"/>
      <c r="D8716" t="inlineStr"/>
      <c r="E8716">
        <f>HYPERLINK("https://www.uniprot.org/uniprotkb/A0A8C4V8A4/entry", "A0A8C4V8A4")</f>
        <v/>
      </c>
      <c r="F8716" t="n">
        <v>47.2</v>
      </c>
      <c r="G8716" t="n">
        <v>492</v>
      </c>
      <c r="H8716" t="n">
        <v>2.6e-88</v>
      </c>
      <c r="I8716" t="inlineStr">
        <is>
          <t>TrEMBL</t>
        </is>
      </c>
      <c r="J8716" t="inlineStr"/>
      <c r="K8716" t="inlineStr">
        <is>
          <t>A0A8C4V8A4_FALTI</t>
        </is>
      </c>
      <c r="L8716" t="inlineStr">
        <is>
          <t>tr|A0A8C4V8A4|A0A8C4V8A4_FALTI Cilia- and flagella-associated protein 97 OS=Falco tinnunculus OX=100819 PE=3 SV=1</t>
        </is>
      </c>
      <c r="M8716" t="n">
        <v>511</v>
      </c>
      <c r="N8716" t="inlineStr">
        <is>
          <t>Falco tinnunculus</t>
        </is>
      </c>
      <c r="O8716" t="inlineStr">
        <is>
          <t>Cilia- and flagella-associated protein 97</t>
        </is>
      </c>
    </row>
    <row r="8717">
      <c r="A8717" t="inlineStr"/>
      <c r="B8717" t="inlineStr"/>
      <c r="C8717" t="inlineStr"/>
      <c r="D8717" t="inlineStr"/>
      <c r="E8717">
        <f>HYPERLINK("https://www.uniprot.org/uniprotkb/A0A8C0GJS8/entry", "A0A8C0GJS8")</f>
        <v/>
      </c>
      <c r="F8717" t="n">
        <v>44.2</v>
      </c>
      <c r="G8717" t="n">
        <v>534</v>
      </c>
      <c r="H8717" t="n">
        <v>1.58e-87</v>
      </c>
      <c r="I8717" t="inlineStr">
        <is>
          <t>TrEMBL</t>
        </is>
      </c>
      <c r="J8717" t="inlineStr">
        <is>
          <t>CFAP97</t>
        </is>
      </c>
      <c r="K8717" t="inlineStr">
        <is>
          <t>A0A8C0GJS8_CHEAB</t>
        </is>
      </c>
      <c r="L8717" t="inlineStr">
        <is>
          <t>tr|A0A8C0GJS8|A0A8C0GJS8_CHEAB Cilia- and flagella-associated protein 97 OS=Chelonoidis abingdonii OX=106734 GN=CFAP97 PE=3 SV=1</t>
        </is>
      </c>
      <c r="M8717" t="n">
        <v>527</v>
      </c>
      <c r="N8717" t="inlineStr">
        <is>
          <t>Chelonoidis abingdonii</t>
        </is>
      </c>
      <c r="O8717" t="inlineStr">
        <is>
          <t>Cilia- and flagella-associated protein 97</t>
        </is>
      </c>
    </row>
    <row r="8718">
      <c r="A8718" t="inlineStr"/>
      <c r="B8718" t="inlineStr"/>
      <c r="C8718" t="inlineStr"/>
      <c r="D8718" t="inlineStr"/>
      <c r="E8718">
        <f>HYPERLINK("https://www.uniprot.org/uniprotkb/Q9P2B7/entry", "Q9P2B7")</f>
        <v/>
      </c>
      <c r="F8718" t="n">
        <v>40.2</v>
      </c>
      <c r="G8718" t="n">
        <v>537</v>
      </c>
      <c r="H8718" t="n">
        <v>6.58e-73</v>
      </c>
      <c r="I8718" t="inlineStr">
        <is>
          <t>Swiss-Prot</t>
        </is>
      </c>
      <c r="J8718" t="inlineStr">
        <is>
          <t>CFAP97</t>
        </is>
      </c>
      <c r="K8718" t="inlineStr">
        <is>
          <t>CFA97_HUMAN</t>
        </is>
      </c>
      <c r="L8718" t="inlineStr">
        <is>
          <t>sp|Q9P2B7|CFA97_HUMAN Cilia- and flagella-associated protein 97 OS=Homo sapiens OX=9606 GN=CFAP97 PE=1 SV=2</t>
        </is>
      </c>
      <c r="M8718" t="n">
        <v>532</v>
      </c>
      <c r="N8718" t="inlineStr">
        <is>
          <t>Homo sapiens</t>
        </is>
      </c>
      <c r="O8718" t="inlineStr">
        <is>
          <t>Cilia- and flagella-associated protein 97</t>
        </is>
      </c>
    </row>
    <row r="8719">
      <c r="A8719" t="inlineStr"/>
      <c r="B8719" t="inlineStr"/>
      <c r="C8719" t="inlineStr"/>
      <c r="D8719" t="inlineStr"/>
      <c r="E8719">
        <f>HYPERLINK("https://www.uniprot.org/uniprotkb/Q5RD75/entry", "Q5RD75")</f>
        <v/>
      </c>
      <c r="F8719" t="n">
        <v>40</v>
      </c>
      <c r="G8719" t="n">
        <v>537</v>
      </c>
      <c r="H8719" t="n">
        <v>3.870000000000001e-70</v>
      </c>
      <c r="I8719" t="inlineStr">
        <is>
          <t>Swiss-Prot</t>
        </is>
      </c>
      <c r="J8719" t="inlineStr">
        <is>
          <t>CFAP97</t>
        </is>
      </c>
      <c r="K8719" t="inlineStr">
        <is>
          <t>CFA97_PONAB</t>
        </is>
      </c>
      <c r="L8719" t="inlineStr">
        <is>
          <t>sp|Q5RD75|CFA97_PONAB Cilia- and flagella-associated protein 97 OS=Pongo abelii OX=9601 GN=CFAP97 PE=2 SV=1</t>
        </is>
      </c>
      <c r="M8719" t="n">
        <v>530</v>
      </c>
      <c r="N8719" t="inlineStr">
        <is>
          <t>Pongo abelii</t>
        </is>
      </c>
      <c r="O8719" t="inlineStr">
        <is>
          <t>Cilia- and flagella-associated protein 97</t>
        </is>
      </c>
    </row>
    <row r="8720">
      <c r="A8720" t="inlineStr"/>
      <c r="B8720" t="inlineStr"/>
      <c r="C8720" t="inlineStr"/>
      <c r="D8720" t="inlineStr"/>
      <c r="E8720">
        <f>HYPERLINK("https://www.uniprot.org/uniprotkb/Q2KJH5/entry", "Q2KJH5")</f>
        <v/>
      </c>
      <c r="F8720" t="n">
        <v>39.8</v>
      </c>
      <c r="G8720" t="n">
        <v>545</v>
      </c>
      <c r="H8720" t="n">
        <v>1.48e-68</v>
      </c>
      <c r="I8720" t="inlineStr">
        <is>
          <t>Swiss-Prot</t>
        </is>
      </c>
      <c r="J8720" t="inlineStr">
        <is>
          <t>CFAP97</t>
        </is>
      </c>
      <c r="K8720" t="inlineStr">
        <is>
          <t>CFA97_BOVIN</t>
        </is>
      </c>
      <c r="L8720" t="inlineStr">
        <is>
          <t>sp|Q2KJH5|CFA97_BOVIN Cilia- and flagella-associated protein 97 OS=Bos taurus OX=9913 GN=CFAP97 PE=2 SV=1</t>
        </is>
      </c>
      <c r="M8720" t="n">
        <v>527</v>
      </c>
      <c r="N8720" t="inlineStr">
        <is>
          <t>Bos taurus</t>
        </is>
      </c>
      <c r="O8720" t="inlineStr">
        <is>
          <t>Cilia- and flagella-associated protein 97</t>
        </is>
      </c>
    </row>
    <row r="8721">
      <c r="A8721" t="inlineStr"/>
      <c r="B8721" t="inlineStr"/>
      <c r="C8721" t="inlineStr"/>
      <c r="D8721" t="inlineStr"/>
      <c r="E8721">
        <f>HYPERLINK("https://www.uniprot.org/uniprotkb/Q6ZPR1/entry", "Q6ZPR1")</f>
        <v/>
      </c>
      <c r="F8721" t="n">
        <v>36.9</v>
      </c>
      <c r="G8721" t="n">
        <v>550</v>
      </c>
      <c r="H8721" t="n">
        <v>7.88e-60</v>
      </c>
      <c r="I8721" t="inlineStr">
        <is>
          <t>Swiss-Prot</t>
        </is>
      </c>
      <c r="J8721" t="inlineStr">
        <is>
          <t>Cfap97</t>
        </is>
      </c>
      <c r="K8721" t="inlineStr">
        <is>
          <t>CFA97_MOUSE</t>
        </is>
      </c>
      <c r="L8721" t="inlineStr">
        <is>
          <t>sp|Q6ZPR1|CFA97_MOUSE Cilia- and flagella-associated protein 97 OS=Mus musculus OX=10090 GN=Cfap97 PE=1 SV=2</t>
        </is>
      </c>
      <c r="M8721" t="n">
        <v>541</v>
      </c>
      <c r="N8721" t="inlineStr">
        <is>
          <t>Mus musculus</t>
        </is>
      </c>
      <c r="O8721" t="inlineStr">
        <is>
          <t>Cilia- and flagella-associated protein 97</t>
        </is>
      </c>
    </row>
    <row r="8722">
      <c r="A8722" t="inlineStr"/>
      <c r="B8722" t="inlineStr"/>
      <c r="C8722" t="inlineStr"/>
      <c r="D8722" t="inlineStr"/>
      <c r="E8722">
        <f>HYPERLINK("https://www.uniprot.org/uniprotkb/Q66H34/entry", "Q66H34")</f>
        <v/>
      </c>
      <c r="F8722" t="n">
        <v>37.6</v>
      </c>
      <c r="G8722" t="n">
        <v>490</v>
      </c>
      <c r="H8722" t="n">
        <v>3.61e-57</v>
      </c>
      <c r="I8722" t="inlineStr">
        <is>
          <t>Swiss-Prot</t>
        </is>
      </c>
      <c r="J8722" t="inlineStr">
        <is>
          <t>Cfap97</t>
        </is>
      </c>
      <c r="K8722" t="inlineStr">
        <is>
          <t>CFA97_RAT</t>
        </is>
      </c>
      <c r="L8722" t="inlineStr">
        <is>
          <t>sp|Q66H34|CFA97_RAT Cilia- and flagella-associated protein 97 OS=Rattus norvegicus OX=10116 GN=Cfap97 PE=1 SV=1</t>
        </is>
      </c>
      <c r="M8722" t="n">
        <v>548</v>
      </c>
      <c r="N8722" t="inlineStr">
        <is>
          <t>Rattus norvegicus</t>
        </is>
      </c>
      <c r="O8722" t="inlineStr">
        <is>
          <t>Cilia- and flagella-associated protein 97</t>
        </is>
      </c>
    </row>
    <row r="8723">
      <c r="A8723" t="inlineStr"/>
      <c r="B8723" t="inlineStr"/>
      <c r="C8723" t="inlineStr"/>
      <c r="D8723" t="inlineStr"/>
      <c r="E8723">
        <f>HYPERLINK("https://www.ncbi.nlm.nih.gov/gene/?term=XP_044151545.1", "XP_044151545.1")</f>
        <v/>
      </c>
      <c r="F8723" t="n">
        <v>44.5</v>
      </c>
      <c r="G8723" t="n">
        <v>164</v>
      </c>
      <c r="H8723" t="n">
        <v>8.3e-29</v>
      </c>
      <c r="I8723" t="inlineStr">
        <is>
          <t>Nr</t>
        </is>
      </c>
      <c r="J8723" t="inlineStr"/>
      <c r="K8723" t="inlineStr"/>
      <c r="L8723" t="inlineStr">
        <is>
          <t>XP_044151545.1 nuclear pore complex protein Nup155 [Bufo gargarizans]</t>
        </is>
      </c>
      <c r="M8723" t="n">
        <v>1594</v>
      </c>
      <c r="N8723" t="inlineStr">
        <is>
          <t>Bufo gargarizans</t>
        </is>
      </c>
      <c r="O8723" t="inlineStr">
        <is>
          <t>nuclear pore complex protein Nup155</t>
        </is>
      </c>
    </row>
    <row r="8724">
      <c r="A8724" t="inlineStr"/>
      <c r="B8724" t="inlineStr"/>
      <c r="C8724" t="inlineStr"/>
      <c r="D8724" t="inlineStr"/>
      <c r="E8724">
        <f>HYPERLINK("https://www.uniprot.org/uniprotkb/A0A8J1LAE2/entry", "A0A8J1LAE2")</f>
        <v/>
      </c>
      <c r="F8724" t="n">
        <v>39.4</v>
      </c>
      <c r="G8724" t="n">
        <v>142</v>
      </c>
      <c r="H8724" t="n">
        <v>6.94e-23</v>
      </c>
      <c r="I8724" t="inlineStr">
        <is>
          <t>TrEMBL</t>
        </is>
      </c>
      <c r="J8724" t="inlineStr">
        <is>
          <t>MGC115313</t>
        </is>
      </c>
      <c r="K8724" t="inlineStr">
        <is>
          <t>A0A8J1LAE2_XENLA</t>
        </is>
      </c>
      <c r="L8724" t="inlineStr">
        <is>
          <t>tr|A0A8J1LAE2|A0A8J1LAE2_XENLA uncharacterized protein LOC734383 isoform X1 OS=Xenopus laevis OX=8355 GN=MGC115313 PE=4 SV=1</t>
        </is>
      </c>
      <c r="M8724" t="n">
        <v>393</v>
      </c>
      <c r="N8724" t="inlineStr">
        <is>
          <t>Xenopus laevis</t>
        </is>
      </c>
      <c r="O8724" t="inlineStr">
        <is>
          <t>uncharacterized protein LOC734383 isoform X1</t>
        </is>
      </c>
    </row>
    <row r="8725">
      <c r="A8725" t="inlineStr"/>
      <c r="B8725" t="inlineStr"/>
      <c r="C8725" t="inlineStr"/>
      <c r="D8725" t="inlineStr"/>
      <c r="E8725">
        <f>HYPERLINK("https://www.uniprot.org/uniprotkb/A0A8J1KMD2/entry", "A0A8J1KMD2")</f>
        <v/>
      </c>
      <c r="F8725" t="n">
        <v>40.3</v>
      </c>
      <c r="G8725" t="n">
        <v>144</v>
      </c>
      <c r="H8725" t="n">
        <v>8.029999999999999e-23</v>
      </c>
      <c r="I8725" t="inlineStr">
        <is>
          <t>TrEMBL</t>
        </is>
      </c>
      <c r="J8725" t="inlineStr">
        <is>
          <t>LOC121393601</t>
        </is>
      </c>
      <c r="K8725" t="inlineStr">
        <is>
          <t>A0A8J1KMD2_XENLA</t>
        </is>
      </c>
      <c r="L8725" t="inlineStr">
        <is>
          <t>tr|A0A8J1KMD2|A0A8J1KMD2_XENLA ribonuclease H OS=Xenopus laevis OX=8355 GN=LOC121393601 PE=3 SV=1</t>
        </is>
      </c>
      <c r="M8725" t="n">
        <v>1091</v>
      </c>
      <c r="N8725" t="inlineStr">
        <is>
          <t>Xenopus laevis</t>
        </is>
      </c>
      <c r="O8725" t="inlineStr">
        <is>
          <t>ribonuclease H</t>
        </is>
      </c>
    </row>
    <row r="8726">
      <c r="A8726" t="inlineStr"/>
      <c r="B8726" t="inlineStr"/>
      <c r="C8726" t="inlineStr"/>
      <c r="D8726" t="inlineStr"/>
      <c r="E8726">
        <f>HYPERLINK("https://www.ncbi.nlm.nih.gov/gene/?term=XP_041426492.1", "XP_041426492.1")</f>
        <v/>
      </c>
      <c r="F8726" t="n">
        <v>39.4</v>
      </c>
      <c r="G8726" t="n">
        <v>142</v>
      </c>
      <c r="H8726" t="n">
        <v>1.78e-22</v>
      </c>
      <c r="I8726" t="inlineStr">
        <is>
          <t>Nr</t>
        </is>
      </c>
      <c r="J8726" t="inlineStr"/>
      <c r="K8726" t="inlineStr"/>
      <c r="L8726" t="inlineStr">
        <is>
          <t>XP_041426492.1 uncharacterized protein LOC734383 isoform X1 [Xenopus laevis]</t>
        </is>
      </c>
      <c r="M8726" t="n">
        <v>393</v>
      </c>
      <c r="N8726" t="inlineStr">
        <is>
          <t>Xenopus laevis</t>
        </is>
      </c>
      <c r="O8726" t="inlineStr">
        <is>
          <t>uncharacterized protein LOC734383 isoform X1</t>
        </is>
      </c>
    </row>
    <row r="8727">
      <c r="A8727" t="inlineStr"/>
      <c r="B8727" t="inlineStr"/>
      <c r="C8727" t="inlineStr"/>
      <c r="D8727" t="inlineStr"/>
      <c r="E8727">
        <f>HYPERLINK("https://www.ncbi.nlm.nih.gov/gene/?term=XP_041418470.1", "XP_041418470.1")</f>
        <v/>
      </c>
      <c r="F8727" t="n">
        <v>40.3</v>
      </c>
      <c r="G8727" t="n">
        <v>144</v>
      </c>
      <c r="H8727" t="n">
        <v>2.06e-22</v>
      </c>
      <c r="I8727" t="inlineStr">
        <is>
          <t>Nr</t>
        </is>
      </c>
      <c r="J8727" t="inlineStr"/>
      <c r="K8727" t="inlineStr"/>
      <c r="L8727" t="inlineStr">
        <is>
          <t>XP_041418470.1 uncharacterized protein LOC121393601 [Xenopus laevis]</t>
        </is>
      </c>
      <c r="M8727" t="n">
        <v>1091</v>
      </c>
      <c r="N8727" t="inlineStr">
        <is>
          <t>Xenopus laevis</t>
        </is>
      </c>
      <c r="O8727" t="inlineStr">
        <is>
          <t>uncharacterized protein LOC121393601</t>
        </is>
      </c>
    </row>
    <row r="8728">
      <c r="A8728" t="inlineStr"/>
      <c r="B8728" t="inlineStr"/>
      <c r="C8728" t="inlineStr"/>
      <c r="D8728" t="inlineStr"/>
      <c r="E8728">
        <f>HYPERLINK("https://www.ncbi.nlm.nih.gov/gene/?term=XP_018432223.1", "XP_018432223.1")</f>
        <v/>
      </c>
      <c r="F8728" t="n">
        <v>34.3</v>
      </c>
      <c r="G8728" t="n">
        <v>213</v>
      </c>
      <c r="H8728" t="n">
        <v>1.93e-21</v>
      </c>
      <c r="I8728" t="inlineStr">
        <is>
          <t>Nr</t>
        </is>
      </c>
      <c r="J8728" t="inlineStr"/>
      <c r="K8728" t="inlineStr"/>
      <c r="L8728" t="inlineStr">
        <is>
          <t>XP_018432223.1 PREDICTED: gamma-tubulin complex component 6 [Nanorana parkeri]</t>
        </is>
      </c>
      <c r="M8728" t="n">
        <v>2620</v>
      </c>
      <c r="N8728" t="inlineStr">
        <is>
          <t>Nanorana parkeri</t>
        </is>
      </c>
      <c r="O8728" t="inlineStr">
        <is>
          <t>PREDICTED: gamma-tubulin complex component 6</t>
        </is>
      </c>
    </row>
    <row r="8729">
      <c r="A8729" t="inlineStr"/>
      <c r="B8729" t="inlineStr"/>
      <c r="C8729" t="inlineStr"/>
      <c r="D8729" t="inlineStr"/>
      <c r="E8729">
        <f>HYPERLINK("https://www.uniprot.org/uniprotkb/A0A8J1M3F4/entry", "A0A8J1M3F4")</f>
        <v/>
      </c>
      <c r="F8729" t="n">
        <v>36.5</v>
      </c>
      <c r="G8729" t="n">
        <v>167</v>
      </c>
      <c r="H8729" t="n">
        <v>5.350000000000001e-21</v>
      </c>
      <c r="I8729" t="inlineStr">
        <is>
          <t>TrEMBL</t>
        </is>
      </c>
      <c r="J8729" t="inlineStr">
        <is>
          <t>LOC121399363</t>
        </is>
      </c>
      <c r="K8729" t="inlineStr">
        <is>
          <t>A0A8J1M3F4_XENLA</t>
        </is>
      </c>
      <c r="L8729" t="inlineStr">
        <is>
          <t>tr|A0A8J1M3F4|A0A8J1M3F4_XENLA uncharacterized protein LOC121399363 OS=Xenopus laevis OX=8355 GN=LOC121399363 PE=4 SV=1</t>
        </is>
      </c>
      <c r="M8729" t="n">
        <v>682</v>
      </c>
      <c r="N8729" t="inlineStr">
        <is>
          <t>Xenopus laevis</t>
        </is>
      </c>
      <c r="O8729" t="inlineStr">
        <is>
          <t>uncharacterized protein LOC121399363</t>
        </is>
      </c>
    </row>
    <row r="8730">
      <c r="A8730" t="inlineStr"/>
      <c r="B8730" t="inlineStr"/>
      <c r="C8730" t="inlineStr"/>
      <c r="D8730" t="inlineStr"/>
      <c r="E8730">
        <f>HYPERLINK("https://www.ncbi.nlm.nih.gov/gene/?term=XP_041435826.1", "XP_041435826.1")</f>
        <v/>
      </c>
      <c r="F8730" t="n">
        <v>36.5</v>
      </c>
      <c r="G8730" t="n">
        <v>167</v>
      </c>
      <c r="H8730" t="n">
        <v>1.38e-20</v>
      </c>
      <c r="I8730" t="inlineStr">
        <is>
          <t>Nr</t>
        </is>
      </c>
      <c r="J8730" t="inlineStr"/>
      <c r="K8730" t="inlineStr"/>
      <c r="L8730" t="inlineStr">
        <is>
          <t>XP_041435826.1 uncharacterized protein LOC121399363 [Xenopus laevis]</t>
        </is>
      </c>
      <c r="M8730" t="n">
        <v>682</v>
      </c>
      <c r="N8730" t="inlineStr">
        <is>
          <t>Xenopus laevis</t>
        </is>
      </c>
      <c r="O8730" t="inlineStr">
        <is>
          <t>uncharacterized protein LOC121399363</t>
        </is>
      </c>
    </row>
    <row r="8731">
      <c r="A8731" t="inlineStr"/>
      <c r="B8731" t="inlineStr"/>
      <c r="C8731" t="inlineStr"/>
      <c r="D8731" t="inlineStr"/>
      <c r="E8731">
        <f>HYPERLINK("https://www.uniprot.org/uniprotkb/A0A8J1KMJ4/entry", "A0A8J1KMJ4")</f>
        <v/>
      </c>
      <c r="F8731" t="n">
        <v>39.5</v>
      </c>
      <c r="G8731" t="n">
        <v>147</v>
      </c>
      <c r="H8731" t="n">
        <v>5.2e-19</v>
      </c>
      <c r="I8731" t="inlineStr">
        <is>
          <t>TrEMBL</t>
        </is>
      </c>
      <c r="J8731" t="inlineStr">
        <is>
          <t>LOC121393326</t>
        </is>
      </c>
      <c r="K8731" t="inlineStr">
        <is>
          <t>A0A8J1KMJ4_XENLA</t>
        </is>
      </c>
      <c r="L8731" t="inlineStr">
        <is>
          <t>tr|A0A8J1KMJ4|A0A8J1KMJ4_XENLA uncharacterized protein LOC121393326 OS=Xenopus laevis OX=8355 GN=LOC121393326 PE=4 SV=1</t>
        </is>
      </c>
      <c r="M8731" t="n">
        <v>626</v>
      </c>
      <c r="N8731" t="inlineStr">
        <is>
          <t>Xenopus laevis</t>
        </is>
      </c>
      <c r="O8731" t="inlineStr">
        <is>
          <t>uncharacterized protein LOC121393326</t>
        </is>
      </c>
    </row>
    <row r="8732">
      <c r="A8732" t="inlineStr"/>
      <c r="B8732" t="inlineStr"/>
      <c r="C8732" t="inlineStr"/>
      <c r="D8732" t="inlineStr"/>
      <c r="E8732">
        <f>HYPERLINK("https://www.ncbi.nlm.nih.gov/gene/?term=XP_041417454.1", "XP_041417454.1")</f>
        <v/>
      </c>
      <c r="F8732" t="n">
        <v>39.5</v>
      </c>
      <c r="G8732" t="n">
        <v>147</v>
      </c>
      <c r="H8732" t="n">
        <v>1.33e-18</v>
      </c>
      <c r="I8732" t="inlineStr">
        <is>
          <t>Nr</t>
        </is>
      </c>
      <c r="J8732" t="inlineStr"/>
      <c r="K8732" t="inlineStr"/>
      <c r="L8732" t="inlineStr">
        <is>
          <t>XP_041417454.1 uncharacterized protein LOC121393326 [Xenopus laevis]</t>
        </is>
      </c>
      <c r="M8732" t="n">
        <v>626</v>
      </c>
      <c r="N8732" t="inlineStr">
        <is>
          <t>Xenopus laevis</t>
        </is>
      </c>
      <c r="O8732" t="inlineStr">
        <is>
          <t>uncharacterized protein LOC121393326</t>
        </is>
      </c>
    </row>
    <row r="8733">
      <c r="A8733" t="inlineStr"/>
      <c r="B8733" t="inlineStr"/>
      <c r="C8733" t="inlineStr"/>
      <c r="D8733" t="inlineStr"/>
      <c r="E8733">
        <f>HYPERLINK("https://www.uniprot.org/uniprotkb/A0A6I8SBU0/entry", "A0A6I8SBU0")</f>
        <v/>
      </c>
      <c r="F8733" t="n">
        <v>56</v>
      </c>
      <c r="G8733" t="n">
        <v>75</v>
      </c>
      <c r="H8733" t="n">
        <v>2.87e-17</v>
      </c>
      <c r="I8733" t="inlineStr">
        <is>
          <t>TrEMBL</t>
        </is>
      </c>
      <c r="J8733" t="inlineStr"/>
      <c r="K8733" t="inlineStr">
        <is>
          <t>A0A6I8SBU0_XENTR</t>
        </is>
      </c>
      <c r="L8733" t="inlineStr">
        <is>
          <t>tr|A0A6I8SBU0|A0A6I8SBU0_XENTR Core-binding (CB) domain-containing protein OS=Xenopus tropicalis OX=8364 PE=4 SV=2</t>
        </is>
      </c>
      <c r="M8733" t="n">
        <v>674</v>
      </c>
      <c r="N8733" t="inlineStr">
        <is>
          <t>Xenopus tropicalis</t>
        </is>
      </c>
      <c r="O8733" t="inlineStr">
        <is>
          <t>Core-binding (CB) domain-containing protein</t>
        </is>
      </c>
    </row>
    <row r="8734">
      <c r="A8734" t="inlineStr"/>
      <c r="B8734" t="inlineStr"/>
      <c r="C8734" t="inlineStr"/>
      <c r="D8734" t="inlineStr"/>
      <c r="E8734">
        <f>HYPERLINK("https://www.ncbi.nlm.nih.gov/gene/?term=XP_040286209.1", "XP_040286209.1")</f>
        <v/>
      </c>
      <c r="F8734" t="n">
        <v>34.6</v>
      </c>
      <c r="G8734" t="n">
        <v>205</v>
      </c>
      <c r="H8734" t="n">
        <v>3.64e-17</v>
      </c>
      <c r="I8734" t="inlineStr">
        <is>
          <t>Nr</t>
        </is>
      </c>
      <c r="J8734" t="inlineStr"/>
      <c r="K8734" t="inlineStr"/>
      <c r="L8734" t="inlineStr">
        <is>
          <t>XP_040286209.1 dynein heavy chain 8, axonemal [Bufo bufo]</t>
        </is>
      </c>
      <c r="M8734" t="n">
        <v>5444</v>
      </c>
      <c r="N8734" t="inlineStr">
        <is>
          <t>Bufo bufo</t>
        </is>
      </c>
      <c r="O8734" t="inlineStr">
        <is>
          <t>dynein heavy chain 8, axonemal</t>
        </is>
      </c>
    </row>
    <row r="8735">
      <c r="A8735" t="inlineStr"/>
      <c r="B8735" t="inlineStr"/>
      <c r="C8735" t="inlineStr"/>
      <c r="D8735" t="inlineStr"/>
      <c r="E8735">
        <f>HYPERLINK("https://www.uniprot.org/uniprotkb/A0A8J1LVD3/entry", "A0A8J1LVD3")</f>
        <v/>
      </c>
      <c r="F8735" t="n">
        <v>37.8</v>
      </c>
      <c r="G8735" t="n">
        <v>143</v>
      </c>
      <c r="H8735" t="n">
        <v>4.3e-17</v>
      </c>
      <c r="I8735" t="inlineStr">
        <is>
          <t>TrEMBL</t>
        </is>
      </c>
      <c r="J8735" t="inlineStr">
        <is>
          <t>LOC121398305</t>
        </is>
      </c>
      <c r="K8735" t="inlineStr">
        <is>
          <t>A0A8J1LVD3_XENLA</t>
        </is>
      </c>
      <c r="L8735" t="inlineStr">
        <is>
          <t>tr|A0A8J1LVD3|A0A8J1LVD3_XENLA uncharacterized protein LOC121398305 OS=Xenopus laevis OX=8355 GN=LOC121398305 PE=4 SV=1</t>
        </is>
      </c>
      <c r="M8735" t="n">
        <v>485</v>
      </c>
      <c r="N8735" t="inlineStr">
        <is>
          <t>Xenopus laevis</t>
        </is>
      </c>
      <c r="O8735" t="inlineStr">
        <is>
          <t>uncharacterized protein LOC121398305</t>
        </is>
      </c>
    </row>
    <row r="8736">
      <c r="A8736" t="inlineStr"/>
      <c r="B8736" t="inlineStr"/>
      <c r="C8736" t="inlineStr"/>
      <c r="D8736" t="inlineStr"/>
      <c r="E8736">
        <f>HYPERLINK("https://www.uniprot.org/uniprotkb/A0A803J9S3/entry", "A0A803J9S3")</f>
        <v/>
      </c>
      <c r="F8736" t="n">
        <v>36.5</v>
      </c>
      <c r="G8736" t="n">
        <v>137</v>
      </c>
      <c r="H8736" t="n">
        <v>5.42e-17</v>
      </c>
      <c r="I8736" t="inlineStr">
        <is>
          <t>TrEMBL</t>
        </is>
      </c>
      <c r="J8736" t="inlineStr"/>
      <c r="K8736" t="inlineStr">
        <is>
          <t>A0A803J9S3_XENTR</t>
        </is>
      </c>
      <c r="L8736" t="inlineStr">
        <is>
          <t>tr|A0A803J9S3|A0A803J9S3_XENTR Integrase catalytic domain-containing protein OS=Xenopus tropicalis OX=8364 PE=4 SV=1</t>
        </is>
      </c>
      <c r="M8736" t="n">
        <v>358</v>
      </c>
      <c r="N8736" t="inlineStr">
        <is>
          <t>Xenopus tropicalis</t>
        </is>
      </c>
      <c r="O8736" t="inlineStr">
        <is>
          <t>Integrase catalytic domain-containing protein</t>
        </is>
      </c>
    </row>
    <row r="8737">
      <c r="A8737" t="inlineStr"/>
      <c r="B8737" t="inlineStr"/>
      <c r="C8737" t="inlineStr"/>
      <c r="D8737" t="inlineStr"/>
      <c r="E8737">
        <f>HYPERLINK("https://www.ncbi.nlm.nih.gov/gene/?term=KAE8576050.1", "KAE8576050.1")</f>
        <v/>
      </c>
      <c r="F8737" t="n">
        <v>56</v>
      </c>
      <c r="G8737" t="n">
        <v>75</v>
      </c>
      <c r="H8737" t="n">
        <v>7.36e-17</v>
      </c>
      <c r="I8737" t="inlineStr">
        <is>
          <t>Nr</t>
        </is>
      </c>
      <c r="J8737" t="inlineStr"/>
      <c r="K8737" t="inlineStr"/>
      <c r="L8737" t="inlineStr">
        <is>
          <t>KAE8576050.1 hypothetical protein XENTR_v10004031 [Xenopus tropicalis]</t>
        </is>
      </c>
      <c r="M8737" t="n">
        <v>668</v>
      </c>
      <c r="N8737" t="inlineStr">
        <is>
          <t>Xenopus tropicalis</t>
        </is>
      </c>
      <c r="O8737" t="inlineStr">
        <is>
          <t>hypothetical protein XENTR_v10004031</t>
        </is>
      </c>
    </row>
    <row r="8738">
      <c r="A8738" t="inlineStr"/>
      <c r="B8738" t="inlineStr"/>
      <c r="C8738" t="inlineStr"/>
      <c r="D8738" t="inlineStr"/>
      <c r="E8738">
        <f>HYPERLINK("https://www.ncbi.nlm.nih.gov/gene/?term=XP_041433304.1", "XP_041433304.1")</f>
        <v/>
      </c>
      <c r="F8738" t="n">
        <v>37.8</v>
      </c>
      <c r="G8738" t="n">
        <v>143</v>
      </c>
      <c r="H8738" t="n">
        <v>1.1e-16</v>
      </c>
      <c r="I8738" t="inlineStr">
        <is>
          <t>Nr</t>
        </is>
      </c>
      <c r="J8738" t="inlineStr"/>
      <c r="K8738" t="inlineStr"/>
      <c r="L8738" t="inlineStr">
        <is>
          <t>XP_041433304.1 uncharacterized protein LOC121398305 [Xenopus laevis]</t>
        </is>
      </c>
      <c r="M8738" t="n">
        <v>485</v>
      </c>
      <c r="N8738" t="inlineStr">
        <is>
          <t>Xenopus laevis</t>
        </is>
      </c>
      <c r="O8738" t="inlineStr">
        <is>
          <t>uncharacterized protein LOC121398305</t>
        </is>
      </c>
    </row>
    <row r="8739">
      <c r="A8739" t="inlineStr"/>
      <c r="B8739" t="inlineStr"/>
      <c r="C8739" t="inlineStr"/>
      <c r="D8739" t="inlineStr"/>
      <c r="E8739">
        <f>HYPERLINK("https://www.ncbi.nlm.nih.gov/gene/?term=XP_040270849.1", "XP_040270849.1")</f>
        <v/>
      </c>
      <c r="F8739" t="n">
        <v>51.3</v>
      </c>
      <c r="G8739" t="n">
        <v>76</v>
      </c>
      <c r="H8739" t="n">
        <v>3.73e-16</v>
      </c>
      <c r="I8739" t="inlineStr">
        <is>
          <t>Nr</t>
        </is>
      </c>
      <c r="J8739" t="inlineStr"/>
      <c r="K8739" t="inlineStr"/>
      <c r="L8739" t="inlineStr">
        <is>
          <t>XP_040270849.1 uncharacterized protein LOC120986377 [Bufo bufo]</t>
        </is>
      </c>
      <c r="M8739" t="n">
        <v>328</v>
      </c>
      <c r="N8739" t="inlineStr">
        <is>
          <t>Bufo bufo</t>
        </is>
      </c>
      <c r="O8739" t="inlineStr">
        <is>
          <t>uncharacterized protein LOC120986377</t>
        </is>
      </c>
    </row>
    <row r="8740">
      <c r="A8740" t="inlineStr"/>
      <c r="B8740" t="inlineStr"/>
      <c r="C8740" t="inlineStr"/>
      <c r="D8740" t="inlineStr"/>
      <c r="E8740">
        <f>HYPERLINK("https://www.uniprot.org/uniprotkb/A0A8J1MZ44/entry", "A0A8J1MZ44")</f>
        <v/>
      </c>
      <c r="F8740" t="n">
        <v>38.5</v>
      </c>
      <c r="G8740" t="n">
        <v>143</v>
      </c>
      <c r="H8740" t="n">
        <v>1.19e-15</v>
      </c>
      <c r="I8740" t="inlineStr">
        <is>
          <t>TrEMBL</t>
        </is>
      </c>
      <c r="J8740" t="inlineStr">
        <is>
          <t>LOC121403038</t>
        </is>
      </c>
      <c r="K8740" t="inlineStr">
        <is>
          <t>A0A8J1MZ44_XENLA</t>
        </is>
      </c>
      <c r="L8740" t="inlineStr">
        <is>
          <t>tr|A0A8J1MZ44|A0A8J1MZ44_XENLA ribonuclease H OS=Xenopus laevis OX=8355 GN=LOC121403038 PE=3 SV=1</t>
        </is>
      </c>
      <c r="M8740" t="n">
        <v>852</v>
      </c>
      <c r="N8740" t="inlineStr">
        <is>
          <t>Xenopus laevis</t>
        </is>
      </c>
      <c r="O8740" t="inlineStr">
        <is>
          <t>ribonuclease H</t>
        </is>
      </c>
    </row>
    <row r="8741">
      <c r="A8741" t="inlineStr"/>
      <c r="B8741" t="inlineStr"/>
      <c r="C8741" t="inlineStr"/>
      <c r="D8741" t="inlineStr"/>
      <c r="E8741">
        <f>HYPERLINK("https://www.ncbi.nlm.nih.gov/gene/?term=XP_041446270.1", "XP_041446270.1")</f>
        <v/>
      </c>
      <c r="F8741" t="n">
        <v>38.5</v>
      </c>
      <c r="G8741" t="n">
        <v>143</v>
      </c>
      <c r="H8741" t="n">
        <v>3.07e-15</v>
      </c>
      <c r="I8741" t="inlineStr">
        <is>
          <t>Nr</t>
        </is>
      </c>
      <c r="J8741" t="inlineStr"/>
      <c r="K8741" t="inlineStr"/>
      <c r="L8741" t="inlineStr">
        <is>
          <t>XP_041446270.1 uncharacterized protein LOC121403038 [Xenopus laevis]</t>
        </is>
      </c>
      <c r="M8741" t="n">
        <v>852</v>
      </c>
      <c r="N8741" t="inlineStr">
        <is>
          <t>Xenopus laevis</t>
        </is>
      </c>
      <c r="O8741" t="inlineStr">
        <is>
          <t>uncharacterized protein LOC121403038</t>
        </is>
      </c>
    </row>
    <row r="8742">
      <c r="A8742" t="inlineStr"/>
      <c r="B8742" t="inlineStr"/>
      <c r="C8742" t="inlineStr"/>
      <c r="D8742" t="inlineStr"/>
      <c r="E8742">
        <f>HYPERLINK("https://www.ncbi.nlm.nih.gov/gene/?term=KAI2647888.1", "KAI2647888.1")</f>
        <v/>
      </c>
      <c r="F8742" t="n">
        <v>33.3</v>
      </c>
      <c r="G8742" t="n">
        <v>144</v>
      </c>
      <c r="H8742" t="n">
        <v>1.44e-14</v>
      </c>
      <c r="I8742" t="inlineStr">
        <is>
          <t>Nr</t>
        </is>
      </c>
      <c r="J8742" t="inlineStr"/>
      <c r="K8742" t="inlineStr"/>
      <c r="L8742" t="inlineStr">
        <is>
          <t>KAI2647888.1 ORF V: Enzymatic polyprotein [Labeo rohita]</t>
        </is>
      </c>
      <c r="M8742" t="n">
        <v>381</v>
      </c>
      <c r="N8742" t="inlineStr">
        <is>
          <t>Labeo rohita</t>
        </is>
      </c>
      <c r="O8742" t="inlineStr">
        <is>
          <t>ORF V: Enzymatic polyprotein</t>
        </is>
      </c>
    </row>
    <row r="8743">
      <c r="A8743" t="inlineStr"/>
      <c r="B8743" t="inlineStr"/>
      <c r="C8743" t="inlineStr"/>
      <c r="D8743" t="inlineStr"/>
      <c r="E8743">
        <f>HYPERLINK("https://www.ncbi.nlm.nih.gov/gene/?term=XP_044130116.1", "XP_044130116.1")</f>
        <v/>
      </c>
      <c r="F8743" t="n">
        <v>50</v>
      </c>
      <c r="G8743" t="n">
        <v>76</v>
      </c>
      <c r="H8743" t="n">
        <v>2.01e-14</v>
      </c>
      <c r="I8743" t="inlineStr">
        <is>
          <t>Nr</t>
        </is>
      </c>
      <c r="J8743" t="inlineStr"/>
      <c r="K8743" t="inlineStr"/>
      <c r="L8743" t="inlineStr">
        <is>
          <t>XP_044130116.1 solute carrier family 35 member F5 [Bufo gargarizans]</t>
        </is>
      </c>
      <c r="M8743" t="n">
        <v>1106</v>
      </c>
      <c r="N8743" t="inlineStr">
        <is>
          <t>Bufo gargarizans</t>
        </is>
      </c>
      <c r="O8743" t="inlineStr">
        <is>
          <t>solute carrier family 35 member F5</t>
        </is>
      </c>
    </row>
    <row r="8744">
      <c r="A8744" t="inlineStr"/>
      <c r="B8744" t="inlineStr"/>
      <c r="C8744" t="inlineStr"/>
      <c r="D8744" t="inlineStr"/>
      <c r="E8744">
        <f>HYPERLINK("https://www.uniprot.org/uniprotkb/A0A2D4J0A8/entry", "A0A2D4J0A8")</f>
        <v/>
      </c>
      <c r="F8744" t="n">
        <v>33.9</v>
      </c>
      <c r="G8744" t="n">
        <v>165</v>
      </c>
      <c r="H8744" t="n">
        <v>1.49e-13</v>
      </c>
      <c r="I8744" t="inlineStr">
        <is>
          <t>TrEMBL</t>
        </is>
      </c>
      <c r="J8744" t="inlineStr"/>
      <c r="K8744" t="inlineStr">
        <is>
          <t>A0A2D4J0A8_MICLE</t>
        </is>
      </c>
      <c r="L8744" t="inlineStr">
        <is>
          <t>tr|A0A2D4J0A8|A0A2D4J0A8_MICLE ribonuclease H OS=Micrurus lemniscatus lemniscatus OX=129467 PE=3 SV=1</t>
        </is>
      </c>
      <c r="M8744" t="n">
        <v>664</v>
      </c>
      <c r="N8744" t="inlineStr">
        <is>
          <t>Micrurus lemniscatus lemniscatus</t>
        </is>
      </c>
      <c r="O8744" t="inlineStr">
        <is>
          <t>ribonuclease H</t>
        </is>
      </c>
    </row>
    <row r="8745">
      <c r="A8745" t="inlineStr"/>
      <c r="B8745" t="inlineStr"/>
      <c r="C8745" t="inlineStr"/>
      <c r="D8745" t="inlineStr"/>
      <c r="E8745">
        <f>HYPERLINK("https://www.ncbi.nlm.nih.gov/gene/?term=KAI2657031.1", "KAI2657031.1")</f>
        <v/>
      </c>
      <c r="F8745" t="n">
        <v>32.6</v>
      </c>
      <c r="G8745" t="n">
        <v>144</v>
      </c>
      <c r="H8745" t="n">
        <v>1.71e-13</v>
      </c>
      <c r="I8745" t="inlineStr">
        <is>
          <t>Nr</t>
        </is>
      </c>
      <c r="J8745" t="inlineStr"/>
      <c r="K8745" t="inlineStr"/>
      <c r="L8745" t="inlineStr">
        <is>
          <t>KAI2657031.1 hypothetical protein H4Q32_021090 [Labeo rohita]</t>
        </is>
      </c>
      <c r="M8745" t="n">
        <v>1167</v>
      </c>
      <c r="N8745" t="inlineStr">
        <is>
          <t>Labeo rohita</t>
        </is>
      </c>
      <c r="O8745" t="inlineStr">
        <is>
          <t>hypothetical protein H4Q32_021090</t>
        </is>
      </c>
    </row>
    <row r="8746">
      <c r="A8746" t="inlineStr"/>
      <c r="B8746" t="inlineStr"/>
      <c r="C8746" t="inlineStr"/>
      <c r="D8746" t="inlineStr"/>
      <c r="E8746">
        <f>HYPERLINK("https://www.uniprot.org/uniprotkb/A0A8J1M8F0/entry", "A0A8J1M8F0")</f>
        <v/>
      </c>
      <c r="F8746" t="n">
        <v>36.1</v>
      </c>
      <c r="G8746" t="n">
        <v>144</v>
      </c>
      <c r="H8746" t="n">
        <v>1.98e-13</v>
      </c>
      <c r="I8746" t="inlineStr">
        <is>
          <t>TrEMBL</t>
        </is>
      </c>
      <c r="J8746" t="inlineStr">
        <is>
          <t>pfkfb2.L</t>
        </is>
      </c>
      <c r="K8746" t="inlineStr">
        <is>
          <t>A0A8J1M8F0_XENLA</t>
        </is>
      </c>
      <c r="L8746" t="inlineStr">
        <is>
          <t>tr|A0A8J1M8F0|A0A8J1M8F0_XENLA ribonuclease H OS=Xenopus laevis OX=8355 GN=pfkfb2.L PE=3 SV=1</t>
        </is>
      </c>
      <c r="M8746" t="n">
        <v>615</v>
      </c>
      <c r="N8746" t="inlineStr">
        <is>
          <t>Xenopus laevis</t>
        </is>
      </c>
      <c r="O8746" t="inlineStr">
        <is>
          <t>ribonuclease H</t>
        </is>
      </c>
    </row>
    <row r="8747">
      <c r="A8747" t="inlineStr"/>
      <c r="B8747" t="inlineStr"/>
      <c r="C8747" t="inlineStr"/>
      <c r="D8747" t="inlineStr"/>
      <c r="E8747">
        <f>HYPERLINK("https://www.ncbi.nlm.nih.gov/gene/?term=KAI2659096.1", "KAI2659096.1")</f>
        <v/>
      </c>
      <c r="F8747" t="n">
        <v>32.6</v>
      </c>
      <c r="G8747" t="n">
        <v>144</v>
      </c>
      <c r="H8747" t="n">
        <v>2.03e-13</v>
      </c>
      <c r="I8747" t="inlineStr">
        <is>
          <t>Nr</t>
        </is>
      </c>
      <c r="J8747" t="inlineStr"/>
      <c r="K8747" t="inlineStr"/>
      <c r="L8747" t="inlineStr">
        <is>
          <t>KAI2659096.1 ORF V: Enzymatic polyprotein [Labeo rohita]</t>
        </is>
      </c>
      <c r="M8747" t="n">
        <v>603</v>
      </c>
      <c r="N8747" t="inlineStr">
        <is>
          <t>Labeo rohita</t>
        </is>
      </c>
      <c r="O8747" t="inlineStr">
        <is>
          <t>ORF V: Enzymatic polyprotein</t>
        </is>
      </c>
    </row>
    <row r="8748">
      <c r="A8748" t="inlineStr"/>
      <c r="B8748" t="inlineStr"/>
      <c r="C8748" t="inlineStr"/>
      <c r="D8748" t="inlineStr"/>
      <c r="E8748">
        <f>HYPERLINK("https://www.ncbi.nlm.nih.gov/gene/?term=KAI2650483.1", "KAI2650483.1")</f>
        <v/>
      </c>
      <c r="F8748" t="n">
        <v>37.7</v>
      </c>
      <c r="G8748" t="n">
        <v>146</v>
      </c>
      <c r="H8748" t="n">
        <v>2.26e-13</v>
      </c>
      <c r="I8748" t="inlineStr">
        <is>
          <t>Nr</t>
        </is>
      </c>
      <c r="J8748" t="inlineStr"/>
      <c r="K8748" t="inlineStr"/>
      <c r="L8748" t="inlineStr">
        <is>
          <t>KAI2650483.1 ORF V: Enzymatic polyprotein [Labeo rohita]</t>
        </is>
      </c>
      <c r="M8748" t="n">
        <v>966</v>
      </c>
      <c r="N8748" t="inlineStr">
        <is>
          <t>Labeo rohita</t>
        </is>
      </c>
      <c r="O8748" t="inlineStr">
        <is>
          <t>ORF V: Enzymatic polyprotein</t>
        </is>
      </c>
    </row>
    <row r="8749">
      <c r="A8749" t="inlineStr"/>
      <c r="B8749" t="inlineStr"/>
      <c r="C8749" t="inlineStr"/>
      <c r="D8749" t="inlineStr"/>
      <c r="E8749">
        <f>HYPERLINK("https://www.ncbi.nlm.nih.gov/gene/?term=KAI2655010.1", "KAI2655010.1")</f>
        <v/>
      </c>
      <c r="F8749" t="n">
        <v>34.7</v>
      </c>
      <c r="G8749" t="n">
        <v>144</v>
      </c>
      <c r="H8749" t="n">
        <v>2.28e-13</v>
      </c>
      <c r="I8749" t="inlineStr">
        <is>
          <t>Nr</t>
        </is>
      </c>
      <c r="J8749" t="inlineStr"/>
      <c r="K8749" t="inlineStr"/>
      <c r="L8749" t="inlineStr">
        <is>
          <t>KAI2655010.1 ORF V: Enzymatic polyprotein [Labeo rohita]</t>
        </is>
      </c>
      <c r="M8749" t="n">
        <v>1011</v>
      </c>
      <c r="N8749" t="inlineStr">
        <is>
          <t>Labeo rohita</t>
        </is>
      </c>
      <c r="O8749" t="inlineStr">
        <is>
          <t>ORF V: Enzymatic polyprotein</t>
        </is>
      </c>
    </row>
    <row r="8750">
      <c r="A8750" t="inlineStr"/>
      <c r="B8750" t="inlineStr"/>
      <c r="C8750" t="inlineStr"/>
      <c r="D8750" t="inlineStr"/>
      <c r="E8750">
        <f>HYPERLINK("https://www.ncbi.nlm.nih.gov/gene/?term=KAI2662397.1", "KAI2662397.1")</f>
        <v/>
      </c>
      <c r="F8750" t="n">
        <v>32.6</v>
      </c>
      <c r="G8750" t="n">
        <v>144</v>
      </c>
      <c r="H8750" t="n">
        <v>2.32e-13</v>
      </c>
      <c r="I8750" t="inlineStr">
        <is>
          <t>Nr</t>
        </is>
      </c>
      <c r="J8750" t="inlineStr"/>
      <c r="K8750" t="inlineStr"/>
      <c r="L8750" t="inlineStr">
        <is>
          <t>KAI2662397.1 ORF V: Enzymatic polyprotein [Labeo rohita]</t>
        </is>
      </c>
      <c r="M8750" t="n">
        <v>1139</v>
      </c>
      <c r="N8750" t="inlineStr">
        <is>
          <t>Labeo rohita</t>
        </is>
      </c>
      <c r="O8750" t="inlineStr">
        <is>
          <t>ORF V: Enzymatic polyprotein</t>
        </is>
      </c>
    </row>
    <row r="8751">
      <c r="A8751" t="inlineStr"/>
      <c r="B8751" t="inlineStr"/>
      <c r="C8751" t="inlineStr"/>
      <c r="D8751" t="inlineStr"/>
      <c r="E8751">
        <f>HYPERLINK("https://www.ncbi.nlm.nih.gov/gene/?term=KAI2656602.1", "KAI2656602.1")</f>
        <v/>
      </c>
      <c r="F8751" t="n">
        <v>32.6</v>
      </c>
      <c r="G8751" t="n">
        <v>144</v>
      </c>
      <c r="H8751" t="n">
        <v>2.33e-13</v>
      </c>
      <c r="I8751" t="inlineStr">
        <is>
          <t>Nr</t>
        </is>
      </c>
      <c r="J8751" t="inlineStr"/>
      <c r="K8751" t="inlineStr"/>
      <c r="L8751" t="inlineStr">
        <is>
          <t>KAI2656602.1 ORF V: Enzymatic polyprotein [Labeo rohita]</t>
        </is>
      </c>
      <c r="M8751" t="n">
        <v>1185</v>
      </c>
      <c r="N8751" t="inlineStr">
        <is>
          <t>Labeo rohita</t>
        </is>
      </c>
      <c r="O8751" t="inlineStr">
        <is>
          <t>ORF V: Enzymatic polyprotein</t>
        </is>
      </c>
    </row>
    <row r="8752">
      <c r="A8752" t="inlineStr"/>
      <c r="B8752" t="inlineStr"/>
      <c r="C8752" t="inlineStr"/>
      <c r="D8752" t="inlineStr"/>
      <c r="E8752">
        <f>HYPERLINK("https://www.ncbi.nlm.nih.gov/gene/?term=KAI2664723.1", "KAI2664723.1")</f>
        <v/>
      </c>
      <c r="F8752" t="n">
        <v>32.6</v>
      </c>
      <c r="G8752" t="n">
        <v>144</v>
      </c>
      <c r="H8752" t="n">
        <v>2.38e-13</v>
      </c>
      <c r="I8752" t="inlineStr">
        <is>
          <t>Nr</t>
        </is>
      </c>
      <c r="J8752" t="inlineStr"/>
      <c r="K8752" t="inlineStr"/>
      <c r="L8752" t="inlineStr">
        <is>
          <t>KAI2664723.1 ORF V: Enzymatic polyprotein [Labeo rohita]</t>
        </is>
      </c>
      <c r="M8752" t="n">
        <v>1419</v>
      </c>
      <c r="N8752" t="inlineStr">
        <is>
          <t>Labeo rohita</t>
        </is>
      </c>
      <c r="O8752" t="inlineStr">
        <is>
          <t>ORF V: Enzymatic polyprotein</t>
        </is>
      </c>
    </row>
    <row r="8753">
      <c r="A8753" t="inlineStr"/>
      <c r="B8753" t="inlineStr"/>
      <c r="C8753" t="inlineStr"/>
      <c r="D8753" t="inlineStr"/>
      <c r="E8753">
        <f>HYPERLINK("https://www.ncbi.nlm.nih.gov/gene/?term=KAI2663241.1", "KAI2663241.1")</f>
        <v/>
      </c>
      <c r="F8753" t="n">
        <v>32.6</v>
      </c>
      <c r="G8753" t="n">
        <v>144</v>
      </c>
      <c r="H8753" t="n">
        <v>2.42e-13</v>
      </c>
      <c r="I8753" t="inlineStr">
        <is>
          <t>Nr</t>
        </is>
      </c>
      <c r="J8753" t="inlineStr"/>
      <c r="K8753" t="inlineStr"/>
      <c r="L8753" t="inlineStr">
        <is>
          <t>KAI2663241.1 ORF V: Enzymatic polyprotein [Labeo rohita]</t>
        </is>
      </c>
      <c r="M8753" t="n">
        <v>1684</v>
      </c>
      <c r="N8753" t="inlineStr">
        <is>
          <t>Labeo rohita</t>
        </is>
      </c>
      <c r="O8753" t="inlineStr">
        <is>
          <t>ORF V: Enzymatic polyprotein</t>
        </is>
      </c>
    </row>
    <row r="8754">
      <c r="A8754" t="inlineStr"/>
      <c r="B8754" t="inlineStr"/>
      <c r="C8754" t="inlineStr"/>
      <c r="D8754" t="inlineStr"/>
      <c r="E8754">
        <f>HYPERLINK("https://www.ncbi.nlm.nih.gov/gene/?term=KAI2645503.1", "KAI2645503.1")</f>
        <v/>
      </c>
      <c r="F8754" t="n">
        <v>34.3</v>
      </c>
      <c r="G8754" t="n">
        <v>143</v>
      </c>
      <c r="H8754" t="n">
        <v>2.86e-13</v>
      </c>
      <c r="I8754" t="inlineStr">
        <is>
          <t>Nr</t>
        </is>
      </c>
      <c r="J8754" t="inlineStr"/>
      <c r="K8754" t="inlineStr"/>
      <c r="L8754" t="inlineStr">
        <is>
          <t>KAI2645503.1 ORF V: Enzymatic polyprotein [Labeo rohita]</t>
        </is>
      </c>
      <c r="M8754" t="n">
        <v>355</v>
      </c>
      <c r="N8754" t="inlineStr">
        <is>
          <t>Labeo rohita</t>
        </is>
      </c>
      <c r="O8754" t="inlineStr">
        <is>
          <t>ORF V: Enzymatic polyprotein</t>
        </is>
      </c>
    </row>
    <row r="8755">
      <c r="A8755" t="inlineStr"/>
      <c r="B8755" t="inlineStr"/>
      <c r="C8755" t="inlineStr"/>
      <c r="D8755" t="inlineStr"/>
      <c r="E8755">
        <f>HYPERLINK("https://www.ncbi.nlm.nih.gov/gene/?term=KAI2666079.1", "KAI2666079.1")</f>
        <v/>
      </c>
      <c r="F8755" t="n">
        <v>31.1</v>
      </c>
      <c r="G8755" t="n">
        <v>161</v>
      </c>
      <c r="H8755" t="n">
        <v>3.11e-13</v>
      </c>
      <c r="I8755" t="inlineStr">
        <is>
          <t>Nr</t>
        </is>
      </c>
      <c r="J8755" t="inlineStr"/>
      <c r="K8755" t="inlineStr"/>
      <c r="L8755" t="inlineStr">
        <is>
          <t>KAI2666079.1 ORF V: Enzymatic polyprotein [Labeo rohita]</t>
        </is>
      </c>
      <c r="M8755" t="n">
        <v>1057</v>
      </c>
      <c r="N8755" t="inlineStr">
        <is>
          <t>Labeo rohita</t>
        </is>
      </c>
      <c r="O8755" t="inlineStr">
        <is>
          <t>ORF V: Enzymatic polyprotein</t>
        </is>
      </c>
    </row>
    <row r="8756">
      <c r="A8756" t="inlineStr"/>
      <c r="B8756" t="inlineStr"/>
      <c r="C8756" t="inlineStr"/>
      <c r="D8756" t="inlineStr"/>
      <c r="E8756">
        <f>HYPERLINK("https://www.uniprot.org/uniprotkb/A0A8J1J4M0/entry", "A0A8J1J4M0")</f>
        <v/>
      </c>
      <c r="F8756" t="n">
        <v>29.9</v>
      </c>
      <c r="G8756" t="n">
        <v>174</v>
      </c>
      <c r="H8756" t="n">
        <v>4.42e-13</v>
      </c>
      <c r="I8756" t="inlineStr">
        <is>
          <t>TrEMBL</t>
        </is>
      </c>
      <c r="J8756" t="inlineStr">
        <is>
          <t>LOC101731022</t>
        </is>
      </c>
      <c r="K8756" t="inlineStr">
        <is>
          <t>A0A8J1J4M0_XENTR</t>
        </is>
      </c>
      <c r="L8756" t="inlineStr">
        <is>
          <t>tr|A0A8J1J4M0|A0A8J1J4M0_XENTR uncharacterized protein LOC101731022 isoform X4 OS=Xenopus tropicalis OX=8364 GN=LOC101731022 PE=4 SV=1</t>
        </is>
      </c>
      <c r="M8756" t="n">
        <v>375</v>
      </c>
      <c r="N8756" t="inlineStr">
        <is>
          <t>Xenopus tropicalis</t>
        </is>
      </c>
      <c r="O8756" t="inlineStr">
        <is>
          <t>uncharacterized protein LOC101731022 isoform X4</t>
        </is>
      </c>
    </row>
    <row r="8757">
      <c r="A8757" t="inlineStr"/>
      <c r="B8757" t="inlineStr"/>
      <c r="C8757" t="inlineStr"/>
      <c r="D8757" t="inlineStr"/>
      <c r="E8757">
        <f>HYPERLINK("https://www.ncbi.nlm.nih.gov/gene/?term=KAG8573945.1", "KAG8573945.1")</f>
        <v/>
      </c>
      <c r="F8757" t="n">
        <v>32.4</v>
      </c>
      <c r="G8757" t="n">
        <v>182</v>
      </c>
      <c r="H8757" t="n">
        <v>4.51e-13</v>
      </c>
      <c r="I8757" t="inlineStr">
        <is>
          <t>Nr</t>
        </is>
      </c>
      <c r="J8757" t="inlineStr"/>
      <c r="K8757" t="inlineStr"/>
      <c r="L8757" t="inlineStr">
        <is>
          <t>KAG8573945.1 hypothetical protein GDO81_008956 [Engystomops pustulosus]</t>
        </is>
      </c>
      <c r="M8757" t="n">
        <v>226</v>
      </c>
      <c r="N8757" t="inlineStr">
        <is>
          <t>Engystomops pustulosus</t>
        </is>
      </c>
      <c r="O8757" t="inlineStr">
        <is>
          <t>hypothetical protein GDO81_008956</t>
        </is>
      </c>
    </row>
    <row r="8758">
      <c r="A8758" t="inlineStr"/>
      <c r="B8758" t="inlineStr"/>
      <c r="C8758" t="inlineStr"/>
      <c r="D8758" t="inlineStr"/>
      <c r="E8758">
        <f>HYPERLINK("https://www.ncbi.nlm.nih.gov/gene/?term=XP_041437982.1", "XP_041437982.1")</f>
        <v/>
      </c>
      <c r="F8758" t="n">
        <v>36.1</v>
      </c>
      <c r="G8758" t="n">
        <v>144</v>
      </c>
      <c r="H8758" t="n">
        <v>5.09e-13</v>
      </c>
      <c r="I8758" t="inlineStr">
        <is>
          <t>Nr</t>
        </is>
      </c>
      <c r="J8758" t="inlineStr"/>
      <c r="K8758" t="inlineStr"/>
      <c r="L8758" t="inlineStr">
        <is>
          <t>XP_041437982.1 uncharacterized protein pfkfb2.L isoform X1 [Xenopus laevis]</t>
        </is>
      </c>
      <c r="M8758" t="n">
        <v>615</v>
      </c>
      <c r="N8758" t="inlineStr">
        <is>
          <t>Xenopus laevis</t>
        </is>
      </c>
      <c r="O8758" t="inlineStr">
        <is>
          <t>uncharacterized protein pfkfb2.L isoform X1</t>
        </is>
      </c>
    </row>
    <row r="8759">
      <c r="A8759" t="inlineStr"/>
      <c r="B8759" t="inlineStr"/>
      <c r="C8759" t="inlineStr"/>
      <c r="D8759" t="inlineStr"/>
      <c r="E8759">
        <f>HYPERLINK("https://www.uniprot.org/uniprotkb/A0A2D4IZH6/entry", "A0A2D4IZH6")</f>
        <v/>
      </c>
      <c r="F8759" t="n">
        <v>32.1</v>
      </c>
      <c r="G8759" t="n">
        <v>168</v>
      </c>
      <c r="H8759" t="n">
        <v>2.37e-12</v>
      </c>
      <c r="I8759" t="inlineStr">
        <is>
          <t>TrEMBL</t>
        </is>
      </c>
      <c r="J8759" t="inlineStr"/>
      <c r="K8759" t="inlineStr">
        <is>
          <t>A0A2D4IZH6_MICLE</t>
        </is>
      </c>
      <c r="L8759" t="inlineStr">
        <is>
          <t>tr|A0A2D4IZH6|A0A2D4IZH6_MICLE Reverse transcriptase (Fragment) OS=Micrurus lemniscatus lemniscatus OX=129467 PE=4 SV=1</t>
        </is>
      </c>
      <c r="M8759" t="n">
        <v>187</v>
      </c>
      <c r="N8759" t="inlineStr">
        <is>
          <t>Micrurus lemniscatus lemniscatus</t>
        </is>
      </c>
      <c r="O8759" t="inlineStr">
        <is>
          <t>Reverse transcriptase (Fragment)</t>
        </is>
      </c>
    </row>
    <row r="8760">
      <c r="A8760" t="inlineStr"/>
      <c r="B8760" t="inlineStr"/>
      <c r="C8760" t="inlineStr"/>
      <c r="D8760" t="inlineStr"/>
      <c r="E8760">
        <f>HYPERLINK("https://www.uniprot.org/uniprotkb/A0A8S3T8I8/entry", "A0A8S3T8I8")</f>
        <v/>
      </c>
      <c r="F8760" t="n">
        <v>28.6</v>
      </c>
      <c r="G8760" t="n">
        <v>182</v>
      </c>
      <c r="H8760" t="n">
        <v>3.06e-12</v>
      </c>
      <c r="I8760" t="inlineStr">
        <is>
          <t>TrEMBL</t>
        </is>
      </c>
      <c r="J8760" t="inlineStr">
        <is>
          <t>MEDL_38526</t>
        </is>
      </c>
      <c r="K8760" t="inlineStr">
        <is>
          <t>A0A8S3T8I8_MYTED</t>
        </is>
      </c>
      <c r="L8760" t="inlineStr">
        <is>
          <t>tr|A0A8S3T8I8|A0A8S3T8I8_MYTED Peptide-O-fucosyltransferase OS=Mytilus edulis OX=6550 GN=MEDL_38526 PE=4 SV=1</t>
        </is>
      </c>
      <c r="M8760" t="n">
        <v>241</v>
      </c>
      <c r="N8760" t="inlineStr">
        <is>
          <t>Mytilus edulis</t>
        </is>
      </c>
      <c r="O8760" t="inlineStr">
        <is>
          <t>Peptide-O-fucosyltransferase</t>
        </is>
      </c>
    </row>
    <row r="8761">
      <c r="A8761" t="inlineStr"/>
      <c r="B8761" t="inlineStr"/>
      <c r="C8761" t="inlineStr"/>
      <c r="D8761" t="inlineStr"/>
      <c r="E8761">
        <f>HYPERLINK("https://www.uniprot.org/uniprotkb/A0A2G8JL85/entry", "A0A2G8JL85")</f>
        <v/>
      </c>
      <c r="F8761" t="n">
        <v>33.3</v>
      </c>
      <c r="G8761" t="n">
        <v>165</v>
      </c>
      <c r="H8761" t="n">
        <v>5.87e-12</v>
      </c>
      <c r="I8761" t="inlineStr">
        <is>
          <t>TrEMBL</t>
        </is>
      </c>
      <c r="J8761" t="inlineStr">
        <is>
          <t>BSL78_26653</t>
        </is>
      </c>
      <c r="K8761" t="inlineStr">
        <is>
          <t>A0A2G8JL85_STIJA</t>
        </is>
      </c>
      <c r="L8761" t="inlineStr">
        <is>
          <t>tr|A0A2G8JL85|A0A2G8JL85_STIJA Integrase catalytic domain-containing protein OS=Stichopus japonicus OX=307972 GN=BSL78_26653 PE=4 SV=1</t>
        </is>
      </c>
      <c r="M8761" t="n">
        <v>703</v>
      </c>
      <c r="N8761" t="inlineStr">
        <is>
          <t>Stichopus japonicus</t>
        </is>
      </c>
      <c r="O8761" t="inlineStr">
        <is>
          <t>Integrase catalytic domain-containing protein</t>
        </is>
      </c>
    </row>
    <row r="8762">
      <c r="A8762" t="inlineStr"/>
      <c r="B8762" t="inlineStr"/>
      <c r="C8762" t="inlineStr"/>
      <c r="D8762" t="inlineStr"/>
      <c r="E8762">
        <f>HYPERLINK("https://www.uniprot.org/uniprotkb/A0A8J1JBZ2/entry", "A0A8J1JBZ2")</f>
        <v/>
      </c>
      <c r="F8762" t="n">
        <v>32.9</v>
      </c>
      <c r="G8762" t="n">
        <v>164</v>
      </c>
      <c r="H8762" t="n">
        <v>7.850000000000001e-12</v>
      </c>
      <c r="I8762" t="inlineStr">
        <is>
          <t>TrEMBL</t>
        </is>
      </c>
      <c r="J8762" t="inlineStr">
        <is>
          <t>LOC116409839</t>
        </is>
      </c>
      <c r="K8762" t="inlineStr">
        <is>
          <t>A0A8J1JBZ2_XENTR</t>
        </is>
      </c>
      <c r="L8762" t="inlineStr">
        <is>
          <t>tr|A0A8J1JBZ2|A0A8J1JBZ2_XENTR uncharacterized protein LOC116409839 OS=Xenopus tropicalis OX=8364 GN=LOC116409839 PE=4 SV=1</t>
        </is>
      </c>
      <c r="M8762" t="n">
        <v>666</v>
      </c>
      <c r="N8762" t="inlineStr">
        <is>
          <t>Xenopus tropicalis</t>
        </is>
      </c>
      <c r="O8762" t="inlineStr">
        <is>
          <t>uncharacterized protein LOC116409839</t>
        </is>
      </c>
    </row>
    <row r="8763">
      <c r="A8763" t="inlineStr"/>
      <c r="B8763" t="inlineStr"/>
      <c r="C8763" t="inlineStr"/>
      <c r="D8763" t="inlineStr"/>
      <c r="E8763">
        <f>HYPERLINK("https://www.uniprot.org/uniprotkb/A0A6P9D0P1/entry", "A0A6P9D0P1")</f>
        <v/>
      </c>
      <c r="F8763" t="n">
        <v>29.6</v>
      </c>
      <c r="G8763" t="n">
        <v>169</v>
      </c>
      <c r="H8763" t="n">
        <v>8.779999999999999e-12</v>
      </c>
      <c r="I8763" t="inlineStr">
        <is>
          <t>TrEMBL</t>
        </is>
      </c>
      <c r="J8763" t="inlineStr">
        <is>
          <t>LOC117675085</t>
        </is>
      </c>
      <c r="K8763" t="inlineStr">
        <is>
          <t>A0A6P9D0P1_PANGU</t>
        </is>
      </c>
      <c r="L8763" t="inlineStr">
        <is>
          <t>tr|A0A6P9D0P1|A0A6P9D0P1_PANGU ribonuclease H OS=Pantherophis guttatus OX=94885 GN=LOC117675085 PE=3 SV=1</t>
        </is>
      </c>
      <c r="M8763" t="n">
        <v>1211</v>
      </c>
      <c r="N8763" t="inlineStr">
        <is>
          <t>Pantherophis guttatus</t>
        </is>
      </c>
      <c r="O8763" t="inlineStr">
        <is>
          <t>ribonuclease H</t>
        </is>
      </c>
    </row>
    <row r="8764">
      <c r="A8764" t="inlineStr"/>
      <c r="B8764" t="inlineStr"/>
      <c r="C8764" t="inlineStr"/>
      <c r="D8764" t="inlineStr"/>
      <c r="E8764">
        <f>HYPERLINK("https://www.uniprot.org/uniprotkb/A0A2D4EJC9/entry", "A0A2D4EJC9")</f>
        <v/>
      </c>
      <c r="F8764" t="n">
        <v>45.5</v>
      </c>
      <c r="G8764" t="n">
        <v>77</v>
      </c>
      <c r="H8764" t="n">
        <v>1.02e-11</v>
      </c>
      <c r="I8764" t="inlineStr">
        <is>
          <t>TrEMBL</t>
        </is>
      </c>
      <c r="J8764" t="inlineStr"/>
      <c r="K8764" t="inlineStr">
        <is>
          <t>A0A2D4EJC9_MICCO</t>
        </is>
      </c>
      <c r="L8764" t="inlineStr">
        <is>
          <t>tr|A0A2D4EJC9|A0A2D4EJC9_MICCO ribonuclease H (Fragment) OS=Micrurus corallinus OX=54390 PE=3 SV=1</t>
        </is>
      </c>
      <c r="M8764" t="n">
        <v>580</v>
      </c>
      <c r="N8764" t="inlineStr">
        <is>
          <t>Micrurus corallinus</t>
        </is>
      </c>
      <c r="O8764" t="inlineStr">
        <is>
          <t>ribonuclease H (Fragment)</t>
        </is>
      </c>
    </row>
    <row r="8765">
      <c r="A8765" t="inlineStr"/>
      <c r="B8765" t="inlineStr"/>
      <c r="C8765" t="inlineStr"/>
      <c r="D8765" t="inlineStr"/>
      <c r="E8765">
        <f>HYPERLINK("https://www.uniprot.org/uniprotkb/A0A8B6H0V1/entry", "A0A8B6H0V1")</f>
        <v/>
      </c>
      <c r="F8765" t="n">
        <v>28.4</v>
      </c>
      <c r="G8765" t="n">
        <v>204</v>
      </c>
      <c r="H8765" t="n">
        <v>3.04e-11</v>
      </c>
      <c r="I8765" t="inlineStr">
        <is>
          <t>TrEMBL</t>
        </is>
      </c>
      <c r="J8765" t="inlineStr">
        <is>
          <t>MGAL_10B012339</t>
        </is>
      </c>
      <c r="K8765" t="inlineStr">
        <is>
          <t>A0A8B6H0V1_MYTGA</t>
        </is>
      </c>
      <c r="L8765" t="inlineStr">
        <is>
          <t>tr|A0A8B6H0V1|A0A8B6H0V1_MYTGA Integrase_SAM-like_N domain-containing protein OS=Mytilus galloprovincialis OX=29158 GN=MGAL_10B012339 PE=4 SV=1</t>
        </is>
      </c>
      <c r="M8765" t="n">
        <v>347</v>
      </c>
      <c r="N8765" t="inlineStr">
        <is>
          <t>Mytilus galloprovincialis</t>
        </is>
      </c>
      <c r="O8765" t="inlineStr">
        <is>
          <t>Integrase_SAM-like_N domain-containing protein</t>
        </is>
      </c>
    </row>
    <row r="8766">
      <c r="A8766" t="inlineStr"/>
      <c r="B8766" t="inlineStr"/>
      <c r="C8766" t="inlineStr"/>
      <c r="D8766" t="inlineStr"/>
      <c r="E8766">
        <f>HYPERLINK("https://www.uniprot.org/uniprotkb/A0A2D4KIK5/entry", "A0A2D4KIK5")</f>
        <v/>
      </c>
      <c r="F8766" t="n">
        <v>29.2</v>
      </c>
      <c r="G8766" t="n">
        <v>171</v>
      </c>
      <c r="H8766" t="n">
        <v>3.79e-11</v>
      </c>
      <c r="I8766" t="inlineStr">
        <is>
          <t>TrEMBL</t>
        </is>
      </c>
      <c r="J8766" t="inlineStr"/>
      <c r="K8766" t="inlineStr">
        <is>
          <t>A0A2D4KIK5_9SAUR</t>
        </is>
      </c>
      <c r="L8766" t="inlineStr">
        <is>
          <t>tr|A0A2D4KIK5|A0A2D4KIK5_9SAUR Lipopolysaccharide heptosyltransferase III OS=Micrurus paraensis OX=1970185 PE=4 SV=1</t>
        </is>
      </c>
      <c r="M8766" t="n">
        <v>176</v>
      </c>
      <c r="N8766" t="inlineStr">
        <is>
          <t>Micrurus paraensis</t>
        </is>
      </c>
      <c r="O8766" t="inlineStr">
        <is>
          <t>Lipopolysaccharide heptosyltransferase III</t>
        </is>
      </c>
    </row>
    <row r="8767">
      <c r="A8767" t="inlineStr"/>
      <c r="B8767" t="inlineStr"/>
      <c r="C8767" t="inlineStr"/>
      <c r="D8767" t="inlineStr"/>
      <c r="E8767">
        <f>HYPERLINK("https://www.uniprot.org/uniprotkb/A0A6P9BY85/entry", "A0A6P9BY85")</f>
        <v/>
      </c>
      <c r="F8767" t="n">
        <v>33.6</v>
      </c>
      <c r="G8767" t="n">
        <v>137</v>
      </c>
      <c r="H8767" t="n">
        <v>3.94e-11</v>
      </c>
      <c r="I8767" t="inlineStr">
        <is>
          <t>TrEMBL</t>
        </is>
      </c>
      <c r="J8767" t="inlineStr">
        <is>
          <t>MAP3K3</t>
        </is>
      </c>
      <c r="K8767" t="inlineStr">
        <is>
          <t>A0A6P9BY85_PANGU</t>
        </is>
      </c>
      <c r="L8767" t="inlineStr">
        <is>
          <t>tr|A0A6P9BY85|A0A6P9BY85_PANGU mitogen-activated protein kinase kinase kinase 3 OS=Pantherophis guttatus OX=94885 GN=MAP3K3 PE=4 SV=1</t>
        </is>
      </c>
      <c r="M8767" t="n">
        <v>1051</v>
      </c>
      <c r="N8767" t="inlineStr">
        <is>
          <t>Pantherophis guttatus</t>
        </is>
      </c>
      <c r="O8767" t="inlineStr">
        <is>
          <t>mitogen-activated protein kinase kinase kinase 3</t>
        </is>
      </c>
    </row>
    <row r="8768">
      <c r="A8768" t="inlineStr"/>
      <c r="B8768" t="inlineStr"/>
      <c r="C8768" t="inlineStr"/>
      <c r="D8768" t="inlineStr"/>
      <c r="E8768">
        <f>HYPERLINK("https://www.uniprot.org/uniprotkb/A0A2D4KII9/entry", "A0A2D4KII9")</f>
        <v/>
      </c>
      <c r="F8768" t="n">
        <v>30.1</v>
      </c>
      <c r="G8768" t="n">
        <v>166</v>
      </c>
      <c r="H8768" t="n">
        <v>4.41e-11</v>
      </c>
      <c r="I8768" t="inlineStr">
        <is>
          <t>TrEMBL</t>
        </is>
      </c>
      <c r="J8768" t="inlineStr"/>
      <c r="K8768" t="inlineStr">
        <is>
          <t>A0A2D4KII9_9SAUR</t>
        </is>
      </c>
      <c r="L8768" t="inlineStr">
        <is>
          <t>tr|A0A2D4KII9|A0A2D4KII9_9SAUR HTH cro/C1-type domain-containing protein (Fragment) OS=Micrurus paraensis OX=1970185 PE=4 SV=1</t>
        </is>
      </c>
      <c r="M8768" t="n">
        <v>184</v>
      </c>
      <c r="N8768" t="inlineStr">
        <is>
          <t>Micrurus paraensis</t>
        </is>
      </c>
      <c r="O8768" t="inlineStr">
        <is>
          <t>HTH cro/C1-type domain-containing protein (Fragment)</t>
        </is>
      </c>
    </row>
    <row r="8769">
      <c r="A8769" t="inlineStr"/>
      <c r="B8769" t="inlineStr"/>
      <c r="C8769" t="inlineStr"/>
      <c r="D8769" t="inlineStr"/>
      <c r="E8769">
        <f>HYPERLINK("https://www.uniprot.org/uniprotkb/A0A2D4KIP0/entry", "A0A2D4KIP0")</f>
        <v/>
      </c>
      <c r="F8769" t="n">
        <v>29.2</v>
      </c>
      <c r="G8769" t="n">
        <v>171</v>
      </c>
      <c r="H8769" t="n">
        <v>6.85e-11</v>
      </c>
      <c r="I8769" t="inlineStr">
        <is>
          <t>TrEMBL</t>
        </is>
      </c>
      <c r="J8769" t="inlineStr"/>
      <c r="K8769" t="inlineStr">
        <is>
          <t>A0A2D4KIP0_9SAUR</t>
        </is>
      </c>
      <c r="L8769" t="inlineStr">
        <is>
          <t>tr|A0A2D4KIP0|A0A2D4KIP0_9SAUR Endonuclease (Fragment) OS=Micrurus paraensis OX=1970185 PE=4 SV=1</t>
        </is>
      </c>
      <c r="M8769" t="n">
        <v>190</v>
      </c>
      <c r="N8769" t="inlineStr">
        <is>
          <t>Micrurus paraensis</t>
        </is>
      </c>
      <c r="O8769" t="inlineStr">
        <is>
          <t>Endonuclease (Fragment)</t>
        </is>
      </c>
    </row>
    <row r="8770">
      <c r="A8770" t="inlineStr"/>
      <c r="B8770" t="inlineStr"/>
      <c r="C8770" t="inlineStr"/>
      <c r="D8770" t="inlineStr"/>
      <c r="E8770">
        <f>HYPERLINK("https://www.uniprot.org/uniprotkb/A0A5A9MWM1/entry", "A0A5A9MWM1")</f>
        <v/>
      </c>
      <c r="F8770" t="n">
        <v>33.3</v>
      </c>
      <c r="G8770" t="n">
        <v>147</v>
      </c>
      <c r="H8770" t="n">
        <v>1.06e-10</v>
      </c>
      <c r="I8770" t="inlineStr">
        <is>
          <t>TrEMBL</t>
        </is>
      </c>
      <c r="J8770" t="inlineStr">
        <is>
          <t>E1301_Tti024361</t>
        </is>
      </c>
      <c r="K8770" t="inlineStr">
        <is>
          <t>A0A5A9MWM1_9TELE</t>
        </is>
      </c>
      <c r="L8770" t="inlineStr">
        <is>
          <t>tr|A0A5A9MWM1|A0A5A9MWM1_9TELE RNase H type-1 domain-containing protein OS=Triplophysa tibetana OX=1572043 GN=E1301_Tti024361 PE=4 SV=1</t>
        </is>
      </c>
      <c r="M8770" t="n">
        <v>266</v>
      </c>
      <c r="N8770" t="inlineStr">
        <is>
          <t>Triplophysa tibetana</t>
        </is>
      </c>
      <c r="O8770" t="inlineStr">
        <is>
          <t>RNase H type-1 domain-containing protein</t>
        </is>
      </c>
    </row>
    <row r="8771">
      <c r="A8771" t="inlineStr"/>
      <c r="B8771" t="inlineStr"/>
      <c r="C8771" t="inlineStr"/>
      <c r="D8771" t="inlineStr"/>
      <c r="E8771">
        <f>HYPERLINK("https://www.uniprot.org/uniprotkb/A0A2D4KIM1/entry", "A0A2D4KIM1")</f>
        <v/>
      </c>
      <c r="F8771" t="n">
        <v>29.2</v>
      </c>
      <c r="G8771" t="n">
        <v>171</v>
      </c>
      <c r="H8771" t="n">
        <v>1.19e-10</v>
      </c>
      <c r="I8771" t="inlineStr">
        <is>
          <t>TrEMBL</t>
        </is>
      </c>
      <c r="J8771" t="inlineStr"/>
      <c r="K8771" t="inlineStr">
        <is>
          <t>A0A2D4KIM1_9SAUR</t>
        </is>
      </c>
      <c r="L8771" t="inlineStr">
        <is>
          <t>tr|A0A2D4KIM1|A0A2D4KIM1_9SAUR HTH cro/C1-type domain-containing protein (Fragment) OS=Micrurus paraensis OX=1970185 PE=4 SV=1</t>
        </is>
      </c>
      <c r="M8771" t="n">
        <v>184</v>
      </c>
      <c r="N8771" t="inlineStr">
        <is>
          <t>Micrurus paraensis</t>
        </is>
      </c>
      <c r="O8771" t="inlineStr">
        <is>
          <t>HTH cro/C1-type domain-containing protein (Fragment)</t>
        </is>
      </c>
    </row>
    <row r="8772">
      <c r="A8772" t="inlineStr"/>
      <c r="B8772" t="inlineStr"/>
      <c r="C8772" t="inlineStr"/>
      <c r="D8772" t="inlineStr"/>
      <c r="E8772">
        <f>HYPERLINK("https://www.uniprot.org/uniprotkb/A0A8W8K3B7/entry", "A0A8W8K3B7")</f>
        <v/>
      </c>
      <c r="F8772" t="n">
        <v>33.5</v>
      </c>
      <c r="G8772" t="n">
        <v>167</v>
      </c>
      <c r="H8772" t="n">
        <v>1.21e-10</v>
      </c>
      <c r="I8772" t="inlineStr">
        <is>
          <t>TrEMBL</t>
        </is>
      </c>
      <c r="J8772" t="inlineStr"/>
      <c r="K8772" t="inlineStr">
        <is>
          <t>A0A8W8K3B7_CRAGI</t>
        </is>
      </c>
      <c r="L8772" t="inlineStr">
        <is>
          <t>tr|A0A8W8K3B7|A0A8W8K3B7_CRAGI Uncharacterized protein OS=Crassostrea gigas OX=29159 PE=4 SV=1</t>
        </is>
      </c>
      <c r="M8772" t="n">
        <v>674</v>
      </c>
      <c r="N8772" t="inlineStr">
        <is>
          <t>Crassostrea gigas</t>
        </is>
      </c>
      <c r="O8772" t="inlineStr">
        <is>
          <t>Uncharacterized protein</t>
        </is>
      </c>
    </row>
    <row r="8773">
      <c r="A8773" t="inlineStr">
        <is>
          <t>NODE_64748_length_2472_cov_33.431185_g22175_i1</t>
        </is>
      </c>
      <c r="B8773" t="inlineStr">
        <is>
          <t>bombina_pachypus_blastx</t>
        </is>
      </c>
      <c r="C8773" t="n">
        <v>-6.46022388096637</v>
      </c>
      <c r="D8773" t="n">
        <v>6.83932683443559e-08</v>
      </c>
      <c r="E8773">
        <f>HYPERLINK("https://www.ncbi.nlm.nih.gov/gene/?term=XP_044160493.1", "XP_044160493.1")</f>
        <v/>
      </c>
      <c r="F8773" t="n">
        <v>76.7</v>
      </c>
      <c r="G8773" t="n">
        <v>172</v>
      </c>
      <c r="H8773" t="n">
        <v>1.18e-97</v>
      </c>
      <c r="I8773" t="inlineStr">
        <is>
          <t>Nr</t>
        </is>
      </c>
      <c r="J8773" t="inlineStr"/>
      <c r="K8773" t="inlineStr"/>
      <c r="L8773" t="inlineStr">
        <is>
          <t>XP_044160493.1 ly6/PLAUR domain-containing protein 6 [Bufo gargarizans]</t>
        </is>
      </c>
      <c r="M8773" t="n">
        <v>172</v>
      </c>
      <c r="N8773" t="inlineStr">
        <is>
          <t>Bufo gargarizans</t>
        </is>
      </c>
      <c r="O8773" t="inlineStr">
        <is>
          <t>ly6/PLAUR domain-containing protein 6</t>
        </is>
      </c>
    </row>
    <row r="8774">
      <c r="A8774" t="inlineStr"/>
      <c r="B8774" t="inlineStr"/>
      <c r="C8774" t="inlineStr"/>
      <c r="D8774" t="inlineStr"/>
      <c r="E8774">
        <f>HYPERLINK("https://www.ncbi.nlm.nih.gov/gene/?term=KAG8559994.1", "KAG8559994.1")</f>
        <v/>
      </c>
      <c r="F8774" t="n">
        <v>76.2</v>
      </c>
      <c r="G8774" t="n">
        <v>172</v>
      </c>
      <c r="H8774" t="n">
        <v>4.790000000000001e-97</v>
      </c>
      <c r="I8774" t="inlineStr">
        <is>
          <t>Nr</t>
        </is>
      </c>
      <c r="J8774" t="inlineStr"/>
      <c r="K8774" t="inlineStr"/>
      <c r="L8774" t="inlineStr">
        <is>
          <t>KAG8559994.1 hypothetical protein GDO81_017530 [Engystomops pustulosus]</t>
        </is>
      </c>
      <c r="M8774" t="n">
        <v>172</v>
      </c>
      <c r="N8774" t="inlineStr">
        <is>
          <t>Engystomops pustulosus</t>
        </is>
      </c>
      <c r="O8774" t="inlineStr">
        <is>
          <t>hypothetical protein GDO81_017530</t>
        </is>
      </c>
    </row>
    <row r="8775">
      <c r="A8775" t="inlineStr"/>
      <c r="B8775" t="inlineStr"/>
      <c r="C8775" t="inlineStr"/>
      <c r="D8775" t="inlineStr"/>
      <c r="E8775">
        <f>HYPERLINK("https://www.ncbi.nlm.nih.gov/gene/?term=XP_040297308.1", "XP_040297308.1")</f>
        <v/>
      </c>
      <c r="F8775" t="n">
        <v>76.2</v>
      </c>
      <c r="G8775" t="n">
        <v>172</v>
      </c>
      <c r="H8775" t="n">
        <v>2.77e-96</v>
      </c>
      <c r="I8775" t="inlineStr">
        <is>
          <t>Nr</t>
        </is>
      </c>
      <c r="J8775" t="inlineStr"/>
      <c r="K8775" t="inlineStr"/>
      <c r="L8775" t="inlineStr">
        <is>
          <t>XP_040297308.1 ly6/PLAUR domain-containing protein 6 [Bufo bufo]</t>
        </is>
      </c>
      <c r="M8775" t="n">
        <v>172</v>
      </c>
      <c r="N8775" t="inlineStr">
        <is>
          <t>Bufo bufo</t>
        </is>
      </c>
      <c r="O8775" t="inlineStr">
        <is>
          <t>ly6/PLAUR domain-containing protein 6</t>
        </is>
      </c>
    </row>
    <row r="8776">
      <c r="A8776" t="inlineStr"/>
      <c r="B8776" t="inlineStr"/>
      <c r="C8776" t="inlineStr"/>
      <c r="D8776" t="inlineStr"/>
      <c r="E8776">
        <f>HYPERLINK("https://www.uniprot.org/uniprotkb/A0A1L8EVU4/entry", "A0A1L8EVU4")</f>
        <v/>
      </c>
      <c r="F8776" t="n">
        <v>71.90000000000001</v>
      </c>
      <c r="G8776" t="n">
        <v>171</v>
      </c>
      <c r="H8776" t="n">
        <v>2.34e-93</v>
      </c>
      <c r="I8776" t="inlineStr">
        <is>
          <t>TrEMBL</t>
        </is>
      </c>
      <c r="J8776" t="inlineStr">
        <is>
          <t>lypd6.L</t>
        </is>
      </c>
      <c r="K8776" t="inlineStr">
        <is>
          <t>A0A1L8EVU4_XENLA</t>
        </is>
      </c>
      <c r="L8776" t="inlineStr">
        <is>
          <t>tr|A0A1L8EVU4|A0A1L8EVU4_XENLA ly6/PLAUR domain-containing protein 6 OS=Xenopus laevis OX=8355 GN=lypd6.L PE=4 SV=1</t>
        </is>
      </c>
      <c r="M8776" t="n">
        <v>171</v>
      </c>
      <c r="N8776" t="inlineStr">
        <is>
          <t>Xenopus laevis</t>
        </is>
      </c>
      <c r="O8776" t="inlineStr">
        <is>
          <t>ly6/PLAUR domain-containing protein 6</t>
        </is>
      </c>
    </row>
    <row r="8777">
      <c r="A8777" t="inlineStr"/>
      <c r="B8777" t="inlineStr"/>
      <c r="C8777" t="inlineStr"/>
      <c r="D8777" t="inlineStr"/>
      <c r="E8777">
        <f>HYPERLINK("https://www.ncbi.nlm.nih.gov/gene/?term=XP_018091249.1", "XP_018091249.1")</f>
        <v/>
      </c>
      <c r="F8777" t="n">
        <v>71.90000000000001</v>
      </c>
      <c r="G8777" t="n">
        <v>171</v>
      </c>
      <c r="H8777" t="n">
        <v>6.02e-93</v>
      </c>
      <c r="I8777" t="inlineStr">
        <is>
          <t>Nr</t>
        </is>
      </c>
      <c r="J8777" t="inlineStr"/>
      <c r="K8777" t="inlineStr"/>
      <c r="L8777" t="inlineStr">
        <is>
          <t>XP_018091249.1 ly6/PLAUR domain-containing protein 6 [Xenopus laevis]</t>
        </is>
      </c>
      <c r="M8777" t="n">
        <v>171</v>
      </c>
      <c r="N8777" t="inlineStr">
        <is>
          <t>Xenopus laevis</t>
        </is>
      </c>
      <c r="O8777" t="inlineStr">
        <is>
          <t>ly6/PLAUR domain-containing protein 6</t>
        </is>
      </c>
    </row>
    <row r="8778">
      <c r="A8778" t="inlineStr"/>
      <c r="B8778" t="inlineStr"/>
      <c r="C8778" t="inlineStr"/>
      <c r="D8778" t="inlineStr"/>
      <c r="E8778">
        <f>HYPERLINK("https://www.uniprot.org/uniprotkb/A8WGG8/entry", "A8WGG8")</f>
        <v/>
      </c>
      <c r="F8778" t="n">
        <v>72.5</v>
      </c>
      <c r="G8778" t="n">
        <v>171</v>
      </c>
      <c r="H8778" t="n">
        <v>9.54e-93</v>
      </c>
      <c r="I8778" t="inlineStr">
        <is>
          <t>TrEMBL</t>
        </is>
      </c>
      <c r="J8778" t="inlineStr">
        <is>
          <t>lypd6</t>
        </is>
      </c>
      <c r="K8778" t="inlineStr">
        <is>
          <t>A8WGG8_XENTR</t>
        </is>
      </c>
      <c r="L8778" t="inlineStr">
        <is>
          <t>tr|A8WGG8|A8WGG8_XENTR LOC100127693 protein OS=Xenopus tropicalis OX=8364 GN=lypd6 PE=2 SV=1</t>
        </is>
      </c>
      <c r="M8778" t="n">
        <v>171</v>
      </c>
      <c r="N8778" t="inlineStr">
        <is>
          <t>Xenopus tropicalis</t>
        </is>
      </c>
      <c r="O8778" t="inlineStr">
        <is>
          <t>LOC100127693 protein</t>
        </is>
      </c>
    </row>
    <row r="8779">
      <c r="A8779" t="inlineStr"/>
      <c r="B8779" t="inlineStr"/>
      <c r="C8779" t="inlineStr"/>
      <c r="D8779" t="inlineStr"/>
      <c r="E8779">
        <f>HYPERLINK("https://www.uniprot.org/uniprotkb/A0A822GJR9/entry", "A0A822GJR9")</f>
        <v/>
      </c>
      <c r="F8779" t="n">
        <v>74.8</v>
      </c>
      <c r="G8779" t="n">
        <v>163</v>
      </c>
      <c r="H8779" t="n">
        <v>1.99e-92</v>
      </c>
      <c r="I8779" t="inlineStr">
        <is>
          <t>TrEMBL</t>
        </is>
      </c>
      <c r="J8779" t="inlineStr">
        <is>
          <t>RIMITATOR_LOCUS11349327</t>
        </is>
      </c>
      <c r="K8779" t="inlineStr">
        <is>
          <t>A0A822GJR9_9NEOB</t>
        </is>
      </c>
      <c r="L8779" t="inlineStr">
        <is>
          <t>tr|A0A822GJR9|A0A822GJR9_9NEOB (mimic poison frog) hypothetical protein OS=Ranitomeya imitator OX=111125 GN=RIMITATOR_LOCUS11349327 PE=4 SV=1</t>
        </is>
      </c>
      <c r="M8779" t="n">
        <v>172</v>
      </c>
      <c r="N8779" t="inlineStr">
        <is>
          <t>Ranitomeya imitator</t>
        </is>
      </c>
      <c r="O8779" t="inlineStr">
        <is>
          <t>(mimic poison frog) hypothetical protein</t>
        </is>
      </c>
    </row>
    <row r="8780">
      <c r="A8780" t="inlineStr"/>
      <c r="B8780" t="inlineStr"/>
      <c r="C8780" t="inlineStr"/>
      <c r="D8780" t="inlineStr"/>
      <c r="E8780">
        <f>HYPERLINK("https://www.ncbi.nlm.nih.gov/gene/?term=NP_001106503.1", "NP_001106503.1")</f>
        <v/>
      </c>
      <c r="F8780" t="n">
        <v>72.5</v>
      </c>
      <c r="G8780" t="n">
        <v>171</v>
      </c>
      <c r="H8780" t="n">
        <v>2.45e-92</v>
      </c>
      <c r="I8780" t="inlineStr">
        <is>
          <t>Nr</t>
        </is>
      </c>
      <c r="J8780" t="inlineStr"/>
      <c r="K8780" t="inlineStr"/>
      <c r="L8780" t="inlineStr">
        <is>
          <t>NP_001106503.1 ly6/PLAUR domain-containing protein 6 precursor [Xenopus tropicalis]</t>
        </is>
      </c>
      <c r="M8780" t="n">
        <v>171</v>
      </c>
      <c r="N8780" t="inlineStr">
        <is>
          <t>Xenopus tropicalis</t>
        </is>
      </c>
      <c r="O8780" t="inlineStr">
        <is>
          <t>ly6/PLAUR domain-containing protein 6 precursor</t>
        </is>
      </c>
    </row>
    <row r="8781">
      <c r="A8781" t="inlineStr"/>
      <c r="B8781" t="inlineStr"/>
      <c r="C8781" t="inlineStr"/>
      <c r="D8781" t="inlineStr"/>
      <c r="E8781">
        <f>HYPERLINK("https://www.ncbi.nlm.nih.gov/gene/?term=XP_053327546.1", "XP_053327546.1")</f>
        <v/>
      </c>
      <c r="F8781" t="n">
        <v>70.2</v>
      </c>
      <c r="G8781" t="n">
        <v>171</v>
      </c>
      <c r="H8781" t="n">
        <v>6.78e-92</v>
      </c>
      <c r="I8781" t="inlineStr">
        <is>
          <t>Nr</t>
        </is>
      </c>
      <c r="J8781" t="inlineStr"/>
      <c r="K8781" t="inlineStr"/>
      <c r="L8781" t="inlineStr">
        <is>
          <t>XP_053327546.1 ly6/PLAUR domain-containing protein 6 [Spea bombifrons]</t>
        </is>
      </c>
      <c r="M8781" t="n">
        <v>170</v>
      </c>
      <c r="N8781" t="inlineStr">
        <is>
          <t>Spea bombifrons</t>
        </is>
      </c>
      <c r="O8781" t="inlineStr">
        <is>
          <t>ly6/PLAUR domain-containing protein 6</t>
        </is>
      </c>
    </row>
    <row r="8782">
      <c r="A8782" t="inlineStr"/>
      <c r="B8782" t="inlineStr"/>
      <c r="C8782" t="inlineStr"/>
      <c r="D8782" t="inlineStr"/>
      <c r="E8782">
        <f>HYPERLINK("https://www.ncbi.nlm.nih.gov/gene/?term=UKB38606.1", "UKB38606.1")</f>
        <v/>
      </c>
      <c r="F8782" t="n">
        <v>71.90000000000001</v>
      </c>
      <c r="G8782" t="n">
        <v>171</v>
      </c>
      <c r="H8782" t="n">
        <v>1.42e-91</v>
      </c>
      <c r="I8782" t="inlineStr">
        <is>
          <t>Nr</t>
        </is>
      </c>
      <c r="J8782" t="inlineStr"/>
      <c r="K8782" t="inlineStr"/>
      <c r="L8782" t="inlineStr">
        <is>
          <t>UKB38606.1 LY6/PLAUR domain containing 6 protein, partial [synthetic construct]</t>
        </is>
      </c>
      <c r="M8782" t="n">
        <v>171</v>
      </c>
      <c r="N8782" t="inlineStr">
        <is>
          <t>synthetic construct</t>
        </is>
      </c>
      <c r="O8782" t="inlineStr">
        <is>
          <t>LY6/PLAUR domain containing 6 protein, partial</t>
        </is>
      </c>
    </row>
    <row r="8783">
      <c r="A8783" t="inlineStr"/>
      <c r="B8783" t="inlineStr"/>
      <c r="C8783" t="inlineStr"/>
      <c r="D8783" t="inlineStr"/>
      <c r="E8783">
        <f>HYPERLINK("https://www.ncbi.nlm.nih.gov/gene/?term=XP_040213952.1", "XP_040213952.1")</f>
        <v/>
      </c>
      <c r="F8783" t="n">
        <v>71.5</v>
      </c>
      <c r="G8783" t="n">
        <v>172</v>
      </c>
      <c r="H8783" t="n">
        <v>2.08e-91</v>
      </c>
      <c r="I8783" t="inlineStr">
        <is>
          <t>Nr</t>
        </is>
      </c>
      <c r="J8783" t="inlineStr"/>
      <c r="K8783" t="inlineStr"/>
      <c r="L8783" t="inlineStr">
        <is>
          <t>XP_040213952.1 ly6/PLAUR domain-containing protein 6 [Rana temporaria]</t>
        </is>
      </c>
      <c r="M8783" t="n">
        <v>172</v>
      </c>
      <c r="N8783" t="inlineStr">
        <is>
          <t>Rana temporaria</t>
        </is>
      </c>
      <c r="O8783" t="inlineStr">
        <is>
          <t>ly6/PLAUR domain-containing protein 6</t>
        </is>
      </c>
    </row>
    <row r="8784">
      <c r="A8784" t="inlineStr"/>
      <c r="B8784" t="inlineStr"/>
      <c r="C8784" t="inlineStr"/>
      <c r="D8784" t="inlineStr"/>
      <c r="E8784">
        <f>HYPERLINK("https://www.uniprot.org/uniprotkb/A0A8J6EA99/entry", "A0A8J6EA99")</f>
        <v/>
      </c>
      <c r="F8784" t="n">
        <v>73.8</v>
      </c>
      <c r="G8784" t="n">
        <v>164</v>
      </c>
      <c r="H8784" t="n">
        <v>2.32e-91</v>
      </c>
      <c r="I8784" t="inlineStr">
        <is>
          <t>TrEMBL</t>
        </is>
      </c>
      <c r="J8784" t="inlineStr">
        <is>
          <t>GDO78_016791</t>
        </is>
      </c>
      <c r="K8784" t="inlineStr">
        <is>
          <t>A0A8J6EA99_ELECQ</t>
        </is>
      </c>
      <c r="L8784" t="inlineStr">
        <is>
          <t>tr|A0A8J6EA99|A0A8J6EA99_ELECQ LY6/PLAUR domain containing 6 OS=Eleutherodactylus coqui OX=57060 GN=GDO78_016791 PE=4 SV=1</t>
        </is>
      </c>
      <c r="M8784" t="n">
        <v>172</v>
      </c>
      <c r="N8784" t="inlineStr">
        <is>
          <t>Eleutherodactylus coqui</t>
        </is>
      </c>
      <c r="O8784" t="inlineStr">
        <is>
          <t>LY6/PLAUR domain containing 6</t>
        </is>
      </c>
    </row>
    <row r="8785">
      <c r="A8785" t="inlineStr"/>
      <c r="B8785" t="inlineStr"/>
      <c r="C8785" t="inlineStr"/>
      <c r="D8785" t="inlineStr"/>
      <c r="E8785">
        <f>HYPERLINK("https://www.ncbi.nlm.nih.gov/gene/?term=XP_018422280.1", "XP_018422280.1")</f>
        <v/>
      </c>
      <c r="F8785" t="n">
        <v>72.09999999999999</v>
      </c>
      <c r="G8785" t="n">
        <v>172</v>
      </c>
      <c r="H8785" t="n">
        <v>2.96e-91</v>
      </c>
      <c r="I8785" t="inlineStr">
        <is>
          <t>Nr</t>
        </is>
      </c>
      <c r="J8785" t="inlineStr"/>
      <c r="K8785" t="inlineStr"/>
      <c r="L8785" t="inlineStr">
        <is>
          <t>XP_018422280.1 PREDICTED: ly6/PLAUR domain-containing protein 6 [Nanorana parkeri]</t>
        </is>
      </c>
      <c r="M8785" t="n">
        <v>172</v>
      </c>
      <c r="N8785" t="inlineStr">
        <is>
          <t>Nanorana parkeri</t>
        </is>
      </c>
      <c r="O8785" t="inlineStr">
        <is>
          <t>PREDICTED: ly6/PLAUR domain-containing protein 6</t>
        </is>
      </c>
    </row>
    <row r="8786">
      <c r="A8786" t="inlineStr"/>
      <c r="B8786" t="inlineStr"/>
      <c r="C8786" t="inlineStr"/>
      <c r="D8786" t="inlineStr"/>
      <c r="E8786">
        <f>HYPERLINK("https://www.ncbi.nlm.nih.gov/gene/?term=KAG9466329.1", "KAG9466329.1")</f>
        <v/>
      </c>
      <c r="F8786" t="n">
        <v>73.8</v>
      </c>
      <c r="G8786" t="n">
        <v>164</v>
      </c>
      <c r="H8786" t="n">
        <v>5.959999999999999e-91</v>
      </c>
      <c r="I8786" t="inlineStr">
        <is>
          <t>Nr</t>
        </is>
      </c>
      <c r="J8786" t="inlineStr"/>
      <c r="K8786" t="inlineStr"/>
      <c r="L8786" t="inlineStr">
        <is>
          <t>KAG9466329.1 hypothetical protein GDO78_016791 [Eleutherodactylus coqui]</t>
        </is>
      </c>
      <c r="M8786" t="n">
        <v>172</v>
      </c>
      <c r="N8786" t="inlineStr">
        <is>
          <t>Eleutherodactylus coqui</t>
        </is>
      </c>
      <c r="O8786" t="inlineStr">
        <is>
          <t>hypothetical protein GDO78_016791</t>
        </is>
      </c>
    </row>
    <row r="8787">
      <c r="A8787" t="inlineStr"/>
      <c r="B8787" t="inlineStr"/>
      <c r="C8787" t="inlineStr"/>
      <c r="D8787" t="inlineStr"/>
      <c r="E8787">
        <f>HYPERLINK("https://www.uniprot.org/uniprotkb/A0A8T2ID64/entry", "A0A8T2ID64")</f>
        <v/>
      </c>
      <c r="F8787" t="n">
        <v>71.90000000000001</v>
      </c>
      <c r="G8787" t="n">
        <v>171</v>
      </c>
      <c r="H8787" t="n">
        <v>8.82e-91</v>
      </c>
      <c r="I8787" t="inlineStr">
        <is>
          <t>TrEMBL</t>
        </is>
      </c>
      <c r="J8787" t="inlineStr">
        <is>
          <t>GDO86_019719</t>
        </is>
      </c>
      <c r="K8787" t="inlineStr">
        <is>
          <t>A0A8T2ID64_9PIPI</t>
        </is>
      </c>
      <c r="L8787" t="inlineStr">
        <is>
          <t>tr|A0A8T2ID64|A0A8T2ID64_9PIPI Ly6/PLAUR domain-containing protein 6 OS=Hymenochirus boettgeri OX=247094 GN=GDO86_019719 PE=4 SV=1</t>
        </is>
      </c>
      <c r="M8787" t="n">
        <v>170</v>
      </c>
      <c r="N8787" t="inlineStr">
        <is>
          <t>Hymenochirus boettgeri</t>
        </is>
      </c>
      <c r="O8787" t="inlineStr">
        <is>
          <t>Ly6/PLAUR domain-containing protein 6</t>
        </is>
      </c>
    </row>
    <row r="8788">
      <c r="A8788" t="inlineStr"/>
      <c r="B8788" t="inlineStr"/>
      <c r="C8788" t="inlineStr"/>
      <c r="D8788" t="inlineStr"/>
      <c r="E8788">
        <f>HYPERLINK("https://www.uniprot.org/uniprotkb/A0A1L8ENX6/entry", "A0A1L8ENX6")</f>
        <v/>
      </c>
      <c r="F8788" t="n">
        <v>70.2</v>
      </c>
      <c r="G8788" t="n">
        <v>171</v>
      </c>
      <c r="H8788" t="n">
        <v>1.84e-90</v>
      </c>
      <c r="I8788" t="inlineStr">
        <is>
          <t>TrEMBL</t>
        </is>
      </c>
      <c r="J8788" t="inlineStr">
        <is>
          <t>lypd6.S</t>
        </is>
      </c>
      <c r="K8788" t="inlineStr">
        <is>
          <t>A0A1L8ENX6_XENLA</t>
        </is>
      </c>
      <c r="L8788" t="inlineStr">
        <is>
          <t>tr|A0A1L8ENX6|A0A1L8ENX6_XENLA ly6/PLAUR domain-containing protein 6 OS=Xenopus laevis OX=8355 GN=lypd6.S PE=4 SV=1</t>
        </is>
      </c>
      <c r="M8788" t="n">
        <v>171</v>
      </c>
      <c r="N8788" t="inlineStr">
        <is>
          <t>Xenopus laevis</t>
        </is>
      </c>
      <c r="O8788" t="inlineStr">
        <is>
          <t>ly6/PLAUR domain-containing protein 6</t>
        </is>
      </c>
    </row>
    <row r="8789">
      <c r="A8789" t="inlineStr"/>
      <c r="B8789" t="inlineStr"/>
      <c r="C8789" t="inlineStr"/>
      <c r="D8789" t="inlineStr"/>
      <c r="E8789">
        <f>HYPERLINK("https://www.ncbi.nlm.nih.gov/gene/?term=KAG8430935.1", "KAG8430935.1")</f>
        <v/>
      </c>
      <c r="F8789" t="n">
        <v>71.90000000000001</v>
      </c>
      <c r="G8789" t="n">
        <v>171</v>
      </c>
      <c r="H8789" t="n">
        <v>2.27e-90</v>
      </c>
      <c r="I8789" t="inlineStr">
        <is>
          <t>Nr</t>
        </is>
      </c>
      <c r="J8789" t="inlineStr"/>
      <c r="K8789" t="inlineStr"/>
      <c r="L8789" t="inlineStr">
        <is>
          <t>KAG8430935.1 hypothetical protein GDO86_019719 [Hymenochirus boettgeri]</t>
        </is>
      </c>
      <c r="M8789" t="n">
        <v>170</v>
      </c>
      <c r="N8789" t="inlineStr">
        <is>
          <t>Hymenochirus boettgeri</t>
        </is>
      </c>
      <c r="O8789" t="inlineStr">
        <is>
          <t>hypothetical protein GDO86_019719</t>
        </is>
      </c>
    </row>
    <row r="8790">
      <c r="A8790" t="inlineStr"/>
      <c r="B8790" t="inlineStr"/>
      <c r="C8790" t="inlineStr"/>
      <c r="D8790" t="inlineStr"/>
      <c r="E8790">
        <f>HYPERLINK("https://www.ncbi.nlm.nih.gov/gene/?term=XP_018094262.1", "XP_018094262.1")</f>
        <v/>
      </c>
      <c r="F8790" t="n">
        <v>70.2</v>
      </c>
      <c r="G8790" t="n">
        <v>171</v>
      </c>
      <c r="H8790" t="n">
        <v>4.73e-90</v>
      </c>
      <c r="I8790" t="inlineStr">
        <is>
          <t>Nr</t>
        </is>
      </c>
      <c r="J8790" t="inlineStr"/>
      <c r="K8790" t="inlineStr"/>
      <c r="L8790" t="inlineStr">
        <is>
          <t>XP_018094262.1 ly6/PLAUR domain-containing protein 6 [Xenopus laevis]</t>
        </is>
      </c>
      <c r="M8790" t="n">
        <v>171</v>
      </c>
      <c r="N8790" t="inlineStr">
        <is>
          <t>Xenopus laevis</t>
        </is>
      </c>
      <c r="O8790" t="inlineStr">
        <is>
          <t>ly6/PLAUR domain-containing protein 6</t>
        </is>
      </c>
    </row>
    <row r="8791">
      <c r="A8791" t="inlineStr"/>
      <c r="B8791" t="inlineStr"/>
      <c r="C8791" t="inlineStr"/>
      <c r="D8791" t="inlineStr"/>
      <c r="E8791">
        <f>HYPERLINK("https://www.ncbi.nlm.nih.gov/gene/?term=KAJ1188485.1", "KAJ1188485.1")</f>
        <v/>
      </c>
      <c r="F8791" t="n">
        <v>67.8</v>
      </c>
      <c r="G8791" t="n">
        <v>171</v>
      </c>
      <c r="H8791" t="n">
        <v>1.35e-89</v>
      </c>
      <c r="I8791" t="inlineStr">
        <is>
          <t>Nr</t>
        </is>
      </c>
      <c r="J8791" t="inlineStr"/>
      <c r="K8791" t="inlineStr"/>
      <c r="L8791" t="inlineStr">
        <is>
          <t>KAJ1188485.1 hypothetical protein NDU88_005246 [Pleurodeles waltl]</t>
        </is>
      </c>
      <c r="M8791" t="n">
        <v>171</v>
      </c>
      <c r="N8791" t="inlineStr">
        <is>
          <t>Pleurodeles waltl</t>
        </is>
      </c>
      <c r="O8791" t="inlineStr">
        <is>
          <t>hypothetical protein NDU88_005246</t>
        </is>
      </c>
    </row>
    <row r="8792">
      <c r="A8792" t="inlineStr"/>
      <c r="B8792" t="inlineStr"/>
      <c r="C8792" t="inlineStr"/>
      <c r="D8792" t="inlineStr"/>
      <c r="E8792">
        <f>HYPERLINK("https://www.uniprot.org/uniprotkb/A0A7N4P9Q9/entry", "A0A7N4P9Q9")</f>
        <v/>
      </c>
      <c r="F8792" t="n">
        <v>70.3</v>
      </c>
      <c r="G8792" t="n">
        <v>165</v>
      </c>
      <c r="H8792" t="n">
        <v>1.51e-89</v>
      </c>
      <c r="I8792" t="inlineStr">
        <is>
          <t>TrEMBL</t>
        </is>
      </c>
      <c r="J8792" t="inlineStr">
        <is>
          <t>LYPD6</t>
        </is>
      </c>
      <c r="K8792" t="inlineStr">
        <is>
          <t>A0A7N4P9Q9_SARHA</t>
        </is>
      </c>
      <c r="L8792" t="inlineStr">
        <is>
          <t>tr|A0A7N4P9Q9|A0A7N4P9Q9_SARHA LY6/PLAUR domain containing 6 OS=Sarcophilus harrisii OX=9305 GN=LYPD6 PE=4 SV=1</t>
        </is>
      </c>
      <c r="M8792" t="n">
        <v>171</v>
      </c>
      <c r="N8792" t="inlineStr">
        <is>
          <t>Sarcophilus harrisii</t>
        </is>
      </c>
      <c r="O8792" t="inlineStr">
        <is>
          <t>LY6/PLAUR domain containing 6</t>
        </is>
      </c>
    </row>
    <row r="8793">
      <c r="A8793" t="inlineStr"/>
      <c r="B8793" t="inlineStr"/>
      <c r="C8793" t="inlineStr"/>
      <c r="D8793" t="inlineStr"/>
      <c r="E8793">
        <f>HYPERLINK("https://www.uniprot.org/uniprotkb/A0A8D0G817/entry", "A0A8D0G817")</f>
        <v/>
      </c>
      <c r="F8793" t="n">
        <v>69.7</v>
      </c>
      <c r="G8793" t="n">
        <v>165</v>
      </c>
      <c r="H8793" t="n">
        <v>2.85e-89</v>
      </c>
      <c r="I8793" t="inlineStr">
        <is>
          <t>TrEMBL</t>
        </is>
      </c>
      <c r="J8793" t="inlineStr">
        <is>
          <t>LYPD6</t>
        </is>
      </c>
      <c r="K8793" t="inlineStr">
        <is>
          <t>A0A8D0G817_SPHPU</t>
        </is>
      </c>
      <c r="L8793" t="inlineStr">
        <is>
          <t>tr|A0A8D0G817|A0A8D0G817_SPHPU LY6/PLAUR domain containing 6 OS=Sphenodon punctatus OX=8508 GN=LYPD6 PE=4 SV=1</t>
        </is>
      </c>
      <c r="M8793" t="n">
        <v>169</v>
      </c>
      <c r="N8793" t="inlineStr">
        <is>
          <t>Sphenodon punctatus</t>
        </is>
      </c>
      <c r="O8793" t="inlineStr">
        <is>
          <t>LY6/PLAUR domain containing 6</t>
        </is>
      </c>
    </row>
    <row r="8794">
      <c r="A8794" t="inlineStr"/>
      <c r="B8794" t="inlineStr"/>
      <c r="C8794" t="inlineStr"/>
      <c r="D8794" t="inlineStr"/>
      <c r="E8794">
        <f>HYPERLINK("https://www.uniprot.org/uniprotkb/A0A6P8RI40/entry", "A0A6P8RI40")</f>
        <v/>
      </c>
      <c r="F8794" t="n">
        <v>70.2</v>
      </c>
      <c r="G8794" t="n">
        <v>171</v>
      </c>
      <c r="H8794" t="n">
        <v>3.05e-89</v>
      </c>
      <c r="I8794" t="inlineStr">
        <is>
          <t>TrEMBL</t>
        </is>
      </c>
      <c r="J8794" t="inlineStr">
        <is>
          <t>LYPD6</t>
        </is>
      </c>
      <c r="K8794" t="inlineStr">
        <is>
          <t>A0A6P8RI40_GEOSA</t>
        </is>
      </c>
      <c r="L8794" t="inlineStr">
        <is>
          <t>tr|A0A6P8RI40|A0A6P8RI40_GEOSA ly6/PLAUR domain-containing protein 6 isoform X1 OS=Geotrypetes seraphini OX=260995 GN=LYPD6 PE=4 SV=1</t>
        </is>
      </c>
      <c r="M8794" t="n">
        <v>171</v>
      </c>
      <c r="N8794" t="inlineStr">
        <is>
          <t>Geotrypetes seraphini</t>
        </is>
      </c>
      <c r="O8794" t="inlineStr">
        <is>
          <t>ly6/PLAUR domain-containing protein 6 isoform X1</t>
        </is>
      </c>
    </row>
    <row r="8795">
      <c r="A8795" t="inlineStr"/>
      <c r="B8795" t="inlineStr"/>
      <c r="C8795" t="inlineStr"/>
      <c r="D8795" t="inlineStr"/>
      <c r="E8795">
        <f>HYPERLINK("https://www.ncbi.nlm.nih.gov/gene/?term=XP_003763904.1", "XP_003763904.1")</f>
        <v/>
      </c>
      <c r="F8795" t="n">
        <v>70.3</v>
      </c>
      <c r="G8795" t="n">
        <v>165</v>
      </c>
      <c r="H8795" t="n">
        <v>3.88e-89</v>
      </c>
      <c r="I8795" t="inlineStr">
        <is>
          <t>Nr</t>
        </is>
      </c>
      <c r="J8795" t="inlineStr"/>
      <c r="K8795" t="inlineStr"/>
      <c r="L8795" t="inlineStr">
        <is>
          <t>XP_003763904.1 ly6/PLAUR domain-containing protein 6 [Sarcophilus harrisii]</t>
        </is>
      </c>
      <c r="M8795" t="n">
        <v>171</v>
      </c>
      <c r="N8795" t="inlineStr">
        <is>
          <t>Sarcophilus harrisii</t>
        </is>
      </c>
      <c r="O8795" t="inlineStr">
        <is>
          <t>ly6/PLAUR domain-containing protein 6</t>
        </is>
      </c>
    </row>
    <row r="8796">
      <c r="A8796" t="inlineStr"/>
      <c r="B8796" t="inlineStr"/>
      <c r="C8796" t="inlineStr"/>
      <c r="D8796" t="inlineStr"/>
      <c r="E8796">
        <f>HYPERLINK("https://www.ncbi.nlm.nih.gov/gene/?term=XP_033802251.1", "XP_033802251.1")</f>
        <v/>
      </c>
      <c r="F8796" t="n">
        <v>70.2</v>
      </c>
      <c r="G8796" t="n">
        <v>171</v>
      </c>
      <c r="H8796" t="n">
        <v>7.83e-89</v>
      </c>
      <c r="I8796" t="inlineStr">
        <is>
          <t>Nr</t>
        </is>
      </c>
      <c r="J8796" t="inlineStr"/>
      <c r="K8796" t="inlineStr"/>
      <c r="L8796" t="inlineStr">
        <is>
          <t>XP_033802251.1 ly6/PLAUR domain-containing protein 6 isoform X1 [Geotrypetes seraphini]</t>
        </is>
      </c>
      <c r="M8796" t="n">
        <v>171</v>
      </c>
      <c r="N8796" t="inlineStr">
        <is>
          <t>Geotrypetes seraphini</t>
        </is>
      </c>
      <c r="O8796" t="inlineStr">
        <is>
          <t>ly6/PLAUR domain-containing protein 6 isoform X1</t>
        </is>
      </c>
    </row>
    <row r="8797">
      <c r="A8797" t="inlineStr"/>
      <c r="B8797" t="inlineStr"/>
      <c r="C8797" t="inlineStr"/>
      <c r="D8797" t="inlineStr"/>
      <c r="E8797">
        <f>HYPERLINK("https://www.ncbi.nlm.nih.gov/gene/?term=XP_051841813.1", "XP_051841813.1")</f>
        <v/>
      </c>
      <c r="F8797" t="n">
        <v>70.59999999999999</v>
      </c>
      <c r="G8797" t="n">
        <v>163</v>
      </c>
      <c r="H8797" t="n">
        <v>7.83e-89</v>
      </c>
      <c r="I8797" t="inlineStr">
        <is>
          <t>Nr</t>
        </is>
      </c>
      <c r="J8797" t="inlineStr"/>
      <c r="K8797" t="inlineStr"/>
      <c r="L8797" t="inlineStr">
        <is>
          <t>XP_051841813.1 ly6/PLAUR domain-containing protein 6 [Antechinus flavipes]</t>
        </is>
      </c>
      <c r="M8797" t="n">
        <v>171</v>
      </c>
      <c r="N8797" t="inlineStr">
        <is>
          <t>Antechinus flavipes</t>
        </is>
      </c>
      <c r="O8797" t="inlineStr">
        <is>
          <t>ly6/PLAUR domain-containing protein 6</t>
        </is>
      </c>
    </row>
    <row r="8798">
      <c r="A8798" t="inlineStr"/>
      <c r="B8798" t="inlineStr"/>
      <c r="C8798" t="inlineStr"/>
      <c r="D8798" t="inlineStr"/>
      <c r="E8798">
        <f>HYPERLINK("https://www.ncbi.nlm.nih.gov/gene/?term=XP_043851361.1", "XP_043851361.1")</f>
        <v/>
      </c>
      <c r="F8798" t="n">
        <v>69.3</v>
      </c>
      <c r="G8798" t="n">
        <v>163</v>
      </c>
      <c r="H8798" t="n">
        <v>2.24e-88</v>
      </c>
      <c r="I8798" t="inlineStr">
        <is>
          <t>Nr</t>
        </is>
      </c>
      <c r="J8798" t="inlineStr"/>
      <c r="K8798" t="inlineStr"/>
      <c r="L8798" t="inlineStr">
        <is>
          <t>XP_043851361.1 ly6/PLAUR domain-containing protein 6 isoform X1 [Dromiciops gliroides]</t>
        </is>
      </c>
      <c r="M8798" t="n">
        <v>171</v>
      </c>
      <c r="N8798" t="inlineStr">
        <is>
          <t>Dromiciops gliroides</t>
        </is>
      </c>
      <c r="O8798" t="inlineStr">
        <is>
          <t>ly6/PLAUR domain-containing protein 6 isoform X1</t>
        </is>
      </c>
    </row>
    <row r="8799">
      <c r="A8799" t="inlineStr"/>
      <c r="B8799" t="inlineStr"/>
      <c r="C8799" t="inlineStr"/>
      <c r="D8799" t="inlineStr"/>
      <c r="E8799">
        <f>HYPERLINK("https://www.uniprot.org/uniprotkb/Q86Y78/entry", "Q86Y78")</f>
        <v/>
      </c>
      <c r="F8799" t="n">
        <v>67.90000000000001</v>
      </c>
      <c r="G8799" t="n">
        <v>168</v>
      </c>
      <c r="H8799" t="n">
        <v>2.47e-88</v>
      </c>
      <c r="I8799" t="inlineStr">
        <is>
          <t>Swiss-Prot</t>
        </is>
      </c>
      <c r="J8799" t="inlineStr">
        <is>
          <t>LYPD6</t>
        </is>
      </c>
      <c r="K8799" t="inlineStr">
        <is>
          <t>LYPD6_HUMAN</t>
        </is>
      </c>
      <c r="L8799" t="inlineStr">
        <is>
          <t>sp|Q86Y78|LYPD6_HUMAN Ly6/PLAUR domain-containing protein 6 OS=Homo sapiens OX=9606 GN=LYPD6 PE=1 SV=1</t>
        </is>
      </c>
      <c r="M8799" t="n">
        <v>171</v>
      </c>
      <c r="N8799" t="inlineStr">
        <is>
          <t>Homo sapiens</t>
        </is>
      </c>
      <c r="O8799" t="inlineStr">
        <is>
          <t>Ly6/PLAUR domain-containing protein 6</t>
        </is>
      </c>
    </row>
    <row r="8800">
      <c r="A8800" t="inlineStr"/>
      <c r="B8800" t="inlineStr"/>
      <c r="C8800" t="inlineStr"/>
      <c r="D8800" t="inlineStr"/>
      <c r="E8800">
        <f>HYPERLINK("https://www.ncbi.nlm.nih.gov/gene/?term=XP_033879222.2", "XP_033879222.2")</f>
        <v/>
      </c>
      <c r="F8800" t="n">
        <v>69.8</v>
      </c>
      <c r="G8800" t="n">
        <v>169</v>
      </c>
      <c r="H8800" t="n">
        <v>3.18e-88</v>
      </c>
      <c r="I8800" t="inlineStr">
        <is>
          <t>Nr</t>
        </is>
      </c>
      <c r="J8800" t="inlineStr"/>
      <c r="K8800" t="inlineStr"/>
      <c r="L8800" t="inlineStr">
        <is>
          <t>XP_033879222.2 ly6/PLAUR domain-containing protein 6-like [Acipenser ruthenus]</t>
        </is>
      </c>
      <c r="M8800" t="n">
        <v>171</v>
      </c>
      <c r="N8800" t="inlineStr">
        <is>
          <t>Acipenser ruthenus</t>
        </is>
      </c>
      <c r="O8800" t="inlineStr">
        <is>
          <t>ly6/PLAUR domain-containing protein 6-like</t>
        </is>
      </c>
    </row>
    <row r="8801">
      <c r="A8801" t="inlineStr"/>
      <c r="B8801" t="inlineStr"/>
      <c r="C8801" t="inlineStr"/>
      <c r="D8801" t="inlineStr"/>
      <c r="E8801">
        <f>HYPERLINK("https://www.ncbi.nlm.nih.gov/gene/?term=XP_029461306.1", "XP_029461306.1")</f>
        <v/>
      </c>
      <c r="F8801" t="n">
        <v>67.8</v>
      </c>
      <c r="G8801" t="n">
        <v>171</v>
      </c>
      <c r="H8801" t="n">
        <v>3.18e-88</v>
      </c>
      <c r="I8801" t="inlineStr">
        <is>
          <t>Nr</t>
        </is>
      </c>
      <c r="J8801" t="inlineStr"/>
      <c r="K8801" t="inlineStr"/>
      <c r="L8801" t="inlineStr">
        <is>
          <t>XP_029461306.1 ly6/PLAUR domain-containing protein 6 [Rhinatrema bivittatum]</t>
        </is>
      </c>
      <c r="M8801" t="n">
        <v>171</v>
      </c>
      <c r="N8801" t="inlineStr">
        <is>
          <t>Rhinatrema bivittatum</t>
        </is>
      </c>
      <c r="O8801" t="inlineStr">
        <is>
          <t>ly6/PLAUR domain-containing protein 6</t>
        </is>
      </c>
    </row>
    <row r="8802">
      <c r="A8802" t="inlineStr"/>
      <c r="B8802" t="inlineStr"/>
      <c r="C8802" t="inlineStr"/>
      <c r="D8802" t="inlineStr"/>
      <c r="E8802">
        <f>HYPERLINK("https://www.ncbi.nlm.nih.gov/gene/?term=XP_041117536.1", "XP_041117536.1")</f>
        <v/>
      </c>
      <c r="F8802" t="n">
        <v>69.2</v>
      </c>
      <c r="G8802" t="n">
        <v>172</v>
      </c>
      <c r="H8802" t="n">
        <v>3.18e-88</v>
      </c>
      <c r="I8802" t="inlineStr">
        <is>
          <t>Nr</t>
        </is>
      </c>
      <c r="J8802" t="inlineStr"/>
      <c r="K8802" t="inlineStr"/>
      <c r="L8802" t="inlineStr">
        <is>
          <t>XP_041117536.1 ly6/PLAUR domain-containing protein 6-like [Polyodon spathula]</t>
        </is>
      </c>
      <c r="M8802" t="n">
        <v>171</v>
      </c>
      <c r="N8802" t="inlineStr">
        <is>
          <t>Polyodon spathula</t>
        </is>
      </c>
      <c r="O8802" t="inlineStr">
        <is>
          <t>ly6/PLAUR domain-containing protein 6-like</t>
        </is>
      </c>
    </row>
    <row r="8803">
      <c r="A8803" t="inlineStr"/>
      <c r="B8803" t="inlineStr"/>
      <c r="C8803" t="inlineStr"/>
      <c r="D8803" t="inlineStr"/>
      <c r="E8803">
        <f>HYPERLINK("https://www.uniprot.org/uniprotkb/A0A6P7YSF5/entry", "A0A6P7YSF5")</f>
        <v/>
      </c>
      <c r="F8803" t="n">
        <v>69</v>
      </c>
      <c r="G8803" t="n">
        <v>171</v>
      </c>
      <c r="H8803" t="n">
        <v>3.55e-88</v>
      </c>
      <c r="I8803" t="inlineStr">
        <is>
          <t>TrEMBL</t>
        </is>
      </c>
      <c r="J8803" t="inlineStr">
        <is>
          <t>LYPD6</t>
        </is>
      </c>
      <c r="K8803" t="inlineStr">
        <is>
          <t>A0A6P7YSF5_9AMPH</t>
        </is>
      </c>
      <c r="L8803" t="inlineStr">
        <is>
          <t>tr|A0A6P7YSF5|A0A6P7YSF5_9AMPH ly6/PLAUR domain-containing protein 6 isoform X1 OS=Microcaecilia unicolor OX=1415580 GN=LYPD6 PE=4 SV=1</t>
        </is>
      </c>
      <c r="M8803" t="n">
        <v>171</v>
      </c>
      <c r="N8803" t="inlineStr">
        <is>
          <t>Microcaecilia unicolor</t>
        </is>
      </c>
      <c r="O8803" t="inlineStr">
        <is>
          <t>ly6/PLAUR domain-containing protein 6 isoform X1</t>
        </is>
      </c>
    </row>
    <row r="8804">
      <c r="A8804" t="inlineStr"/>
      <c r="B8804" t="inlineStr"/>
      <c r="C8804" t="inlineStr"/>
      <c r="D8804" t="inlineStr"/>
      <c r="E8804">
        <f>HYPERLINK("https://www.ncbi.nlm.nih.gov/gene/?term=XP_033899963.2", "XP_033899963.2")</f>
        <v/>
      </c>
      <c r="F8804" t="n">
        <v>69.2</v>
      </c>
      <c r="G8804" t="n">
        <v>169</v>
      </c>
      <c r="H8804" t="n">
        <v>6.42e-88</v>
      </c>
      <c r="I8804" t="inlineStr">
        <is>
          <t>Nr</t>
        </is>
      </c>
      <c r="J8804" t="inlineStr"/>
      <c r="K8804" t="inlineStr"/>
      <c r="L8804" t="inlineStr">
        <is>
          <t>XP_033899963.2 ly6/PLAUR domain-containing protein 6-like [Acipenser ruthenus]</t>
        </is>
      </c>
      <c r="M8804" t="n">
        <v>171</v>
      </c>
      <c r="N8804" t="inlineStr">
        <is>
          <t>Acipenser ruthenus</t>
        </is>
      </c>
      <c r="O8804" t="inlineStr">
        <is>
          <t>ly6/PLAUR domain-containing protein 6-like</t>
        </is>
      </c>
    </row>
    <row r="8805">
      <c r="A8805" t="inlineStr"/>
      <c r="B8805" t="inlineStr"/>
      <c r="C8805" t="inlineStr"/>
      <c r="D8805" t="inlineStr"/>
      <c r="E8805">
        <f>HYPERLINK("https://www.ncbi.nlm.nih.gov/gene/?term=XP_030066134.1", "XP_030066134.1")</f>
        <v/>
      </c>
      <c r="F8805" t="n">
        <v>69</v>
      </c>
      <c r="G8805" t="n">
        <v>171</v>
      </c>
      <c r="H8805" t="n">
        <v>9.12e-88</v>
      </c>
      <c r="I8805" t="inlineStr">
        <is>
          <t>Nr</t>
        </is>
      </c>
      <c r="J8805" t="inlineStr"/>
      <c r="K8805" t="inlineStr"/>
      <c r="L8805" t="inlineStr">
        <is>
          <t>XP_030066134.1 ly6/PLAUR domain-containing protein 6 isoform X1 [Microcaecilia unicolor]</t>
        </is>
      </c>
      <c r="M8805" t="n">
        <v>171</v>
      </c>
      <c r="N8805" t="inlineStr">
        <is>
          <t>Microcaecilia unicolor</t>
        </is>
      </c>
      <c r="O8805" t="inlineStr">
        <is>
          <t>ly6/PLAUR domain-containing protein 6 isoform X1</t>
        </is>
      </c>
    </row>
    <row r="8806">
      <c r="A8806" t="inlineStr"/>
      <c r="B8806" t="inlineStr"/>
      <c r="C8806" t="inlineStr"/>
      <c r="D8806" t="inlineStr"/>
      <c r="E8806">
        <f>HYPERLINK("https://www.uniprot.org/uniprotkb/A0A6P5K4Z0/entry", "A0A6P5K4Z0")</f>
        <v/>
      </c>
      <c r="F8806" t="n">
        <v>69.3</v>
      </c>
      <c r="G8806" t="n">
        <v>163</v>
      </c>
      <c r="H8806" t="n">
        <v>1.02e-87</v>
      </c>
      <c r="I8806" t="inlineStr">
        <is>
          <t>TrEMBL</t>
        </is>
      </c>
      <c r="J8806" t="inlineStr">
        <is>
          <t>LYPD6</t>
        </is>
      </c>
      <c r="K8806" t="inlineStr">
        <is>
          <t>A0A6P5K4Z0_PHACI</t>
        </is>
      </c>
      <c r="L8806" t="inlineStr">
        <is>
          <t>tr|A0A6P5K4Z0|A0A6P5K4Z0_PHACI ly6/PLAUR domain-containing protein 6 OS=Phascolarctos cinereus OX=38626 GN=LYPD6 PE=4 SV=1</t>
        </is>
      </c>
      <c r="M8806" t="n">
        <v>171</v>
      </c>
      <c r="N8806" t="inlineStr">
        <is>
          <t>Phascolarctos cinereus</t>
        </is>
      </c>
      <c r="O8806" t="inlineStr">
        <is>
          <t>ly6/PLAUR domain-containing protein 6</t>
        </is>
      </c>
    </row>
    <row r="8807">
      <c r="A8807" t="inlineStr"/>
      <c r="B8807" t="inlineStr"/>
      <c r="C8807" t="inlineStr"/>
      <c r="D8807" t="inlineStr"/>
      <c r="E8807">
        <f>HYPERLINK("https://www.uniprot.org/uniprotkb/Q8BPP5/entry", "Q8BPP5")</f>
        <v/>
      </c>
      <c r="F8807" t="n">
        <v>66.09999999999999</v>
      </c>
      <c r="G8807" t="n">
        <v>168</v>
      </c>
      <c r="H8807" t="n">
        <v>2.03e-87</v>
      </c>
      <c r="I8807" t="inlineStr">
        <is>
          <t>Swiss-Prot</t>
        </is>
      </c>
      <c r="J8807" t="inlineStr">
        <is>
          <t>Lypd6</t>
        </is>
      </c>
      <c r="K8807" t="inlineStr">
        <is>
          <t>LYPD6_MOUSE</t>
        </is>
      </c>
      <c r="L8807" t="inlineStr">
        <is>
          <t>sp|Q8BPP5|LYPD6_MOUSE Ly6/PLAUR domain-containing protein 6 OS=Mus musculus OX=10090 GN=Lypd6 PE=1 SV=1</t>
        </is>
      </c>
      <c r="M8807" t="n">
        <v>171</v>
      </c>
      <c r="N8807" t="inlineStr">
        <is>
          <t>Mus musculus</t>
        </is>
      </c>
      <c r="O8807" t="inlineStr">
        <is>
          <t>Ly6/PLAUR domain-containing protein 6</t>
        </is>
      </c>
    </row>
    <row r="8808">
      <c r="A8808" t="inlineStr"/>
      <c r="B8808" t="inlineStr"/>
      <c r="C8808" t="inlineStr"/>
      <c r="D8808" t="inlineStr"/>
      <c r="E8808">
        <f>HYPERLINK("https://www.ncbi.nlm.nih.gov/gene/?term=XP_020840323.1", "XP_020840323.1")</f>
        <v/>
      </c>
      <c r="F8808" t="n">
        <v>69.3</v>
      </c>
      <c r="G8808" t="n">
        <v>163</v>
      </c>
      <c r="H8808" t="n">
        <v>2.61e-87</v>
      </c>
      <c r="I8808" t="inlineStr">
        <is>
          <t>Nr</t>
        </is>
      </c>
      <c r="J8808" t="inlineStr"/>
      <c r="K8808" t="inlineStr"/>
      <c r="L8808" t="inlineStr">
        <is>
          <t>XP_020840323.1 ly6/PLAUR domain-containing protein 6 [Phascolarctos cinereus]</t>
        </is>
      </c>
      <c r="M8808" t="n">
        <v>171</v>
      </c>
      <c r="N8808" t="inlineStr">
        <is>
          <t>Phascolarctos cinereus</t>
        </is>
      </c>
      <c r="O8808" t="inlineStr">
        <is>
          <t>ly6/PLAUR domain-containing protein 6</t>
        </is>
      </c>
    </row>
    <row r="8809">
      <c r="A8809" t="inlineStr"/>
      <c r="B8809" t="inlineStr"/>
      <c r="C8809" t="inlineStr"/>
      <c r="D8809" t="inlineStr"/>
      <c r="E8809">
        <f>HYPERLINK("https://www.ncbi.nlm.nih.gov/gene/?term=XP_041118958.1", "XP_041118958.1")</f>
        <v/>
      </c>
      <c r="F8809" t="n">
        <v>68.59999999999999</v>
      </c>
      <c r="G8809" t="n">
        <v>169</v>
      </c>
      <c r="H8809" t="n">
        <v>2.61e-87</v>
      </c>
      <c r="I8809" t="inlineStr">
        <is>
          <t>Nr</t>
        </is>
      </c>
      <c r="J8809" t="inlineStr"/>
      <c r="K8809" t="inlineStr"/>
      <c r="L8809" t="inlineStr">
        <is>
          <t>XP_041118958.1 ly6/PLAUR domain-containing protein 6-like [Polyodon spathula]</t>
        </is>
      </c>
      <c r="M8809" t="n">
        <v>171</v>
      </c>
      <c r="N8809" t="inlineStr">
        <is>
          <t>Polyodon spathula</t>
        </is>
      </c>
      <c r="O8809" t="inlineStr">
        <is>
          <t>ly6/PLAUR domain-containing protein 6-like</t>
        </is>
      </c>
    </row>
    <row r="8810">
      <c r="A8810" t="inlineStr"/>
      <c r="B8810" t="inlineStr"/>
      <c r="C8810" t="inlineStr"/>
      <c r="D8810" t="inlineStr"/>
      <c r="E8810">
        <f>HYPERLINK("https://www.uniprot.org/uniprotkb/A0A8C3XIB1/entry", "A0A8C3XIB1")</f>
        <v/>
      </c>
      <c r="F8810" t="n">
        <v>68.5</v>
      </c>
      <c r="G8810" t="n">
        <v>165</v>
      </c>
      <c r="H8810" t="n">
        <v>2.72e-87</v>
      </c>
      <c r="I8810" t="inlineStr">
        <is>
          <t>TrEMBL</t>
        </is>
      </c>
      <c r="J8810" t="inlineStr">
        <is>
          <t>LYPD6</t>
        </is>
      </c>
      <c r="K8810" t="inlineStr">
        <is>
          <t>A0A8C3XIB1_CHESE</t>
        </is>
      </c>
      <c r="L8810" t="inlineStr">
        <is>
          <t>tr|A0A8C3XIB1|A0A8C3XIB1_CHESE LY6/PLAUR domain containing 6 OS=Chelydra serpentina OX=8475 GN=LYPD6 PE=4 SV=1</t>
        </is>
      </c>
      <c r="M8810" t="n">
        <v>169</v>
      </c>
      <c r="N8810" t="inlineStr">
        <is>
          <t>Chelydra serpentina</t>
        </is>
      </c>
      <c r="O8810" t="inlineStr">
        <is>
          <t>LY6/PLAUR domain containing 6</t>
        </is>
      </c>
    </row>
    <row r="8811">
      <c r="A8811" t="inlineStr"/>
      <c r="B8811" t="inlineStr"/>
      <c r="C8811" t="inlineStr"/>
      <c r="D8811" t="inlineStr"/>
      <c r="E8811">
        <f>HYPERLINK("https://www.uniprot.org/uniprotkb/A0A8C3IQH2/entry", "A0A8C3IQH2")</f>
        <v/>
      </c>
      <c r="F8811" t="n">
        <v>68.5</v>
      </c>
      <c r="G8811" t="n">
        <v>165</v>
      </c>
      <c r="H8811" t="n">
        <v>2.72e-87</v>
      </c>
      <c r="I8811" t="inlineStr">
        <is>
          <t>TrEMBL</t>
        </is>
      </c>
      <c r="J8811" t="inlineStr">
        <is>
          <t>LYPD6</t>
        </is>
      </c>
      <c r="K8811" t="inlineStr">
        <is>
          <t>A0A8C3IQH2_CHRPI</t>
        </is>
      </c>
      <c r="L8811" t="inlineStr">
        <is>
          <t>tr|A0A8C3IQH2|A0A8C3IQH2_CHRPI LY6/PLAUR domain containing 6 OS=Chrysemys picta bellii OX=8478 GN=LYPD6 PE=4 SV=1</t>
        </is>
      </c>
      <c r="M8811" t="n">
        <v>169</v>
      </c>
      <c r="N8811" t="inlineStr">
        <is>
          <t>Chrysemys picta bellii</t>
        </is>
      </c>
      <c r="O8811" t="inlineStr">
        <is>
          <t>LY6/PLAUR domain containing 6</t>
        </is>
      </c>
    </row>
    <row r="8812">
      <c r="A8812" t="inlineStr"/>
      <c r="B8812" t="inlineStr"/>
      <c r="C8812" t="inlineStr"/>
      <c r="D8812" t="inlineStr"/>
      <c r="E8812">
        <f>HYPERLINK("https://www.uniprot.org/uniprotkb/A0A8C4YSR3/entry", "A0A8C4YSR3")</f>
        <v/>
      </c>
      <c r="F8812" t="n">
        <v>68.5</v>
      </c>
      <c r="G8812" t="n">
        <v>165</v>
      </c>
      <c r="H8812" t="n">
        <v>2.72e-87</v>
      </c>
      <c r="I8812" t="inlineStr">
        <is>
          <t>TrEMBL</t>
        </is>
      </c>
      <c r="J8812" t="inlineStr">
        <is>
          <t>LYPD6</t>
        </is>
      </c>
      <c r="K8812" t="inlineStr">
        <is>
          <t>A0A8C4YSR3_9SAUR</t>
        </is>
      </c>
      <c r="L8812" t="inlineStr">
        <is>
          <t>tr|A0A8C4YSR3|A0A8C4YSR3_9SAUR LY6/PLAUR domain containing 6 OS=Gopherus evgoodei OX=1825980 GN=LYPD6 PE=4 SV=1</t>
        </is>
      </c>
      <c r="M8812" t="n">
        <v>169</v>
      </c>
      <c r="N8812" t="inlineStr">
        <is>
          <t>Gopherus evgoodei</t>
        </is>
      </c>
      <c r="O8812" t="inlineStr">
        <is>
          <t>LY6/PLAUR domain containing 6</t>
        </is>
      </c>
    </row>
    <row r="8813">
      <c r="A8813" t="inlineStr"/>
      <c r="B8813" t="inlineStr"/>
      <c r="C8813" t="inlineStr"/>
      <c r="D8813" t="inlineStr"/>
      <c r="E8813">
        <f>HYPERLINK("https://www.uniprot.org/uniprotkb/A0A4D9EHJ4/entry", "A0A4D9EHJ4")</f>
        <v/>
      </c>
      <c r="F8813" t="n">
        <v>68.5</v>
      </c>
      <c r="G8813" t="n">
        <v>165</v>
      </c>
      <c r="H8813" t="n">
        <v>3.86e-87</v>
      </c>
      <c r="I8813" t="inlineStr">
        <is>
          <t>TrEMBL</t>
        </is>
      </c>
      <c r="J8813" t="inlineStr">
        <is>
          <t>DR999_PMT06808</t>
        </is>
      </c>
      <c r="K8813" t="inlineStr">
        <is>
          <t>A0A4D9EHJ4_9SAUR</t>
        </is>
      </c>
      <c r="L8813" t="inlineStr">
        <is>
          <t>tr|A0A4D9EHJ4|A0A4D9EHJ4_9SAUR Pulmonary surfactant-associated protein D-like OS=Platysternon megacephalum OX=55544 GN=DR999_PMT06808 PE=4 SV=1</t>
        </is>
      </c>
      <c r="M8813" t="n">
        <v>169</v>
      </c>
      <c r="N8813" t="inlineStr">
        <is>
          <t>Platysternon megacephalum</t>
        </is>
      </c>
      <c r="O8813" t="inlineStr">
        <is>
          <t>Pulmonary surfactant-associated protein D-like</t>
        </is>
      </c>
    </row>
    <row r="8814">
      <c r="A8814" t="inlineStr"/>
      <c r="B8814" t="inlineStr"/>
      <c r="C8814" t="inlineStr"/>
      <c r="D8814" t="inlineStr"/>
      <c r="E8814">
        <f>HYPERLINK("https://www.uniprot.org/uniprotkb/A0A8C0HDB9/entry", "A0A8C0HDB9")</f>
        <v/>
      </c>
      <c r="F8814" t="n">
        <v>68.5</v>
      </c>
      <c r="G8814" t="n">
        <v>165</v>
      </c>
      <c r="H8814" t="n">
        <v>3.86e-87</v>
      </c>
      <c r="I8814" t="inlineStr">
        <is>
          <t>TrEMBL</t>
        </is>
      </c>
      <c r="J8814" t="inlineStr">
        <is>
          <t>LYPD6</t>
        </is>
      </c>
      <c r="K8814" t="inlineStr">
        <is>
          <t>A0A8C0HDB9_CHEAB</t>
        </is>
      </c>
      <c r="L8814" t="inlineStr">
        <is>
          <t>tr|A0A8C0HDB9|A0A8C0HDB9_CHEAB LY6/PLAUR domain containing 6 OS=Chelonoidis abingdonii OX=106734 GN=LYPD6 PE=4 SV=1</t>
        </is>
      </c>
      <c r="M8814" t="n">
        <v>169</v>
      </c>
      <c r="N8814" t="inlineStr">
        <is>
          <t>Chelonoidis abingdonii</t>
        </is>
      </c>
      <c r="O8814" t="inlineStr">
        <is>
          <t>LY6/PLAUR domain containing 6</t>
        </is>
      </c>
    </row>
    <row r="8815">
      <c r="A8815" t="inlineStr"/>
      <c r="B8815" t="inlineStr"/>
      <c r="C8815" t="inlineStr"/>
      <c r="D8815" t="inlineStr"/>
      <c r="E8815">
        <f>HYPERLINK("https://www.uniprot.org/uniprotkb/A0A674JG44/entry", "A0A674JG44")</f>
        <v/>
      </c>
      <c r="F8815" t="n">
        <v>68.5</v>
      </c>
      <c r="G8815" t="n">
        <v>165</v>
      </c>
      <c r="H8815" t="n">
        <v>3.86e-87</v>
      </c>
      <c r="I8815" t="inlineStr">
        <is>
          <t>TrEMBL</t>
        </is>
      </c>
      <c r="J8815" t="inlineStr">
        <is>
          <t>LYPD6</t>
        </is>
      </c>
      <c r="K8815" t="inlineStr">
        <is>
          <t>A0A674JG44_TERCA</t>
        </is>
      </c>
      <c r="L8815" t="inlineStr">
        <is>
          <t>tr|A0A674JG44|A0A674JG44_TERCA LY6/PLAUR domain containing 6 OS=Terrapene carolina triunguis OX=2587831 GN=LYPD6 PE=4 SV=1</t>
        </is>
      </c>
      <c r="M8815" t="n">
        <v>169</v>
      </c>
      <c r="N8815" t="inlineStr">
        <is>
          <t>Terrapene carolina triunguis</t>
        </is>
      </c>
      <c r="O8815" t="inlineStr">
        <is>
          <t>LY6/PLAUR domain containing 6</t>
        </is>
      </c>
    </row>
    <row r="8816">
      <c r="A8816" t="inlineStr"/>
      <c r="B8816" t="inlineStr"/>
      <c r="C8816" t="inlineStr"/>
      <c r="D8816" t="inlineStr"/>
      <c r="E8816">
        <f>HYPERLINK("https://www.uniprot.org/uniprotkb/D3ZTT2/entry", "D3ZTT2")</f>
        <v/>
      </c>
      <c r="F8816" t="n">
        <v>65.5</v>
      </c>
      <c r="G8816" t="n">
        <v>168</v>
      </c>
      <c r="H8816" t="n">
        <v>5.81e-87</v>
      </c>
      <c r="I8816" t="inlineStr">
        <is>
          <t>Swiss-Prot</t>
        </is>
      </c>
      <c r="J8816" t="inlineStr">
        <is>
          <t>Lypd6</t>
        </is>
      </c>
      <c r="K8816" t="inlineStr">
        <is>
          <t>LYPD6_RAT</t>
        </is>
      </c>
      <c r="L8816" t="inlineStr">
        <is>
          <t>sp|D3ZTT2|LYPD6_RAT Ly6/PLAUR domain-containing protein 6 OS=Rattus norvegicus OX=10116 GN=Lypd6 PE=1 SV=2</t>
        </is>
      </c>
      <c r="M8816" t="n">
        <v>171</v>
      </c>
      <c r="N8816" t="inlineStr">
        <is>
          <t>Rattus norvegicus</t>
        </is>
      </c>
      <c r="O8816" t="inlineStr">
        <is>
          <t>Ly6/PLAUR domain-containing protein 6</t>
        </is>
      </c>
    </row>
    <row r="8817">
      <c r="A8817" t="inlineStr"/>
      <c r="B8817" t="inlineStr"/>
      <c r="C8817" t="inlineStr"/>
      <c r="D8817" t="inlineStr"/>
      <c r="E8817">
        <f>HYPERLINK("https://www.ncbi.nlm.nih.gov/gene/?term=XP_030436645.1", "XP_030436645.1")</f>
        <v/>
      </c>
      <c r="F8817" t="n">
        <v>68.5</v>
      </c>
      <c r="G8817" t="n">
        <v>165</v>
      </c>
      <c r="H8817" t="n">
        <v>6.99e-87</v>
      </c>
      <c r="I8817" t="inlineStr">
        <is>
          <t>Nr</t>
        </is>
      </c>
      <c r="J8817" t="inlineStr"/>
      <c r="K8817" t="inlineStr"/>
      <c r="L8817" t="inlineStr">
        <is>
          <t>XP_030436645.1 ly6/PLAUR domain-containing protein 6 [Gopherus evgoodei]</t>
        </is>
      </c>
      <c r="M8817" t="n">
        <v>169</v>
      </c>
      <c r="N8817" t="inlineStr">
        <is>
          <t>Gopherus evgoodei</t>
        </is>
      </c>
      <c r="O8817" t="inlineStr">
        <is>
          <t>ly6/PLAUR domain-containing protein 6</t>
        </is>
      </c>
    </row>
    <row r="8818">
      <c r="A8818" t="inlineStr"/>
      <c r="B8818" t="inlineStr"/>
      <c r="C8818" t="inlineStr"/>
      <c r="D8818" t="inlineStr"/>
      <c r="E8818">
        <f>HYPERLINK("https://www.uniprot.org/uniprotkb/A0A8C4N9U8/entry", "A0A8C4N9U8")</f>
        <v/>
      </c>
      <c r="F8818" t="n">
        <v>68.5</v>
      </c>
      <c r="G8818" t="n">
        <v>168</v>
      </c>
      <c r="H8818" t="n">
        <v>9.23e-87</v>
      </c>
      <c r="I8818" t="inlineStr">
        <is>
          <t>TrEMBL</t>
        </is>
      </c>
      <c r="J8818" t="inlineStr">
        <is>
          <t>LYPD6</t>
        </is>
      </c>
      <c r="K8818" t="inlineStr">
        <is>
          <t>A0A8C4N9U8_EQUAS</t>
        </is>
      </c>
      <c r="L8818" t="inlineStr">
        <is>
          <t>tr|A0A8C4N9U8|A0A8C4N9U8_EQUAS LY6/PLAUR domain containing 6 OS=Equus asinus asinus OX=83772 GN=LYPD6 PE=4 SV=1</t>
        </is>
      </c>
      <c r="M8818" t="n">
        <v>174</v>
      </c>
      <c r="N8818" t="inlineStr">
        <is>
          <t>Equus asinus asinus</t>
        </is>
      </c>
      <c r="O8818" t="inlineStr">
        <is>
          <t>LY6/PLAUR domain containing 6</t>
        </is>
      </c>
    </row>
    <row r="8819">
      <c r="A8819" t="inlineStr"/>
      <c r="B8819" t="inlineStr"/>
      <c r="C8819" t="inlineStr"/>
      <c r="D8819" t="inlineStr"/>
      <c r="E8819">
        <f>HYPERLINK("https://www.uniprot.org/uniprotkb/M3XWR8/entry", "M3XWR8")</f>
        <v/>
      </c>
      <c r="F8819" t="n">
        <v>68.5</v>
      </c>
      <c r="G8819" t="n">
        <v>168</v>
      </c>
      <c r="H8819" t="n">
        <v>1.68e-86</v>
      </c>
      <c r="I8819" t="inlineStr">
        <is>
          <t>TrEMBL</t>
        </is>
      </c>
      <c r="J8819" t="inlineStr">
        <is>
          <t>LYPD6</t>
        </is>
      </c>
      <c r="K8819" t="inlineStr">
        <is>
          <t>M3XWR8_MUSPF</t>
        </is>
      </c>
      <c r="L8819" t="inlineStr">
        <is>
          <t>tr|M3XWR8|M3XWR8_MUSPF LY6/PLAUR domain containing 6 OS=Mustela putorius furo OX=9669 GN=LYPD6 PE=4 SV=1</t>
        </is>
      </c>
      <c r="M8819" t="n">
        <v>171</v>
      </c>
      <c r="N8819" t="inlineStr">
        <is>
          <t>Mustela putorius furo</t>
        </is>
      </c>
      <c r="O8819" t="inlineStr">
        <is>
          <t>LY6/PLAUR domain containing 6</t>
        </is>
      </c>
    </row>
    <row r="8820">
      <c r="A8820" t="inlineStr"/>
      <c r="B8820" t="inlineStr"/>
      <c r="C8820" t="inlineStr"/>
      <c r="D8820" t="inlineStr"/>
      <c r="E8820">
        <f>HYPERLINK("https://www.uniprot.org/uniprotkb/A0A6J0AS73/entry", "A0A6J0AS73")</f>
        <v/>
      </c>
      <c r="F8820" t="n">
        <v>68.5</v>
      </c>
      <c r="G8820" t="n">
        <v>168</v>
      </c>
      <c r="H8820" t="n">
        <v>1.68e-86</v>
      </c>
      <c r="I8820" t="inlineStr">
        <is>
          <t>TrEMBL</t>
        </is>
      </c>
      <c r="J8820" t="inlineStr">
        <is>
          <t>LYPD6</t>
        </is>
      </c>
      <c r="K8820" t="inlineStr">
        <is>
          <t>A0A6J0AS73_VICPA</t>
        </is>
      </c>
      <c r="L8820" t="inlineStr">
        <is>
          <t>tr|A0A6J0AS73|A0A6J0AS73_VICPA ly6/PLAUR domain-containing protein 6 isoform X1 OS=Vicugna pacos OX=30538 GN=LYPD6 PE=4 SV=1</t>
        </is>
      </c>
      <c r="M8820" t="n">
        <v>171</v>
      </c>
      <c r="N8820" t="inlineStr">
        <is>
          <t>Vicugna pacos</t>
        </is>
      </c>
      <c r="O8820" t="inlineStr">
        <is>
          <t>ly6/PLAUR domain-containing protein 6 isoform X1</t>
        </is>
      </c>
    </row>
    <row r="8821">
      <c r="A8821" t="inlineStr"/>
      <c r="B8821" t="inlineStr"/>
      <c r="C8821" t="inlineStr"/>
      <c r="D8821" t="inlineStr"/>
      <c r="E8821">
        <f>HYPERLINK("https://www.uniprot.org/uniprotkb/U6CPI2/entry", "U6CPI2")</f>
        <v/>
      </c>
      <c r="F8821" t="n">
        <v>68.5</v>
      </c>
      <c r="G8821" t="n">
        <v>168</v>
      </c>
      <c r="H8821" t="n">
        <v>1.68e-86</v>
      </c>
      <c r="I8821" t="inlineStr">
        <is>
          <t>TrEMBL</t>
        </is>
      </c>
      <c r="J8821" t="inlineStr">
        <is>
          <t>LYPD6</t>
        </is>
      </c>
      <c r="K8821" t="inlineStr">
        <is>
          <t>U6CPI2_NEOVI</t>
        </is>
      </c>
      <c r="L8821" t="inlineStr">
        <is>
          <t>tr|U6CPI2|U6CPI2_NEOVI LY6/PLAUR domain containing 6 OS=Neovison vison OX=452646 GN=LYPD6 PE=2 SV=1</t>
        </is>
      </c>
      <c r="M8821" t="n">
        <v>171</v>
      </c>
      <c r="N8821" t="inlineStr">
        <is>
          <t>Neovison vison</t>
        </is>
      </c>
      <c r="O8821" t="inlineStr">
        <is>
          <t>LY6/PLAUR domain containing 6</t>
        </is>
      </c>
    </row>
    <row r="8822">
      <c r="A8822" t="inlineStr"/>
      <c r="B8822" t="inlineStr"/>
      <c r="C8822" t="inlineStr"/>
      <c r="D8822" t="inlineStr"/>
      <c r="E8822">
        <f>HYPERLINK("https://www.uniprot.org/uniprotkb/A0A7J8FSA9/entry", "A0A7J8FSA9")</f>
        <v/>
      </c>
      <c r="F8822" t="n">
        <v>67.90000000000001</v>
      </c>
      <c r="G8822" t="n">
        <v>168</v>
      </c>
      <c r="H8822" t="n">
        <v>1.68e-86</v>
      </c>
      <c r="I8822" t="inlineStr">
        <is>
          <t>TrEMBL</t>
        </is>
      </c>
      <c r="J8822" t="inlineStr">
        <is>
          <t>HJG59_011759</t>
        </is>
      </c>
      <c r="K8822" t="inlineStr">
        <is>
          <t>A0A7J8FSA9_MOLMO</t>
        </is>
      </c>
      <c r="L8822" t="inlineStr">
        <is>
          <t>tr|A0A7J8FSA9|A0A7J8FSA9_MOLMO LY6/PLAUR domain containing 6 OS=Molossus molossus OX=27622 GN=HJG59_011759 PE=4 SV=1</t>
        </is>
      </c>
      <c r="M8822" t="n">
        <v>171</v>
      </c>
      <c r="N8822" t="inlineStr">
        <is>
          <t>Molossus molossus</t>
        </is>
      </c>
      <c r="O8822" t="inlineStr">
        <is>
          <t>LY6/PLAUR domain containing 6</t>
        </is>
      </c>
    </row>
    <row r="8823">
      <c r="A8823" t="inlineStr"/>
      <c r="B8823" t="inlineStr"/>
      <c r="C8823" t="inlineStr"/>
      <c r="D8823" t="inlineStr"/>
      <c r="E8823">
        <f>HYPERLINK("https://www.uniprot.org/uniprotkb/A0A8B8SZ52/entry", "A0A8B8SZ52")</f>
        <v/>
      </c>
      <c r="F8823" t="n">
        <v>68.5</v>
      </c>
      <c r="G8823" t="n">
        <v>168</v>
      </c>
      <c r="H8823" t="n">
        <v>1.68e-86</v>
      </c>
      <c r="I8823" t="inlineStr">
        <is>
          <t>TrEMBL</t>
        </is>
      </c>
      <c r="J8823" t="inlineStr">
        <is>
          <t>LYPD6</t>
        </is>
      </c>
      <c r="K8823" t="inlineStr">
        <is>
          <t>A0A8B8SZ52_CAMFR</t>
        </is>
      </c>
      <c r="L8823" t="inlineStr">
        <is>
          <t>tr|A0A8B8SZ52|A0A8B8SZ52_CAMFR LOW QUALITY PROTEIN: ly6/PLAUR domain-containing protein 6 OS=Camelus ferus OX=419612 GN=LYPD6 PE=4 SV=1</t>
        </is>
      </c>
      <c r="M8823" t="n">
        <v>171</v>
      </c>
      <c r="N8823" t="inlineStr">
        <is>
          <t>Camelus ferus</t>
        </is>
      </c>
      <c r="O8823" t="inlineStr">
        <is>
          <t>LOW QUALITY PROTEIN: ly6/PLAUR domain-containing protein 6</t>
        </is>
      </c>
    </row>
    <row r="8824">
      <c r="A8824" t="inlineStr"/>
      <c r="B8824" t="inlineStr"/>
      <c r="C8824" t="inlineStr"/>
      <c r="D8824" t="inlineStr"/>
      <c r="E8824">
        <f>HYPERLINK("https://www.uniprot.org/uniprotkb/A0A4X2K3Y5/entry", "A0A4X2K3Y5")</f>
        <v/>
      </c>
      <c r="F8824" t="n">
        <v>68.7</v>
      </c>
      <c r="G8824" t="n">
        <v>163</v>
      </c>
      <c r="H8824" t="n">
        <v>1.68e-86</v>
      </c>
      <c r="I8824" t="inlineStr">
        <is>
          <t>TrEMBL</t>
        </is>
      </c>
      <c r="J8824" t="inlineStr">
        <is>
          <t>LYPD6</t>
        </is>
      </c>
      <c r="K8824" t="inlineStr">
        <is>
          <t>A0A4X2K3Y5_VOMUR</t>
        </is>
      </c>
      <c r="L8824" t="inlineStr">
        <is>
          <t>tr|A0A4X2K3Y5|A0A4X2K3Y5_VOMUR LY6/PLAUR domain containing 6 OS=Vombatus ursinus OX=29139 GN=LYPD6 PE=4 SV=1</t>
        </is>
      </c>
      <c r="M8824" t="n">
        <v>171</v>
      </c>
      <c r="N8824" t="inlineStr">
        <is>
          <t>Vombatus ursinus</t>
        </is>
      </c>
      <c r="O8824" t="inlineStr">
        <is>
          <t>LY6/PLAUR domain containing 6</t>
        </is>
      </c>
    </row>
    <row r="8825">
      <c r="A8825" t="inlineStr"/>
      <c r="B8825" t="inlineStr"/>
      <c r="C8825" t="inlineStr"/>
      <c r="D8825" t="inlineStr"/>
      <c r="E8825">
        <f>HYPERLINK("https://www.uniprot.org/uniprotkb/A0A6P6CG40/entry", "A0A6P6CG40")</f>
        <v/>
      </c>
      <c r="F8825" t="n">
        <v>67.90000000000001</v>
      </c>
      <c r="G8825" t="n">
        <v>168</v>
      </c>
      <c r="H8825" t="n">
        <v>2.39e-86</v>
      </c>
      <c r="I8825" t="inlineStr">
        <is>
          <t>TrEMBL</t>
        </is>
      </c>
      <c r="J8825" t="inlineStr">
        <is>
          <t>LYPD6</t>
        </is>
      </c>
      <c r="K8825" t="inlineStr">
        <is>
          <t>A0A6P6CG40_PTEVA</t>
        </is>
      </c>
      <c r="L8825" t="inlineStr">
        <is>
          <t>tr|A0A6P6CG40|A0A6P6CG40_PTEVA ly6/PLAUR domain-containing protein 6 isoform X1 OS=Pteropus vampyrus OX=132908 GN=LYPD6 PE=4 SV=1</t>
        </is>
      </c>
      <c r="M8825" t="n">
        <v>171</v>
      </c>
      <c r="N8825" t="inlineStr">
        <is>
          <t>Pteropus vampyrus</t>
        </is>
      </c>
      <c r="O8825" t="inlineStr">
        <is>
          <t>ly6/PLAUR domain-containing protein 6 isoform X1</t>
        </is>
      </c>
    </row>
    <row r="8826">
      <c r="A8826" t="inlineStr"/>
      <c r="B8826" t="inlineStr"/>
      <c r="C8826" t="inlineStr"/>
      <c r="D8826" t="inlineStr"/>
      <c r="E8826">
        <f>HYPERLINK("https://www.uniprot.org/uniprotkb/Q66IA6/entry", "Q66IA6")</f>
        <v/>
      </c>
      <c r="F8826" t="n">
        <v>63.8</v>
      </c>
      <c r="G8826" t="n">
        <v>160</v>
      </c>
      <c r="H8826" t="n">
        <v>1.31e-79</v>
      </c>
      <c r="I8826" t="inlineStr">
        <is>
          <t>Swiss-Prot</t>
        </is>
      </c>
      <c r="J8826" t="inlineStr">
        <is>
          <t>lypd6</t>
        </is>
      </c>
      <c r="K8826" t="inlineStr">
        <is>
          <t>LYPD6_DANRE</t>
        </is>
      </c>
      <c r="L8826" t="inlineStr">
        <is>
          <t>sp|Q66IA6|LYPD6_DANRE Ly6/PLAUR domain-containing protein 6 OS=Danio rerio OX=7955 GN=lypd6 PE=1 SV=1</t>
        </is>
      </c>
      <c r="M8826" t="n">
        <v>174</v>
      </c>
      <c r="N8826" t="inlineStr">
        <is>
          <t>Danio rerio</t>
        </is>
      </c>
      <c r="O8826" t="inlineStr">
        <is>
          <t>Ly6/PLAUR domain-containing protein 6</t>
        </is>
      </c>
    </row>
    <row r="8827">
      <c r="A8827" t="inlineStr"/>
      <c r="B8827" t="inlineStr"/>
      <c r="C8827" t="inlineStr"/>
      <c r="D8827" t="inlineStr"/>
      <c r="E8827">
        <f>HYPERLINK("https://www.uniprot.org/uniprotkb/Q9D7F2/entry", "Q9D7F2")</f>
        <v/>
      </c>
      <c r="F8827" t="n">
        <v>47.4</v>
      </c>
      <c r="G8827" t="n">
        <v>133</v>
      </c>
      <c r="H8827" t="n">
        <v>5.13e-40</v>
      </c>
      <c r="I8827" t="inlineStr">
        <is>
          <t>Swiss-Prot</t>
        </is>
      </c>
      <c r="J8827" t="inlineStr">
        <is>
          <t>Lypd6b</t>
        </is>
      </c>
      <c r="K8827" t="inlineStr">
        <is>
          <t>LPD6B_MOUSE</t>
        </is>
      </c>
      <c r="L8827" t="inlineStr">
        <is>
          <t>sp|Q9D7F2|LPD6B_MOUSE Ly6/PLAUR domain-containing protein 6B OS=Mus musculus OX=10090 GN=Lypd6b PE=2 SV=2</t>
        </is>
      </c>
      <c r="M8827" t="n">
        <v>172</v>
      </c>
      <c r="N8827" t="inlineStr">
        <is>
          <t>Mus musculus</t>
        </is>
      </c>
      <c r="O8827" t="inlineStr">
        <is>
          <t>Ly6/PLAUR domain-containing protein 6B</t>
        </is>
      </c>
    </row>
    <row r="8828">
      <c r="A8828" t="inlineStr"/>
      <c r="B8828" t="inlineStr"/>
      <c r="C8828" t="inlineStr"/>
      <c r="D8828" t="inlineStr"/>
      <c r="E8828">
        <f>HYPERLINK("https://www.uniprot.org/uniprotkb/Q8NI32/entry", "Q8NI32")</f>
        <v/>
      </c>
      <c r="F8828" t="n">
        <v>45.4</v>
      </c>
      <c r="G8828" t="n">
        <v>130</v>
      </c>
      <c r="H8828" t="n">
        <v>1.61e-38</v>
      </c>
      <c r="I8828" t="inlineStr">
        <is>
          <t>Swiss-Prot</t>
        </is>
      </c>
      <c r="J8828" t="inlineStr">
        <is>
          <t>LYPD6B</t>
        </is>
      </c>
      <c r="K8828" t="inlineStr">
        <is>
          <t>LPD6B_HUMAN</t>
        </is>
      </c>
      <c r="L8828" t="inlineStr">
        <is>
          <t>sp|Q8NI32|LPD6B_HUMAN Ly6/PLAUR domain-containing protein 6B OS=Homo sapiens OX=9606 GN=LYPD6B PE=1 SV=1</t>
        </is>
      </c>
      <c r="M8828" t="n">
        <v>183</v>
      </c>
      <c r="N8828" t="inlineStr">
        <is>
          <t>Homo sapiens</t>
        </is>
      </c>
      <c r="O8828" t="inlineStr">
        <is>
          <t>Ly6/PLAUR domain-containing protein 6B</t>
        </is>
      </c>
    </row>
    <row r="8829">
      <c r="A8829" t="inlineStr"/>
      <c r="B8829" t="inlineStr"/>
      <c r="C8829" t="inlineStr"/>
      <c r="D8829" t="inlineStr"/>
      <c r="E8829">
        <f>HYPERLINK("https://www.uniprot.org/uniprotkb/Q07929/entry", "Q07929")</f>
        <v/>
      </c>
      <c r="F8829" t="n">
        <v>34.4</v>
      </c>
      <c r="G8829" t="n">
        <v>61</v>
      </c>
      <c r="H8829" t="n">
        <v>0.00035</v>
      </c>
      <c r="I8829" t="inlineStr">
        <is>
          <t>Swiss-Prot</t>
        </is>
      </c>
      <c r="J8829" t="inlineStr"/>
      <c r="K8829" t="inlineStr">
        <is>
          <t>SP63_STRPU</t>
        </is>
      </c>
      <c r="L8829" t="inlineStr">
        <is>
          <t>sp|Q07929|SP63_STRPU 63 kDa sperm flagellar membrane protein OS=Strongylocentrotus purpuratus OX=7668 PE=2 SV=1</t>
        </is>
      </c>
      <c r="M8829" t="n">
        <v>470</v>
      </c>
      <c r="N8829" t="inlineStr">
        <is>
          <t>Strongylocentrotus purpuratus</t>
        </is>
      </c>
      <c r="O8829" t="inlineStr">
        <is>
          <t>63 kDa sperm flagellar membrane protein</t>
        </is>
      </c>
    </row>
    <row r="8830">
      <c r="A8830" t="inlineStr">
        <is>
          <t>NODE_67613_length_2388_cov_31.416200_g23781_i0</t>
        </is>
      </c>
      <c r="B8830" t="inlineStr">
        <is>
          <t>bombina_pachypus_blastx</t>
        </is>
      </c>
      <c r="C8830" t="n">
        <v>6.75803093572242</v>
      </c>
      <c r="D8830" t="n">
        <v>0.005478166952732</v>
      </c>
      <c r="E8830">
        <f>HYPERLINK("https://www.uniprot.org/uniprotkb/A0A8J1LN69/entry", "A0A8J1LN69")</f>
        <v/>
      </c>
      <c r="F8830" t="n">
        <v>37</v>
      </c>
      <c r="G8830" t="n">
        <v>200</v>
      </c>
      <c r="H8830" t="n">
        <v>3.59e-38</v>
      </c>
      <c r="I8830" t="inlineStr">
        <is>
          <t>TrEMBL</t>
        </is>
      </c>
      <c r="J8830" t="inlineStr">
        <is>
          <t>LOC121397634</t>
        </is>
      </c>
      <c r="K8830" t="inlineStr">
        <is>
          <t>A0A8J1LN69_XENLA</t>
        </is>
      </c>
      <c r="L8830" t="inlineStr">
        <is>
          <t>tr|A0A8J1LN69|A0A8J1LN69_XENLA zinc finger CCHC domain-containing protein 3-like OS=Xenopus laevis OX=8355 GN=LOC121397634 PE=4 SV=1</t>
        </is>
      </c>
      <c r="M8830" t="n">
        <v>335</v>
      </c>
      <c r="N8830" t="inlineStr">
        <is>
          <t>Xenopus laevis</t>
        </is>
      </c>
      <c r="O8830" t="inlineStr">
        <is>
          <t>zinc finger CCHC domain-containing protein 3-like</t>
        </is>
      </c>
    </row>
    <row r="8831">
      <c r="A8831" t="inlineStr"/>
      <c r="B8831" t="inlineStr"/>
      <c r="C8831" t="inlineStr"/>
      <c r="D8831" t="inlineStr"/>
      <c r="E8831">
        <f>HYPERLINK("https://www.ncbi.nlm.nih.gov/gene/?term=XP_041430624.1", "XP_041430624.1")</f>
        <v/>
      </c>
      <c r="F8831" t="n">
        <v>37</v>
      </c>
      <c r="G8831" t="n">
        <v>200</v>
      </c>
      <c r="H8831" t="n">
        <v>9.219999999999999e-38</v>
      </c>
      <c r="I8831" t="inlineStr">
        <is>
          <t>Nr</t>
        </is>
      </c>
      <c r="J8831" t="inlineStr"/>
      <c r="K8831" t="inlineStr"/>
      <c r="L8831" t="inlineStr">
        <is>
          <t>XP_041430624.1 zinc finger CCHC domain-containing protein 3-like [Xenopus laevis]</t>
        </is>
      </c>
      <c r="M8831" t="n">
        <v>335</v>
      </c>
      <c r="N8831" t="inlineStr">
        <is>
          <t>Xenopus laevis</t>
        </is>
      </c>
      <c r="O8831" t="inlineStr">
        <is>
          <t>zinc finger CCHC domain-containing protein 3-like</t>
        </is>
      </c>
    </row>
    <row r="8832">
      <c r="A8832" t="inlineStr"/>
      <c r="B8832" t="inlineStr"/>
      <c r="C8832" t="inlineStr"/>
      <c r="D8832" t="inlineStr"/>
      <c r="E8832">
        <f>HYPERLINK("https://www.uniprot.org/uniprotkb/A0A803K1D5/entry", "A0A803K1D5")</f>
        <v/>
      </c>
      <c r="F8832" t="n">
        <v>31.9</v>
      </c>
      <c r="G8832" t="n">
        <v>204</v>
      </c>
      <c r="H8832" t="n">
        <v>1.81e-29</v>
      </c>
      <c r="I8832" t="inlineStr">
        <is>
          <t>TrEMBL</t>
        </is>
      </c>
      <c r="J8832" t="inlineStr"/>
      <c r="K8832" t="inlineStr">
        <is>
          <t>A0A803K1D5_XENTR</t>
        </is>
      </c>
      <c r="L8832" t="inlineStr">
        <is>
          <t>tr|A0A803K1D5|A0A803K1D5_XENTR CCHC-type domain-containing protein OS=Xenopus tropicalis OX=8364 PE=4 SV=1</t>
        </is>
      </c>
      <c r="M8832" t="n">
        <v>308</v>
      </c>
      <c r="N8832" t="inlineStr">
        <is>
          <t>Xenopus tropicalis</t>
        </is>
      </c>
      <c r="O8832" t="inlineStr">
        <is>
          <t>CCHC-type domain-containing protein</t>
        </is>
      </c>
    </row>
    <row r="8833">
      <c r="A8833" t="inlineStr"/>
      <c r="B8833" t="inlineStr"/>
      <c r="C8833" t="inlineStr"/>
      <c r="D8833" t="inlineStr"/>
      <c r="E8833">
        <f>HYPERLINK("https://www.ncbi.nlm.nih.gov/gene/?term=KAG1928992.1", "KAG1928992.1")</f>
        <v/>
      </c>
      <c r="F8833" t="n">
        <v>31.8</v>
      </c>
      <c r="G8833" t="n">
        <v>198</v>
      </c>
      <c r="H8833" t="n">
        <v>7.100000000000001e-26</v>
      </c>
      <c r="I8833" t="inlineStr">
        <is>
          <t>Nr</t>
        </is>
      </c>
      <c r="J8833" t="inlineStr"/>
      <c r="K8833" t="inlineStr"/>
      <c r="L8833" t="inlineStr">
        <is>
          <t>KAG1928992.1 hypothetical protein F2P79_023214 [Pimephales promelas]</t>
        </is>
      </c>
      <c r="M8833" t="n">
        <v>1338</v>
      </c>
      <c r="N8833" t="inlineStr">
        <is>
          <t>Pimephales promelas</t>
        </is>
      </c>
      <c r="O8833" t="inlineStr">
        <is>
          <t>hypothetical protein F2P79_023214</t>
        </is>
      </c>
    </row>
    <row r="8834">
      <c r="A8834" t="inlineStr"/>
      <c r="B8834" t="inlineStr"/>
      <c r="C8834" t="inlineStr"/>
      <c r="D8834" t="inlineStr"/>
      <c r="E8834">
        <f>HYPERLINK("https://www.uniprot.org/uniprotkb/A0A8C2FEP1/entry", "A0A8C2FEP1")</f>
        <v/>
      </c>
      <c r="F8834" t="n">
        <v>32.3</v>
      </c>
      <c r="G8834" t="n">
        <v>198</v>
      </c>
      <c r="H8834" t="n">
        <v>2.5e-25</v>
      </c>
      <c r="I8834" t="inlineStr">
        <is>
          <t>TrEMBL</t>
        </is>
      </c>
      <c r="J8834" t="inlineStr"/>
      <c r="K8834" t="inlineStr">
        <is>
          <t>A0A8C2FEP1_CYPCA</t>
        </is>
      </c>
      <c r="L8834" t="inlineStr">
        <is>
          <t>tr|A0A8C2FEP1|A0A8C2FEP1_CYPCA CCHC-type domain-containing protein OS=Cyprinus carpio OX=7962 PE=4 SV=1</t>
        </is>
      </c>
      <c r="M8834" t="n">
        <v>417</v>
      </c>
      <c r="N8834" t="inlineStr">
        <is>
          <t>Cyprinus carpio</t>
        </is>
      </c>
      <c r="O8834" t="inlineStr">
        <is>
          <t>CCHC-type domain-containing protein</t>
        </is>
      </c>
    </row>
    <row r="8835">
      <c r="A8835" t="inlineStr"/>
      <c r="B8835" t="inlineStr"/>
      <c r="C8835" t="inlineStr"/>
      <c r="D8835" t="inlineStr"/>
      <c r="E8835">
        <f>HYPERLINK("https://www.uniprot.org/uniprotkb/A0A8C1S1M9/entry", "A0A8C1S1M9")</f>
        <v/>
      </c>
      <c r="F8835" t="n">
        <v>32.3</v>
      </c>
      <c r="G8835" t="n">
        <v>198</v>
      </c>
      <c r="H8835" t="n">
        <v>2.5e-25</v>
      </c>
      <c r="I8835" t="inlineStr">
        <is>
          <t>TrEMBL</t>
        </is>
      </c>
      <c r="J8835" t="inlineStr"/>
      <c r="K8835" t="inlineStr">
        <is>
          <t>A0A8C1S1M9_CYPCA</t>
        </is>
      </c>
      <c r="L8835" t="inlineStr">
        <is>
          <t>tr|A0A8C1S1M9|A0A8C1S1M9_CYPCA CCHC-type domain-containing protein OS=Cyprinus carpio OX=7962 PE=4 SV=1</t>
        </is>
      </c>
      <c r="M8835" t="n">
        <v>417</v>
      </c>
      <c r="N8835" t="inlineStr">
        <is>
          <t>Cyprinus carpio</t>
        </is>
      </c>
      <c r="O8835" t="inlineStr">
        <is>
          <t>CCHC-type domain-containing protein</t>
        </is>
      </c>
    </row>
    <row r="8836">
      <c r="A8836" t="inlineStr"/>
      <c r="B8836" t="inlineStr"/>
      <c r="C8836" t="inlineStr"/>
      <c r="D8836" t="inlineStr"/>
      <c r="E8836">
        <f>HYPERLINK("https://www.uniprot.org/uniprotkb/A0A8J1JIE7/entry", "A0A8J1JIE7")</f>
        <v/>
      </c>
      <c r="F8836" t="n">
        <v>32.3</v>
      </c>
      <c r="G8836" t="n">
        <v>192</v>
      </c>
      <c r="H8836" t="n">
        <v>3.97e-25</v>
      </c>
      <c r="I8836" t="inlineStr">
        <is>
          <t>TrEMBL</t>
        </is>
      </c>
      <c r="J8836" t="inlineStr">
        <is>
          <t>armh1</t>
        </is>
      </c>
      <c r="K8836" t="inlineStr">
        <is>
          <t>A0A8J1JIE7_XENTR</t>
        </is>
      </c>
      <c r="L8836" t="inlineStr">
        <is>
          <t>tr|A0A8J1JIE7|A0A8J1JIE7_XENTR armadillo-like helical domain containing protein 1 isoform X1 OS=Xenopus tropicalis OX=8364 GN=armh1 PE=4 SV=1</t>
        </is>
      </c>
      <c r="M8836" t="n">
        <v>523</v>
      </c>
      <c r="N8836" t="inlineStr">
        <is>
          <t>Xenopus tropicalis</t>
        </is>
      </c>
      <c r="O8836" t="inlineStr">
        <is>
          <t>armadillo-like helical domain containing protein 1 isoform X1</t>
        </is>
      </c>
    </row>
    <row r="8837">
      <c r="A8837" t="inlineStr"/>
      <c r="B8837" t="inlineStr"/>
      <c r="C8837" t="inlineStr"/>
      <c r="D8837" t="inlineStr"/>
      <c r="E8837">
        <f>HYPERLINK("https://www.uniprot.org/uniprotkb/A0A8J1M048/entry", "A0A8J1M048")</f>
        <v/>
      </c>
      <c r="F8837" t="n">
        <v>32.3</v>
      </c>
      <c r="G8837" t="n">
        <v>192</v>
      </c>
      <c r="H8837" t="n">
        <v>4.17e-25</v>
      </c>
      <c r="I8837" t="inlineStr">
        <is>
          <t>TrEMBL</t>
        </is>
      </c>
      <c r="J8837" t="inlineStr">
        <is>
          <t>LOC121399172</t>
        </is>
      </c>
      <c r="K8837" t="inlineStr">
        <is>
          <t>A0A8J1M048_XENLA</t>
        </is>
      </c>
      <c r="L8837" t="inlineStr">
        <is>
          <t>tr|A0A8J1M048|A0A8J1M048_XENLA uncharacterized protein LOC121399172 OS=Xenopus laevis OX=8355 GN=LOC121399172 PE=4 SV=1</t>
        </is>
      </c>
      <c r="M8837" t="n">
        <v>433</v>
      </c>
      <c r="N8837" t="inlineStr">
        <is>
          <t>Xenopus laevis</t>
        </is>
      </c>
      <c r="O8837" t="inlineStr">
        <is>
          <t>uncharacterized protein LOC121399172</t>
        </is>
      </c>
    </row>
    <row r="8838">
      <c r="A8838" t="inlineStr"/>
      <c r="B8838" t="inlineStr"/>
      <c r="C8838" t="inlineStr"/>
      <c r="D8838" t="inlineStr"/>
      <c r="E8838">
        <f>HYPERLINK("https://www.ncbi.nlm.nih.gov/gene/?term=XP_031756800.1", "XP_031756800.1")</f>
        <v/>
      </c>
      <c r="F8838" t="n">
        <v>32.3</v>
      </c>
      <c r="G8838" t="n">
        <v>192</v>
      </c>
      <c r="H8838" t="n">
        <v>1.02e-24</v>
      </c>
      <c r="I8838" t="inlineStr">
        <is>
          <t>Nr</t>
        </is>
      </c>
      <c r="J8838" t="inlineStr"/>
      <c r="K8838" t="inlineStr"/>
      <c r="L8838" t="inlineStr">
        <is>
          <t>XP_031756800.1 armadillo-like helical domain containing protein 1 isoform X1 [Xenopus tropicalis]</t>
        </is>
      </c>
      <c r="M8838" t="n">
        <v>523</v>
      </c>
      <c r="N8838" t="inlineStr">
        <is>
          <t>Xenopus tropicalis</t>
        </is>
      </c>
      <c r="O8838" t="inlineStr">
        <is>
          <t>armadillo-like helical domain containing protein 1 isoform X1</t>
        </is>
      </c>
    </row>
    <row r="8839">
      <c r="A8839" t="inlineStr"/>
      <c r="B8839" t="inlineStr"/>
      <c r="C8839" t="inlineStr"/>
      <c r="D8839" t="inlineStr"/>
      <c r="E8839">
        <f>HYPERLINK("https://www.ncbi.nlm.nih.gov/gene/?term=XP_041435059.1", "XP_041435059.1")</f>
        <v/>
      </c>
      <c r="F8839" t="n">
        <v>32.3</v>
      </c>
      <c r="G8839" t="n">
        <v>192</v>
      </c>
      <c r="H8839" t="n">
        <v>1.07e-24</v>
      </c>
      <c r="I8839" t="inlineStr">
        <is>
          <t>Nr</t>
        </is>
      </c>
      <c r="J8839" t="inlineStr"/>
      <c r="K8839" t="inlineStr"/>
      <c r="L8839" t="inlineStr">
        <is>
          <t>XP_041435059.1 uncharacterized protein LOC121399172 [Xenopus laevis]</t>
        </is>
      </c>
      <c r="M8839" t="n">
        <v>433</v>
      </c>
      <c r="N8839" t="inlineStr">
        <is>
          <t>Xenopus laevis</t>
        </is>
      </c>
      <c r="O8839" t="inlineStr">
        <is>
          <t>uncharacterized protein LOC121399172</t>
        </is>
      </c>
    </row>
    <row r="8840">
      <c r="A8840" t="inlineStr"/>
      <c r="B8840" t="inlineStr"/>
      <c r="C8840" t="inlineStr"/>
      <c r="D8840" t="inlineStr"/>
      <c r="E8840">
        <f>HYPERLINK("https://www.ncbi.nlm.nih.gov/gene/?term=OCT68822.1", "OCT68822.1")</f>
        <v/>
      </c>
      <c r="F8840" t="n">
        <v>31</v>
      </c>
      <c r="G8840" t="n">
        <v>203</v>
      </c>
      <c r="H8840" t="n">
        <v>1.93e-24</v>
      </c>
      <c r="I8840" t="inlineStr">
        <is>
          <t>Nr</t>
        </is>
      </c>
      <c r="J8840" t="inlineStr"/>
      <c r="K8840" t="inlineStr"/>
      <c r="L8840" t="inlineStr">
        <is>
          <t>OCT68822.1 hypothetical protein XELAEV_18040119mg [Xenopus laevis]</t>
        </is>
      </c>
      <c r="M8840" t="n">
        <v>489</v>
      </c>
      <c r="N8840" t="inlineStr">
        <is>
          <t>Xenopus laevis</t>
        </is>
      </c>
      <c r="O8840" t="inlineStr">
        <is>
          <t>hypothetical protein XELAEV_18040119mg</t>
        </is>
      </c>
    </row>
    <row r="8841">
      <c r="A8841" t="inlineStr"/>
      <c r="B8841" t="inlineStr"/>
      <c r="C8841" t="inlineStr"/>
      <c r="D8841" t="inlineStr"/>
      <c r="E8841">
        <f>HYPERLINK("https://www.uniprot.org/uniprotkb/A0A821Y562/entry", "A0A821Y562")</f>
        <v/>
      </c>
      <c r="F8841" t="n">
        <v>31.1</v>
      </c>
      <c r="G8841" t="n">
        <v>196</v>
      </c>
      <c r="H8841" t="n">
        <v>2.83e-24</v>
      </c>
      <c r="I8841" t="inlineStr">
        <is>
          <t>TrEMBL</t>
        </is>
      </c>
      <c r="J8841" t="inlineStr">
        <is>
          <t>RIMITATOR_LOCUS5863312</t>
        </is>
      </c>
      <c r="K8841" t="inlineStr">
        <is>
          <t>A0A821Y562_9NEOB</t>
        </is>
      </c>
      <c r="L8841" t="inlineStr">
        <is>
          <t>tr|A0A821Y562|A0A821Y562_9NEOB (mimic poison frog) hypothetical protein OS=Ranitomeya imitator OX=111125 GN=RIMITATOR_LOCUS5863312 PE=4 SV=1</t>
        </is>
      </c>
      <c r="M8841" t="n">
        <v>265</v>
      </c>
      <c r="N8841" t="inlineStr">
        <is>
          <t>Ranitomeya imitator</t>
        </is>
      </c>
      <c r="O8841" t="inlineStr">
        <is>
          <t>(mimic poison frog) hypothetical protein</t>
        </is>
      </c>
    </row>
    <row r="8842">
      <c r="A8842" t="inlineStr"/>
      <c r="B8842" t="inlineStr"/>
      <c r="C8842" t="inlineStr"/>
      <c r="D8842" t="inlineStr"/>
      <c r="E8842">
        <f>HYPERLINK("https://www.uniprot.org/uniprotkb/A0A3B1IGK5/entry", "A0A3B1IGK5")</f>
        <v/>
      </c>
      <c r="F8842" t="n">
        <v>33.1</v>
      </c>
      <c r="G8842" t="n">
        <v>178</v>
      </c>
      <c r="H8842" t="n">
        <v>3.78e-24</v>
      </c>
      <c r="I8842" t="inlineStr">
        <is>
          <t>TrEMBL</t>
        </is>
      </c>
      <c r="J8842" t="inlineStr"/>
      <c r="K8842" t="inlineStr">
        <is>
          <t>A0A3B1IGK5_ASTMX</t>
        </is>
      </c>
      <c r="L8842" t="inlineStr">
        <is>
          <t>tr|A0A3B1IGK5|A0A3B1IGK5_ASTMX CCHC-type domain-containing protein OS=Astyanax mexicanus OX=7994 PE=4 SV=1</t>
        </is>
      </c>
      <c r="M8842" t="n">
        <v>328</v>
      </c>
      <c r="N8842" t="inlineStr">
        <is>
          <t>Astyanax mexicanus</t>
        </is>
      </c>
      <c r="O8842" t="inlineStr">
        <is>
          <t>CCHC-type domain-containing protein</t>
        </is>
      </c>
    </row>
    <row r="8843">
      <c r="A8843" t="inlineStr"/>
      <c r="B8843" t="inlineStr"/>
      <c r="C8843" t="inlineStr"/>
      <c r="D8843" t="inlineStr"/>
      <c r="E8843">
        <f>HYPERLINK("https://www.uniprot.org/uniprotkb/A0A3N0XN44/entry", "A0A3N0XN44")</f>
        <v/>
      </c>
      <c r="F8843" t="n">
        <v>30.5</v>
      </c>
      <c r="G8843" t="n">
        <v>190</v>
      </c>
      <c r="H8843" t="n">
        <v>3.98e-23</v>
      </c>
      <c r="I8843" t="inlineStr">
        <is>
          <t>TrEMBL</t>
        </is>
      </c>
      <c r="J8843" t="inlineStr">
        <is>
          <t>DPX16_23725</t>
        </is>
      </c>
      <c r="K8843" t="inlineStr">
        <is>
          <t>A0A3N0XN44_ANAGA</t>
        </is>
      </c>
      <c r="L8843" t="inlineStr">
        <is>
          <t>tr|A0A3N0XN44|A0A3N0XN44_ANAGA Zinc finger CCHC domain-containing protein 3 OS=Anabarilius grahami OX=495550 GN=DPX16_23725 PE=4 SV=1</t>
        </is>
      </c>
      <c r="M8843" t="n">
        <v>301</v>
      </c>
      <c r="N8843" t="inlineStr">
        <is>
          <t>Anabarilius grahami</t>
        </is>
      </c>
      <c r="O8843" t="inlineStr">
        <is>
          <t>Zinc finger CCHC domain-containing protein 3</t>
        </is>
      </c>
    </row>
    <row r="8844">
      <c r="A8844" t="inlineStr"/>
      <c r="B8844" t="inlineStr"/>
      <c r="C8844" t="inlineStr"/>
      <c r="D8844" t="inlineStr"/>
      <c r="E8844">
        <f>HYPERLINK("https://www.ncbi.nlm.nih.gov/gene/?term=KAG1937631.1", "KAG1937631.1")</f>
        <v/>
      </c>
      <c r="F8844" t="n">
        <v>30.4</v>
      </c>
      <c r="G8844" t="n">
        <v>194</v>
      </c>
      <c r="H8844" t="n">
        <v>5.409999999999999e-23</v>
      </c>
      <c r="I8844" t="inlineStr">
        <is>
          <t>Nr</t>
        </is>
      </c>
      <c r="J8844" t="inlineStr"/>
      <c r="K8844" t="inlineStr"/>
      <c r="L8844" t="inlineStr">
        <is>
          <t>KAG1937631.1 zinc finger CCHC domain-containing protein [Pimephales promelas]</t>
        </is>
      </c>
      <c r="M8844" t="n">
        <v>399</v>
      </c>
      <c r="N8844" t="inlineStr">
        <is>
          <t>Pimephales promelas</t>
        </is>
      </c>
      <c r="O8844" t="inlineStr">
        <is>
          <t>zinc finger CCHC domain-containing protein</t>
        </is>
      </c>
    </row>
    <row r="8845">
      <c r="A8845" t="inlineStr"/>
      <c r="B8845" t="inlineStr"/>
      <c r="C8845" t="inlineStr"/>
      <c r="D8845" t="inlineStr"/>
      <c r="E8845">
        <f>HYPERLINK("https://www.uniprot.org/uniprotkb/A0A444V0E9/entry", "A0A444V0E9")</f>
        <v/>
      </c>
      <c r="F8845" t="n">
        <v>30.8</v>
      </c>
      <c r="G8845" t="n">
        <v>195</v>
      </c>
      <c r="H8845" t="n">
        <v>7.249999999999999e-23</v>
      </c>
      <c r="I8845" t="inlineStr">
        <is>
          <t>TrEMBL</t>
        </is>
      </c>
      <c r="J8845" t="inlineStr">
        <is>
          <t>EOD39_18623</t>
        </is>
      </c>
      <c r="K8845" t="inlineStr">
        <is>
          <t>A0A444V0E9_ACIRT</t>
        </is>
      </c>
      <c r="L8845" t="inlineStr">
        <is>
          <t>tr|A0A444V0E9|A0A444V0E9_ACIRT Zinc finger CCHC domain-containing protein 3 OS=Acipenser ruthenus OX=7906 GN=EOD39_18623 PE=4 SV=1</t>
        </is>
      </c>
      <c r="M8845" t="n">
        <v>211</v>
      </c>
      <c r="N8845" t="inlineStr">
        <is>
          <t>Acipenser ruthenus</t>
        </is>
      </c>
      <c r="O8845" t="inlineStr">
        <is>
          <t>Zinc finger CCHC domain-containing protein 3</t>
        </is>
      </c>
    </row>
    <row r="8846">
      <c r="A8846" t="inlineStr"/>
      <c r="B8846" t="inlineStr"/>
      <c r="C8846" t="inlineStr"/>
      <c r="D8846" t="inlineStr"/>
      <c r="E8846">
        <f>HYPERLINK("https://www.ncbi.nlm.nih.gov/gene/?term=ROI80149.1", "ROI80149.1")</f>
        <v/>
      </c>
      <c r="F8846" t="n">
        <v>30.5</v>
      </c>
      <c r="G8846" t="n">
        <v>190</v>
      </c>
      <c r="H8846" t="n">
        <v>1.02e-22</v>
      </c>
      <c r="I8846" t="inlineStr">
        <is>
          <t>Nr</t>
        </is>
      </c>
      <c r="J8846" t="inlineStr"/>
      <c r="K8846" t="inlineStr"/>
      <c r="L8846" t="inlineStr">
        <is>
          <t>ROI80149.1 Zinc finger CCHC domain-containing protein 3 [Anabarilius grahami]</t>
        </is>
      </c>
      <c r="M8846" t="n">
        <v>301</v>
      </c>
      <c r="N8846" t="inlineStr">
        <is>
          <t>Anabarilius grahami</t>
        </is>
      </c>
      <c r="O8846" t="inlineStr">
        <is>
          <t>Zinc finger CCHC domain-containing protein 3</t>
        </is>
      </c>
    </row>
    <row r="8847">
      <c r="A8847" t="inlineStr"/>
      <c r="B8847" t="inlineStr"/>
      <c r="C8847" t="inlineStr"/>
      <c r="D8847" t="inlineStr"/>
      <c r="E8847">
        <f>HYPERLINK("https://www.ncbi.nlm.nih.gov/gene/?term=MBN3270877.1", "MBN3270877.1")</f>
        <v/>
      </c>
      <c r="F8847" t="n">
        <v>44.9</v>
      </c>
      <c r="G8847" t="n">
        <v>98</v>
      </c>
      <c r="H8847" t="n">
        <v>1.28e-22</v>
      </c>
      <c r="I8847" t="inlineStr">
        <is>
          <t>Nr</t>
        </is>
      </c>
      <c r="J8847" t="inlineStr"/>
      <c r="K8847" t="inlineStr"/>
      <c r="L8847" t="inlineStr">
        <is>
          <t>MBN3270877.1 ZCHC3 protein [Polyodon spathula]</t>
        </is>
      </c>
      <c r="M8847" t="n">
        <v>136</v>
      </c>
      <c r="N8847" t="inlineStr">
        <is>
          <t>Polyodon spathula</t>
        </is>
      </c>
      <c r="O8847" t="inlineStr">
        <is>
          <t>ZCHC3 protein</t>
        </is>
      </c>
    </row>
    <row r="8848">
      <c r="A8848" t="inlineStr"/>
      <c r="B8848" t="inlineStr"/>
      <c r="C8848" t="inlineStr"/>
      <c r="D8848" t="inlineStr"/>
      <c r="E8848">
        <f>HYPERLINK("https://www.uniprot.org/uniprotkb/A0A3N0XN07/entry", "A0A3N0XN07")</f>
        <v/>
      </c>
      <c r="F8848" t="n">
        <v>32.5</v>
      </c>
      <c r="G8848" t="n">
        <v>197</v>
      </c>
      <c r="H8848" t="n">
        <v>1.37e-22</v>
      </c>
      <c r="I8848" t="inlineStr">
        <is>
          <t>TrEMBL</t>
        </is>
      </c>
      <c r="J8848" t="inlineStr">
        <is>
          <t>DPX16_23721</t>
        </is>
      </c>
      <c r="K8848" t="inlineStr">
        <is>
          <t>A0A3N0XN07_ANAGA</t>
        </is>
      </c>
      <c r="L8848" t="inlineStr">
        <is>
          <t>tr|A0A3N0XN07|A0A3N0XN07_ANAGA Zinc finger CCHC domain-containing protein 3 OS=Anabarilius grahami OX=495550 GN=DPX16_23721 PE=4 SV=1</t>
        </is>
      </c>
      <c r="M8848" t="n">
        <v>771</v>
      </c>
      <c r="N8848" t="inlineStr">
        <is>
          <t>Anabarilius grahami</t>
        </is>
      </c>
      <c r="O8848" t="inlineStr">
        <is>
          <t>Zinc finger CCHC domain-containing protein 3</t>
        </is>
      </c>
    </row>
    <row r="8849">
      <c r="A8849" t="inlineStr"/>
      <c r="B8849" t="inlineStr"/>
      <c r="C8849" t="inlineStr"/>
      <c r="D8849" t="inlineStr"/>
      <c r="E8849">
        <f>HYPERLINK("https://www.ncbi.nlm.nih.gov/gene/?term=RXM93862.1", "RXM93862.1")</f>
        <v/>
      </c>
      <c r="F8849" t="n">
        <v>30.8</v>
      </c>
      <c r="G8849" t="n">
        <v>195</v>
      </c>
      <c r="H8849" t="n">
        <v>1.86e-22</v>
      </c>
      <c r="I8849" t="inlineStr">
        <is>
          <t>Nr</t>
        </is>
      </c>
      <c r="J8849" t="inlineStr"/>
      <c r="K8849" t="inlineStr"/>
      <c r="L8849" t="inlineStr">
        <is>
          <t>RXM93862.1 Zinc finger CCHC domain-containing protein 3 [Acipenser ruthenus]</t>
        </is>
      </c>
      <c r="M8849" t="n">
        <v>211</v>
      </c>
      <c r="N8849" t="inlineStr">
        <is>
          <t>Acipenser ruthenus</t>
        </is>
      </c>
      <c r="O8849" t="inlineStr">
        <is>
          <t>Zinc finger CCHC domain-containing protein 3</t>
        </is>
      </c>
    </row>
    <row r="8850">
      <c r="A8850" t="inlineStr"/>
      <c r="B8850" t="inlineStr"/>
      <c r="C8850" t="inlineStr"/>
      <c r="D8850" t="inlineStr"/>
      <c r="E8850">
        <f>HYPERLINK("https://www.ncbi.nlm.nih.gov/gene/?term=ROI80145.1", "ROI80145.1")</f>
        <v/>
      </c>
      <c r="F8850" t="n">
        <v>32.5</v>
      </c>
      <c r="G8850" t="n">
        <v>197</v>
      </c>
      <c r="H8850" t="n">
        <v>3.52e-22</v>
      </c>
      <c r="I8850" t="inlineStr">
        <is>
          <t>Nr</t>
        </is>
      </c>
      <c r="J8850" t="inlineStr"/>
      <c r="K8850" t="inlineStr"/>
      <c r="L8850" t="inlineStr">
        <is>
          <t>ROI80145.1 Zinc finger CCHC domain-containing protein 3 [Anabarilius grahami]</t>
        </is>
      </c>
      <c r="M8850" t="n">
        <v>771</v>
      </c>
      <c r="N8850" t="inlineStr">
        <is>
          <t>Anabarilius grahami</t>
        </is>
      </c>
      <c r="O8850" t="inlineStr">
        <is>
          <t>Zinc finger CCHC domain-containing protein 3</t>
        </is>
      </c>
    </row>
    <row r="8851">
      <c r="A8851" t="inlineStr"/>
      <c r="B8851" t="inlineStr"/>
      <c r="C8851" t="inlineStr"/>
      <c r="D8851" t="inlineStr"/>
      <c r="E8851">
        <f>HYPERLINK("https://www.ncbi.nlm.nih.gov/gene/?term=KTF89257.1", "KTF89257.1")</f>
        <v/>
      </c>
      <c r="F8851" t="n">
        <v>31.8</v>
      </c>
      <c r="G8851" t="n">
        <v>195</v>
      </c>
      <c r="H8851" t="n">
        <v>6.56e-22</v>
      </c>
      <c r="I8851" t="inlineStr">
        <is>
          <t>Nr</t>
        </is>
      </c>
      <c r="J8851" t="inlineStr"/>
      <c r="K8851" t="inlineStr"/>
      <c r="L8851" t="inlineStr">
        <is>
          <t>KTF89257.1 hypothetical protein cypCar_00048440 [Cyprinus carpio]</t>
        </is>
      </c>
      <c r="M8851" t="n">
        <v>355</v>
      </c>
      <c r="N8851" t="inlineStr">
        <is>
          <t>Cyprinus carpio</t>
        </is>
      </c>
      <c r="O8851" t="inlineStr">
        <is>
          <t>hypothetical protein cypCar_00048440</t>
        </is>
      </c>
    </row>
    <row r="8852">
      <c r="A8852" t="inlineStr"/>
      <c r="B8852" t="inlineStr"/>
      <c r="C8852" t="inlineStr"/>
      <c r="D8852" t="inlineStr"/>
      <c r="E8852">
        <f>HYPERLINK("https://www.ncbi.nlm.nih.gov/gene/?term=OCT68819.1", "OCT68819.1")</f>
        <v/>
      </c>
      <c r="F8852" t="n">
        <v>29.4</v>
      </c>
      <c r="G8852" t="n">
        <v>204</v>
      </c>
      <c r="H8852" t="n">
        <v>6.95e-22</v>
      </c>
      <c r="I8852" t="inlineStr">
        <is>
          <t>Nr</t>
        </is>
      </c>
      <c r="J8852" t="inlineStr"/>
      <c r="K8852" t="inlineStr"/>
      <c r="L8852" t="inlineStr">
        <is>
          <t>OCT68819.1 hypothetical protein XELAEV_18040112mg [Xenopus laevis]</t>
        </is>
      </c>
      <c r="M8852" t="n">
        <v>504</v>
      </c>
      <c r="N8852" t="inlineStr">
        <is>
          <t>Xenopus laevis</t>
        </is>
      </c>
      <c r="O8852" t="inlineStr">
        <is>
          <t>hypothetical protein XELAEV_18040112mg</t>
        </is>
      </c>
    </row>
    <row r="8853">
      <c r="A8853" t="inlineStr"/>
      <c r="B8853" t="inlineStr"/>
      <c r="C8853" t="inlineStr"/>
      <c r="D8853" t="inlineStr"/>
      <c r="E8853">
        <f>HYPERLINK("https://www.uniprot.org/uniprotkb/W5NM69/entry", "W5NM69")</f>
        <v/>
      </c>
      <c r="F8853" t="n">
        <v>31.6</v>
      </c>
      <c r="G8853" t="n">
        <v>206</v>
      </c>
      <c r="H8853" t="n">
        <v>1.59e-21</v>
      </c>
      <c r="I8853" t="inlineStr">
        <is>
          <t>TrEMBL</t>
        </is>
      </c>
      <c r="J8853" t="inlineStr"/>
      <c r="K8853" t="inlineStr">
        <is>
          <t>W5NM69_LEPOC</t>
        </is>
      </c>
      <c r="L8853" t="inlineStr">
        <is>
          <t>tr|W5NM69|W5NM69_LEPOC CCHC-type domain-containing protein OS=Lepisosteus oculatus OX=7918 PE=4 SV=1</t>
        </is>
      </c>
      <c r="M8853" t="n">
        <v>248</v>
      </c>
      <c r="N8853" t="inlineStr">
        <is>
          <t>Lepisosteus oculatus</t>
        </is>
      </c>
      <c r="O8853" t="inlineStr">
        <is>
          <t>CCHC-type domain-containing protein</t>
        </is>
      </c>
    </row>
    <row r="8854">
      <c r="A8854" t="inlineStr"/>
      <c r="B8854" t="inlineStr"/>
      <c r="C8854" t="inlineStr"/>
      <c r="D8854" t="inlineStr"/>
      <c r="E8854">
        <f>HYPERLINK("https://www.uniprot.org/uniprotkb/A0A8J7NT29/entry", "A0A8J7NT29")</f>
        <v/>
      </c>
      <c r="F8854" t="n">
        <v>30.6</v>
      </c>
      <c r="G8854" t="n">
        <v>196</v>
      </c>
      <c r="H8854" t="n">
        <v>1.95e-21</v>
      </c>
      <c r="I8854" t="inlineStr">
        <is>
          <t>TrEMBL</t>
        </is>
      </c>
      <c r="J8854" t="inlineStr">
        <is>
          <t>Zcchc3_112</t>
        </is>
      </c>
      <c r="K8854" t="inlineStr">
        <is>
          <t>A0A8J7NT29_ATRSP</t>
        </is>
      </c>
      <c r="L8854" t="inlineStr">
        <is>
          <t>tr|A0A8J7NT29|A0A8J7NT29_ATRSP ZCHC3 protein (Fragment) OS=Atractosteus spatula OX=7917 GN=Zcchc3_112 PE=4 SV=1</t>
        </is>
      </c>
      <c r="M8854" t="n">
        <v>612</v>
      </c>
      <c r="N8854" t="inlineStr">
        <is>
          <t>Atractosteus spatula</t>
        </is>
      </c>
      <c r="O8854" t="inlineStr">
        <is>
          <t>ZCHC3 protein (Fragment)</t>
        </is>
      </c>
    </row>
    <row r="8855">
      <c r="A8855" t="inlineStr"/>
      <c r="B8855" t="inlineStr"/>
      <c r="C8855" t="inlineStr"/>
      <c r="D8855" t="inlineStr"/>
      <c r="E8855">
        <f>HYPERLINK("https://www.ncbi.nlm.nih.gov/gene/?term=MBN3317011.1", "MBN3317011.1")</f>
        <v/>
      </c>
      <c r="F8855" t="n">
        <v>30.6</v>
      </c>
      <c r="G8855" t="n">
        <v>196</v>
      </c>
      <c r="H8855" t="n">
        <v>5.01e-21</v>
      </c>
      <c r="I8855" t="inlineStr">
        <is>
          <t>Nr</t>
        </is>
      </c>
      <c r="J8855" t="inlineStr"/>
      <c r="K8855" t="inlineStr"/>
      <c r="L8855" t="inlineStr">
        <is>
          <t>MBN3317011.1 ZCHC3 protein [Atractosteus spatula]</t>
        </is>
      </c>
      <c r="M8855" t="n">
        <v>612</v>
      </c>
      <c r="N8855" t="inlineStr">
        <is>
          <t>Atractosteus spatula</t>
        </is>
      </c>
      <c r="O8855" t="inlineStr">
        <is>
          <t>ZCHC3 protein</t>
        </is>
      </c>
    </row>
    <row r="8856">
      <c r="A8856" t="inlineStr"/>
      <c r="B8856" t="inlineStr"/>
      <c r="C8856" t="inlineStr"/>
      <c r="D8856" t="inlineStr"/>
      <c r="E8856">
        <f>HYPERLINK("https://www.ncbi.nlm.nih.gov/gene/?term=XP_052449391.1", "XP_052449391.1")</f>
        <v/>
      </c>
      <c r="F8856" t="n">
        <v>28.3</v>
      </c>
      <c r="G8856" t="n">
        <v>198</v>
      </c>
      <c r="H8856" t="n">
        <v>5.5e-20</v>
      </c>
      <c r="I8856" t="inlineStr">
        <is>
          <t>Nr</t>
        </is>
      </c>
      <c r="J8856" t="inlineStr"/>
      <c r="K8856" t="inlineStr"/>
      <c r="L8856" t="inlineStr">
        <is>
          <t>XP_052449391.1 uncharacterized protein LOC128011245 [Carassius gibelio]</t>
        </is>
      </c>
      <c r="M8856" t="n">
        <v>445</v>
      </c>
      <c r="N8856" t="inlineStr">
        <is>
          <t>Carassius gibelio</t>
        </is>
      </c>
      <c r="O8856" t="inlineStr">
        <is>
          <t>uncharacterized protein LOC128011245</t>
        </is>
      </c>
    </row>
    <row r="8857">
      <c r="A8857" t="inlineStr"/>
      <c r="B8857" t="inlineStr"/>
      <c r="C8857" t="inlineStr"/>
      <c r="D8857" t="inlineStr"/>
      <c r="E8857">
        <f>HYPERLINK("https://www.uniprot.org/uniprotkb/A0A8J7P4K8/entry", "A0A8J7P4K8")</f>
        <v/>
      </c>
      <c r="F8857" t="n">
        <v>29.4</v>
      </c>
      <c r="G8857" t="n">
        <v>197</v>
      </c>
      <c r="H8857" t="n">
        <v>7.02e-20</v>
      </c>
      <c r="I8857" t="inlineStr">
        <is>
          <t>TrEMBL</t>
        </is>
      </c>
      <c r="J8857" t="inlineStr">
        <is>
          <t>Zcchc3_113</t>
        </is>
      </c>
      <c r="K8857" t="inlineStr">
        <is>
          <t>A0A8J7P4K8_ATRSP</t>
        </is>
      </c>
      <c r="L8857" t="inlineStr">
        <is>
          <t>tr|A0A8J7P4K8|A0A8J7P4K8_ATRSP ZCHC3 protein (Fragment) OS=Atractosteus spatula OX=7917 GN=Zcchc3_113 PE=4 SV=1</t>
        </is>
      </c>
      <c r="M8857" t="n">
        <v>643</v>
      </c>
      <c r="N8857" t="inlineStr">
        <is>
          <t>Atractosteus spatula</t>
        </is>
      </c>
      <c r="O8857" t="inlineStr">
        <is>
          <t>ZCHC3 protein (Fragment)</t>
        </is>
      </c>
    </row>
    <row r="8858">
      <c r="A8858" t="inlineStr"/>
      <c r="B8858" t="inlineStr"/>
      <c r="C8858" t="inlineStr"/>
      <c r="D8858" t="inlineStr"/>
      <c r="E8858">
        <f>HYPERLINK("https://www.ncbi.nlm.nih.gov/gene/?term=KAG1928985.1", "KAG1928985.1")</f>
        <v/>
      </c>
      <c r="F8858" t="n">
        <v>29.4</v>
      </c>
      <c r="G8858" t="n">
        <v>194</v>
      </c>
      <c r="H8858" t="n">
        <v>9.91e-20</v>
      </c>
      <c r="I8858" t="inlineStr">
        <is>
          <t>Nr</t>
        </is>
      </c>
      <c r="J8858" t="inlineStr"/>
      <c r="K8858" t="inlineStr"/>
      <c r="L8858" t="inlineStr">
        <is>
          <t>KAG1928985.1 zinc finger CCHC domain-containing protein [Pimephales promelas]</t>
        </is>
      </c>
      <c r="M8858" t="n">
        <v>896</v>
      </c>
      <c r="N8858" t="inlineStr">
        <is>
          <t>Pimephales promelas</t>
        </is>
      </c>
      <c r="O8858" t="inlineStr">
        <is>
          <t>zinc finger CCHC domain-containing protein</t>
        </is>
      </c>
    </row>
    <row r="8859">
      <c r="A8859" t="inlineStr"/>
      <c r="B8859" t="inlineStr"/>
      <c r="C8859" t="inlineStr"/>
      <c r="D8859" t="inlineStr"/>
      <c r="E8859">
        <f>HYPERLINK("https://www.ncbi.nlm.nih.gov/gene/?term=MBN3325325.1", "MBN3325325.1")</f>
        <v/>
      </c>
      <c r="F8859" t="n">
        <v>29.4</v>
      </c>
      <c r="G8859" t="n">
        <v>197</v>
      </c>
      <c r="H8859" t="n">
        <v>1.8e-19</v>
      </c>
      <c r="I8859" t="inlineStr">
        <is>
          <t>Nr</t>
        </is>
      </c>
      <c r="J8859" t="inlineStr"/>
      <c r="K8859" t="inlineStr"/>
      <c r="L8859" t="inlineStr">
        <is>
          <t>MBN3325325.1 ZCHC3 protein [Atractosteus spatula]</t>
        </is>
      </c>
      <c r="M8859" t="n">
        <v>643</v>
      </c>
      <c r="N8859" t="inlineStr">
        <is>
          <t>Atractosteus spatula</t>
        </is>
      </c>
      <c r="O8859" t="inlineStr">
        <is>
          <t>ZCHC3 protein</t>
        </is>
      </c>
    </row>
    <row r="8860">
      <c r="A8860" t="inlineStr"/>
      <c r="B8860" t="inlineStr"/>
      <c r="C8860" t="inlineStr"/>
      <c r="D8860" t="inlineStr"/>
      <c r="E8860">
        <f>HYPERLINK("https://www.uniprot.org/uniprotkb/A0A803JNK2/entry", "A0A803JNK2")</f>
        <v/>
      </c>
      <c r="F8860" t="n">
        <v>30</v>
      </c>
      <c r="G8860" t="n">
        <v>190</v>
      </c>
      <c r="H8860" t="n">
        <v>1.85e-19</v>
      </c>
      <c r="I8860" t="inlineStr">
        <is>
          <t>TrEMBL</t>
        </is>
      </c>
      <c r="J8860" t="inlineStr">
        <is>
          <t>LOC116407075</t>
        </is>
      </c>
      <c r="K8860" t="inlineStr">
        <is>
          <t>A0A803JNK2_XENTR</t>
        </is>
      </c>
      <c r="L8860" t="inlineStr">
        <is>
          <t>tr|A0A803JNK2|A0A803JNK2_XENTR Zinc finger CCHC domain-containing protein 3-like OS=Xenopus tropicalis OX=8364 GN=LOC116407075 PE=4 SV=1</t>
        </is>
      </c>
      <c r="M8860" t="n">
        <v>416</v>
      </c>
      <c r="N8860" t="inlineStr">
        <is>
          <t>Xenopus tropicalis</t>
        </is>
      </c>
      <c r="O8860" t="inlineStr">
        <is>
          <t>Zinc finger CCHC domain-containing protein 3-like</t>
        </is>
      </c>
    </row>
    <row r="8861">
      <c r="A8861" t="inlineStr"/>
      <c r="B8861" t="inlineStr"/>
      <c r="C8861" t="inlineStr"/>
      <c r="D8861" t="inlineStr"/>
      <c r="E8861">
        <f>HYPERLINK("https://www.uniprot.org/uniprotkb/A0A3B1K1G4/entry", "A0A3B1K1G4")</f>
        <v/>
      </c>
      <c r="F8861" t="n">
        <v>43.4</v>
      </c>
      <c r="G8861" t="n">
        <v>99</v>
      </c>
      <c r="H8861" t="n">
        <v>3.58e-19</v>
      </c>
      <c r="I8861" t="inlineStr">
        <is>
          <t>TrEMBL</t>
        </is>
      </c>
      <c r="J8861" t="inlineStr"/>
      <c r="K8861" t="inlineStr">
        <is>
          <t>A0A3B1K1G4_ASTMX</t>
        </is>
      </c>
      <c r="L8861" t="inlineStr">
        <is>
          <t>tr|A0A3B1K1G4|A0A3B1K1G4_ASTMX CCHC-type domain-containing protein OS=Astyanax mexicanus OX=7994 PE=4 SV=1</t>
        </is>
      </c>
      <c r="M8861" t="n">
        <v>207</v>
      </c>
      <c r="N8861" t="inlineStr">
        <is>
          <t>Astyanax mexicanus</t>
        </is>
      </c>
      <c r="O8861" t="inlineStr">
        <is>
          <t>CCHC-type domain-containing protein</t>
        </is>
      </c>
    </row>
    <row r="8862">
      <c r="A8862" t="inlineStr"/>
      <c r="B8862" t="inlineStr"/>
      <c r="C8862" t="inlineStr"/>
      <c r="D8862" t="inlineStr"/>
      <c r="E8862">
        <f>HYPERLINK("https://www.ncbi.nlm.nih.gov/gene/?term=OCT68827.1", "OCT68827.1")</f>
        <v/>
      </c>
      <c r="F8862" t="n">
        <v>30.1</v>
      </c>
      <c r="G8862" t="n">
        <v>196</v>
      </c>
      <c r="H8862" t="n">
        <v>3.99e-19</v>
      </c>
      <c r="I8862" t="inlineStr">
        <is>
          <t>Nr</t>
        </is>
      </c>
      <c r="J8862" t="inlineStr"/>
      <c r="K8862" t="inlineStr"/>
      <c r="L8862" t="inlineStr">
        <is>
          <t>OCT68827.1 hypothetical protein XELAEV_18040126mg [Xenopus laevis]</t>
        </is>
      </c>
      <c r="M8862" t="n">
        <v>520</v>
      </c>
      <c r="N8862" t="inlineStr">
        <is>
          <t>Xenopus laevis</t>
        </is>
      </c>
      <c r="O8862" t="inlineStr">
        <is>
          <t>hypothetical protein XELAEV_18040126mg</t>
        </is>
      </c>
    </row>
    <row r="8863">
      <c r="A8863" t="inlineStr"/>
      <c r="B8863" t="inlineStr"/>
      <c r="C8863" t="inlineStr"/>
      <c r="D8863" t="inlineStr"/>
      <c r="E8863">
        <f>HYPERLINK("https://www.ncbi.nlm.nih.gov/gene/?term=XP_031747437.1", "XP_031747437.1")</f>
        <v/>
      </c>
      <c r="F8863" t="n">
        <v>30</v>
      </c>
      <c r="G8863" t="n">
        <v>190</v>
      </c>
      <c r="H8863" t="n">
        <v>4.75e-19</v>
      </c>
      <c r="I8863" t="inlineStr">
        <is>
          <t>Nr</t>
        </is>
      </c>
      <c r="J8863" t="inlineStr"/>
      <c r="K8863" t="inlineStr"/>
      <c r="L8863" t="inlineStr">
        <is>
          <t>XP_031747437.1 zinc finger CCHC domain-containing protein 3-like [Xenopus tropicalis]</t>
        </is>
      </c>
      <c r="M8863" t="n">
        <v>416</v>
      </c>
      <c r="N8863" t="inlineStr">
        <is>
          <t>Xenopus tropicalis</t>
        </is>
      </c>
      <c r="O8863" t="inlineStr">
        <is>
          <t>zinc finger CCHC domain-containing protein 3-like</t>
        </is>
      </c>
    </row>
    <row r="8864">
      <c r="A8864" t="inlineStr"/>
      <c r="B8864" t="inlineStr"/>
      <c r="C8864" t="inlineStr"/>
      <c r="D8864" t="inlineStr"/>
      <c r="E8864">
        <f>HYPERLINK("https://www.uniprot.org/uniprotkb/A0A8C7MR52/entry", "A0A8C7MR52")</f>
        <v/>
      </c>
      <c r="F8864" t="n">
        <v>30.8</v>
      </c>
      <c r="G8864" t="n">
        <v>198</v>
      </c>
      <c r="H8864" t="n">
        <v>8.88e-19</v>
      </c>
      <c r="I8864" t="inlineStr">
        <is>
          <t>TrEMBL</t>
        </is>
      </c>
      <c r="J8864" t="inlineStr"/>
      <c r="K8864" t="inlineStr">
        <is>
          <t>A0A8C7MR52_ONCKI</t>
        </is>
      </c>
      <c r="L8864" t="inlineStr">
        <is>
          <t>tr|A0A8C7MR52|A0A8C7MR52_ONCKI CCHC-type domain-containing protein OS=Oncorhynchus kisutch OX=8019 PE=4 SV=1</t>
        </is>
      </c>
      <c r="M8864" t="n">
        <v>249</v>
      </c>
      <c r="N8864" t="inlineStr">
        <is>
          <t>Oncorhynchus kisutch</t>
        </is>
      </c>
      <c r="O8864" t="inlineStr">
        <is>
          <t>CCHC-type domain-containing protein</t>
        </is>
      </c>
    </row>
    <row r="8865">
      <c r="A8865" t="inlineStr"/>
      <c r="B8865" t="inlineStr"/>
      <c r="C8865" t="inlineStr"/>
      <c r="D8865" t="inlineStr"/>
      <c r="E8865">
        <f>HYPERLINK("https://www.ncbi.nlm.nih.gov/gene/?term=XP_053097586.1", "XP_053097586.1")</f>
        <v/>
      </c>
      <c r="F8865" t="n">
        <v>31.1</v>
      </c>
      <c r="G8865" t="n">
        <v>193</v>
      </c>
      <c r="H8865" t="n">
        <v>8.969999999999999e-19</v>
      </c>
      <c r="I8865" t="inlineStr">
        <is>
          <t>Nr</t>
        </is>
      </c>
      <c r="J8865" t="inlineStr"/>
      <c r="K8865" t="inlineStr"/>
      <c r="L8865" t="inlineStr">
        <is>
          <t>XP_053097586.1 LOW QUALITY PROTEIN: pogo transposable element with KRAB domain [Pangasianodon hypophthalmus]</t>
        </is>
      </c>
      <c r="M8865" t="n">
        <v>752</v>
      </c>
      <c r="N8865" t="inlineStr">
        <is>
          <t>Pangasianodon hypophthalmus</t>
        </is>
      </c>
      <c r="O8865" t="inlineStr">
        <is>
          <t>LOW QUALITY PROTEIN: pogo transposable element with KRAB domain</t>
        </is>
      </c>
    </row>
    <row r="8866">
      <c r="A8866" t="inlineStr"/>
      <c r="B8866" t="inlineStr"/>
      <c r="C8866" t="inlineStr"/>
      <c r="D8866" t="inlineStr"/>
      <c r="E8866">
        <f>HYPERLINK("https://www.uniprot.org/uniprotkb/A0A8C7LH40/entry", "A0A8C7LH40")</f>
        <v/>
      </c>
      <c r="F8866" t="n">
        <v>30.8</v>
      </c>
      <c r="G8866" t="n">
        <v>198</v>
      </c>
      <c r="H8866" t="n">
        <v>9.609999999999999e-19</v>
      </c>
      <c r="I8866" t="inlineStr">
        <is>
          <t>TrEMBL</t>
        </is>
      </c>
      <c r="J8866" t="inlineStr"/>
      <c r="K8866" t="inlineStr">
        <is>
          <t>A0A8C7LH40_ONCKI</t>
        </is>
      </c>
      <c r="L8866" t="inlineStr">
        <is>
          <t>tr|A0A8C7LH40|A0A8C7LH40_ONCKI CCHC-type domain-containing protein OS=Oncorhynchus kisutch OX=8019 PE=4 SV=1</t>
        </is>
      </c>
      <c r="M8866" t="n">
        <v>253</v>
      </c>
      <c r="N8866" t="inlineStr">
        <is>
          <t>Oncorhynchus kisutch</t>
        </is>
      </c>
      <c r="O8866" t="inlineStr">
        <is>
          <t>CCHC-type domain-containing protein</t>
        </is>
      </c>
    </row>
    <row r="8867">
      <c r="A8867" t="inlineStr"/>
      <c r="B8867" t="inlineStr"/>
      <c r="C8867" t="inlineStr"/>
      <c r="D8867" t="inlineStr"/>
      <c r="E8867">
        <f>HYPERLINK("https://www.uniprot.org/uniprotkb/A0A8C2HKI3/entry", "A0A8C2HKI3")</f>
        <v/>
      </c>
      <c r="F8867" t="n">
        <v>40.2</v>
      </c>
      <c r="G8867" t="n">
        <v>102</v>
      </c>
      <c r="H8867" t="n">
        <v>9.779999999999999e-19</v>
      </c>
      <c r="I8867" t="inlineStr">
        <is>
          <t>TrEMBL</t>
        </is>
      </c>
      <c r="J8867" t="inlineStr"/>
      <c r="K8867" t="inlineStr">
        <is>
          <t>A0A8C2HKI3_CYPCA</t>
        </is>
      </c>
      <c r="L8867" t="inlineStr">
        <is>
          <t>tr|A0A8C2HKI3|A0A8C2HKI3_CYPCA CCHC-type domain-containing protein OS=Cyprinus carpio OX=7962 PE=4 SV=1</t>
        </is>
      </c>
      <c r="M8867" t="n">
        <v>170</v>
      </c>
      <c r="N8867" t="inlineStr">
        <is>
          <t>Cyprinus carpio</t>
        </is>
      </c>
      <c r="O8867" t="inlineStr">
        <is>
          <t>CCHC-type domain-containing protein</t>
        </is>
      </c>
    </row>
    <row r="8868">
      <c r="A8868" t="inlineStr"/>
      <c r="B8868" t="inlineStr"/>
      <c r="C8868" t="inlineStr"/>
      <c r="D8868" t="inlineStr"/>
      <c r="E8868">
        <f>HYPERLINK("https://www.uniprot.org/uniprotkb/A0A8C7HU48/entry", "A0A8C7HU48")</f>
        <v/>
      </c>
      <c r="F8868" t="n">
        <v>30.8</v>
      </c>
      <c r="G8868" t="n">
        <v>198</v>
      </c>
      <c r="H8868" t="n">
        <v>1e-18</v>
      </c>
      <c r="I8868" t="inlineStr">
        <is>
          <t>TrEMBL</t>
        </is>
      </c>
      <c r="J8868" t="inlineStr"/>
      <c r="K8868" t="inlineStr">
        <is>
          <t>A0A8C7HU48_ONCKI</t>
        </is>
      </c>
      <c r="L8868" t="inlineStr">
        <is>
          <t>tr|A0A8C7HU48|A0A8C7HU48_ONCKI CCHC-type domain-containing protein OS=Oncorhynchus kisutch OX=8019 PE=4 SV=1</t>
        </is>
      </c>
      <c r="M8868" t="n">
        <v>255</v>
      </c>
      <c r="N8868" t="inlineStr">
        <is>
          <t>Oncorhynchus kisutch</t>
        </is>
      </c>
      <c r="O8868" t="inlineStr">
        <is>
          <t>CCHC-type domain-containing protein</t>
        </is>
      </c>
    </row>
    <row r="8869">
      <c r="A8869" t="inlineStr"/>
      <c r="B8869" t="inlineStr"/>
      <c r="C8869" t="inlineStr"/>
      <c r="D8869" t="inlineStr"/>
      <c r="E8869">
        <f>HYPERLINK("https://www.uniprot.org/uniprotkb/A0A8C7NZB8/entry", "A0A8C7NZB8")</f>
        <v/>
      </c>
      <c r="F8869" t="n">
        <v>31.7</v>
      </c>
      <c r="G8869" t="n">
        <v>202</v>
      </c>
      <c r="H8869" t="n">
        <v>1e-18</v>
      </c>
      <c r="I8869" t="inlineStr">
        <is>
          <t>TrEMBL</t>
        </is>
      </c>
      <c r="J8869" t="inlineStr"/>
      <c r="K8869" t="inlineStr">
        <is>
          <t>A0A8C7NZB8_ONCMY</t>
        </is>
      </c>
      <c r="L8869" t="inlineStr">
        <is>
          <t>tr|A0A8C7NZB8|A0A8C7NZB8_ONCMY CCHC-type domain-containing protein OS=Oncorhynchus mykiss OX=8022 PE=4 SV=2</t>
        </is>
      </c>
      <c r="M8869" t="n">
        <v>350</v>
      </c>
      <c r="N8869" t="inlineStr">
        <is>
          <t>Oncorhynchus mykiss</t>
        </is>
      </c>
      <c r="O8869" t="inlineStr">
        <is>
          <t>CCHC-type domain-containing protein</t>
        </is>
      </c>
    </row>
    <row r="8870">
      <c r="A8870" t="inlineStr"/>
      <c r="B8870" t="inlineStr"/>
      <c r="C8870" t="inlineStr"/>
      <c r="D8870" t="inlineStr"/>
      <c r="E8870">
        <f>HYPERLINK("https://www.uniprot.org/uniprotkb/A0A8K9XY52/entry", "A0A8K9XY52")</f>
        <v/>
      </c>
      <c r="F8870" t="n">
        <v>31.7</v>
      </c>
      <c r="G8870" t="n">
        <v>202</v>
      </c>
      <c r="H8870" t="n">
        <v>1e-18</v>
      </c>
      <c r="I8870" t="inlineStr">
        <is>
          <t>TrEMBL</t>
        </is>
      </c>
      <c r="J8870" t="inlineStr"/>
      <c r="K8870" t="inlineStr">
        <is>
          <t>A0A8K9XY52_ONCMY</t>
        </is>
      </c>
      <c r="L8870" t="inlineStr">
        <is>
          <t>tr|A0A8K9XY52|A0A8K9XY52_ONCMY CCHC-type domain-containing protein OS=Oncorhynchus mykiss OX=8022 PE=4 SV=1</t>
        </is>
      </c>
      <c r="M8870" t="n">
        <v>350</v>
      </c>
      <c r="N8870" t="inlineStr">
        <is>
          <t>Oncorhynchus mykiss</t>
        </is>
      </c>
      <c r="O8870" t="inlineStr">
        <is>
          <t>CCHC-type domain-containing protein</t>
        </is>
      </c>
    </row>
    <row r="8871">
      <c r="A8871" t="inlineStr"/>
      <c r="B8871" t="inlineStr"/>
      <c r="C8871" t="inlineStr"/>
      <c r="D8871" t="inlineStr"/>
      <c r="E8871">
        <f>HYPERLINK("https://www.uniprot.org/uniprotkb/A0A8K9V764/entry", "A0A8K9V764")</f>
        <v/>
      </c>
      <c r="F8871" t="n">
        <v>31.2</v>
      </c>
      <c r="G8871" t="n">
        <v>202</v>
      </c>
      <c r="H8871" t="n">
        <v>1.08e-18</v>
      </c>
      <c r="I8871" t="inlineStr">
        <is>
          <t>TrEMBL</t>
        </is>
      </c>
      <c r="J8871" t="inlineStr"/>
      <c r="K8871" t="inlineStr">
        <is>
          <t>A0A8K9V764_ONCMY</t>
        </is>
      </c>
      <c r="L8871" t="inlineStr">
        <is>
          <t>tr|A0A8K9V764|A0A8K9V764_ONCMY CCHC-type domain-containing protein OS=Oncorhynchus mykiss OX=8022 PE=4 SV=1</t>
        </is>
      </c>
      <c r="M8871" t="n">
        <v>411</v>
      </c>
      <c r="N8871" t="inlineStr">
        <is>
          <t>Oncorhynchus mykiss</t>
        </is>
      </c>
      <c r="O8871" t="inlineStr">
        <is>
          <t>CCHC-type domain-containing protein</t>
        </is>
      </c>
    </row>
    <row r="8872">
      <c r="A8872" t="inlineStr"/>
      <c r="B8872" t="inlineStr"/>
      <c r="C8872" t="inlineStr"/>
      <c r="D8872" t="inlineStr"/>
      <c r="E8872">
        <f>HYPERLINK("https://www.uniprot.org/uniprotkb/A0A8C7IBQ9/entry", "A0A8C7IBQ9")</f>
        <v/>
      </c>
      <c r="F8872" t="n">
        <v>30.8</v>
      </c>
      <c r="G8872" t="n">
        <v>198</v>
      </c>
      <c r="H8872" t="n">
        <v>1.12e-18</v>
      </c>
      <c r="I8872" t="inlineStr">
        <is>
          <t>TrEMBL</t>
        </is>
      </c>
      <c r="J8872" t="inlineStr"/>
      <c r="K8872" t="inlineStr">
        <is>
          <t>A0A8C7IBQ9_ONCKI</t>
        </is>
      </c>
      <c r="L8872" t="inlineStr">
        <is>
          <t>tr|A0A8C7IBQ9|A0A8C7IBQ9_ONCKI CCHC-type domain-containing protein OS=Oncorhynchus kisutch OX=8019 PE=4 SV=1</t>
        </is>
      </c>
      <c r="M8872" t="n">
        <v>261</v>
      </c>
      <c r="N8872" t="inlineStr">
        <is>
          <t>Oncorhynchus kisutch</t>
        </is>
      </c>
      <c r="O8872" t="inlineStr">
        <is>
          <t>CCHC-type domain-containing protein</t>
        </is>
      </c>
    </row>
    <row r="8873">
      <c r="A8873" t="inlineStr"/>
      <c r="B8873" t="inlineStr"/>
      <c r="C8873" t="inlineStr"/>
      <c r="D8873" t="inlineStr"/>
      <c r="E8873">
        <f>HYPERLINK("https://www.uniprot.org/uniprotkb/A0A8C8MED9/entry", "A0A8C8MED9")</f>
        <v/>
      </c>
      <c r="F8873" t="n">
        <v>30.8</v>
      </c>
      <c r="G8873" t="n">
        <v>198</v>
      </c>
      <c r="H8873" t="n">
        <v>1.19e-18</v>
      </c>
      <c r="I8873" t="inlineStr">
        <is>
          <t>TrEMBL</t>
        </is>
      </c>
      <c r="J8873" t="inlineStr"/>
      <c r="K8873" t="inlineStr">
        <is>
          <t>A0A8C8MED9_ONCTS</t>
        </is>
      </c>
      <c r="L8873" t="inlineStr">
        <is>
          <t>tr|A0A8C8MED9|A0A8C8MED9_ONCTS CCHC-type domain-containing protein OS=Oncorhynchus tshawytscha OX=74940 PE=4 SV=1</t>
        </is>
      </c>
      <c r="M8873" t="n">
        <v>264</v>
      </c>
      <c r="N8873" t="inlineStr">
        <is>
          <t>Oncorhynchus tshawytscha</t>
        </is>
      </c>
      <c r="O8873" t="inlineStr">
        <is>
          <t>CCHC-type domain-containing protein</t>
        </is>
      </c>
    </row>
    <row r="8874">
      <c r="A8874" t="inlineStr"/>
      <c r="B8874" t="inlineStr"/>
      <c r="C8874" t="inlineStr"/>
      <c r="D8874" t="inlineStr"/>
      <c r="E8874">
        <f>HYPERLINK("https://www.ncbi.nlm.nih.gov/gene/?term=WP_152805950.1", "WP_152805950.1")</f>
        <v/>
      </c>
      <c r="F8874" t="n">
        <v>32.7</v>
      </c>
      <c r="G8874" t="n">
        <v>196</v>
      </c>
      <c r="H8874" t="n">
        <v>1.52e-18</v>
      </c>
      <c r="I8874" t="inlineStr">
        <is>
          <t>Nr</t>
        </is>
      </c>
      <c r="J8874" t="inlineStr"/>
      <c r="K8874" t="inlineStr"/>
      <c r="L8874" t="inlineStr">
        <is>
          <t>WP_152805950.1 hypothetical protein [Escherichia coli]</t>
        </is>
      </c>
      <c r="M8874" t="n">
        <v>447</v>
      </c>
      <c r="N8874" t="inlineStr">
        <is>
          <t>Escherichia coli</t>
        </is>
      </c>
      <c r="O8874" t="inlineStr">
        <is>
          <t>hypothetical protein</t>
        </is>
      </c>
    </row>
    <row r="8875">
      <c r="A8875" t="inlineStr"/>
      <c r="B8875" t="inlineStr"/>
      <c r="C8875" t="inlineStr"/>
      <c r="D8875" t="inlineStr"/>
      <c r="E8875">
        <f>HYPERLINK("https://www.ncbi.nlm.nih.gov/gene/?term=MBN3274868.1", "MBN3274868.1")</f>
        <v/>
      </c>
      <c r="F8875" t="n">
        <v>38.4</v>
      </c>
      <c r="G8875" t="n">
        <v>99</v>
      </c>
      <c r="H8875" t="n">
        <v>1.89e-18</v>
      </c>
      <c r="I8875" t="inlineStr">
        <is>
          <t>Nr</t>
        </is>
      </c>
      <c r="J8875" t="inlineStr"/>
      <c r="K8875" t="inlineStr"/>
      <c r="L8875" t="inlineStr">
        <is>
          <t>MBN3274868.1 ZCHC3 protein [Polyodon spathula]</t>
        </is>
      </c>
      <c r="M8875" t="n">
        <v>135</v>
      </c>
      <c r="N8875" t="inlineStr">
        <is>
          <t>Polyodon spathula</t>
        </is>
      </c>
      <c r="O8875" t="inlineStr">
        <is>
          <t>ZCHC3 protein</t>
        </is>
      </c>
    </row>
    <row r="8876">
      <c r="A8876" t="inlineStr"/>
      <c r="B8876" t="inlineStr"/>
      <c r="C8876" t="inlineStr"/>
      <c r="D8876" t="inlineStr"/>
      <c r="E8876">
        <f>HYPERLINK("https://www.ncbi.nlm.nih.gov/gene/?term=KAJ3592294.1", "KAJ3592294.1")</f>
        <v/>
      </c>
      <c r="F8876" t="n">
        <v>32.2</v>
      </c>
      <c r="G8876" t="n">
        <v>199</v>
      </c>
      <c r="H8876" t="n">
        <v>5.01e-18</v>
      </c>
      <c r="I8876" t="inlineStr">
        <is>
          <t>Nr</t>
        </is>
      </c>
      <c r="J8876" t="inlineStr"/>
      <c r="K8876" t="inlineStr"/>
      <c r="L8876" t="inlineStr">
        <is>
          <t>KAJ3592294.1 hypothetical protein NHX12_007422 [Muraenolepis orangiensis]</t>
        </is>
      </c>
      <c r="M8876" t="n">
        <v>410</v>
      </c>
      <c r="N8876" t="inlineStr">
        <is>
          <t>Muraenolepis orangiensis</t>
        </is>
      </c>
      <c r="O8876" t="inlineStr">
        <is>
          <t>hypothetical protein NHX12_007422</t>
        </is>
      </c>
    </row>
    <row r="8877">
      <c r="A8877" t="inlineStr"/>
      <c r="B8877" t="inlineStr"/>
      <c r="C8877" t="inlineStr"/>
      <c r="D8877" t="inlineStr"/>
      <c r="E8877">
        <f>HYPERLINK("https://www.ncbi.nlm.nih.gov/gene/?term=XP_031757226.1", "XP_031757226.1")</f>
        <v/>
      </c>
      <c r="F8877" t="n">
        <v>30.2</v>
      </c>
      <c r="G8877" t="n">
        <v>189</v>
      </c>
      <c r="H8877" t="n">
        <v>1.07e-17</v>
      </c>
      <c r="I8877" t="inlineStr">
        <is>
          <t>Nr</t>
        </is>
      </c>
      <c r="J8877" t="inlineStr"/>
      <c r="K8877" t="inlineStr"/>
      <c r="L8877" t="inlineStr">
        <is>
          <t>XP_031757226.1 uncharacterized protein LOC116410520 [Xenopus tropicalis]</t>
        </is>
      </c>
      <c r="M8877" t="n">
        <v>367</v>
      </c>
      <c r="N8877" t="inlineStr">
        <is>
          <t>Xenopus tropicalis</t>
        </is>
      </c>
      <c r="O8877" t="inlineStr">
        <is>
          <t>uncharacterized protein LOC116410520</t>
        </is>
      </c>
    </row>
    <row r="8878">
      <c r="A8878" t="inlineStr"/>
      <c r="B8878" t="inlineStr"/>
      <c r="C8878" t="inlineStr"/>
      <c r="D8878" t="inlineStr"/>
      <c r="E8878">
        <f>HYPERLINK("https://www.ncbi.nlm.nih.gov/gene/?term=XP_031654629.1", "XP_031654629.1")</f>
        <v/>
      </c>
      <c r="F8878" t="n">
        <v>31.3</v>
      </c>
      <c r="G8878" t="n">
        <v>198</v>
      </c>
      <c r="H8878" t="n">
        <v>1.1e-17</v>
      </c>
      <c r="I8878" t="inlineStr">
        <is>
          <t>Nr</t>
        </is>
      </c>
      <c r="J8878" t="inlineStr"/>
      <c r="K8878" t="inlineStr"/>
      <c r="L8878" t="inlineStr">
        <is>
          <t>XP_031654629.1 zinc finger CCHC domain-containing protein 3-like isoform X1 [Oncorhynchus kisutch]</t>
        </is>
      </c>
      <c r="M8878" t="n">
        <v>322</v>
      </c>
      <c r="N8878" t="inlineStr">
        <is>
          <t>Oncorhynchus kisutch</t>
        </is>
      </c>
      <c r="O8878" t="inlineStr">
        <is>
          <t>zinc finger CCHC domain-containing protein 3-like isoform X1</t>
        </is>
      </c>
    </row>
    <row r="8879">
      <c r="A8879" t="inlineStr"/>
      <c r="B8879" t="inlineStr"/>
      <c r="C8879" t="inlineStr"/>
      <c r="D8879" t="inlineStr"/>
      <c r="E8879">
        <f>HYPERLINK("https://www.ncbi.nlm.nih.gov/gene/?term=CAB1348843.1", "CAB1348843.1")</f>
        <v/>
      </c>
      <c r="F8879" t="n">
        <v>30.5</v>
      </c>
      <c r="G8879" t="n">
        <v>200</v>
      </c>
      <c r="H8879" t="n">
        <v>1.11e-17</v>
      </c>
      <c r="I8879" t="inlineStr">
        <is>
          <t>Nr</t>
        </is>
      </c>
      <c r="J8879" t="inlineStr"/>
      <c r="K8879" t="inlineStr"/>
      <c r="L8879" t="inlineStr">
        <is>
          <t>CAB1348843.1 unnamed protein product, partial [Coregonus sp. 'balchen']</t>
        </is>
      </c>
      <c r="M8879" t="n">
        <v>284</v>
      </c>
      <c r="N8879" t="inlineStr">
        <is>
          <t>Coregonus sp. 'balchen'</t>
        </is>
      </c>
      <c r="O8879" t="inlineStr">
        <is>
          <t>unnamed protein product, partial</t>
        </is>
      </c>
    </row>
    <row r="8880">
      <c r="A8880" t="inlineStr"/>
      <c r="B8880" t="inlineStr"/>
      <c r="C8880" t="inlineStr"/>
      <c r="D8880" t="inlineStr"/>
      <c r="E8880">
        <f>HYPERLINK("https://www.uniprot.org/uniprotkb/A0A803J337/entry", "A0A803J337")</f>
        <v/>
      </c>
      <c r="F8880" t="n">
        <v>40.7</v>
      </c>
      <c r="G8880" t="n">
        <v>113</v>
      </c>
      <c r="H8880" t="n">
        <v>4.69e-16</v>
      </c>
      <c r="I8880" t="inlineStr">
        <is>
          <t>TrEMBL</t>
        </is>
      </c>
      <c r="J8880" t="inlineStr"/>
      <c r="K8880" t="inlineStr">
        <is>
          <t>A0A803J337_XENTR</t>
        </is>
      </c>
      <c r="L8880" t="inlineStr">
        <is>
          <t>tr|A0A803J337|A0A803J337_XENTR Reverse transcriptase domain-containing protein OS=Xenopus tropicalis OX=8364 PE=4 SV=1</t>
        </is>
      </c>
      <c r="M8880" t="n">
        <v>1130</v>
      </c>
      <c r="N8880" t="inlineStr">
        <is>
          <t>Xenopus tropicalis</t>
        </is>
      </c>
      <c r="O8880" t="inlineStr">
        <is>
          <t>Reverse transcriptase domain-containing protein</t>
        </is>
      </c>
    </row>
    <row r="8881">
      <c r="A8881" t="inlineStr"/>
      <c r="B8881" t="inlineStr"/>
      <c r="C8881" t="inlineStr"/>
      <c r="D8881" t="inlineStr"/>
      <c r="E8881">
        <f>HYPERLINK("https://www.uniprot.org/uniprotkb/A0A803J240/entry", "A0A803J240")</f>
        <v/>
      </c>
      <c r="F8881" t="n">
        <v>38.9</v>
      </c>
      <c r="G8881" t="n">
        <v>113</v>
      </c>
      <c r="H8881" t="n">
        <v>8.42e-16</v>
      </c>
      <c r="I8881" t="inlineStr">
        <is>
          <t>TrEMBL</t>
        </is>
      </c>
      <c r="J8881" t="inlineStr"/>
      <c r="K8881" t="inlineStr">
        <is>
          <t>A0A803J240_XENTR</t>
        </is>
      </c>
      <c r="L8881" t="inlineStr">
        <is>
          <t>tr|A0A803J240|A0A803J240_XENTR Reverse transcriptase domain-containing protein OS=Xenopus tropicalis OX=8364 PE=4 SV=1</t>
        </is>
      </c>
      <c r="M8881" t="n">
        <v>688</v>
      </c>
      <c r="N8881" t="inlineStr">
        <is>
          <t>Xenopus tropicalis</t>
        </is>
      </c>
      <c r="O8881" t="inlineStr">
        <is>
          <t>Reverse transcriptase domain-containing protein</t>
        </is>
      </c>
    </row>
    <row r="8882">
      <c r="A8882" t="inlineStr"/>
      <c r="B8882" t="inlineStr"/>
      <c r="C8882" t="inlineStr"/>
      <c r="D8882" t="inlineStr"/>
      <c r="E8882">
        <f>HYPERLINK("https://www.ncbi.nlm.nih.gov/gene/?term=KAJ1099729.1", "KAJ1099729.1")</f>
        <v/>
      </c>
      <c r="F8882" t="n">
        <v>40</v>
      </c>
      <c r="G8882" t="n">
        <v>115</v>
      </c>
      <c r="H8882" t="n">
        <v>2.52e-15</v>
      </c>
      <c r="I8882" t="inlineStr">
        <is>
          <t>Nr</t>
        </is>
      </c>
      <c r="J8882" t="inlineStr"/>
      <c r="K8882" t="inlineStr"/>
      <c r="L8882" t="inlineStr">
        <is>
          <t>KAJ1099729.1 hypothetical protein NDU88_004827 [Pleurodeles waltl]</t>
        </is>
      </c>
      <c r="M8882" t="n">
        <v>115</v>
      </c>
      <c r="N8882" t="inlineStr">
        <is>
          <t>Pleurodeles waltl</t>
        </is>
      </c>
      <c r="O8882" t="inlineStr">
        <is>
          <t>hypothetical protein NDU88_004827</t>
        </is>
      </c>
    </row>
    <row r="8883">
      <c r="A8883" t="inlineStr"/>
      <c r="B8883" t="inlineStr"/>
      <c r="C8883" t="inlineStr"/>
      <c r="D8883" t="inlineStr"/>
      <c r="E8883">
        <f>HYPERLINK("https://www.uniprot.org/uniprotkb/A0A803J2T7/entry", "A0A803J2T7")</f>
        <v/>
      </c>
      <c r="F8883" t="n">
        <v>38.9</v>
      </c>
      <c r="G8883" t="n">
        <v>113</v>
      </c>
      <c r="H8883" t="n">
        <v>3.02e-15</v>
      </c>
      <c r="I8883" t="inlineStr">
        <is>
          <t>TrEMBL</t>
        </is>
      </c>
      <c r="J8883" t="inlineStr"/>
      <c r="K8883" t="inlineStr">
        <is>
          <t>A0A803J2T7_XENTR</t>
        </is>
      </c>
      <c r="L8883" t="inlineStr">
        <is>
          <t>tr|A0A803J2T7|A0A803J2T7_XENTR Reverse transcriptase domain-containing protein OS=Xenopus tropicalis OX=8364 PE=4 SV=1</t>
        </is>
      </c>
      <c r="M8883" t="n">
        <v>1126</v>
      </c>
      <c r="N8883" t="inlineStr">
        <is>
          <t>Xenopus tropicalis</t>
        </is>
      </c>
      <c r="O8883" t="inlineStr">
        <is>
          <t>Reverse transcriptase domain-containing protein</t>
        </is>
      </c>
    </row>
    <row r="8884">
      <c r="A8884" t="inlineStr"/>
      <c r="B8884" t="inlineStr"/>
      <c r="C8884" t="inlineStr"/>
      <c r="D8884" t="inlineStr"/>
      <c r="E8884">
        <f>HYPERLINK("https://www.uniprot.org/uniprotkb/A0A803J5J4/entry", "A0A803J5J4")</f>
        <v/>
      </c>
      <c r="F8884" t="n">
        <v>39.8</v>
      </c>
      <c r="G8884" t="n">
        <v>118</v>
      </c>
      <c r="H8884" t="n">
        <v>5.54e-15</v>
      </c>
      <c r="I8884" t="inlineStr">
        <is>
          <t>TrEMBL</t>
        </is>
      </c>
      <c r="J8884" t="inlineStr">
        <is>
          <t>LOC116406770</t>
        </is>
      </c>
      <c r="K8884" t="inlineStr">
        <is>
          <t>A0A803J5J4_XENTR</t>
        </is>
      </c>
      <c r="L8884" t="inlineStr">
        <is>
          <t>tr|A0A803J5J4|A0A803J5J4_XENTR Uncharacterized LOC116406770 OS=Xenopus tropicalis OX=8364 GN=LOC116406770 PE=4 SV=1</t>
        </is>
      </c>
      <c r="M8884" t="n">
        <v>857</v>
      </c>
      <c r="N8884" t="inlineStr">
        <is>
          <t>Xenopus tropicalis</t>
        </is>
      </c>
      <c r="O8884" t="inlineStr">
        <is>
          <t>Uncharacterized LOC116406770</t>
        </is>
      </c>
    </row>
    <row r="8885">
      <c r="A8885" t="inlineStr"/>
      <c r="B8885" t="inlineStr"/>
      <c r="C8885" t="inlineStr"/>
      <c r="D8885" t="inlineStr"/>
      <c r="E8885">
        <f>HYPERLINK("https://www.uniprot.org/uniprotkb/A0A8J0T5I8/entry", "A0A8J0T5I8")</f>
        <v/>
      </c>
      <c r="F8885" t="n">
        <v>39.8</v>
      </c>
      <c r="G8885" t="n">
        <v>118</v>
      </c>
      <c r="H8885" t="n">
        <v>5.54e-15</v>
      </c>
      <c r="I8885" t="inlineStr">
        <is>
          <t>TrEMBL</t>
        </is>
      </c>
      <c r="J8885" t="inlineStr">
        <is>
          <t>LOC108648373</t>
        </is>
      </c>
      <c r="K8885" t="inlineStr">
        <is>
          <t>A0A8J0T5I8_XENTR</t>
        </is>
      </c>
      <c r="L8885" t="inlineStr">
        <is>
          <t>tr|A0A8J0T5I8|A0A8J0T5I8_XENTR uncharacterized protein LOC108648373 OS=Xenopus tropicalis OX=8364 GN=LOC108648373 PE=4 SV=1</t>
        </is>
      </c>
      <c r="M8885" t="n">
        <v>857</v>
      </c>
      <c r="N8885" t="inlineStr">
        <is>
          <t>Xenopus tropicalis</t>
        </is>
      </c>
      <c r="O8885" t="inlineStr">
        <is>
          <t>uncharacterized protein LOC108648373</t>
        </is>
      </c>
    </row>
    <row r="8886">
      <c r="A8886" t="inlineStr"/>
      <c r="B8886" t="inlineStr"/>
      <c r="C8886" t="inlineStr"/>
      <c r="D8886" t="inlineStr"/>
      <c r="E8886">
        <f>HYPERLINK("https://www.uniprot.org/uniprotkb/A0A8J1IUV7/entry", "A0A8J1IUV7")</f>
        <v/>
      </c>
      <c r="F8886" t="n">
        <v>44.3</v>
      </c>
      <c r="G8886" t="n">
        <v>122</v>
      </c>
      <c r="H8886" t="n">
        <v>5.9e-15</v>
      </c>
      <c r="I8886" t="inlineStr">
        <is>
          <t>TrEMBL</t>
        </is>
      </c>
      <c r="J8886" t="inlineStr">
        <is>
          <t>LOC116407079</t>
        </is>
      </c>
      <c r="K8886" t="inlineStr">
        <is>
          <t>A0A8J1IUV7_XENTR</t>
        </is>
      </c>
      <c r="L8886" t="inlineStr">
        <is>
          <t>tr|A0A8J1IUV7|A0A8J1IUV7_XENTR uncharacterized protein LOC116407079 OS=Xenopus tropicalis OX=8364 GN=LOC116407079 PE=4 SV=1</t>
        </is>
      </c>
      <c r="M8886" t="n">
        <v>409</v>
      </c>
      <c r="N8886" t="inlineStr">
        <is>
          <t>Xenopus tropicalis</t>
        </is>
      </c>
      <c r="O8886" t="inlineStr">
        <is>
          <t>uncharacterized protein LOC116407079</t>
        </is>
      </c>
    </row>
    <row r="8887">
      <c r="A8887" t="inlineStr"/>
      <c r="B8887" t="inlineStr"/>
      <c r="C8887" t="inlineStr"/>
      <c r="D8887" t="inlineStr"/>
      <c r="E8887">
        <f>HYPERLINK("https://www.uniprot.org/uniprotkb/A0A803K598/entry", "A0A803K598")</f>
        <v/>
      </c>
      <c r="F8887" t="n">
        <v>44.3</v>
      </c>
      <c r="G8887" t="n">
        <v>122</v>
      </c>
      <c r="H8887" t="n">
        <v>7.69e-15</v>
      </c>
      <c r="I8887" t="inlineStr">
        <is>
          <t>TrEMBL</t>
        </is>
      </c>
      <c r="J8887" t="inlineStr"/>
      <c r="K8887" t="inlineStr">
        <is>
          <t>A0A803K598_XENTR</t>
        </is>
      </c>
      <c r="L8887" t="inlineStr">
        <is>
          <t>tr|A0A803K598|A0A803K598_XENTR Reverse transcriptase domain-containing protein OS=Xenopus tropicalis OX=8364 PE=4 SV=1</t>
        </is>
      </c>
      <c r="M8887" t="n">
        <v>1144</v>
      </c>
      <c r="N8887" t="inlineStr">
        <is>
          <t>Xenopus tropicalis</t>
        </is>
      </c>
      <c r="O8887" t="inlineStr">
        <is>
          <t>Reverse transcriptase domain-containing protein</t>
        </is>
      </c>
    </row>
    <row r="8888">
      <c r="A8888" t="inlineStr"/>
      <c r="B8888" t="inlineStr"/>
      <c r="C8888" t="inlineStr"/>
      <c r="D8888" t="inlineStr"/>
      <c r="E8888">
        <f>HYPERLINK("https://www.ncbi.nlm.nih.gov/gene/?term=XP_031747517.1", "XP_031747517.1")</f>
        <v/>
      </c>
      <c r="F8888" t="n">
        <v>39.8</v>
      </c>
      <c r="G8888" t="n">
        <v>118</v>
      </c>
      <c r="H8888" t="n">
        <v>1.42e-14</v>
      </c>
      <c r="I8888" t="inlineStr">
        <is>
          <t>Nr</t>
        </is>
      </c>
      <c r="J8888" t="inlineStr"/>
      <c r="K8888" t="inlineStr"/>
      <c r="L8888" t="inlineStr">
        <is>
          <t>XP_031747517.1 uncharacterized protein LOC116406770 [Xenopus tropicalis]</t>
        </is>
      </c>
      <c r="M8888" t="n">
        <v>857</v>
      </c>
      <c r="N8888" t="inlineStr">
        <is>
          <t>Xenopus tropicalis</t>
        </is>
      </c>
      <c r="O8888" t="inlineStr">
        <is>
          <t>uncharacterized protein LOC116406770</t>
        </is>
      </c>
    </row>
    <row r="8889">
      <c r="A8889" t="inlineStr"/>
      <c r="B8889" t="inlineStr"/>
      <c r="C8889" t="inlineStr"/>
      <c r="D8889" t="inlineStr"/>
      <c r="E8889">
        <f>HYPERLINK("https://www.ncbi.nlm.nih.gov/gene/?term=XP_017952385.2", "XP_017952385.2")</f>
        <v/>
      </c>
      <c r="F8889" t="n">
        <v>39.8</v>
      </c>
      <c r="G8889" t="n">
        <v>118</v>
      </c>
      <c r="H8889" t="n">
        <v>1.42e-14</v>
      </c>
      <c r="I8889" t="inlineStr">
        <is>
          <t>Nr</t>
        </is>
      </c>
      <c r="J8889" t="inlineStr"/>
      <c r="K8889" t="inlineStr"/>
      <c r="L8889" t="inlineStr">
        <is>
          <t>XP_017952385.2 uncharacterized protein LOC108648373 [Xenopus tropicalis]</t>
        </is>
      </c>
      <c r="M8889" t="n">
        <v>857</v>
      </c>
      <c r="N8889" t="inlineStr">
        <is>
          <t>Xenopus tropicalis</t>
        </is>
      </c>
      <c r="O8889" t="inlineStr">
        <is>
          <t>uncharacterized protein LOC108648373</t>
        </is>
      </c>
    </row>
    <row r="8890">
      <c r="A8890" t="inlineStr"/>
      <c r="B8890" t="inlineStr"/>
      <c r="C8890" t="inlineStr"/>
      <c r="D8890" t="inlineStr"/>
      <c r="E8890">
        <f>HYPERLINK("https://www.ncbi.nlm.nih.gov/gene/?term=XP_031748271.1", "XP_031748271.1")</f>
        <v/>
      </c>
      <c r="F8890" t="n">
        <v>44.3</v>
      </c>
      <c r="G8890" t="n">
        <v>122</v>
      </c>
      <c r="H8890" t="n">
        <v>1.52e-14</v>
      </c>
      <c r="I8890" t="inlineStr">
        <is>
          <t>Nr</t>
        </is>
      </c>
      <c r="J8890" t="inlineStr"/>
      <c r="K8890" t="inlineStr"/>
      <c r="L8890" t="inlineStr">
        <is>
          <t>XP_031748271.1 uncharacterized protein LOC116407079 [Xenopus tropicalis]</t>
        </is>
      </c>
      <c r="M8890" t="n">
        <v>409</v>
      </c>
      <c r="N8890" t="inlineStr">
        <is>
          <t>Xenopus tropicalis</t>
        </is>
      </c>
      <c r="O8890" t="inlineStr">
        <is>
          <t>uncharacterized protein LOC116407079</t>
        </is>
      </c>
    </row>
    <row r="8891">
      <c r="A8891" t="inlineStr"/>
      <c r="B8891" t="inlineStr"/>
      <c r="C8891" t="inlineStr"/>
      <c r="D8891" t="inlineStr"/>
      <c r="E8891">
        <f>HYPERLINK("https://www.ncbi.nlm.nih.gov/gene/?term=KAJ1129654.1", "KAJ1129654.1")</f>
        <v/>
      </c>
      <c r="F8891" t="n">
        <v>38.7</v>
      </c>
      <c r="G8891" t="n">
        <v>119</v>
      </c>
      <c r="H8891" t="n">
        <v>1.95e-14</v>
      </c>
      <c r="I8891" t="inlineStr">
        <is>
          <t>Nr</t>
        </is>
      </c>
      <c r="J8891" t="inlineStr"/>
      <c r="K8891" t="inlineStr"/>
      <c r="L8891" t="inlineStr">
        <is>
          <t>KAJ1129654.1 hypothetical protein NDU88_008020 [Pleurodeles waltl]</t>
        </is>
      </c>
      <c r="M8891" t="n">
        <v>917</v>
      </c>
      <c r="N8891" t="inlineStr">
        <is>
          <t>Pleurodeles waltl</t>
        </is>
      </c>
      <c r="O8891" t="inlineStr">
        <is>
          <t>hypothetical protein NDU88_008020</t>
        </is>
      </c>
    </row>
    <row r="8892">
      <c r="A8892" t="inlineStr"/>
      <c r="B8892" t="inlineStr"/>
      <c r="C8892" t="inlineStr"/>
      <c r="D8892" t="inlineStr"/>
      <c r="E8892">
        <f>HYPERLINK("https://www.ncbi.nlm.nih.gov/gene/?term=KAJ1137147.1", "KAJ1137147.1")</f>
        <v/>
      </c>
      <c r="F8892" t="n">
        <v>38.7</v>
      </c>
      <c r="G8892" t="n">
        <v>119</v>
      </c>
      <c r="H8892" t="n">
        <v>2.76e-14</v>
      </c>
      <c r="I8892" t="inlineStr">
        <is>
          <t>Nr</t>
        </is>
      </c>
      <c r="J8892" t="inlineStr"/>
      <c r="K8892" t="inlineStr"/>
      <c r="L8892" t="inlineStr">
        <is>
          <t>KAJ1137147.1 hypothetical protein NDU88_003560 [Pleurodeles waltl]</t>
        </is>
      </c>
      <c r="M8892" t="n">
        <v>399</v>
      </c>
      <c r="N8892" t="inlineStr">
        <is>
          <t>Pleurodeles waltl</t>
        </is>
      </c>
      <c r="O8892" t="inlineStr">
        <is>
          <t>hypothetical protein NDU88_003560</t>
        </is>
      </c>
    </row>
    <row r="8893">
      <c r="A8893" t="inlineStr"/>
      <c r="B8893" t="inlineStr"/>
      <c r="C8893" t="inlineStr"/>
      <c r="D8893" t="inlineStr"/>
      <c r="E8893">
        <f>HYPERLINK("https://www.ncbi.nlm.nih.gov/gene/?term=KAJ1169441.1", "KAJ1169441.1")</f>
        <v/>
      </c>
      <c r="F8893" t="n">
        <v>38.7</v>
      </c>
      <c r="G8893" t="n">
        <v>119</v>
      </c>
      <c r="H8893" t="n">
        <v>3.5e-14</v>
      </c>
      <c r="I8893" t="inlineStr">
        <is>
          <t>Nr</t>
        </is>
      </c>
      <c r="J8893" t="inlineStr"/>
      <c r="K8893" t="inlineStr"/>
      <c r="L8893" t="inlineStr">
        <is>
          <t>KAJ1169441.1 hypothetical protein NDU88_001334 [Pleurodeles waltl]</t>
        </is>
      </c>
      <c r="M8893" t="n">
        <v>607</v>
      </c>
      <c r="N8893" t="inlineStr">
        <is>
          <t>Pleurodeles waltl</t>
        </is>
      </c>
      <c r="O8893" t="inlineStr">
        <is>
          <t>hypothetical protein NDU88_001334</t>
        </is>
      </c>
    </row>
    <row r="8894">
      <c r="A8894" t="inlineStr"/>
      <c r="B8894" t="inlineStr"/>
      <c r="C8894" t="inlineStr"/>
      <c r="D8894" t="inlineStr"/>
      <c r="E8894">
        <f>HYPERLINK("https://www.uniprot.org/uniprotkb/A0A8J1LJT2/entry", "A0A8J1LJT2")</f>
        <v/>
      </c>
      <c r="F8894" t="n">
        <v>40.9</v>
      </c>
      <c r="G8894" t="n">
        <v>115</v>
      </c>
      <c r="H8894" t="n">
        <v>3.58e-14</v>
      </c>
      <c r="I8894" t="inlineStr">
        <is>
          <t>TrEMBL</t>
        </is>
      </c>
      <c r="J8894" t="inlineStr">
        <is>
          <t>LOC121397172</t>
        </is>
      </c>
      <c r="K8894" t="inlineStr">
        <is>
          <t>A0A8J1LJT2_XENLA</t>
        </is>
      </c>
      <c r="L8894" t="inlineStr">
        <is>
          <t>tr|A0A8J1LJT2|A0A8J1LJT2_XENLA uncharacterized protein LOC121397172 OS=Xenopus laevis OX=8355 GN=LOC121397172 PE=4 SV=1</t>
        </is>
      </c>
      <c r="M8894" t="n">
        <v>889</v>
      </c>
      <c r="N8894" t="inlineStr">
        <is>
          <t>Xenopus laevis</t>
        </is>
      </c>
      <c r="O8894" t="inlineStr">
        <is>
          <t>uncharacterized protein LOC121397172</t>
        </is>
      </c>
    </row>
    <row r="8895">
      <c r="A8895" t="inlineStr"/>
      <c r="B8895" t="inlineStr"/>
      <c r="C8895" t="inlineStr"/>
      <c r="D8895" t="inlineStr"/>
      <c r="E8895">
        <f>HYPERLINK("https://www.ncbi.nlm.nih.gov/gene/?term=KAJ1169398.1", "KAJ1169398.1")</f>
        <v/>
      </c>
      <c r="F8895" t="n">
        <v>38.7</v>
      </c>
      <c r="G8895" t="n">
        <v>119</v>
      </c>
      <c r="H8895" t="n">
        <v>3.59e-14</v>
      </c>
      <c r="I8895" t="inlineStr">
        <is>
          <t>Nr</t>
        </is>
      </c>
      <c r="J8895" t="inlineStr"/>
      <c r="K8895" t="inlineStr"/>
      <c r="L8895" t="inlineStr">
        <is>
          <t>KAJ1169398.1 hypothetical protein NDU88_001291 [Pleurodeles waltl]</t>
        </is>
      </c>
      <c r="M8895" t="n">
        <v>787</v>
      </c>
      <c r="N8895" t="inlineStr">
        <is>
          <t>Pleurodeles waltl</t>
        </is>
      </c>
      <c r="O8895" t="inlineStr">
        <is>
          <t>hypothetical protein NDU88_001291</t>
        </is>
      </c>
    </row>
    <row r="8896">
      <c r="A8896" t="inlineStr"/>
      <c r="B8896" t="inlineStr"/>
      <c r="C8896" t="inlineStr"/>
      <c r="D8896" t="inlineStr"/>
      <c r="E8896">
        <f>HYPERLINK("https://www.ncbi.nlm.nih.gov/gene/?term=KAJ1151260.1", "KAJ1151260.1")</f>
        <v/>
      </c>
      <c r="F8896" t="n">
        <v>38.7</v>
      </c>
      <c r="G8896" t="n">
        <v>119</v>
      </c>
      <c r="H8896" t="n">
        <v>3.64e-14</v>
      </c>
      <c r="I8896" t="inlineStr">
        <is>
          <t>Nr</t>
        </is>
      </c>
      <c r="J8896" t="inlineStr"/>
      <c r="K8896" t="inlineStr"/>
      <c r="L8896" t="inlineStr">
        <is>
          <t>KAJ1151260.1 hypothetical protein NDU88_004043 [Pleurodeles waltl]</t>
        </is>
      </c>
      <c r="M8896" t="n">
        <v>966</v>
      </c>
      <c r="N8896" t="inlineStr">
        <is>
          <t>Pleurodeles waltl</t>
        </is>
      </c>
      <c r="O8896" t="inlineStr">
        <is>
          <t>hypothetical protein NDU88_004043</t>
        </is>
      </c>
    </row>
    <row r="8897">
      <c r="A8897" t="inlineStr"/>
      <c r="B8897" t="inlineStr"/>
      <c r="C8897" t="inlineStr"/>
      <c r="D8897" t="inlineStr"/>
      <c r="E8897">
        <f>HYPERLINK("https://www.ncbi.nlm.nih.gov/gene/?term=KAJ1212636.1", "KAJ1212636.1")</f>
        <v/>
      </c>
      <c r="F8897" t="n">
        <v>38.7</v>
      </c>
      <c r="G8897" t="n">
        <v>119</v>
      </c>
      <c r="H8897" t="n">
        <v>3.66e-14</v>
      </c>
      <c r="I8897" t="inlineStr">
        <is>
          <t>Nr</t>
        </is>
      </c>
      <c r="J8897" t="inlineStr"/>
      <c r="K8897" t="inlineStr"/>
      <c r="L8897" t="inlineStr">
        <is>
          <t>KAJ1212636.1 hypothetical protein NDU88_000291 [Pleurodeles waltl]</t>
        </is>
      </c>
      <c r="M8897" t="n">
        <v>1030</v>
      </c>
      <c r="N8897" t="inlineStr">
        <is>
          <t>Pleurodeles waltl</t>
        </is>
      </c>
      <c r="O8897" t="inlineStr">
        <is>
          <t>hypothetical protein NDU88_000291</t>
        </is>
      </c>
    </row>
    <row r="8898">
      <c r="A8898" t="inlineStr"/>
      <c r="B8898" t="inlineStr"/>
      <c r="C8898" t="inlineStr"/>
      <c r="D8898" t="inlineStr"/>
      <c r="E8898">
        <f>HYPERLINK("https://www.ncbi.nlm.nih.gov/gene/?term=KAJ1191502.1", "KAJ1191502.1")</f>
        <v/>
      </c>
      <c r="F8898" t="n">
        <v>38.7</v>
      </c>
      <c r="G8898" t="n">
        <v>119</v>
      </c>
      <c r="H8898" t="n">
        <v>3.68e-14</v>
      </c>
      <c r="I8898" t="inlineStr">
        <is>
          <t>Nr</t>
        </is>
      </c>
      <c r="J8898" t="inlineStr"/>
      <c r="K8898" t="inlineStr"/>
      <c r="L8898" t="inlineStr">
        <is>
          <t>KAJ1191502.1 hypothetical protein NDU88_000818 [Pleurodeles waltl]</t>
        </is>
      </c>
      <c r="M8898" t="n">
        <v>1127</v>
      </c>
      <c r="N8898" t="inlineStr">
        <is>
          <t>Pleurodeles waltl</t>
        </is>
      </c>
      <c r="O8898" t="inlineStr">
        <is>
          <t>hypothetical protein NDU88_000818</t>
        </is>
      </c>
    </row>
    <row r="8899">
      <c r="A8899" t="inlineStr"/>
      <c r="B8899" t="inlineStr"/>
      <c r="C8899" t="inlineStr"/>
      <c r="D8899" t="inlineStr"/>
      <c r="E8899">
        <f>HYPERLINK("https://www.ncbi.nlm.nih.gov/gene/?term=KAJ1088856.1", "KAJ1088856.1")</f>
        <v/>
      </c>
      <c r="F8899" t="n">
        <v>38.7</v>
      </c>
      <c r="G8899" t="n">
        <v>119</v>
      </c>
      <c r="H8899" t="n">
        <v>3.7e-14</v>
      </c>
      <c r="I8899" t="inlineStr">
        <is>
          <t>Nr</t>
        </is>
      </c>
      <c r="J8899" t="inlineStr"/>
      <c r="K8899" t="inlineStr"/>
      <c r="L8899" t="inlineStr">
        <is>
          <t>KAJ1088856.1 hypothetical protein NDU88_002010 [Pleurodeles waltl]</t>
        </is>
      </c>
      <c r="M8899" t="n">
        <v>1274</v>
      </c>
      <c r="N8899" t="inlineStr">
        <is>
          <t>Pleurodeles waltl</t>
        </is>
      </c>
      <c r="O8899" t="inlineStr">
        <is>
          <t>hypothetical protein NDU88_002010</t>
        </is>
      </c>
    </row>
    <row r="8900">
      <c r="A8900" t="inlineStr"/>
      <c r="B8900" t="inlineStr"/>
      <c r="C8900" t="inlineStr"/>
      <c r="D8900" t="inlineStr"/>
      <c r="E8900">
        <f>HYPERLINK("https://www.uniprot.org/uniprotkb/A0A803JT65/entry", "A0A803JT65")</f>
        <v/>
      </c>
      <c r="F8900" t="n">
        <v>39.8</v>
      </c>
      <c r="G8900" t="n">
        <v>113</v>
      </c>
      <c r="H8900" t="n">
        <v>4.96e-14</v>
      </c>
      <c r="I8900" t="inlineStr">
        <is>
          <t>TrEMBL</t>
        </is>
      </c>
      <c r="J8900" t="inlineStr"/>
      <c r="K8900" t="inlineStr">
        <is>
          <t>A0A803JT65_XENTR</t>
        </is>
      </c>
      <c r="L8900" t="inlineStr">
        <is>
          <t>tr|A0A803JT65|A0A803JT65_XENTR Reverse transcriptase domain-containing protein OS=Xenopus tropicalis OX=8364 PE=4 SV=1</t>
        </is>
      </c>
      <c r="M8900" t="n">
        <v>1133</v>
      </c>
      <c r="N8900" t="inlineStr">
        <is>
          <t>Xenopus tropicalis</t>
        </is>
      </c>
      <c r="O8900" t="inlineStr">
        <is>
          <t>Reverse transcriptase domain-containing protein</t>
        </is>
      </c>
    </row>
    <row r="8901">
      <c r="A8901" t="inlineStr"/>
      <c r="B8901" t="inlineStr"/>
      <c r="C8901" t="inlineStr"/>
      <c r="D8901" t="inlineStr"/>
      <c r="E8901">
        <f>HYPERLINK("https://www.ncbi.nlm.nih.gov/gene/?term=KAJ1169445.1", "KAJ1169445.1")</f>
        <v/>
      </c>
      <c r="F8901" t="n">
        <v>38.7</v>
      </c>
      <c r="G8901" t="n">
        <v>119</v>
      </c>
      <c r="H8901" t="n">
        <v>6.36e-14</v>
      </c>
      <c r="I8901" t="inlineStr">
        <is>
          <t>Nr</t>
        </is>
      </c>
      <c r="J8901" t="inlineStr"/>
      <c r="K8901" t="inlineStr"/>
      <c r="L8901" t="inlineStr">
        <is>
          <t>KAJ1169445.1 hypothetical protein NDU88_001338 [Pleurodeles waltl]</t>
        </is>
      </c>
      <c r="M8901" t="n">
        <v>520</v>
      </c>
      <c r="N8901" t="inlineStr">
        <is>
          <t>Pleurodeles waltl</t>
        </is>
      </c>
      <c r="O8901" t="inlineStr">
        <is>
          <t>hypothetical protein NDU88_001338</t>
        </is>
      </c>
    </row>
    <row r="8902">
      <c r="A8902" t="inlineStr"/>
      <c r="B8902" t="inlineStr"/>
      <c r="C8902" t="inlineStr"/>
      <c r="D8902" t="inlineStr"/>
      <c r="E8902">
        <f>HYPERLINK("https://www.ncbi.nlm.nih.gov/gene/?term=KAJ1169447.1", "KAJ1169447.1")</f>
        <v/>
      </c>
      <c r="F8902" t="n">
        <v>37.8</v>
      </c>
      <c r="G8902" t="n">
        <v>119</v>
      </c>
      <c r="H8902" t="n">
        <v>6.85e-14</v>
      </c>
      <c r="I8902" t="inlineStr">
        <is>
          <t>Nr</t>
        </is>
      </c>
      <c r="J8902" t="inlineStr"/>
      <c r="K8902" t="inlineStr"/>
      <c r="L8902" t="inlineStr">
        <is>
          <t>KAJ1169447.1 hypothetical protein NDU88_001340 [Pleurodeles waltl]</t>
        </is>
      </c>
      <c r="M8902" t="n">
        <v>1128</v>
      </c>
      <c r="N8902" t="inlineStr">
        <is>
          <t>Pleurodeles waltl</t>
        </is>
      </c>
      <c r="O8902" t="inlineStr">
        <is>
          <t>hypothetical protein NDU88_001340</t>
        </is>
      </c>
    </row>
    <row r="8903">
      <c r="A8903" t="inlineStr"/>
      <c r="B8903" t="inlineStr"/>
      <c r="C8903" t="inlineStr"/>
      <c r="D8903" t="inlineStr"/>
      <c r="E8903">
        <f>HYPERLINK("https://www.ncbi.nlm.nih.gov/gene/?term=KAJ1172588.1", "KAJ1172588.1")</f>
        <v/>
      </c>
      <c r="F8903" t="n">
        <v>37.8</v>
      </c>
      <c r="G8903" t="n">
        <v>119</v>
      </c>
      <c r="H8903" t="n">
        <v>8.35e-14</v>
      </c>
      <c r="I8903" t="inlineStr">
        <is>
          <t>Nr</t>
        </is>
      </c>
      <c r="J8903" t="inlineStr"/>
      <c r="K8903" t="inlineStr"/>
      <c r="L8903" t="inlineStr">
        <is>
          <t>KAJ1172588.1 hypothetical protein NDU88_004433 [Pleurodeles waltl]</t>
        </is>
      </c>
      <c r="M8903" t="n">
        <v>469</v>
      </c>
      <c r="N8903" t="inlineStr">
        <is>
          <t>Pleurodeles waltl</t>
        </is>
      </c>
      <c r="O8903" t="inlineStr">
        <is>
          <t>hypothetical protein NDU88_004433</t>
        </is>
      </c>
    </row>
    <row r="8904">
      <c r="A8904" t="inlineStr"/>
      <c r="B8904" t="inlineStr"/>
      <c r="C8904" t="inlineStr"/>
      <c r="D8904" t="inlineStr"/>
      <c r="E8904">
        <f>HYPERLINK("https://www.ncbi.nlm.nih.gov/gene/?term=XP_041429344.1", "XP_041429344.1")</f>
        <v/>
      </c>
      <c r="F8904" t="n">
        <v>40.9</v>
      </c>
      <c r="G8904" t="n">
        <v>115</v>
      </c>
      <c r="H8904" t="n">
        <v>9.2e-14</v>
      </c>
      <c r="I8904" t="inlineStr">
        <is>
          <t>Nr</t>
        </is>
      </c>
      <c r="J8904" t="inlineStr"/>
      <c r="K8904" t="inlineStr"/>
      <c r="L8904" t="inlineStr">
        <is>
          <t>XP_041429344.1 uncharacterized protein LOC121397172 [Xenopus laevis]</t>
        </is>
      </c>
      <c r="M8904" t="n">
        <v>889</v>
      </c>
      <c r="N8904" t="inlineStr">
        <is>
          <t>Xenopus laevis</t>
        </is>
      </c>
      <c r="O8904" t="inlineStr">
        <is>
          <t>uncharacterized protein LOC121397172</t>
        </is>
      </c>
    </row>
    <row r="8905">
      <c r="A8905" t="inlineStr"/>
      <c r="B8905" t="inlineStr"/>
      <c r="C8905" t="inlineStr"/>
      <c r="D8905" t="inlineStr"/>
      <c r="E8905">
        <f>HYPERLINK("https://www.ncbi.nlm.nih.gov/gene/?term=KAJ1150567.1", "KAJ1150567.1")</f>
        <v/>
      </c>
      <c r="F8905" t="n">
        <v>38.7</v>
      </c>
      <c r="G8905" t="n">
        <v>119</v>
      </c>
      <c r="H8905" t="n">
        <v>9.34e-14</v>
      </c>
      <c r="I8905" t="inlineStr">
        <is>
          <t>Nr</t>
        </is>
      </c>
      <c r="J8905" t="inlineStr"/>
      <c r="K8905" t="inlineStr"/>
      <c r="L8905" t="inlineStr">
        <is>
          <t>KAJ1150567.1 hypothetical protein NDU88_003357 [Pleurodeles waltl]</t>
        </is>
      </c>
      <c r="M8905" t="n">
        <v>1128</v>
      </c>
      <c r="N8905" t="inlineStr">
        <is>
          <t>Pleurodeles waltl</t>
        </is>
      </c>
      <c r="O8905" t="inlineStr">
        <is>
          <t>hypothetical protein NDU88_003357</t>
        </is>
      </c>
    </row>
    <row r="8906">
      <c r="A8906" t="inlineStr"/>
      <c r="B8906" t="inlineStr"/>
      <c r="C8906" t="inlineStr"/>
      <c r="D8906" t="inlineStr"/>
      <c r="E8906">
        <f>HYPERLINK("https://www.ncbi.nlm.nih.gov/gene/?term=KAJ1169033.1", "KAJ1169033.1")</f>
        <v/>
      </c>
      <c r="F8906" t="n">
        <v>38.7</v>
      </c>
      <c r="G8906" t="n">
        <v>119</v>
      </c>
      <c r="H8906" t="n">
        <v>1.74e-13</v>
      </c>
      <c r="I8906" t="inlineStr">
        <is>
          <t>Nr</t>
        </is>
      </c>
      <c r="J8906" t="inlineStr"/>
      <c r="K8906" t="inlineStr"/>
      <c r="L8906" t="inlineStr">
        <is>
          <t>KAJ1169033.1 hypothetical protein NDU88_000940 [Pleurodeles waltl]</t>
        </is>
      </c>
      <c r="M8906" t="n">
        <v>1099</v>
      </c>
      <c r="N8906" t="inlineStr">
        <is>
          <t>Pleurodeles waltl</t>
        </is>
      </c>
      <c r="O8906" t="inlineStr">
        <is>
          <t>hypothetical protein NDU88_000940</t>
        </is>
      </c>
    </row>
    <row r="8907">
      <c r="A8907" t="inlineStr"/>
      <c r="B8907" t="inlineStr"/>
      <c r="C8907" t="inlineStr"/>
      <c r="D8907" t="inlineStr"/>
      <c r="E8907">
        <f>HYPERLINK("https://www.ncbi.nlm.nih.gov/gene/?term=KAJ1213601.1", "KAJ1213601.1")</f>
        <v/>
      </c>
      <c r="F8907" t="n">
        <v>37</v>
      </c>
      <c r="G8907" t="n">
        <v>119</v>
      </c>
      <c r="H8907" t="n">
        <v>5.3e-13</v>
      </c>
      <c r="I8907" t="inlineStr">
        <is>
          <t>Nr</t>
        </is>
      </c>
      <c r="J8907" t="inlineStr"/>
      <c r="K8907" t="inlineStr"/>
      <c r="L8907" t="inlineStr">
        <is>
          <t>KAJ1213601.1 hypothetical protein NDU88_001234 [Pleurodeles waltl]</t>
        </is>
      </c>
      <c r="M8907" t="n">
        <v>446</v>
      </c>
      <c r="N8907" t="inlineStr">
        <is>
          <t>Pleurodeles waltl</t>
        </is>
      </c>
      <c r="O8907" t="inlineStr">
        <is>
          <t>hypothetical protein NDU88_001234</t>
        </is>
      </c>
    </row>
    <row r="8908">
      <c r="A8908" t="inlineStr"/>
      <c r="B8908" t="inlineStr"/>
      <c r="C8908" t="inlineStr"/>
      <c r="D8908" t="inlineStr"/>
      <c r="E8908">
        <f>HYPERLINK("https://www.ncbi.nlm.nih.gov/gene/?term=KAJ1207600.1", "KAJ1207600.1")</f>
        <v/>
      </c>
      <c r="F8908" t="n">
        <v>37.8</v>
      </c>
      <c r="G8908" t="n">
        <v>119</v>
      </c>
      <c r="H8908" t="n">
        <v>5.99e-13</v>
      </c>
      <c r="I8908" t="inlineStr">
        <is>
          <t>Nr</t>
        </is>
      </c>
      <c r="J8908" t="inlineStr"/>
      <c r="K8908" t="inlineStr"/>
      <c r="L8908" t="inlineStr">
        <is>
          <t>KAJ1207600.1 hypothetical protein NDU88_002990 [Pleurodeles waltl]</t>
        </is>
      </c>
      <c r="M8908" t="n">
        <v>372</v>
      </c>
      <c r="N8908" t="inlineStr">
        <is>
          <t>Pleurodeles waltl</t>
        </is>
      </c>
      <c r="O8908" t="inlineStr">
        <is>
          <t>hypothetical protein NDU88_002990</t>
        </is>
      </c>
    </row>
    <row r="8909">
      <c r="A8909" t="inlineStr"/>
      <c r="B8909" t="inlineStr"/>
      <c r="C8909" t="inlineStr"/>
      <c r="D8909" t="inlineStr"/>
      <c r="E8909">
        <f>HYPERLINK("https://www.ncbi.nlm.nih.gov/gene/?term=KAJ1151257.1", "KAJ1151257.1")</f>
        <v/>
      </c>
      <c r="F8909" t="n">
        <v>37.8</v>
      </c>
      <c r="G8909" t="n">
        <v>119</v>
      </c>
      <c r="H8909" t="n">
        <v>6.33e-13</v>
      </c>
      <c r="I8909" t="inlineStr">
        <is>
          <t>Nr</t>
        </is>
      </c>
      <c r="J8909" t="inlineStr"/>
      <c r="K8909" t="inlineStr"/>
      <c r="L8909" t="inlineStr">
        <is>
          <t>KAJ1151257.1 hypothetical protein NDU88_004041 [Pleurodeles waltl]</t>
        </is>
      </c>
      <c r="M8909" t="n">
        <v>325</v>
      </c>
      <c r="N8909" t="inlineStr">
        <is>
          <t>Pleurodeles waltl</t>
        </is>
      </c>
      <c r="O8909" t="inlineStr">
        <is>
          <t>hypothetical protein NDU88_004041</t>
        </is>
      </c>
    </row>
    <row r="8910">
      <c r="A8910" t="inlineStr"/>
      <c r="B8910" t="inlineStr"/>
      <c r="C8910" t="inlineStr"/>
      <c r="D8910" t="inlineStr"/>
      <c r="E8910">
        <f>HYPERLINK("https://www.ncbi.nlm.nih.gov/gene/?term=KAJ1167441.1", "KAJ1167441.1")</f>
        <v/>
      </c>
      <c r="F8910" t="n">
        <v>37</v>
      </c>
      <c r="G8910" t="n">
        <v>119</v>
      </c>
      <c r="H8910" t="n">
        <v>2.72e-12</v>
      </c>
      <c r="I8910" t="inlineStr">
        <is>
          <t>Nr</t>
        </is>
      </c>
      <c r="J8910" t="inlineStr"/>
      <c r="K8910" t="inlineStr"/>
      <c r="L8910" t="inlineStr">
        <is>
          <t>KAJ1167441.1 hypothetical protein NDU88_007832 [Pleurodeles waltl]</t>
        </is>
      </c>
      <c r="M8910" t="n">
        <v>611</v>
      </c>
      <c r="N8910" t="inlineStr">
        <is>
          <t>Pleurodeles waltl</t>
        </is>
      </c>
      <c r="O8910" t="inlineStr">
        <is>
          <t>hypothetical protein NDU88_007832</t>
        </is>
      </c>
    </row>
    <row r="8911">
      <c r="A8911" t="inlineStr"/>
      <c r="B8911" t="inlineStr"/>
      <c r="C8911" t="inlineStr"/>
      <c r="D8911" t="inlineStr"/>
      <c r="E8911">
        <f>HYPERLINK("https://www.uniprot.org/uniprotkb/A0A3P8YNU7/entry", "A0A3P8YNU7")</f>
        <v/>
      </c>
      <c r="F8911" t="n">
        <v>32.8</v>
      </c>
      <c r="G8911" t="n">
        <v>119</v>
      </c>
      <c r="H8911" t="n">
        <v>4.06e-12</v>
      </c>
      <c r="I8911" t="inlineStr">
        <is>
          <t>TrEMBL</t>
        </is>
      </c>
      <c r="J8911" t="inlineStr"/>
      <c r="K8911" t="inlineStr">
        <is>
          <t>A0A3P8YNU7_ESOLU</t>
        </is>
      </c>
      <c r="L8911" t="inlineStr">
        <is>
          <t>tr|A0A3P8YNU7|A0A3P8YNU7_ESOLU Endo/exonuclease/phosphatase domain-containing protein OS=Esox lucius OX=8010 PE=4 SV=2</t>
        </is>
      </c>
      <c r="M8911" t="n">
        <v>130</v>
      </c>
      <c r="N8911" t="inlineStr">
        <is>
          <t>Esox lucius</t>
        </is>
      </c>
      <c r="O8911" t="inlineStr">
        <is>
          <t>Endo/exonuclease/phosphatase domain-containing protein</t>
        </is>
      </c>
    </row>
    <row r="8912">
      <c r="A8912" t="inlineStr"/>
      <c r="B8912" t="inlineStr"/>
      <c r="C8912" t="inlineStr"/>
      <c r="D8912" t="inlineStr"/>
      <c r="E8912">
        <f>HYPERLINK("https://www.ncbi.nlm.nih.gov/gene/?term=KAJ1156555.1", "KAJ1156555.1")</f>
        <v/>
      </c>
      <c r="F8912" t="n">
        <v>36.1</v>
      </c>
      <c r="G8912" t="n">
        <v>119</v>
      </c>
      <c r="H8912" t="n">
        <v>4.57e-12</v>
      </c>
      <c r="I8912" t="inlineStr">
        <is>
          <t>Nr</t>
        </is>
      </c>
      <c r="J8912" t="inlineStr"/>
      <c r="K8912" t="inlineStr"/>
      <c r="L8912" t="inlineStr">
        <is>
          <t>KAJ1156555.1 hypothetical protein NDU88_009273 [Pleurodeles waltl]</t>
        </is>
      </c>
      <c r="M8912" t="n">
        <v>288</v>
      </c>
      <c r="N8912" t="inlineStr">
        <is>
          <t>Pleurodeles waltl</t>
        </is>
      </c>
      <c r="O8912" t="inlineStr">
        <is>
          <t>hypothetical protein NDU88_009273</t>
        </is>
      </c>
    </row>
    <row r="8913">
      <c r="A8913" t="inlineStr"/>
      <c r="B8913" t="inlineStr"/>
      <c r="C8913" t="inlineStr"/>
      <c r="D8913" t="inlineStr"/>
      <c r="E8913">
        <f>HYPERLINK("https://www.uniprot.org/uniprotkb/A0A803K7Y7/entry", "A0A803K7Y7")</f>
        <v/>
      </c>
      <c r="F8913" t="n">
        <v>41.4</v>
      </c>
      <c r="G8913" t="n">
        <v>111</v>
      </c>
      <c r="H8913" t="n">
        <v>9.689999999999999e-12</v>
      </c>
      <c r="I8913" t="inlineStr">
        <is>
          <t>TrEMBL</t>
        </is>
      </c>
      <c r="J8913" t="inlineStr"/>
      <c r="K8913" t="inlineStr">
        <is>
          <t>A0A803K7Y7_XENTR</t>
        </is>
      </c>
      <c r="L8913" t="inlineStr">
        <is>
          <t>tr|A0A803K7Y7|A0A803K7Y7_XENTR Reverse transcriptase domain-containing protein OS=Xenopus tropicalis OX=8364 PE=4 SV=1</t>
        </is>
      </c>
      <c r="M8913" t="n">
        <v>948</v>
      </c>
      <c r="N8913" t="inlineStr">
        <is>
          <t>Xenopus tropicalis</t>
        </is>
      </c>
      <c r="O8913" t="inlineStr">
        <is>
          <t>Reverse transcriptase domain-containing protein</t>
        </is>
      </c>
    </row>
    <row r="8914">
      <c r="A8914" t="inlineStr"/>
      <c r="B8914" t="inlineStr"/>
      <c r="C8914" t="inlineStr"/>
      <c r="D8914" t="inlineStr"/>
      <c r="E8914">
        <f>HYPERLINK("https://www.uniprot.org/uniprotkb/A0A3B3WL56/entry", "A0A3B3WL56")</f>
        <v/>
      </c>
      <c r="F8914" t="n">
        <v>33.3</v>
      </c>
      <c r="G8914" t="n">
        <v>117</v>
      </c>
      <c r="H8914" t="n">
        <v>2.8e-11</v>
      </c>
      <c r="I8914" t="inlineStr">
        <is>
          <t>TrEMBL</t>
        </is>
      </c>
      <c r="J8914" t="inlineStr"/>
      <c r="K8914" t="inlineStr">
        <is>
          <t>A0A3B3WL56_9TELE</t>
        </is>
      </c>
      <c r="L8914" t="inlineStr">
        <is>
          <t>tr|A0A3B3WL56|A0A3B3WL56_9TELE Endo/exonuclease/phosphatase domain-containing protein OS=Poecilia mexicana OX=48701 PE=4 SV=1</t>
        </is>
      </c>
      <c r="M8914" t="n">
        <v>192</v>
      </c>
      <c r="N8914" t="inlineStr">
        <is>
          <t>Poecilia mexicana</t>
        </is>
      </c>
      <c r="O8914" t="inlineStr">
        <is>
          <t>Endo/exonuclease/phosphatase domain-containing protein</t>
        </is>
      </c>
    </row>
    <row r="8915">
      <c r="A8915" t="inlineStr"/>
      <c r="B8915" t="inlineStr"/>
      <c r="C8915" t="inlineStr"/>
      <c r="D8915" t="inlineStr"/>
      <c r="E8915">
        <f>HYPERLINK("https://www.uniprot.org/uniprotkb/A0A3B3UVV5/entry", "A0A3B3UVV5")</f>
        <v/>
      </c>
      <c r="F8915" t="n">
        <v>33.3</v>
      </c>
      <c r="G8915" t="n">
        <v>117</v>
      </c>
      <c r="H8915" t="n">
        <v>3.09e-11</v>
      </c>
      <c r="I8915" t="inlineStr">
        <is>
          <t>TrEMBL</t>
        </is>
      </c>
      <c r="J8915" t="inlineStr"/>
      <c r="K8915" t="inlineStr">
        <is>
          <t>A0A3B3UVV5_9TELE</t>
        </is>
      </c>
      <c r="L8915" t="inlineStr">
        <is>
          <t>tr|A0A3B3UVV5|A0A3B3UVV5_9TELE Endo/exonuclease/phosphatase domain-containing protein OS=Poecilia latipinna OX=48699 PE=4 SV=1</t>
        </is>
      </c>
      <c r="M8915" t="n">
        <v>198</v>
      </c>
      <c r="N8915" t="inlineStr">
        <is>
          <t>Poecilia latipinna</t>
        </is>
      </c>
      <c r="O8915" t="inlineStr">
        <is>
          <t>Endo/exonuclease/phosphatase domain-containing protein</t>
        </is>
      </c>
    </row>
    <row r="8916">
      <c r="A8916" t="inlineStr"/>
      <c r="B8916" t="inlineStr"/>
      <c r="C8916" t="inlineStr"/>
      <c r="D8916" t="inlineStr"/>
      <c r="E8916">
        <f>HYPERLINK("https://www.ncbi.nlm.nih.gov/gene/?term=KAJ1166930.1", "KAJ1166930.1")</f>
        <v/>
      </c>
      <c r="F8916" t="n">
        <v>35.3</v>
      </c>
      <c r="G8916" t="n">
        <v>119</v>
      </c>
      <c r="H8916" t="n">
        <v>4.47e-11</v>
      </c>
      <c r="I8916" t="inlineStr">
        <is>
          <t>Nr</t>
        </is>
      </c>
      <c r="J8916" t="inlineStr"/>
      <c r="K8916" t="inlineStr"/>
      <c r="L8916" t="inlineStr">
        <is>
          <t>KAJ1166930.1 hypothetical protein NDU88_007324 [Pleurodeles waltl]</t>
        </is>
      </c>
      <c r="M8916" t="n">
        <v>619</v>
      </c>
      <c r="N8916" t="inlineStr">
        <is>
          <t>Pleurodeles waltl</t>
        </is>
      </c>
      <c r="O8916" t="inlineStr">
        <is>
          <t>hypothetical protein NDU88_007324</t>
        </is>
      </c>
    </row>
    <row r="8917">
      <c r="A8917" t="inlineStr"/>
      <c r="B8917" t="inlineStr"/>
      <c r="C8917" t="inlineStr"/>
      <c r="D8917" t="inlineStr"/>
      <c r="E8917">
        <f>HYPERLINK("https://www.uniprot.org/uniprotkb/A0A3B1K8S2/entry", "A0A3B1K8S2")</f>
        <v/>
      </c>
      <c r="F8917" t="n">
        <v>33.9</v>
      </c>
      <c r="G8917" t="n">
        <v>112</v>
      </c>
      <c r="H8917" t="n">
        <v>8.2e-11</v>
      </c>
      <c r="I8917" t="inlineStr">
        <is>
          <t>TrEMBL</t>
        </is>
      </c>
      <c r="J8917" t="inlineStr"/>
      <c r="K8917" t="inlineStr">
        <is>
          <t>A0A3B1K8S2_ASTMX</t>
        </is>
      </c>
      <c r="L8917" t="inlineStr">
        <is>
          <t>tr|A0A3B1K8S2|A0A3B1K8S2_ASTMX Endo/exonuclease/phosphatase domain-containing protein OS=Astyanax mexicanus OX=7994 PE=4 SV=1</t>
        </is>
      </c>
      <c r="M8917" t="n">
        <v>176</v>
      </c>
      <c r="N8917" t="inlineStr">
        <is>
          <t>Astyanax mexicanus</t>
        </is>
      </c>
      <c r="O8917" t="inlineStr">
        <is>
          <t>Endo/exonuclease/phosphatase domain-containing protein</t>
        </is>
      </c>
    </row>
    <row r="8918">
      <c r="A8918" t="inlineStr"/>
      <c r="B8918" t="inlineStr"/>
      <c r="C8918" t="inlineStr"/>
      <c r="D8918" t="inlineStr"/>
      <c r="E8918">
        <f>HYPERLINK("https://www.ncbi.nlm.nih.gov/gene/?term=XP_045569117.1", "XP_045569117.1")</f>
        <v/>
      </c>
      <c r="F8918" t="n">
        <v>37.2</v>
      </c>
      <c r="G8918" t="n">
        <v>121</v>
      </c>
      <c r="H8918" t="n">
        <v>1.2e-10</v>
      </c>
      <c r="I8918" t="inlineStr">
        <is>
          <t>Nr</t>
        </is>
      </c>
      <c r="J8918" t="inlineStr"/>
      <c r="K8918" t="inlineStr"/>
      <c r="L8918" t="inlineStr">
        <is>
          <t>XP_045569117.1 uncharacterized protein LOC106595972 [Salmo salar]</t>
        </is>
      </c>
      <c r="M8918" t="n">
        <v>343</v>
      </c>
      <c r="N8918" t="inlineStr">
        <is>
          <t>Salmo salar</t>
        </is>
      </c>
      <c r="O8918" t="inlineStr">
        <is>
          <t>uncharacterized protein LOC106595972</t>
        </is>
      </c>
    </row>
    <row r="8919">
      <c r="A8919" t="inlineStr"/>
      <c r="B8919" t="inlineStr"/>
      <c r="C8919" t="inlineStr"/>
      <c r="D8919" t="inlineStr"/>
      <c r="E8919">
        <f>HYPERLINK("https://www.uniprot.org/uniprotkb/A0A4W5L9B3/entry", "A0A4W5L9B3")</f>
        <v/>
      </c>
      <c r="F8919" t="n">
        <v>36.4</v>
      </c>
      <c r="G8919" t="n">
        <v>121</v>
      </c>
      <c r="H8919" t="n">
        <v>1.6e-10</v>
      </c>
      <c r="I8919" t="inlineStr">
        <is>
          <t>TrEMBL</t>
        </is>
      </c>
      <c r="J8919" t="inlineStr"/>
      <c r="K8919" t="inlineStr">
        <is>
          <t>A0A4W5L9B3_9TELE</t>
        </is>
      </c>
      <c r="L8919" t="inlineStr">
        <is>
          <t>tr|A0A4W5L9B3|A0A4W5L9B3_9TELE Reverse transcriptase domain-containing protein OS=Hucho hucho OX=62062 PE=4 SV=1</t>
        </is>
      </c>
      <c r="M8919" t="n">
        <v>1037</v>
      </c>
      <c r="N8919" t="inlineStr">
        <is>
          <t>Hucho hucho</t>
        </is>
      </c>
      <c r="O8919" t="inlineStr">
        <is>
          <t>Reverse transcriptase domain-containing protein</t>
        </is>
      </c>
    </row>
    <row r="8920">
      <c r="A8920" t="inlineStr"/>
      <c r="B8920" t="inlineStr"/>
      <c r="C8920" t="inlineStr"/>
      <c r="D8920" t="inlineStr"/>
      <c r="E8920">
        <f>HYPERLINK("https://www.uniprot.org/uniprotkb/A0A6Q2ZIF8/entry", "A0A6Q2ZIF8")</f>
        <v/>
      </c>
      <c r="F8920" t="n">
        <v>31.9</v>
      </c>
      <c r="G8920" t="n">
        <v>119</v>
      </c>
      <c r="H8920" t="n">
        <v>4.09e-10</v>
      </c>
      <c r="I8920" t="inlineStr">
        <is>
          <t>TrEMBL</t>
        </is>
      </c>
      <c r="J8920" t="inlineStr"/>
      <c r="K8920" t="inlineStr">
        <is>
          <t>A0A6Q2ZIF8_ESOLU</t>
        </is>
      </c>
      <c r="L8920" t="inlineStr">
        <is>
          <t>tr|A0A6Q2ZIF8|A0A6Q2ZIF8_ESOLU Reverse transcriptase domain-containing protein OS=Esox lucius OX=8010 PE=4 SV=1</t>
        </is>
      </c>
      <c r="M8920" t="n">
        <v>1188</v>
      </c>
      <c r="N8920" t="inlineStr">
        <is>
          <t>Esox lucius</t>
        </is>
      </c>
      <c r="O8920" t="inlineStr">
        <is>
          <t>Reverse transcriptase domain-containing protein</t>
        </is>
      </c>
    </row>
    <row r="8921">
      <c r="A8921" t="inlineStr"/>
      <c r="B8921" t="inlineStr"/>
      <c r="C8921" t="inlineStr"/>
      <c r="D8921" t="inlineStr"/>
      <c r="E8921">
        <f>HYPERLINK("https://www.uniprot.org/uniprotkb/A0A8L0DN29/entry", "A0A8L0DN29")</f>
        <v/>
      </c>
      <c r="F8921" t="n">
        <v>36.4</v>
      </c>
      <c r="G8921" t="n">
        <v>121</v>
      </c>
      <c r="H8921" t="n">
        <v>7.6e-10</v>
      </c>
      <c r="I8921" t="inlineStr">
        <is>
          <t>TrEMBL</t>
        </is>
      </c>
      <c r="J8921" t="inlineStr"/>
      <c r="K8921" t="inlineStr">
        <is>
          <t>A0A8L0DN29_ONCMY</t>
        </is>
      </c>
      <c r="L8921" t="inlineStr">
        <is>
          <t>tr|A0A8L0DN29|A0A8L0DN29_ONCMY Reverse transcriptase domain-containing protein OS=Oncorhynchus mykiss OX=8022 PE=4 SV=1</t>
        </is>
      </c>
      <c r="M8921" t="n">
        <v>1141</v>
      </c>
      <c r="N8921" t="inlineStr">
        <is>
          <t>Oncorhynchus mykiss</t>
        </is>
      </c>
      <c r="O8921" t="inlineStr">
        <is>
          <t>Reverse transcriptase domain-containing protein</t>
        </is>
      </c>
    </row>
    <row r="8922">
      <c r="A8922" t="inlineStr"/>
      <c r="B8922" t="inlineStr"/>
      <c r="C8922" t="inlineStr"/>
      <c r="D8922" t="inlineStr"/>
      <c r="E8922">
        <f>HYPERLINK("https://www.uniprot.org/uniprotkb/A0A8K9Y5U3/entry", "A0A8K9Y5U3")</f>
        <v/>
      </c>
      <c r="F8922" t="n">
        <v>36.4</v>
      </c>
      <c r="G8922" t="n">
        <v>121</v>
      </c>
      <c r="H8922" t="n">
        <v>7.6e-10</v>
      </c>
      <c r="I8922" t="inlineStr">
        <is>
          <t>TrEMBL</t>
        </is>
      </c>
      <c r="J8922" t="inlineStr"/>
      <c r="K8922" t="inlineStr">
        <is>
          <t>A0A8K9Y5U3_ONCMY</t>
        </is>
      </c>
      <c r="L8922" t="inlineStr">
        <is>
          <t>tr|A0A8K9Y5U3|A0A8K9Y5U3_ONCMY Reverse transcriptase domain-containing protein OS=Oncorhynchus mykiss OX=8022 PE=4 SV=1</t>
        </is>
      </c>
      <c r="M8922" t="n">
        <v>1141</v>
      </c>
      <c r="N8922" t="inlineStr">
        <is>
          <t>Oncorhynchus mykiss</t>
        </is>
      </c>
      <c r="O8922" t="inlineStr">
        <is>
          <t>Reverse transcriptase domain-containing protein</t>
        </is>
      </c>
    </row>
    <row r="8923">
      <c r="A8923" t="inlineStr"/>
      <c r="B8923" t="inlineStr"/>
      <c r="C8923" t="inlineStr"/>
      <c r="D8923" t="inlineStr"/>
      <c r="E8923">
        <f>HYPERLINK("https://www.uniprot.org/uniprotkb/A0A8C7MPL6/entry", "A0A8C7MPL6")</f>
        <v/>
      </c>
      <c r="F8923" t="n">
        <v>35.5</v>
      </c>
      <c r="G8923" t="n">
        <v>121</v>
      </c>
      <c r="H8923" t="n">
        <v>1.04e-09</v>
      </c>
      <c r="I8923" t="inlineStr">
        <is>
          <t>TrEMBL</t>
        </is>
      </c>
      <c r="J8923" t="inlineStr"/>
      <c r="K8923" t="inlineStr">
        <is>
          <t>A0A8C7MPL6_ONCKI</t>
        </is>
      </c>
      <c r="L8923" t="inlineStr">
        <is>
          <t>tr|A0A8C7MPL6|A0A8C7MPL6_ONCKI Reverse transcriptase domain-containing protein OS=Oncorhynchus kisutch OX=8019 PE=4 SV=1</t>
        </is>
      </c>
      <c r="M8923" t="n">
        <v>1141</v>
      </c>
      <c r="N8923" t="inlineStr">
        <is>
          <t>Oncorhynchus kisutch</t>
        </is>
      </c>
      <c r="O8923" t="inlineStr">
        <is>
          <t>Reverse transcriptase domain-containing protein</t>
        </is>
      </c>
    </row>
    <row r="8924">
      <c r="A8924" t="inlineStr"/>
      <c r="B8924" t="inlineStr"/>
      <c r="C8924" t="inlineStr"/>
      <c r="D8924" t="inlineStr"/>
      <c r="E8924">
        <f>HYPERLINK("https://www.uniprot.org/uniprotkb/A0A8X7X9M5/entry", "A0A8X7X9M5")</f>
        <v/>
      </c>
      <c r="F8924" t="n">
        <v>32.5</v>
      </c>
      <c r="G8924" t="n">
        <v>114</v>
      </c>
      <c r="H8924" t="n">
        <v>1.22e-09</v>
      </c>
      <c r="I8924" t="inlineStr">
        <is>
          <t>TrEMBL</t>
        </is>
      </c>
      <c r="J8924" t="inlineStr">
        <is>
          <t>Ytx2_2</t>
        </is>
      </c>
      <c r="K8924" t="inlineStr">
        <is>
          <t>A0A8X7X9M5_POLSE</t>
        </is>
      </c>
      <c r="L8924" t="inlineStr">
        <is>
          <t>tr|A0A8X7X9M5|A0A8X7X9M5_POLSE YTX2 protein (Fragment) OS=Polypterus senegalus OX=55291 GN=Ytx2_2 PE=4 SV=1</t>
        </is>
      </c>
      <c r="M8924" t="n">
        <v>386</v>
      </c>
      <c r="N8924" t="inlineStr">
        <is>
          <t>Polypterus senegalus</t>
        </is>
      </c>
      <c r="O8924" t="inlineStr">
        <is>
          <t>YTX2 protein (Fragment)</t>
        </is>
      </c>
    </row>
    <row r="8925">
      <c r="A8925" t="inlineStr"/>
      <c r="B8925" t="inlineStr"/>
      <c r="C8925" t="inlineStr"/>
      <c r="D8925" t="inlineStr"/>
      <c r="E8925">
        <f>HYPERLINK("https://www.uniprot.org/uniprotkb/A0A672RJ08/entry", "A0A672RJ08")</f>
        <v/>
      </c>
      <c r="F8925" t="n">
        <v>38.6</v>
      </c>
      <c r="G8925" t="n">
        <v>101</v>
      </c>
      <c r="H8925" t="n">
        <v>1.34e-09</v>
      </c>
      <c r="I8925" t="inlineStr">
        <is>
          <t>TrEMBL</t>
        </is>
      </c>
      <c r="J8925" t="inlineStr"/>
      <c r="K8925" t="inlineStr">
        <is>
          <t>A0A672RJ08_SINGR</t>
        </is>
      </c>
      <c r="L8925" t="inlineStr">
        <is>
          <t>tr|A0A672RJ08|A0A672RJ08_SINGR DUF4283 domain-containing protein OS=Sinocyclocheilus grahami OX=75366 PE=4 SV=1</t>
        </is>
      </c>
      <c r="M8925" t="n">
        <v>181</v>
      </c>
      <c r="N8925" t="inlineStr">
        <is>
          <t>Sinocyclocheilus grahami</t>
        </is>
      </c>
      <c r="O8925" t="inlineStr">
        <is>
          <t>DUF4283 domain-containing protein</t>
        </is>
      </c>
    </row>
    <row r="8926">
      <c r="A8926" t="inlineStr"/>
      <c r="B8926" t="inlineStr"/>
      <c r="C8926" t="inlineStr"/>
      <c r="D8926" t="inlineStr"/>
      <c r="E8926">
        <f>HYPERLINK("https://www.uniprot.org/uniprotkb/A0A8C7F7B2/entry", "A0A8C7F7B2")</f>
        <v/>
      </c>
      <c r="F8926" t="n">
        <v>35.5</v>
      </c>
      <c r="G8926" t="n">
        <v>121</v>
      </c>
      <c r="H8926" t="n">
        <v>1.42e-09</v>
      </c>
      <c r="I8926" t="inlineStr">
        <is>
          <t>TrEMBL</t>
        </is>
      </c>
      <c r="J8926" t="inlineStr"/>
      <c r="K8926" t="inlineStr">
        <is>
          <t>A0A8C7F7B2_ONCKI</t>
        </is>
      </c>
      <c r="L8926" t="inlineStr">
        <is>
          <t>tr|A0A8C7F7B2|A0A8C7F7B2_ONCKI Reverse transcriptase domain-containing protein OS=Oncorhynchus kisutch OX=8019 PE=4 SV=1</t>
        </is>
      </c>
      <c r="M8926" t="n">
        <v>1141</v>
      </c>
      <c r="N8926" t="inlineStr">
        <is>
          <t>Oncorhynchus kisutch</t>
        </is>
      </c>
      <c r="O8926" t="inlineStr">
        <is>
          <t>Reverse transcriptase domain-containing protein</t>
        </is>
      </c>
    </row>
    <row r="8927">
      <c r="A8927" t="inlineStr"/>
      <c r="B8927" t="inlineStr"/>
      <c r="C8927" t="inlineStr"/>
      <c r="D8927" t="inlineStr"/>
      <c r="E8927">
        <f>HYPERLINK("https://www.uniprot.org/uniprotkb/A0A8C7IU91/entry", "A0A8C7IU91")</f>
        <v/>
      </c>
      <c r="F8927" t="n">
        <v>35.5</v>
      </c>
      <c r="G8927" t="n">
        <v>121</v>
      </c>
      <c r="H8927" t="n">
        <v>1.42e-09</v>
      </c>
      <c r="I8927" t="inlineStr">
        <is>
          <t>TrEMBL</t>
        </is>
      </c>
      <c r="J8927" t="inlineStr"/>
      <c r="K8927" t="inlineStr">
        <is>
          <t>A0A8C7IU91_ONCKI</t>
        </is>
      </c>
      <c r="L8927" t="inlineStr">
        <is>
          <t>tr|A0A8C7IU91|A0A8C7IU91_ONCKI Reverse transcriptase domain-containing protein OS=Oncorhynchus kisutch OX=8019 PE=4 SV=1</t>
        </is>
      </c>
      <c r="M8927" t="n">
        <v>1141</v>
      </c>
      <c r="N8927" t="inlineStr">
        <is>
          <t>Oncorhynchus kisutch</t>
        </is>
      </c>
      <c r="O8927" t="inlineStr">
        <is>
          <t>Reverse transcriptase domain-containing protein</t>
        </is>
      </c>
    </row>
    <row r="8928">
      <c r="A8928" t="inlineStr"/>
      <c r="B8928" t="inlineStr"/>
      <c r="C8928" t="inlineStr"/>
      <c r="D8928" t="inlineStr"/>
      <c r="E8928">
        <f>HYPERLINK("https://www.uniprot.org/uniprotkb/Q76IK9/entry", "Q76IK9")</f>
        <v/>
      </c>
      <c r="F8928" t="n">
        <v>33.1</v>
      </c>
      <c r="G8928" t="n">
        <v>121</v>
      </c>
      <c r="H8928" t="n">
        <v>1.42e-09</v>
      </c>
      <c r="I8928" t="inlineStr">
        <is>
          <t>TrEMBL</t>
        </is>
      </c>
      <c r="J8928" t="inlineStr">
        <is>
          <t>ORF2</t>
        </is>
      </c>
      <c r="K8928" t="inlineStr">
        <is>
          <t>Q76IK9_DANRE</t>
        </is>
      </c>
      <c r="L8928" t="inlineStr">
        <is>
          <t>tr|Q76IK9|Q76IK9_DANRE Pol-like protein OS=Danio rerio OX=7955 GN=ORF2 PE=4 SV=1</t>
        </is>
      </c>
      <c r="M8928" t="n">
        <v>1148</v>
      </c>
      <c r="N8928" t="inlineStr">
        <is>
          <t>Danio rerio</t>
        </is>
      </c>
      <c r="O8928" t="inlineStr">
        <is>
          <t>Pol-like protein</t>
        </is>
      </c>
    </row>
    <row r="8929">
      <c r="A8929" t="inlineStr"/>
      <c r="B8929" t="inlineStr"/>
      <c r="C8929" t="inlineStr"/>
      <c r="D8929" t="inlineStr"/>
      <c r="E8929">
        <f>HYPERLINK("https://www.uniprot.org/uniprotkb/A0A3B1JVZ9/entry", "A0A3B1JVZ9")</f>
        <v/>
      </c>
      <c r="F8929" t="n">
        <v>31.3</v>
      </c>
      <c r="G8929" t="n">
        <v>112</v>
      </c>
      <c r="H8929" t="n">
        <v>1.5e-09</v>
      </c>
      <c r="I8929" t="inlineStr">
        <is>
          <t>TrEMBL</t>
        </is>
      </c>
      <c r="J8929" t="inlineStr"/>
      <c r="K8929" t="inlineStr">
        <is>
          <t>A0A3B1JVZ9_ASTMX</t>
        </is>
      </c>
      <c r="L8929" t="inlineStr">
        <is>
          <t>tr|A0A3B1JVZ9|A0A3B1JVZ9_ASTMX Endo/exonuclease/phosphatase domain-containing protein OS=Astyanax mexicanus OX=7994 PE=4 SV=1</t>
        </is>
      </c>
      <c r="M8929" t="n">
        <v>188</v>
      </c>
      <c r="N8929" t="inlineStr">
        <is>
          <t>Astyanax mexicanus</t>
        </is>
      </c>
      <c r="O8929" t="inlineStr">
        <is>
          <t>Endo/exonuclease/phosphatase domain-containing protein</t>
        </is>
      </c>
    </row>
    <row r="8930">
      <c r="A8930" t="inlineStr"/>
      <c r="B8930" t="inlineStr"/>
      <c r="C8930" t="inlineStr"/>
      <c r="D8930" t="inlineStr"/>
      <c r="E8930">
        <f>HYPERLINK("https://www.uniprot.org/uniprotkb/Q9NUD5/entry", "Q9NUD5")</f>
        <v/>
      </c>
      <c r="F8930" t="n">
        <v>21.4</v>
      </c>
      <c r="G8930" t="n">
        <v>159</v>
      </c>
      <c r="H8930" t="n">
        <v>1.12e-06</v>
      </c>
      <c r="I8930" t="inlineStr">
        <is>
          <t>Swiss-Prot</t>
        </is>
      </c>
      <c r="J8930" t="inlineStr">
        <is>
          <t>ZCCHC3</t>
        </is>
      </c>
      <c r="K8930" t="inlineStr">
        <is>
          <t>ZCHC3_HUMAN</t>
        </is>
      </c>
      <c r="L8930" t="inlineStr">
        <is>
          <t>sp|Q9NUD5|ZCHC3_HUMAN Zinc finger CCHC domain-containing protein 3 OS=Homo sapiens OX=9606 GN=ZCCHC3 PE=1 SV=2</t>
        </is>
      </c>
      <c r="M8930" t="n">
        <v>403</v>
      </c>
      <c r="N8930" t="inlineStr">
        <is>
          <t>Homo sapiens</t>
        </is>
      </c>
      <c r="O8930" t="inlineStr">
        <is>
          <t>Zinc finger CCHC domain-containing protein 3</t>
        </is>
      </c>
    </row>
    <row r="8931">
      <c r="A8931" t="inlineStr"/>
      <c r="B8931" t="inlineStr"/>
      <c r="C8931" t="inlineStr"/>
      <c r="D8931" t="inlineStr"/>
      <c r="E8931">
        <f>HYPERLINK("https://www.uniprot.org/uniprotkb/Q8BPK2/entry", "Q8BPK2")</f>
        <v/>
      </c>
      <c r="F8931" t="n">
        <v>21.7</v>
      </c>
      <c r="G8931" t="n">
        <v>161</v>
      </c>
      <c r="H8931" t="n">
        <v>1.41e-05</v>
      </c>
      <c r="I8931" t="inlineStr">
        <is>
          <t>Swiss-Prot</t>
        </is>
      </c>
      <c r="J8931" t="inlineStr">
        <is>
          <t>Zcchc3</t>
        </is>
      </c>
      <c r="K8931" t="inlineStr">
        <is>
          <t>ZCHC3_MOUSE</t>
        </is>
      </c>
      <c r="L8931" t="inlineStr">
        <is>
          <t>sp|Q8BPK2|ZCHC3_MOUSE Zinc finger CCHC domain-containing protein 3 OS=Mus musculus OX=10090 GN=Zcchc3 PE=2 SV=1</t>
        </is>
      </c>
      <c r="M8931" t="n">
        <v>400</v>
      </c>
      <c r="N8931" t="inlineStr">
        <is>
          <t>Mus musculus</t>
        </is>
      </c>
      <c r="O8931" t="inlineStr">
        <is>
          <t>Zinc finger CCHC domain-containing protein 3</t>
        </is>
      </c>
    </row>
    <row r="8932">
      <c r="A8932" t="inlineStr">
        <is>
          <t>NODE_68611_length_2359_cov_49.156195_g24165_i0</t>
        </is>
      </c>
      <c r="B8932" t="inlineStr">
        <is>
          <t>bombina_pachypus_blastx</t>
        </is>
      </c>
      <c r="C8932" t="n">
        <v>-3.79335028846969</v>
      </c>
      <c r="D8932" t="n">
        <v>0.0013168432717434</v>
      </c>
      <c r="E8932">
        <f>HYPERLINK("https://www.uniprot.org/uniprotkb/A0A8C5LW15/entry", "A0A8C5LW15")</f>
        <v/>
      </c>
      <c r="F8932" t="n">
        <v>84.59999999999999</v>
      </c>
      <c r="G8932" t="n">
        <v>279</v>
      </c>
      <c r="H8932" t="n">
        <v>3.31e-154</v>
      </c>
      <c r="I8932" t="inlineStr">
        <is>
          <t>TrEMBL</t>
        </is>
      </c>
      <c r="J8932" t="inlineStr"/>
      <c r="K8932" t="inlineStr">
        <is>
          <t>A0A8C5LW15_9ANUR</t>
        </is>
      </c>
      <c r="L8932" t="inlineStr">
        <is>
          <t>tr|A0A8C5LW15|A0A8C5LW15_9ANUR Reverse transcriptase domain-containing protein OS=Leptobrachium leishanense OX=445787 PE=4 SV=1</t>
        </is>
      </c>
      <c r="M8932" t="n">
        <v>473</v>
      </c>
      <c r="N8932" t="inlineStr">
        <is>
          <t>Leptobrachium leishanense</t>
        </is>
      </c>
      <c r="O8932" t="inlineStr">
        <is>
          <t>Reverse transcriptase domain-containing protein</t>
        </is>
      </c>
    </row>
    <row r="8933">
      <c r="A8933" t="inlineStr"/>
      <c r="B8933" t="inlineStr"/>
      <c r="C8933" t="inlineStr"/>
      <c r="D8933" t="inlineStr"/>
      <c r="E8933">
        <f>HYPERLINK("https://www.uniprot.org/uniprotkb/A0A8C5PCR2/entry", "A0A8C5PCR2")</f>
        <v/>
      </c>
      <c r="F8933" t="n">
        <v>83.90000000000001</v>
      </c>
      <c r="G8933" t="n">
        <v>279</v>
      </c>
      <c r="H8933" t="n">
        <v>2.11e-153</v>
      </c>
      <c r="I8933" t="inlineStr">
        <is>
          <t>TrEMBL</t>
        </is>
      </c>
      <c r="J8933" t="inlineStr"/>
      <c r="K8933" t="inlineStr">
        <is>
          <t>A0A8C5PCR2_9ANUR</t>
        </is>
      </c>
      <c r="L8933" t="inlineStr">
        <is>
          <t>tr|A0A8C5PCR2|A0A8C5PCR2_9ANUR Reverse transcriptase domain-containing protein OS=Leptobrachium leishanense OX=445787 PE=4 SV=1</t>
        </is>
      </c>
      <c r="M8933" t="n">
        <v>445</v>
      </c>
      <c r="N8933" t="inlineStr">
        <is>
          <t>Leptobrachium leishanense</t>
        </is>
      </c>
      <c r="O8933" t="inlineStr">
        <is>
          <t>Reverse transcriptase domain-containing protein</t>
        </is>
      </c>
    </row>
    <row r="8934">
      <c r="A8934" t="inlineStr"/>
      <c r="B8934" t="inlineStr"/>
      <c r="C8934" t="inlineStr"/>
      <c r="D8934" t="inlineStr"/>
      <c r="E8934">
        <f>HYPERLINK("https://www.uniprot.org/uniprotkb/A0A8C5QY95/entry", "A0A8C5QY95")</f>
        <v/>
      </c>
      <c r="F8934" t="n">
        <v>83.5</v>
      </c>
      <c r="G8934" t="n">
        <v>279</v>
      </c>
      <c r="H8934" t="n">
        <v>2.51e-153</v>
      </c>
      <c r="I8934" t="inlineStr">
        <is>
          <t>TrEMBL</t>
        </is>
      </c>
      <c r="J8934" t="inlineStr"/>
      <c r="K8934" t="inlineStr">
        <is>
          <t>A0A8C5QY95_9ANUR</t>
        </is>
      </c>
      <c r="L8934" t="inlineStr">
        <is>
          <t>tr|A0A8C5QY95|A0A8C5QY95_9ANUR Reverse transcriptase domain-containing protein OS=Leptobrachium leishanense OX=445787 PE=4 SV=1</t>
        </is>
      </c>
      <c r="M8934" t="n">
        <v>329</v>
      </c>
      <c r="N8934" t="inlineStr">
        <is>
          <t>Leptobrachium leishanense</t>
        </is>
      </c>
      <c r="O8934" t="inlineStr">
        <is>
          <t>Reverse transcriptase domain-containing protein</t>
        </is>
      </c>
    </row>
    <row r="8935">
      <c r="A8935" t="inlineStr"/>
      <c r="B8935" t="inlineStr"/>
      <c r="C8935" t="inlineStr"/>
      <c r="D8935" t="inlineStr"/>
      <c r="E8935">
        <f>HYPERLINK("https://www.uniprot.org/uniprotkb/A0A8C5LN74/entry", "A0A8C5LN74")</f>
        <v/>
      </c>
      <c r="F8935" t="n">
        <v>83.5</v>
      </c>
      <c r="G8935" t="n">
        <v>279</v>
      </c>
      <c r="H8935" t="n">
        <v>3.46e-153</v>
      </c>
      <c r="I8935" t="inlineStr">
        <is>
          <t>TrEMBL</t>
        </is>
      </c>
      <c r="J8935" t="inlineStr"/>
      <c r="K8935" t="inlineStr">
        <is>
          <t>A0A8C5LN74_9ANUR</t>
        </is>
      </c>
      <c r="L8935" t="inlineStr">
        <is>
          <t>tr|A0A8C5LN74|A0A8C5LN74_9ANUR Reverse transcriptase domain-containing protein OS=Leptobrachium leishanense OX=445787 PE=4 SV=1</t>
        </is>
      </c>
      <c r="M8935" t="n">
        <v>358</v>
      </c>
      <c r="N8935" t="inlineStr">
        <is>
          <t>Leptobrachium leishanense</t>
        </is>
      </c>
      <c r="O8935" t="inlineStr">
        <is>
          <t>Reverse transcriptase domain-containing protein</t>
        </is>
      </c>
    </row>
    <row r="8936">
      <c r="A8936" t="inlineStr"/>
      <c r="B8936" t="inlineStr"/>
      <c r="C8936" t="inlineStr"/>
      <c r="D8936" t="inlineStr"/>
      <c r="E8936">
        <f>HYPERLINK("https://www.uniprot.org/uniprotkb/A0A8C5QLE3/entry", "A0A8C5QLE3")</f>
        <v/>
      </c>
      <c r="F8936" t="n">
        <v>83.5</v>
      </c>
      <c r="G8936" t="n">
        <v>279</v>
      </c>
      <c r="H8936" t="n">
        <v>4.12e-153</v>
      </c>
      <c r="I8936" t="inlineStr">
        <is>
          <t>TrEMBL</t>
        </is>
      </c>
      <c r="J8936" t="inlineStr"/>
      <c r="K8936" t="inlineStr">
        <is>
          <t>A0A8C5QLE3_9ANUR</t>
        </is>
      </c>
      <c r="L8936" t="inlineStr">
        <is>
          <t>tr|A0A8C5QLE3|A0A8C5QLE3_9ANUR Reverse transcriptase domain-containing protein OS=Leptobrachium leishanense OX=445787 PE=4 SV=1</t>
        </is>
      </c>
      <c r="M8936" t="n">
        <v>373</v>
      </c>
      <c r="N8936" t="inlineStr">
        <is>
          <t>Leptobrachium leishanense</t>
        </is>
      </c>
      <c r="O8936" t="inlineStr">
        <is>
          <t>Reverse transcriptase domain-containing protein</t>
        </is>
      </c>
    </row>
    <row r="8937">
      <c r="A8937" t="inlineStr"/>
      <c r="B8937" t="inlineStr"/>
      <c r="C8937" t="inlineStr"/>
      <c r="D8937" t="inlineStr"/>
      <c r="E8937">
        <f>HYPERLINK("https://www.uniprot.org/uniprotkb/A0A8C5QC25/entry", "A0A8C5QC25")</f>
        <v/>
      </c>
      <c r="F8937" t="n">
        <v>83.2</v>
      </c>
      <c r="G8937" t="n">
        <v>279</v>
      </c>
      <c r="H8937" t="n">
        <v>6.11e-152</v>
      </c>
      <c r="I8937" t="inlineStr">
        <is>
          <t>TrEMBL</t>
        </is>
      </c>
      <c r="J8937" t="inlineStr"/>
      <c r="K8937" t="inlineStr">
        <is>
          <t>A0A8C5QC25_9ANUR</t>
        </is>
      </c>
      <c r="L8937" t="inlineStr">
        <is>
          <t>tr|A0A8C5QC25|A0A8C5QC25_9ANUR Reverse transcriptase domain-containing protein OS=Leptobrachium leishanense OX=445787 PE=4 SV=1</t>
        </is>
      </c>
      <c r="M8937" t="n">
        <v>370</v>
      </c>
      <c r="N8937" t="inlineStr">
        <is>
          <t>Leptobrachium leishanense</t>
        </is>
      </c>
      <c r="O8937" t="inlineStr">
        <is>
          <t>Reverse transcriptase domain-containing protein</t>
        </is>
      </c>
    </row>
    <row r="8938">
      <c r="A8938" t="inlineStr"/>
      <c r="B8938" t="inlineStr"/>
      <c r="C8938" t="inlineStr"/>
      <c r="D8938" t="inlineStr"/>
      <c r="E8938">
        <f>HYPERLINK("https://www.uniprot.org/uniprotkb/A0A8C5PDJ0/entry", "A0A8C5PDJ0")</f>
        <v/>
      </c>
      <c r="F8938" t="n">
        <v>83.5</v>
      </c>
      <c r="G8938" t="n">
        <v>279</v>
      </c>
      <c r="H8938" t="n">
        <v>1.55e-151</v>
      </c>
      <c r="I8938" t="inlineStr">
        <is>
          <t>TrEMBL</t>
        </is>
      </c>
      <c r="J8938" t="inlineStr"/>
      <c r="K8938" t="inlineStr">
        <is>
          <t>A0A8C5PDJ0_9ANUR</t>
        </is>
      </c>
      <c r="L8938" t="inlineStr">
        <is>
          <t>tr|A0A8C5PDJ0|A0A8C5PDJ0_9ANUR Reverse transcriptase domain-containing protein OS=Leptobrachium leishanense OX=445787 PE=4 SV=1</t>
        </is>
      </c>
      <c r="M8938" t="n">
        <v>448</v>
      </c>
      <c r="N8938" t="inlineStr">
        <is>
          <t>Leptobrachium leishanense</t>
        </is>
      </c>
      <c r="O8938" t="inlineStr">
        <is>
          <t>Reverse transcriptase domain-containing protein</t>
        </is>
      </c>
    </row>
    <row r="8939">
      <c r="A8939" t="inlineStr"/>
      <c r="B8939" t="inlineStr"/>
      <c r="C8939" t="inlineStr"/>
      <c r="D8939" t="inlineStr"/>
      <c r="E8939">
        <f>HYPERLINK("https://www.uniprot.org/uniprotkb/A0A8C5PMS5/entry", "A0A8C5PMS5")</f>
        <v/>
      </c>
      <c r="F8939" t="n">
        <v>83.5</v>
      </c>
      <c r="G8939" t="n">
        <v>279</v>
      </c>
      <c r="H8939" t="n">
        <v>1.9e-151</v>
      </c>
      <c r="I8939" t="inlineStr">
        <is>
          <t>TrEMBL</t>
        </is>
      </c>
      <c r="J8939" t="inlineStr"/>
      <c r="K8939" t="inlineStr">
        <is>
          <t>A0A8C5PMS5_9ANUR</t>
        </is>
      </c>
      <c r="L8939" t="inlineStr">
        <is>
          <t>tr|A0A8C5PMS5|A0A8C5PMS5_9ANUR Reverse transcriptase domain-containing protein OS=Leptobrachium leishanense OX=445787 PE=4 SV=1</t>
        </is>
      </c>
      <c r="M8939" t="n">
        <v>454</v>
      </c>
      <c r="N8939" t="inlineStr">
        <is>
          <t>Leptobrachium leishanense</t>
        </is>
      </c>
      <c r="O8939" t="inlineStr">
        <is>
          <t>Reverse transcriptase domain-containing protein</t>
        </is>
      </c>
    </row>
    <row r="8940">
      <c r="A8940" t="inlineStr"/>
      <c r="B8940" t="inlineStr"/>
      <c r="C8940" t="inlineStr"/>
      <c r="D8940" t="inlineStr"/>
      <c r="E8940">
        <f>HYPERLINK("https://www.uniprot.org/uniprotkb/A0A8C5R8U7/entry", "A0A8C5R8U7")</f>
        <v/>
      </c>
      <c r="F8940" t="n">
        <v>83.5</v>
      </c>
      <c r="G8940" t="n">
        <v>278</v>
      </c>
      <c r="H8940" t="n">
        <v>2.04e-151</v>
      </c>
      <c r="I8940" t="inlineStr">
        <is>
          <t>TrEMBL</t>
        </is>
      </c>
      <c r="J8940" t="inlineStr"/>
      <c r="K8940" t="inlineStr">
        <is>
          <t>A0A8C5R8U7_9ANUR</t>
        </is>
      </c>
      <c r="L8940" t="inlineStr">
        <is>
          <t>tr|A0A8C5R8U7|A0A8C5R8U7_9ANUR Reverse transcriptase domain-containing protein OS=Leptobrachium leishanense OX=445787 PE=4 SV=1</t>
        </is>
      </c>
      <c r="M8940" t="n">
        <v>415</v>
      </c>
      <c r="N8940" t="inlineStr">
        <is>
          <t>Leptobrachium leishanense</t>
        </is>
      </c>
      <c r="O8940" t="inlineStr">
        <is>
          <t>Reverse transcriptase domain-containing protein</t>
        </is>
      </c>
    </row>
    <row r="8941">
      <c r="A8941" t="inlineStr"/>
      <c r="B8941" t="inlineStr"/>
      <c r="C8941" t="inlineStr"/>
      <c r="D8941" t="inlineStr"/>
      <c r="E8941">
        <f>HYPERLINK("https://www.uniprot.org/uniprotkb/A0A8C5WKD1/entry", "A0A8C5WKD1")</f>
        <v/>
      </c>
      <c r="F8941" t="n">
        <v>83.90000000000001</v>
      </c>
      <c r="G8941" t="n">
        <v>279</v>
      </c>
      <c r="H8941" t="n">
        <v>2.42e-151</v>
      </c>
      <c r="I8941" t="inlineStr">
        <is>
          <t>TrEMBL</t>
        </is>
      </c>
      <c r="J8941" t="inlineStr"/>
      <c r="K8941" t="inlineStr">
        <is>
          <t>A0A8C5WKD1_9ANUR</t>
        </is>
      </c>
      <c r="L8941" t="inlineStr">
        <is>
          <t>tr|A0A8C5WKD1|A0A8C5WKD1_9ANUR Reverse transcriptase domain-containing protein OS=Leptobrachium leishanense OX=445787 PE=4 SV=1</t>
        </is>
      </c>
      <c r="M8941" t="n">
        <v>514</v>
      </c>
      <c r="N8941" t="inlineStr">
        <is>
          <t>Leptobrachium leishanense</t>
        </is>
      </c>
      <c r="O8941" t="inlineStr">
        <is>
          <t>Reverse transcriptase domain-containing protein</t>
        </is>
      </c>
    </row>
    <row r="8942">
      <c r="A8942" t="inlineStr"/>
      <c r="B8942" t="inlineStr"/>
      <c r="C8942" t="inlineStr"/>
      <c r="D8942" t="inlineStr"/>
      <c r="E8942">
        <f>HYPERLINK("https://www.uniprot.org/uniprotkb/A0A8C5LR47/entry", "A0A8C5LR47")</f>
        <v/>
      </c>
      <c r="F8942" t="n">
        <v>82.8</v>
      </c>
      <c r="G8942" t="n">
        <v>279</v>
      </c>
      <c r="H8942" t="n">
        <v>3.77e-151</v>
      </c>
      <c r="I8942" t="inlineStr">
        <is>
          <t>TrEMBL</t>
        </is>
      </c>
      <c r="J8942" t="inlineStr"/>
      <c r="K8942" t="inlineStr">
        <is>
          <t>A0A8C5LR47_9ANUR</t>
        </is>
      </c>
      <c r="L8942" t="inlineStr">
        <is>
          <t>tr|A0A8C5LR47|A0A8C5LR47_9ANUR Reverse transcriptase domain-containing protein OS=Leptobrachium leishanense OX=445787 PE=4 SV=1</t>
        </is>
      </c>
      <c r="M8942" t="n">
        <v>342</v>
      </c>
      <c r="N8942" t="inlineStr">
        <is>
          <t>Leptobrachium leishanense</t>
        </is>
      </c>
      <c r="O8942" t="inlineStr">
        <is>
          <t>Reverse transcriptase domain-containing protein</t>
        </is>
      </c>
    </row>
    <row r="8943">
      <c r="A8943" t="inlineStr"/>
      <c r="B8943" t="inlineStr"/>
      <c r="C8943" t="inlineStr"/>
      <c r="D8943" t="inlineStr"/>
      <c r="E8943">
        <f>HYPERLINK("https://www.uniprot.org/uniprotkb/A0A8C5Q4U2/entry", "A0A8C5Q4U2")</f>
        <v/>
      </c>
      <c r="F8943" t="n">
        <v>83.90000000000001</v>
      </c>
      <c r="G8943" t="n">
        <v>279</v>
      </c>
      <c r="H8943" t="n">
        <v>4.3e-151</v>
      </c>
      <c r="I8943" t="inlineStr">
        <is>
          <t>TrEMBL</t>
        </is>
      </c>
      <c r="J8943" t="inlineStr"/>
      <c r="K8943" t="inlineStr">
        <is>
          <t>A0A8C5Q4U2_9ANUR</t>
        </is>
      </c>
      <c r="L8943" t="inlineStr">
        <is>
          <t>tr|A0A8C5Q4U2|A0A8C5Q4U2_9ANUR Reverse transcriptase domain-containing protein OS=Leptobrachium leishanense OX=445787 PE=4 SV=1</t>
        </is>
      </c>
      <c r="M8943" t="n">
        <v>489</v>
      </c>
      <c r="N8943" t="inlineStr">
        <is>
          <t>Leptobrachium leishanense</t>
        </is>
      </c>
      <c r="O8943" t="inlineStr">
        <is>
          <t>Reverse transcriptase domain-containing protein</t>
        </is>
      </c>
    </row>
    <row r="8944">
      <c r="A8944" t="inlineStr"/>
      <c r="B8944" t="inlineStr"/>
      <c r="C8944" t="inlineStr"/>
      <c r="D8944" t="inlineStr"/>
      <c r="E8944">
        <f>HYPERLINK("https://www.uniprot.org/uniprotkb/A0A8C5R4H1/entry", "A0A8C5R4H1")</f>
        <v/>
      </c>
      <c r="F8944" t="n">
        <v>83.5</v>
      </c>
      <c r="G8944" t="n">
        <v>279</v>
      </c>
      <c r="H8944" t="n">
        <v>4.92e-151</v>
      </c>
      <c r="I8944" t="inlineStr">
        <is>
          <t>TrEMBL</t>
        </is>
      </c>
      <c r="J8944" t="inlineStr"/>
      <c r="K8944" t="inlineStr">
        <is>
          <t>A0A8C5R4H1_9ANUR</t>
        </is>
      </c>
      <c r="L8944" t="inlineStr">
        <is>
          <t>tr|A0A8C5R4H1|A0A8C5R4H1_9ANUR Reverse transcriptase domain-containing protein OS=Leptobrachium leishanense OX=445787 PE=4 SV=1</t>
        </is>
      </c>
      <c r="M8944" t="n">
        <v>472</v>
      </c>
      <c r="N8944" t="inlineStr">
        <is>
          <t>Leptobrachium leishanense</t>
        </is>
      </c>
      <c r="O8944" t="inlineStr">
        <is>
          <t>Reverse transcriptase domain-containing protein</t>
        </is>
      </c>
    </row>
    <row r="8945">
      <c r="A8945" t="inlineStr"/>
      <c r="B8945" t="inlineStr"/>
      <c r="C8945" t="inlineStr"/>
      <c r="D8945" t="inlineStr"/>
      <c r="E8945">
        <f>HYPERLINK("https://www.uniprot.org/uniprotkb/A0A8C5WL39/entry", "A0A8C5WL39")</f>
        <v/>
      </c>
      <c r="F8945" t="n">
        <v>83.2</v>
      </c>
      <c r="G8945" t="n">
        <v>273</v>
      </c>
      <c r="H8945" t="n">
        <v>5.35e-151</v>
      </c>
      <c r="I8945" t="inlineStr">
        <is>
          <t>TrEMBL</t>
        </is>
      </c>
      <c r="J8945" t="inlineStr"/>
      <c r="K8945" t="inlineStr">
        <is>
          <t>A0A8C5WL39_9ANUR</t>
        </is>
      </c>
      <c r="L8945" t="inlineStr">
        <is>
          <t>tr|A0A8C5WL39|A0A8C5WL39_9ANUR Reverse transcriptase domain-containing protein OS=Leptobrachium leishanense OX=445787 PE=4 SV=1</t>
        </is>
      </c>
      <c r="M8945" t="n">
        <v>273</v>
      </c>
      <c r="N8945" t="inlineStr">
        <is>
          <t>Leptobrachium leishanense</t>
        </is>
      </c>
      <c r="O8945" t="inlineStr">
        <is>
          <t>Reverse transcriptase domain-containing protein</t>
        </is>
      </c>
    </row>
    <row r="8946">
      <c r="A8946" t="inlineStr"/>
      <c r="B8946" t="inlineStr"/>
      <c r="C8946" t="inlineStr"/>
      <c r="D8946" t="inlineStr"/>
      <c r="E8946">
        <f>HYPERLINK("https://www.uniprot.org/uniprotkb/A0A8C5MCN9/entry", "A0A8C5MCN9")</f>
        <v/>
      </c>
      <c r="F8946" t="n">
        <v>83.2</v>
      </c>
      <c r="G8946" t="n">
        <v>279</v>
      </c>
      <c r="H8946" t="n">
        <v>1.04e-150</v>
      </c>
      <c r="I8946" t="inlineStr">
        <is>
          <t>TrEMBL</t>
        </is>
      </c>
      <c r="J8946" t="inlineStr"/>
      <c r="K8946" t="inlineStr">
        <is>
          <t>A0A8C5MCN9_9ANUR</t>
        </is>
      </c>
      <c r="L8946" t="inlineStr">
        <is>
          <t>tr|A0A8C5MCN9|A0A8C5MCN9_9ANUR Reverse transcriptase domain-containing protein OS=Leptobrachium leishanense OX=445787 PE=4 SV=1</t>
        </is>
      </c>
      <c r="M8946" t="n">
        <v>463</v>
      </c>
      <c r="N8946" t="inlineStr">
        <is>
          <t>Leptobrachium leishanense</t>
        </is>
      </c>
      <c r="O8946" t="inlineStr">
        <is>
          <t>Reverse transcriptase domain-containing protein</t>
        </is>
      </c>
    </row>
    <row r="8947">
      <c r="A8947" t="inlineStr"/>
      <c r="B8947" t="inlineStr"/>
      <c r="C8947" t="inlineStr"/>
      <c r="D8947" t="inlineStr"/>
      <c r="E8947">
        <f>HYPERLINK("https://www.uniprot.org/uniprotkb/A0A8C5WIX2/entry", "A0A8C5WIX2")</f>
        <v/>
      </c>
      <c r="F8947" t="n">
        <v>83.2</v>
      </c>
      <c r="G8947" t="n">
        <v>279</v>
      </c>
      <c r="H8947" t="n">
        <v>1.05e-150</v>
      </c>
      <c r="I8947" t="inlineStr">
        <is>
          <t>TrEMBL</t>
        </is>
      </c>
      <c r="J8947" t="inlineStr"/>
      <c r="K8947" t="inlineStr">
        <is>
          <t>A0A8C5WIX2_9ANUR</t>
        </is>
      </c>
      <c r="L8947" t="inlineStr">
        <is>
          <t>tr|A0A8C5WIX2|A0A8C5WIX2_9ANUR Reverse transcriptase domain-containing protein OS=Leptobrachium leishanense OX=445787 PE=4 SV=1</t>
        </is>
      </c>
      <c r="M8947" t="n">
        <v>453</v>
      </c>
      <c r="N8947" t="inlineStr">
        <is>
          <t>Leptobrachium leishanense</t>
        </is>
      </c>
      <c r="O8947" t="inlineStr">
        <is>
          <t>Reverse transcriptase domain-containing protein</t>
        </is>
      </c>
    </row>
    <row r="8948">
      <c r="A8948" t="inlineStr"/>
      <c r="B8948" t="inlineStr"/>
      <c r="C8948" t="inlineStr"/>
      <c r="D8948" t="inlineStr"/>
      <c r="E8948">
        <f>HYPERLINK("https://www.uniprot.org/uniprotkb/A0A8C5PS22/entry", "A0A8C5PS22")</f>
        <v/>
      </c>
      <c r="F8948" t="n">
        <v>83.5</v>
      </c>
      <c r="G8948" t="n">
        <v>279</v>
      </c>
      <c r="H8948" t="n">
        <v>1.26e-150</v>
      </c>
      <c r="I8948" t="inlineStr">
        <is>
          <t>TrEMBL</t>
        </is>
      </c>
      <c r="J8948" t="inlineStr"/>
      <c r="K8948" t="inlineStr">
        <is>
          <t>A0A8C5PS22_9ANUR</t>
        </is>
      </c>
      <c r="L8948" t="inlineStr">
        <is>
          <t>tr|A0A8C5PS22|A0A8C5PS22_9ANUR Reverse transcriptase domain-containing protein OS=Leptobrachium leishanense OX=445787 PE=4 SV=1</t>
        </is>
      </c>
      <c r="M8948" t="n">
        <v>511</v>
      </c>
      <c r="N8948" t="inlineStr">
        <is>
          <t>Leptobrachium leishanense</t>
        </is>
      </c>
      <c r="O8948" t="inlineStr">
        <is>
          <t>Reverse transcriptase domain-containing protein</t>
        </is>
      </c>
    </row>
    <row r="8949">
      <c r="A8949" t="inlineStr"/>
      <c r="B8949" t="inlineStr"/>
      <c r="C8949" t="inlineStr"/>
      <c r="D8949" t="inlineStr"/>
      <c r="E8949">
        <f>HYPERLINK("https://www.uniprot.org/uniprotkb/A0A8C5MES6/entry", "A0A8C5MES6")</f>
        <v/>
      </c>
      <c r="F8949" t="n">
        <v>83.90000000000001</v>
      </c>
      <c r="G8949" t="n">
        <v>279</v>
      </c>
      <c r="H8949" t="n">
        <v>1.65e-150</v>
      </c>
      <c r="I8949" t="inlineStr">
        <is>
          <t>TrEMBL</t>
        </is>
      </c>
      <c r="J8949" t="inlineStr"/>
      <c r="K8949" t="inlineStr">
        <is>
          <t>A0A8C5MES6_9ANUR</t>
        </is>
      </c>
      <c r="L8949" t="inlineStr">
        <is>
          <t>tr|A0A8C5MES6|A0A8C5MES6_9ANUR Reverse transcriptase domain-containing protein OS=Leptobrachium leishanense OX=445787 PE=4 SV=1</t>
        </is>
      </c>
      <c r="M8949" t="n">
        <v>530</v>
      </c>
      <c r="N8949" t="inlineStr">
        <is>
          <t>Leptobrachium leishanense</t>
        </is>
      </c>
      <c r="O8949" t="inlineStr">
        <is>
          <t>Reverse transcriptase domain-containing protein</t>
        </is>
      </c>
    </row>
    <row r="8950">
      <c r="A8950" t="inlineStr"/>
      <c r="B8950" t="inlineStr"/>
      <c r="C8950" t="inlineStr"/>
      <c r="D8950" t="inlineStr"/>
      <c r="E8950">
        <f>HYPERLINK("https://www.uniprot.org/uniprotkb/A0A8C5WG24/entry", "A0A8C5WG24")</f>
        <v/>
      </c>
      <c r="F8950" t="n">
        <v>83.90000000000001</v>
      </c>
      <c r="G8950" t="n">
        <v>279</v>
      </c>
      <c r="H8950" t="n">
        <v>1.76e-150</v>
      </c>
      <c r="I8950" t="inlineStr">
        <is>
          <t>TrEMBL</t>
        </is>
      </c>
      <c r="J8950" t="inlineStr"/>
      <c r="K8950" t="inlineStr">
        <is>
          <t>A0A8C5WG24_9ANUR</t>
        </is>
      </c>
      <c r="L8950" t="inlineStr">
        <is>
          <t>tr|A0A8C5WG24|A0A8C5WG24_9ANUR Reverse transcriptase domain-containing protein OS=Leptobrachium leishanense OX=445787 PE=4 SV=1</t>
        </is>
      </c>
      <c r="M8950" t="n">
        <v>532</v>
      </c>
      <c r="N8950" t="inlineStr">
        <is>
          <t>Leptobrachium leishanense</t>
        </is>
      </c>
      <c r="O8950" t="inlineStr">
        <is>
          <t>Reverse transcriptase domain-containing protein</t>
        </is>
      </c>
    </row>
    <row r="8951">
      <c r="A8951" t="inlineStr"/>
      <c r="B8951" t="inlineStr"/>
      <c r="C8951" t="inlineStr"/>
      <c r="D8951" t="inlineStr"/>
      <c r="E8951">
        <f>HYPERLINK("https://www.uniprot.org/uniprotkb/A0A8C5QX39/entry", "A0A8C5QX39")</f>
        <v/>
      </c>
      <c r="F8951" t="n">
        <v>83.5</v>
      </c>
      <c r="G8951" t="n">
        <v>279</v>
      </c>
      <c r="H8951" t="n">
        <v>2.29e-150</v>
      </c>
      <c r="I8951" t="inlineStr">
        <is>
          <t>TrEMBL</t>
        </is>
      </c>
      <c r="J8951" t="inlineStr"/>
      <c r="K8951" t="inlineStr">
        <is>
          <t>A0A8C5QX39_9ANUR</t>
        </is>
      </c>
      <c r="L8951" t="inlineStr">
        <is>
          <t>tr|A0A8C5QX39|A0A8C5QX39_9ANUR Reverse transcriptase domain-containing protein OS=Leptobrachium leishanense OX=445787 PE=4 SV=1</t>
        </is>
      </c>
      <c r="M8951" t="n">
        <v>551</v>
      </c>
      <c r="N8951" t="inlineStr">
        <is>
          <t>Leptobrachium leishanense</t>
        </is>
      </c>
      <c r="O8951" t="inlineStr">
        <is>
          <t>Reverse transcriptase domain-containing protein</t>
        </is>
      </c>
    </row>
    <row r="8952">
      <c r="A8952" t="inlineStr"/>
      <c r="B8952" t="inlineStr"/>
      <c r="C8952" t="inlineStr"/>
      <c r="D8952" t="inlineStr"/>
      <c r="E8952">
        <f>HYPERLINK("https://www.uniprot.org/uniprotkb/A0A8C5Q4Q0/entry", "A0A8C5Q4Q0")</f>
        <v/>
      </c>
      <c r="F8952" t="n">
        <v>82.8</v>
      </c>
      <c r="G8952" t="n">
        <v>279</v>
      </c>
      <c r="H8952" t="n">
        <v>2.65e-150</v>
      </c>
      <c r="I8952" t="inlineStr">
        <is>
          <t>TrEMBL</t>
        </is>
      </c>
      <c r="J8952" t="inlineStr"/>
      <c r="K8952" t="inlineStr">
        <is>
          <t>A0A8C5Q4Q0_9ANUR</t>
        </is>
      </c>
      <c r="L8952" t="inlineStr">
        <is>
          <t>tr|A0A8C5Q4Q0|A0A8C5Q4Q0_9ANUR Reverse transcriptase domain-containing protein OS=Leptobrachium leishanense OX=445787 PE=4 SV=1</t>
        </is>
      </c>
      <c r="M8952" t="n">
        <v>398</v>
      </c>
      <c r="N8952" t="inlineStr">
        <is>
          <t>Leptobrachium leishanense</t>
        </is>
      </c>
      <c r="O8952" t="inlineStr">
        <is>
          <t>Reverse transcriptase domain-containing protein</t>
        </is>
      </c>
    </row>
    <row r="8953">
      <c r="A8953" t="inlineStr"/>
      <c r="B8953" t="inlineStr"/>
      <c r="C8953" t="inlineStr"/>
      <c r="D8953" t="inlineStr"/>
      <c r="E8953">
        <f>HYPERLINK("https://www.uniprot.org/uniprotkb/A0A8C5N4G9/entry", "A0A8C5N4G9")</f>
        <v/>
      </c>
      <c r="F8953" t="n">
        <v>83.2</v>
      </c>
      <c r="G8953" t="n">
        <v>279</v>
      </c>
      <c r="H8953" t="n">
        <v>2.81e-150</v>
      </c>
      <c r="I8953" t="inlineStr">
        <is>
          <t>TrEMBL</t>
        </is>
      </c>
      <c r="J8953" t="inlineStr"/>
      <c r="K8953" t="inlineStr">
        <is>
          <t>A0A8C5N4G9_9ANUR</t>
        </is>
      </c>
      <c r="L8953" t="inlineStr">
        <is>
          <t>tr|A0A8C5N4G9|A0A8C5N4G9_9ANUR Reverse transcriptase domain-containing protein OS=Leptobrachium leishanense OX=445787 PE=4 SV=1</t>
        </is>
      </c>
      <c r="M8953" t="n">
        <v>451</v>
      </c>
      <c r="N8953" t="inlineStr">
        <is>
          <t>Leptobrachium leishanense</t>
        </is>
      </c>
      <c r="O8953" t="inlineStr">
        <is>
          <t>Reverse transcriptase domain-containing protein</t>
        </is>
      </c>
    </row>
    <row r="8954">
      <c r="A8954" t="inlineStr"/>
      <c r="B8954" t="inlineStr"/>
      <c r="C8954" t="inlineStr"/>
      <c r="D8954" t="inlineStr"/>
      <c r="E8954">
        <f>HYPERLINK("https://www.uniprot.org/uniprotkb/A0A8C5M3F5/entry", "A0A8C5M3F5")</f>
        <v/>
      </c>
      <c r="F8954" t="n">
        <v>83.5</v>
      </c>
      <c r="G8954" t="n">
        <v>279</v>
      </c>
      <c r="H8954" t="n">
        <v>2.98e-150</v>
      </c>
      <c r="I8954" t="inlineStr">
        <is>
          <t>TrEMBL</t>
        </is>
      </c>
      <c r="J8954" t="inlineStr"/>
      <c r="K8954" t="inlineStr">
        <is>
          <t>A0A8C5M3F5_9ANUR</t>
        </is>
      </c>
      <c r="L8954" t="inlineStr">
        <is>
          <t>tr|A0A8C5M3F5|A0A8C5M3F5_9ANUR Reverse transcriptase domain-containing protein OS=Leptobrachium leishanense OX=445787 PE=4 SV=1</t>
        </is>
      </c>
      <c r="M8954" t="n">
        <v>516</v>
      </c>
      <c r="N8954" t="inlineStr">
        <is>
          <t>Leptobrachium leishanense</t>
        </is>
      </c>
      <c r="O8954" t="inlineStr">
        <is>
          <t>Reverse transcriptase domain-containing protein</t>
        </is>
      </c>
    </row>
    <row r="8955">
      <c r="A8955" t="inlineStr"/>
      <c r="B8955" t="inlineStr"/>
      <c r="C8955" t="inlineStr"/>
      <c r="D8955" t="inlineStr"/>
      <c r="E8955">
        <f>HYPERLINK("https://www.uniprot.org/uniprotkb/A0A8C5WH79/entry", "A0A8C5WH79")</f>
        <v/>
      </c>
      <c r="F8955" t="n">
        <v>82.8</v>
      </c>
      <c r="G8955" t="n">
        <v>279</v>
      </c>
      <c r="H8955" t="n">
        <v>3.18e-150</v>
      </c>
      <c r="I8955" t="inlineStr">
        <is>
          <t>TrEMBL</t>
        </is>
      </c>
      <c r="J8955" t="inlineStr"/>
      <c r="K8955" t="inlineStr">
        <is>
          <t>A0A8C5WH79_9ANUR</t>
        </is>
      </c>
      <c r="L8955" t="inlineStr">
        <is>
          <t>tr|A0A8C5WH79|A0A8C5WH79_9ANUR Reverse transcriptase domain-containing protein OS=Leptobrachium leishanense OX=445787 PE=4 SV=1</t>
        </is>
      </c>
      <c r="M8955" t="n">
        <v>383</v>
      </c>
      <c r="N8955" t="inlineStr">
        <is>
          <t>Leptobrachium leishanense</t>
        </is>
      </c>
      <c r="O8955" t="inlineStr">
        <is>
          <t>Reverse transcriptase domain-containing protein</t>
        </is>
      </c>
    </row>
    <row r="8956">
      <c r="A8956" t="inlineStr"/>
      <c r="B8956" t="inlineStr"/>
      <c r="C8956" t="inlineStr"/>
      <c r="D8956" t="inlineStr"/>
      <c r="E8956">
        <f>HYPERLINK("https://www.uniprot.org/uniprotkb/A0A8C5PEZ9/entry", "A0A8C5PEZ9")</f>
        <v/>
      </c>
      <c r="F8956" t="n">
        <v>83.2</v>
      </c>
      <c r="G8956" t="n">
        <v>279</v>
      </c>
      <c r="H8956" t="n">
        <v>3.32e-150</v>
      </c>
      <c r="I8956" t="inlineStr">
        <is>
          <t>TrEMBL</t>
        </is>
      </c>
      <c r="J8956" t="inlineStr"/>
      <c r="K8956" t="inlineStr">
        <is>
          <t>A0A8C5PEZ9_9ANUR</t>
        </is>
      </c>
      <c r="L8956" t="inlineStr">
        <is>
          <t>tr|A0A8C5PEZ9|A0A8C5PEZ9_9ANUR Reverse transcriptase domain-containing protein OS=Leptobrachium leishanense OX=445787 PE=4 SV=1</t>
        </is>
      </c>
      <c r="M8956" t="n">
        <v>456</v>
      </c>
      <c r="N8956" t="inlineStr">
        <is>
          <t>Leptobrachium leishanense</t>
        </is>
      </c>
      <c r="O8956" t="inlineStr">
        <is>
          <t>Reverse transcriptase domain-containing protein</t>
        </is>
      </c>
    </row>
    <row r="8957">
      <c r="A8957" t="inlineStr"/>
      <c r="B8957" t="inlineStr"/>
      <c r="C8957" t="inlineStr"/>
      <c r="D8957" t="inlineStr"/>
      <c r="E8957">
        <f>HYPERLINK("https://www.ncbi.nlm.nih.gov/gene/?term=KAI2668677.1", "KAI2668677.1")</f>
        <v/>
      </c>
      <c r="F8957" t="n">
        <v>56.9</v>
      </c>
      <c r="G8957" t="n">
        <v>281</v>
      </c>
      <c r="H8957" t="n">
        <v>1.04e-91</v>
      </c>
      <c r="I8957" t="inlineStr">
        <is>
          <t>Nr</t>
        </is>
      </c>
      <c r="J8957" t="inlineStr"/>
      <c r="K8957" t="inlineStr"/>
      <c r="L8957" t="inlineStr">
        <is>
          <t>KAI2668677.1 hypothetical protein H4Q32_005447 [Labeo rohita]</t>
        </is>
      </c>
      <c r="M8957" t="n">
        <v>542</v>
      </c>
      <c r="N8957" t="inlineStr">
        <is>
          <t>Labeo rohita</t>
        </is>
      </c>
      <c r="O8957" t="inlineStr">
        <is>
          <t>hypothetical protein H4Q32_005447</t>
        </is>
      </c>
    </row>
    <row r="8958">
      <c r="A8958" t="inlineStr"/>
      <c r="B8958" t="inlineStr"/>
      <c r="C8958" t="inlineStr"/>
      <c r="D8958" t="inlineStr"/>
      <c r="E8958">
        <f>HYPERLINK("https://www.ncbi.nlm.nih.gov/gene/?term=KAI2647789.1", "KAI2647789.1")</f>
        <v/>
      </c>
      <c r="F8958" t="n">
        <v>57.3</v>
      </c>
      <c r="G8958" t="n">
        <v>281</v>
      </c>
      <c r="H8958" t="n">
        <v>2.26e-91</v>
      </c>
      <c r="I8958" t="inlineStr">
        <is>
          <t>Nr</t>
        </is>
      </c>
      <c r="J8958" t="inlineStr"/>
      <c r="K8958" t="inlineStr"/>
      <c r="L8958" t="inlineStr">
        <is>
          <t>KAI2647789.1 hypothetical protein H4Q32_026106 [Labeo rohita]</t>
        </is>
      </c>
      <c r="M8958" t="n">
        <v>612</v>
      </c>
      <c r="N8958" t="inlineStr">
        <is>
          <t>Labeo rohita</t>
        </is>
      </c>
      <c r="O8958" t="inlineStr">
        <is>
          <t>hypothetical protein H4Q32_026106</t>
        </is>
      </c>
    </row>
    <row r="8959">
      <c r="A8959" t="inlineStr"/>
      <c r="B8959" t="inlineStr"/>
      <c r="C8959" t="inlineStr"/>
      <c r="D8959" t="inlineStr"/>
      <c r="E8959">
        <f>HYPERLINK("https://www.ncbi.nlm.nih.gov/gene/?term=KAI2661014.1", "KAI2661014.1")</f>
        <v/>
      </c>
      <c r="F8959" t="n">
        <v>56.9</v>
      </c>
      <c r="G8959" t="n">
        <v>281</v>
      </c>
      <c r="H8959" t="n">
        <v>1.7e-90</v>
      </c>
      <c r="I8959" t="inlineStr">
        <is>
          <t>Nr</t>
        </is>
      </c>
      <c r="J8959" t="inlineStr"/>
      <c r="K8959" t="inlineStr"/>
      <c r="L8959" t="inlineStr">
        <is>
          <t>KAI2661014.1 hypothetical protein H4Q32_027611 [Labeo rohita]</t>
        </is>
      </c>
      <c r="M8959" t="n">
        <v>583</v>
      </c>
      <c r="N8959" t="inlineStr">
        <is>
          <t>Labeo rohita</t>
        </is>
      </c>
      <c r="O8959" t="inlineStr">
        <is>
          <t>hypothetical protein H4Q32_027611</t>
        </is>
      </c>
    </row>
    <row r="8960">
      <c r="A8960" t="inlineStr"/>
      <c r="B8960" t="inlineStr"/>
      <c r="C8960" t="inlineStr"/>
      <c r="D8960" t="inlineStr"/>
      <c r="E8960">
        <f>HYPERLINK("https://www.ncbi.nlm.nih.gov/gene/?term=KAI2644148.1", "KAI2644148.1")</f>
        <v/>
      </c>
      <c r="F8960" t="n">
        <v>56.9</v>
      </c>
      <c r="G8960" t="n">
        <v>281</v>
      </c>
      <c r="H8960" t="n">
        <v>8.89e-90</v>
      </c>
      <c r="I8960" t="inlineStr">
        <is>
          <t>Nr</t>
        </is>
      </c>
      <c r="J8960" t="inlineStr"/>
      <c r="K8960" t="inlineStr"/>
      <c r="L8960" t="inlineStr">
        <is>
          <t>KAI2644148.1 hypothetical protein H4Q32_023500 [Labeo rohita]</t>
        </is>
      </c>
      <c r="M8960" t="n">
        <v>594</v>
      </c>
      <c r="N8960" t="inlineStr">
        <is>
          <t>Labeo rohita</t>
        </is>
      </c>
      <c r="O8960" t="inlineStr">
        <is>
          <t>hypothetical protein H4Q32_023500</t>
        </is>
      </c>
    </row>
    <row r="8961">
      <c r="A8961" t="inlineStr"/>
      <c r="B8961" t="inlineStr"/>
      <c r="C8961" t="inlineStr"/>
      <c r="D8961" t="inlineStr"/>
      <c r="E8961">
        <f>HYPERLINK("https://www.ncbi.nlm.nih.gov/gene/?term=BAE46430.1", "BAE46430.1")</f>
        <v/>
      </c>
      <c r="F8961" t="n">
        <v>57.5</v>
      </c>
      <c r="G8961" t="n">
        <v>280</v>
      </c>
      <c r="H8961" t="n">
        <v>4.739999999999999e-89</v>
      </c>
      <c r="I8961" t="inlineStr">
        <is>
          <t>Nr</t>
        </is>
      </c>
      <c r="J8961" t="inlineStr"/>
      <c r="K8961" t="inlineStr"/>
      <c r="L8961" t="inlineStr">
        <is>
          <t>BAE46430.1 reverse transcriptase [Danio rerio]</t>
        </is>
      </c>
      <c r="M8961" t="n">
        <v>965</v>
      </c>
      <c r="N8961" t="inlineStr">
        <is>
          <t>Danio rerio</t>
        </is>
      </c>
      <c r="O8961" t="inlineStr">
        <is>
          <t>reverse transcriptase</t>
        </is>
      </c>
    </row>
    <row r="8962">
      <c r="A8962" t="inlineStr"/>
      <c r="B8962" t="inlineStr"/>
      <c r="C8962" t="inlineStr"/>
      <c r="D8962" t="inlineStr"/>
      <c r="E8962">
        <f>HYPERLINK("https://www.ncbi.nlm.nih.gov/gene/?term=XP_018430699.1", "XP_018430699.1")</f>
        <v/>
      </c>
      <c r="F8962" t="n">
        <v>64</v>
      </c>
      <c r="G8962" t="n">
        <v>239</v>
      </c>
      <c r="H8962" t="n">
        <v>8.99e-89</v>
      </c>
      <c r="I8962" t="inlineStr">
        <is>
          <t>Nr</t>
        </is>
      </c>
      <c r="J8962" t="inlineStr"/>
      <c r="K8962" t="inlineStr"/>
      <c r="L8962" t="inlineStr">
        <is>
          <t>XP_018430699.1 PREDICTED: LOW QUALITY PROTEIN: RNA-directed DNA polymerase from mobile element jockey-like, partial [Nanorana parkeri]</t>
        </is>
      </c>
      <c r="M8962" t="n">
        <v>249</v>
      </c>
      <c r="N8962" t="inlineStr">
        <is>
          <t>Nanorana parkeri</t>
        </is>
      </c>
      <c r="O8962" t="inlineStr">
        <is>
          <t>PREDICTED: LOW QUALITY PROTEIN: RNA-directed DNA polymerase from mobile element jockey-like, partial</t>
        </is>
      </c>
    </row>
    <row r="8963">
      <c r="A8963" t="inlineStr"/>
      <c r="B8963" t="inlineStr"/>
      <c r="C8963" t="inlineStr"/>
      <c r="D8963" t="inlineStr"/>
      <c r="E8963">
        <f>HYPERLINK("https://www.ncbi.nlm.nih.gov/gene/?term=BAD72127.1", "BAD72127.1")</f>
        <v/>
      </c>
      <c r="F8963" t="n">
        <v>57.4</v>
      </c>
      <c r="G8963" t="n">
        <v>277</v>
      </c>
      <c r="H8963" t="n">
        <v>9.509999999999999e-89</v>
      </c>
      <c r="I8963" t="inlineStr">
        <is>
          <t>Nr</t>
        </is>
      </c>
      <c r="J8963" t="inlineStr"/>
      <c r="K8963" t="inlineStr"/>
      <c r="L8963" t="inlineStr">
        <is>
          <t>BAD72127.1 reverse transcriptase [Anguilla japonica]</t>
        </is>
      </c>
      <c r="M8963" t="n">
        <v>967</v>
      </c>
      <c r="N8963" t="inlineStr">
        <is>
          <t>Anguilla japonica</t>
        </is>
      </c>
      <c r="O8963" t="inlineStr">
        <is>
          <t>reverse transcriptase</t>
        </is>
      </c>
    </row>
    <row r="8964">
      <c r="A8964" t="inlineStr"/>
      <c r="B8964" t="inlineStr"/>
      <c r="C8964" t="inlineStr"/>
      <c r="D8964" t="inlineStr"/>
      <c r="E8964">
        <f>HYPERLINK("https://www.ncbi.nlm.nih.gov/gene/?term=KAI4897325.1", "KAI4897325.1")</f>
        <v/>
      </c>
      <c r="F8964" t="n">
        <v>56.7</v>
      </c>
      <c r="G8964" t="n">
        <v>270</v>
      </c>
      <c r="H8964" t="n">
        <v>3.98e-88</v>
      </c>
      <c r="I8964" t="inlineStr">
        <is>
          <t>Nr</t>
        </is>
      </c>
      <c r="J8964" t="inlineStr"/>
      <c r="K8964" t="inlineStr"/>
      <c r="L8964" t="inlineStr">
        <is>
          <t>KAI4897325.1 hypothetical protein NFI96_018592, partial [Prochilodus magdalenae]</t>
        </is>
      </c>
      <c r="M8964" t="n">
        <v>453</v>
      </c>
      <c r="N8964" t="inlineStr">
        <is>
          <t>Prochilodus magdalenae</t>
        </is>
      </c>
      <c r="O8964" t="inlineStr">
        <is>
          <t>hypothetical protein NFI96_018592, partial</t>
        </is>
      </c>
    </row>
    <row r="8965">
      <c r="A8965" t="inlineStr"/>
      <c r="B8965" t="inlineStr"/>
      <c r="C8965" t="inlineStr"/>
      <c r="D8965" t="inlineStr"/>
      <c r="E8965">
        <f>HYPERLINK("https://www.ncbi.nlm.nih.gov/gene/?term=XP_034384377.1", "XP_034384377.1")</f>
        <v/>
      </c>
      <c r="F8965" t="n">
        <v>55.9</v>
      </c>
      <c r="G8965" t="n">
        <v>279</v>
      </c>
      <c r="H8965" t="n">
        <v>4.95e-88</v>
      </c>
      <c r="I8965" t="inlineStr">
        <is>
          <t>Nr</t>
        </is>
      </c>
      <c r="J8965" t="inlineStr"/>
      <c r="K8965" t="inlineStr"/>
      <c r="L8965" t="inlineStr">
        <is>
          <t>XP_034384377.1 LOW QUALITY PROTEIN: uncharacterized protein LOC117727936, partial [Cyclopterus lumpus]</t>
        </is>
      </c>
      <c r="M8965" t="n">
        <v>966</v>
      </c>
      <c r="N8965" t="inlineStr">
        <is>
          <t>Cyclopterus lumpus</t>
        </is>
      </c>
      <c r="O8965" t="inlineStr">
        <is>
          <t>LOW QUALITY PROTEIN: uncharacterized protein LOC117727936, partial</t>
        </is>
      </c>
    </row>
    <row r="8966">
      <c r="A8966" t="inlineStr"/>
      <c r="B8966" t="inlineStr"/>
      <c r="C8966" t="inlineStr"/>
      <c r="D8966" t="inlineStr"/>
      <c r="E8966">
        <f>HYPERLINK("https://www.ncbi.nlm.nih.gov/gene/?term=KAE8279474.1", "KAE8279474.1")</f>
        <v/>
      </c>
      <c r="F8966" t="n">
        <v>55</v>
      </c>
      <c r="G8966" t="n">
        <v>280</v>
      </c>
      <c r="H8966" t="n">
        <v>5.63e-88</v>
      </c>
      <c r="I8966" t="inlineStr">
        <is>
          <t>Nr</t>
        </is>
      </c>
      <c r="J8966" t="inlineStr"/>
      <c r="K8966" t="inlineStr"/>
      <c r="L8966" t="inlineStr">
        <is>
          <t>KAE8279474.1 putative RNA-directed DNA polymerase from transposon X-element [Larimichthys crocea]</t>
        </is>
      </c>
      <c r="M8966" t="n">
        <v>713</v>
      </c>
      <c r="N8966" t="inlineStr">
        <is>
          <t>Larimichthys crocea</t>
        </is>
      </c>
      <c r="O8966" t="inlineStr">
        <is>
          <t>putative RNA-directed DNA polymerase from transposon X-element</t>
        </is>
      </c>
    </row>
    <row r="8967">
      <c r="A8967" t="inlineStr"/>
      <c r="B8967" t="inlineStr"/>
      <c r="C8967" t="inlineStr"/>
      <c r="D8967" t="inlineStr"/>
      <c r="E8967">
        <f>HYPERLINK("https://www.ncbi.nlm.nih.gov/gene/?term=KAI2646130.1", "KAI2646130.1")</f>
        <v/>
      </c>
      <c r="F8967" t="n">
        <v>57.3</v>
      </c>
      <c r="G8967" t="n">
        <v>281</v>
      </c>
      <c r="H8967" t="n">
        <v>7.82e-88</v>
      </c>
      <c r="I8967" t="inlineStr">
        <is>
          <t>Nr</t>
        </is>
      </c>
      <c r="J8967" t="inlineStr"/>
      <c r="K8967" t="inlineStr"/>
      <c r="L8967" t="inlineStr">
        <is>
          <t>KAI2646130.1 hypothetical protein H4Q32_024583 [Labeo rohita]</t>
        </is>
      </c>
      <c r="M8967" t="n">
        <v>889</v>
      </c>
      <c r="N8967" t="inlineStr">
        <is>
          <t>Labeo rohita</t>
        </is>
      </c>
      <c r="O8967" t="inlineStr">
        <is>
          <t>hypothetical protein H4Q32_024583</t>
        </is>
      </c>
    </row>
    <row r="8968">
      <c r="A8968" t="inlineStr"/>
      <c r="B8968" t="inlineStr"/>
      <c r="C8968" t="inlineStr"/>
      <c r="D8968" t="inlineStr"/>
      <c r="E8968">
        <f>HYPERLINK("https://www.ncbi.nlm.nih.gov/gene/?term=KAI2667074.1", "KAI2667074.1")</f>
        <v/>
      </c>
      <c r="F8968" t="n">
        <v>56.2</v>
      </c>
      <c r="G8968" t="n">
        <v>281</v>
      </c>
      <c r="H8968" t="n">
        <v>1.06e-87</v>
      </c>
      <c r="I8968" t="inlineStr">
        <is>
          <t>Nr</t>
        </is>
      </c>
      <c r="J8968" t="inlineStr"/>
      <c r="K8968" t="inlineStr"/>
      <c r="L8968" t="inlineStr">
        <is>
          <t>KAI2667074.1 hypothetical protein H4Q32_031038 [Labeo rohita]</t>
        </is>
      </c>
      <c r="M8968" t="n">
        <v>513</v>
      </c>
      <c r="N8968" t="inlineStr">
        <is>
          <t>Labeo rohita</t>
        </is>
      </c>
      <c r="O8968" t="inlineStr">
        <is>
          <t>hypothetical protein H4Q32_031038</t>
        </is>
      </c>
    </row>
    <row r="8969">
      <c r="A8969" t="inlineStr"/>
      <c r="B8969" t="inlineStr"/>
      <c r="C8969" t="inlineStr"/>
      <c r="D8969" t="inlineStr"/>
      <c r="E8969">
        <f>HYPERLINK("https://www.ncbi.nlm.nih.gov/gene/?term=KAI2642373.1", "KAI2642373.1")</f>
        <v/>
      </c>
      <c r="F8969" t="n">
        <v>57.5</v>
      </c>
      <c r="G8969" t="n">
        <v>280</v>
      </c>
      <c r="H8969" t="n">
        <v>1.44e-87</v>
      </c>
      <c r="I8969" t="inlineStr">
        <is>
          <t>Nr</t>
        </is>
      </c>
      <c r="J8969" t="inlineStr"/>
      <c r="K8969" t="inlineStr"/>
      <c r="L8969" t="inlineStr">
        <is>
          <t>KAI2642373.1 hypothetical protein H4Q32_026077 [Labeo rohita]</t>
        </is>
      </c>
      <c r="M8969" t="n">
        <v>1044</v>
      </c>
      <c r="N8969" t="inlineStr">
        <is>
          <t>Labeo rohita</t>
        </is>
      </c>
      <c r="O8969" t="inlineStr">
        <is>
          <t>hypothetical protein H4Q32_026077</t>
        </is>
      </c>
    </row>
    <row r="8970">
      <c r="A8970" t="inlineStr"/>
      <c r="B8970" t="inlineStr"/>
      <c r="C8970" t="inlineStr"/>
      <c r="D8970" t="inlineStr"/>
      <c r="E8970">
        <f>HYPERLINK("https://www.ncbi.nlm.nih.gov/gene/?term=KAI4871406.1", "KAI4871406.1")</f>
        <v/>
      </c>
      <c r="F8970" t="n">
        <v>56.7</v>
      </c>
      <c r="G8970" t="n">
        <v>277</v>
      </c>
      <c r="H8970" t="n">
        <v>1.68e-87</v>
      </c>
      <c r="I8970" t="inlineStr">
        <is>
          <t>Nr</t>
        </is>
      </c>
      <c r="J8970" t="inlineStr"/>
      <c r="K8970" t="inlineStr"/>
      <c r="L8970" t="inlineStr">
        <is>
          <t>KAI4871406.1 hypothetical protein NFI96_000870 [Prochilodus magdalenae]</t>
        </is>
      </c>
      <c r="M8970" t="n">
        <v>655</v>
      </c>
      <c r="N8970" t="inlineStr">
        <is>
          <t>Prochilodus magdalenae</t>
        </is>
      </c>
      <c r="O8970" t="inlineStr">
        <is>
          <t>hypothetical protein NFI96_000870</t>
        </is>
      </c>
    </row>
    <row r="8971">
      <c r="A8971" t="inlineStr"/>
      <c r="B8971" t="inlineStr"/>
      <c r="C8971" t="inlineStr"/>
      <c r="D8971" t="inlineStr"/>
      <c r="E8971">
        <f>HYPERLINK("https://www.ncbi.nlm.nih.gov/gene/?term=KAI2657373.1", "KAI2657373.1")</f>
        <v/>
      </c>
      <c r="F8971" t="n">
        <v>56.7</v>
      </c>
      <c r="G8971" t="n">
        <v>277</v>
      </c>
      <c r="H8971" t="n">
        <v>1.69e-87</v>
      </c>
      <c r="I8971" t="inlineStr">
        <is>
          <t>Nr</t>
        </is>
      </c>
      <c r="J8971" t="inlineStr"/>
      <c r="K8971" t="inlineStr"/>
      <c r="L8971" t="inlineStr">
        <is>
          <t>KAI2657373.1 hypothetical protein H4Q32_008683 [Labeo rohita]</t>
        </is>
      </c>
      <c r="M8971" t="n">
        <v>626</v>
      </c>
      <c r="N8971" t="inlineStr">
        <is>
          <t>Labeo rohita</t>
        </is>
      </c>
      <c r="O8971" t="inlineStr">
        <is>
          <t>hypothetical protein H4Q32_008683</t>
        </is>
      </c>
    </row>
    <row r="8972">
      <c r="A8972" t="inlineStr"/>
      <c r="B8972" t="inlineStr"/>
      <c r="C8972" t="inlineStr"/>
      <c r="D8972" t="inlineStr"/>
      <c r="E8972">
        <f>HYPERLINK("https://www.ncbi.nlm.nih.gov/gene/?term=KAI4887021.1", "KAI4887021.1")</f>
        <v/>
      </c>
      <c r="F8972" t="n">
        <v>56.7</v>
      </c>
      <c r="G8972" t="n">
        <v>270</v>
      </c>
      <c r="H8972" t="n">
        <v>1.87e-86</v>
      </c>
      <c r="I8972" t="inlineStr">
        <is>
          <t>Nr</t>
        </is>
      </c>
      <c r="J8972" t="inlineStr"/>
      <c r="K8972" t="inlineStr"/>
      <c r="L8972" t="inlineStr">
        <is>
          <t>KAI4887021.1 hypothetical protein NFI96_030749 [Prochilodus magdalenae]</t>
        </is>
      </c>
      <c r="M8972" t="n">
        <v>598</v>
      </c>
      <c r="N8972" t="inlineStr">
        <is>
          <t>Prochilodus magdalenae</t>
        </is>
      </c>
      <c r="O8972" t="inlineStr">
        <is>
          <t>hypothetical protein NFI96_030749</t>
        </is>
      </c>
    </row>
    <row r="8973">
      <c r="A8973" t="inlineStr"/>
      <c r="B8973" t="inlineStr"/>
      <c r="C8973" t="inlineStr"/>
      <c r="D8973" t="inlineStr"/>
      <c r="E8973">
        <f>HYPERLINK("https://www.ncbi.nlm.nih.gov/gene/?term=KAI2655492.1", "KAI2655492.1")</f>
        <v/>
      </c>
      <c r="F8973" t="n">
        <v>57.3</v>
      </c>
      <c r="G8973" t="n">
        <v>281</v>
      </c>
      <c r="H8973" t="n">
        <v>4.55e-86</v>
      </c>
      <c r="I8973" t="inlineStr">
        <is>
          <t>Nr</t>
        </is>
      </c>
      <c r="J8973" t="inlineStr"/>
      <c r="K8973" t="inlineStr"/>
      <c r="L8973" t="inlineStr">
        <is>
          <t>KAI2655492.1 hypothetical protein H4Q32_017900 [Labeo rohita]</t>
        </is>
      </c>
      <c r="M8973" t="n">
        <v>1822</v>
      </c>
      <c r="N8973" t="inlineStr">
        <is>
          <t>Labeo rohita</t>
        </is>
      </c>
      <c r="O8973" t="inlineStr">
        <is>
          <t>hypothetical protein H4Q32_017900</t>
        </is>
      </c>
    </row>
    <row r="8974">
      <c r="A8974" t="inlineStr"/>
      <c r="B8974" t="inlineStr"/>
      <c r="C8974" t="inlineStr"/>
      <c r="D8974" t="inlineStr"/>
      <c r="E8974">
        <f>HYPERLINK("https://www.ncbi.nlm.nih.gov/gene/?term=KAF2988712.1", "KAF2988712.1")</f>
        <v/>
      </c>
      <c r="F8974" t="n">
        <v>55.6</v>
      </c>
      <c r="G8974" t="n">
        <v>270</v>
      </c>
      <c r="H8974" t="n">
        <v>7.45e-84</v>
      </c>
      <c r="I8974" t="inlineStr">
        <is>
          <t>Nr</t>
        </is>
      </c>
      <c r="J8974" t="inlineStr"/>
      <c r="K8974" t="inlineStr"/>
      <c r="L8974" t="inlineStr">
        <is>
          <t>KAF2988712.1 hypothetical protein MJC1_04210 [Methylocystis sp. MJC1]</t>
        </is>
      </c>
      <c r="M8974" t="n">
        <v>509</v>
      </c>
      <c r="N8974" t="inlineStr">
        <is>
          <t>Methylocystis sp. MJC1</t>
        </is>
      </c>
      <c r="O8974" t="inlineStr">
        <is>
          <t>hypothetical protein MJC1_04210</t>
        </is>
      </c>
    </row>
    <row r="8975">
      <c r="A8975" t="inlineStr"/>
      <c r="B8975" t="inlineStr"/>
      <c r="C8975" t="inlineStr"/>
      <c r="D8975" t="inlineStr"/>
      <c r="E8975">
        <f>HYPERLINK("https://www.ncbi.nlm.nih.gov/gene/?term=KAG5839959.1", "KAG5839959.1")</f>
        <v/>
      </c>
      <c r="F8975" t="n">
        <v>53.1</v>
      </c>
      <c r="G8975" t="n">
        <v>277</v>
      </c>
      <c r="H8975" t="n">
        <v>3.12e-83</v>
      </c>
      <c r="I8975" t="inlineStr">
        <is>
          <t>Nr</t>
        </is>
      </c>
      <c r="J8975" t="inlineStr"/>
      <c r="K8975" t="inlineStr"/>
      <c r="L8975" t="inlineStr">
        <is>
          <t>KAG5839959.1 hypothetical protein ANANG_G00210920 [Anguilla anguilla]</t>
        </is>
      </c>
      <c r="M8975" t="n">
        <v>511</v>
      </c>
      <c r="N8975" t="inlineStr">
        <is>
          <t>Anguilla anguilla</t>
        </is>
      </c>
      <c r="O8975" t="inlineStr">
        <is>
          <t>hypothetical protein ANANG_G00210920</t>
        </is>
      </c>
    </row>
    <row r="8976">
      <c r="A8976" t="inlineStr"/>
      <c r="B8976" t="inlineStr"/>
      <c r="C8976" t="inlineStr"/>
      <c r="D8976" t="inlineStr"/>
      <c r="E8976">
        <f>HYPERLINK("https://www.ncbi.nlm.nih.gov/gene/?term=KAI4889204.1", "KAI4889204.1")</f>
        <v/>
      </c>
      <c r="F8976" t="n">
        <v>56.3</v>
      </c>
      <c r="G8976" t="n">
        <v>277</v>
      </c>
      <c r="H8976" t="n">
        <v>4.02e-83</v>
      </c>
      <c r="I8976" t="inlineStr">
        <is>
          <t>Nr</t>
        </is>
      </c>
      <c r="J8976" t="inlineStr"/>
      <c r="K8976" t="inlineStr"/>
      <c r="L8976" t="inlineStr">
        <is>
          <t>KAI4889204.1 hypothetical protein NFI96_005615 [Prochilodus magdalenae]</t>
        </is>
      </c>
      <c r="M8976" t="n">
        <v>1346</v>
      </c>
      <c r="N8976" t="inlineStr">
        <is>
          <t>Prochilodus magdalenae</t>
        </is>
      </c>
      <c r="O8976" t="inlineStr">
        <is>
          <t>hypothetical protein NFI96_005615</t>
        </is>
      </c>
    </row>
    <row r="8977">
      <c r="A8977" t="inlineStr"/>
      <c r="B8977" t="inlineStr"/>
      <c r="C8977" t="inlineStr"/>
      <c r="D8977" t="inlineStr"/>
      <c r="E8977">
        <f>HYPERLINK("https://www.ncbi.nlm.nih.gov/gene/?term=KAI4880749.1", "KAI4880749.1")</f>
        <v/>
      </c>
      <c r="F8977" t="n">
        <v>56.7</v>
      </c>
      <c r="G8977" t="n">
        <v>277</v>
      </c>
      <c r="H8977" t="n">
        <v>4.16e-83</v>
      </c>
      <c r="I8977" t="inlineStr">
        <is>
          <t>Nr</t>
        </is>
      </c>
      <c r="J8977" t="inlineStr"/>
      <c r="K8977" t="inlineStr"/>
      <c r="L8977" t="inlineStr">
        <is>
          <t>KAI4880749.1 hypothetical protein NFI96_003003 [Prochilodus magdalenae]</t>
        </is>
      </c>
      <c r="M8977" t="n">
        <v>2065</v>
      </c>
      <c r="N8977" t="inlineStr">
        <is>
          <t>Prochilodus magdalenae</t>
        </is>
      </c>
      <c r="O8977" t="inlineStr">
        <is>
          <t>hypothetical protein NFI96_003003</t>
        </is>
      </c>
    </row>
    <row r="8978">
      <c r="A8978" t="inlineStr"/>
      <c r="B8978" t="inlineStr"/>
      <c r="C8978" t="inlineStr"/>
      <c r="D8978" t="inlineStr"/>
      <c r="E8978">
        <f>HYPERLINK("https://www.ncbi.nlm.nih.gov/gene/?term=KAI4879259.1", "KAI4879259.1")</f>
        <v/>
      </c>
      <c r="F8978" t="n">
        <v>56</v>
      </c>
      <c r="G8978" t="n">
        <v>277</v>
      </c>
      <c r="H8978" t="n">
        <v>6.880000000000001e-83</v>
      </c>
      <c r="I8978" t="inlineStr">
        <is>
          <t>Nr</t>
        </is>
      </c>
      <c r="J8978" t="inlineStr"/>
      <c r="K8978" t="inlineStr"/>
      <c r="L8978" t="inlineStr">
        <is>
          <t>KAI4879259.1 hypothetical protein NFI96_003947 [Prochilodus magdalenae]</t>
        </is>
      </c>
      <c r="M8978" t="n">
        <v>688</v>
      </c>
      <c r="N8978" t="inlineStr">
        <is>
          <t>Prochilodus magdalenae</t>
        </is>
      </c>
      <c r="O8978" t="inlineStr">
        <is>
          <t>hypothetical protein NFI96_003947</t>
        </is>
      </c>
    </row>
    <row r="8979">
      <c r="A8979" t="inlineStr"/>
      <c r="B8979" t="inlineStr"/>
      <c r="C8979" t="inlineStr"/>
      <c r="D8979" t="inlineStr"/>
      <c r="E8979">
        <f>HYPERLINK("https://www.ncbi.nlm.nih.gov/gene/?term=WP_165056334.1", "WP_165056334.1")</f>
        <v/>
      </c>
      <c r="F8979" t="n">
        <v>53.9</v>
      </c>
      <c r="G8979" t="n">
        <v>280</v>
      </c>
      <c r="H8979" t="n">
        <v>7.469999999999999e-83</v>
      </c>
      <c r="I8979" t="inlineStr">
        <is>
          <t>Nr</t>
        </is>
      </c>
      <c r="J8979" t="inlineStr"/>
      <c r="K8979" t="inlineStr"/>
      <c r="L8979" t="inlineStr">
        <is>
          <t>WP_165056334.1 reverse transcriptase family protein, partial [Methylocystis sp. MJC1]</t>
        </is>
      </c>
      <c r="M8979" t="n">
        <v>630</v>
      </c>
      <c r="N8979" t="inlineStr">
        <is>
          <t>Methylocystis sp. MJC1</t>
        </is>
      </c>
      <c r="O8979" t="inlineStr">
        <is>
          <t>reverse transcriptase family protein, partial</t>
        </is>
      </c>
    </row>
    <row r="8980">
      <c r="A8980" t="inlineStr"/>
      <c r="B8980" t="inlineStr"/>
      <c r="C8980" t="inlineStr"/>
      <c r="D8980" t="inlineStr"/>
      <c r="E8980">
        <f>HYPERLINK("https://www.ncbi.nlm.nih.gov/gene/?term=XP_029982879.1", "XP_029982879.1")</f>
        <v/>
      </c>
      <c r="F8980" t="n">
        <v>56.1</v>
      </c>
      <c r="G8980" t="n">
        <v>280</v>
      </c>
      <c r="H8980" t="n">
        <v>1.16e-82</v>
      </c>
      <c r="I8980" t="inlineStr">
        <is>
          <t>Nr</t>
        </is>
      </c>
      <c r="J8980" t="inlineStr"/>
      <c r="K8980" t="inlineStr"/>
      <c r="L8980" t="inlineStr">
        <is>
          <t>XP_029982879.1 uncharacterized protein LOC115413886 [Sphaeramia orbicularis]</t>
        </is>
      </c>
      <c r="M8980" t="n">
        <v>1119</v>
      </c>
      <c r="N8980" t="inlineStr">
        <is>
          <t>Sphaeramia orbicularis</t>
        </is>
      </c>
      <c r="O8980" t="inlineStr">
        <is>
          <t>uncharacterized protein LOC115413886</t>
        </is>
      </c>
    </row>
    <row r="8981">
      <c r="A8981" t="inlineStr"/>
      <c r="B8981" t="inlineStr"/>
      <c r="C8981" t="inlineStr"/>
      <c r="D8981" t="inlineStr"/>
      <c r="E8981">
        <f>HYPERLINK("https://www.ncbi.nlm.nih.gov/gene/?term=XP_034080383.1", "XP_034080383.1")</f>
        <v/>
      </c>
      <c r="F8981" t="n">
        <v>54.7</v>
      </c>
      <c r="G8981" t="n">
        <v>278</v>
      </c>
      <c r="H8981" t="n">
        <v>1.43e-81</v>
      </c>
      <c r="I8981" t="inlineStr">
        <is>
          <t>Nr</t>
        </is>
      </c>
      <c r="J8981" t="inlineStr"/>
      <c r="K8981" t="inlineStr"/>
      <c r="L8981" t="inlineStr">
        <is>
          <t>XP_034080383.1 LOW QUALITY PROTEIN: uncharacterized protein tmem132a, partial [Gymnodraco acuticeps]</t>
        </is>
      </c>
      <c r="M8981" t="n">
        <v>1372</v>
      </c>
      <c r="N8981" t="inlineStr">
        <is>
          <t>Gymnodraco acuticeps</t>
        </is>
      </c>
      <c r="O8981" t="inlineStr">
        <is>
          <t>LOW QUALITY PROTEIN: uncharacterized protein tmem132a, partial</t>
        </is>
      </c>
    </row>
    <row r="8982">
      <c r="A8982" t="inlineStr"/>
      <c r="B8982" t="inlineStr"/>
      <c r="C8982" t="inlineStr"/>
      <c r="D8982" t="inlineStr"/>
      <c r="E8982">
        <f>HYPERLINK("https://www.uniprot.org/uniprotkb/P21328/entry", "P21328")</f>
        <v/>
      </c>
      <c r="F8982" t="n">
        <v>33.5</v>
      </c>
      <c r="G8982" t="n">
        <v>248</v>
      </c>
      <c r="H8982" t="n">
        <v>7.430000000000001e-27</v>
      </c>
      <c r="I8982" t="inlineStr">
        <is>
          <t>Swiss-Prot</t>
        </is>
      </c>
      <c r="J8982" t="inlineStr">
        <is>
          <t>pol</t>
        </is>
      </c>
      <c r="K8982" t="inlineStr">
        <is>
          <t>RTJK_DROME</t>
        </is>
      </c>
      <c r="L8982" t="inlineStr">
        <is>
          <t>sp|P21328|RTJK_DROME RNA-directed DNA polymerase from mobile element jockey OS=Drosophila melanogaster OX=7227 GN=pol PE=1 SV=1</t>
        </is>
      </c>
      <c r="M8982" t="n">
        <v>916</v>
      </c>
      <c r="N8982" t="inlineStr">
        <is>
          <t>Drosophila melanogaster</t>
        </is>
      </c>
      <c r="O8982" t="inlineStr">
        <is>
          <t>RNA-directed DNA polymerase from mobile element jockey</t>
        </is>
      </c>
    </row>
    <row r="8983">
      <c r="A8983" t="inlineStr"/>
      <c r="B8983" t="inlineStr"/>
      <c r="C8983" t="inlineStr"/>
      <c r="D8983" t="inlineStr"/>
      <c r="E8983">
        <f>HYPERLINK("https://www.uniprot.org/uniprotkb/Q95SX7/entry", "Q95SX7")</f>
        <v/>
      </c>
      <c r="F8983" t="n">
        <v>31.2</v>
      </c>
      <c r="G8983" t="n">
        <v>250</v>
      </c>
      <c r="H8983" t="n">
        <v>1.02e-21</v>
      </c>
      <c r="I8983" t="inlineStr">
        <is>
          <t>Swiss-Prot</t>
        </is>
      </c>
      <c r="J8983" t="inlineStr">
        <is>
          <t>RTase</t>
        </is>
      </c>
      <c r="K8983" t="inlineStr">
        <is>
          <t>RTBS_DROME</t>
        </is>
      </c>
      <c r="L8983" t="inlineStr">
        <is>
          <t>sp|Q95SX7|RTBS_DROME Probable RNA-directed DNA polymerase from transposon BS OS=Drosophila melanogaster OX=7227 GN=RTase PE=2 SV=1</t>
        </is>
      </c>
      <c r="M8983" t="n">
        <v>906</v>
      </c>
      <c r="N8983" t="inlineStr">
        <is>
          <t>Drosophila melanogaster</t>
        </is>
      </c>
      <c r="O8983" t="inlineStr">
        <is>
          <t>Probable RNA-directed DNA polymerase from transposon BS</t>
        </is>
      </c>
    </row>
    <row r="8984">
      <c r="A8984" t="inlineStr"/>
      <c r="B8984" t="inlineStr"/>
      <c r="C8984" t="inlineStr"/>
      <c r="D8984" t="inlineStr"/>
      <c r="E8984">
        <f>HYPERLINK("https://www.uniprot.org/uniprotkb/P21329/entry", "P21329")</f>
        <v/>
      </c>
      <c r="F8984" t="n">
        <v>39.9</v>
      </c>
      <c r="G8984" t="n">
        <v>188</v>
      </c>
      <c r="H8984" t="n">
        <v>1.38e-21</v>
      </c>
      <c r="I8984" t="inlineStr">
        <is>
          <t>Swiss-Prot</t>
        </is>
      </c>
      <c r="J8984" t="inlineStr">
        <is>
          <t>jockey\pol</t>
        </is>
      </c>
      <c r="K8984" t="inlineStr">
        <is>
          <t>RTJK_DROFU</t>
        </is>
      </c>
      <c r="L8984" t="inlineStr">
        <is>
          <t>sp|P21329|RTJK_DROFU RNA-directed DNA polymerase from mobile element jockey OS=Drosophila funebris OX=7221 GN=jockey\pol PE=1 SV=1</t>
        </is>
      </c>
      <c r="M8984" t="n">
        <v>916</v>
      </c>
      <c r="N8984" t="inlineStr">
        <is>
          <t>Drosophila funebris</t>
        </is>
      </c>
      <c r="O8984" t="inlineStr">
        <is>
          <t>RNA-directed DNA polymerase from mobile element jockey</t>
        </is>
      </c>
    </row>
    <row r="8985">
      <c r="A8985" t="inlineStr"/>
      <c r="B8985" t="inlineStr"/>
      <c r="C8985" t="inlineStr"/>
      <c r="D8985" t="inlineStr"/>
      <c r="E8985">
        <f>HYPERLINK("https://www.uniprot.org/uniprotkb/Q9NBX4/entry", "Q9NBX4")</f>
        <v/>
      </c>
      <c r="F8985" t="n">
        <v>29</v>
      </c>
      <c r="G8985" t="n">
        <v>245</v>
      </c>
      <c r="H8985" t="n">
        <v>1.57e-17</v>
      </c>
      <c r="I8985" t="inlineStr">
        <is>
          <t>Swiss-Prot</t>
        </is>
      </c>
      <c r="J8985" t="inlineStr">
        <is>
          <t>X-element\ORF2</t>
        </is>
      </c>
      <c r="K8985" t="inlineStr">
        <is>
          <t>RTXE_DROME</t>
        </is>
      </c>
      <c r="L8985" t="inlineStr">
        <is>
          <t>sp|Q9NBX4|RTXE_DROME Probable RNA-directed DNA polymerase from transposon X-element OS=Drosophila melanogaster OX=7227 GN=X-element\ORF2 PE=3 SV=1</t>
        </is>
      </c>
      <c r="M8985" t="n">
        <v>908</v>
      </c>
      <c r="N8985" t="inlineStr">
        <is>
          <t>Drosophila melanogaster</t>
        </is>
      </c>
      <c r="O8985" t="inlineStr">
        <is>
          <t>Probable RNA-directed DNA polymerase from transposon X-element</t>
        </is>
      </c>
    </row>
    <row r="8986">
      <c r="A8986" t="inlineStr"/>
      <c r="B8986" t="inlineStr"/>
      <c r="C8986" t="inlineStr"/>
      <c r="D8986" t="inlineStr"/>
      <c r="E8986">
        <f>HYPERLINK("https://www.uniprot.org/uniprotkb/P08548/entry", "P08548")</f>
        <v/>
      </c>
      <c r="F8986" t="n">
        <v>30.1</v>
      </c>
      <c r="G8986" t="n">
        <v>226</v>
      </c>
      <c r="H8986" t="n">
        <v>1.64e-14</v>
      </c>
      <c r="I8986" t="inlineStr">
        <is>
          <t>Swiss-Prot</t>
        </is>
      </c>
      <c r="J8986" t="inlineStr"/>
      <c r="K8986" t="inlineStr">
        <is>
          <t>LIN1_NYCCO</t>
        </is>
      </c>
      <c r="L8986" t="inlineStr">
        <is>
          <t>sp|P08548|LIN1_NYCCO LINE-1 reverse transcriptase homolog OS=Nycticebus coucang OX=9470 PE=4 SV=1</t>
        </is>
      </c>
      <c r="M8986" t="n">
        <v>1260</v>
      </c>
      <c r="N8986" t="inlineStr">
        <is>
          <t>Nycticebus coucang</t>
        </is>
      </c>
      <c r="O8986" t="inlineStr">
        <is>
          <t>LINE-1 reverse transcriptase homolog</t>
        </is>
      </c>
    </row>
    <row r="8987">
      <c r="A8987" t="inlineStr"/>
      <c r="B8987" t="inlineStr"/>
      <c r="C8987" t="inlineStr"/>
      <c r="D8987" t="inlineStr"/>
      <c r="E8987">
        <f>HYPERLINK("https://www.uniprot.org/uniprotkb/P11369/entry", "P11369")</f>
        <v/>
      </c>
      <c r="F8987" t="n">
        <v>30.5</v>
      </c>
      <c r="G8987" t="n">
        <v>197</v>
      </c>
      <c r="H8987" t="n">
        <v>9.82e-14</v>
      </c>
      <c r="I8987" t="inlineStr">
        <is>
          <t>Swiss-Prot</t>
        </is>
      </c>
      <c r="J8987" t="inlineStr">
        <is>
          <t>Pol</t>
        </is>
      </c>
      <c r="K8987" t="inlineStr">
        <is>
          <t>LORF2_MOUSE</t>
        </is>
      </c>
      <c r="L8987" t="inlineStr">
        <is>
          <t>sp|P11369|LORF2_MOUSE LINE-1 retrotransposable element ORF2 protein OS=Mus musculus OX=10090 GN=Pol PE=1 SV=2</t>
        </is>
      </c>
      <c r="M8987" t="n">
        <v>1281</v>
      </c>
      <c r="N8987" t="inlineStr">
        <is>
          <t>Mus musculus</t>
        </is>
      </c>
      <c r="O8987" t="inlineStr">
        <is>
          <t>LINE-1 retrotransposable element ORF2 protein</t>
        </is>
      </c>
    </row>
    <row r="8988">
      <c r="A8988" t="inlineStr"/>
      <c r="B8988" t="inlineStr"/>
      <c r="C8988" t="inlineStr"/>
      <c r="D8988" t="inlineStr"/>
      <c r="E8988">
        <f>HYPERLINK("https://www.uniprot.org/uniprotkb/O00370/entry", "O00370")</f>
        <v/>
      </c>
      <c r="F8988" t="n">
        <v>28.2</v>
      </c>
      <c r="G8988" t="n">
        <v>266</v>
      </c>
      <c r="H8988" t="n">
        <v>3.22e-13</v>
      </c>
      <c r="I8988" t="inlineStr">
        <is>
          <t>Swiss-Prot</t>
        </is>
      </c>
      <c r="J8988" t="inlineStr"/>
      <c r="K8988" t="inlineStr">
        <is>
          <t>LORF2_HUMAN</t>
        </is>
      </c>
      <c r="L8988" t="inlineStr">
        <is>
          <t>sp|O00370|LORF2_HUMAN LINE-1 retrotransposable element ORF2 protein OS=Homo sapiens OX=9606 PE=1 SV=1</t>
        </is>
      </c>
      <c r="M8988" t="n">
        <v>1275</v>
      </c>
      <c r="N8988" t="inlineStr">
        <is>
          <t>Homo sapiens</t>
        </is>
      </c>
      <c r="O8988" t="inlineStr">
        <is>
          <t>LINE-1 retrotransposable element ORF2 protein</t>
        </is>
      </c>
    </row>
    <row r="8989">
      <c r="A8989" t="inlineStr"/>
      <c r="B8989" t="inlineStr"/>
      <c r="C8989" t="inlineStr"/>
      <c r="D8989" t="inlineStr"/>
      <c r="E8989">
        <f>HYPERLINK("https://www.uniprot.org/uniprotkb/P16425/entry", "P16425")</f>
        <v/>
      </c>
      <c r="F8989" t="n">
        <v>29.5</v>
      </c>
      <c r="G8989" t="n">
        <v>193</v>
      </c>
      <c r="H8989" t="n">
        <v>1.14e-10</v>
      </c>
      <c r="I8989" t="inlineStr">
        <is>
          <t>Swiss-Prot</t>
        </is>
      </c>
      <c r="J8989" t="inlineStr">
        <is>
          <t>R1A1-element\ORF2</t>
        </is>
      </c>
      <c r="K8989" t="inlineStr">
        <is>
          <t>Y2R2_DROME</t>
        </is>
      </c>
      <c r="L8989" t="inlineStr">
        <is>
          <t>sp|P16425|Y2R2_DROME Putative 115 kDa protein in type-1 retrotransposable element R1DM OS=Drosophila melanogaster OX=7227 GN=R1A1-element\ORF2 PE=4 SV=1</t>
        </is>
      </c>
      <c r="M8989" t="n">
        <v>1021</v>
      </c>
      <c r="N8989" t="inlineStr">
        <is>
          <t>Drosophila melanogaster</t>
        </is>
      </c>
      <c r="O8989" t="inlineStr">
        <is>
          <t>Putative 115 kDa protein in type-1 retrotransposable element R1DM</t>
        </is>
      </c>
    </row>
    <row r="8990">
      <c r="A8990" t="inlineStr"/>
      <c r="B8990" t="inlineStr"/>
      <c r="C8990" t="inlineStr"/>
      <c r="D8990" t="inlineStr"/>
      <c r="E8990">
        <f>HYPERLINK("https://www.uniprot.org/uniprotkb/P16423/entry", "P16423")</f>
        <v/>
      </c>
      <c r="F8990" t="n">
        <v>28</v>
      </c>
      <c r="G8990" t="n">
        <v>193</v>
      </c>
      <c r="H8990" t="n">
        <v>2.3e-06</v>
      </c>
      <c r="I8990" t="inlineStr">
        <is>
          <t>Swiss-Prot</t>
        </is>
      </c>
      <c r="J8990" t="inlineStr">
        <is>
          <t>pol</t>
        </is>
      </c>
      <c r="K8990" t="inlineStr">
        <is>
          <t>POLR_DROME</t>
        </is>
      </c>
      <c r="L8990" t="inlineStr">
        <is>
          <t>sp|P16423|POLR_DROME Retrovirus-related Pol polyprotein from type-2 retrotransposable element R2DM OS=Drosophila melanogaster OX=7227 GN=pol PE=4 SV=1</t>
        </is>
      </c>
      <c r="M8990" t="n">
        <v>1057</v>
      </c>
      <c r="N8990" t="inlineStr">
        <is>
          <t>Drosophila melanogaster</t>
        </is>
      </c>
      <c r="O8990" t="inlineStr">
        <is>
          <t>Retrovirus-related Pol polyprotein from type-2 retrotransposable element R2DM</t>
        </is>
      </c>
    </row>
    <row r="8991">
      <c r="A8991" t="inlineStr"/>
      <c r="B8991" t="inlineStr"/>
      <c r="C8991" t="inlineStr"/>
      <c r="D8991" t="inlineStr"/>
      <c r="E8991">
        <f>HYPERLINK("https://www.uniprot.org/uniprotkb/Q05118/entry", "Q05118")</f>
        <v/>
      </c>
      <c r="F8991" t="n">
        <v>31.9</v>
      </c>
      <c r="G8991" t="n">
        <v>91</v>
      </c>
      <c r="H8991" t="n">
        <v>8.45e-06</v>
      </c>
      <c r="I8991" t="inlineStr">
        <is>
          <t>Swiss-Prot</t>
        </is>
      </c>
      <c r="J8991" t="inlineStr"/>
      <c r="K8991" t="inlineStr">
        <is>
          <t>PO23_POPJA</t>
        </is>
      </c>
      <c r="L8991" t="inlineStr">
        <is>
          <t>sp|Q05118|PO23_POPJA Retrovirus-related Pol polyprotein from type-1 retrotransposable element R2 (Fragment) OS=Popillia japonica OX=7064 PE=4 SV=1</t>
        </is>
      </c>
      <c r="M8991" t="n">
        <v>606</v>
      </c>
      <c r="N8991" t="inlineStr">
        <is>
          <t>Popillia japonica</t>
        </is>
      </c>
      <c r="O8991" t="inlineStr">
        <is>
          <t>Retrovirus-related Pol polyprotein from type-1 retrotransposable element R2 (Fragment)</t>
        </is>
      </c>
    </row>
    <row r="8992">
      <c r="A8992" t="inlineStr"/>
      <c r="B8992" t="inlineStr"/>
      <c r="C8992" t="inlineStr"/>
      <c r="D8992" t="inlineStr"/>
      <c r="E8992">
        <f>HYPERLINK("https://www.uniprot.org/uniprotkb/P14381/entry", "P14381")</f>
        <v/>
      </c>
      <c r="F8992" t="n">
        <v>26.5</v>
      </c>
      <c r="G8992" t="n">
        <v>185</v>
      </c>
      <c r="H8992" t="n">
        <v>9.890000000000001e-05</v>
      </c>
      <c r="I8992" t="inlineStr">
        <is>
          <t>Swiss-Prot</t>
        </is>
      </c>
      <c r="J8992" t="inlineStr"/>
      <c r="K8992" t="inlineStr">
        <is>
          <t>YTX2_XENLA</t>
        </is>
      </c>
      <c r="L8992" t="inlineStr">
        <is>
          <t>sp|P14381|YTX2_XENLA Transposon TX1 uncharacterized 149 kDa protein OS=Xenopus laevis OX=8355 PE=4 SV=1</t>
        </is>
      </c>
      <c r="M8992" t="n">
        <v>1308</v>
      </c>
      <c r="N8992" t="inlineStr">
        <is>
          <t>Xenopus laevis</t>
        </is>
      </c>
      <c r="O8992" t="inlineStr">
        <is>
          <t>Transposon TX1 uncharacterized 149 kDa protein</t>
        </is>
      </c>
    </row>
    <row r="8993">
      <c r="A8993" t="inlineStr"/>
      <c r="B8993" t="inlineStr"/>
      <c r="C8993" t="inlineStr"/>
      <c r="D8993" t="inlineStr"/>
      <c r="E8993">
        <f>HYPERLINK("https://www.uniprot.org/uniprotkb/Q03274/entry", "Q03274")</f>
        <v/>
      </c>
      <c r="F8993" t="n">
        <v>25.8</v>
      </c>
      <c r="G8993" t="n">
        <v>155</v>
      </c>
      <c r="H8993" t="n">
        <v>0.000157</v>
      </c>
      <c r="I8993" t="inlineStr">
        <is>
          <t>Swiss-Prot</t>
        </is>
      </c>
      <c r="J8993" t="inlineStr"/>
      <c r="K8993" t="inlineStr">
        <is>
          <t>PO22_POPJA</t>
        </is>
      </c>
      <c r="L8993" t="inlineStr">
        <is>
          <t>sp|Q03274|PO22_POPJA Retrovirus-related Pol polyprotein from type-1 retrotransposable element R2 (Fragment) OS=Popillia japonica OX=7064 PE=4 SV=1</t>
        </is>
      </c>
      <c r="M8993" t="n">
        <v>711</v>
      </c>
      <c r="N8993" t="inlineStr">
        <is>
          <t>Popillia japonica</t>
        </is>
      </c>
      <c r="O8993" t="inlineStr">
        <is>
          <t>Retrovirus-related Pol polyprotein from type-1 retrotransposable element R2 (Fragment)</t>
        </is>
      </c>
    </row>
    <row r="8994">
      <c r="A8994" t="inlineStr">
        <is>
          <t>NODE_68997_length_2347_cov_12804.974123_g2697_i7</t>
        </is>
      </c>
      <c r="B8994" t="inlineStr">
        <is>
          <t>bombina_pachypus_blastx</t>
        </is>
      </c>
      <c r="C8994" t="n">
        <v>-3.41812891758113</v>
      </c>
      <c r="D8994" t="n">
        <v>0.0077193733316032</v>
      </c>
      <c r="E8994">
        <f>HYPERLINK("https://www.ncbi.nlm.nih.gov/gene/?term=KAJ1176420.1", "KAJ1176420.1")</f>
        <v/>
      </c>
      <c r="F8994" t="n">
        <v>99.40000000000001</v>
      </c>
      <c r="G8994" t="n">
        <v>338</v>
      </c>
      <c r="H8994" t="n">
        <v>1.04e-242</v>
      </c>
      <c r="I8994" t="inlineStr">
        <is>
          <t>Nr</t>
        </is>
      </c>
      <c r="J8994" t="inlineStr"/>
      <c r="K8994" t="inlineStr"/>
      <c r="L8994" t="inlineStr">
        <is>
          <t>KAJ1176420.1 hypothetical protein NDU88_001701 [Pleurodeles waltl]</t>
        </is>
      </c>
      <c r="M8994" t="n">
        <v>338</v>
      </c>
      <c r="N8994" t="inlineStr">
        <is>
          <t>Pleurodeles waltl</t>
        </is>
      </c>
      <c r="O8994" t="inlineStr">
        <is>
          <t>hypothetical protein NDU88_001701</t>
        </is>
      </c>
    </row>
    <row r="8995">
      <c r="A8995" t="inlineStr"/>
      <c r="B8995" t="inlineStr"/>
      <c r="C8995" t="inlineStr"/>
      <c r="D8995" t="inlineStr"/>
      <c r="E8995">
        <f>HYPERLINK("https://www.ncbi.nlm.nih.gov/gene/?term=KAJ1215343.1", "KAJ1215343.1")</f>
        <v/>
      </c>
      <c r="F8995" t="n">
        <v>99.09999999999999</v>
      </c>
      <c r="G8995" t="n">
        <v>338</v>
      </c>
      <c r="H8995" t="n">
        <v>2.1e-242</v>
      </c>
      <c r="I8995" t="inlineStr">
        <is>
          <t>Nr</t>
        </is>
      </c>
      <c r="J8995" t="inlineStr"/>
      <c r="K8995" t="inlineStr"/>
      <c r="L8995" t="inlineStr">
        <is>
          <t>KAJ1215343.1 hypothetical protein NDU88_002952 [Pleurodeles waltl]</t>
        </is>
      </c>
      <c r="M8995" t="n">
        <v>338</v>
      </c>
      <c r="N8995" t="inlineStr">
        <is>
          <t>Pleurodeles waltl</t>
        </is>
      </c>
      <c r="O8995" t="inlineStr">
        <is>
          <t>hypothetical protein NDU88_002952</t>
        </is>
      </c>
    </row>
    <row r="8996">
      <c r="A8996" t="inlineStr"/>
      <c r="B8996" t="inlineStr"/>
      <c r="C8996" t="inlineStr"/>
      <c r="D8996" t="inlineStr"/>
      <c r="E8996">
        <f>HYPERLINK("https://www.uniprot.org/uniprotkb/A0A669D5P3/entry", "A0A669D5P3")</f>
        <v/>
      </c>
      <c r="F8996" t="n">
        <v>99.40000000000001</v>
      </c>
      <c r="G8996" t="n">
        <v>337</v>
      </c>
      <c r="H8996" t="n">
        <v>2.35e-242</v>
      </c>
      <c r="I8996" t="inlineStr">
        <is>
          <t>TrEMBL</t>
        </is>
      </c>
      <c r="J8996" t="inlineStr"/>
      <c r="K8996" t="inlineStr">
        <is>
          <t>A0A669D5P3_ORENI</t>
        </is>
      </c>
      <c r="L8996" t="inlineStr">
        <is>
          <t>tr|A0A669D5P3|A0A669D5P3_ORENI DDE_3 domain-containing protein OS=Oreochromis niloticus OX=8128 PE=4 SV=1</t>
        </is>
      </c>
      <c r="M8996" t="n">
        <v>338</v>
      </c>
      <c r="N8996" t="inlineStr">
        <is>
          <t>Oreochromis niloticus</t>
        </is>
      </c>
      <c r="O8996" t="inlineStr">
        <is>
          <t>DDE_3 domain-containing protein</t>
        </is>
      </c>
    </row>
    <row r="8997">
      <c r="A8997" t="inlineStr"/>
      <c r="B8997" t="inlineStr"/>
      <c r="C8997" t="inlineStr"/>
      <c r="D8997" t="inlineStr"/>
      <c r="E8997">
        <f>HYPERLINK("https://www.uniprot.org/uniprotkb/A0A669ENE6/entry", "A0A669ENE6")</f>
        <v/>
      </c>
      <c r="F8997" t="n">
        <v>99.09999999999999</v>
      </c>
      <c r="G8997" t="n">
        <v>338</v>
      </c>
      <c r="H8997" t="n">
        <v>2.35e-242</v>
      </c>
      <c r="I8997" t="inlineStr">
        <is>
          <t>TrEMBL</t>
        </is>
      </c>
      <c r="J8997" t="inlineStr"/>
      <c r="K8997" t="inlineStr">
        <is>
          <t>A0A669ENE6_ORENI</t>
        </is>
      </c>
      <c r="L8997" t="inlineStr">
        <is>
          <t>tr|A0A669ENE6|A0A669ENE6_ORENI DDE_3 domain-containing protein OS=Oreochromis niloticus OX=8128 PE=4 SV=1</t>
        </is>
      </c>
      <c r="M8997" t="n">
        <v>338</v>
      </c>
      <c r="N8997" t="inlineStr">
        <is>
          <t>Oreochromis niloticus</t>
        </is>
      </c>
      <c r="O8997" t="inlineStr">
        <is>
          <t>DDE_3 domain-containing protein</t>
        </is>
      </c>
    </row>
    <row r="8998">
      <c r="A8998" t="inlineStr"/>
      <c r="B8998" t="inlineStr"/>
      <c r="C8998" t="inlineStr"/>
      <c r="D8998" t="inlineStr"/>
      <c r="E8998">
        <f>HYPERLINK("https://www.uniprot.org/uniprotkb/A0A669BQA4/entry", "A0A669BQA4")</f>
        <v/>
      </c>
      <c r="F8998" t="n">
        <v>99.09999999999999</v>
      </c>
      <c r="G8998" t="n">
        <v>337</v>
      </c>
      <c r="H8998" t="n">
        <v>3.34e-242</v>
      </c>
      <c r="I8998" t="inlineStr">
        <is>
          <t>TrEMBL</t>
        </is>
      </c>
      <c r="J8998" t="inlineStr"/>
      <c r="K8998" t="inlineStr">
        <is>
          <t>A0A669BQA4_ORENI</t>
        </is>
      </c>
      <c r="L8998" t="inlineStr">
        <is>
          <t>tr|A0A669BQA4|A0A669BQA4_ORENI DDE_3 domain-containing protein OS=Oreochromis niloticus OX=8128 PE=4 SV=1</t>
        </is>
      </c>
      <c r="M8998" t="n">
        <v>338</v>
      </c>
      <c r="N8998" t="inlineStr">
        <is>
          <t>Oreochromis niloticus</t>
        </is>
      </c>
      <c r="O8998" t="inlineStr">
        <is>
          <t>DDE_3 domain-containing protein</t>
        </is>
      </c>
    </row>
    <row r="8999">
      <c r="A8999" t="inlineStr"/>
      <c r="B8999" t="inlineStr"/>
      <c r="C8999" t="inlineStr"/>
      <c r="D8999" t="inlineStr"/>
      <c r="E8999">
        <f>HYPERLINK("https://www.ncbi.nlm.nih.gov/gene/?term=KAJ1192418.1", "KAJ1192418.1")</f>
        <v/>
      </c>
      <c r="F8999" t="n">
        <v>99.09999999999999</v>
      </c>
      <c r="G8999" t="n">
        <v>338</v>
      </c>
      <c r="H8999" t="n">
        <v>4.25e-242</v>
      </c>
      <c r="I8999" t="inlineStr">
        <is>
          <t>Nr</t>
        </is>
      </c>
      <c r="J8999" t="inlineStr"/>
      <c r="K8999" t="inlineStr"/>
      <c r="L8999" t="inlineStr">
        <is>
          <t>KAJ1192418.1 hypothetical protein NDU88_001725 [Pleurodeles waltl]</t>
        </is>
      </c>
      <c r="M8999" t="n">
        <v>338</v>
      </c>
      <c r="N8999" t="inlineStr">
        <is>
          <t>Pleurodeles waltl</t>
        </is>
      </c>
      <c r="O8999" t="inlineStr">
        <is>
          <t>hypothetical protein NDU88_001725</t>
        </is>
      </c>
    </row>
    <row r="9000">
      <c r="A9000" t="inlineStr"/>
      <c r="B9000" t="inlineStr"/>
      <c r="C9000" t="inlineStr"/>
      <c r="D9000" t="inlineStr"/>
      <c r="E9000">
        <f>HYPERLINK("https://www.ncbi.nlm.nih.gov/gene/?term=KAJ1152265.1", "KAJ1152265.1")</f>
        <v/>
      </c>
      <c r="F9000" t="n">
        <v>99.09999999999999</v>
      </c>
      <c r="G9000" t="n">
        <v>338</v>
      </c>
      <c r="H9000" t="n">
        <v>4.25e-242</v>
      </c>
      <c r="I9000" t="inlineStr">
        <is>
          <t>Nr</t>
        </is>
      </c>
      <c r="J9000" t="inlineStr"/>
      <c r="K9000" t="inlineStr"/>
      <c r="L9000" t="inlineStr">
        <is>
          <t>KAJ1152265.1 hypothetical protein NDU88_005041 [Pleurodeles waltl]</t>
        </is>
      </c>
      <c r="M9000" t="n">
        <v>338</v>
      </c>
      <c r="N9000" t="inlineStr">
        <is>
          <t>Pleurodeles waltl</t>
        </is>
      </c>
      <c r="O9000" t="inlineStr">
        <is>
          <t>hypothetical protein NDU88_005041</t>
        </is>
      </c>
    </row>
    <row r="9001">
      <c r="A9001" t="inlineStr"/>
      <c r="B9001" t="inlineStr"/>
      <c r="C9001" t="inlineStr"/>
      <c r="D9001" t="inlineStr"/>
      <c r="E9001">
        <f>HYPERLINK("https://www.uniprot.org/uniprotkb/A0A669C6K0/entry", "A0A669C6K0")</f>
        <v/>
      </c>
      <c r="F9001" t="n">
        <v>99.09999999999999</v>
      </c>
      <c r="G9001" t="n">
        <v>337</v>
      </c>
      <c r="H9001" t="n">
        <v>4.739999999999999e-242</v>
      </c>
      <c r="I9001" t="inlineStr">
        <is>
          <t>TrEMBL</t>
        </is>
      </c>
      <c r="J9001" t="inlineStr"/>
      <c r="K9001" t="inlineStr">
        <is>
          <t>A0A669C6K0_ORENI</t>
        </is>
      </c>
      <c r="L9001" t="inlineStr">
        <is>
          <t>tr|A0A669C6K0|A0A669C6K0_ORENI DDE_3 domain-containing protein OS=Oreochromis niloticus OX=8128 PE=4 SV=1</t>
        </is>
      </c>
      <c r="M9001" t="n">
        <v>338</v>
      </c>
      <c r="N9001" t="inlineStr">
        <is>
          <t>Oreochromis niloticus</t>
        </is>
      </c>
      <c r="O9001" t="inlineStr">
        <is>
          <t>DDE_3 domain-containing protein</t>
        </is>
      </c>
    </row>
    <row r="9002">
      <c r="A9002" t="inlineStr"/>
      <c r="B9002" t="inlineStr"/>
      <c r="C9002" t="inlineStr"/>
      <c r="D9002" t="inlineStr"/>
      <c r="E9002">
        <f>HYPERLINK("https://www.uniprot.org/uniprotkb/A0A3P8RCT6/entry", "A0A3P8RCT6")</f>
        <v/>
      </c>
      <c r="F9002" t="n">
        <v>98.8</v>
      </c>
      <c r="G9002" t="n">
        <v>338</v>
      </c>
      <c r="H9002" t="n">
        <v>4.739999999999999e-242</v>
      </c>
      <c r="I9002" t="inlineStr">
        <is>
          <t>TrEMBL</t>
        </is>
      </c>
      <c r="J9002" t="inlineStr"/>
      <c r="K9002" t="inlineStr">
        <is>
          <t>A0A3P8RCT6_ASTCA</t>
        </is>
      </c>
      <c r="L9002" t="inlineStr">
        <is>
          <t>tr|A0A3P8RCT6|A0A3P8RCT6_ASTCA DDE_3 domain-containing protein OS=Astatotilapia calliptera OX=8154 PE=4 SV=1</t>
        </is>
      </c>
      <c r="M9002" t="n">
        <v>338</v>
      </c>
      <c r="N9002" t="inlineStr">
        <is>
          <t>Astatotilapia calliptera</t>
        </is>
      </c>
      <c r="O9002" t="inlineStr">
        <is>
          <t>DDE_3 domain-containing protein</t>
        </is>
      </c>
    </row>
    <row r="9003">
      <c r="A9003" t="inlineStr"/>
      <c r="B9003" t="inlineStr"/>
      <c r="C9003" t="inlineStr"/>
      <c r="D9003" t="inlineStr"/>
      <c r="E9003">
        <f>HYPERLINK("https://www.uniprot.org/uniprotkb/A0A8C6L1U3/entry", "A0A8C6L1U3")</f>
        <v/>
      </c>
      <c r="F9003" t="n">
        <v>99.09999999999999</v>
      </c>
      <c r="G9003" t="n">
        <v>337</v>
      </c>
      <c r="H9003" t="n">
        <v>6.73e-242</v>
      </c>
      <c r="I9003" t="inlineStr">
        <is>
          <t>TrEMBL</t>
        </is>
      </c>
      <c r="J9003" t="inlineStr"/>
      <c r="K9003" t="inlineStr">
        <is>
          <t>A0A8C6L1U3_NOTFU</t>
        </is>
      </c>
      <c r="L9003" t="inlineStr">
        <is>
          <t>tr|A0A8C6L1U3|A0A8C6L1U3_NOTFU DDE_3 domain-containing protein OS=Nothobranchius furzeri OX=105023 PE=4 SV=1</t>
        </is>
      </c>
      <c r="M9003" t="n">
        <v>338</v>
      </c>
      <c r="N9003" t="inlineStr">
        <is>
          <t>Nothobranchius furzeri</t>
        </is>
      </c>
      <c r="O9003" t="inlineStr">
        <is>
          <t>DDE_3 domain-containing protein</t>
        </is>
      </c>
    </row>
    <row r="9004">
      <c r="A9004" t="inlineStr"/>
      <c r="B9004" t="inlineStr"/>
      <c r="C9004" t="inlineStr"/>
      <c r="D9004" t="inlineStr"/>
      <c r="E9004">
        <f>HYPERLINK("https://www.uniprot.org/uniprotkb/A0A669EEC3/entry", "A0A669EEC3")</f>
        <v/>
      </c>
      <c r="F9004" t="n">
        <v>98.8</v>
      </c>
      <c r="G9004" t="n">
        <v>338</v>
      </c>
      <c r="H9004" t="n">
        <v>6.73e-242</v>
      </c>
      <c r="I9004" t="inlineStr">
        <is>
          <t>TrEMBL</t>
        </is>
      </c>
      <c r="J9004" t="inlineStr"/>
      <c r="K9004" t="inlineStr">
        <is>
          <t>A0A669EEC3_ORENI</t>
        </is>
      </c>
      <c r="L9004" t="inlineStr">
        <is>
          <t>tr|A0A669EEC3|A0A669EEC3_ORENI DDE_3 domain-containing protein OS=Oreochromis niloticus OX=8128 PE=4 SV=1</t>
        </is>
      </c>
      <c r="M9004" t="n">
        <v>338</v>
      </c>
      <c r="N9004" t="inlineStr">
        <is>
          <t>Oreochromis niloticus</t>
        </is>
      </c>
      <c r="O9004" t="inlineStr">
        <is>
          <t>DDE_3 domain-containing protein</t>
        </is>
      </c>
    </row>
    <row r="9005">
      <c r="A9005" t="inlineStr"/>
      <c r="B9005" t="inlineStr"/>
      <c r="C9005" t="inlineStr"/>
      <c r="D9005" t="inlineStr"/>
      <c r="E9005">
        <f>HYPERLINK("https://www.uniprot.org/uniprotkb/A0A669E1W9/entry", "A0A669E1W9")</f>
        <v/>
      </c>
      <c r="F9005" t="n">
        <v>99.09999999999999</v>
      </c>
      <c r="G9005" t="n">
        <v>337</v>
      </c>
      <c r="H9005" t="n">
        <v>6.73e-242</v>
      </c>
      <c r="I9005" t="inlineStr">
        <is>
          <t>TrEMBL</t>
        </is>
      </c>
      <c r="J9005" t="inlineStr"/>
      <c r="K9005" t="inlineStr">
        <is>
          <t>A0A669E1W9_ORENI</t>
        </is>
      </c>
      <c r="L9005" t="inlineStr">
        <is>
          <t>tr|A0A669E1W9|A0A669E1W9_ORENI DDE_3 domain-containing protein OS=Oreochromis niloticus OX=8128 PE=4 SV=1</t>
        </is>
      </c>
      <c r="M9005" t="n">
        <v>338</v>
      </c>
      <c r="N9005" t="inlineStr">
        <is>
          <t>Oreochromis niloticus</t>
        </is>
      </c>
      <c r="O9005" t="inlineStr">
        <is>
          <t>DDE_3 domain-containing protein</t>
        </is>
      </c>
    </row>
    <row r="9006">
      <c r="A9006" t="inlineStr"/>
      <c r="B9006" t="inlineStr"/>
      <c r="C9006" t="inlineStr"/>
      <c r="D9006" t="inlineStr"/>
      <c r="E9006">
        <f>HYPERLINK("https://www.uniprot.org/uniprotkb/A0A669CF39/entry", "A0A669CF39")</f>
        <v/>
      </c>
      <c r="F9006" t="n">
        <v>99.09999999999999</v>
      </c>
      <c r="G9006" t="n">
        <v>337</v>
      </c>
      <c r="H9006" t="n">
        <v>6.73e-242</v>
      </c>
      <c r="I9006" t="inlineStr">
        <is>
          <t>TrEMBL</t>
        </is>
      </c>
      <c r="J9006" t="inlineStr"/>
      <c r="K9006" t="inlineStr">
        <is>
          <t>A0A669CF39_ORENI</t>
        </is>
      </c>
      <c r="L9006" t="inlineStr">
        <is>
          <t>tr|A0A669CF39|A0A669CF39_ORENI DDE_3 domain-containing protein OS=Oreochromis niloticus OX=8128 PE=4 SV=1</t>
        </is>
      </c>
      <c r="M9006" t="n">
        <v>338</v>
      </c>
      <c r="N9006" t="inlineStr">
        <is>
          <t>Oreochromis niloticus</t>
        </is>
      </c>
      <c r="O9006" t="inlineStr">
        <is>
          <t>DDE_3 domain-containing protein</t>
        </is>
      </c>
    </row>
    <row r="9007">
      <c r="A9007" t="inlineStr"/>
      <c r="B9007" t="inlineStr"/>
      <c r="C9007" t="inlineStr"/>
      <c r="D9007" t="inlineStr"/>
      <c r="E9007">
        <f>HYPERLINK("https://www.uniprot.org/uniprotkb/A0A3P8Q5P8/entry", "A0A3P8Q5P8")</f>
        <v/>
      </c>
      <c r="F9007" t="n">
        <v>99.09999999999999</v>
      </c>
      <c r="G9007" t="n">
        <v>337</v>
      </c>
      <c r="H9007" t="n">
        <v>6.73e-242</v>
      </c>
      <c r="I9007" t="inlineStr">
        <is>
          <t>TrEMBL</t>
        </is>
      </c>
      <c r="J9007" t="inlineStr"/>
      <c r="K9007" t="inlineStr">
        <is>
          <t>A0A3P8Q5P8_ASTCA</t>
        </is>
      </c>
      <c r="L9007" t="inlineStr">
        <is>
          <t>tr|A0A3P8Q5P8|A0A3P8Q5P8_ASTCA DDE_3 domain-containing protein OS=Astatotilapia calliptera OX=8154 PE=4 SV=1</t>
        </is>
      </c>
      <c r="M9007" t="n">
        <v>338</v>
      </c>
      <c r="N9007" t="inlineStr">
        <is>
          <t>Astatotilapia calliptera</t>
        </is>
      </c>
      <c r="O9007" t="inlineStr">
        <is>
          <t>DDE_3 domain-containing protein</t>
        </is>
      </c>
    </row>
    <row r="9008">
      <c r="A9008" t="inlineStr"/>
      <c r="B9008" t="inlineStr"/>
      <c r="C9008" t="inlineStr"/>
      <c r="D9008" t="inlineStr"/>
      <c r="E9008">
        <f>HYPERLINK("https://www.uniprot.org/uniprotkb/A0A669CDU4/entry", "A0A669CDU4")</f>
        <v/>
      </c>
      <c r="F9008" t="n">
        <v>99.09999999999999</v>
      </c>
      <c r="G9008" t="n">
        <v>337</v>
      </c>
      <c r="H9008" t="n">
        <v>9.559999999999999e-242</v>
      </c>
      <c r="I9008" t="inlineStr">
        <is>
          <t>TrEMBL</t>
        </is>
      </c>
      <c r="J9008" t="inlineStr"/>
      <c r="K9008" t="inlineStr">
        <is>
          <t>A0A669CDU4_ORENI</t>
        </is>
      </c>
      <c r="L9008" t="inlineStr">
        <is>
          <t>tr|A0A669CDU4|A0A669CDU4_ORENI DDE_3 domain-containing protein OS=Oreochromis niloticus OX=8128 PE=4 SV=1</t>
        </is>
      </c>
      <c r="M9008" t="n">
        <v>338</v>
      </c>
      <c r="N9008" t="inlineStr">
        <is>
          <t>Oreochromis niloticus</t>
        </is>
      </c>
      <c r="O9008" t="inlineStr">
        <is>
          <t>DDE_3 domain-containing protein</t>
        </is>
      </c>
    </row>
    <row r="9009">
      <c r="A9009" t="inlineStr"/>
      <c r="B9009" t="inlineStr"/>
      <c r="C9009" t="inlineStr"/>
      <c r="D9009" t="inlineStr"/>
      <c r="E9009">
        <f>HYPERLINK("https://www.uniprot.org/uniprotkb/A0A669F1M9/entry", "A0A669F1M9")</f>
        <v/>
      </c>
      <c r="F9009" t="n">
        <v>99.09999999999999</v>
      </c>
      <c r="G9009" t="n">
        <v>337</v>
      </c>
      <c r="H9009" t="n">
        <v>9.559999999999999e-242</v>
      </c>
      <c r="I9009" t="inlineStr">
        <is>
          <t>TrEMBL</t>
        </is>
      </c>
      <c r="J9009" t="inlineStr"/>
      <c r="K9009" t="inlineStr">
        <is>
          <t>A0A669F1M9_ORENI</t>
        </is>
      </c>
      <c r="L9009" t="inlineStr">
        <is>
          <t>tr|A0A669F1M9|A0A669F1M9_ORENI DDE_3 domain-containing protein OS=Oreochromis niloticus OX=8128 PE=4 SV=1</t>
        </is>
      </c>
      <c r="M9009" t="n">
        <v>338</v>
      </c>
      <c r="N9009" t="inlineStr">
        <is>
          <t>Oreochromis niloticus</t>
        </is>
      </c>
      <c r="O9009" t="inlineStr">
        <is>
          <t>DDE_3 domain-containing protein</t>
        </is>
      </c>
    </row>
    <row r="9010">
      <c r="A9010" t="inlineStr"/>
      <c r="B9010" t="inlineStr"/>
      <c r="C9010" t="inlineStr"/>
      <c r="D9010" t="inlineStr"/>
      <c r="E9010">
        <f>HYPERLINK("https://www.uniprot.org/uniprotkb/A0A669DT15/entry", "A0A669DT15")</f>
        <v/>
      </c>
      <c r="F9010" t="n">
        <v>99.09999999999999</v>
      </c>
      <c r="G9010" t="n">
        <v>337</v>
      </c>
      <c r="H9010" t="n">
        <v>9.559999999999999e-242</v>
      </c>
      <c r="I9010" t="inlineStr">
        <is>
          <t>TrEMBL</t>
        </is>
      </c>
      <c r="J9010" t="inlineStr"/>
      <c r="K9010" t="inlineStr">
        <is>
          <t>A0A669DT15_ORENI</t>
        </is>
      </c>
      <c r="L9010" t="inlineStr">
        <is>
          <t>tr|A0A669DT15|A0A669DT15_ORENI DDE_3 domain-containing protein OS=Oreochromis niloticus OX=8128 PE=4 SV=1</t>
        </is>
      </c>
      <c r="M9010" t="n">
        <v>338</v>
      </c>
      <c r="N9010" t="inlineStr">
        <is>
          <t>Oreochromis niloticus</t>
        </is>
      </c>
      <c r="O9010" t="inlineStr">
        <is>
          <t>DDE_3 domain-containing protein</t>
        </is>
      </c>
    </row>
    <row r="9011">
      <c r="A9011" t="inlineStr"/>
      <c r="B9011" t="inlineStr"/>
      <c r="C9011" t="inlineStr"/>
      <c r="D9011" t="inlineStr"/>
      <c r="E9011">
        <f>HYPERLINK("https://www.uniprot.org/uniprotkb/A0A669BN98/entry", "A0A669BN98")</f>
        <v/>
      </c>
      <c r="F9011" t="n">
        <v>99.09999999999999</v>
      </c>
      <c r="G9011" t="n">
        <v>337</v>
      </c>
      <c r="H9011" t="n">
        <v>9.559999999999999e-242</v>
      </c>
      <c r="I9011" t="inlineStr">
        <is>
          <t>TrEMBL</t>
        </is>
      </c>
      <c r="J9011" t="inlineStr"/>
      <c r="K9011" t="inlineStr">
        <is>
          <t>A0A669BN98_ORENI</t>
        </is>
      </c>
      <c r="L9011" t="inlineStr">
        <is>
          <t>tr|A0A669BN98|A0A669BN98_ORENI DDE_3 domain-containing protein OS=Oreochromis niloticus OX=8128 PE=4 SV=1</t>
        </is>
      </c>
      <c r="M9011" t="n">
        <v>338</v>
      </c>
      <c r="N9011" t="inlineStr">
        <is>
          <t>Oreochromis niloticus</t>
        </is>
      </c>
      <c r="O9011" t="inlineStr">
        <is>
          <t>DDE_3 domain-containing protein</t>
        </is>
      </c>
    </row>
    <row r="9012">
      <c r="A9012" t="inlineStr"/>
      <c r="B9012" t="inlineStr"/>
      <c r="C9012" t="inlineStr"/>
      <c r="D9012" t="inlineStr"/>
      <c r="E9012">
        <f>HYPERLINK("https://www.uniprot.org/uniprotkb/A0A669E7B1/entry", "A0A669E7B1")</f>
        <v/>
      </c>
      <c r="F9012" t="n">
        <v>99.09999999999999</v>
      </c>
      <c r="G9012" t="n">
        <v>337</v>
      </c>
      <c r="H9012" t="n">
        <v>1.36e-241</v>
      </c>
      <c r="I9012" t="inlineStr">
        <is>
          <t>TrEMBL</t>
        </is>
      </c>
      <c r="J9012" t="inlineStr"/>
      <c r="K9012" t="inlineStr">
        <is>
          <t>A0A669E7B1_ORENI</t>
        </is>
      </c>
      <c r="L9012" t="inlineStr">
        <is>
          <t>tr|A0A669E7B1|A0A669E7B1_ORENI DDE_3 domain-containing protein OS=Oreochromis niloticus OX=8128 PE=4 SV=1</t>
        </is>
      </c>
      <c r="M9012" t="n">
        <v>338</v>
      </c>
      <c r="N9012" t="inlineStr">
        <is>
          <t>Oreochromis niloticus</t>
        </is>
      </c>
      <c r="O9012" t="inlineStr">
        <is>
          <t>DDE_3 domain-containing protein</t>
        </is>
      </c>
    </row>
    <row r="9013">
      <c r="A9013" t="inlineStr"/>
      <c r="B9013" t="inlineStr"/>
      <c r="C9013" t="inlineStr"/>
      <c r="D9013" t="inlineStr"/>
      <c r="E9013">
        <f>HYPERLINK("https://www.uniprot.org/uniprotkb/A0A669DPZ0/entry", "A0A669DPZ0")</f>
        <v/>
      </c>
      <c r="F9013" t="n">
        <v>99.09999999999999</v>
      </c>
      <c r="G9013" t="n">
        <v>337</v>
      </c>
      <c r="H9013" t="n">
        <v>1.36e-241</v>
      </c>
      <c r="I9013" t="inlineStr">
        <is>
          <t>TrEMBL</t>
        </is>
      </c>
      <c r="J9013" t="inlineStr"/>
      <c r="K9013" t="inlineStr">
        <is>
          <t>A0A669DPZ0_ORENI</t>
        </is>
      </c>
      <c r="L9013" t="inlineStr">
        <is>
          <t>tr|A0A669DPZ0|A0A669DPZ0_ORENI DDE_3 domain-containing protein OS=Oreochromis niloticus OX=8128 PE=4 SV=1</t>
        </is>
      </c>
      <c r="M9013" t="n">
        <v>338</v>
      </c>
      <c r="N9013" t="inlineStr">
        <is>
          <t>Oreochromis niloticus</t>
        </is>
      </c>
      <c r="O9013" t="inlineStr">
        <is>
          <t>DDE_3 domain-containing protein</t>
        </is>
      </c>
    </row>
    <row r="9014">
      <c r="A9014" t="inlineStr"/>
      <c r="B9014" t="inlineStr"/>
      <c r="C9014" t="inlineStr"/>
      <c r="D9014" t="inlineStr"/>
      <c r="E9014">
        <f>HYPERLINK("https://www.uniprot.org/uniprotkb/A0A669B1V1/entry", "A0A669B1V1")</f>
        <v/>
      </c>
      <c r="F9014" t="n">
        <v>98.8</v>
      </c>
      <c r="G9014" t="n">
        <v>338</v>
      </c>
      <c r="H9014" t="n">
        <v>1.36e-241</v>
      </c>
      <c r="I9014" t="inlineStr">
        <is>
          <t>TrEMBL</t>
        </is>
      </c>
      <c r="J9014" t="inlineStr"/>
      <c r="K9014" t="inlineStr">
        <is>
          <t>A0A669B1V1_ORENI</t>
        </is>
      </c>
      <c r="L9014" t="inlineStr">
        <is>
          <t>tr|A0A669B1V1|A0A669B1V1_ORENI DDE_3 domain-containing protein OS=Oreochromis niloticus OX=8128 PE=4 SV=1</t>
        </is>
      </c>
      <c r="M9014" t="n">
        <v>338</v>
      </c>
      <c r="N9014" t="inlineStr">
        <is>
          <t>Oreochromis niloticus</t>
        </is>
      </c>
      <c r="O9014" t="inlineStr">
        <is>
          <t>DDE_3 domain-containing protein</t>
        </is>
      </c>
    </row>
    <row r="9015">
      <c r="A9015" t="inlineStr"/>
      <c r="B9015" t="inlineStr"/>
      <c r="C9015" t="inlineStr"/>
      <c r="D9015" t="inlineStr"/>
      <c r="E9015">
        <f>HYPERLINK("https://www.uniprot.org/uniprotkb/A0A669BNP8/entry", "A0A669BNP8")</f>
        <v/>
      </c>
      <c r="F9015" t="n">
        <v>99.09999999999999</v>
      </c>
      <c r="G9015" t="n">
        <v>337</v>
      </c>
      <c r="H9015" t="n">
        <v>1.36e-241</v>
      </c>
      <c r="I9015" t="inlineStr">
        <is>
          <t>TrEMBL</t>
        </is>
      </c>
      <c r="J9015" t="inlineStr"/>
      <c r="K9015" t="inlineStr">
        <is>
          <t>A0A669BNP8_ORENI</t>
        </is>
      </c>
      <c r="L9015" t="inlineStr">
        <is>
          <t>tr|A0A669BNP8|A0A669BNP8_ORENI DDE_3 domain-containing protein OS=Oreochromis niloticus OX=8128 PE=4 SV=1</t>
        </is>
      </c>
      <c r="M9015" t="n">
        <v>338</v>
      </c>
      <c r="N9015" t="inlineStr">
        <is>
          <t>Oreochromis niloticus</t>
        </is>
      </c>
      <c r="O9015" t="inlineStr">
        <is>
          <t>DDE_3 domain-containing protein</t>
        </is>
      </c>
    </row>
    <row r="9016">
      <c r="A9016" t="inlineStr"/>
      <c r="B9016" t="inlineStr"/>
      <c r="C9016" t="inlineStr"/>
      <c r="D9016" t="inlineStr"/>
      <c r="E9016">
        <f>HYPERLINK("https://www.uniprot.org/uniprotkb/A0A3P8QK24/entry", "A0A3P8QK24")</f>
        <v/>
      </c>
      <c r="F9016" t="n">
        <v>98.8</v>
      </c>
      <c r="G9016" t="n">
        <v>338</v>
      </c>
      <c r="H9016" t="n">
        <v>1.36e-241</v>
      </c>
      <c r="I9016" t="inlineStr">
        <is>
          <t>TrEMBL</t>
        </is>
      </c>
      <c r="J9016" t="inlineStr"/>
      <c r="K9016" t="inlineStr">
        <is>
          <t>A0A3P8QK24_ASTCA</t>
        </is>
      </c>
      <c r="L9016" t="inlineStr">
        <is>
          <t>tr|A0A3P8QK24|A0A3P8QK24_ASTCA DDE_3 domain-containing protein OS=Astatotilapia calliptera OX=8154 PE=4 SV=1</t>
        </is>
      </c>
      <c r="M9016" t="n">
        <v>338</v>
      </c>
      <c r="N9016" t="inlineStr">
        <is>
          <t>Astatotilapia calliptera</t>
        </is>
      </c>
      <c r="O9016" t="inlineStr">
        <is>
          <t>DDE_3 domain-containing protein</t>
        </is>
      </c>
    </row>
    <row r="9017">
      <c r="A9017" t="inlineStr"/>
      <c r="B9017" t="inlineStr"/>
      <c r="C9017" t="inlineStr"/>
      <c r="D9017" t="inlineStr"/>
      <c r="E9017">
        <f>HYPERLINK("https://www.uniprot.org/uniprotkb/A0A1A8ADE3/entry", "A0A1A8ADE3")</f>
        <v/>
      </c>
      <c r="F9017" t="n">
        <v>98.8</v>
      </c>
      <c r="G9017" t="n">
        <v>337</v>
      </c>
      <c r="H9017" t="n">
        <v>1.93e-241</v>
      </c>
      <c r="I9017" t="inlineStr">
        <is>
          <t>TrEMBL</t>
        </is>
      </c>
      <c r="J9017" t="inlineStr">
        <is>
          <t>CR847950.4</t>
        </is>
      </c>
      <c r="K9017" t="inlineStr">
        <is>
          <t>A0A1A8ADE3_NOTFU</t>
        </is>
      </c>
      <c r="L9017" t="inlineStr">
        <is>
          <t>tr|A0A1A8ADE3|A0A1A8ADE3_NOTFU DDE_3 domain-containing protein OS=Nothobranchius furzeri OX=105023 GN=CR847950.4 PE=4 SV=1</t>
        </is>
      </c>
      <c r="M9017" t="n">
        <v>338</v>
      </c>
      <c r="N9017" t="inlineStr">
        <is>
          <t>Nothobranchius furzeri</t>
        </is>
      </c>
      <c r="O9017" t="inlineStr">
        <is>
          <t>DDE_3 domain-containing protein</t>
        </is>
      </c>
    </row>
    <row r="9018">
      <c r="A9018" t="inlineStr"/>
      <c r="B9018" t="inlineStr"/>
      <c r="C9018" t="inlineStr"/>
      <c r="D9018" t="inlineStr"/>
      <c r="E9018">
        <f>HYPERLINK("https://www.uniprot.org/uniprotkb/A0A669C6E1/entry", "A0A669C6E1")</f>
        <v/>
      </c>
      <c r="F9018" t="n">
        <v>99.09999999999999</v>
      </c>
      <c r="G9018" t="n">
        <v>337</v>
      </c>
      <c r="H9018" t="n">
        <v>1.93e-241</v>
      </c>
      <c r="I9018" t="inlineStr">
        <is>
          <t>TrEMBL</t>
        </is>
      </c>
      <c r="J9018" t="inlineStr"/>
      <c r="K9018" t="inlineStr">
        <is>
          <t>A0A669C6E1_ORENI</t>
        </is>
      </c>
      <c r="L9018" t="inlineStr">
        <is>
          <t>tr|A0A669C6E1|A0A669C6E1_ORENI DDE_3 domain-containing protein OS=Oreochromis niloticus OX=8128 PE=4 SV=1</t>
        </is>
      </c>
      <c r="M9018" t="n">
        <v>338</v>
      </c>
      <c r="N9018" t="inlineStr">
        <is>
          <t>Oreochromis niloticus</t>
        </is>
      </c>
      <c r="O9018" t="inlineStr">
        <is>
          <t>DDE_3 domain-containing protein</t>
        </is>
      </c>
    </row>
    <row r="9019">
      <c r="A9019" t="inlineStr"/>
      <c r="B9019" t="inlineStr"/>
      <c r="C9019" t="inlineStr"/>
      <c r="D9019" t="inlineStr"/>
      <c r="E9019">
        <f>HYPERLINK("https://www.uniprot.org/uniprotkb/A0A669DBA3/entry", "A0A669DBA3")</f>
        <v/>
      </c>
      <c r="F9019" t="n">
        <v>99.09999999999999</v>
      </c>
      <c r="G9019" t="n">
        <v>337</v>
      </c>
      <c r="H9019" t="n">
        <v>1.93e-241</v>
      </c>
      <c r="I9019" t="inlineStr">
        <is>
          <t>TrEMBL</t>
        </is>
      </c>
      <c r="J9019" t="inlineStr"/>
      <c r="K9019" t="inlineStr">
        <is>
          <t>A0A669DBA3_ORENI</t>
        </is>
      </c>
      <c r="L9019" t="inlineStr">
        <is>
          <t>tr|A0A669DBA3|A0A669DBA3_ORENI DDE_3 domain-containing protein OS=Oreochromis niloticus OX=8128 PE=4 SV=1</t>
        </is>
      </c>
      <c r="M9019" t="n">
        <v>338</v>
      </c>
      <c r="N9019" t="inlineStr">
        <is>
          <t>Oreochromis niloticus</t>
        </is>
      </c>
      <c r="O9019" t="inlineStr">
        <is>
          <t>DDE_3 domain-containing protein</t>
        </is>
      </c>
    </row>
    <row r="9020">
      <c r="A9020" t="inlineStr"/>
      <c r="B9020" t="inlineStr"/>
      <c r="C9020" t="inlineStr"/>
      <c r="D9020" t="inlineStr"/>
      <c r="E9020">
        <f>HYPERLINK("https://www.uniprot.org/uniprotkb/A0A669BLN6/entry", "A0A669BLN6")</f>
        <v/>
      </c>
      <c r="F9020" t="n">
        <v>99.09999999999999</v>
      </c>
      <c r="G9020" t="n">
        <v>337</v>
      </c>
      <c r="H9020" t="n">
        <v>1.93e-241</v>
      </c>
      <c r="I9020" t="inlineStr">
        <is>
          <t>TrEMBL</t>
        </is>
      </c>
      <c r="J9020" t="inlineStr"/>
      <c r="K9020" t="inlineStr">
        <is>
          <t>A0A669BLN6_ORENI</t>
        </is>
      </c>
      <c r="L9020" t="inlineStr">
        <is>
          <t>tr|A0A669BLN6|A0A669BLN6_ORENI DDE_3 domain-containing protein OS=Oreochromis niloticus OX=8128 PE=4 SV=1</t>
        </is>
      </c>
      <c r="M9020" t="n">
        <v>338</v>
      </c>
      <c r="N9020" t="inlineStr">
        <is>
          <t>Oreochromis niloticus</t>
        </is>
      </c>
      <c r="O9020" t="inlineStr">
        <is>
          <t>DDE_3 domain-containing protein</t>
        </is>
      </c>
    </row>
    <row r="9021">
      <c r="A9021" t="inlineStr"/>
      <c r="B9021" t="inlineStr"/>
      <c r="C9021" t="inlineStr"/>
      <c r="D9021" t="inlineStr"/>
      <c r="E9021">
        <f>HYPERLINK("https://www.uniprot.org/uniprotkb/A0A669BQ62/entry", "A0A669BQ62")</f>
        <v/>
      </c>
      <c r="F9021" t="n">
        <v>99.09999999999999</v>
      </c>
      <c r="G9021" t="n">
        <v>337</v>
      </c>
      <c r="H9021" t="n">
        <v>1.93e-241</v>
      </c>
      <c r="I9021" t="inlineStr">
        <is>
          <t>TrEMBL</t>
        </is>
      </c>
      <c r="J9021" t="inlineStr"/>
      <c r="K9021" t="inlineStr">
        <is>
          <t>A0A669BQ62_ORENI</t>
        </is>
      </c>
      <c r="L9021" t="inlineStr">
        <is>
          <t>tr|A0A669BQ62|A0A669BQ62_ORENI DDE_3 domain-containing protein OS=Oreochromis niloticus OX=8128 PE=4 SV=1</t>
        </is>
      </c>
      <c r="M9021" t="n">
        <v>338</v>
      </c>
      <c r="N9021" t="inlineStr">
        <is>
          <t>Oreochromis niloticus</t>
        </is>
      </c>
      <c r="O9021" t="inlineStr">
        <is>
          <t>DDE_3 domain-containing protein</t>
        </is>
      </c>
    </row>
    <row r="9022">
      <c r="A9022" t="inlineStr"/>
      <c r="B9022" t="inlineStr"/>
      <c r="C9022" t="inlineStr"/>
      <c r="D9022" t="inlineStr"/>
      <c r="E9022">
        <f>HYPERLINK("https://www.uniprot.org/uniprotkb/A0A669BGD6/entry", "A0A669BGD6")</f>
        <v/>
      </c>
      <c r="F9022" t="n">
        <v>99.09999999999999</v>
      </c>
      <c r="G9022" t="n">
        <v>337</v>
      </c>
      <c r="H9022" t="n">
        <v>1.93e-241</v>
      </c>
      <c r="I9022" t="inlineStr">
        <is>
          <t>TrEMBL</t>
        </is>
      </c>
      <c r="J9022" t="inlineStr"/>
      <c r="K9022" t="inlineStr">
        <is>
          <t>A0A669BGD6_ORENI</t>
        </is>
      </c>
      <c r="L9022" t="inlineStr">
        <is>
          <t>tr|A0A669BGD6|A0A669BGD6_ORENI DDE_3 domain-containing protein OS=Oreochromis niloticus OX=8128 PE=4 SV=1</t>
        </is>
      </c>
      <c r="M9022" t="n">
        <v>338</v>
      </c>
      <c r="N9022" t="inlineStr">
        <is>
          <t>Oreochromis niloticus</t>
        </is>
      </c>
      <c r="O9022" t="inlineStr">
        <is>
          <t>DDE_3 domain-containing protein</t>
        </is>
      </c>
    </row>
    <row r="9023">
      <c r="A9023" t="inlineStr"/>
      <c r="B9023" t="inlineStr"/>
      <c r="C9023" t="inlineStr"/>
      <c r="D9023" t="inlineStr"/>
      <c r="E9023">
        <f>HYPERLINK("https://www.ncbi.nlm.nih.gov/gene/?term=KAJ1098151.1", "KAJ1098151.1")</f>
        <v/>
      </c>
      <c r="F9023" t="n">
        <v>98.8</v>
      </c>
      <c r="G9023" t="n">
        <v>338</v>
      </c>
      <c r="H9023" t="n">
        <v>2.46e-241</v>
      </c>
      <c r="I9023" t="inlineStr">
        <is>
          <t>Nr</t>
        </is>
      </c>
      <c r="J9023" t="inlineStr"/>
      <c r="K9023" t="inlineStr"/>
      <c r="L9023" t="inlineStr">
        <is>
          <t>KAJ1098151.1 hypothetical protein NDU88_003267 [Pleurodeles waltl]</t>
        </is>
      </c>
      <c r="M9023" t="n">
        <v>338</v>
      </c>
      <c r="N9023" t="inlineStr">
        <is>
          <t>Pleurodeles waltl</t>
        </is>
      </c>
      <c r="O9023" t="inlineStr">
        <is>
          <t>hypothetical protein NDU88_003267</t>
        </is>
      </c>
    </row>
    <row r="9024">
      <c r="A9024" t="inlineStr"/>
      <c r="B9024" t="inlineStr"/>
      <c r="C9024" t="inlineStr"/>
      <c r="D9024" t="inlineStr"/>
      <c r="E9024">
        <f>HYPERLINK("https://www.ncbi.nlm.nih.gov/gene/?term=KAJ1122871.1", "KAJ1122871.1")</f>
        <v/>
      </c>
      <c r="F9024" t="n">
        <v>98.8</v>
      </c>
      <c r="G9024" t="n">
        <v>338</v>
      </c>
      <c r="H9024" t="n">
        <v>3.489999999999999e-241</v>
      </c>
      <c r="I9024" t="inlineStr">
        <is>
          <t>Nr</t>
        </is>
      </c>
      <c r="J9024" t="inlineStr"/>
      <c r="K9024" t="inlineStr"/>
      <c r="L9024" t="inlineStr">
        <is>
          <t>KAJ1122871.1 hypothetical protein NDU88_001344 [Pleurodeles waltl]</t>
        </is>
      </c>
      <c r="M9024" t="n">
        <v>338</v>
      </c>
      <c r="N9024" t="inlineStr">
        <is>
          <t>Pleurodeles waltl</t>
        </is>
      </c>
      <c r="O9024" t="inlineStr">
        <is>
          <t>hypothetical protein NDU88_001344</t>
        </is>
      </c>
    </row>
    <row r="9025">
      <c r="A9025" t="inlineStr"/>
      <c r="B9025" t="inlineStr"/>
      <c r="C9025" t="inlineStr"/>
      <c r="D9025" t="inlineStr"/>
      <c r="E9025">
        <f>HYPERLINK("https://www.ncbi.nlm.nih.gov/gene/?term=KAJ1177322.1", "KAJ1177322.1")</f>
        <v/>
      </c>
      <c r="F9025" t="n">
        <v>98.8</v>
      </c>
      <c r="G9025" t="n">
        <v>338</v>
      </c>
      <c r="H9025" t="n">
        <v>4.96e-241</v>
      </c>
      <c r="I9025" t="inlineStr">
        <is>
          <t>Nr</t>
        </is>
      </c>
      <c r="J9025" t="inlineStr"/>
      <c r="K9025" t="inlineStr"/>
      <c r="L9025" t="inlineStr">
        <is>
          <t>KAJ1177322.1 hypothetical protein NDU88_002581 [Pleurodeles waltl]</t>
        </is>
      </c>
      <c r="M9025" t="n">
        <v>338</v>
      </c>
      <c r="N9025" t="inlineStr">
        <is>
          <t>Pleurodeles waltl</t>
        </is>
      </c>
      <c r="O9025" t="inlineStr">
        <is>
          <t>hypothetical protein NDU88_002581</t>
        </is>
      </c>
    </row>
    <row r="9026">
      <c r="A9026" t="inlineStr"/>
      <c r="B9026" t="inlineStr"/>
      <c r="C9026" t="inlineStr"/>
      <c r="D9026" t="inlineStr"/>
      <c r="E9026">
        <f>HYPERLINK("https://www.ncbi.nlm.nih.gov/gene/?term=KAJ1111768.1", "KAJ1111768.1")</f>
        <v/>
      </c>
      <c r="F9026" t="n">
        <v>98.8</v>
      </c>
      <c r="G9026" t="n">
        <v>338</v>
      </c>
      <c r="H9026" t="n">
        <v>7.04e-241</v>
      </c>
      <c r="I9026" t="inlineStr">
        <is>
          <t>Nr</t>
        </is>
      </c>
      <c r="J9026" t="inlineStr"/>
      <c r="K9026" t="inlineStr"/>
      <c r="L9026" t="inlineStr">
        <is>
          <t>KAJ1111768.1 hypothetical protein NDU88_000043 [Pleurodeles waltl]</t>
        </is>
      </c>
      <c r="M9026" t="n">
        <v>338</v>
      </c>
      <c r="N9026" t="inlineStr">
        <is>
          <t>Pleurodeles waltl</t>
        </is>
      </c>
      <c r="O9026" t="inlineStr">
        <is>
          <t>hypothetical protein NDU88_000043</t>
        </is>
      </c>
    </row>
    <row r="9027">
      <c r="A9027" t="inlineStr"/>
      <c r="B9027" t="inlineStr"/>
      <c r="C9027" t="inlineStr"/>
      <c r="D9027" t="inlineStr"/>
      <c r="E9027">
        <f>HYPERLINK("https://www.ncbi.nlm.nih.gov/gene/?term=KAJ1170425.1", "KAJ1170425.1")</f>
        <v/>
      </c>
      <c r="F9027" t="n">
        <v>98.8</v>
      </c>
      <c r="G9027" t="n">
        <v>337</v>
      </c>
      <c r="H9027" t="n">
        <v>1.55e-240</v>
      </c>
      <c r="I9027" t="inlineStr">
        <is>
          <t>Nr</t>
        </is>
      </c>
      <c r="J9027" t="inlineStr"/>
      <c r="K9027" t="inlineStr"/>
      <c r="L9027" t="inlineStr">
        <is>
          <t>KAJ1170425.1 hypothetical protein NDU88_002302 [Pleurodeles waltl]</t>
        </is>
      </c>
      <c r="M9027" t="n">
        <v>359</v>
      </c>
      <c r="N9027" t="inlineStr">
        <is>
          <t>Pleurodeles waltl</t>
        </is>
      </c>
      <c r="O9027" t="inlineStr">
        <is>
          <t>hypothetical protein NDU88_002302</t>
        </is>
      </c>
    </row>
    <row r="9028">
      <c r="A9028" t="inlineStr"/>
      <c r="B9028" t="inlineStr"/>
      <c r="C9028" t="inlineStr"/>
      <c r="D9028" t="inlineStr"/>
      <c r="E9028">
        <f>HYPERLINK("https://www.ncbi.nlm.nih.gov/gene/?term=KAJ1099104.1", "KAJ1099104.1")</f>
        <v/>
      </c>
      <c r="F9028" t="n">
        <v>98.8</v>
      </c>
      <c r="G9028" t="n">
        <v>338</v>
      </c>
      <c r="H9028" t="n">
        <v>2.02e-240</v>
      </c>
      <c r="I9028" t="inlineStr">
        <is>
          <t>Nr</t>
        </is>
      </c>
      <c r="J9028" t="inlineStr"/>
      <c r="K9028" t="inlineStr"/>
      <c r="L9028" t="inlineStr">
        <is>
          <t>KAJ1099104.1 hypothetical protein NDU88_004208 [Pleurodeles waltl]</t>
        </is>
      </c>
      <c r="M9028" t="n">
        <v>338</v>
      </c>
      <c r="N9028" t="inlineStr">
        <is>
          <t>Pleurodeles waltl</t>
        </is>
      </c>
      <c r="O9028" t="inlineStr">
        <is>
          <t>hypothetical protein NDU88_004208</t>
        </is>
      </c>
    </row>
    <row r="9029">
      <c r="A9029" t="inlineStr"/>
      <c r="B9029" t="inlineStr"/>
      <c r="C9029" t="inlineStr"/>
      <c r="D9029" t="inlineStr"/>
      <c r="E9029">
        <f>HYPERLINK("https://www.ncbi.nlm.nih.gov/gene/?term=KAJ1170138.1", "KAJ1170138.1")</f>
        <v/>
      </c>
      <c r="F9029" t="n">
        <v>98.5</v>
      </c>
      <c r="G9029" t="n">
        <v>338</v>
      </c>
      <c r="H9029" t="n">
        <v>2.02e-240</v>
      </c>
      <c r="I9029" t="inlineStr">
        <is>
          <t>Nr</t>
        </is>
      </c>
      <c r="J9029" t="inlineStr"/>
      <c r="K9029" t="inlineStr"/>
      <c r="L9029" t="inlineStr">
        <is>
          <t>KAJ1170138.1 hypothetical protein NDU88_002019 [Pleurodeles waltl]</t>
        </is>
      </c>
      <c r="M9029" t="n">
        <v>338</v>
      </c>
      <c r="N9029" t="inlineStr">
        <is>
          <t>Pleurodeles waltl</t>
        </is>
      </c>
      <c r="O9029" t="inlineStr">
        <is>
          <t>hypothetical protein NDU88_002019</t>
        </is>
      </c>
    </row>
    <row r="9030">
      <c r="A9030" t="inlineStr"/>
      <c r="B9030" t="inlineStr"/>
      <c r="C9030" t="inlineStr"/>
      <c r="D9030" t="inlineStr"/>
      <c r="E9030">
        <f>HYPERLINK("https://www.ncbi.nlm.nih.gov/gene/?term=KAJ1175770.1", "KAJ1175770.1")</f>
        <v/>
      </c>
      <c r="F9030" t="n">
        <v>98.2</v>
      </c>
      <c r="G9030" t="n">
        <v>338</v>
      </c>
      <c r="H9030" t="n">
        <v>8.219999999999999e-240</v>
      </c>
      <c r="I9030" t="inlineStr">
        <is>
          <t>Nr</t>
        </is>
      </c>
      <c r="J9030" t="inlineStr"/>
      <c r="K9030" t="inlineStr"/>
      <c r="L9030" t="inlineStr">
        <is>
          <t>KAJ1175770.1 hypothetical protein NDU88_001055 [Pleurodeles waltl]</t>
        </is>
      </c>
      <c r="M9030" t="n">
        <v>338</v>
      </c>
      <c r="N9030" t="inlineStr">
        <is>
          <t>Pleurodeles waltl</t>
        </is>
      </c>
      <c r="O9030" t="inlineStr">
        <is>
          <t>hypothetical protein NDU88_001055</t>
        </is>
      </c>
    </row>
    <row r="9031">
      <c r="A9031" t="inlineStr"/>
      <c r="B9031" t="inlineStr"/>
      <c r="C9031" t="inlineStr"/>
      <c r="D9031" t="inlineStr"/>
      <c r="E9031">
        <f>HYPERLINK("https://www.ncbi.nlm.nih.gov/gene/?term=KAJ1156381.1", "KAJ1156381.1")</f>
        <v/>
      </c>
      <c r="F9031" t="n">
        <v>98.8</v>
      </c>
      <c r="G9031" t="n">
        <v>338</v>
      </c>
      <c r="H9031" t="n">
        <v>8.219999999999999e-240</v>
      </c>
      <c r="I9031" t="inlineStr">
        <is>
          <t>Nr</t>
        </is>
      </c>
      <c r="J9031" t="inlineStr"/>
      <c r="K9031" t="inlineStr"/>
      <c r="L9031" t="inlineStr">
        <is>
          <t>KAJ1156381.1 hypothetical protein NDU88_009102 [Pleurodeles waltl]</t>
        </is>
      </c>
      <c r="M9031" t="n">
        <v>338</v>
      </c>
      <c r="N9031" t="inlineStr">
        <is>
          <t>Pleurodeles waltl</t>
        </is>
      </c>
      <c r="O9031" t="inlineStr">
        <is>
          <t>hypothetical protein NDU88_009102</t>
        </is>
      </c>
    </row>
    <row r="9032">
      <c r="A9032" t="inlineStr"/>
      <c r="B9032" t="inlineStr"/>
      <c r="C9032" t="inlineStr"/>
      <c r="D9032" t="inlineStr"/>
      <c r="E9032">
        <f>HYPERLINK("https://www.ncbi.nlm.nih.gov/gene/?term=KAJ1211562.1", "KAJ1211562.1")</f>
        <v/>
      </c>
      <c r="F9032" t="n">
        <v>98.2</v>
      </c>
      <c r="G9032" t="n">
        <v>338</v>
      </c>
      <c r="H9032" t="n">
        <v>1.17e-239</v>
      </c>
      <c r="I9032" t="inlineStr">
        <is>
          <t>Nr</t>
        </is>
      </c>
      <c r="J9032" t="inlineStr"/>
      <c r="K9032" t="inlineStr"/>
      <c r="L9032" t="inlineStr">
        <is>
          <t>KAJ1211562.1 hypothetical protein NDU88_006920 [Pleurodeles waltl]</t>
        </is>
      </c>
      <c r="M9032" t="n">
        <v>338</v>
      </c>
      <c r="N9032" t="inlineStr">
        <is>
          <t>Pleurodeles waltl</t>
        </is>
      </c>
      <c r="O9032" t="inlineStr">
        <is>
          <t>hypothetical protein NDU88_006920</t>
        </is>
      </c>
    </row>
    <row r="9033">
      <c r="A9033" t="inlineStr"/>
      <c r="B9033" t="inlineStr"/>
      <c r="C9033" t="inlineStr"/>
      <c r="D9033" t="inlineStr"/>
      <c r="E9033">
        <f>HYPERLINK("https://www.ncbi.nlm.nih.gov/gene/?term=KAJ1209094.1", "KAJ1209094.1")</f>
        <v/>
      </c>
      <c r="F9033" t="n">
        <v>98.5</v>
      </c>
      <c r="G9033" t="n">
        <v>338</v>
      </c>
      <c r="H9033" t="n">
        <v>1.17e-239</v>
      </c>
      <c r="I9033" t="inlineStr">
        <is>
          <t>Nr</t>
        </is>
      </c>
      <c r="J9033" t="inlineStr"/>
      <c r="K9033" t="inlineStr"/>
      <c r="L9033" t="inlineStr">
        <is>
          <t>KAJ1209094.1 hypothetical protein NDU88_004473 [Pleurodeles waltl]</t>
        </is>
      </c>
      <c r="M9033" t="n">
        <v>338</v>
      </c>
      <c r="N9033" t="inlineStr">
        <is>
          <t>Pleurodeles waltl</t>
        </is>
      </c>
      <c r="O9033" t="inlineStr">
        <is>
          <t>hypothetical protein NDU88_004473</t>
        </is>
      </c>
    </row>
    <row r="9034">
      <c r="A9034" t="inlineStr"/>
      <c r="B9034" t="inlineStr"/>
      <c r="C9034" t="inlineStr"/>
      <c r="D9034" t="inlineStr"/>
      <c r="E9034">
        <f>HYPERLINK("https://www.ncbi.nlm.nih.gov/gene/?term=KAJ1153665.1", "KAJ1153665.1")</f>
        <v/>
      </c>
      <c r="F9034" t="n">
        <v>98.5</v>
      </c>
      <c r="G9034" t="n">
        <v>338</v>
      </c>
      <c r="H9034" t="n">
        <v>3.34e-239</v>
      </c>
      <c r="I9034" t="inlineStr">
        <is>
          <t>Nr</t>
        </is>
      </c>
      <c r="J9034" t="inlineStr"/>
      <c r="K9034" t="inlineStr"/>
      <c r="L9034" t="inlineStr">
        <is>
          <t>KAJ1153665.1 hypothetical protein NDU88_006424 [Pleurodeles waltl]</t>
        </is>
      </c>
      <c r="M9034" t="n">
        <v>338</v>
      </c>
      <c r="N9034" t="inlineStr">
        <is>
          <t>Pleurodeles waltl</t>
        </is>
      </c>
      <c r="O9034" t="inlineStr">
        <is>
          <t>hypothetical protein NDU88_006424</t>
        </is>
      </c>
    </row>
    <row r="9035">
      <c r="A9035" t="inlineStr"/>
      <c r="B9035" t="inlineStr"/>
      <c r="C9035" t="inlineStr"/>
      <c r="D9035" t="inlineStr"/>
      <c r="E9035">
        <f>HYPERLINK("https://www.ncbi.nlm.nih.gov/gene/?term=KAJ1153375.1", "KAJ1153375.1")</f>
        <v/>
      </c>
      <c r="F9035" t="n">
        <v>97.90000000000001</v>
      </c>
      <c r="G9035" t="n">
        <v>338</v>
      </c>
      <c r="H9035" t="n">
        <v>4.75e-239</v>
      </c>
      <c r="I9035" t="inlineStr">
        <is>
          <t>Nr</t>
        </is>
      </c>
      <c r="J9035" t="inlineStr"/>
      <c r="K9035" t="inlineStr"/>
      <c r="L9035" t="inlineStr">
        <is>
          <t>KAJ1153375.1 hypothetical protein NDU88_006136 [Pleurodeles waltl]</t>
        </is>
      </c>
      <c r="M9035" t="n">
        <v>338</v>
      </c>
      <c r="N9035" t="inlineStr">
        <is>
          <t>Pleurodeles waltl</t>
        </is>
      </c>
      <c r="O9035" t="inlineStr">
        <is>
          <t>hypothetical protein NDU88_006136</t>
        </is>
      </c>
    </row>
    <row r="9036">
      <c r="A9036" t="inlineStr"/>
      <c r="B9036" t="inlineStr"/>
      <c r="C9036" t="inlineStr"/>
      <c r="D9036" t="inlineStr"/>
      <c r="E9036">
        <f>HYPERLINK("https://www.ncbi.nlm.nih.gov/gene/?term=KAJ1115833.1", "KAJ1115833.1")</f>
        <v/>
      </c>
      <c r="F9036" t="n">
        <v>97.90000000000001</v>
      </c>
      <c r="G9036" t="n">
        <v>338</v>
      </c>
      <c r="H9036" t="n">
        <v>4.75e-239</v>
      </c>
      <c r="I9036" t="inlineStr">
        <is>
          <t>Nr</t>
        </is>
      </c>
      <c r="J9036" t="inlineStr"/>
      <c r="K9036" t="inlineStr"/>
      <c r="L9036" t="inlineStr">
        <is>
          <t>KAJ1115833.1 hypothetical protein NDU88_004055 [Pleurodeles waltl]</t>
        </is>
      </c>
      <c r="M9036" t="n">
        <v>338</v>
      </c>
      <c r="N9036" t="inlineStr">
        <is>
          <t>Pleurodeles waltl</t>
        </is>
      </c>
      <c r="O9036" t="inlineStr">
        <is>
          <t>hypothetical protein NDU88_004055</t>
        </is>
      </c>
    </row>
    <row r="9037">
      <c r="A9037" t="inlineStr"/>
      <c r="B9037" t="inlineStr"/>
      <c r="C9037" t="inlineStr"/>
      <c r="D9037" t="inlineStr"/>
      <c r="E9037">
        <f>HYPERLINK("https://www.ncbi.nlm.nih.gov/gene/?term=KAJ1089646.1", "KAJ1089646.1")</f>
        <v/>
      </c>
      <c r="F9037" t="n">
        <v>98.2</v>
      </c>
      <c r="G9037" t="n">
        <v>338</v>
      </c>
      <c r="H9037" t="n">
        <v>6.75e-239</v>
      </c>
      <c r="I9037" t="inlineStr">
        <is>
          <t>Nr</t>
        </is>
      </c>
      <c r="J9037" t="inlineStr"/>
      <c r="K9037" t="inlineStr"/>
      <c r="L9037" t="inlineStr">
        <is>
          <t>KAJ1089646.1 hypothetical protein NDU88_002795 [Pleurodeles waltl]</t>
        </is>
      </c>
      <c r="M9037" t="n">
        <v>338</v>
      </c>
      <c r="N9037" t="inlineStr">
        <is>
          <t>Pleurodeles waltl</t>
        </is>
      </c>
      <c r="O9037" t="inlineStr">
        <is>
          <t>hypothetical protein NDU88_002795</t>
        </is>
      </c>
    </row>
    <row r="9038">
      <c r="A9038" t="inlineStr"/>
      <c r="B9038" t="inlineStr"/>
      <c r="C9038" t="inlineStr"/>
      <c r="D9038" t="inlineStr"/>
      <c r="E9038">
        <f>HYPERLINK("https://www.ncbi.nlm.nih.gov/gene/?term=KAJ1179529.1", "KAJ1179529.1")</f>
        <v/>
      </c>
      <c r="F9038" t="n">
        <v>98.8</v>
      </c>
      <c r="G9038" t="n">
        <v>338</v>
      </c>
      <c r="H9038" t="n">
        <v>7.71e-239</v>
      </c>
      <c r="I9038" t="inlineStr">
        <is>
          <t>Nr</t>
        </is>
      </c>
      <c r="J9038" t="inlineStr"/>
      <c r="K9038" t="inlineStr"/>
      <c r="L9038" t="inlineStr">
        <is>
          <t>KAJ1179529.1 hypothetical protein NDU88_004763 [Pleurodeles waltl]</t>
        </is>
      </c>
      <c r="M9038" t="n">
        <v>436</v>
      </c>
      <c r="N9038" t="inlineStr">
        <is>
          <t>Pleurodeles waltl</t>
        </is>
      </c>
      <c r="O9038" t="inlineStr">
        <is>
          <t>hypothetical protein NDU88_004763</t>
        </is>
      </c>
    </row>
    <row r="9039">
      <c r="A9039" t="inlineStr"/>
      <c r="B9039" t="inlineStr"/>
      <c r="C9039" t="inlineStr"/>
      <c r="D9039" t="inlineStr"/>
      <c r="E9039">
        <f>HYPERLINK("https://www.ncbi.nlm.nih.gov/gene/?term=KAJ1154404.1", "KAJ1154404.1")</f>
        <v/>
      </c>
      <c r="F9039" t="n">
        <v>98.5</v>
      </c>
      <c r="G9039" t="n">
        <v>338</v>
      </c>
      <c r="H9039" t="n">
        <v>1.26e-238</v>
      </c>
      <c r="I9039" t="inlineStr">
        <is>
          <t>Nr</t>
        </is>
      </c>
      <c r="J9039" t="inlineStr"/>
      <c r="K9039" t="inlineStr"/>
      <c r="L9039" t="inlineStr">
        <is>
          <t>KAJ1154404.1 hypothetical protein NDU88_007156 [Pleurodeles waltl]</t>
        </is>
      </c>
      <c r="M9039" t="n">
        <v>336</v>
      </c>
      <c r="N9039" t="inlineStr">
        <is>
          <t>Pleurodeles waltl</t>
        </is>
      </c>
      <c r="O9039" t="inlineStr">
        <is>
          <t>hypothetical protein NDU88_007156</t>
        </is>
      </c>
    </row>
    <row r="9040">
      <c r="A9040" t="inlineStr"/>
      <c r="B9040" t="inlineStr"/>
      <c r="C9040" t="inlineStr"/>
      <c r="D9040" t="inlineStr"/>
      <c r="E9040">
        <f>HYPERLINK("https://www.ncbi.nlm.nih.gov/gene/?term=KAF7711803.1", "KAF7711803.1")</f>
        <v/>
      </c>
      <c r="F9040" t="n">
        <v>97.59999999999999</v>
      </c>
      <c r="G9040" t="n">
        <v>338</v>
      </c>
      <c r="H9040" t="n">
        <v>1.36e-238</v>
      </c>
      <c r="I9040" t="inlineStr">
        <is>
          <t>Nr</t>
        </is>
      </c>
      <c r="J9040" t="inlineStr"/>
      <c r="K9040" t="inlineStr"/>
      <c r="L9040" t="inlineStr">
        <is>
          <t>KAF7711803.1 hypothetical protein HF521_000814 [Silurus meridionalis]</t>
        </is>
      </c>
      <c r="M9040" t="n">
        <v>338</v>
      </c>
      <c r="N9040" t="inlineStr">
        <is>
          <t>Silurus meridionalis</t>
        </is>
      </c>
      <c r="O9040" t="inlineStr">
        <is>
          <t>hypothetical protein HF521_000814</t>
        </is>
      </c>
    </row>
    <row r="9041">
      <c r="A9041" t="inlineStr"/>
      <c r="B9041" t="inlineStr"/>
      <c r="C9041" t="inlineStr"/>
      <c r="D9041" t="inlineStr"/>
      <c r="E9041">
        <f>HYPERLINK("https://www.ncbi.nlm.nih.gov/gene/?term=KAJ1161649.1", "KAJ1161649.1")</f>
        <v/>
      </c>
      <c r="F9041" t="n">
        <v>97.90000000000001</v>
      </c>
      <c r="G9041" t="n">
        <v>338</v>
      </c>
      <c r="H9041" t="n">
        <v>3.9e-238</v>
      </c>
      <c r="I9041" t="inlineStr">
        <is>
          <t>Nr</t>
        </is>
      </c>
      <c r="J9041" t="inlineStr"/>
      <c r="K9041" t="inlineStr"/>
      <c r="L9041" t="inlineStr">
        <is>
          <t>KAJ1161649.1 hypothetical protein NDU88_002133 [Pleurodeles waltl]</t>
        </is>
      </c>
      <c r="M9041" t="n">
        <v>338</v>
      </c>
      <c r="N9041" t="inlineStr">
        <is>
          <t>Pleurodeles waltl</t>
        </is>
      </c>
      <c r="O9041" t="inlineStr">
        <is>
          <t>hypothetical protein NDU88_002133</t>
        </is>
      </c>
    </row>
    <row r="9042">
      <c r="A9042" t="inlineStr"/>
      <c r="B9042" t="inlineStr"/>
      <c r="C9042" t="inlineStr"/>
      <c r="D9042" t="inlineStr"/>
      <c r="E9042">
        <f>HYPERLINK("https://www.ncbi.nlm.nih.gov/gene/?term=KAJ1084787.1", "KAJ1084787.1")</f>
        <v/>
      </c>
      <c r="F9042" t="n">
        <v>97.90000000000001</v>
      </c>
      <c r="G9042" t="n">
        <v>338</v>
      </c>
      <c r="H9042" t="n">
        <v>1.12e-237</v>
      </c>
      <c r="I9042" t="inlineStr">
        <is>
          <t>Nr</t>
        </is>
      </c>
      <c r="J9042" t="inlineStr"/>
      <c r="K9042" t="inlineStr"/>
      <c r="L9042" t="inlineStr">
        <is>
          <t>KAJ1084787.1 hypothetical protein NDU88_004933 [Pleurodeles waltl]</t>
        </is>
      </c>
      <c r="M9042" t="n">
        <v>338</v>
      </c>
      <c r="N9042" t="inlineStr">
        <is>
          <t>Pleurodeles waltl</t>
        </is>
      </c>
      <c r="O9042" t="inlineStr">
        <is>
          <t>hypothetical protein NDU88_004933</t>
        </is>
      </c>
    </row>
    <row r="9043">
      <c r="A9043" t="inlineStr"/>
      <c r="B9043" t="inlineStr"/>
      <c r="C9043" t="inlineStr"/>
      <c r="D9043" t="inlineStr"/>
      <c r="E9043">
        <f>HYPERLINK("https://www.ncbi.nlm.nih.gov/gene/?term=KAJ1100107.1", "KAJ1100107.1")</f>
        <v/>
      </c>
      <c r="F9043" t="n">
        <v>97.59999999999999</v>
      </c>
      <c r="G9043" t="n">
        <v>338</v>
      </c>
      <c r="H9043" t="n">
        <v>1.59e-237</v>
      </c>
      <c r="I9043" t="inlineStr">
        <is>
          <t>Nr</t>
        </is>
      </c>
      <c r="J9043" t="inlineStr"/>
      <c r="K9043" t="inlineStr"/>
      <c r="L9043" t="inlineStr">
        <is>
          <t>KAJ1100107.1 hypothetical protein NDU88_005196 [Pleurodeles waltl]</t>
        </is>
      </c>
      <c r="M9043" t="n">
        <v>338</v>
      </c>
      <c r="N9043" t="inlineStr">
        <is>
          <t>Pleurodeles waltl</t>
        </is>
      </c>
      <c r="O9043" t="inlineStr">
        <is>
          <t>hypothetical protein NDU88_005196</t>
        </is>
      </c>
    </row>
    <row r="9044">
      <c r="A9044" t="inlineStr"/>
      <c r="B9044" t="inlineStr"/>
      <c r="C9044" t="inlineStr"/>
      <c r="D9044" t="inlineStr"/>
      <c r="E9044">
        <f>HYPERLINK("https://www.uniprot.org/uniprotkb/P34257/entry", "P34257")</f>
        <v/>
      </c>
      <c r="F9044" t="n">
        <v>34.2</v>
      </c>
      <c r="G9044" t="n">
        <v>284</v>
      </c>
      <c r="H9044" t="n">
        <v>1.52e-34</v>
      </c>
      <c r="I9044" t="inlineStr">
        <is>
          <t>Swiss-Prot</t>
        </is>
      </c>
      <c r="J9044" t="inlineStr">
        <is>
          <t>tc3a</t>
        </is>
      </c>
      <c r="K9044" t="inlineStr">
        <is>
          <t>TC3A_CAEEL</t>
        </is>
      </c>
      <c r="L9044" t="inlineStr">
        <is>
          <t>sp|P34257|TC3A_CAEEL Transposable element Tc3 transposase OS=Caenorhabditis elegans OX=6239 GN=tc3a PE=1 SV=1</t>
        </is>
      </c>
      <c r="M9044" t="n">
        <v>329</v>
      </c>
      <c r="N9044" t="inlineStr">
        <is>
          <t>Caenorhabditis elegans</t>
        </is>
      </c>
      <c r="O9044" t="inlineStr">
        <is>
          <t>Transposable element Tc3 transposase</t>
        </is>
      </c>
    </row>
    <row r="9045">
      <c r="A9045" t="inlineStr"/>
      <c r="B9045" t="inlineStr"/>
      <c r="C9045" t="inlineStr"/>
      <c r="D9045" t="inlineStr"/>
      <c r="E9045">
        <f>HYPERLINK("https://www.uniprot.org/uniprotkb/P35072/entry", "P35072")</f>
        <v/>
      </c>
      <c r="F9045" t="n">
        <v>29.6</v>
      </c>
      <c r="G9045" t="n">
        <v>277</v>
      </c>
      <c r="H9045" t="n">
        <v>2.76e-25</v>
      </c>
      <c r="I9045" t="inlineStr">
        <is>
          <t>Swiss-Prot</t>
        </is>
      </c>
      <c r="J9045" t="inlineStr"/>
      <c r="K9045" t="inlineStr">
        <is>
          <t>TCB1_CAEBR</t>
        </is>
      </c>
      <c r="L9045" t="inlineStr">
        <is>
          <t>sp|P35072|TCB1_CAEBR Transposable element Tcb1 transposase OS=Caenorhabditis briggsae OX=6238 PE=3 SV=1</t>
        </is>
      </c>
      <c r="M9045" t="n">
        <v>273</v>
      </c>
      <c r="N9045" t="inlineStr">
        <is>
          <t>Caenorhabditis briggsae</t>
        </is>
      </c>
      <c r="O9045" t="inlineStr">
        <is>
          <t>Transposable element Tcb1 transposase</t>
        </is>
      </c>
    </row>
    <row r="9046">
      <c r="A9046" t="inlineStr"/>
      <c r="B9046" t="inlineStr"/>
      <c r="C9046" t="inlineStr"/>
      <c r="D9046" t="inlineStr"/>
      <c r="E9046">
        <f>HYPERLINK("https://www.uniprot.org/uniprotkb/Q04202/entry", "Q04202")</f>
        <v/>
      </c>
      <c r="F9046" t="n">
        <v>29.2</v>
      </c>
      <c r="G9046" t="n">
        <v>236</v>
      </c>
      <c r="H9046" t="n">
        <v>4.89e-22</v>
      </c>
      <c r="I9046" t="inlineStr">
        <is>
          <t>Swiss-Prot</t>
        </is>
      </c>
      <c r="J9046" t="inlineStr"/>
      <c r="K9046" t="inlineStr">
        <is>
          <t>TCB2_CAEBR</t>
        </is>
      </c>
      <c r="L9046" t="inlineStr">
        <is>
          <t>sp|Q04202|TCB2_CAEBR Transposable element Tcb2 transposase OS=Caenorhabditis briggsae OX=6238 PE=3 SV=1</t>
        </is>
      </c>
      <c r="M9046" t="n">
        <v>273</v>
      </c>
      <c r="N9046" t="inlineStr">
        <is>
          <t>Caenorhabditis briggsae</t>
        </is>
      </c>
      <c r="O9046" t="inlineStr">
        <is>
          <t>Transposable element Tcb2 transposase</t>
        </is>
      </c>
    </row>
    <row r="9047">
      <c r="A9047" t="inlineStr"/>
      <c r="B9047" t="inlineStr"/>
      <c r="C9047" t="inlineStr"/>
      <c r="D9047" t="inlineStr"/>
      <c r="E9047">
        <f>HYPERLINK("https://www.uniprot.org/uniprotkb/P03934/entry", "P03934")</f>
        <v/>
      </c>
      <c r="F9047" t="n">
        <v>26.2</v>
      </c>
      <c r="G9047" t="n">
        <v>282</v>
      </c>
      <c r="H9047" t="n">
        <v>4.42e-20</v>
      </c>
      <c r="I9047" t="inlineStr">
        <is>
          <t>Swiss-Prot</t>
        </is>
      </c>
      <c r="J9047" t="inlineStr">
        <is>
          <t>tc1a</t>
        </is>
      </c>
      <c r="K9047" t="inlineStr">
        <is>
          <t>TC1A_CAEEL</t>
        </is>
      </c>
      <c r="L9047" t="inlineStr">
        <is>
          <t>sp|P03934|TC1A_CAEEL Transposable element Tc1 transposase OS=Caenorhabditis elegans OX=6239 GN=tc1a PE=3 SV=1</t>
        </is>
      </c>
      <c r="M9047" t="n">
        <v>273</v>
      </c>
      <c r="N9047" t="inlineStr">
        <is>
          <t>Caenorhabditis elegans</t>
        </is>
      </c>
      <c r="O9047" t="inlineStr">
        <is>
          <t>Transposable element Tc1 transposase</t>
        </is>
      </c>
    </row>
    <row r="9048">
      <c r="A9048" t="inlineStr"/>
      <c r="B9048" t="inlineStr"/>
      <c r="C9048" t="inlineStr"/>
      <c r="D9048" t="inlineStr"/>
      <c r="E9048">
        <f>HYPERLINK("https://www.uniprot.org/uniprotkb/A0A3P8VW35/entry", "A0A3P8VW35")</f>
        <v/>
      </c>
      <c r="F9048" t="n">
        <v>93.90000000000001</v>
      </c>
      <c r="G9048" t="n">
        <v>33</v>
      </c>
      <c r="H9048" t="n">
        <v>9.25e-12</v>
      </c>
      <c r="I9048" t="inlineStr">
        <is>
          <t>TrEMBL</t>
        </is>
      </c>
      <c r="J9048" t="inlineStr"/>
      <c r="K9048" t="inlineStr">
        <is>
          <t>A0A3P8VW35_CYNSE</t>
        </is>
      </c>
      <c r="L9048" t="inlineStr">
        <is>
          <t>tr|A0A3P8VW35|A0A3P8VW35_CYNSE Peptidase_M1 domain-containing protein OS=Cynoglossus semilaevis OX=244447 PE=4 SV=1</t>
        </is>
      </c>
      <c r="M9048" t="n">
        <v>337</v>
      </c>
      <c r="N9048" t="inlineStr">
        <is>
          <t>Cynoglossus semilaevis</t>
        </is>
      </c>
      <c r="O9048" t="inlineStr">
        <is>
          <t>Peptidase_M1 domain-containing protein</t>
        </is>
      </c>
    </row>
    <row r="9049">
      <c r="A9049" t="inlineStr"/>
      <c r="B9049" t="inlineStr"/>
      <c r="C9049" t="inlineStr"/>
      <c r="D9049" t="inlineStr"/>
      <c r="E9049">
        <f>HYPERLINK("https://www.uniprot.org/uniprotkb/A0A669E6Z0/entry", "A0A669E6Z0")</f>
        <v/>
      </c>
      <c r="F9049" t="n">
        <v>93.90000000000001</v>
      </c>
      <c r="G9049" t="n">
        <v>33</v>
      </c>
      <c r="H9049" t="n">
        <v>2.38e-11</v>
      </c>
      <c r="I9049" t="inlineStr">
        <is>
          <t>TrEMBL</t>
        </is>
      </c>
      <c r="J9049" t="inlineStr"/>
      <c r="K9049" t="inlineStr">
        <is>
          <t>A0A669E6Z0_ORENI</t>
        </is>
      </c>
      <c r="L9049" t="inlineStr">
        <is>
          <t>tr|A0A669E6Z0|A0A669E6Z0_ORENI Potassium channel tetramerization domain containing 13 OS=Oreochromis niloticus OX=8128 PE=4 SV=1</t>
        </is>
      </c>
      <c r="M9049" t="n">
        <v>250</v>
      </c>
      <c r="N9049" t="inlineStr">
        <is>
          <t>Oreochromis niloticus</t>
        </is>
      </c>
      <c r="O9049" t="inlineStr">
        <is>
          <t>Potassium channel tetramerization domain containing 13</t>
        </is>
      </c>
    </row>
    <row r="9050">
      <c r="A9050" t="inlineStr"/>
      <c r="B9050" t="inlineStr"/>
      <c r="C9050" t="inlineStr"/>
      <c r="D9050" t="inlineStr"/>
      <c r="E9050">
        <f>HYPERLINK("https://www.uniprot.org/uniprotkb/A0A669CPD6/entry", "A0A669CPD6")</f>
        <v/>
      </c>
      <c r="F9050" t="n">
        <v>93.90000000000001</v>
      </c>
      <c r="G9050" t="n">
        <v>33</v>
      </c>
      <c r="H9050" t="n">
        <v>2.38e-11</v>
      </c>
      <c r="I9050" t="inlineStr">
        <is>
          <t>TrEMBL</t>
        </is>
      </c>
      <c r="J9050" t="inlineStr"/>
      <c r="K9050" t="inlineStr">
        <is>
          <t>A0A669CPD6_ORENI</t>
        </is>
      </c>
      <c r="L9050" t="inlineStr">
        <is>
          <t>tr|A0A669CPD6|A0A669CPD6_ORENI Potassium channel tetramerization domain containing 13 OS=Oreochromis niloticus OX=8128 PE=4 SV=1</t>
        </is>
      </c>
      <c r="M9050" t="n">
        <v>250</v>
      </c>
      <c r="N9050" t="inlineStr">
        <is>
          <t>Oreochromis niloticus</t>
        </is>
      </c>
      <c r="O9050" t="inlineStr">
        <is>
          <t>Potassium channel tetramerization domain containing 13</t>
        </is>
      </c>
    </row>
    <row r="9051">
      <c r="A9051" t="inlineStr"/>
      <c r="B9051" t="inlineStr"/>
      <c r="C9051" t="inlineStr"/>
      <c r="D9051" t="inlineStr"/>
      <c r="E9051">
        <f>HYPERLINK("https://www.uniprot.org/uniprotkb/A0A669BGB1/entry", "A0A669BGB1")</f>
        <v/>
      </c>
      <c r="F9051" t="n">
        <v>93.90000000000001</v>
      </c>
      <c r="G9051" t="n">
        <v>33</v>
      </c>
      <c r="H9051" t="n">
        <v>2.38e-11</v>
      </c>
      <c r="I9051" t="inlineStr">
        <is>
          <t>TrEMBL</t>
        </is>
      </c>
      <c r="J9051" t="inlineStr"/>
      <c r="K9051" t="inlineStr">
        <is>
          <t>A0A669BGB1_ORENI</t>
        </is>
      </c>
      <c r="L9051" t="inlineStr">
        <is>
          <t>tr|A0A669BGB1|A0A669BGB1_ORENI Potassium channel tetramerization domain containing 13 OS=Oreochromis niloticus OX=8128 PE=4 SV=1</t>
        </is>
      </c>
      <c r="M9051" t="n">
        <v>250</v>
      </c>
      <c r="N9051" t="inlineStr">
        <is>
          <t>Oreochromis niloticus</t>
        </is>
      </c>
      <c r="O9051" t="inlineStr">
        <is>
          <t>Potassium channel tetramerization domain containing 13</t>
        </is>
      </c>
    </row>
    <row r="9052">
      <c r="A9052" t="inlineStr"/>
      <c r="B9052" t="inlineStr"/>
      <c r="C9052" t="inlineStr"/>
      <c r="D9052" t="inlineStr"/>
      <c r="E9052">
        <f>HYPERLINK("https://www.uniprot.org/uniprotkb/A0A669EKU1/entry", "A0A669EKU1")</f>
        <v/>
      </c>
      <c r="F9052" t="n">
        <v>90.90000000000001</v>
      </c>
      <c r="G9052" t="n">
        <v>33</v>
      </c>
      <c r="H9052" t="n">
        <v>1.73e-10</v>
      </c>
      <c r="I9052" t="inlineStr">
        <is>
          <t>TrEMBL</t>
        </is>
      </c>
      <c r="J9052" t="inlineStr"/>
      <c r="K9052" t="inlineStr">
        <is>
          <t>A0A669EKU1_ORENI</t>
        </is>
      </c>
      <c r="L9052" t="inlineStr">
        <is>
          <t>tr|A0A669EKU1|A0A669EKU1_ORENI Potassium channel tetramerization domain containing 13 OS=Oreochromis niloticus OX=8128 PE=4 SV=1</t>
        </is>
      </c>
      <c r="M9052" t="n">
        <v>250</v>
      </c>
      <c r="N9052" t="inlineStr">
        <is>
          <t>Oreochromis niloticus</t>
        </is>
      </c>
      <c r="O9052" t="inlineStr">
        <is>
          <t>Potassium channel tetramerization domain containing 13</t>
        </is>
      </c>
    </row>
    <row r="9053">
      <c r="A9053" t="inlineStr"/>
      <c r="B9053" t="inlineStr"/>
      <c r="C9053" t="inlineStr"/>
      <c r="D9053" t="inlineStr"/>
      <c r="E9053">
        <f>HYPERLINK("https://www.uniprot.org/uniprotkb/A0A8C6K5K5/entry", "A0A8C6K5K5")</f>
        <v/>
      </c>
      <c r="F9053" t="n">
        <v>91.2</v>
      </c>
      <c r="G9053" t="n">
        <v>34</v>
      </c>
      <c r="H9053" t="n">
        <v>5.37e-10</v>
      </c>
      <c r="I9053" t="inlineStr">
        <is>
          <t>TrEMBL</t>
        </is>
      </c>
      <c r="J9053" t="inlineStr"/>
      <c r="K9053" t="inlineStr">
        <is>
          <t>A0A8C6K5K5_NOTFU</t>
        </is>
      </c>
      <c r="L9053" t="inlineStr">
        <is>
          <t>tr|A0A8C6K5K5|A0A8C6K5K5_NOTFU phosphoinositide 5-phosphatase OS=Nothobranchius furzeri OX=105023 PE=3 SV=1</t>
        </is>
      </c>
      <c r="M9053" t="n">
        <v>746</v>
      </c>
      <c r="N9053" t="inlineStr">
        <is>
          <t>Nothobranchius furzeri</t>
        </is>
      </c>
      <c r="O9053" t="inlineStr">
        <is>
          <t>phosphoinositide 5-phosphatase</t>
        </is>
      </c>
    </row>
    <row r="9054">
      <c r="A9054" t="inlineStr"/>
      <c r="B9054" t="inlineStr"/>
      <c r="C9054" t="inlineStr"/>
      <c r="D9054" t="inlineStr"/>
      <c r="E9054">
        <f>HYPERLINK("https://www.uniprot.org/uniprotkb/A0A8C1JGX6/entry", "A0A8C1JGX6")</f>
        <v/>
      </c>
      <c r="F9054" t="n">
        <v>93.8</v>
      </c>
      <c r="G9054" t="n">
        <v>32</v>
      </c>
      <c r="H9054" t="n">
        <v>5.46e-10</v>
      </c>
      <c r="I9054" t="inlineStr">
        <is>
          <t>TrEMBL</t>
        </is>
      </c>
      <c r="J9054" t="inlineStr"/>
      <c r="K9054" t="inlineStr">
        <is>
          <t>A0A8C1JGX6_CYPCA</t>
        </is>
      </c>
      <c r="L9054" t="inlineStr">
        <is>
          <t>tr|A0A8C1JGX6|A0A8C1JGX6_CYPCA Calcium voltage-gated channel auxiliary subunit alpha2delta 1 OS=Cyprinus carpio OX=7962 PE=3 SV=1</t>
        </is>
      </c>
      <c r="M9054" t="n">
        <v>978</v>
      </c>
      <c r="N9054" t="inlineStr">
        <is>
          <t>Cyprinus carpio</t>
        </is>
      </c>
      <c r="O9054" t="inlineStr">
        <is>
          <t>Calcium voltage-gated channel auxiliary subunit alpha2delta 1</t>
        </is>
      </c>
    </row>
    <row r="9055">
      <c r="A9055" t="inlineStr"/>
      <c r="B9055" t="inlineStr"/>
      <c r="C9055" t="inlineStr"/>
      <c r="D9055" t="inlineStr"/>
      <c r="E9055">
        <f>HYPERLINK("https://www.uniprot.org/uniprotkb/A0A8C6K736/entry", "A0A8C6K736")</f>
        <v/>
      </c>
      <c r="F9055" t="n">
        <v>93.8</v>
      </c>
      <c r="G9055" t="n">
        <v>32</v>
      </c>
      <c r="H9055" t="n">
        <v>1e-09</v>
      </c>
      <c r="I9055" t="inlineStr">
        <is>
          <t>TrEMBL</t>
        </is>
      </c>
      <c r="J9055" t="inlineStr"/>
      <c r="K9055" t="inlineStr">
        <is>
          <t>A0A8C6K736_NOTFU</t>
        </is>
      </c>
      <c r="L9055" t="inlineStr">
        <is>
          <t>tr|A0A8C6K736|A0A8C6K736_NOTFU phosphoinositide 5-phosphatase OS=Nothobranchius furzeri OX=105023 PE=3 SV=1</t>
        </is>
      </c>
      <c r="M9055" t="n">
        <v>753</v>
      </c>
      <c r="N9055" t="inlineStr">
        <is>
          <t>Nothobranchius furzeri</t>
        </is>
      </c>
      <c r="O9055" t="inlineStr">
        <is>
          <t>phosphoinositide 5-phosphatase</t>
        </is>
      </c>
    </row>
    <row r="9056">
      <c r="A9056" t="inlineStr"/>
      <c r="B9056" t="inlineStr"/>
      <c r="C9056" t="inlineStr"/>
      <c r="D9056" t="inlineStr"/>
      <c r="E9056">
        <f>HYPERLINK("https://www.uniprot.org/uniprotkb/A0A3Q2WDK1/entry", "A0A3Q2WDK1")</f>
        <v/>
      </c>
      <c r="F9056" t="n">
        <v>95.8</v>
      </c>
      <c r="G9056" t="n">
        <v>24</v>
      </c>
      <c r="H9056" t="n">
        <v>0.000128</v>
      </c>
      <c r="I9056" t="inlineStr">
        <is>
          <t>TrEMBL</t>
        </is>
      </c>
      <c r="J9056" t="inlineStr"/>
      <c r="K9056" t="inlineStr">
        <is>
          <t>A0A3Q2WDK1_HAPBU</t>
        </is>
      </c>
      <c r="L9056" t="inlineStr">
        <is>
          <t>tr|A0A3Q2WDK1|A0A3Q2WDK1_HAPBU AIG1-type G domain-containing protein OS=Haplochromis burtoni OX=8153 PE=3 SV=1</t>
        </is>
      </c>
      <c r="M9056" t="n">
        <v>227</v>
      </c>
      <c r="N9056" t="inlineStr">
        <is>
          <t>Haplochromis burtoni</t>
        </is>
      </c>
      <c r="O9056" t="inlineStr">
        <is>
          <t>AIG1-type G domain-containing protein</t>
        </is>
      </c>
    </row>
    <row r="9057">
      <c r="A9057" t="inlineStr"/>
      <c r="B9057" t="inlineStr"/>
      <c r="C9057" t="inlineStr"/>
      <c r="D9057" t="inlineStr"/>
      <c r="E9057">
        <f>HYPERLINK("https://www.uniprot.org/uniprotkb/A0A8C3Z5E4/entry", "A0A8C3Z5E4")</f>
        <v/>
      </c>
      <c r="F9057" t="n">
        <v>84.59999999999999</v>
      </c>
      <c r="G9057" t="n">
        <v>26</v>
      </c>
      <c r="H9057" t="n">
        <v>0.000137</v>
      </c>
      <c r="I9057" t="inlineStr">
        <is>
          <t>TrEMBL</t>
        </is>
      </c>
      <c r="J9057" t="inlineStr"/>
      <c r="K9057" t="inlineStr">
        <is>
          <t>A0A8C3Z5E4_9TELE</t>
        </is>
      </c>
      <c r="L9057" t="inlineStr">
        <is>
          <t>tr|A0A8C3Z5E4|A0A8C3Z5E4_9TELE Adhesion G protein-coupled receptor E1 OS=Denticeps clupeoides OX=299321 PE=4 SV=1</t>
        </is>
      </c>
      <c r="M9057" t="n">
        <v>742</v>
      </c>
      <c r="N9057" t="inlineStr">
        <is>
          <t>Denticeps clupeoides</t>
        </is>
      </c>
      <c r="O9057" t="inlineStr">
        <is>
          <t>Adhesion G protein-coupled receptor E1</t>
        </is>
      </c>
    </row>
    <row r="9058">
      <c r="A9058" t="inlineStr"/>
      <c r="B9058" t="inlineStr"/>
      <c r="C9058" t="inlineStr"/>
      <c r="D9058" t="inlineStr"/>
      <c r="E9058">
        <f>HYPERLINK("https://www.uniprot.org/uniprotkb/A0A3B4HDD3/entry", "A0A3B4HDD3")</f>
        <v/>
      </c>
      <c r="F9058" t="n">
        <v>95.7</v>
      </c>
      <c r="G9058" t="n">
        <v>23</v>
      </c>
      <c r="H9058" t="n">
        <v>0.000555</v>
      </c>
      <c r="I9058" t="inlineStr">
        <is>
          <t>TrEMBL</t>
        </is>
      </c>
      <c r="J9058" t="inlineStr"/>
      <c r="K9058" t="inlineStr">
        <is>
          <t>A0A3B4HDD3_9CICH</t>
        </is>
      </c>
      <c r="L9058" t="inlineStr">
        <is>
          <t>tr|A0A3B4HDD3|A0A3B4HDD3_9CICH Cyclin-G1 OS=Pundamilia nyererei OX=303518 PE=4 SV=1</t>
        </is>
      </c>
      <c r="M9058" t="n">
        <v>205</v>
      </c>
      <c r="N9058" t="inlineStr">
        <is>
          <t>Pundamilia nyererei</t>
        </is>
      </c>
      <c r="O9058" t="inlineStr">
        <is>
          <t>Cyclin-G1</t>
        </is>
      </c>
    </row>
    <row r="9059">
      <c r="A9059" t="inlineStr"/>
      <c r="B9059" t="inlineStr"/>
      <c r="C9059" t="inlineStr"/>
      <c r="D9059" t="inlineStr"/>
      <c r="E9059">
        <f>HYPERLINK("https://www.uniprot.org/uniprotkb/A0A8C6LT65/entry", "A0A8C6LT65")</f>
        <v/>
      </c>
      <c r="F9059" t="n">
        <v>68.8</v>
      </c>
      <c r="G9059" t="n">
        <v>32</v>
      </c>
      <c r="H9059" t="n">
        <v>0.000914</v>
      </c>
      <c r="I9059" t="inlineStr">
        <is>
          <t>TrEMBL</t>
        </is>
      </c>
      <c r="J9059" t="inlineStr">
        <is>
          <t>sik3</t>
        </is>
      </c>
      <c r="K9059" t="inlineStr">
        <is>
          <t>A0A8C6LT65_NOTFU</t>
        </is>
      </c>
      <c r="L9059" t="inlineStr">
        <is>
          <t>tr|A0A8C6LT65|A0A8C6LT65_NOTFU SIK family kinase 3 OS=Nothobranchius furzeri OX=105023 GN=sik3 PE=4 SV=1</t>
        </is>
      </c>
      <c r="M9059" t="n">
        <v>1184</v>
      </c>
      <c r="N9059" t="inlineStr">
        <is>
          <t>Nothobranchius furzeri</t>
        </is>
      </c>
      <c r="O9059" t="inlineStr">
        <is>
          <t>SIK family kinase 3</t>
        </is>
      </c>
    </row>
    <row r="9060">
      <c r="A9060" t="inlineStr">
        <is>
          <t>NODE_74476_length_2205_cov_23.162769_g26581_i0</t>
        </is>
      </c>
      <c r="B9060" t="inlineStr">
        <is>
          <t>bombina_pachypus_blastx</t>
        </is>
      </c>
      <c r="C9060" t="n">
        <v>8.252677268388959</v>
      </c>
      <c r="D9060" t="n">
        <v>1.73525285446147e-06</v>
      </c>
      <c r="E9060">
        <f>HYPERLINK("https://www.uniprot.org/uniprotkb/A0A6P8SUL3/entry", "A0A6P8SUL3")</f>
        <v/>
      </c>
      <c r="F9060" t="n">
        <v>35.7</v>
      </c>
      <c r="G9060" t="n">
        <v>115</v>
      </c>
      <c r="H9060" t="n">
        <v>1.04e-16</v>
      </c>
      <c r="I9060" t="inlineStr">
        <is>
          <t>TrEMBL</t>
        </is>
      </c>
      <c r="J9060" t="inlineStr">
        <is>
          <t>IZUMO1</t>
        </is>
      </c>
      <c r="K9060" t="inlineStr">
        <is>
          <t>A0A6P8SUL3_GEOSA</t>
        </is>
      </c>
      <c r="L9060" t="inlineStr">
        <is>
          <t>tr|A0A6P8SUL3|A0A6P8SUL3_GEOSA izumo sperm-egg fusion protein 1 OS=Geotrypetes seraphini OX=260995 GN=IZUMO1 PE=3 SV=1</t>
        </is>
      </c>
      <c r="M9060" t="n">
        <v>303</v>
      </c>
      <c r="N9060" t="inlineStr">
        <is>
          <t>Geotrypetes seraphini</t>
        </is>
      </c>
      <c r="O9060" t="inlineStr">
        <is>
          <t>izumo sperm-egg fusion protein 1</t>
        </is>
      </c>
    </row>
    <row r="9061">
      <c r="A9061" t="inlineStr"/>
      <c r="B9061" t="inlineStr"/>
      <c r="C9061" t="inlineStr"/>
      <c r="D9061" t="inlineStr"/>
      <c r="E9061">
        <f>HYPERLINK("https://www.ncbi.nlm.nih.gov/gene/?term=XP_033818281.1", "XP_033818281.1")</f>
        <v/>
      </c>
      <c r="F9061" t="n">
        <v>35.7</v>
      </c>
      <c r="G9061" t="n">
        <v>115</v>
      </c>
      <c r="H9061" t="n">
        <v>2.66e-16</v>
      </c>
      <c r="I9061" t="inlineStr">
        <is>
          <t>Nr</t>
        </is>
      </c>
      <c r="J9061" t="inlineStr"/>
      <c r="K9061" t="inlineStr"/>
      <c r="L9061" t="inlineStr">
        <is>
          <t>XP_033818281.1 izumo sperm-egg fusion protein 1 [Geotrypetes seraphini]</t>
        </is>
      </c>
      <c r="M9061" t="n">
        <v>303</v>
      </c>
      <c r="N9061" t="inlineStr">
        <is>
          <t>Geotrypetes seraphini</t>
        </is>
      </c>
      <c r="O9061" t="inlineStr">
        <is>
          <t>izumo sperm-egg fusion protein 1</t>
        </is>
      </c>
    </row>
    <row r="9062">
      <c r="A9062" t="inlineStr"/>
      <c r="B9062" t="inlineStr"/>
      <c r="C9062" t="inlineStr"/>
      <c r="D9062" t="inlineStr"/>
      <c r="E9062">
        <f>HYPERLINK("https://www.ncbi.nlm.nih.gov/gene/?term=XP_053315779.1", "XP_053315779.1")</f>
        <v/>
      </c>
      <c r="F9062" t="n">
        <v>35.5</v>
      </c>
      <c r="G9062" t="n">
        <v>110</v>
      </c>
      <c r="H9062" t="n">
        <v>1.25e-14</v>
      </c>
      <c r="I9062" t="inlineStr">
        <is>
          <t>Nr</t>
        </is>
      </c>
      <c r="J9062" t="inlineStr"/>
      <c r="K9062" t="inlineStr"/>
      <c r="L9062" t="inlineStr">
        <is>
          <t>XP_053315779.1 izumo sperm-egg fusion protein 1-like [Spea bombifrons]</t>
        </is>
      </c>
      <c r="M9062" t="n">
        <v>366</v>
      </c>
      <c r="N9062" t="inlineStr">
        <is>
          <t>Spea bombifrons</t>
        </is>
      </c>
      <c r="O9062" t="inlineStr">
        <is>
          <t>izumo sperm-egg fusion protein 1-like</t>
        </is>
      </c>
    </row>
    <row r="9063">
      <c r="A9063" t="inlineStr"/>
      <c r="B9063" t="inlineStr"/>
      <c r="C9063" t="inlineStr"/>
      <c r="D9063" t="inlineStr"/>
      <c r="E9063">
        <f>HYPERLINK("https://www.uniprot.org/uniprotkb/A0A8C5PXX0/entry", "A0A8C5PXX0")</f>
        <v/>
      </c>
      <c r="F9063" t="n">
        <v>33.3</v>
      </c>
      <c r="G9063" t="n">
        <v>111</v>
      </c>
      <c r="H9063" t="n">
        <v>1.72e-14</v>
      </c>
      <c r="I9063" t="inlineStr">
        <is>
          <t>TrEMBL</t>
        </is>
      </c>
      <c r="J9063" t="inlineStr"/>
      <c r="K9063" t="inlineStr">
        <is>
          <t>A0A8C5PXX0_9ANUR</t>
        </is>
      </c>
      <c r="L9063" t="inlineStr">
        <is>
          <t>tr|A0A8C5PXX0|A0A8C5PXX0_9ANUR Ig-like domain-containing protein OS=Leptobrachium leishanense OX=445787 PE=4 SV=1</t>
        </is>
      </c>
      <c r="M9063" t="n">
        <v>431</v>
      </c>
      <c r="N9063" t="inlineStr">
        <is>
          <t>Leptobrachium leishanense</t>
        </is>
      </c>
      <c r="O9063" t="inlineStr">
        <is>
          <t>Ig-like domain-containing protein</t>
        </is>
      </c>
    </row>
    <row r="9064">
      <c r="A9064" t="inlineStr"/>
      <c r="B9064" t="inlineStr"/>
      <c r="C9064" t="inlineStr"/>
      <c r="D9064" t="inlineStr"/>
      <c r="E9064">
        <f>HYPERLINK("https://www.uniprot.org/uniprotkb/A0A8C5PXC9/entry", "A0A8C5PXC9")</f>
        <v/>
      </c>
      <c r="F9064" t="n">
        <v>33.3</v>
      </c>
      <c r="G9064" t="n">
        <v>111</v>
      </c>
      <c r="H9064" t="n">
        <v>1.86e-14</v>
      </c>
      <c r="I9064" t="inlineStr">
        <is>
          <t>TrEMBL</t>
        </is>
      </c>
      <c r="J9064" t="inlineStr"/>
      <c r="K9064" t="inlineStr">
        <is>
          <t>A0A8C5PXC9_9ANUR</t>
        </is>
      </c>
      <c r="L9064" t="inlineStr">
        <is>
          <t>tr|A0A8C5PXC9|A0A8C5PXC9_9ANUR Ig-like domain-containing protein OS=Leptobrachium leishanense OX=445787 PE=3 SV=1</t>
        </is>
      </c>
      <c r="M9064" t="n">
        <v>460</v>
      </c>
      <c r="N9064" t="inlineStr">
        <is>
          <t>Leptobrachium leishanense</t>
        </is>
      </c>
      <c r="O9064" t="inlineStr">
        <is>
          <t>Ig-like domain-containing protein</t>
        </is>
      </c>
    </row>
    <row r="9065">
      <c r="A9065" t="inlineStr"/>
      <c r="B9065" t="inlineStr"/>
      <c r="C9065" t="inlineStr"/>
      <c r="D9065" t="inlineStr"/>
      <c r="E9065">
        <f>HYPERLINK("https://www.uniprot.org/uniprotkb/A0A8B7BBV6/entry", "A0A8B7BBV6")</f>
        <v/>
      </c>
      <c r="F9065" t="n">
        <v>37.5</v>
      </c>
      <c r="G9065" t="n">
        <v>104</v>
      </c>
      <c r="H9065" t="n">
        <v>2.81e-13</v>
      </c>
      <c r="I9065" t="inlineStr">
        <is>
          <t>TrEMBL</t>
        </is>
      </c>
      <c r="J9065" t="inlineStr">
        <is>
          <t>IZUMO1</t>
        </is>
      </c>
      <c r="K9065" t="inlineStr">
        <is>
          <t>A0A8B7BBV6_ORYAF</t>
        </is>
      </c>
      <c r="L9065" t="inlineStr">
        <is>
          <t>tr|A0A8B7BBV6|A0A8B7BBV6_ORYAF izumo sperm-egg fusion protein 1 OS=Orycteropus afer afer OX=1230840 GN=IZUMO1 PE=3 SV=1</t>
        </is>
      </c>
      <c r="M9065" t="n">
        <v>312</v>
      </c>
      <c r="N9065" t="inlineStr">
        <is>
          <t>Orycteropus afer afer</t>
        </is>
      </c>
      <c r="O9065" t="inlineStr">
        <is>
          <t>izumo sperm-egg fusion protein 1</t>
        </is>
      </c>
    </row>
    <row r="9066">
      <c r="A9066" t="inlineStr"/>
      <c r="B9066" t="inlineStr"/>
      <c r="C9066" t="inlineStr"/>
      <c r="D9066" t="inlineStr"/>
      <c r="E9066">
        <f>HYPERLINK("https://www.uniprot.org/uniprotkb/Q9D9J7/entry", "Q9D9J7")</f>
        <v/>
      </c>
      <c r="F9066" t="n">
        <v>34.8</v>
      </c>
      <c r="G9066" t="n">
        <v>92</v>
      </c>
      <c r="H9066" t="n">
        <v>4.46e-13</v>
      </c>
      <c r="I9066" t="inlineStr">
        <is>
          <t>Swiss-Prot</t>
        </is>
      </c>
      <c r="J9066" t="inlineStr">
        <is>
          <t>Izumo1</t>
        </is>
      </c>
      <c r="K9066" t="inlineStr">
        <is>
          <t>IZUM1_MOUSE</t>
        </is>
      </c>
      <c r="L9066" t="inlineStr">
        <is>
          <t>sp|Q9D9J7|IZUM1_MOUSE Izumo sperm-egg fusion protein 1 OS=Mus musculus OX=10090 GN=Izumo1 PE=1 SV=1</t>
        </is>
      </c>
      <c r="M9066" t="n">
        <v>397</v>
      </c>
      <c r="N9066" t="inlineStr">
        <is>
          <t>Mus musculus</t>
        </is>
      </c>
      <c r="O9066" t="inlineStr">
        <is>
          <t>Izumo sperm-egg fusion protein 1</t>
        </is>
      </c>
    </row>
    <row r="9067">
      <c r="A9067" t="inlineStr"/>
      <c r="B9067" t="inlineStr"/>
      <c r="C9067" t="inlineStr"/>
      <c r="D9067" t="inlineStr"/>
      <c r="E9067">
        <f>HYPERLINK("https://www.ncbi.nlm.nih.gov/gene/?term=XP_007956311.1", "XP_007956311.1")</f>
        <v/>
      </c>
      <c r="F9067" t="n">
        <v>37.5</v>
      </c>
      <c r="G9067" t="n">
        <v>104</v>
      </c>
      <c r="H9067" t="n">
        <v>7.21e-13</v>
      </c>
      <c r="I9067" t="inlineStr">
        <is>
          <t>Nr</t>
        </is>
      </c>
      <c r="J9067" t="inlineStr"/>
      <c r="K9067" t="inlineStr"/>
      <c r="L9067" t="inlineStr">
        <is>
          <t>XP_007956311.1 izumo sperm-egg fusion protein 1 [Orycteropus afer afer]</t>
        </is>
      </c>
      <c r="M9067" t="n">
        <v>312</v>
      </c>
      <c r="N9067" t="inlineStr">
        <is>
          <t>Orycteropus afer afer</t>
        </is>
      </c>
      <c r="O9067" t="inlineStr">
        <is>
          <t>izumo sperm-egg fusion protein 1</t>
        </is>
      </c>
    </row>
    <row r="9068">
      <c r="A9068" t="inlineStr"/>
      <c r="B9068" t="inlineStr"/>
      <c r="C9068" t="inlineStr"/>
      <c r="D9068" t="inlineStr"/>
      <c r="E9068">
        <f>HYPERLINK("https://www.uniprot.org/uniprotkb/Q8IYV9/entry", "Q8IYV9")</f>
        <v/>
      </c>
      <c r="F9068" t="n">
        <v>36.8</v>
      </c>
      <c r="G9068" t="n">
        <v>95</v>
      </c>
      <c r="H9068" t="n">
        <v>1.82e-12</v>
      </c>
      <c r="I9068" t="inlineStr">
        <is>
          <t>Swiss-Prot</t>
        </is>
      </c>
      <c r="J9068" t="inlineStr">
        <is>
          <t>IZUMO1</t>
        </is>
      </c>
      <c r="K9068" t="inlineStr">
        <is>
          <t>IZUM1_HUMAN</t>
        </is>
      </c>
      <c r="L9068" t="inlineStr">
        <is>
          <t>sp|Q8IYV9|IZUM1_HUMAN Izumo sperm-egg fusion protein 1 OS=Homo sapiens OX=9606 GN=IZUMO1 PE=1 SV=2</t>
        </is>
      </c>
      <c r="M9068" t="n">
        <v>350</v>
      </c>
      <c r="N9068" t="inlineStr">
        <is>
          <t>Homo sapiens</t>
        </is>
      </c>
      <c r="O9068" t="inlineStr">
        <is>
          <t>Izumo sperm-egg fusion protein 1</t>
        </is>
      </c>
    </row>
    <row r="9069">
      <c r="A9069" t="inlineStr"/>
      <c r="B9069" t="inlineStr"/>
      <c r="C9069" t="inlineStr"/>
      <c r="D9069" t="inlineStr"/>
      <c r="E9069">
        <f>HYPERLINK("https://www.uniprot.org/uniprotkb/A0A7J8C805/entry", "A0A7J8C805")</f>
        <v/>
      </c>
      <c r="F9069" t="n">
        <v>35.9</v>
      </c>
      <c r="G9069" t="n">
        <v>103</v>
      </c>
      <c r="H9069" t="n">
        <v>3.75e-12</v>
      </c>
      <c r="I9069" t="inlineStr">
        <is>
          <t>TrEMBL</t>
        </is>
      </c>
      <c r="J9069" t="inlineStr">
        <is>
          <t>HJG59_007010</t>
        </is>
      </c>
      <c r="K9069" t="inlineStr">
        <is>
          <t>A0A7J8C805_MOLMO</t>
        </is>
      </c>
      <c r="L9069" t="inlineStr">
        <is>
          <t>tr|A0A7J8C805|A0A7J8C805_MOLMO Izumo sperm-egg fusion 1 OS=Molossus molossus OX=27622 GN=HJG59_007010 PE=3 SV=1</t>
        </is>
      </c>
      <c r="M9069" t="n">
        <v>315</v>
      </c>
      <c r="N9069" t="inlineStr">
        <is>
          <t>Molossus molossus</t>
        </is>
      </c>
      <c r="O9069" t="inlineStr">
        <is>
          <t>Izumo sperm-egg fusion 1</t>
        </is>
      </c>
    </row>
    <row r="9070">
      <c r="A9070" t="inlineStr"/>
      <c r="B9070" t="inlineStr"/>
      <c r="C9070" t="inlineStr"/>
      <c r="D9070" t="inlineStr"/>
      <c r="E9070">
        <f>HYPERLINK("https://www.uniprot.org/uniprotkb/A0A7J8C7W5/entry", "A0A7J8C7W5")</f>
        <v/>
      </c>
      <c r="F9070" t="n">
        <v>35.9</v>
      </c>
      <c r="G9070" t="n">
        <v>103</v>
      </c>
      <c r="H9070" t="n">
        <v>3.96e-12</v>
      </c>
      <c r="I9070" t="inlineStr">
        <is>
          <t>TrEMBL</t>
        </is>
      </c>
      <c r="J9070" t="inlineStr">
        <is>
          <t>HJG59_007010</t>
        </is>
      </c>
      <c r="K9070" t="inlineStr">
        <is>
          <t>A0A7J8C7W5_MOLMO</t>
        </is>
      </c>
      <c r="L9070" t="inlineStr">
        <is>
          <t>tr|A0A7J8C7W5|A0A7J8C7W5_MOLMO Izumo sperm-egg fusion 1 OS=Molossus molossus OX=27622 GN=HJG59_007010 PE=3 SV=1</t>
        </is>
      </c>
      <c r="M9070" t="n">
        <v>322</v>
      </c>
      <c r="N9070" t="inlineStr">
        <is>
          <t>Molossus molossus</t>
        </is>
      </c>
      <c r="O9070" t="inlineStr">
        <is>
          <t>Izumo sperm-egg fusion 1</t>
        </is>
      </c>
    </row>
    <row r="9071">
      <c r="A9071" t="inlineStr"/>
      <c r="B9071" t="inlineStr"/>
      <c r="C9071" t="inlineStr"/>
      <c r="D9071" t="inlineStr"/>
      <c r="E9071">
        <f>HYPERLINK("https://www.uniprot.org/uniprotkb/A0A7J8C7V3/entry", "A0A7J8C7V3")</f>
        <v/>
      </c>
      <c r="F9071" t="n">
        <v>35.9</v>
      </c>
      <c r="G9071" t="n">
        <v>103</v>
      </c>
      <c r="H9071" t="n">
        <v>4.97e-12</v>
      </c>
      <c r="I9071" t="inlineStr">
        <is>
          <t>TrEMBL</t>
        </is>
      </c>
      <c r="J9071" t="inlineStr">
        <is>
          <t>HJG59_007010</t>
        </is>
      </c>
      <c r="K9071" t="inlineStr">
        <is>
          <t>A0A7J8C7V3_MOLMO</t>
        </is>
      </c>
      <c r="L9071" t="inlineStr">
        <is>
          <t>tr|A0A7J8C7V3|A0A7J8C7V3_MOLMO Izumo sperm-egg fusion 1 OS=Molossus molossus OX=27622 GN=HJG59_007010 PE=3 SV=1</t>
        </is>
      </c>
      <c r="M9071" t="n">
        <v>359</v>
      </c>
      <c r="N9071" t="inlineStr">
        <is>
          <t>Molossus molossus</t>
        </is>
      </c>
      <c r="O9071" t="inlineStr">
        <is>
          <t>Izumo sperm-egg fusion 1</t>
        </is>
      </c>
    </row>
    <row r="9072">
      <c r="A9072" t="inlineStr"/>
      <c r="B9072" t="inlineStr"/>
      <c r="C9072" t="inlineStr"/>
      <c r="D9072" t="inlineStr"/>
      <c r="E9072">
        <f>HYPERLINK("https://www.uniprot.org/uniprotkb/A0A7J8C829/entry", "A0A7J8C829")</f>
        <v/>
      </c>
      <c r="F9072" t="n">
        <v>35.9</v>
      </c>
      <c r="G9072" t="n">
        <v>103</v>
      </c>
      <c r="H9072" t="n">
        <v>5.14e-12</v>
      </c>
      <c r="I9072" t="inlineStr">
        <is>
          <t>TrEMBL</t>
        </is>
      </c>
      <c r="J9072" t="inlineStr">
        <is>
          <t>HJG59_007010</t>
        </is>
      </c>
      <c r="K9072" t="inlineStr">
        <is>
          <t>A0A7J8C829_MOLMO</t>
        </is>
      </c>
      <c r="L9072" t="inlineStr">
        <is>
          <t>tr|A0A7J8C829|A0A7J8C829_MOLMO Izumo sperm-egg fusion 1 OS=Molossus molossus OX=27622 GN=HJG59_007010 PE=3 SV=1</t>
        </is>
      </c>
      <c r="M9072" t="n">
        <v>366</v>
      </c>
      <c r="N9072" t="inlineStr">
        <is>
          <t>Molossus molossus</t>
        </is>
      </c>
      <c r="O9072" t="inlineStr">
        <is>
          <t>Izumo sperm-egg fusion 1</t>
        </is>
      </c>
    </row>
    <row r="9073">
      <c r="A9073" t="inlineStr"/>
      <c r="B9073" t="inlineStr"/>
      <c r="C9073" t="inlineStr"/>
      <c r="D9073" t="inlineStr"/>
      <c r="E9073">
        <f>HYPERLINK("https://www.ncbi.nlm.nih.gov/gene/?term=KAF6406977.1", "KAF6406977.1")</f>
        <v/>
      </c>
      <c r="F9073" t="n">
        <v>35.9</v>
      </c>
      <c r="G9073" t="n">
        <v>103</v>
      </c>
      <c r="H9073" t="n">
        <v>9.64e-12</v>
      </c>
      <c r="I9073" t="inlineStr">
        <is>
          <t>Nr</t>
        </is>
      </c>
      <c r="J9073" t="inlineStr"/>
      <c r="K9073" t="inlineStr"/>
      <c r="L9073" t="inlineStr">
        <is>
          <t>KAF6406977.1 izumo sperm-egg fusion 1 [Molossus molossus]</t>
        </is>
      </c>
      <c r="M9073" t="n">
        <v>315</v>
      </c>
      <c r="N9073" t="inlineStr">
        <is>
          <t>Molossus molossus</t>
        </is>
      </c>
      <c r="O9073" t="inlineStr">
        <is>
          <t>izumo sperm-egg fusion 1</t>
        </is>
      </c>
    </row>
    <row r="9074">
      <c r="A9074" t="inlineStr"/>
      <c r="B9074" t="inlineStr"/>
      <c r="C9074" t="inlineStr"/>
      <c r="D9074" t="inlineStr"/>
      <c r="E9074">
        <f>HYPERLINK("https://www.ncbi.nlm.nih.gov/gene/?term=KAF6406978.1", "KAF6406978.1")</f>
        <v/>
      </c>
      <c r="F9074" t="n">
        <v>35.9</v>
      </c>
      <c r="G9074" t="n">
        <v>103</v>
      </c>
      <c r="H9074" t="n">
        <v>1.02e-11</v>
      </c>
      <c r="I9074" t="inlineStr">
        <is>
          <t>Nr</t>
        </is>
      </c>
      <c r="J9074" t="inlineStr"/>
      <c r="K9074" t="inlineStr"/>
      <c r="L9074" t="inlineStr">
        <is>
          <t>KAF6406978.1 izumo sperm-egg fusion 1 [Molossus molossus]</t>
        </is>
      </c>
      <c r="M9074" t="n">
        <v>322</v>
      </c>
      <c r="N9074" t="inlineStr">
        <is>
          <t>Molossus molossus</t>
        </is>
      </c>
      <c r="O9074" t="inlineStr">
        <is>
          <t>izumo sperm-egg fusion 1</t>
        </is>
      </c>
    </row>
    <row r="9075">
      <c r="A9075" t="inlineStr"/>
      <c r="B9075" t="inlineStr"/>
      <c r="C9075" t="inlineStr"/>
      <c r="D9075" t="inlineStr"/>
      <c r="E9075">
        <f>HYPERLINK("https://www.ncbi.nlm.nih.gov/gene/?term=KAF6406975.1", "KAF6406975.1")</f>
        <v/>
      </c>
      <c r="F9075" t="n">
        <v>35.9</v>
      </c>
      <c r="G9075" t="n">
        <v>103</v>
      </c>
      <c r="H9075" t="n">
        <v>1.28e-11</v>
      </c>
      <c r="I9075" t="inlineStr">
        <is>
          <t>Nr</t>
        </is>
      </c>
      <c r="J9075" t="inlineStr"/>
      <c r="K9075" t="inlineStr"/>
      <c r="L9075" t="inlineStr">
        <is>
          <t>KAF6406975.1 izumo sperm-egg fusion 1 [Molossus molossus]</t>
        </is>
      </c>
      <c r="M9075" t="n">
        <v>359</v>
      </c>
      <c r="N9075" t="inlineStr">
        <is>
          <t>Molossus molossus</t>
        </is>
      </c>
      <c r="O9075" t="inlineStr">
        <is>
          <t>izumo sperm-egg fusion 1</t>
        </is>
      </c>
    </row>
    <row r="9076">
      <c r="A9076" t="inlineStr"/>
      <c r="B9076" t="inlineStr"/>
      <c r="C9076" t="inlineStr"/>
      <c r="D9076" t="inlineStr"/>
      <c r="E9076">
        <f>HYPERLINK("https://www.ncbi.nlm.nih.gov/gene/?term=XP_036131715.1", "XP_036131715.1")</f>
        <v/>
      </c>
      <c r="F9076" t="n">
        <v>35.9</v>
      </c>
      <c r="G9076" t="n">
        <v>103</v>
      </c>
      <c r="H9076" t="n">
        <v>1.32e-11</v>
      </c>
      <c r="I9076" t="inlineStr">
        <is>
          <t>Nr</t>
        </is>
      </c>
      <c r="J9076" t="inlineStr"/>
      <c r="K9076" t="inlineStr"/>
      <c r="L9076" t="inlineStr">
        <is>
          <t>XP_036131715.1 izumo sperm-egg fusion protein 1 [Molossus molossus]</t>
        </is>
      </c>
      <c r="M9076" t="n">
        <v>366</v>
      </c>
      <c r="N9076" t="inlineStr">
        <is>
          <t>Molossus molossus</t>
        </is>
      </c>
      <c r="O9076" t="inlineStr">
        <is>
          <t>izumo sperm-egg fusion protein 1</t>
        </is>
      </c>
    </row>
    <row r="9077">
      <c r="A9077" t="inlineStr"/>
      <c r="B9077" t="inlineStr"/>
      <c r="C9077" t="inlineStr"/>
      <c r="D9077" t="inlineStr"/>
      <c r="E9077">
        <f>HYPERLINK("https://www.uniprot.org/uniprotkb/Q6AY06/entry", "Q6AY06")</f>
        <v/>
      </c>
      <c r="F9077" t="n">
        <v>35.9</v>
      </c>
      <c r="G9077" t="n">
        <v>92</v>
      </c>
      <c r="H9077" t="n">
        <v>1.75e-11</v>
      </c>
      <c r="I9077" t="inlineStr">
        <is>
          <t>Swiss-Prot</t>
        </is>
      </c>
      <c r="J9077" t="inlineStr">
        <is>
          <t>Izumo1</t>
        </is>
      </c>
      <c r="K9077" t="inlineStr">
        <is>
          <t>IZUM1_RAT</t>
        </is>
      </c>
      <c r="L9077" t="inlineStr">
        <is>
          <t>sp|Q6AY06|IZUM1_RAT Izumo sperm-egg fusion protein 1 OS=Rattus norvegicus OX=10116 GN=Izumo1 PE=1 SV=1</t>
        </is>
      </c>
      <c r="M9077" t="n">
        <v>383</v>
      </c>
      <c r="N9077" t="inlineStr">
        <is>
          <t>Rattus norvegicus</t>
        </is>
      </c>
      <c r="O9077" t="inlineStr">
        <is>
          <t>Izumo sperm-egg fusion protein 1</t>
        </is>
      </c>
    </row>
    <row r="9078">
      <c r="A9078" t="inlineStr"/>
      <c r="B9078" t="inlineStr"/>
      <c r="C9078" t="inlineStr"/>
      <c r="D9078" t="inlineStr"/>
      <c r="E9078">
        <f>HYPERLINK("https://www.ncbi.nlm.nih.gov/gene/?term=XP_036994145.1", "XP_036994145.1")</f>
        <v/>
      </c>
      <c r="F9078" t="n">
        <v>37</v>
      </c>
      <c r="G9078" t="n">
        <v>100</v>
      </c>
      <c r="H9078" t="n">
        <v>2.65e-11</v>
      </c>
      <c r="I9078" t="inlineStr">
        <is>
          <t>Nr</t>
        </is>
      </c>
      <c r="J9078" t="inlineStr"/>
      <c r="K9078" t="inlineStr"/>
      <c r="L9078" t="inlineStr">
        <is>
          <t>XP_036994145.1 izumo sperm-egg fusion protein 1 [Artibeus jamaicensis]</t>
        </is>
      </c>
      <c r="M9078" t="n">
        <v>384</v>
      </c>
      <c r="N9078" t="inlineStr">
        <is>
          <t>Artibeus jamaicensis</t>
        </is>
      </c>
      <c r="O9078" t="inlineStr">
        <is>
          <t>izumo sperm-egg fusion protein 1</t>
        </is>
      </c>
    </row>
    <row r="9079">
      <c r="A9079" t="inlineStr"/>
      <c r="B9079" t="inlineStr"/>
      <c r="C9079" t="inlineStr"/>
      <c r="D9079" t="inlineStr"/>
      <c r="E9079">
        <f>HYPERLINK("https://www.uniprot.org/uniprotkb/A0A2Y9DWR9/entry", "A0A2Y9DWR9")</f>
        <v/>
      </c>
      <c r="F9079" t="n">
        <v>35.7</v>
      </c>
      <c r="G9079" t="n">
        <v>98</v>
      </c>
      <c r="H9079" t="n">
        <v>3.62e-11</v>
      </c>
      <c r="I9079" t="inlineStr">
        <is>
          <t>TrEMBL</t>
        </is>
      </c>
      <c r="J9079" t="inlineStr">
        <is>
          <t>LOC101356734</t>
        </is>
      </c>
      <c r="K9079" t="inlineStr">
        <is>
          <t>A0A2Y9DWR9_TRIMA</t>
        </is>
      </c>
      <c r="L9079" t="inlineStr">
        <is>
          <t>tr|A0A2Y9DWR9|A0A2Y9DWR9_TRIMA izumo sperm-egg fusion protein 1 OS=Trichechus manatus latirostris OX=127582 GN=LOC101356734 PE=3 SV=1</t>
        </is>
      </c>
      <c r="M9079" t="n">
        <v>320</v>
      </c>
      <c r="N9079" t="inlineStr">
        <is>
          <t>Trichechus manatus latirostris</t>
        </is>
      </c>
      <c r="O9079" t="inlineStr">
        <is>
          <t>izumo sperm-egg fusion protein 1</t>
        </is>
      </c>
    </row>
    <row r="9080">
      <c r="A9080" t="inlineStr"/>
      <c r="B9080" t="inlineStr"/>
      <c r="C9080" t="inlineStr"/>
      <c r="D9080" t="inlineStr"/>
      <c r="E9080">
        <f>HYPERLINK("https://www.uniprot.org/uniprotkb/A0A834DFF5/entry", "A0A834DFF5")</f>
        <v/>
      </c>
      <c r="F9080" t="n">
        <v>36</v>
      </c>
      <c r="G9080" t="n">
        <v>100</v>
      </c>
      <c r="H9080" t="n">
        <v>5.38e-11</v>
      </c>
      <c r="I9080" t="inlineStr">
        <is>
          <t>TrEMBL</t>
        </is>
      </c>
      <c r="J9080" t="inlineStr">
        <is>
          <t>HJG60_006978</t>
        </is>
      </c>
      <c r="K9080" t="inlineStr">
        <is>
          <t>A0A834DFF5_9CHIR</t>
        </is>
      </c>
      <c r="L9080" t="inlineStr">
        <is>
          <t>tr|A0A834DFF5|A0A834DFF5_9CHIR Izumo sperm-egg fusion 1 OS=Phyllostomus discolor OX=89673 GN=HJG60_006978 PE=3 SV=1</t>
        </is>
      </c>
      <c r="M9080" t="n">
        <v>423</v>
      </c>
      <c r="N9080" t="inlineStr">
        <is>
          <t>Phyllostomus discolor</t>
        </is>
      </c>
      <c r="O9080" t="inlineStr">
        <is>
          <t>Izumo sperm-egg fusion 1</t>
        </is>
      </c>
    </row>
    <row r="9081">
      <c r="A9081" t="inlineStr"/>
      <c r="B9081" t="inlineStr"/>
      <c r="C9081" t="inlineStr"/>
      <c r="D9081" t="inlineStr"/>
      <c r="E9081">
        <f>HYPERLINK("https://www.uniprot.org/uniprotkb/A0A6J2N838/entry", "A0A6J2N838")</f>
        <v/>
      </c>
      <c r="F9081" t="n">
        <v>36</v>
      </c>
      <c r="G9081" t="n">
        <v>100</v>
      </c>
      <c r="H9081" t="n">
        <v>5.38e-11</v>
      </c>
      <c r="I9081" t="inlineStr">
        <is>
          <t>TrEMBL</t>
        </is>
      </c>
      <c r="J9081" t="inlineStr">
        <is>
          <t>IZUMO1</t>
        </is>
      </c>
      <c r="K9081" t="inlineStr">
        <is>
          <t>A0A6J2N838_9CHIR</t>
        </is>
      </c>
      <c r="L9081" t="inlineStr">
        <is>
          <t>tr|A0A6J2N838|A0A6J2N838_9CHIR izumo sperm-egg fusion protein 1 OS=Phyllostomus discolor OX=89673 GN=IZUMO1 PE=3 SV=1</t>
        </is>
      </c>
      <c r="M9081" t="n">
        <v>423</v>
      </c>
      <c r="N9081" t="inlineStr">
        <is>
          <t>Phyllostomus discolor</t>
        </is>
      </c>
      <c r="O9081" t="inlineStr">
        <is>
          <t>izumo sperm-egg fusion protein 1</t>
        </is>
      </c>
    </row>
    <row r="9082">
      <c r="A9082" t="inlineStr"/>
      <c r="B9082" t="inlineStr"/>
      <c r="C9082" t="inlineStr"/>
      <c r="D9082" t="inlineStr"/>
      <c r="E9082">
        <f>HYPERLINK("https://www.uniprot.org/uniprotkb/A0A8D2HN50/entry", "A0A8D2HN50")</f>
        <v/>
      </c>
      <c r="F9082" t="n">
        <v>37.9</v>
      </c>
      <c r="G9082" t="n">
        <v>95</v>
      </c>
      <c r="H9082" t="n">
        <v>7.04e-11</v>
      </c>
      <c r="I9082" t="inlineStr">
        <is>
          <t>TrEMBL</t>
        </is>
      </c>
      <c r="J9082" t="inlineStr"/>
      <c r="K9082" t="inlineStr">
        <is>
          <t>A0A8D2HN50_UROPR</t>
        </is>
      </c>
      <c r="L9082" t="inlineStr">
        <is>
          <t>tr|A0A8D2HN50|A0A8D2HN50_UROPR Ig-like domain-containing protein OS=Urocitellus parryii OX=9999 PE=3 SV=1</t>
        </is>
      </c>
      <c r="M9082" t="n">
        <v>325</v>
      </c>
      <c r="N9082" t="inlineStr">
        <is>
          <t>Urocitellus parryii</t>
        </is>
      </c>
      <c r="O9082" t="inlineStr">
        <is>
          <t>Ig-like domain-containing protein</t>
        </is>
      </c>
    </row>
    <row r="9083">
      <c r="A9083" t="inlineStr"/>
      <c r="B9083" t="inlineStr"/>
      <c r="C9083" t="inlineStr"/>
      <c r="D9083" t="inlineStr"/>
      <c r="E9083">
        <f>HYPERLINK("https://www.uniprot.org/uniprotkb/A0A7J8C850/entry", "A0A7J8C850")</f>
        <v/>
      </c>
      <c r="F9083" t="n">
        <v>37.8</v>
      </c>
      <c r="G9083" t="n">
        <v>90</v>
      </c>
      <c r="H9083" t="n">
        <v>8.36e-11</v>
      </c>
      <c r="I9083" t="inlineStr">
        <is>
          <t>TrEMBL</t>
        </is>
      </c>
      <c r="J9083" t="inlineStr">
        <is>
          <t>HJG59_007010</t>
        </is>
      </c>
      <c r="K9083" t="inlineStr">
        <is>
          <t>A0A7J8C850_MOLMO</t>
        </is>
      </c>
      <c r="L9083" t="inlineStr">
        <is>
          <t>tr|A0A7J8C850|A0A7J8C850_MOLMO Izumo sperm-egg fusion 1 OS=Molossus molossus OX=27622 GN=HJG59_007010 PE=3 SV=1</t>
        </is>
      </c>
      <c r="M9083" t="n">
        <v>268</v>
      </c>
      <c r="N9083" t="inlineStr">
        <is>
          <t>Molossus molossus</t>
        </is>
      </c>
      <c r="O9083" t="inlineStr">
        <is>
          <t>Izumo sperm-egg fusion 1</t>
        </is>
      </c>
    </row>
    <row r="9084">
      <c r="A9084" t="inlineStr"/>
      <c r="B9084" t="inlineStr"/>
      <c r="C9084" t="inlineStr"/>
      <c r="D9084" t="inlineStr"/>
      <c r="E9084">
        <f>HYPERLINK("https://www.ncbi.nlm.nih.gov/gene/?term=XP_004381889.2", "XP_004381889.2")</f>
        <v/>
      </c>
      <c r="F9084" t="n">
        <v>35.7</v>
      </c>
      <c r="G9084" t="n">
        <v>98</v>
      </c>
      <c r="H9084" t="n">
        <v>9.29e-11</v>
      </c>
      <c r="I9084" t="inlineStr">
        <is>
          <t>Nr</t>
        </is>
      </c>
      <c r="J9084" t="inlineStr"/>
      <c r="K9084" t="inlineStr"/>
      <c r="L9084" t="inlineStr">
        <is>
          <t>XP_004381889.2 izumo sperm-egg fusion protein 1 [Trichechus manatus latirostris]</t>
        </is>
      </c>
      <c r="M9084" t="n">
        <v>320</v>
      </c>
      <c r="N9084" t="inlineStr">
        <is>
          <t>Trichechus manatus latirostris</t>
        </is>
      </c>
      <c r="O9084" t="inlineStr">
        <is>
          <t>izumo sperm-egg fusion protein 1</t>
        </is>
      </c>
    </row>
    <row r="9085">
      <c r="A9085" t="inlineStr"/>
      <c r="B9085" t="inlineStr"/>
      <c r="C9085" t="inlineStr"/>
      <c r="D9085" t="inlineStr"/>
      <c r="E9085">
        <f>HYPERLINK("https://www.ncbi.nlm.nih.gov/gene/?term=XP_045712169.1", "XP_045712169.1")</f>
        <v/>
      </c>
      <c r="F9085" t="n">
        <v>36</v>
      </c>
      <c r="G9085" t="n">
        <v>100</v>
      </c>
      <c r="H9085" t="n">
        <v>1.27e-10</v>
      </c>
      <c r="I9085" t="inlineStr">
        <is>
          <t>Nr</t>
        </is>
      </c>
      <c r="J9085" t="inlineStr"/>
      <c r="K9085" t="inlineStr"/>
      <c r="L9085" t="inlineStr">
        <is>
          <t>XP_045712169.1 izumo sperm-egg fusion protein 1 [Phyllostomus hastatus]</t>
        </is>
      </c>
      <c r="M9085" t="n">
        <v>387</v>
      </c>
      <c r="N9085" t="inlineStr">
        <is>
          <t>Phyllostomus hastatus</t>
        </is>
      </c>
      <c r="O9085" t="inlineStr">
        <is>
          <t>izumo sperm-egg fusion protein 1</t>
        </is>
      </c>
    </row>
    <row r="9086">
      <c r="A9086" t="inlineStr"/>
      <c r="B9086" t="inlineStr"/>
      <c r="C9086" t="inlineStr"/>
      <c r="D9086" t="inlineStr"/>
      <c r="E9086">
        <f>HYPERLINK("https://www.ncbi.nlm.nih.gov/gene/?term=KAF6077846.1", "KAF6077846.1")</f>
        <v/>
      </c>
      <c r="F9086" t="n">
        <v>36</v>
      </c>
      <c r="G9086" t="n">
        <v>100</v>
      </c>
      <c r="H9086" t="n">
        <v>1.38e-10</v>
      </c>
      <c r="I9086" t="inlineStr">
        <is>
          <t>Nr</t>
        </is>
      </c>
      <c r="J9086" t="inlineStr"/>
      <c r="K9086" t="inlineStr"/>
      <c r="L9086" t="inlineStr">
        <is>
          <t>KAF6077846.1 izumo sperm-egg fusion 1 [Phyllostomus discolor]</t>
        </is>
      </c>
      <c r="M9086" t="n">
        <v>423</v>
      </c>
      <c r="N9086" t="inlineStr">
        <is>
          <t>Phyllostomus discolor</t>
        </is>
      </c>
      <c r="O9086" t="inlineStr">
        <is>
          <t>izumo sperm-egg fusion 1</t>
        </is>
      </c>
    </row>
    <row r="9087">
      <c r="A9087" t="inlineStr"/>
      <c r="B9087" t="inlineStr"/>
      <c r="C9087" t="inlineStr"/>
      <c r="D9087" t="inlineStr"/>
      <c r="E9087">
        <f>HYPERLINK("https://www.ncbi.nlm.nih.gov/gene/?term=XP_028386120.1", "XP_028386120.1")</f>
        <v/>
      </c>
      <c r="F9087" t="n">
        <v>36</v>
      </c>
      <c r="G9087" t="n">
        <v>100</v>
      </c>
      <c r="H9087" t="n">
        <v>1.38e-10</v>
      </c>
      <c r="I9087" t="inlineStr">
        <is>
          <t>Nr</t>
        </is>
      </c>
      <c r="J9087" t="inlineStr"/>
      <c r="K9087" t="inlineStr"/>
      <c r="L9087" t="inlineStr">
        <is>
          <t>XP_028386120.1 izumo sperm-egg fusion protein 1 [Phyllostomus discolor]</t>
        </is>
      </c>
      <c r="M9087" t="n">
        <v>423</v>
      </c>
      <c r="N9087" t="inlineStr">
        <is>
          <t>Phyllostomus discolor</t>
        </is>
      </c>
      <c r="O9087" t="inlineStr">
        <is>
          <t>izumo sperm-egg fusion protein 1</t>
        </is>
      </c>
    </row>
    <row r="9088">
      <c r="A9088" t="inlineStr"/>
      <c r="B9088" t="inlineStr"/>
      <c r="C9088" t="inlineStr"/>
      <c r="D9088" t="inlineStr"/>
      <c r="E9088">
        <f>HYPERLINK("https://www.ncbi.nlm.nih.gov/gene/?term=5B5K_A", "5B5K_A")</f>
        <v/>
      </c>
      <c r="F9088" t="n">
        <v>34.8</v>
      </c>
      <c r="G9088" t="n">
        <v>92</v>
      </c>
      <c r="H9088" t="n">
        <v>1.47e-10</v>
      </c>
      <c r="I9088" t="inlineStr">
        <is>
          <t>Nr</t>
        </is>
      </c>
      <c r="J9088" t="inlineStr"/>
      <c r="K9088" t="inlineStr"/>
      <c r="L9088" t="inlineStr">
        <is>
          <t>5B5K_A Crystal structure of Izumo1, the mammalian sperm ligand for egg Juno [Mus musculus]</t>
        </is>
      </c>
      <c r="M9088" t="n">
        <v>236</v>
      </c>
      <c r="N9088" t="inlineStr">
        <is>
          <t>Mus musculus</t>
        </is>
      </c>
      <c r="O9088" t="inlineStr">
        <is>
          <t>Crystal structure of Izumo1, the mammalian sperm ligand for egg Juno</t>
        </is>
      </c>
    </row>
    <row r="9089">
      <c r="A9089" t="inlineStr"/>
      <c r="B9089" t="inlineStr"/>
      <c r="C9089" t="inlineStr"/>
      <c r="D9089" t="inlineStr"/>
      <c r="E9089">
        <f>HYPERLINK("https://www.uniprot.org/uniprotkb/A0A455R725/entry", "A0A455R725")</f>
        <v/>
      </c>
      <c r="F9089" t="n">
        <v>34.8</v>
      </c>
      <c r="G9089" t="n">
        <v>92</v>
      </c>
      <c r="H9089" t="n">
        <v>1.86e-10</v>
      </c>
      <c r="I9089" t="inlineStr">
        <is>
          <t>TrEMBL</t>
        </is>
      </c>
      <c r="J9089" t="inlineStr">
        <is>
          <t>Izumo1</t>
        </is>
      </c>
      <c r="K9089" t="inlineStr">
        <is>
          <t>A0A455R725_MOUSE</t>
        </is>
      </c>
      <c r="L9089" t="inlineStr">
        <is>
          <t>tr|A0A455R725|A0A455R725_MOUSE Izumo sperm-egg fusion protein 1 OS=Mus musculus OX=10090 GN=Izumo1 PE=2 SV=1</t>
        </is>
      </c>
      <c r="M9089" t="n">
        <v>428</v>
      </c>
      <c r="N9089" t="inlineStr">
        <is>
          <t>Mus musculus</t>
        </is>
      </c>
      <c r="O9089" t="inlineStr">
        <is>
          <t>Izumo sperm-egg fusion protein 1</t>
        </is>
      </c>
    </row>
    <row r="9090">
      <c r="A9090" t="inlineStr"/>
      <c r="B9090" t="inlineStr"/>
      <c r="C9090" t="inlineStr"/>
      <c r="D9090" t="inlineStr"/>
      <c r="E9090">
        <f>HYPERLINK("https://www.uniprot.org/uniprotkb/A0A075IMC7/entry", "A0A075IMC7")</f>
        <v/>
      </c>
      <c r="F9090" t="n">
        <v>36.8</v>
      </c>
      <c r="G9090" t="n">
        <v>95</v>
      </c>
      <c r="H9090" t="n">
        <v>1.97e-10</v>
      </c>
      <c r="I9090" t="inlineStr">
        <is>
          <t>TrEMBL</t>
        </is>
      </c>
      <c r="J9090" t="inlineStr">
        <is>
          <t>IZUMO1</t>
        </is>
      </c>
      <c r="K9090" t="inlineStr">
        <is>
          <t>A0A075IMC7_LAGLA</t>
        </is>
      </c>
      <c r="L9090" t="inlineStr">
        <is>
          <t>tr|A0A075IMC7|A0A075IMC7_LAGLA Izumo sperm-egg fusion protein (Fragment) OS=Lagothrix lagotricha OX=9519 GN=IZUMO1 PE=3 SV=1</t>
        </is>
      </c>
      <c r="M9090" t="n">
        <v>170</v>
      </c>
      <c r="N9090" t="inlineStr">
        <is>
          <t>Lagothrix lagotricha</t>
        </is>
      </c>
      <c r="O9090" t="inlineStr">
        <is>
          <t>Izumo sperm-egg fusion protein (Fragment)</t>
        </is>
      </c>
    </row>
    <row r="9091">
      <c r="A9091" t="inlineStr"/>
      <c r="B9091" t="inlineStr"/>
      <c r="C9091" t="inlineStr"/>
      <c r="D9091" t="inlineStr"/>
      <c r="E9091">
        <f>HYPERLINK("https://www.ncbi.nlm.nih.gov/gene/?term=XP_007508018.1", "XP_007508018.1")</f>
        <v/>
      </c>
      <c r="F9091" t="n">
        <v>39.2</v>
      </c>
      <c r="G9091" t="n">
        <v>102</v>
      </c>
      <c r="H9091" t="n">
        <v>2.12e-10</v>
      </c>
      <c r="I9091" t="inlineStr">
        <is>
          <t>Nr</t>
        </is>
      </c>
      <c r="J9091" t="inlineStr"/>
      <c r="K9091" t="inlineStr"/>
      <c r="L9091" t="inlineStr">
        <is>
          <t>XP_007508018.1 PREDICTED: LOW QUALITY PROTEIN: izumo sperm-egg fusion protein 1 [Monodelphis domestica]</t>
        </is>
      </c>
      <c r="M9091" t="n">
        <v>562</v>
      </c>
      <c r="N9091" t="inlineStr">
        <is>
          <t>Monodelphis domestica</t>
        </is>
      </c>
      <c r="O9091" t="inlineStr">
        <is>
          <t>PREDICTED: LOW QUALITY PROTEIN: izumo sperm-egg fusion protein 1</t>
        </is>
      </c>
    </row>
    <row r="9092">
      <c r="A9092" t="inlineStr"/>
      <c r="B9092" t="inlineStr"/>
      <c r="C9092" t="inlineStr"/>
      <c r="D9092" t="inlineStr"/>
      <c r="E9092">
        <f>HYPERLINK("https://www.ncbi.nlm.nih.gov/gene/?term=KAF6406979.1", "KAF6406979.1")</f>
        <v/>
      </c>
      <c r="F9092" t="n">
        <v>37.8</v>
      </c>
      <c r="G9092" t="n">
        <v>90</v>
      </c>
      <c r="H9092" t="n">
        <v>2.15e-10</v>
      </c>
      <c r="I9092" t="inlineStr">
        <is>
          <t>Nr</t>
        </is>
      </c>
      <c r="J9092" t="inlineStr"/>
      <c r="K9092" t="inlineStr"/>
      <c r="L9092" t="inlineStr">
        <is>
          <t>KAF6406979.1 izumo sperm-egg fusion 1 [Molossus molossus]</t>
        </is>
      </c>
      <c r="M9092" t="n">
        <v>268</v>
      </c>
      <c r="N9092" t="inlineStr">
        <is>
          <t>Molossus molossus</t>
        </is>
      </c>
      <c r="O9092" t="inlineStr">
        <is>
          <t>izumo sperm-egg fusion 1</t>
        </is>
      </c>
    </row>
    <row r="9093">
      <c r="A9093" t="inlineStr"/>
      <c r="B9093" t="inlineStr"/>
      <c r="C9093" t="inlineStr"/>
      <c r="D9093" t="inlineStr"/>
      <c r="E9093">
        <f>HYPERLINK("https://www.uniprot.org/uniprotkb/A0A6I9K3Q9/entry", "A0A6I9K3Q9")</f>
        <v/>
      </c>
      <c r="F9093" t="n">
        <v>35.7</v>
      </c>
      <c r="G9093" t="n">
        <v>98</v>
      </c>
      <c r="H9093" t="n">
        <v>2.18e-10</v>
      </c>
      <c r="I9093" t="inlineStr">
        <is>
          <t>TrEMBL</t>
        </is>
      </c>
      <c r="J9093" t="inlineStr">
        <is>
          <t>IZUMO1</t>
        </is>
      </c>
      <c r="K9093" t="inlineStr">
        <is>
          <t>A0A6I9K3Q9_CHRAS</t>
        </is>
      </c>
      <c r="L9093" t="inlineStr">
        <is>
          <t>tr|A0A6I9K3Q9|A0A6I9K3Q9_CHRAS izumo sperm-egg fusion protein 1 OS=Chrysochloris asiatica OX=185453 GN=IZUMO1 PE=3 SV=1</t>
        </is>
      </c>
      <c r="M9093" t="n">
        <v>365</v>
      </c>
      <c r="N9093" t="inlineStr">
        <is>
          <t>Chrysochloris asiatica</t>
        </is>
      </c>
      <c r="O9093" t="inlineStr">
        <is>
          <t>izumo sperm-egg fusion protein 1</t>
        </is>
      </c>
    </row>
    <row r="9094">
      <c r="A9094" t="inlineStr"/>
      <c r="B9094" t="inlineStr"/>
      <c r="C9094" t="inlineStr"/>
      <c r="D9094" t="inlineStr"/>
      <c r="E9094">
        <f>HYPERLINK("https://www.ncbi.nlm.nih.gov/gene/?term=XP_012862104.1", "XP_012862104.1")</f>
        <v/>
      </c>
      <c r="F9094" t="n">
        <v>34.5</v>
      </c>
      <c r="G9094" t="n">
        <v>110</v>
      </c>
      <c r="H9094" t="n">
        <v>2.25e-10</v>
      </c>
      <c r="I9094" t="inlineStr">
        <is>
          <t>Nr</t>
        </is>
      </c>
      <c r="J9094" t="inlineStr"/>
      <c r="K9094" t="inlineStr"/>
      <c r="L9094" t="inlineStr">
        <is>
          <t>XP_012862104.1 izumo sperm-egg fusion protein 1 [Echinops telfairi]</t>
        </is>
      </c>
      <c r="M9094" t="n">
        <v>310</v>
      </c>
      <c r="N9094" t="inlineStr">
        <is>
          <t>Echinops telfairi</t>
        </is>
      </c>
      <c r="O9094" t="inlineStr">
        <is>
          <t>izumo sperm-egg fusion protein 1</t>
        </is>
      </c>
    </row>
    <row r="9095">
      <c r="A9095" t="inlineStr"/>
      <c r="B9095" t="inlineStr"/>
      <c r="C9095" t="inlineStr"/>
      <c r="D9095" t="inlineStr"/>
      <c r="E9095">
        <f>HYPERLINK("https://www.uniprot.org/uniprotkb/A0A8C6HHX8/entry", "A0A8C6HHX8")</f>
        <v/>
      </c>
      <c r="F9095" t="n">
        <v>34.8</v>
      </c>
      <c r="G9095" t="n">
        <v>92</v>
      </c>
      <c r="H9095" t="n">
        <v>2.39e-10</v>
      </c>
      <c r="I9095" t="inlineStr">
        <is>
          <t>TrEMBL</t>
        </is>
      </c>
      <c r="J9095" t="inlineStr"/>
      <c r="K9095" t="inlineStr">
        <is>
          <t>A0A8C6HHX8_MUSSI</t>
        </is>
      </c>
      <c r="L9095" t="inlineStr">
        <is>
          <t>tr|A0A8C6HHX8|A0A8C6HHX8_MUSSI Izumo sperm-egg fusion 1 OS=Mus spicilegus OX=10103 PE=3 SV=1</t>
        </is>
      </c>
      <c r="M9095" t="n">
        <v>397</v>
      </c>
      <c r="N9095" t="inlineStr">
        <is>
          <t>Mus spicilegus</t>
        </is>
      </c>
      <c r="O9095" t="inlineStr">
        <is>
          <t>Izumo sperm-egg fusion 1</t>
        </is>
      </c>
    </row>
    <row r="9096">
      <c r="A9096" t="inlineStr"/>
      <c r="B9096" t="inlineStr"/>
      <c r="C9096" t="inlineStr"/>
      <c r="D9096" t="inlineStr"/>
      <c r="E9096">
        <f>HYPERLINK("https://www.ncbi.nlm.nih.gov/gene/?term=XP_026261992.1", "XP_026261992.1")</f>
        <v/>
      </c>
      <c r="F9096" t="n">
        <v>37.9</v>
      </c>
      <c r="G9096" t="n">
        <v>95</v>
      </c>
      <c r="H9096" t="n">
        <v>2.46e-10</v>
      </c>
      <c r="I9096" t="inlineStr">
        <is>
          <t>Nr</t>
        </is>
      </c>
      <c r="J9096" t="inlineStr"/>
      <c r="K9096" t="inlineStr"/>
      <c r="L9096" t="inlineStr">
        <is>
          <t>XP_026261992.1 izumo sperm-egg fusion protein 1 [Urocitellus parryii]</t>
        </is>
      </c>
      <c r="M9096" t="n">
        <v>402</v>
      </c>
      <c r="N9096" t="inlineStr">
        <is>
          <t>Urocitellus parryii</t>
        </is>
      </c>
      <c r="O9096" t="inlineStr">
        <is>
          <t>izumo sperm-egg fusion protein 1</t>
        </is>
      </c>
    </row>
    <row r="9097">
      <c r="A9097" t="inlineStr"/>
      <c r="B9097" t="inlineStr"/>
      <c r="C9097" t="inlineStr"/>
      <c r="D9097" t="inlineStr"/>
      <c r="E9097">
        <f>HYPERLINK("https://www.ncbi.nlm.nih.gov/gene/?term=XP_044132571.1", "XP_044132571.1")</f>
        <v/>
      </c>
      <c r="F9097" t="n">
        <v>32.6</v>
      </c>
      <c r="G9097" t="n">
        <v>135</v>
      </c>
      <c r="H9097" t="n">
        <v>2.72e-10</v>
      </c>
      <c r="I9097" t="inlineStr">
        <is>
          <t>Nr</t>
        </is>
      </c>
      <c r="J9097" t="inlineStr"/>
      <c r="K9097" t="inlineStr"/>
      <c r="L9097" t="inlineStr">
        <is>
          <t>XP_044132571.1 izumo sperm-egg fusion protein 1-like [Bufo gargarizans]</t>
        </is>
      </c>
      <c r="M9097" t="n">
        <v>342</v>
      </c>
      <c r="N9097" t="inlineStr">
        <is>
          <t>Bufo gargarizans</t>
        </is>
      </c>
      <c r="O9097" t="inlineStr">
        <is>
          <t>izumo sperm-egg fusion protein 1-like</t>
        </is>
      </c>
    </row>
    <row r="9098">
      <c r="A9098" t="inlineStr"/>
      <c r="B9098" t="inlineStr"/>
      <c r="C9098" t="inlineStr"/>
      <c r="D9098" t="inlineStr"/>
      <c r="E9098">
        <f>HYPERLINK("https://www.ncbi.nlm.nih.gov/gene/?term=KAG3256448.1", "KAG3256448.1")</f>
        <v/>
      </c>
      <c r="F9098" t="n">
        <v>37.9</v>
      </c>
      <c r="G9098" t="n">
        <v>95</v>
      </c>
      <c r="H9098" t="n">
        <v>2.73e-10</v>
      </c>
      <c r="I9098" t="inlineStr">
        <is>
          <t>Nr</t>
        </is>
      </c>
      <c r="J9098" t="inlineStr"/>
      <c r="K9098" t="inlineStr"/>
      <c r="L9098" t="inlineStr">
        <is>
          <t>KAG3256448.1 izumo sperm-egg fusion protein 1-like [Ictidomys tridecemlineatus]</t>
        </is>
      </c>
      <c r="M9098" t="n">
        <v>343</v>
      </c>
      <c r="N9098" t="inlineStr">
        <is>
          <t>Ictidomys tridecemlineatus</t>
        </is>
      </c>
      <c r="O9098" t="inlineStr">
        <is>
          <t>izumo sperm-egg fusion protein 1-like</t>
        </is>
      </c>
    </row>
    <row r="9099">
      <c r="A9099" t="inlineStr"/>
      <c r="B9099" t="inlineStr"/>
      <c r="C9099" t="inlineStr"/>
      <c r="D9099" t="inlineStr"/>
      <c r="E9099">
        <f>HYPERLINK("https://www.uniprot.org/uniprotkb/G3QFY5/entry", "G3QFY5")</f>
        <v/>
      </c>
      <c r="F9099" t="n">
        <v>36.8</v>
      </c>
      <c r="G9099" t="n">
        <v>95</v>
      </c>
      <c r="H9099" t="n">
        <v>2.81e-10</v>
      </c>
      <c r="I9099" t="inlineStr">
        <is>
          <t>TrEMBL</t>
        </is>
      </c>
      <c r="J9099" t="inlineStr">
        <is>
          <t>IZUMO1</t>
        </is>
      </c>
      <c r="K9099" t="inlineStr">
        <is>
          <t>G3QFY5_GORGO</t>
        </is>
      </c>
      <c r="L9099" t="inlineStr">
        <is>
          <t>tr|G3QFY5|G3QFY5_GORGO Izumo sperm-egg fusion 1 OS=Gorilla gorilla gorilla OX=9595 GN=IZUMO1 PE=3 SV=2</t>
        </is>
      </c>
      <c r="M9099" t="n">
        <v>350</v>
      </c>
      <c r="N9099" t="inlineStr">
        <is>
          <t>Gorilla gorilla gorilla</t>
        </is>
      </c>
      <c r="O9099" t="inlineStr">
        <is>
          <t>Izumo sperm-egg fusion 1</t>
        </is>
      </c>
    </row>
    <row r="9100">
      <c r="A9100" t="inlineStr"/>
      <c r="B9100" t="inlineStr"/>
      <c r="C9100" t="inlineStr"/>
      <c r="D9100" t="inlineStr"/>
      <c r="E9100">
        <f>HYPERLINK("https://www.uniprot.org/uniprotkb/A0A075IKB2/entry", "A0A075IKB2")</f>
        <v/>
      </c>
      <c r="F9100" t="n">
        <v>34.5</v>
      </c>
      <c r="G9100" t="n">
        <v>113</v>
      </c>
      <c r="H9100" t="n">
        <v>2.81e-10</v>
      </c>
      <c r="I9100" t="inlineStr">
        <is>
          <t>TrEMBL</t>
        </is>
      </c>
      <c r="J9100" t="inlineStr">
        <is>
          <t>IZUMO1</t>
        </is>
      </c>
      <c r="K9100" t="inlineStr">
        <is>
          <t>A0A075IKB2_SAGLB</t>
        </is>
      </c>
      <c r="L9100" t="inlineStr">
        <is>
          <t>tr|A0A075IKB2|A0A075IKB2_SAGLB Izumo sperm-egg fusion protein (Fragment) OS=Saguinus labiatus OX=78454 GN=IZUMO1 PE=3 SV=1</t>
        </is>
      </c>
      <c r="M9100" t="n">
        <v>210</v>
      </c>
      <c r="N9100" t="inlineStr">
        <is>
          <t>Saguinus labiatus</t>
        </is>
      </c>
      <c r="O9100" t="inlineStr">
        <is>
          <t>Izumo sperm-egg fusion protein (Fragment)</t>
        </is>
      </c>
    </row>
    <row r="9101">
      <c r="A9101" t="inlineStr"/>
      <c r="B9101" t="inlineStr"/>
      <c r="C9101" t="inlineStr"/>
      <c r="D9101" t="inlineStr"/>
      <c r="E9101">
        <f>HYPERLINK("https://www.ncbi.nlm.nih.gov/gene/?term=XP_018872163.1", "XP_018872163.1")</f>
        <v/>
      </c>
      <c r="F9101" t="n">
        <v>36.8</v>
      </c>
      <c r="G9101" t="n">
        <v>95</v>
      </c>
      <c r="H9101" t="n">
        <v>2.86e-10</v>
      </c>
      <c r="I9101" t="inlineStr">
        <is>
          <t>Nr</t>
        </is>
      </c>
      <c r="J9101" t="inlineStr"/>
      <c r="K9101" t="inlineStr"/>
      <c r="L9101" t="inlineStr">
        <is>
          <t>XP_018872163.1 izumo sperm-egg fusion protein 1 isoform X3 [Gorilla gorilla gorilla]</t>
        </is>
      </c>
      <c r="M9101" t="n">
        <v>237</v>
      </c>
      <c r="N9101" t="inlineStr">
        <is>
          <t>Gorilla gorilla gorilla</t>
        </is>
      </c>
      <c r="O9101" t="inlineStr">
        <is>
          <t>izumo sperm-egg fusion protein 1 isoform X3</t>
        </is>
      </c>
    </row>
    <row r="9102">
      <c r="A9102" t="inlineStr"/>
      <c r="B9102" t="inlineStr"/>
      <c r="C9102" t="inlineStr"/>
      <c r="D9102" t="inlineStr"/>
      <c r="E9102">
        <f>HYPERLINK("https://www.uniprot.org/uniprotkb/A0A8D2DLX3/entry", "A0A8D2DLX3")</f>
        <v/>
      </c>
      <c r="F9102" t="n">
        <v>36.8</v>
      </c>
      <c r="G9102" t="n">
        <v>95</v>
      </c>
      <c r="H9102" t="n">
        <v>2.9e-10</v>
      </c>
      <c r="I9102" t="inlineStr">
        <is>
          <t>TrEMBL</t>
        </is>
      </c>
      <c r="J9102" t="inlineStr"/>
      <c r="K9102" t="inlineStr">
        <is>
          <t>A0A8D2DLX3_SCIVU</t>
        </is>
      </c>
      <c r="L9102" t="inlineStr">
        <is>
          <t>tr|A0A8D2DLX3|A0A8D2DLX3_SCIVU Izumo-Ig domain-containing protein OS=Sciurus vulgaris OX=55149 PE=3 SV=1</t>
        </is>
      </c>
      <c r="M9102" t="n">
        <v>300</v>
      </c>
      <c r="N9102" t="inlineStr">
        <is>
          <t>Sciurus vulgaris</t>
        </is>
      </c>
      <c r="O9102" t="inlineStr">
        <is>
          <t>Izumo-Ig domain-containing protein</t>
        </is>
      </c>
    </row>
    <row r="9103">
      <c r="A9103" t="inlineStr"/>
      <c r="B9103" t="inlineStr"/>
      <c r="C9103" t="inlineStr"/>
      <c r="D9103" t="inlineStr"/>
      <c r="E9103">
        <f>HYPERLINK("https://www.uniprot.org/uniprotkb/B4DX00/entry", "B4DX00")</f>
        <v/>
      </c>
      <c r="F9103" t="n">
        <v>36.8</v>
      </c>
      <c r="G9103" t="n">
        <v>95</v>
      </c>
      <c r="H9103" t="n">
        <v>2.96e-10</v>
      </c>
      <c r="I9103" t="inlineStr">
        <is>
          <t>TrEMBL</t>
        </is>
      </c>
      <c r="J9103" t="inlineStr"/>
      <c r="K9103" t="inlineStr">
        <is>
          <t>B4DX00_HUMAN</t>
        </is>
      </c>
      <c r="L9103" t="inlineStr">
        <is>
          <t>tr|B4DX00|B4DX00_HUMAN cDNA FLJ61440, highly similar to Izumo sperm-egg fusion protein 1 OS=Homo sapiens OX=9606 PE=2 SV=1</t>
        </is>
      </c>
      <c r="M9103" t="n">
        <v>237</v>
      </c>
      <c r="N9103" t="inlineStr">
        <is>
          <t>Homo sapiens</t>
        </is>
      </c>
      <c r="O9103" t="inlineStr">
        <is>
          <t>cDNA FLJ61440, highly similar to Izumo sperm-egg fusion protein 1</t>
        </is>
      </c>
    </row>
    <row r="9104">
      <c r="A9104" t="inlineStr"/>
      <c r="B9104" t="inlineStr"/>
      <c r="C9104" t="inlineStr"/>
      <c r="D9104" t="inlineStr"/>
      <c r="E9104">
        <f>HYPERLINK("https://www.ncbi.nlm.nih.gov/gene/?term=5JK9_A", "5JK9_A")</f>
        <v/>
      </c>
      <c r="F9104" t="n">
        <v>38.7</v>
      </c>
      <c r="G9104" t="n">
        <v>93</v>
      </c>
      <c r="H9104" t="n">
        <v>3.2e-10</v>
      </c>
      <c r="I9104" t="inlineStr">
        <is>
          <t>Nr</t>
        </is>
      </c>
      <c r="J9104" t="inlineStr"/>
      <c r="K9104" t="inlineStr"/>
      <c r="L9104" t="inlineStr">
        <is>
          <t>5JK9_A Crystal structure of human IZUMO1 [Homo sapiens]</t>
        </is>
      </c>
      <c r="M9104" t="n">
        <v>246</v>
      </c>
      <c r="N9104" t="inlineStr">
        <is>
          <t>Homo sapiens</t>
        </is>
      </c>
      <c r="O9104" t="inlineStr">
        <is>
          <t>Crystal structure of human IZUMO1</t>
        </is>
      </c>
    </row>
    <row r="9105">
      <c r="A9105" t="inlineStr"/>
      <c r="B9105" t="inlineStr"/>
      <c r="C9105" t="inlineStr"/>
      <c r="D9105" t="inlineStr"/>
      <c r="E9105">
        <f>HYPERLINK("https://www.uniprot.org/uniprotkb/A0A6P5Q235/entry", "A0A6P5Q235")</f>
        <v/>
      </c>
      <c r="F9105" t="n">
        <v>34.8</v>
      </c>
      <c r="G9105" t="n">
        <v>92</v>
      </c>
      <c r="H9105" t="n">
        <v>3.29e-10</v>
      </c>
      <c r="I9105" t="inlineStr">
        <is>
          <t>TrEMBL</t>
        </is>
      </c>
      <c r="J9105" t="inlineStr">
        <is>
          <t>Izumo1</t>
        </is>
      </c>
      <c r="K9105" t="inlineStr">
        <is>
          <t>A0A6P5Q235_MUSCR</t>
        </is>
      </c>
      <c r="L9105" t="inlineStr">
        <is>
          <t>tr|A0A6P5Q235|A0A6P5Q235_MUSCR izumo sperm-egg fusion protein 1 OS=Mus caroli OX=10089 GN=Izumo1 PE=3 SV=1</t>
        </is>
      </c>
      <c r="M9105" t="n">
        <v>402</v>
      </c>
      <c r="N9105" t="inlineStr">
        <is>
          <t>Mus caroli</t>
        </is>
      </c>
      <c r="O9105" t="inlineStr">
        <is>
          <t>izumo sperm-egg fusion protein 1</t>
        </is>
      </c>
    </row>
    <row r="9106">
      <c r="A9106" t="inlineStr"/>
      <c r="B9106" t="inlineStr"/>
      <c r="C9106" t="inlineStr"/>
      <c r="D9106" t="inlineStr"/>
      <c r="E9106">
        <f>HYPERLINK("https://www.uniprot.org/uniprotkb/A0A7J7SJI0/entry", "A0A7J7SJI0")</f>
        <v/>
      </c>
      <c r="F9106" t="n">
        <v>35.1</v>
      </c>
      <c r="G9106" t="n">
        <v>97</v>
      </c>
      <c r="H9106" t="n">
        <v>3.39e-10</v>
      </c>
      <c r="I9106" t="inlineStr">
        <is>
          <t>TrEMBL</t>
        </is>
      </c>
      <c r="J9106" t="inlineStr">
        <is>
          <t>mRhiFer1_007060</t>
        </is>
      </c>
      <c r="K9106" t="inlineStr">
        <is>
          <t>A0A7J7SJI0_RHIFE</t>
        </is>
      </c>
      <c r="L9106" t="inlineStr">
        <is>
          <t>tr|A0A7J7SJI0|A0A7J7SJI0_RHIFE Izumo sperm-egg fusion 1 OS=Rhinolophus ferrumequinum OX=59479 GN=mRhiFer1_007060 PE=3 SV=1</t>
        </is>
      </c>
      <c r="M9106" t="n">
        <v>324</v>
      </c>
      <c r="N9106" t="inlineStr">
        <is>
          <t>Rhinolophus ferrumequinum</t>
        </is>
      </c>
      <c r="O9106" t="inlineStr">
        <is>
          <t>Izumo sperm-egg fusion 1</t>
        </is>
      </c>
    </row>
    <row r="9107">
      <c r="A9107" t="inlineStr"/>
      <c r="B9107" t="inlineStr"/>
      <c r="C9107" t="inlineStr"/>
      <c r="D9107" t="inlineStr"/>
      <c r="E9107">
        <f>HYPERLINK("https://www.uniprot.org/uniprotkb/A0A8D2DIW6/entry", "A0A8D2DIW6")</f>
        <v/>
      </c>
      <c r="F9107" t="n">
        <v>36.8</v>
      </c>
      <c r="G9107" t="n">
        <v>95</v>
      </c>
      <c r="H9107" t="n">
        <v>3.55e-10</v>
      </c>
      <c r="I9107" t="inlineStr">
        <is>
          <t>TrEMBL</t>
        </is>
      </c>
      <c r="J9107" t="inlineStr"/>
      <c r="K9107" t="inlineStr">
        <is>
          <t>A0A8D2DIW6_SCIVU</t>
        </is>
      </c>
      <c r="L9107" t="inlineStr">
        <is>
          <t>tr|A0A8D2DIW6|A0A8D2DIW6_SCIVU Izumo-Ig domain-containing protein OS=Sciurus vulgaris OX=55149 PE=3 SV=1</t>
        </is>
      </c>
      <c r="M9107" t="n">
        <v>333</v>
      </c>
      <c r="N9107" t="inlineStr">
        <is>
          <t>Sciurus vulgaris</t>
        </is>
      </c>
      <c r="O9107" t="inlineStr">
        <is>
          <t>Izumo-Ig domain-containing protein</t>
        </is>
      </c>
    </row>
    <row r="9108">
      <c r="A9108" t="inlineStr"/>
      <c r="B9108" t="inlineStr"/>
      <c r="C9108" t="inlineStr"/>
      <c r="D9108" t="inlineStr"/>
      <c r="E9108">
        <f>HYPERLINK("https://www.uniprot.org/uniprotkb/A0A2J8U7P2/entry", "A0A2J8U7P2")</f>
        <v/>
      </c>
      <c r="F9108" t="n">
        <v>36.8</v>
      </c>
      <c r="G9108" t="n">
        <v>95</v>
      </c>
      <c r="H9108" t="n">
        <v>3.84e-10</v>
      </c>
      <c r="I9108" t="inlineStr">
        <is>
          <t>TrEMBL</t>
        </is>
      </c>
      <c r="J9108" t="inlineStr">
        <is>
          <t>CR201_G0029569</t>
        </is>
      </c>
      <c r="K9108" t="inlineStr">
        <is>
          <t>A0A2J8U7P2_PONAB</t>
        </is>
      </c>
      <c r="L9108" t="inlineStr">
        <is>
          <t>tr|A0A2J8U7P2|A0A2J8U7P2_PONAB IZUMO1 isoform 2 OS=Pongo abelii OX=9601 GN=CR201_G0029569 PE=3 SV=1</t>
        </is>
      </c>
      <c r="M9108" t="n">
        <v>350</v>
      </c>
      <c r="N9108" t="inlineStr">
        <is>
          <t>Pongo abelii</t>
        </is>
      </c>
      <c r="O9108" t="inlineStr">
        <is>
          <t>IZUMO1 isoform 2</t>
        </is>
      </c>
    </row>
    <row r="9109">
      <c r="A9109" t="inlineStr"/>
      <c r="B9109" t="inlineStr"/>
      <c r="C9109" t="inlineStr"/>
      <c r="D9109" t="inlineStr"/>
      <c r="E9109">
        <f>HYPERLINK("https://www.ncbi.nlm.nih.gov/gene/?term=XP_024092863.1", "XP_024092863.1")</f>
        <v/>
      </c>
      <c r="F9109" t="n">
        <v>36.8</v>
      </c>
      <c r="G9109" t="n">
        <v>95</v>
      </c>
      <c r="H9109" t="n">
        <v>3.96e-10</v>
      </c>
      <c r="I9109" t="inlineStr">
        <is>
          <t>Nr</t>
        </is>
      </c>
      <c r="J9109" t="inlineStr"/>
      <c r="K9109" t="inlineStr"/>
      <c r="L9109" t="inlineStr">
        <is>
          <t>XP_024092863.1 izumo sperm-egg fusion protein 1 isoform X2 [Pongo abelii]</t>
        </is>
      </c>
      <c r="M9109" t="n">
        <v>237</v>
      </c>
      <c r="N9109" t="inlineStr">
        <is>
          <t>Pongo abelii</t>
        </is>
      </c>
      <c r="O9109" t="inlineStr">
        <is>
          <t>izumo sperm-egg fusion protein 1 isoform X2</t>
        </is>
      </c>
    </row>
    <row r="9110">
      <c r="A9110" t="inlineStr"/>
      <c r="B9110" t="inlineStr"/>
      <c r="C9110" t="inlineStr"/>
      <c r="D9110" t="inlineStr"/>
      <c r="E9110">
        <f>HYPERLINK("https://www.ncbi.nlm.nih.gov/gene/?term=5F4T_A", "5F4T_A")</f>
        <v/>
      </c>
      <c r="F9110" t="n">
        <v>38.3</v>
      </c>
      <c r="G9110" t="n">
        <v>94</v>
      </c>
      <c r="H9110" t="n">
        <v>4.06e-10</v>
      </c>
      <c r="I9110" t="inlineStr">
        <is>
          <t>Nr</t>
        </is>
      </c>
      <c r="J9110" t="inlineStr"/>
      <c r="K9110" t="inlineStr"/>
      <c r="L9110" t="inlineStr">
        <is>
          <t>5F4T_A Crystal structure of the human sperm Izumo1 residues 22-254 [Homo sapiens]</t>
        </is>
      </c>
      <c r="M9110" t="n">
        <v>239</v>
      </c>
      <c r="N9110" t="inlineStr">
        <is>
          <t>Homo sapiens</t>
        </is>
      </c>
      <c r="O9110" t="inlineStr">
        <is>
          <t>Crystal structure of the human sperm Izumo1 residues 22-254</t>
        </is>
      </c>
    </row>
    <row r="9111">
      <c r="A9111" t="inlineStr"/>
      <c r="B9111" t="inlineStr"/>
      <c r="C9111" t="inlineStr"/>
      <c r="D9111" t="inlineStr"/>
      <c r="E9111">
        <f>HYPERLINK("https://www.ncbi.nlm.nih.gov/gene/?term=NP_001018013.1", "NP_001018013.1")</f>
        <v/>
      </c>
      <c r="F9111" t="n">
        <v>34.8</v>
      </c>
      <c r="G9111" t="n">
        <v>92</v>
      </c>
      <c r="H9111" t="n">
        <v>4.5e-10</v>
      </c>
      <c r="I9111" t="inlineStr">
        <is>
          <t>Nr</t>
        </is>
      </c>
      <c r="J9111" t="inlineStr"/>
      <c r="K9111" t="inlineStr"/>
      <c r="L9111" t="inlineStr">
        <is>
          <t>NP_001018013.1 izumo sperm-egg fusion protein 1 precursor [Mus musculus]</t>
        </is>
      </c>
      <c r="M9111" t="n">
        <v>397</v>
      </c>
      <c r="N9111" t="inlineStr">
        <is>
          <t>Mus musculus</t>
        </is>
      </c>
      <c r="O9111" t="inlineStr">
        <is>
          <t>izumo sperm-egg fusion protein 1 precursor</t>
        </is>
      </c>
    </row>
    <row r="9112">
      <c r="A9112" t="inlineStr"/>
      <c r="B9112" t="inlineStr"/>
      <c r="C9112" t="inlineStr"/>
      <c r="D9112" t="inlineStr"/>
      <c r="E9112">
        <f>HYPERLINK("https://www.ncbi.nlm.nih.gov/gene/?term=XP_032984517.1", "XP_032984517.1")</f>
        <v/>
      </c>
      <c r="F9112" t="n">
        <v>35.1</v>
      </c>
      <c r="G9112" t="n">
        <v>97</v>
      </c>
      <c r="H9112" t="n">
        <v>4.7e-10</v>
      </c>
      <c r="I9112" t="inlineStr">
        <is>
          <t>Nr</t>
        </is>
      </c>
      <c r="J9112" t="inlineStr"/>
      <c r="K9112" t="inlineStr"/>
      <c r="L9112" t="inlineStr">
        <is>
          <t>XP_032984517.1 izumo sperm-egg fusion protein 1 isoform X3 [Rhinolophus ferrumequinum]</t>
        </is>
      </c>
      <c r="M9112" t="n">
        <v>251</v>
      </c>
      <c r="N9112" t="inlineStr">
        <is>
          <t>Rhinolophus ferrumequinum</t>
        </is>
      </c>
      <c r="O9112" t="inlineStr">
        <is>
          <t>izumo sperm-egg fusion protein 1 isoform X3</t>
        </is>
      </c>
    </row>
    <row r="9113">
      <c r="A9113" t="inlineStr">
        <is>
          <t>NODE_75659_length_2174_cov_42.699098_g13095_i2</t>
        </is>
      </c>
      <c r="B9113" t="inlineStr">
        <is>
          <t>bombina_pachypus_blastx</t>
        </is>
      </c>
      <c r="C9113" t="n">
        <v>-3.46819308202847</v>
      </c>
      <c r="D9113" t="n">
        <v>0.0331319229910232</v>
      </c>
      <c r="E9113">
        <f>HYPERLINK("https://www.ncbi.nlm.nih.gov/gene/?term=KAG8534736.1", "KAG8534736.1")</f>
        <v/>
      </c>
      <c r="F9113" t="n">
        <v>63.5</v>
      </c>
      <c r="G9113" t="n">
        <v>156</v>
      </c>
      <c r="H9113" t="n">
        <v>6.76e-71</v>
      </c>
      <c r="I9113" t="inlineStr">
        <is>
          <t>Nr</t>
        </is>
      </c>
      <c r="J9113" t="inlineStr"/>
      <c r="K9113" t="inlineStr"/>
      <c r="L9113" t="inlineStr">
        <is>
          <t>KAG8534736.1 hypothetical protein GDO81_018691 [Engystomops pustulosus]</t>
        </is>
      </c>
      <c r="M9113" t="n">
        <v>163</v>
      </c>
      <c r="N9113" t="inlineStr">
        <is>
          <t>Engystomops pustulosus</t>
        </is>
      </c>
      <c r="O9113" t="inlineStr">
        <is>
          <t>hypothetical protein GDO81_018691</t>
        </is>
      </c>
    </row>
    <row r="9114">
      <c r="A9114" t="inlineStr"/>
      <c r="B9114" t="inlineStr"/>
      <c r="C9114" t="inlineStr"/>
      <c r="D9114" t="inlineStr"/>
      <c r="E9114">
        <f>HYPERLINK("https://www.ncbi.nlm.nih.gov/gene/?term=XP_018420209.1", "XP_018420209.1")</f>
        <v/>
      </c>
      <c r="F9114" t="n">
        <v>67.7</v>
      </c>
      <c r="G9114" t="n">
        <v>164</v>
      </c>
      <c r="H9114" t="n">
        <v>1.34e-70</v>
      </c>
      <c r="I9114" t="inlineStr">
        <is>
          <t>Nr</t>
        </is>
      </c>
      <c r="J9114" t="inlineStr"/>
      <c r="K9114" t="inlineStr"/>
      <c r="L9114" t="inlineStr">
        <is>
          <t>XP_018420209.1 PREDICTED: FAD-dependent oxidoreductase domain-containing protein 2 [Nanorana parkeri]</t>
        </is>
      </c>
      <c r="M9114" t="n">
        <v>653</v>
      </c>
      <c r="N9114" t="inlineStr">
        <is>
          <t>Nanorana parkeri</t>
        </is>
      </c>
      <c r="O9114" t="inlineStr">
        <is>
          <t>PREDICTED: FAD-dependent oxidoreductase domain-containing protein 2</t>
        </is>
      </c>
    </row>
    <row r="9115">
      <c r="A9115" t="inlineStr"/>
      <c r="B9115" t="inlineStr"/>
      <c r="C9115" t="inlineStr"/>
      <c r="D9115" t="inlineStr"/>
      <c r="E9115">
        <f>HYPERLINK("https://www.uniprot.org/uniprotkb/A0A8C5QSG7/entry", "A0A8C5QSG7")</f>
        <v/>
      </c>
      <c r="F9115" t="n">
        <v>66.90000000000001</v>
      </c>
      <c r="G9115" t="n">
        <v>160</v>
      </c>
      <c r="H9115" t="n">
        <v>3.46e-69</v>
      </c>
      <c r="I9115" t="inlineStr">
        <is>
          <t>TrEMBL</t>
        </is>
      </c>
      <c r="J9115" t="inlineStr">
        <is>
          <t>FOXRED2</t>
        </is>
      </c>
      <c r="K9115" t="inlineStr">
        <is>
          <t>A0A8C5QSG7_9ANUR</t>
        </is>
      </c>
      <c r="L9115" t="inlineStr">
        <is>
          <t>tr|A0A8C5QSG7|A0A8C5QSG7_9ANUR FAD dependent oxidoreductase domain containing 2 OS=Leptobrachium leishanense OX=445787 GN=FOXRED2 PE=4 SV=1</t>
        </is>
      </c>
      <c r="M9115" t="n">
        <v>660</v>
      </c>
      <c r="N9115" t="inlineStr">
        <is>
          <t>Leptobrachium leishanense</t>
        </is>
      </c>
      <c r="O9115" t="inlineStr">
        <is>
          <t>FAD dependent oxidoreductase domain containing 2</t>
        </is>
      </c>
    </row>
    <row r="9116">
      <c r="A9116" t="inlineStr"/>
      <c r="B9116" t="inlineStr"/>
      <c r="C9116" t="inlineStr"/>
      <c r="D9116" t="inlineStr"/>
      <c r="E9116">
        <f>HYPERLINK("https://www.ncbi.nlm.nih.gov/gene/?term=KAE8611186.1", "KAE8611186.1")</f>
        <v/>
      </c>
      <c r="F9116" t="n">
        <v>69.7</v>
      </c>
      <c r="G9116" t="n">
        <v>145</v>
      </c>
      <c r="H9116" t="n">
        <v>1.24e-68</v>
      </c>
      <c r="I9116" t="inlineStr">
        <is>
          <t>Nr</t>
        </is>
      </c>
      <c r="J9116" t="inlineStr"/>
      <c r="K9116" t="inlineStr"/>
      <c r="L9116" t="inlineStr">
        <is>
          <t>KAE8611186.1 hypothetical protein XENTR_v10012360 [Xenopus tropicalis]</t>
        </is>
      </c>
      <c r="M9116" t="n">
        <v>558</v>
      </c>
      <c r="N9116" t="inlineStr">
        <is>
          <t>Xenopus tropicalis</t>
        </is>
      </c>
      <c r="O9116" t="inlineStr">
        <is>
          <t>hypothetical protein XENTR_v10012360</t>
        </is>
      </c>
    </row>
    <row r="9117">
      <c r="A9117" t="inlineStr"/>
      <c r="B9117" t="inlineStr"/>
      <c r="C9117" t="inlineStr"/>
      <c r="D9117" t="inlineStr"/>
      <c r="E9117">
        <f>HYPERLINK("https://www.ncbi.nlm.nih.gov/gene/?term=KAE8611185.1", "KAE8611185.1")</f>
        <v/>
      </c>
      <c r="F9117" t="n">
        <v>69.7</v>
      </c>
      <c r="G9117" t="n">
        <v>145</v>
      </c>
      <c r="H9117" t="n">
        <v>3.39e-68</v>
      </c>
      <c r="I9117" t="inlineStr">
        <is>
          <t>Nr</t>
        </is>
      </c>
      <c r="J9117" t="inlineStr"/>
      <c r="K9117" t="inlineStr"/>
      <c r="L9117" t="inlineStr">
        <is>
          <t>KAE8611185.1 hypothetical protein XENTR_v10012360 [Xenopus tropicalis]</t>
        </is>
      </c>
      <c r="M9117" t="n">
        <v>606</v>
      </c>
      <c r="N9117" t="inlineStr">
        <is>
          <t>Xenopus tropicalis</t>
        </is>
      </c>
      <c r="O9117" t="inlineStr">
        <is>
          <t>hypothetical protein XENTR_v10012360</t>
        </is>
      </c>
    </row>
    <row r="9118">
      <c r="A9118" t="inlineStr"/>
      <c r="B9118" t="inlineStr"/>
      <c r="C9118" t="inlineStr"/>
      <c r="D9118" t="inlineStr"/>
      <c r="E9118">
        <f>HYPERLINK("https://www.uniprot.org/uniprotkb/A0A1L8GNH3/entry", "A0A1L8GNH3")</f>
        <v/>
      </c>
      <c r="F9118" t="n">
        <v>66.5</v>
      </c>
      <c r="G9118" t="n">
        <v>155</v>
      </c>
      <c r="H9118" t="n">
        <v>3.75e-68</v>
      </c>
      <c r="I9118" t="inlineStr">
        <is>
          <t>TrEMBL</t>
        </is>
      </c>
      <c r="J9118" t="inlineStr">
        <is>
          <t>foxred2.L</t>
        </is>
      </c>
      <c r="K9118" t="inlineStr">
        <is>
          <t>A0A1L8GNH3_XENLA</t>
        </is>
      </c>
      <c r="L9118" t="inlineStr">
        <is>
          <t>tr|A0A1L8GNH3|A0A1L8GNH3_XENLA FAD-dependent oxidoreductase domain-containing protein 2 isoform X2 OS=Xenopus laevis OX=8355 GN=foxred2.L PE=4 SV=1</t>
        </is>
      </c>
      <c r="M9118" t="n">
        <v>661</v>
      </c>
      <c r="N9118" t="inlineStr">
        <is>
          <t>Xenopus laevis</t>
        </is>
      </c>
      <c r="O9118" t="inlineStr">
        <is>
          <t>FAD-dependent oxidoreductase domain-containing protein 2 isoform X2</t>
        </is>
      </c>
    </row>
    <row r="9119">
      <c r="A9119" t="inlineStr"/>
      <c r="B9119" t="inlineStr"/>
      <c r="C9119" t="inlineStr"/>
      <c r="D9119" t="inlineStr"/>
      <c r="E9119">
        <f>HYPERLINK("https://www.ncbi.nlm.nih.gov/gene/?term=XP_040215629.1", "XP_040215629.1")</f>
        <v/>
      </c>
      <c r="F9119" t="n">
        <v>68</v>
      </c>
      <c r="G9119" t="n">
        <v>153</v>
      </c>
      <c r="H9119" t="n">
        <v>4.23e-68</v>
      </c>
      <c r="I9119" t="inlineStr">
        <is>
          <t>Nr</t>
        </is>
      </c>
      <c r="J9119" t="inlineStr"/>
      <c r="K9119" t="inlineStr"/>
      <c r="L9119" t="inlineStr">
        <is>
          <t>XP_040215629.1 FAD-dependent oxidoreductase domain-containing protein 2 isoform X2 [Rana temporaria]</t>
        </is>
      </c>
      <c r="M9119" t="n">
        <v>653</v>
      </c>
      <c r="N9119" t="inlineStr">
        <is>
          <t>Rana temporaria</t>
        </is>
      </c>
      <c r="O9119" t="inlineStr">
        <is>
          <t>FAD-dependent oxidoreductase domain-containing protein 2 isoform X2</t>
        </is>
      </c>
    </row>
    <row r="9120">
      <c r="A9120" t="inlineStr"/>
      <c r="B9120" t="inlineStr"/>
      <c r="C9120" t="inlineStr"/>
      <c r="D9120" t="inlineStr"/>
      <c r="E9120">
        <f>HYPERLINK("https://www.uniprot.org/uniprotkb/A0A8J0V386/entry", "A0A8J0V386")</f>
        <v/>
      </c>
      <c r="F9120" t="n">
        <v>66.5</v>
      </c>
      <c r="G9120" t="n">
        <v>155</v>
      </c>
      <c r="H9120" t="n">
        <v>4.249999999999999e-68</v>
      </c>
      <c r="I9120" t="inlineStr">
        <is>
          <t>TrEMBL</t>
        </is>
      </c>
      <c r="J9120" t="inlineStr">
        <is>
          <t>foxred2.L</t>
        </is>
      </c>
      <c r="K9120" t="inlineStr">
        <is>
          <t>A0A8J0V386_XENLA</t>
        </is>
      </c>
      <c r="L9120" t="inlineStr">
        <is>
          <t>tr|A0A8J0V386|A0A8J0V386_XENLA FAD-dependent oxidoreductase domain-containing protein 2 isoform X1 OS=Xenopus laevis OX=8355 GN=foxred2.L PE=4 SV=1</t>
        </is>
      </c>
      <c r="M9120" t="n">
        <v>668</v>
      </c>
      <c r="N9120" t="inlineStr">
        <is>
          <t>Xenopus laevis</t>
        </is>
      </c>
      <c r="O9120" t="inlineStr">
        <is>
          <t>FAD-dependent oxidoreductase domain-containing protein 2 isoform X1</t>
        </is>
      </c>
    </row>
    <row r="9121">
      <c r="A9121" t="inlineStr"/>
      <c r="B9121" t="inlineStr"/>
      <c r="C9121" t="inlineStr"/>
      <c r="D9121" t="inlineStr"/>
      <c r="E9121">
        <f>HYPERLINK("https://www.uniprot.org/uniprotkb/A0A8J0SZY2/entry", "A0A8J0SZY2")</f>
        <v/>
      </c>
      <c r="F9121" t="n">
        <v>69.7</v>
      </c>
      <c r="G9121" t="n">
        <v>145</v>
      </c>
      <c r="H9121" t="n">
        <v>4.64e-68</v>
      </c>
      <c r="I9121" t="inlineStr">
        <is>
          <t>TrEMBL</t>
        </is>
      </c>
      <c r="J9121" t="inlineStr">
        <is>
          <t>foxred2</t>
        </is>
      </c>
      <c r="K9121" t="inlineStr">
        <is>
          <t>A0A8J0SZY2_XENTR</t>
        </is>
      </c>
      <c r="L9121" t="inlineStr">
        <is>
          <t>tr|A0A8J0SZY2|A0A8J0SZY2_XENTR FAD-dependent oxidoreductase domain-containing protein 2 isoform X1 OS=Xenopus tropicalis OX=8364 GN=foxred2 PE=4 SV=1</t>
        </is>
      </c>
      <c r="M9121" t="n">
        <v>673</v>
      </c>
      <c r="N9121" t="inlineStr">
        <is>
          <t>Xenopus tropicalis</t>
        </is>
      </c>
      <c r="O9121" t="inlineStr">
        <is>
          <t>FAD-dependent oxidoreductase domain-containing protein 2 isoform X1</t>
        </is>
      </c>
    </row>
    <row r="9122">
      <c r="A9122" t="inlineStr"/>
      <c r="B9122" t="inlineStr"/>
      <c r="C9122" t="inlineStr"/>
      <c r="D9122" t="inlineStr"/>
      <c r="E9122">
        <f>HYPERLINK("https://www.ncbi.nlm.nih.gov/gene/?term=XP_040215628.1", "XP_040215628.1")</f>
        <v/>
      </c>
      <c r="F9122" t="n">
        <v>68</v>
      </c>
      <c r="G9122" t="n">
        <v>153</v>
      </c>
      <c r="H9122" t="n">
        <v>5.17e-68</v>
      </c>
      <c r="I9122" t="inlineStr">
        <is>
          <t>Nr</t>
        </is>
      </c>
      <c r="J9122" t="inlineStr"/>
      <c r="K9122" t="inlineStr"/>
      <c r="L9122" t="inlineStr">
        <is>
          <t>XP_040215628.1 FAD-dependent oxidoreductase domain-containing protein 2 isoform X1 [Rana temporaria]</t>
        </is>
      </c>
      <c r="M9122" t="n">
        <v>664</v>
      </c>
      <c r="N9122" t="inlineStr">
        <is>
          <t>Rana temporaria</t>
        </is>
      </c>
      <c r="O9122" t="inlineStr">
        <is>
          <t>FAD-dependent oxidoreductase domain-containing protein 2 isoform X1</t>
        </is>
      </c>
    </row>
    <row r="9123">
      <c r="A9123" t="inlineStr"/>
      <c r="B9123" t="inlineStr"/>
      <c r="C9123" t="inlineStr"/>
      <c r="D9123" t="inlineStr"/>
      <c r="E9123">
        <f>HYPERLINK("https://www.uniprot.org/uniprotkb/F6U809/entry", "F6U809")</f>
        <v/>
      </c>
      <c r="F9123" t="n">
        <v>69.7</v>
      </c>
      <c r="G9123" t="n">
        <v>145</v>
      </c>
      <c r="H9123" t="n">
        <v>6.879999999999999e-68</v>
      </c>
      <c r="I9123" t="inlineStr">
        <is>
          <t>TrEMBL</t>
        </is>
      </c>
      <c r="J9123" t="inlineStr">
        <is>
          <t>foxred2</t>
        </is>
      </c>
      <c r="K9123" t="inlineStr">
        <is>
          <t>F6U809_XENTR</t>
        </is>
      </c>
      <c r="L9123" t="inlineStr">
        <is>
          <t>tr|F6U809|F6U809_XENTR FAD-dependent oxidoreductase domain containing 2 OS=Xenopus tropicalis OX=8364 GN=foxred2 PE=4 SV=4</t>
        </is>
      </c>
      <c r="M9123" t="n">
        <v>696</v>
      </c>
      <c r="N9123" t="inlineStr">
        <is>
          <t>Xenopus tropicalis</t>
        </is>
      </c>
      <c r="O9123" t="inlineStr">
        <is>
          <t>FAD-dependent oxidoreductase domain containing 2</t>
        </is>
      </c>
    </row>
    <row r="9124">
      <c r="A9124" t="inlineStr"/>
      <c r="B9124" t="inlineStr"/>
      <c r="C9124" t="inlineStr"/>
      <c r="D9124" t="inlineStr"/>
      <c r="E9124">
        <f>HYPERLINK("https://www.uniprot.org/uniprotkb/A0A2G9S578/entry", "A0A2G9S578")</f>
        <v/>
      </c>
      <c r="F9124" t="n">
        <v>66.7</v>
      </c>
      <c r="G9124" t="n">
        <v>156</v>
      </c>
      <c r="H9124" t="n">
        <v>7.429999999999999e-68</v>
      </c>
      <c r="I9124" t="inlineStr">
        <is>
          <t>TrEMBL</t>
        </is>
      </c>
      <c r="J9124" t="inlineStr">
        <is>
          <t>AB205_0084870</t>
        </is>
      </c>
      <c r="K9124" t="inlineStr">
        <is>
          <t>A0A2G9S578_LITCT</t>
        </is>
      </c>
      <c r="L9124" t="inlineStr">
        <is>
          <t>tr|A0A2G9S578|A0A2G9S578_LITCT FAD-dependent oxidoreductase domain-containing protein 2 OS=Lithobates catesbeianus OX=8400 GN=AB205_0084870 PE=4 SV=1</t>
        </is>
      </c>
      <c r="M9124" t="n">
        <v>574</v>
      </c>
      <c r="N9124" t="inlineStr">
        <is>
          <t>Lithobates catesbeianus</t>
        </is>
      </c>
      <c r="O9124" t="inlineStr">
        <is>
          <t>FAD-dependent oxidoreductase domain-containing protein 2</t>
        </is>
      </c>
    </row>
    <row r="9125">
      <c r="A9125" t="inlineStr"/>
      <c r="B9125" t="inlineStr"/>
      <c r="C9125" t="inlineStr"/>
      <c r="D9125" t="inlineStr"/>
      <c r="E9125">
        <f>HYPERLINK("https://www.ncbi.nlm.nih.gov/gene/?term=XP_018114247.1", "XP_018114247.1")</f>
        <v/>
      </c>
      <c r="F9125" t="n">
        <v>66.5</v>
      </c>
      <c r="G9125" t="n">
        <v>155</v>
      </c>
      <c r="H9125" t="n">
        <v>9.629999999999999e-68</v>
      </c>
      <c r="I9125" t="inlineStr">
        <is>
          <t>Nr</t>
        </is>
      </c>
      <c r="J9125" t="inlineStr"/>
      <c r="K9125" t="inlineStr"/>
      <c r="L9125" t="inlineStr">
        <is>
          <t>XP_018114247.1 FAD-dependent oxidoreductase domain-containing protein 2 isoform X2 [Xenopus laevis]</t>
        </is>
      </c>
      <c r="M9125" t="n">
        <v>661</v>
      </c>
      <c r="N9125" t="inlineStr">
        <is>
          <t>Xenopus laevis</t>
        </is>
      </c>
      <c r="O9125" t="inlineStr">
        <is>
          <t>FAD-dependent oxidoreductase domain-containing protein 2 isoform X2</t>
        </is>
      </c>
    </row>
    <row r="9126">
      <c r="A9126" t="inlineStr"/>
      <c r="B9126" t="inlineStr"/>
      <c r="C9126" t="inlineStr"/>
      <c r="D9126" t="inlineStr"/>
      <c r="E9126">
        <f>HYPERLINK("https://www.ncbi.nlm.nih.gov/gene/?term=KAE8611183.1", "KAE8611183.1")</f>
        <v/>
      </c>
      <c r="F9126" t="n">
        <v>69.7</v>
      </c>
      <c r="G9126" t="n">
        <v>145</v>
      </c>
      <c r="H9126" t="n">
        <v>9.8e-68</v>
      </c>
      <c r="I9126" t="inlineStr">
        <is>
          <t>Nr</t>
        </is>
      </c>
      <c r="J9126" t="inlineStr"/>
      <c r="K9126" t="inlineStr"/>
      <c r="L9126" t="inlineStr">
        <is>
          <t>KAE8611183.1 hypothetical protein XENTR_v10012360 [Xenopus tropicalis]</t>
        </is>
      </c>
      <c r="M9126" t="n">
        <v>662</v>
      </c>
      <c r="N9126" t="inlineStr">
        <is>
          <t>Xenopus tropicalis</t>
        </is>
      </c>
      <c r="O9126" t="inlineStr">
        <is>
          <t>hypothetical protein XENTR_v10012360</t>
        </is>
      </c>
    </row>
    <row r="9127">
      <c r="A9127" t="inlineStr"/>
      <c r="B9127" t="inlineStr"/>
      <c r="C9127" t="inlineStr"/>
      <c r="D9127" t="inlineStr"/>
      <c r="E9127">
        <f>HYPERLINK("https://www.ncbi.nlm.nih.gov/gene/?term=KAE8611182.1", "KAE8611182.1")</f>
        <v/>
      </c>
      <c r="F9127" t="n">
        <v>69.7</v>
      </c>
      <c r="G9127" t="n">
        <v>145</v>
      </c>
      <c r="H9127" t="n">
        <v>1.05e-67</v>
      </c>
      <c r="I9127" t="inlineStr">
        <is>
          <t>Nr</t>
        </is>
      </c>
      <c r="J9127" t="inlineStr"/>
      <c r="K9127" t="inlineStr"/>
      <c r="L9127" t="inlineStr">
        <is>
          <t>KAE8611182.1 hypothetical protein XENTR_v10012360 [Xenopus tropicalis]</t>
        </is>
      </c>
      <c r="M9127" t="n">
        <v>666</v>
      </c>
      <c r="N9127" t="inlineStr">
        <is>
          <t>Xenopus tropicalis</t>
        </is>
      </c>
      <c r="O9127" t="inlineStr">
        <is>
          <t>hypothetical protein XENTR_v10012360</t>
        </is>
      </c>
    </row>
    <row r="9128">
      <c r="A9128" t="inlineStr"/>
      <c r="B9128" t="inlineStr"/>
      <c r="C9128" t="inlineStr"/>
      <c r="D9128" t="inlineStr"/>
      <c r="E9128">
        <f>HYPERLINK("https://www.uniprot.org/uniprotkb/B1H2S2/entry", "B1H2S2")</f>
        <v/>
      </c>
      <c r="F9128" t="n">
        <v>69</v>
      </c>
      <c r="G9128" t="n">
        <v>145</v>
      </c>
      <c r="H9128" t="n">
        <v>1.05e-67</v>
      </c>
      <c r="I9128" t="inlineStr">
        <is>
          <t>TrEMBL</t>
        </is>
      </c>
      <c r="J9128" t="inlineStr">
        <is>
          <t>foxred2</t>
        </is>
      </c>
      <c r="K9128" t="inlineStr">
        <is>
          <t>B1H2S2_XENTR</t>
        </is>
      </c>
      <c r="L9128" t="inlineStr">
        <is>
          <t>tr|B1H2S2|B1H2S2_XENTR FAD-dependent oxidoreductase domain-containing protein 2 precursor OS=Xenopus tropicalis OX=8364 GN=foxred2 PE=2 SV=1</t>
        </is>
      </c>
      <c r="M9128" t="n">
        <v>662</v>
      </c>
      <c r="N9128" t="inlineStr">
        <is>
          <t>Xenopus tropicalis</t>
        </is>
      </c>
      <c r="O9128" t="inlineStr">
        <is>
          <t>FAD-dependent oxidoreductase domain-containing protein 2 precursor</t>
        </is>
      </c>
    </row>
    <row r="9129">
      <c r="A9129" t="inlineStr"/>
      <c r="B9129" t="inlineStr"/>
      <c r="C9129" t="inlineStr"/>
      <c r="D9129" t="inlineStr"/>
      <c r="E9129">
        <f>HYPERLINK("https://www.ncbi.nlm.nih.gov/gene/?term=XP_018114246.1", "XP_018114246.1")</f>
        <v/>
      </c>
      <c r="F9129" t="n">
        <v>66.5</v>
      </c>
      <c r="G9129" t="n">
        <v>155</v>
      </c>
      <c r="H9129" t="n">
        <v>1.09e-67</v>
      </c>
      <c r="I9129" t="inlineStr">
        <is>
          <t>Nr</t>
        </is>
      </c>
      <c r="J9129" t="inlineStr"/>
      <c r="K9129" t="inlineStr"/>
      <c r="L9129" t="inlineStr">
        <is>
          <t>XP_018114246.1 FAD-dependent oxidoreductase domain-containing protein 2 isoform X1 [Xenopus laevis]</t>
        </is>
      </c>
      <c r="M9129" t="n">
        <v>668</v>
      </c>
      <c r="N9129" t="inlineStr">
        <is>
          <t>Xenopus laevis</t>
        </is>
      </c>
      <c r="O9129" t="inlineStr">
        <is>
          <t>FAD-dependent oxidoreductase domain-containing protein 2 isoform X1</t>
        </is>
      </c>
    </row>
    <row r="9130">
      <c r="A9130" t="inlineStr"/>
      <c r="B9130" t="inlineStr"/>
      <c r="C9130" t="inlineStr"/>
      <c r="D9130" t="inlineStr"/>
      <c r="E9130">
        <f>HYPERLINK("https://www.ncbi.nlm.nih.gov/gene/?term=XP_017948416.2", "XP_017948416.2")</f>
        <v/>
      </c>
      <c r="F9130" t="n">
        <v>69.7</v>
      </c>
      <c r="G9130" t="n">
        <v>145</v>
      </c>
      <c r="H9130" t="n">
        <v>1.19e-67</v>
      </c>
      <c r="I9130" t="inlineStr">
        <is>
          <t>Nr</t>
        </is>
      </c>
      <c r="J9130" t="inlineStr"/>
      <c r="K9130" t="inlineStr"/>
      <c r="L9130" t="inlineStr">
        <is>
          <t>XP_017948416.2 FAD-dependent oxidoreductase domain-containing protein 2 isoform X1 [Xenopus tropicalis]</t>
        </is>
      </c>
      <c r="M9130" t="n">
        <v>673</v>
      </c>
      <c r="N9130" t="inlineStr">
        <is>
          <t>Xenopus tropicalis</t>
        </is>
      </c>
      <c r="O9130" t="inlineStr">
        <is>
          <t>FAD-dependent oxidoreductase domain-containing protein 2 isoform X1</t>
        </is>
      </c>
    </row>
    <row r="9131">
      <c r="A9131" t="inlineStr"/>
      <c r="B9131" t="inlineStr"/>
      <c r="C9131" t="inlineStr"/>
      <c r="D9131" t="inlineStr"/>
      <c r="E9131">
        <f>HYPERLINK("https://www.ncbi.nlm.nih.gov/gene/?term=PIO35235.1", "PIO35235.1")</f>
        <v/>
      </c>
      <c r="F9131" t="n">
        <v>66.7</v>
      </c>
      <c r="G9131" t="n">
        <v>156</v>
      </c>
      <c r="H9131" t="n">
        <v>1.91e-67</v>
      </c>
      <c r="I9131" t="inlineStr">
        <is>
          <t>Nr</t>
        </is>
      </c>
      <c r="J9131" t="inlineStr"/>
      <c r="K9131" t="inlineStr"/>
      <c r="L9131" t="inlineStr">
        <is>
          <t>PIO35235.1 hypothetical protein AB205_0084870 [Lithobates catesbeianus]</t>
        </is>
      </c>
      <c r="M9131" t="n">
        <v>574</v>
      </c>
      <c r="N9131" t="inlineStr">
        <is>
          <t>Lithobates catesbeianus</t>
        </is>
      </c>
      <c r="O9131" t="inlineStr">
        <is>
          <t>hypothetical protein AB205_0084870</t>
        </is>
      </c>
    </row>
    <row r="9132">
      <c r="A9132" t="inlineStr"/>
      <c r="B9132" t="inlineStr"/>
      <c r="C9132" t="inlineStr"/>
      <c r="D9132" t="inlineStr"/>
      <c r="E9132">
        <f>HYPERLINK("https://www.ncbi.nlm.nih.gov/gene/?term=NP_001120398.1", "NP_001120398.1")</f>
        <v/>
      </c>
      <c r="F9132" t="n">
        <v>69</v>
      </c>
      <c r="G9132" t="n">
        <v>145</v>
      </c>
      <c r="H9132" t="n">
        <v>2.7e-67</v>
      </c>
      <c r="I9132" t="inlineStr">
        <is>
          <t>Nr</t>
        </is>
      </c>
      <c r="J9132" t="inlineStr"/>
      <c r="K9132" t="inlineStr"/>
      <c r="L9132" t="inlineStr">
        <is>
          <t>NP_001120398.1 FAD-dependent oxidoreductase domain-containing protein 2 precursor [Xenopus tropicalis]</t>
        </is>
      </c>
      <c r="M9132" t="n">
        <v>662</v>
      </c>
      <c r="N9132" t="inlineStr">
        <is>
          <t>Xenopus tropicalis</t>
        </is>
      </c>
      <c r="O9132" t="inlineStr">
        <is>
          <t>FAD-dependent oxidoreductase domain-containing protein 2 precursor</t>
        </is>
      </c>
    </row>
    <row r="9133">
      <c r="A9133" t="inlineStr"/>
      <c r="B9133" t="inlineStr"/>
      <c r="C9133" t="inlineStr"/>
      <c r="D9133" t="inlineStr"/>
      <c r="E9133">
        <f>HYPERLINK("https://www.uniprot.org/uniprotkb/A0A8J6K880/entry", "A0A8J6K880")</f>
        <v/>
      </c>
      <c r="F9133" t="n">
        <v>62.5</v>
      </c>
      <c r="G9133" t="n">
        <v>160</v>
      </c>
      <c r="H9133" t="n">
        <v>5.39e-66</v>
      </c>
      <c r="I9133" t="inlineStr">
        <is>
          <t>TrEMBL</t>
        </is>
      </c>
      <c r="J9133" t="inlineStr">
        <is>
          <t>GDO78_009367</t>
        </is>
      </c>
      <c r="K9133" t="inlineStr">
        <is>
          <t>A0A8J6K880_ELECQ</t>
        </is>
      </c>
      <c r="L9133" t="inlineStr">
        <is>
          <t>tr|A0A8J6K880|A0A8J6K880_ELECQ FAD-dependent oxidoreductase domain-containing protein 2 OS=Eleutherodactylus coqui OX=57060 GN=GDO78_009367 PE=4 SV=1</t>
        </is>
      </c>
      <c r="M9133" t="n">
        <v>355</v>
      </c>
      <c r="N9133" t="inlineStr">
        <is>
          <t>Eleutherodactylus coqui</t>
        </is>
      </c>
      <c r="O9133" t="inlineStr">
        <is>
          <t>FAD-dependent oxidoreductase domain-containing protein 2</t>
        </is>
      </c>
    </row>
    <row r="9134">
      <c r="A9134" t="inlineStr"/>
      <c r="B9134" t="inlineStr"/>
      <c r="C9134" t="inlineStr"/>
      <c r="D9134" t="inlineStr"/>
      <c r="E9134">
        <f>HYPERLINK("https://www.uniprot.org/uniprotkb/A0A8T2IWS9/entry", "A0A8T2IWS9")</f>
        <v/>
      </c>
      <c r="F9134" t="n">
        <v>66.2</v>
      </c>
      <c r="G9134" t="n">
        <v>154</v>
      </c>
      <c r="H9134" t="n">
        <v>7.02e-66</v>
      </c>
      <c r="I9134" t="inlineStr">
        <is>
          <t>TrEMBL</t>
        </is>
      </c>
      <c r="J9134" t="inlineStr">
        <is>
          <t>GDO86_007501</t>
        </is>
      </c>
      <c r="K9134" t="inlineStr">
        <is>
          <t>A0A8T2IWS9_9PIPI</t>
        </is>
      </c>
      <c r="L9134" t="inlineStr">
        <is>
          <t>tr|A0A8T2IWS9|A0A8T2IWS9_9PIPI FAD-dependent oxidoreductase domain-containing protein 2 OS=Hymenochirus boettgeri OX=247094 GN=GDO86_007501 PE=4 SV=1</t>
        </is>
      </c>
      <c r="M9134" t="n">
        <v>671</v>
      </c>
      <c r="N9134" t="inlineStr">
        <is>
          <t>Hymenochirus boettgeri</t>
        </is>
      </c>
      <c r="O9134" t="inlineStr">
        <is>
          <t>FAD-dependent oxidoreductase domain-containing protein 2</t>
        </is>
      </c>
    </row>
    <row r="9135">
      <c r="A9135" t="inlineStr"/>
      <c r="B9135" t="inlineStr"/>
      <c r="C9135" t="inlineStr"/>
      <c r="D9135" t="inlineStr"/>
      <c r="E9135">
        <f>HYPERLINK("https://www.ncbi.nlm.nih.gov/gene/?term=XP_053325035.1", "XP_053325035.1")</f>
        <v/>
      </c>
      <c r="F9135" t="n">
        <v>64.59999999999999</v>
      </c>
      <c r="G9135" t="n">
        <v>158</v>
      </c>
      <c r="H9135" t="n">
        <v>1.12e-65</v>
      </c>
      <c r="I9135" t="inlineStr">
        <is>
          <t>Nr</t>
        </is>
      </c>
      <c r="J9135" t="inlineStr"/>
      <c r="K9135" t="inlineStr"/>
      <c r="L9135" t="inlineStr">
        <is>
          <t>XP_053325035.1 FAD-dependent oxidoreductase domain-containing protein 2 [Spea bombifrons]</t>
        </is>
      </c>
      <c r="M9135" t="n">
        <v>663</v>
      </c>
      <c r="N9135" t="inlineStr">
        <is>
          <t>Spea bombifrons</t>
        </is>
      </c>
      <c r="O9135" t="inlineStr">
        <is>
          <t>FAD-dependent oxidoreductase domain-containing protein 2</t>
        </is>
      </c>
    </row>
    <row r="9136">
      <c r="A9136" t="inlineStr"/>
      <c r="B9136" t="inlineStr"/>
      <c r="C9136" t="inlineStr"/>
      <c r="D9136" t="inlineStr"/>
      <c r="E9136">
        <f>HYPERLINK("https://www.ncbi.nlm.nih.gov/gene/?term=KAG9483412.1", "KAG9483412.1")</f>
        <v/>
      </c>
      <c r="F9136" t="n">
        <v>62.5</v>
      </c>
      <c r="G9136" t="n">
        <v>160</v>
      </c>
      <c r="H9136" t="n">
        <v>1.39e-65</v>
      </c>
      <c r="I9136" t="inlineStr">
        <is>
          <t>Nr</t>
        </is>
      </c>
      <c r="J9136" t="inlineStr"/>
      <c r="K9136" t="inlineStr"/>
      <c r="L9136" t="inlineStr">
        <is>
          <t>KAG9483412.1 hypothetical protein GDO78_009367 [Eleutherodactylus coqui]</t>
        </is>
      </c>
      <c r="M9136" t="n">
        <v>355</v>
      </c>
      <c r="N9136" t="inlineStr">
        <is>
          <t>Eleutherodactylus coqui</t>
        </is>
      </c>
      <c r="O9136" t="inlineStr">
        <is>
          <t>hypothetical protein GDO78_009367</t>
        </is>
      </c>
    </row>
    <row r="9137">
      <c r="A9137" t="inlineStr"/>
      <c r="B9137" t="inlineStr"/>
      <c r="C9137" t="inlineStr"/>
      <c r="D9137" t="inlineStr"/>
      <c r="E9137">
        <f>HYPERLINK("https://www.ncbi.nlm.nih.gov/gene/?term=KAG8436422.1", "KAG8436422.1")</f>
        <v/>
      </c>
      <c r="F9137" t="n">
        <v>66.2</v>
      </c>
      <c r="G9137" t="n">
        <v>154</v>
      </c>
      <c r="H9137" t="n">
        <v>1.8e-65</v>
      </c>
      <c r="I9137" t="inlineStr">
        <is>
          <t>Nr</t>
        </is>
      </c>
      <c r="J9137" t="inlineStr"/>
      <c r="K9137" t="inlineStr"/>
      <c r="L9137" t="inlineStr">
        <is>
          <t>KAG8436422.1 hypothetical protein GDO86_007501 [Hymenochirus boettgeri]</t>
        </is>
      </c>
      <c r="M9137" t="n">
        <v>671</v>
      </c>
      <c r="N9137" t="inlineStr">
        <is>
          <t>Hymenochirus boettgeri</t>
        </is>
      </c>
      <c r="O9137" t="inlineStr">
        <is>
          <t>hypothetical protein GDO86_007501</t>
        </is>
      </c>
    </row>
    <row r="9138">
      <c r="A9138" t="inlineStr"/>
      <c r="B9138" t="inlineStr"/>
      <c r="C9138" t="inlineStr"/>
      <c r="D9138" t="inlineStr"/>
      <c r="E9138">
        <f>HYPERLINK("https://www.ncbi.nlm.nih.gov/gene/?term=CAH2329443.1", "CAH2329443.1")</f>
        <v/>
      </c>
      <c r="F9138" t="n">
        <v>69</v>
      </c>
      <c r="G9138" t="n">
        <v>145</v>
      </c>
      <c r="H9138" t="n">
        <v>5.91e-65</v>
      </c>
      <c r="I9138" t="inlineStr">
        <is>
          <t>Nr</t>
        </is>
      </c>
      <c r="J9138" t="inlineStr"/>
      <c r="K9138" t="inlineStr"/>
      <c r="L9138" t="inlineStr">
        <is>
          <t>CAH2329443.1 FAD-dependent oxidoreductase domain-containing 2 [Pelobates cultripes]</t>
        </is>
      </c>
      <c r="M9138" t="n">
        <v>747</v>
      </c>
      <c r="N9138" t="inlineStr">
        <is>
          <t>Pelobates cultripes</t>
        </is>
      </c>
      <c r="O9138" t="inlineStr">
        <is>
          <t>FAD-dependent oxidoreductase domain-containing 2</t>
        </is>
      </c>
    </row>
    <row r="9139">
      <c r="A9139" t="inlineStr"/>
      <c r="B9139" t="inlineStr"/>
      <c r="C9139" t="inlineStr"/>
      <c r="D9139" t="inlineStr"/>
      <c r="E9139">
        <f>HYPERLINK("https://www.ncbi.nlm.nih.gov/gene/?term=XP_044157210.1", "XP_044157210.1")</f>
        <v/>
      </c>
      <c r="F9139" t="n">
        <v>62.5</v>
      </c>
      <c r="G9139" t="n">
        <v>160</v>
      </c>
      <c r="H9139" t="n">
        <v>6.04e-65</v>
      </c>
      <c r="I9139" t="inlineStr">
        <is>
          <t>Nr</t>
        </is>
      </c>
      <c r="J9139" t="inlineStr"/>
      <c r="K9139" t="inlineStr"/>
      <c r="L9139" t="inlineStr">
        <is>
          <t>XP_044157210.1 FAD-dependent oxidoreductase domain-containing protein 2 isoform X5 [Bufo gargarizans]</t>
        </is>
      </c>
      <c r="M9139" t="n">
        <v>556</v>
      </c>
      <c r="N9139" t="inlineStr">
        <is>
          <t>Bufo gargarizans</t>
        </is>
      </c>
      <c r="O9139" t="inlineStr">
        <is>
          <t>FAD-dependent oxidoreductase domain-containing protein 2 isoform X5</t>
        </is>
      </c>
    </row>
    <row r="9140">
      <c r="A9140" t="inlineStr"/>
      <c r="B9140" t="inlineStr"/>
      <c r="C9140" t="inlineStr"/>
      <c r="D9140" t="inlineStr"/>
      <c r="E9140">
        <f>HYPERLINK("https://www.ncbi.nlm.nih.gov/gene/?term=XP_044157209.1", "XP_044157209.1")</f>
        <v/>
      </c>
      <c r="F9140" t="n">
        <v>62.5</v>
      </c>
      <c r="G9140" t="n">
        <v>160</v>
      </c>
      <c r="H9140" t="n">
        <v>9.289999999999999e-65</v>
      </c>
      <c r="I9140" t="inlineStr">
        <is>
          <t>Nr</t>
        </is>
      </c>
      <c r="J9140" t="inlineStr"/>
      <c r="K9140" t="inlineStr"/>
      <c r="L9140" t="inlineStr">
        <is>
          <t>XP_044157209.1 FAD-dependent oxidoreductase domain-containing protein 2 isoform X4 [Bufo gargarizans]</t>
        </is>
      </c>
      <c r="M9140" t="n">
        <v>577</v>
      </c>
      <c r="N9140" t="inlineStr">
        <is>
          <t>Bufo gargarizans</t>
        </is>
      </c>
      <c r="O9140" t="inlineStr">
        <is>
          <t>FAD-dependent oxidoreductase domain-containing protein 2 isoform X4</t>
        </is>
      </c>
    </row>
    <row r="9141">
      <c r="A9141" t="inlineStr"/>
      <c r="B9141" t="inlineStr"/>
      <c r="C9141" t="inlineStr"/>
      <c r="D9141" t="inlineStr"/>
      <c r="E9141">
        <f>HYPERLINK("https://www.ncbi.nlm.nih.gov/gene/?term=KAG8556324.1", "KAG8556324.1")</f>
        <v/>
      </c>
      <c r="F9141" t="n">
        <v>63.9</v>
      </c>
      <c r="G9141" t="n">
        <v>155</v>
      </c>
      <c r="H9141" t="n">
        <v>1.25e-64</v>
      </c>
      <c r="I9141" t="inlineStr">
        <is>
          <t>Nr</t>
        </is>
      </c>
      <c r="J9141" t="inlineStr"/>
      <c r="K9141" t="inlineStr"/>
      <c r="L9141" t="inlineStr">
        <is>
          <t>KAG8556324.1 hypothetical protein GDO81_018027 [Engystomops pustulosus]</t>
        </is>
      </c>
      <c r="M9141" t="n">
        <v>542</v>
      </c>
      <c r="N9141" t="inlineStr">
        <is>
          <t>Engystomops pustulosus</t>
        </is>
      </c>
      <c r="O9141" t="inlineStr">
        <is>
          <t>hypothetical protein GDO81_018027</t>
        </is>
      </c>
    </row>
    <row r="9142">
      <c r="A9142" t="inlineStr"/>
      <c r="B9142" t="inlineStr"/>
      <c r="C9142" t="inlineStr"/>
      <c r="D9142" t="inlineStr"/>
      <c r="E9142">
        <f>HYPERLINK("https://www.uniprot.org/uniprotkb/A0A8J6K8V3/entry", "A0A8J6K8V3")</f>
        <v/>
      </c>
      <c r="F9142" t="n">
        <v>62.5</v>
      </c>
      <c r="G9142" t="n">
        <v>160</v>
      </c>
      <c r="H9142" t="n">
        <v>1.61e-64</v>
      </c>
      <c r="I9142" t="inlineStr">
        <is>
          <t>TrEMBL</t>
        </is>
      </c>
      <c r="J9142" t="inlineStr">
        <is>
          <t>GDO78_009367</t>
        </is>
      </c>
      <c r="K9142" t="inlineStr">
        <is>
          <t>A0A8J6K8V3_ELECQ</t>
        </is>
      </c>
      <c r="L9142" t="inlineStr">
        <is>
          <t>tr|A0A8J6K8V3|A0A8J6K8V3_ELECQ FAD-dependent oxidoreductase domain-containing protein 2 OS=Eleutherodactylus coqui OX=57060 GN=GDO78_009367 PE=4 SV=1</t>
        </is>
      </c>
      <c r="M9142" t="n">
        <v>488</v>
      </c>
      <c r="N9142" t="inlineStr">
        <is>
          <t>Eleutherodactylus coqui</t>
        </is>
      </c>
      <c r="O9142" t="inlineStr">
        <is>
          <t>FAD-dependent oxidoreductase domain-containing protein 2</t>
        </is>
      </c>
    </row>
    <row r="9143">
      <c r="A9143" t="inlineStr"/>
      <c r="B9143" t="inlineStr"/>
      <c r="C9143" t="inlineStr"/>
      <c r="D9143" t="inlineStr"/>
      <c r="E9143">
        <f>HYPERLINK("https://www.ncbi.nlm.nih.gov/gene/?term=XP_044157208.1", "XP_044157208.1")</f>
        <v/>
      </c>
      <c r="F9143" t="n">
        <v>62.5</v>
      </c>
      <c r="G9143" t="n">
        <v>160</v>
      </c>
      <c r="H9143" t="n">
        <v>3.58e-64</v>
      </c>
      <c r="I9143" t="inlineStr">
        <is>
          <t>Nr</t>
        </is>
      </c>
      <c r="J9143" t="inlineStr"/>
      <c r="K9143" t="inlineStr"/>
      <c r="L9143" t="inlineStr">
        <is>
          <t>XP_044157208.1 FAD-dependent oxidoreductase domain-containing protein 2 isoform X3 [Bufo gargarizans]</t>
        </is>
      </c>
      <c r="M9143" t="n">
        <v>649</v>
      </c>
      <c r="N9143" t="inlineStr">
        <is>
          <t>Bufo gargarizans</t>
        </is>
      </c>
      <c r="O9143" t="inlineStr">
        <is>
          <t>FAD-dependent oxidoreductase domain-containing protein 2 isoform X3</t>
        </is>
      </c>
    </row>
    <row r="9144">
      <c r="A9144" t="inlineStr"/>
      <c r="B9144" t="inlineStr"/>
      <c r="C9144" t="inlineStr"/>
      <c r="D9144" t="inlineStr"/>
      <c r="E9144">
        <f>HYPERLINK("https://www.ncbi.nlm.nih.gov/gene/?term=XP_044157207.1", "XP_044157207.1")</f>
        <v/>
      </c>
      <c r="F9144" t="n">
        <v>62.5</v>
      </c>
      <c r="G9144" t="n">
        <v>160</v>
      </c>
      <c r="H9144" t="n">
        <v>3.64e-64</v>
      </c>
      <c r="I9144" t="inlineStr">
        <is>
          <t>Nr</t>
        </is>
      </c>
      <c r="J9144" t="inlineStr"/>
      <c r="K9144" t="inlineStr"/>
      <c r="L9144" t="inlineStr">
        <is>
          <t>XP_044157207.1 FAD-dependent oxidoreductase domain-containing protein 2 isoform X2 [Bufo gargarizans]</t>
        </is>
      </c>
      <c r="M9144" t="n">
        <v>650</v>
      </c>
      <c r="N9144" t="inlineStr">
        <is>
          <t>Bufo gargarizans</t>
        </is>
      </c>
      <c r="O9144" t="inlineStr">
        <is>
          <t>FAD-dependent oxidoreductase domain-containing protein 2 isoform X2</t>
        </is>
      </c>
    </row>
    <row r="9145">
      <c r="A9145" t="inlineStr"/>
      <c r="B9145" t="inlineStr"/>
      <c r="C9145" t="inlineStr"/>
      <c r="D9145" t="inlineStr"/>
      <c r="E9145">
        <f>HYPERLINK("https://www.ncbi.nlm.nih.gov/gene/?term=KAG9483411.1", "KAG9483411.1")</f>
        <v/>
      </c>
      <c r="F9145" t="n">
        <v>62.5</v>
      </c>
      <c r="G9145" t="n">
        <v>160</v>
      </c>
      <c r="H9145" t="n">
        <v>4.14e-64</v>
      </c>
      <c r="I9145" t="inlineStr">
        <is>
          <t>Nr</t>
        </is>
      </c>
      <c r="J9145" t="inlineStr"/>
      <c r="K9145" t="inlineStr"/>
      <c r="L9145" t="inlineStr">
        <is>
          <t>KAG9483411.1 hypothetical protein GDO78_009367, partial [Eleutherodactylus coqui]</t>
        </is>
      </c>
      <c r="M9145" t="n">
        <v>488</v>
      </c>
      <c r="N9145" t="inlineStr">
        <is>
          <t>Eleutherodactylus coqui</t>
        </is>
      </c>
      <c r="O9145" t="inlineStr">
        <is>
          <t>hypothetical protein GDO78_009367, partial</t>
        </is>
      </c>
    </row>
    <row r="9146">
      <c r="A9146" t="inlineStr"/>
      <c r="B9146" t="inlineStr"/>
      <c r="C9146" t="inlineStr"/>
      <c r="D9146" t="inlineStr"/>
      <c r="E9146">
        <f>HYPERLINK("https://www.ncbi.nlm.nih.gov/gene/?term=XP_044157206.1", "XP_044157206.1")</f>
        <v/>
      </c>
      <c r="F9146" t="n">
        <v>62.5</v>
      </c>
      <c r="G9146" t="n">
        <v>160</v>
      </c>
      <c r="H9146" t="n">
        <v>5.03e-64</v>
      </c>
      <c r="I9146" t="inlineStr">
        <is>
          <t>Nr</t>
        </is>
      </c>
      <c r="J9146" t="inlineStr"/>
      <c r="K9146" t="inlineStr"/>
      <c r="L9146" t="inlineStr">
        <is>
          <t>XP_044157206.1 FAD-dependent oxidoreductase domain-containing protein 2 isoform X1 [Bufo gargarizans]</t>
        </is>
      </c>
      <c r="M9146" t="n">
        <v>669</v>
      </c>
      <c r="N9146" t="inlineStr">
        <is>
          <t>Bufo gargarizans</t>
        </is>
      </c>
      <c r="O9146" t="inlineStr">
        <is>
          <t>FAD-dependent oxidoreductase domain-containing protein 2 isoform X1</t>
        </is>
      </c>
    </row>
    <row r="9147">
      <c r="A9147" t="inlineStr"/>
      <c r="B9147" t="inlineStr"/>
      <c r="C9147" t="inlineStr"/>
      <c r="D9147" t="inlineStr"/>
      <c r="E9147">
        <f>HYPERLINK("https://www.ncbi.nlm.nih.gov/gene/?term=KAG8556323.1", "KAG8556323.1")</f>
        <v/>
      </c>
      <c r="F9147" t="n">
        <v>63.9</v>
      </c>
      <c r="G9147" t="n">
        <v>155</v>
      </c>
      <c r="H9147" t="n">
        <v>7.57e-64</v>
      </c>
      <c r="I9147" t="inlineStr">
        <is>
          <t>Nr</t>
        </is>
      </c>
      <c r="J9147" t="inlineStr"/>
      <c r="K9147" t="inlineStr"/>
      <c r="L9147" t="inlineStr">
        <is>
          <t>KAG8556323.1 hypothetical protein GDO81_018027 [Engystomops pustulosus]</t>
        </is>
      </c>
      <c r="M9147" t="n">
        <v>634</v>
      </c>
      <c r="N9147" t="inlineStr">
        <is>
          <t>Engystomops pustulosus</t>
        </is>
      </c>
      <c r="O9147" t="inlineStr">
        <is>
          <t>hypothetical protein GDO81_018027</t>
        </is>
      </c>
    </row>
    <row r="9148">
      <c r="A9148" t="inlineStr"/>
      <c r="B9148" t="inlineStr"/>
      <c r="C9148" t="inlineStr"/>
      <c r="D9148" t="inlineStr"/>
      <c r="E9148">
        <f>HYPERLINK("https://www.uniprot.org/uniprotkb/A0A212CCF1/entry", "A0A212CCF1")</f>
        <v/>
      </c>
      <c r="F9148" t="n">
        <v>58.5</v>
      </c>
      <c r="G9148" t="n">
        <v>159</v>
      </c>
      <c r="H9148" t="n">
        <v>5.18e-61</v>
      </c>
      <c r="I9148" t="inlineStr">
        <is>
          <t>TrEMBL</t>
        </is>
      </c>
      <c r="J9148" t="inlineStr">
        <is>
          <t>Celaphus_00014130</t>
        </is>
      </c>
      <c r="K9148" t="inlineStr">
        <is>
          <t>A0A212CCF1_CEREH</t>
        </is>
      </c>
      <c r="L9148" t="inlineStr">
        <is>
          <t>tr|A0A212CCF1|A0A212CCF1_CEREH FOXRED2 OS=Cervus elaphus hippelaphus OX=46360 GN=Celaphus_00014130 PE=4 SV=1</t>
        </is>
      </c>
      <c r="M9148" t="n">
        <v>203</v>
      </c>
      <c r="N9148" t="inlineStr">
        <is>
          <t>Cervus elaphus hippelaphus</t>
        </is>
      </c>
      <c r="O9148" t="inlineStr">
        <is>
          <t>FOXRED2</t>
        </is>
      </c>
    </row>
    <row r="9149">
      <c r="A9149" t="inlineStr"/>
      <c r="B9149" t="inlineStr"/>
      <c r="C9149" t="inlineStr"/>
      <c r="D9149" t="inlineStr"/>
      <c r="E9149">
        <f>HYPERLINK("https://www.uniprot.org/uniprotkb/A0A2Y9DGT1/entry", "A0A2Y9DGT1")</f>
        <v/>
      </c>
      <c r="F9149" t="n">
        <v>60.9</v>
      </c>
      <c r="G9149" t="n">
        <v>161</v>
      </c>
      <c r="H9149" t="n">
        <v>9.3e-59</v>
      </c>
      <c r="I9149" t="inlineStr">
        <is>
          <t>TrEMBL</t>
        </is>
      </c>
      <c r="J9149" t="inlineStr">
        <is>
          <t>LOC101342323</t>
        </is>
      </c>
      <c r="K9149" t="inlineStr">
        <is>
          <t>A0A2Y9DGT1_TRIMA</t>
        </is>
      </c>
      <c r="L9149" t="inlineStr">
        <is>
          <t>tr|A0A2Y9DGT1|A0A2Y9DGT1_TRIMA FAD-dependent oxidoreductase domain-containing protein 2 OS=Trichechus manatus latirostris OX=127582 GN=LOC101342323 PE=4 SV=1</t>
        </is>
      </c>
      <c r="M9149" t="n">
        <v>587</v>
      </c>
      <c r="N9149" t="inlineStr">
        <is>
          <t>Trichechus manatus latirostris</t>
        </is>
      </c>
      <c r="O9149" t="inlineStr">
        <is>
          <t>FAD-dependent oxidoreductase domain-containing protein 2</t>
        </is>
      </c>
    </row>
    <row r="9150">
      <c r="A9150" t="inlineStr"/>
      <c r="B9150" t="inlineStr"/>
      <c r="C9150" t="inlineStr"/>
      <c r="D9150" t="inlineStr"/>
      <c r="E9150">
        <f>HYPERLINK("https://www.uniprot.org/uniprotkb/A0A7L2RYE4/entry", "A0A7L2RYE4")</f>
        <v/>
      </c>
      <c r="F9150" t="n">
        <v>61.2</v>
      </c>
      <c r="G9150" t="n">
        <v>147</v>
      </c>
      <c r="H9150" t="n">
        <v>2.41e-58</v>
      </c>
      <c r="I9150" t="inlineStr">
        <is>
          <t>TrEMBL</t>
        </is>
      </c>
      <c r="J9150" t="inlineStr">
        <is>
          <t>Foxred2</t>
        </is>
      </c>
      <c r="K9150" t="inlineStr">
        <is>
          <t>A0A7L2RYE4_9PASS</t>
        </is>
      </c>
      <c r="L9150" t="inlineStr">
        <is>
          <t>tr|A0A7L2RYE4|A0A7L2RYE4_9PASS FXRD2 protein (Fragment) OS=Neodrepanis coruscans OX=254563 GN=Foxred2 PE=4 SV=1</t>
        </is>
      </c>
      <c r="M9150" t="n">
        <v>340</v>
      </c>
      <c r="N9150" t="inlineStr">
        <is>
          <t>Neodrepanis coruscans</t>
        </is>
      </c>
      <c r="O9150" t="inlineStr">
        <is>
          <t>FXRD2 protein (Fragment)</t>
        </is>
      </c>
    </row>
    <row r="9151">
      <c r="A9151" t="inlineStr"/>
      <c r="B9151" t="inlineStr"/>
      <c r="C9151" t="inlineStr"/>
      <c r="D9151" t="inlineStr"/>
      <c r="E9151">
        <f>HYPERLINK("https://www.uniprot.org/uniprotkb/A0A7J7WPU3/entry", "A0A7J7WPU3")</f>
        <v/>
      </c>
      <c r="F9151" t="n">
        <v>57.1</v>
      </c>
      <c r="G9151" t="n">
        <v>168</v>
      </c>
      <c r="H9151" t="n">
        <v>3.41e-58</v>
      </c>
      <c r="I9151" t="inlineStr">
        <is>
          <t>TrEMBL</t>
        </is>
      </c>
      <c r="J9151" t="inlineStr">
        <is>
          <t>mRhiFer1_005351</t>
        </is>
      </c>
      <c r="K9151" t="inlineStr">
        <is>
          <t>A0A7J7WPU3_RHIFE</t>
        </is>
      </c>
      <c r="L9151" t="inlineStr">
        <is>
          <t>tr|A0A7J7WPU3|A0A7J7WPU3_RHIFE FAD dependent oxidoreductase domain containing 2 OS=Rhinolophus ferrumequinum OX=59479 GN=mRhiFer1_005351 PE=4 SV=1</t>
        </is>
      </c>
      <c r="M9151" t="n">
        <v>353</v>
      </c>
      <c r="N9151" t="inlineStr">
        <is>
          <t>Rhinolophus ferrumequinum</t>
        </is>
      </c>
      <c r="O9151" t="inlineStr">
        <is>
          <t>FAD dependent oxidoreductase domain containing 2</t>
        </is>
      </c>
    </row>
    <row r="9152">
      <c r="A9152" t="inlineStr"/>
      <c r="B9152" t="inlineStr"/>
      <c r="C9152" t="inlineStr"/>
      <c r="D9152" t="inlineStr"/>
      <c r="E9152">
        <f>HYPERLINK("https://www.uniprot.org/uniprotkb/A0A7L3BZ26/entry", "A0A7L3BZ26")</f>
        <v/>
      </c>
      <c r="F9152" t="n">
        <v>61.5</v>
      </c>
      <c r="G9152" t="n">
        <v>156</v>
      </c>
      <c r="H9152" t="n">
        <v>5.36e-58</v>
      </c>
      <c r="I9152" t="inlineStr">
        <is>
          <t>TrEMBL</t>
        </is>
      </c>
      <c r="J9152" t="inlineStr">
        <is>
          <t>Foxred2</t>
        </is>
      </c>
      <c r="K9152" t="inlineStr">
        <is>
          <t>A0A7L3BZ26_PELUR</t>
        </is>
      </c>
      <c r="L9152" t="inlineStr">
        <is>
          <t>tr|A0A7L3BZ26|A0A7L3BZ26_PELUR FXRD2 protein (Fragment) OS=Pelecanoides urinatrix OX=37079 GN=Foxred2 PE=4 SV=1</t>
        </is>
      </c>
      <c r="M9152" t="n">
        <v>675</v>
      </c>
      <c r="N9152" t="inlineStr">
        <is>
          <t>Pelecanoides urinatrix</t>
        </is>
      </c>
      <c r="O9152" t="inlineStr">
        <is>
          <t>FXRD2 protein (Fragment)</t>
        </is>
      </c>
    </row>
    <row r="9153">
      <c r="A9153" t="inlineStr"/>
      <c r="B9153" t="inlineStr"/>
      <c r="C9153" t="inlineStr"/>
      <c r="D9153" t="inlineStr"/>
      <c r="E9153">
        <f>HYPERLINK("https://www.uniprot.org/uniprotkb/A0A7L4H8K6/entry", "A0A7L4H8K6")</f>
        <v/>
      </c>
      <c r="F9153" t="n">
        <v>60.5</v>
      </c>
      <c r="G9153" t="n">
        <v>147</v>
      </c>
      <c r="H9153" t="n">
        <v>6.800000000000001e-58</v>
      </c>
      <c r="I9153" t="inlineStr">
        <is>
          <t>TrEMBL</t>
        </is>
      </c>
      <c r="J9153" t="inlineStr">
        <is>
          <t>Foxred2</t>
        </is>
      </c>
      <c r="K9153" t="inlineStr">
        <is>
          <t>A0A7L4H8K6_PODST</t>
        </is>
      </c>
      <c r="L9153" t="inlineStr">
        <is>
          <t>tr|A0A7L4H8K6|A0A7L4H8K6_PODST FXRD2 protein (Fragment) OS=Podargus strigoides OX=8905 GN=Foxred2 PE=4 SV=1</t>
        </is>
      </c>
      <c r="M9153" t="n">
        <v>340</v>
      </c>
      <c r="N9153" t="inlineStr">
        <is>
          <t>Podargus strigoides</t>
        </is>
      </c>
      <c r="O9153" t="inlineStr">
        <is>
          <t>FXRD2 protein (Fragment)</t>
        </is>
      </c>
    </row>
    <row r="9154">
      <c r="A9154" t="inlineStr"/>
      <c r="B9154" t="inlineStr"/>
      <c r="C9154" t="inlineStr"/>
      <c r="D9154" t="inlineStr"/>
      <c r="E9154">
        <f>HYPERLINK("https://www.uniprot.org/uniprotkb/L5KFC7/entry", "L5KFC7")</f>
        <v/>
      </c>
      <c r="F9154" t="n">
        <v>57.4</v>
      </c>
      <c r="G9154" t="n">
        <v>169</v>
      </c>
      <c r="H9154" t="n">
        <v>1.02e-57</v>
      </c>
      <c r="I9154" t="inlineStr">
        <is>
          <t>TrEMBL</t>
        </is>
      </c>
      <c r="J9154" t="inlineStr">
        <is>
          <t>PAL_GLEAN10015407</t>
        </is>
      </c>
      <c r="K9154" t="inlineStr">
        <is>
          <t>L5KFC7_PTEAL</t>
        </is>
      </c>
      <c r="L9154" t="inlineStr">
        <is>
          <t>tr|L5KFC7|L5KFC7_PTEAL FAD-dependent oxidoreductase domain-containing protein 2 OS=Pteropus alecto OX=9402 GN=PAL_GLEAN10015407 PE=4 SV=1</t>
        </is>
      </c>
      <c r="M9154" t="n">
        <v>723</v>
      </c>
      <c r="N9154" t="inlineStr">
        <is>
          <t>Pteropus alecto</t>
        </is>
      </c>
      <c r="O9154" t="inlineStr">
        <is>
          <t>FAD-dependent oxidoreductase domain-containing protein 2</t>
        </is>
      </c>
    </row>
    <row r="9155">
      <c r="A9155" t="inlineStr"/>
      <c r="B9155" t="inlineStr"/>
      <c r="C9155" t="inlineStr"/>
      <c r="D9155" t="inlineStr"/>
      <c r="E9155">
        <f>HYPERLINK("https://www.uniprot.org/uniprotkb/A0A7J8JF46/entry", "A0A7J8JF46")</f>
        <v/>
      </c>
      <c r="F9155" t="n">
        <v>60.8</v>
      </c>
      <c r="G9155" t="n">
        <v>158</v>
      </c>
      <c r="H9155" t="n">
        <v>1.27e-57</v>
      </c>
      <c r="I9155" t="inlineStr">
        <is>
          <t>TrEMBL</t>
        </is>
      </c>
      <c r="J9155" t="inlineStr">
        <is>
          <t>HJG63_005287</t>
        </is>
      </c>
      <c r="K9155" t="inlineStr">
        <is>
          <t>A0A7J8JF46_ROUAE</t>
        </is>
      </c>
      <c r="L9155" t="inlineStr">
        <is>
          <t>tr|A0A7J8JF46|A0A7J8JF46_ROUAE FAD dependent oxidoreductase domain containing 2 OS=Rousettus aegyptiacus OX=9407 GN=HJG63_005287 PE=4 SV=1</t>
        </is>
      </c>
      <c r="M9155" t="n">
        <v>689</v>
      </c>
      <c r="N9155" t="inlineStr">
        <is>
          <t>Rousettus aegyptiacus</t>
        </is>
      </c>
      <c r="O9155" t="inlineStr">
        <is>
          <t>FAD dependent oxidoreductase domain containing 2</t>
        </is>
      </c>
    </row>
    <row r="9156">
      <c r="A9156" t="inlineStr"/>
      <c r="B9156" t="inlineStr"/>
      <c r="C9156" t="inlineStr"/>
      <c r="D9156" t="inlineStr"/>
      <c r="E9156">
        <f>HYPERLINK("https://www.uniprot.org/uniprotkb/A0A7L0IQD7/entry", "A0A7L0IQD7")</f>
        <v/>
      </c>
      <c r="F9156" t="n">
        <v>61.2</v>
      </c>
      <c r="G9156" t="n">
        <v>147</v>
      </c>
      <c r="H9156" t="n">
        <v>1.81e-57</v>
      </c>
      <c r="I9156" t="inlineStr">
        <is>
          <t>TrEMBL</t>
        </is>
      </c>
      <c r="J9156" t="inlineStr">
        <is>
          <t>Foxred2</t>
        </is>
      </c>
      <c r="K9156" t="inlineStr">
        <is>
          <t>A0A7L0IQD7_PIPCL</t>
        </is>
      </c>
      <c r="L9156" t="inlineStr">
        <is>
          <t>tr|A0A7L0IQD7|A0A7L0IQD7_PIPCL FXRD2 protein (Fragment) OS=Piprites chloris OX=114369 GN=Foxred2 PE=4 SV=1</t>
        </is>
      </c>
      <c r="M9156" t="n">
        <v>667</v>
      </c>
      <c r="N9156" t="inlineStr">
        <is>
          <t>Piprites chloris</t>
        </is>
      </c>
      <c r="O9156" t="inlineStr">
        <is>
          <t>FXRD2 protein (Fragment)</t>
        </is>
      </c>
    </row>
    <row r="9157">
      <c r="A9157" t="inlineStr"/>
      <c r="B9157" t="inlineStr"/>
      <c r="C9157" t="inlineStr"/>
      <c r="D9157" t="inlineStr"/>
      <c r="E9157">
        <f>HYPERLINK("https://www.uniprot.org/uniprotkb/A0A7L0Z612/entry", "A0A7L0Z612")</f>
        <v/>
      </c>
      <c r="F9157" t="n">
        <v>61.9</v>
      </c>
      <c r="G9157" t="n">
        <v>147</v>
      </c>
      <c r="H9157" t="n">
        <v>3.53e-57</v>
      </c>
      <c r="I9157" t="inlineStr">
        <is>
          <t>TrEMBL</t>
        </is>
      </c>
      <c r="J9157" t="inlineStr">
        <is>
          <t>Foxred2</t>
        </is>
      </c>
      <c r="K9157" t="inlineStr">
        <is>
          <t>A0A7L0Z612_9PASS</t>
        </is>
      </c>
      <c r="L9157" t="inlineStr">
        <is>
          <t>tr|A0A7L0Z612|A0A7L0Z612_9PASS FXRD2 protein (Fragment) OS=Oxyruncus cristatus OX=114331 GN=Foxred2 PE=4 SV=1</t>
        </is>
      </c>
      <c r="M9157" t="n">
        <v>667</v>
      </c>
      <c r="N9157" t="inlineStr">
        <is>
          <t>Oxyruncus cristatus</t>
        </is>
      </c>
      <c r="O9157" t="inlineStr">
        <is>
          <t>FXRD2 protein (Fragment)</t>
        </is>
      </c>
    </row>
    <row r="9158">
      <c r="A9158" t="inlineStr"/>
      <c r="B9158" t="inlineStr"/>
      <c r="C9158" t="inlineStr"/>
      <c r="D9158" t="inlineStr"/>
      <c r="E9158">
        <f>HYPERLINK("https://www.uniprot.org/uniprotkb/A0A6J0HWP5/entry", "A0A6J0HWP5")</f>
        <v/>
      </c>
      <c r="F9158" t="n">
        <v>61.2</v>
      </c>
      <c r="G9158" t="n">
        <v>147</v>
      </c>
      <c r="H9158" t="n">
        <v>4.72e-57</v>
      </c>
      <c r="I9158" t="inlineStr">
        <is>
          <t>TrEMBL</t>
        </is>
      </c>
      <c r="J9158" t="inlineStr">
        <is>
          <t>FOXRED2</t>
        </is>
      </c>
      <c r="K9158" t="inlineStr">
        <is>
          <t>A0A6J0HWP5_9PASS</t>
        </is>
      </c>
      <c r="L9158" t="inlineStr">
        <is>
          <t>tr|A0A6J0HWP5|A0A6J0HWP5_9PASS FAD-dependent oxidoreductase domain-containing protein 2 OS=Lepidothrix coronata OX=321398 GN=FOXRED2 PE=4 SV=1</t>
        </is>
      </c>
      <c r="M9158" t="n">
        <v>688</v>
      </c>
      <c r="N9158" t="inlineStr">
        <is>
          <t>Lepidothrix coronata</t>
        </is>
      </c>
      <c r="O9158" t="inlineStr">
        <is>
          <t>FAD-dependent oxidoreductase domain-containing protein 2</t>
        </is>
      </c>
    </row>
    <row r="9159">
      <c r="A9159" t="inlineStr"/>
      <c r="B9159" t="inlineStr"/>
      <c r="C9159" t="inlineStr"/>
      <c r="D9159" t="inlineStr"/>
      <c r="E9159">
        <f>HYPERLINK("https://www.uniprot.org/uniprotkb/A0A8B7BAE0/entry", "A0A8B7BAE0")</f>
        <v/>
      </c>
      <c r="F9159" t="n">
        <v>59.6</v>
      </c>
      <c r="G9159" t="n">
        <v>156</v>
      </c>
      <c r="H9159" t="n">
        <v>4.86e-57</v>
      </c>
      <c r="I9159" t="inlineStr">
        <is>
          <t>TrEMBL</t>
        </is>
      </c>
      <c r="J9159" t="inlineStr">
        <is>
          <t>FOXRED2</t>
        </is>
      </c>
      <c r="K9159" t="inlineStr">
        <is>
          <t>A0A8B7BAE0_ORYAF</t>
        </is>
      </c>
      <c r="L9159" t="inlineStr">
        <is>
          <t>tr|A0A8B7BAE0|A0A8B7BAE0_ORYAF FAD-dependent oxidoreductase domain-containing protein 2 OS=Orycteropus afer afer OX=1230840 GN=FOXRED2 PE=4 SV=1</t>
        </is>
      </c>
      <c r="M9159" t="n">
        <v>403</v>
      </c>
      <c r="N9159" t="inlineStr">
        <is>
          <t>Orycteropus afer afer</t>
        </is>
      </c>
      <c r="O9159" t="inlineStr">
        <is>
          <t>FAD-dependent oxidoreductase domain-containing protein 2</t>
        </is>
      </c>
    </row>
    <row r="9160">
      <c r="A9160" t="inlineStr"/>
      <c r="B9160" t="inlineStr"/>
      <c r="C9160" t="inlineStr"/>
      <c r="D9160" t="inlineStr"/>
      <c r="E9160">
        <f>HYPERLINK("https://www.uniprot.org/uniprotkb/A0A6P7YCK5/entry", "A0A6P7YCK5")</f>
        <v/>
      </c>
      <c r="F9160" t="n">
        <v>62.8</v>
      </c>
      <c r="G9160" t="n">
        <v>148</v>
      </c>
      <c r="H9160" t="n">
        <v>5.12e-57</v>
      </c>
      <c r="I9160" t="inlineStr">
        <is>
          <t>TrEMBL</t>
        </is>
      </c>
      <c r="J9160" t="inlineStr">
        <is>
          <t>FOXRED2</t>
        </is>
      </c>
      <c r="K9160" t="inlineStr">
        <is>
          <t>A0A6P7YCK5_9AMPH</t>
        </is>
      </c>
      <c r="L9160" t="inlineStr">
        <is>
          <t>tr|A0A6P7YCK5|A0A6P7YCK5_9AMPH FAD-dependent oxidoreductase domain-containing protein 2 OS=Microcaecilia unicolor OX=1415580 GN=FOXRED2 PE=4 SV=1</t>
        </is>
      </c>
      <c r="M9160" t="n">
        <v>694</v>
      </c>
      <c r="N9160" t="inlineStr">
        <is>
          <t>Microcaecilia unicolor</t>
        </is>
      </c>
      <c r="O9160" t="inlineStr">
        <is>
          <t>FAD-dependent oxidoreductase domain-containing protein 2</t>
        </is>
      </c>
    </row>
    <row r="9161">
      <c r="A9161" t="inlineStr"/>
      <c r="B9161" t="inlineStr"/>
      <c r="C9161" t="inlineStr"/>
      <c r="D9161" t="inlineStr"/>
      <c r="E9161">
        <f>HYPERLINK("https://www.uniprot.org/uniprotkb/A0A7L1YPA0/entry", "A0A7L1YPA0")</f>
        <v/>
      </c>
      <c r="F9161" t="n">
        <v>61.2</v>
      </c>
      <c r="G9161" t="n">
        <v>147</v>
      </c>
      <c r="H9161" t="n">
        <v>5.28e-57</v>
      </c>
      <c r="I9161" t="inlineStr">
        <is>
          <t>TrEMBL</t>
        </is>
      </c>
      <c r="J9161" t="inlineStr">
        <is>
          <t>Foxred2</t>
        </is>
      </c>
      <c r="K9161" t="inlineStr">
        <is>
          <t>A0A7L1YPA0_9PASS</t>
        </is>
      </c>
      <c r="L9161" t="inlineStr">
        <is>
          <t>tr|A0A7L1YPA0|A0A7L1YPA0_9PASS FXRD2 protein (Fragment) OS=Scytalopus superciliaris OX=312124 GN=Foxred2 PE=4 SV=1</t>
        </is>
      </c>
      <c r="M9161" t="n">
        <v>672</v>
      </c>
      <c r="N9161" t="inlineStr">
        <is>
          <t>Scytalopus superciliaris</t>
        </is>
      </c>
      <c r="O9161" t="inlineStr">
        <is>
          <t>FXRD2 protein (Fragment)</t>
        </is>
      </c>
    </row>
    <row r="9162">
      <c r="A9162" t="inlineStr"/>
      <c r="B9162" t="inlineStr"/>
      <c r="C9162" t="inlineStr"/>
      <c r="D9162" t="inlineStr"/>
      <c r="E9162">
        <f>HYPERLINK("https://www.uniprot.org/uniprotkb/A0A6P5JZB9/entry", "A0A6P5JZB9")</f>
        <v/>
      </c>
      <c r="F9162" t="n">
        <v>61</v>
      </c>
      <c r="G9162" t="n">
        <v>159</v>
      </c>
      <c r="H9162" t="n">
        <v>7.350000000000001e-57</v>
      </c>
      <c r="I9162" t="inlineStr">
        <is>
          <t>TrEMBL</t>
        </is>
      </c>
      <c r="J9162" t="inlineStr">
        <is>
          <t>FOXRED2</t>
        </is>
      </c>
      <c r="K9162" t="inlineStr">
        <is>
          <t>A0A6P5JZB9_PHACI</t>
        </is>
      </c>
      <c r="L9162" t="inlineStr">
        <is>
          <t>tr|A0A6P5JZB9|A0A6P5JZB9_PHACI FAD-dependent oxidoreductase domain-containing protein 2 OS=Phascolarctos cinereus OX=38626 GN=FOXRED2 PE=4 SV=1</t>
        </is>
      </c>
      <c r="M9162" t="n">
        <v>782</v>
      </c>
      <c r="N9162" t="inlineStr">
        <is>
          <t>Phascolarctos cinereus</t>
        </is>
      </c>
      <c r="O9162" t="inlineStr">
        <is>
          <t>FAD-dependent oxidoreductase domain-containing protein 2</t>
        </is>
      </c>
    </row>
    <row r="9163">
      <c r="A9163" t="inlineStr"/>
      <c r="B9163" t="inlineStr"/>
      <c r="C9163" t="inlineStr"/>
      <c r="D9163" t="inlineStr"/>
      <c r="E9163">
        <f>HYPERLINK("https://www.uniprot.org/uniprotkb/Q3USW5/entry", "Q3USW5")</f>
        <v/>
      </c>
      <c r="F9163" t="n">
        <v>61</v>
      </c>
      <c r="G9163" t="n">
        <v>146</v>
      </c>
      <c r="H9163" t="n">
        <v>2.55e-56</v>
      </c>
      <c r="I9163" t="inlineStr">
        <is>
          <t>Swiss-Prot</t>
        </is>
      </c>
      <c r="J9163" t="inlineStr">
        <is>
          <t>Foxred2</t>
        </is>
      </c>
      <c r="K9163" t="inlineStr">
        <is>
          <t>FXRD2_MOUSE</t>
        </is>
      </c>
      <c r="L9163" t="inlineStr">
        <is>
          <t>sp|Q3USW5|FXRD2_MOUSE FAD-dependent oxidoreductase domain-containing protein 2 OS=Mus musculus OX=10090 GN=Foxred2 PE=2 SV=1</t>
        </is>
      </c>
      <c r="M9163" t="n">
        <v>665</v>
      </c>
      <c r="N9163" t="inlineStr">
        <is>
          <t>Mus musculus</t>
        </is>
      </c>
      <c r="O9163" t="inlineStr">
        <is>
          <t>FAD-dependent oxidoreductase domain-containing protein 2</t>
        </is>
      </c>
    </row>
    <row r="9164">
      <c r="A9164" t="inlineStr"/>
      <c r="B9164" t="inlineStr"/>
      <c r="C9164" t="inlineStr"/>
      <c r="D9164" t="inlineStr"/>
      <c r="E9164">
        <f>HYPERLINK("https://www.uniprot.org/uniprotkb/Q8IWF2/entry", "Q8IWF2")</f>
        <v/>
      </c>
      <c r="F9164" t="n">
        <v>55.9</v>
      </c>
      <c r="G9164" t="n">
        <v>161</v>
      </c>
      <c r="H9164" t="n">
        <v>1.23e-54</v>
      </c>
      <c r="I9164" t="inlineStr">
        <is>
          <t>Swiss-Prot</t>
        </is>
      </c>
      <c r="J9164" t="inlineStr">
        <is>
          <t>FOXRED2</t>
        </is>
      </c>
      <c r="K9164" t="inlineStr">
        <is>
          <t>FXRD2_HUMAN</t>
        </is>
      </c>
      <c r="L9164" t="inlineStr">
        <is>
          <t>sp|Q8IWF2|FXRD2_HUMAN FAD-dependent oxidoreductase domain-containing protein 2 OS=Homo sapiens OX=9606 GN=FOXRED2 PE=1 SV=1</t>
        </is>
      </c>
      <c r="M9164" t="n">
        <v>684</v>
      </c>
      <c r="N9164" t="inlineStr">
        <is>
          <t>Homo sapiens</t>
        </is>
      </c>
      <c r="O9164" t="inlineStr">
        <is>
          <t>FAD-dependent oxidoreductase domain-containing protein 2</t>
        </is>
      </c>
    </row>
    <row r="9165">
      <c r="A9165" t="inlineStr"/>
      <c r="B9165" t="inlineStr"/>
      <c r="C9165" t="inlineStr"/>
      <c r="D9165" t="inlineStr"/>
      <c r="E9165">
        <f>HYPERLINK("https://www.uniprot.org/uniprotkb/B0UXS1/entry", "B0UXS1")</f>
        <v/>
      </c>
      <c r="F9165" t="n">
        <v>53</v>
      </c>
      <c r="G9165" t="n">
        <v>164</v>
      </c>
      <c r="H9165" t="n">
        <v>4.01e-45</v>
      </c>
      <c r="I9165" t="inlineStr">
        <is>
          <t>Swiss-Prot</t>
        </is>
      </c>
      <c r="J9165" t="inlineStr">
        <is>
          <t>foxred2</t>
        </is>
      </c>
      <c r="K9165" t="inlineStr">
        <is>
          <t>FXRD2_DANRE</t>
        </is>
      </c>
      <c r="L9165" t="inlineStr">
        <is>
          <t>sp|B0UXS1|FXRD2_DANRE FAD-dependent oxidoreductase domain-containing protein 2 OS=Danio rerio OX=7955 GN=foxred2 PE=2 SV=1</t>
        </is>
      </c>
      <c r="M9165" t="n">
        <v>687</v>
      </c>
      <c r="N9165" t="inlineStr">
        <is>
          <t>Danio rerio</t>
        </is>
      </c>
      <c r="O9165" t="inlineStr">
        <is>
          <t>FAD-dependent oxidoreductase domain-containing protein 2</t>
        </is>
      </c>
    </row>
    <row r="9166">
      <c r="A9166" t="inlineStr">
        <is>
          <t>NODE_75738_length_2172_cov_9.700238_g27115_i0</t>
        </is>
      </c>
      <c r="B9166" t="inlineStr">
        <is>
          <t>bombina_pachypus_blastx</t>
        </is>
      </c>
      <c r="C9166" t="n">
        <v>-3.54829479855879</v>
      </c>
      <c r="D9166" t="n">
        <v>0.0003217597715402</v>
      </c>
      <c r="E9166">
        <f>HYPERLINK("https://www.uniprot.org/uniprotkb/A0A803JXG2/entry", "A0A803JXG2")</f>
        <v/>
      </c>
      <c r="F9166" t="n">
        <v>46.7</v>
      </c>
      <c r="G9166" t="n">
        <v>323</v>
      </c>
      <c r="H9166" t="n">
        <v>3.54e-88</v>
      </c>
      <c r="I9166" t="inlineStr">
        <is>
          <t>TrEMBL</t>
        </is>
      </c>
      <c r="J9166" t="inlineStr"/>
      <c r="K9166" t="inlineStr">
        <is>
          <t>A0A803JXG2_XENTR</t>
        </is>
      </c>
      <c r="L9166" t="inlineStr">
        <is>
          <t>tr|A0A803JXG2|A0A803JXG2_XENTR ribonuclease H OS=Xenopus tropicalis OX=8364 PE=3 SV=1</t>
        </is>
      </c>
      <c r="M9166" t="n">
        <v>754</v>
      </c>
      <c r="N9166" t="inlineStr">
        <is>
          <t>Xenopus tropicalis</t>
        </is>
      </c>
      <c r="O9166" t="inlineStr">
        <is>
          <t>ribonuclease H</t>
        </is>
      </c>
    </row>
    <row r="9167">
      <c r="A9167" t="inlineStr"/>
      <c r="B9167" t="inlineStr"/>
      <c r="C9167" t="inlineStr"/>
      <c r="D9167" t="inlineStr"/>
      <c r="E9167">
        <f>HYPERLINK("https://www.uniprot.org/uniprotkb/A0A8C5M7D7/entry", "A0A8C5M7D7")</f>
        <v/>
      </c>
      <c r="F9167" t="n">
        <v>38.9</v>
      </c>
      <c r="G9167" t="n">
        <v>383</v>
      </c>
      <c r="H9167" t="n">
        <v>6.76e-81</v>
      </c>
      <c r="I9167" t="inlineStr">
        <is>
          <t>TrEMBL</t>
        </is>
      </c>
      <c r="J9167" t="inlineStr"/>
      <c r="K9167" t="inlineStr">
        <is>
          <t>A0A8C5M7D7_9ANUR</t>
        </is>
      </c>
      <c r="L9167" t="inlineStr">
        <is>
          <t>tr|A0A8C5M7D7|A0A8C5M7D7_9ANUR CCHC-type domain-containing protein OS=Leptobrachium leishanense OX=445787 PE=4 SV=1</t>
        </is>
      </c>
      <c r="M9167" t="n">
        <v>433</v>
      </c>
      <c r="N9167" t="inlineStr">
        <is>
          <t>Leptobrachium leishanense</t>
        </is>
      </c>
      <c r="O9167" t="inlineStr">
        <is>
          <t>CCHC-type domain-containing protein</t>
        </is>
      </c>
    </row>
    <row r="9168">
      <c r="A9168" t="inlineStr"/>
      <c r="B9168" t="inlineStr"/>
      <c r="C9168" t="inlineStr"/>
      <c r="D9168" t="inlineStr"/>
      <c r="E9168">
        <f>HYPERLINK("https://www.uniprot.org/uniprotkb/A0A8C5LZH6/entry", "A0A8C5LZH6")</f>
        <v/>
      </c>
      <c r="F9168" t="n">
        <v>39.7</v>
      </c>
      <c r="G9168" t="n">
        <v>380</v>
      </c>
      <c r="H9168" t="n">
        <v>4.1e-78</v>
      </c>
      <c r="I9168" t="inlineStr">
        <is>
          <t>TrEMBL</t>
        </is>
      </c>
      <c r="J9168" t="inlineStr"/>
      <c r="K9168" t="inlineStr">
        <is>
          <t>A0A8C5LZH6_9ANUR</t>
        </is>
      </c>
      <c r="L9168" t="inlineStr">
        <is>
          <t>tr|A0A8C5LZH6|A0A8C5LZH6_9ANUR ribonuclease H OS=Leptobrachium leishanense OX=445787 PE=3 SV=1</t>
        </is>
      </c>
      <c r="M9168" t="n">
        <v>1529</v>
      </c>
      <c r="N9168" t="inlineStr">
        <is>
          <t>Leptobrachium leishanense</t>
        </is>
      </c>
      <c r="O9168" t="inlineStr">
        <is>
          <t>ribonuclease H</t>
        </is>
      </c>
    </row>
    <row r="9169">
      <c r="A9169" t="inlineStr"/>
      <c r="B9169" t="inlineStr"/>
      <c r="C9169" t="inlineStr"/>
      <c r="D9169" t="inlineStr"/>
      <c r="E9169">
        <f>HYPERLINK("https://www.uniprot.org/uniprotkb/A0A803JZ19/entry", "A0A803JZ19")</f>
        <v/>
      </c>
      <c r="F9169" t="n">
        <v>41</v>
      </c>
      <c r="G9169" t="n">
        <v>385</v>
      </c>
      <c r="H9169" t="n">
        <v>5.89e-78</v>
      </c>
      <c r="I9169" t="inlineStr">
        <is>
          <t>TrEMBL</t>
        </is>
      </c>
      <c r="J9169" t="inlineStr"/>
      <c r="K9169" t="inlineStr">
        <is>
          <t>A0A803JZ19_XENTR</t>
        </is>
      </c>
      <c r="L9169" t="inlineStr">
        <is>
          <t>tr|A0A803JZ19|A0A803JZ19_XENTR CCHC-type domain-containing protein OS=Xenopus tropicalis OX=8364 PE=4 SV=1</t>
        </is>
      </c>
      <c r="M9169" t="n">
        <v>560</v>
      </c>
      <c r="N9169" t="inlineStr">
        <is>
          <t>Xenopus tropicalis</t>
        </is>
      </c>
      <c r="O9169" t="inlineStr">
        <is>
          <t>CCHC-type domain-containing protein</t>
        </is>
      </c>
    </row>
    <row r="9170">
      <c r="A9170" t="inlineStr"/>
      <c r="B9170" t="inlineStr"/>
      <c r="C9170" t="inlineStr"/>
      <c r="D9170" t="inlineStr"/>
      <c r="E9170">
        <f>HYPERLINK("https://www.uniprot.org/uniprotkb/A0A803JAE8/entry", "A0A803JAE8")</f>
        <v/>
      </c>
      <c r="F9170" t="n">
        <v>38.1</v>
      </c>
      <c r="G9170" t="n">
        <v>399</v>
      </c>
      <c r="H9170" t="n">
        <v>6.82e-75</v>
      </c>
      <c r="I9170" t="inlineStr">
        <is>
          <t>TrEMBL</t>
        </is>
      </c>
      <c r="J9170" t="inlineStr"/>
      <c r="K9170" t="inlineStr">
        <is>
          <t>A0A803JAE8_XENTR</t>
        </is>
      </c>
      <c r="L9170" t="inlineStr">
        <is>
          <t>tr|A0A803JAE8|A0A803JAE8_XENTR Retrotrans_gag domain-containing protein OS=Xenopus tropicalis OX=8364 PE=4 SV=1</t>
        </is>
      </c>
      <c r="M9170" t="n">
        <v>615</v>
      </c>
      <c r="N9170" t="inlineStr">
        <is>
          <t>Xenopus tropicalis</t>
        </is>
      </c>
      <c r="O9170" t="inlineStr">
        <is>
          <t>Retrotrans_gag domain-containing protein</t>
        </is>
      </c>
    </row>
    <row r="9171">
      <c r="A9171" t="inlineStr"/>
      <c r="B9171" t="inlineStr"/>
      <c r="C9171" t="inlineStr"/>
      <c r="D9171" t="inlineStr"/>
      <c r="E9171">
        <f>HYPERLINK("https://www.uniprot.org/uniprotkb/A0A803KEF0/entry", "A0A803KEF0")</f>
        <v/>
      </c>
      <c r="F9171" t="n">
        <v>37.8</v>
      </c>
      <c r="G9171" t="n">
        <v>399</v>
      </c>
      <c r="H9171" t="n">
        <v>9.57e-75</v>
      </c>
      <c r="I9171" t="inlineStr">
        <is>
          <t>TrEMBL</t>
        </is>
      </c>
      <c r="J9171" t="inlineStr"/>
      <c r="K9171" t="inlineStr">
        <is>
          <t>A0A803KEF0_XENTR</t>
        </is>
      </c>
      <c r="L9171" t="inlineStr">
        <is>
          <t>tr|A0A803KEF0|A0A803KEF0_XENTR Retrotrans_gag domain-containing protein OS=Xenopus tropicalis OX=8364 PE=4 SV=1</t>
        </is>
      </c>
      <c r="M9171" t="n">
        <v>615</v>
      </c>
      <c r="N9171" t="inlineStr">
        <is>
          <t>Xenopus tropicalis</t>
        </is>
      </c>
      <c r="O9171" t="inlineStr">
        <is>
          <t>Retrotrans_gag domain-containing protein</t>
        </is>
      </c>
    </row>
    <row r="9172">
      <c r="A9172" t="inlineStr"/>
      <c r="B9172" t="inlineStr"/>
      <c r="C9172" t="inlineStr"/>
      <c r="D9172" t="inlineStr"/>
      <c r="E9172">
        <f>HYPERLINK("https://www.uniprot.org/uniprotkb/A0A8C5LJ63/entry", "A0A8C5LJ63")</f>
        <v/>
      </c>
      <c r="F9172" t="n">
        <v>37</v>
      </c>
      <c r="G9172" t="n">
        <v>392</v>
      </c>
      <c r="H9172" t="n">
        <v>1.96e-74</v>
      </c>
      <c r="I9172" t="inlineStr">
        <is>
          <t>TrEMBL</t>
        </is>
      </c>
      <c r="J9172" t="inlineStr"/>
      <c r="K9172" t="inlineStr">
        <is>
          <t>A0A8C5LJ63_9ANUR</t>
        </is>
      </c>
      <c r="L9172" t="inlineStr">
        <is>
          <t>tr|A0A8C5LJ63|A0A8C5LJ63_9ANUR Retrotrans_gag domain-containing protein OS=Leptobrachium leishanense OX=445787 PE=4 SV=1</t>
        </is>
      </c>
      <c r="M9172" t="n">
        <v>501</v>
      </c>
      <c r="N9172" t="inlineStr">
        <is>
          <t>Leptobrachium leishanense</t>
        </is>
      </c>
      <c r="O9172" t="inlineStr">
        <is>
          <t>Retrotrans_gag domain-containing protein</t>
        </is>
      </c>
    </row>
    <row r="9173">
      <c r="A9173" t="inlineStr"/>
      <c r="B9173" t="inlineStr"/>
      <c r="C9173" t="inlineStr"/>
      <c r="D9173" t="inlineStr"/>
      <c r="E9173">
        <f>HYPERLINK("https://www.uniprot.org/uniprotkb/A0A8C5Q3J9/entry", "A0A8C5Q3J9")</f>
        <v/>
      </c>
      <c r="F9173" t="n">
        <v>38.9</v>
      </c>
      <c r="G9173" t="n">
        <v>388</v>
      </c>
      <c r="H9173" t="n">
        <v>2.4e-74</v>
      </c>
      <c r="I9173" t="inlineStr">
        <is>
          <t>TrEMBL</t>
        </is>
      </c>
      <c r="J9173" t="inlineStr"/>
      <c r="K9173" t="inlineStr">
        <is>
          <t>A0A8C5Q3J9_9ANUR</t>
        </is>
      </c>
      <c r="L9173" t="inlineStr">
        <is>
          <t>tr|A0A8C5Q3J9|A0A8C5Q3J9_9ANUR Reverse transcriptase OS=Leptobrachium leishanense OX=445787 PE=3 SV=1</t>
        </is>
      </c>
      <c r="M9173" t="n">
        <v>1577</v>
      </c>
      <c r="N9173" t="inlineStr">
        <is>
          <t>Leptobrachium leishanense</t>
        </is>
      </c>
      <c r="O9173" t="inlineStr">
        <is>
          <t>Reverse transcriptase</t>
        </is>
      </c>
    </row>
    <row r="9174">
      <c r="A9174" t="inlineStr"/>
      <c r="B9174" t="inlineStr"/>
      <c r="C9174" t="inlineStr"/>
      <c r="D9174" t="inlineStr"/>
      <c r="E9174">
        <f>HYPERLINK("https://www.uniprot.org/uniprotkb/A0A8C5MJM5/entry", "A0A8C5MJM5")</f>
        <v/>
      </c>
      <c r="F9174" t="n">
        <v>36.6</v>
      </c>
      <c r="G9174" t="n">
        <v>396</v>
      </c>
      <c r="H9174" t="n">
        <v>3.76e-73</v>
      </c>
      <c r="I9174" t="inlineStr">
        <is>
          <t>TrEMBL</t>
        </is>
      </c>
      <c r="J9174" t="inlineStr"/>
      <c r="K9174" t="inlineStr">
        <is>
          <t>A0A8C5MJM5_9ANUR</t>
        </is>
      </c>
      <c r="L9174" t="inlineStr">
        <is>
          <t>tr|A0A8C5MJM5|A0A8C5MJM5_9ANUR ribonuclease H OS=Leptobrachium leishanense OX=445787 PE=3 SV=1</t>
        </is>
      </c>
      <c r="M9174" t="n">
        <v>661</v>
      </c>
      <c r="N9174" t="inlineStr">
        <is>
          <t>Leptobrachium leishanense</t>
        </is>
      </c>
      <c r="O9174" t="inlineStr">
        <is>
          <t>ribonuclease H</t>
        </is>
      </c>
    </row>
    <row r="9175">
      <c r="A9175" t="inlineStr"/>
      <c r="B9175" t="inlineStr"/>
      <c r="C9175" t="inlineStr"/>
      <c r="D9175" t="inlineStr"/>
      <c r="E9175">
        <f>HYPERLINK("https://www.uniprot.org/uniprotkb/A0A8C5Q352/entry", "A0A8C5Q352")</f>
        <v/>
      </c>
      <c r="F9175" t="n">
        <v>34.4</v>
      </c>
      <c r="G9175" t="n">
        <v>404</v>
      </c>
      <c r="H9175" t="n">
        <v>5.710000000000001e-72</v>
      </c>
      <c r="I9175" t="inlineStr">
        <is>
          <t>TrEMBL</t>
        </is>
      </c>
      <c r="J9175" t="inlineStr"/>
      <c r="K9175" t="inlineStr">
        <is>
          <t>A0A8C5Q352_9ANUR</t>
        </is>
      </c>
      <c r="L9175" t="inlineStr">
        <is>
          <t>tr|A0A8C5Q352|A0A8C5Q352_9ANUR CCHC-type domain-containing protein OS=Leptobrachium leishanense OX=445787 PE=4 SV=1</t>
        </is>
      </c>
      <c r="M9175" t="n">
        <v>552</v>
      </c>
      <c r="N9175" t="inlineStr">
        <is>
          <t>Leptobrachium leishanense</t>
        </is>
      </c>
      <c r="O9175" t="inlineStr">
        <is>
          <t>CCHC-type domain-containing protein</t>
        </is>
      </c>
    </row>
    <row r="9176">
      <c r="A9176" t="inlineStr"/>
      <c r="B9176" t="inlineStr"/>
      <c r="C9176" t="inlineStr"/>
      <c r="D9176" t="inlineStr"/>
      <c r="E9176">
        <f>HYPERLINK("https://www.uniprot.org/uniprotkb/A0A8C5M117/entry", "A0A8C5M117")</f>
        <v/>
      </c>
      <c r="F9176" t="n">
        <v>39.1</v>
      </c>
      <c r="G9176" t="n">
        <v>373</v>
      </c>
      <c r="H9176" t="n">
        <v>7.72e-72</v>
      </c>
      <c r="I9176" t="inlineStr">
        <is>
          <t>TrEMBL</t>
        </is>
      </c>
      <c r="J9176" t="inlineStr"/>
      <c r="K9176" t="inlineStr">
        <is>
          <t>A0A8C5M117_9ANUR</t>
        </is>
      </c>
      <c r="L9176" t="inlineStr">
        <is>
          <t>tr|A0A8C5M117|A0A8C5M117_9ANUR Reverse transcriptase OS=Leptobrachium leishanense OX=445787 PE=3 SV=1</t>
        </is>
      </c>
      <c r="M9176" t="n">
        <v>1434</v>
      </c>
      <c r="N9176" t="inlineStr">
        <is>
          <t>Leptobrachium leishanense</t>
        </is>
      </c>
      <c r="O9176" t="inlineStr">
        <is>
          <t>Reverse transcriptase</t>
        </is>
      </c>
    </row>
    <row r="9177">
      <c r="A9177" t="inlineStr"/>
      <c r="B9177" t="inlineStr"/>
      <c r="C9177" t="inlineStr"/>
      <c r="D9177" t="inlineStr"/>
      <c r="E9177">
        <f>HYPERLINK("https://www.uniprot.org/uniprotkb/A0A8J1LPH9/entry", "A0A8J1LPH9")</f>
        <v/>
      </c>
      <c r="F9177" t="n">
        <v>38.9</v>
      </c>
      <c r="G9177" t="n">
        <v>391</v>
      </c>
      <c r="H9177" t="n">
        <v>8.4e-72</v>
      </c>
      <c r="I9177" t="inlineStr">
        <is>
          <t>TrEMBL</t>
        </is>
      </c>
      <c r="J9177" t="inlineStr">
        <is>
          <t>LOC121397614</t>
        </is>
      </c>
      <c r="K9177" t="inlineStr">
        <is>
          <t>A0A8J1LPH9_XENLA</t>
        </is>
      </c>
      <c r="L9177" t="inlineStr">
        <is>
          <t>tr|A0A8J1LPH9|A0A8J1LPH9_XENLA ribonuclease H OS=Xenopus laevis OX=8355 GN=LOC121397614 PE=3 SV=1</t>
        </is>
      </c>
      <c r="M9177" t="n">
        <v>892</v>
      </c>
      <c r="N9177" t="inlineStr">
        <is>
          <t>Xenopus laevis</t>
        </is>
      </c>
      <c r="O9177" t="inlineStr">
        <is>
          <t>ribonuclease H</t>
        </is>
      </c>
    </row>
    <row r="9178">
      <c r="A9178" t="inlineStr"/>
      <c r="B9178" t="inlineStr"/>
      <c r="C9178" t="inlineStr"/>
      <c r="D9178" t="inlineStr"/>
      <c r="E9178">
        <f>HYPERLINK("https://www.uniprot.org/uniprotkb/A0A803J340/entry", "A0A803J340")</f>
        <v/>
      </c>
      <c r="F9178" t="n">
        <v>37.6</v>
      </c>
      <c r="G9178" t="n">
        <v>399</v>
      </c>
      <c r="H9178" t="n">
        <v>9.090000000000001e-72</v>
      </c>
      <c r="I9178" t="inlineStr">
        <is>
          <t>TrEMBL</t>
        </is>
      </c>
      <c r="J9178" t="inlineStr"/>
      <c r="K9178" t="inlineStr">
        <is>
          <t>A0A803J340_XENTR</t>
        </is>
      </c>
      <c r="L9178" t="inlineStr">
        <is>
          <t>tr|A0A803J340|A0A803J340_XENTR Retrotrans_gag domain-containing protein OS=Xenopus tropicalis OX=8364 PE=4 SV=1</t>
        </is>
      </c>
      <c r="M9178" t="n">
        <v>603</v>
      </c>
      <c r="N9178" t="inlineStr">
        <is>
          <t>Xenopus tropicalis</t>
        </is>
      </c>
      <c r="O9178" t="inlineStr">
        <is>
          <t>Retrotrans_gag domain-containing protein</t>
        </is>
      </c>
    </row>
    <row r="9179">
      <c r="A9179" t="inlineStr"/>
      <c r="B9179" t="inlineStr"/>
      <c r="C9179" t="inlineStr"/>
      <c r="D9179" t="inlineStr"/>
      <c r="E9179">
        <f>HYPERLINK("https://www.uniprot.org/uniprotkb/A0A8C5MRI8/entry", "A0A8C5MRI8")</f>
        <v/>
      </c>
      <c r="F9179" t="n">
        <v>37.6</v>
      </c>
      <c r="G9179" t="n">
        <v>396</v>
      </c>
      <c r="H9179" t="n">
        <v>1.49e-71</v>
      </c>
      <c r="I9179" t="inlineStr">
        <is>
          <t>TrEMBL</t>
        </is>
      </c>
      <c r="J9179" t="inlineStr"/>
      <c r="K9179" t="inlineStr">
        <is>
          <t>A0A8C5MRI8_9ANUR</t>
        </is>
      </c>
      <c r="L9179" t="inlineStr">
        <is>
          <t>tr|A0A8C5MRI8|A0A8C5MRI8_9ANUR ribonuclease H OS=Leptobrachium leishanense OX=445787 PE=3 SV=1</t>
        </is>
      </c>
      <c r="M9179" t="n">
        <v>1492</v>
      </c>
      <c r="N9179" t="inlineStr">
        <is>
          <t>Leptobrachium leishanense</t>
        </is>
      </c>
      <c r="O9179" t="inlineStr">
        <is>
          <t>ribonuclease H</t>
        </is>
      </c>
    </row>
    <row r="9180">
      <c r="A9180" t="inlineStr"/>
      <c r="B9180" t="inlineStr"/>
      <c r="C9180" t="inlineStr"/>
      <c r="D9180" t="inlineStr"/>
      <c r="E9180">
        <f>HYPERLINK("https://www.ncbi.nlm.nih.gov/gene/?term=XP_041430600.1", "XP_041430600.1")</f>
        <v/>
      </c>
      <c r="F9180" t="n">
        <v>38.9</v>
      </c>
      <c r="G9180" t="n">
        <v>391</v>
      </c>
      <c r="H9180" t="n">
        <v>2.16e-71</v>
      </c>
      <c r="I9180" t="inlineStr">
        <is>
          <t>Nr</t>
        </is>
      </c>
      <c r="J9180" t="inlineStr"/>
      <c r="K9180" t="inlineStr"/>
      <c r="L9180" t="inlineStr">
        <is>
          <t>XP_041430600.1 uncharacterized protein LOC121397614 [Xenopus laevis]</t>
        </is>
      </c>
      <c r="M9180" t="n">
        <v>892</v>
      </c>
      <c r="N9180" t="inlineStr">
        <is>
          <t>Xenopus laevis</t>
        </is>
      </c>
      <c r="O9180" t="inlineStr">
        <is>
          <t>uncharacterized protein LOC121397614</t>
        </is>
      </c>
    </row>
    <row r="9181">
      <c r="A9181" t="inlineStr"/>
      <c r="B9181" t="inlineStr"/>
      <c r="C9181" t="inlineStr"/>
      <c r="D9181" t="inlineStr"/>
      <c r="E9181">
        <f>HYPERLINK("https://www.uniprot.org/uniprotkb/A0A8J0T0M0/entry", "A0A8J0T0M0")</f>
        <v/>
      </c>
      <c r="F9181" t="n">
        <v>37.8</v>
      </c>
      <c r="G9181" t="n">
        <v>399</v>
      </c>
      <c r="H9181" t="n">
        <v>2.81e-71</v>
      </c>
      <c r="I9181" t="inlineStr">
        <is>
          <t>TrEMBL</t>
        </is>
      </c>
      <c r="J9181" t="inlineStr">
        <is>
          <t>LOC108644811</t>
        </is>
      </c>
      <c r="K9181" t="inlineStr">
        <is>
          <t>A0A8J0T0M0_XENTR</t>
        </is>
      </c>
      <c r="L9181" t="inlineStr">
        <is>
          <t>tr|A0A8J0T0M0|A0A8J0T0M0_XENTR ribonuclease H OS=Xenopus tropicalis OX=8364 GN=LOC108644811 PE=3 SV=1</t>
        </is>
      </c>
      <c r="M9181" t="n">
        <v>1528</v>
      </c>
      <c r="N9181" t="inlineStr">
        <is>
          <t>Xenopus tropicalis</t>
        </is>
      </c>
      <c r="O9181" t="inlineStr">
        <is>
          <t>ribonuclease H</t>
        </is>
      </c>
    </row>
    <row r="9182">
      <c r="A9182" t="inlineStr"/>
      <c r="B9182" t="inlineStr"/>
      <c r="C9182" t="inlineStr"/>
      <c r="D9182" t="inlineStr"/>
      <c r="E9182">
        <f>HYPERLINK("https://www.uniprot.org/uniprotkb/A0A8C5MC00/entry", "A0A8C5MC00")</f>
        <v/>
      </c>
      <c r="F9182" t="n">
        <v>41.6</v>
      </c>
      <c r="G9182" t="n">
        <v>329</v>
      </c>
      <c r="H9182" t="n">
        <v>7.17e-71</v>
      </c>
      <c r="I9182" t="inlineStr">
        <is>
          <t>TrEMBL</t>
        </is>
      </c>
      <c r="J9182" t="inlineStr"/>
      <c r="K9182" t="inlineStr">
        <is>
          <t>A0A8C5MC00_9ANUR</t>
        </is>
      </c>
      <c r="L9182" t="inlineStr">
        <is>
          <t>tr|A0A8C5MC00|A0A8C5MC00_9ANUR Reverse transcriptase OS=Leptobrachium leishanense OX=445787 PE=3 SV=1</t>
        </is>
      </c>
      <c r="M9182" t="n">
        <v>1569</v>
      </c>
      <c r="N9182" t="inlineStr">
        <is>
          <t>Leptobrachium leishanense</t>
        </is>
      </c>
      <c r="O9182" t="inlineStr">
        <is>
          <t>Reverse transcriptase</t>
        </is>
      </c>
    </row>
    <row r="9183">
      <c r="A9183" t="inlineStr"/>
      <c r="B9183" t="inlineStr"/>
      <c r="C9183" t="inlineStr"/>
      <c r="D9183" t="inlineStr"/>
      <c r="E9183">
        <f>HYPERLINK("https://www.ncbi.nlm.nih.gov/gene/?term=XP_017945114.2", "XP_017945114.2")</f>
        <v/>
      </c>
      <c r="F9183" t="n">
        <v>37.8</v>
      </c>
      <c r="G9183" t="n">
        <v>399</v>
      </c>
      <c r="H9183" t="n">
        <v>7.22e-71</v>
      </c>
      <c r="I9183" t="inlineStr">
        <is>
          <t>Nr</t>
        </is>
      </c>
      <c r="J9183" t="inlineStr"/>
      <c r="K9183" t="inlineStr"/>
      <c r="L9183" t="inlineStr">
        <is>
          <t>XP_017945114.2 uncharacterized protein LOC108644811 [Xenopus tropicalis]</t>
        </is>
      </c>
      <c r="M9183" t="n">
        <v>1528</v>
      </c>
      <c r="N9183" t="inlineStr">
        <is>
          <t>Xenopus tropicalis</t>
        </is>
      </c>
      <c r="O9183" t="inlineStr">
        <is>
          <t>uncharacterized protein LOC108644811</t>
        </is>
      </c>
    </row>
    <row r="9184">
      <c r="A9184" t="inlineStr"/>
      <c r="B9184" t="inlineStr"/>
      <c r="C9184" t="inlineStr"/>
      <c r="D9184" t="inlineStr"/>
      <c r="E9184">
        <f>HYPERLINK("https://www.uniprot.org/uniprotkb/A0A8C5N325/entry", "A0A8C5N325")</f>
        <v/>
      </c>
      <c r="F9184" t="n">
        <v>36</v>
      </c>
      <c r="G9184" t="n">
        <v>394</v>
      </c>
      <c r="H9184" t="n">
        <v>7.95e-71</v>
      </c>
      <c r="I9184" t="inlineStr">
        <is>
          <t>TrEMBL</t>
        </is>
      </c>
      <c r="J9184" t="inlineStr"/>
      <c r="K9184" t="inlineStr">
        <is>
          <t>A0A8C5N325_9ANUR</t>
        </is>
      </c>
      <c r="L9184" t="inlineStr">
        <is>
          <t>tr|A0A8C5N325|A0A8C5N325_9ANUR CCHC-type domain-containing protein OS=Leptobrachium leishanense OX=445787 PE=4 SV=1</t>
        </is>
      </c>
      <c r="M9184" t="n">
        <v>413</v>
      </c>
      <c r="N9184" t="inlineStr">
        <is>
          <t>Leptobrachium leishanense</t>
        </is>
      </c>
      <c r="O9184" t="inlineStr">
        <is>
          <t>CCHC-type domain-containing protein</t>
        </is>
      </c>
    </row>
    <row r="9185">
      <c r="A9185" t="inlineStr"/>
      <c r="B9185" t="inlineStr"/>
      <c r="C9185" t="inlineStr"/>
      <c r="D9185" t="inlineStr"/>
      <c r="E9185">
        <f>HYPERLINK("https://www.uniprot.org/uniprotkb/A0A8C5QN78/entry", "A0A8C5QN78")</f>
        <v/>
      </c>
      <c r="F9185" t="n">
        <v>37.4</v>
      </c>
      <c r="G9185" t="n">
        <v>398</v>
      </c>
      <c r="H9185" t="n">
        <v>9.49e-71</v>
      </c>
      <c r="I9185" t="inlineStr">
        <is>
          <t>TrEMBL</t>
        </is>
      </c>
      <c r="J9185" t="inlineStr"/>
      <c r="K9185" t="inlineStr">
        <is>
          <t>A0A8C5QN78_9ANUR</t>
        </is>
      </c>
      <c r="L9185" t="inlineStr">
        <is>
          <t>tr|A0A8C5QN78|A0A8C5QN78_9ANUR ribonuclease H OS=Leptobrachium leishanense OX=445787 PE=3 SV=1</t>
        </is>
      </c>
      <c r="M9185" t="n">
        <v>1492</v>
      </c>
      <c r="N9185" t="inlineStr">
        <is>
          <t>Leptobrachium leishanense</t>
        </is>
      </c>
      <c r="O9185" t="inlineStr">
        <is>
          <t>ribonuclease H</t>
        </is>
      </c>
    </row>
    <row r="9186">
      <c r="A9186" t="inlineStr"/>
      <c r="B9186" t="inlineStr"/>
      <c r="C9186" t="inlineStr"/>
      <c r="D9186" t="inlineStr"/>
      <c r="E9186">
        <f>HYPERLINK("https://www.uniprot.org/uniprotkb/A0A803K217/entry", "A0A803K217")</f>
        <v/>
      </c>
      <c r="F9186" t="n">
        <v>38.5</v>
      </c>
      <c r="G9186" t="n">
        <v>382</v>
      </c>
      <c r="H9186" t="n">
        <v>1.7e-70</v>
      </c>
      <c r="I9186" t="inlineStr">
        <is>
          <t>TrEMBL</t>
        </is>
      </c>
      <c r="J9186" t="inlineStr"/>
      <c r="K9186" t="inlineStr">
        <is>
          <t>A0A803K217_XENTR</t>
        </is>
      </c>
      <c r="L9186" t="inlineStr">
        <is>
          <t>tr|A0A803K217|A0A803K217_XENTR Reverse transcriptase OS=Xenopus tropicalis OX=8364 PE=3 SV=1</t>
        </is>
      </c>
      <c r="M9186" t="n">
        <v>1435</v>
      </c>
      <c r="N9186" t="inlineStr">
        <is>
          <t>Xenopus tropicalis</t>
        </is>
      </c>
      <c r="O9186" t="inlineStr">
        <is>
          <t>Reverse transcriptase</t>
        </is>
      </c>
    </row>
    <row r="9187">
      <c r="A9187" t="inlineStr"/>
      <c r="B9187" t="inlineStr"/>
      <c r="C9187" t="inlineStr"/>
      <c r="D9187" t="inlineStr"/>
      <c r="E9187">
        <f>HYPERLINK("https://www.uniprot.org/uniprotkb/A0A8C5R259/entry", "A0A8C5R259")</f>
        <v/>
      </c>
      <c r="F9187" t="n">
        <v>34.2</v>
      </c>
      <c r="G9187" t="n">
        <v>404</v>
      </c>
      <c r="H9187" t="n">
        <v>1.92e-70</v>
      </c>
      <c r="I9187" t="inlineStr">
        <is>
          <t>TrEMBL</t>
        </is>
      </c>
      <c r="J9187" t="inlineStr"/>
      <c r="K9187" t="inlineStr">
        <is>
          <t>A0A8C5R259_9ANUR</t>
        </is>
      </c>
      <c r="L9187" t="inlineStr">
        <is>
          <t>tr|A0A8C5R259|A0A8C5R259_9ANUR ribonuclease H OS=Leptobrachium leishanense OX=445787 PE=3 SV=1</t>
        </is>
      </c>
      <c r="M9187" t="n">
        <v>706</v>
      </c>
      <c r="N9187" t="inlineStr">
        <is>
          <t>Leptobrachium leishanense</t>
        </is>
      </c>
      <c r="O9187" t="inlineStr">
        <is>
          <t>ribonuclease H</t>
        </is>
      </c>
    </row>
    <row r="9188">
      <c r="A9188" t="inlineStr"/>
      <c r="B9188" t="inlineStr"/>
      <c r="C9188" t="inlineStr"/>
      <c r="D9188" t="inlineStr"/>
      <c r="E9188">
        <f>HYPERLINK("https://www.uniprot.org/uniprotkb/A0A8C5M5M4/entry", "A0A8C5M5M4")</f>
        <v/>
      </c>
      <c r="F9188" t="n">
        <v>36.8</v>
      </c>
      <c r="G9188" t="n">
        <v>386</v>
      </c>
      <c r="H9188" t="n">
        <v>2.4e-70</v>
      </c>
      <c r="I9188" t="inlineStr">
        <is>
          <t>TrEMBL</t>
        </is>
      </c>
      <c r="J9188" t="inlineStr"/>
      <c r="K9188" t="inlineStr">
        <is>
          <t>A0A8C5M5M4_9ANUR</t>
        </is>
      </c>
      <c r="L9188" t="inlineStr">
        <is>
          <t>tr|A0A8C5M5M4|A0A8C5M5M4_9ANUR ribonuclease H OS=Leptobrachium leishanense OX=445787 PE=3 SV=1</t>
        </is>
      </c>
      <c r="M9188" t="n">
        <v>1499</v>
      </c>
      <c r="N9188" t="inlineStr">
        <is>
          <t>Leptobrachium leishanense</t>
        </is>
      </c>
      <c r="O9188" t="inlineStr">
        <is>
          <t>ribonuclease H</t>
        </is>
      </c>
    </row>
    <row r="9189">
      <c r="A9189" t="inlineStr"/>
      <c r="B9189" t="inlineStr"/>
      <c r="C9189" t="inlineStr"/>
      <c r="D9189" t="inlineStr"/>
      <c r="E9189">
        <f>HYPERLINK("https://www.uniprot.org/uniprotkb/A0A8C5PQN4/entry", "A0A8C5PQN4")</f>
        <v/>
      </c>
      <c r="F9189" t="n">
        <v>36.8</v>
      </c>
      <c r="G9189" t="n">
        <v>386</v>
      </c>
      <c r="H9189" t="n">
        <v>3.26e-70</v>
      </c>
      <c r="I9189" t="inlineStr">
        <is>
          <t>TrEMBL</t>
        </is>
      </c>
      <c r="J9189" t="inlineStr"/>
      <c r="K9189" t="inlineStr">
        <is>
          <t>A0A8C5PQN4_9ANUR</t>
        </is>
      </c>
      <c r="L9189" t="inlineStr">
        <is>
          <t>tr|A0A8C5PQN4|A0A8C5PQN4_9ANUR ribonuclease H OS=Leptobrachium leishanense OX=445787 PE=3 SV=1</t>
        </is>
      </c>
      <c r="M9189" t="n">
        <v>1499</v>
      </c>
      <c r="N9189" t="inlineStr">
        <is>
          <t>Leptobrachium leishanense</t>
        </is>
      </c>
      <c r="O9189" t="inlineStr">
        <is>
          <t>ribonuclease H</t>
        </is>
      </c>
    </row>
    <row r="9190">
      <c r="A9190" t="inlineStr"/>
      <c r="B9190" t="inlineStr"/>
      <c r="C9190" t="inlineStr"/>
      <c r="D9190" t="inlineStr"/>
      <c r="E9190">
        <f>HYPERLINK("https://www.uniprot.org/uniprotkb/A0A803JPC4/entry", "A0A803JPC4")</f>
        <v/>
      </c>
      <c r="F9190" t="n">
        <v>42.2</v>
      </c>
      <c r="G9190" t="n">
        <v>327</v>
      </c>
      <c r="H9190" t="n">
        <v>4.110000000000001e-70</v>
      </c>
      <c r="I9190" t="inlineStr">
        <is>
          <t>TrEMBL</t>
        </is>
      </c>
      <c r="J9190" t="inlineStr"/>
      <c r="K9190" t="inlineStr">
        <is>
          <t>A0A803JPC4_XENTR</t>
        </is>
      </c>
      <c r="L9190" t="inlineStr">
        <is>
          <t>tr|A0A803JPC4|A0A803JPC4_XENTR ribonuclease H OS=Xenopus tropicalis OX=8364 PE=3 SV=1</t>
        </is>
      </c>
      <c r="M9190" t="n">
        <v>1014</v>
      </c>
      <c r="N9190" t="inlineStr">
        <is>
          <t>Xenopus tropicalis</t>
        </is>
      </c>
      <c r="O9190" t="inlineStr">
        <is>
          <t>ribonuclease H</t>
        </is>
      </c>
    </row>
    <row r="9191">
      <c r="A9191" t="inlineStr"/>
      <c r="B9191" t="inlineStr"/>
      <c r="C9191" t="inlineStr"/>
      <c r="D9191" t="inlineStr"/>
      <c r="E9191">
        <f>HYPERLINK("https://www.ncbi.nlm.nih.gov/gene/?term=XP_040210218.1", "XP_040210218.1")</f>
        <v/>
      </c>
      <c r="F9191" t="n">
        <v>39.2</v>
      </c>
      <c r="G9191" t="n">
        <v>380</v>
      </c>
      <c r="H9191" t="n">
        <v>8.320000000000001e-70</v>
      </c>
      <c r="I9191" t="inlineStr">
        <is>
          <t>Nr</t>
        </is>
      </c>
      <c r="J9191" t="inlineStr"/>
      <c r="K9191" t="inlineStr"/>
      <c r="L9191" t="inlineStr">
        <is>
          <t>XP_040210218.1 retrotransposon-derived protein PEG10 [Rana temporaria]</t>
        </is>
      </c>
      <c r="M9191" t="n">
        <v>1481</v>
      </c>
      <c r="N9191" t="inlineStr">
        <is>
          <t>Rana temporaria</t>
        </is>
      </c>
      <c r="O9191" t="inlineStr">
        <is>
          <t>retrotransposon-derived protein PEG10</t>
        </is>
      </c>
    </row>
    <row r="9192">
      <c r="A9192" t="inlineStr"/>
      <c r="B9192" t="inlineStr"/>
      <c r="C9192" t="inlineStr"/>
      <c r="D9192" t="inlineStr"/>
      <c r="E9192">
        <f>HYPERLINK("https://www.uniprot.org/uniprotkb/A0A803J384/entry", "A0A803J384")</f>
        <v/>
      </c>
      <c r="F9192" t="n">
        <v>47.7</v>
      </c>
      <c r="G9192" t="n">
        <v>239</v>
      </c>
      <c r="H9192" t="n">
        <v>2.1e-69</v>
      </c>
      <c r="I9192" t="inlineStr">
        <is>
          <t>TrEMBL</t>
        </is>
      </c>
      <c r="J9192" t="inlineStr"/>
      <c r="K9192" t="inlineStr">
        <is>
          <t>A0A803J384_XENTR</t>
        </is>
      </c>
      <c r="L9192" t="inlineStr">
        <is>
          <t>tr|A0A803J384|A0A803J384_XENTR CCHC-type domain-containing protein OS=Xenopus tropicalis OX=8364 PE=4 SV=1</t>
        </is>
      </c>
      <c r="M9192" t="n">
        <v>323</v>
      </c>
      <c r="N9192" t="inlineStr">
        <is>
          <t>Xenopus tropicalis</t>
        </is>
      </c>
      <c r="O9192" t="inlineStr">
        <is>
          <t>CCHC-type domain-containing protein</t>
        </is>
      </c>
    </row>
    <row r="9193">
      <c r="A9193" t="inlineStr"/>
      <c r="B9193" t="inlineStr"/>
      <c r="C9193" t="inlineStr"/>
      <c r="D9193" t="inlineStr"/>
      <c r="E9193">
        <f>HYPERLINK("https://www.uniprot.org/uniprotkb/A0A8C5MGD7/entry", "A0A8C5MGD7")</f>
        <v/>
      </c>
      <c r="F9193" t="n">
        <v>36.4</v>
      </c>
      <c r="G9193" t="n">
        <v>385</v>
      </c>
      <c r="H9193" t="n">
        <v>2.82e-69</v>
      </c>
      <c r="I9193" t="inlineStr">
        <is>
          <t>TrEMBL</t>
        </is>
      </c>
      <c r="J9193" t="inlineStr"/>
      <c r="K9193" t="inlineStr">
        <is>
          <t>A0A8C5MGD7_9ANUR</t>
        </is>
      </c>
      <c r="L9193" t="inlineStr">
        <is>
          <t>tr|A0A8C5MGD7|A0A8C5MGD7_9ANUR ribonuclease H OS=Leptobrachium leishanense OX=445787 PE=3 SV=1</t>
        </is>
      </c>
      <c r="M9193" t="n">
        <v>1498</v>
      </c>
      <c r="N9193" t="inlineStr">
        <is>
          <t>Leptobrachium leishanense</t>
        </is>
      </c>
      <c r="O9193" t="inlineStr">
        <is>
          <t>ribonuclease H</t>
        </is>
      </c>
    </row>
    <row r="9194">
      <c r="A9194" t="inlineStr"/>
      <c r="B9194" t="inlineStr"/>
      <c r="C9194" t="inlineStr"/>
      <c r="D9194" t="inlineStr"/>
      <c r="E9194">
        <f>HYPERLINK("https://www.ncbi.nlm.nih.gov/gene/?term=XP_031759194.1", "XP_031759194.1")</f>
        <v/>
      </c>
      <c r="F9194" t="n">
        <v>35.4</v>
      </c>
      <c r="G9194" t="n">
        <v>362</v>
      </c>
      <c r="H9194" t="n">
        <v>1.23e-56</v>
      </c>
      <c r="I9194" t="inlineStr">
        <is>
          <t>Nr</t>
        </is>
      </c>
      <c r="J9194" t="inlineStr"/>
      <c r="K9194" t="inlineStr"/>
      <c r="L9194" t="inlineStr">
        <is>
          <t>XP_031759194.1 UPF0489 protein C5orf22 homolog isoform X3 [Xenopus tropicalis]</t>
        </is>
      </c>
      <c r="M9194" t="n">
        <v>357</v>
      </c>
      <c r="N9194" t="inlineStr">
        <is>
          <t>Xenopus tropicalis</t>
        </is>
      </c>
      <c r="O9194" t="inlineStr">
        <is>
          <t>UPF0489 protein C5orf22 homolog isoform X3</t>
        </is>
      </c>
    </row>
    <row r="9195">
      <c r="A9195" t="inlineStr"/>
      <c r="B9195" t="inlineStr"/>
      <c r="C9195" t="inlineStr"/>
      <c r="D9195" t="inlineStr"/>
      <c r="E9195">
        <f>HYPERLINK("https://www.ncbi.nlm.nih.gov/gene/?term=OCT57199.1", "OCT57199.1")</f>
        <v/>
      </c>
      <c r="F9195" t="n">
        <v>33.7</v>
      </c>
      <c r="G9195" t="n">
        <v>297</v>
      </c>
      <c r="H9195" t="n">
        <v>9.36e-48</v>
      </c>
      <c r="I9195" t="inlineStr">
        <is>
          <t>Nr</t>
        </is>
      </c>
      <c r="J9195" t="inlineStr"/>
      <c r="K9195" t="inlineStr"/>
      <c r="L9195" t="inlineStr">
        <is>
          <t>OCT57199.1 hypothetical protein XELAEV_18003842mg [Xenopus laevis]</t>
        </is>
      </c>
      <c r="M9195" t="n">
        <v>305</v>
      </c>
      <c r="N9195" t="inlineStr">
        <is>
          <t>Xenopus laevis</t>
        </is>
      </c>
      <c r="O9195" t="inlineStr">
        <is>
          <t>hypothetical protein XELAEV_18003842mg</t>
        </is>
      </c>
    </row>
    <row r="9196">
      <c r="A9196" t="inlineStr"/>
      <c r="B9196" t="inlineStr"/>
      <c r="C9196" t="inlineStr"/>
      <c r="D9196" t="inlineStr"/>
      <c r="E9196">
        <f>HYPERLINK("https://www.ncbi.nlm.nih.gov/gene/?term=OMJ16824.1", "OMJ16824.1")</f>
        <v/>
      </c>
      <c r="F9196" t="n">
        <v>32.3</v>
      </c>
      <c r="G9196" t="n">
        <v>334</v>
      </c>
      <c r="H9196" t="n">
        <v>6.279999999999999e-45</v>
      </c>
      <c r="I9196" t="inlineStr">
        <is>
          <t>Nr</t>
        </is>
      </c>
      <c r="J9196" t="inlineStr"/>
      <c r="K9196" t="inlineStr"/>
      <c r="L9196" t="inlineStr">
        <is>
          <t>OMJ16824.1 Retrotransposon-derived protein PEG10, partial [Smittium culicis]</t>
        </is>
      </c>
      <c r="M9196" t="n">
        <v>780</v>
      </c>
      <c r="N9196" t="inlineStr">
        <is>
          <t>Smittium culicis</t>
        </is>
      </c>
      <c r="O9196" t="inlineStr">
        <is>
          <t>Retrotransposon-derived protein PEG10, partial</t>
        </is>
      </c>
    </row>
    <row r="9197">
      <c r="A9197" t="inlineStr"/>
      <c r="B9197" t="inlineStr"/>
      <c r="C9197" t="inlineStr"/>
      <c r="D9197" t="inlineStr"/>
      <c r="E9197">
        <f>HYPERLINK("https://www.ncbi.nlm.nih.gov/gene/?term=OMJ23595.1", "OMJ23595.1")</f>
        <v/>
      </c>
      <c r="F9197" t="n">
        <v>31.4</v>
      </c>
      <c r="G9197" t="n">
        <v>369</v>
      </c>
      <c r="H9197" t="n">
        <v>6.370000000000001e-43</v>
      </c>
      <c r="I9197" t="inlineStr">
        <is>
          <t>Nr</t>
        </is>
      </c>
      <c r="J9197" t="inlineStr"/>
      <c r="K9197" t="inlineStr"/>
      <c r="L9197" t="inlineStr">
        <is>
          <t>OMJ23595.1 Retrotransposon-derived protein PEG10 [Smittium culicis]</t>
        </is>
      </c>
      <c r="M9197" t="n">
        <v>761</v>
      </c>
      <c r="N9197" t="inlineStr">
        <is>
          <t>Smittium culicis</t>
        </is>
      </c>
      <c r="O9197" t="inlineStr">
        <is>
          <t>Retrotransposon-derived protein PEG10</t>
        </is>
      </c>
    </row>
    <row r="9198">
      <c r="A9198" t="inlineStr"/>
      <c r="B9198" t="inlineStr"/>
      <c r="C9198" t="inlineStr"/>
      <c r="D9198" t="inlineStr"/>
      <c r="E9198">
        <f>HYPERLINK("https://www.ncbi.nlm.nih.gov/gene/?term=KAG8580255.1", "KAG8580255.1")</f>
        <v/>
      </c>
      <c r="F9198" t="n">
        <v>39.2</v>
      </c>
      <c r="G9198" t="n">
        <v>245</v>
      </c>
      <c r="H9198" t="n">
        <v>1.92e-42</v>
      </c>
      <c r="I9198" t="inlineStr">
        <is>
          <t>Nr</t>
        </is>
      </c>
      <c r="J9198" t="inlineStr"/>
      <c r="K9198" t="inlineStr"/>
      <c r="L9198" t="inlineStr">
        <is>
          <t>KAG8580255.1 hypothetical protein GDO81_007209 [Engystomops pustulosus]</t>
        </is>
      </c>
      <c r="M9198" t="n">
        <v>332</v>
      </c>
      <c r="N9198" t="inlineStr">
        <is>
          <t>Engystomops pustulosus</t>
        </is>
      </c>
      <c r="O9198" t="inlineStr">
        <is>
          <t>hypothetical protein GDO81_007209</t>
        </is>
      </c>
    </row>
    <row r="9199">
      <c r="A9199" t="inlineStr"/>
      <c r="B9199" t="inlineStr"/>
      <c r="C9199" t="inlineStr"/>
      <c r="D9199" t="inlineStr"/>
      <c r="E9199">
        <f>HYPERLINK("https://www.ncbi.nlm.nih.gov/gene/?term=XP_018416387.1", "XP_018416387.1")</f>
        <v/>
      </c>
      <c r="F9199" t="n">
        <v>47.5</v>
      </c>
      <c r="G9199" t="n">
        <v>177</v>
      </c>
      <c r="H9199" t="n">
        <v>2.6e-42</v>
      </c>
      <c r="I9199" t="inlineStr">
        <is>
          <t>Nr</t>
        </is>
      </c>
      <c r="J9199" t="inlineStr"/>
      <c r="K9199" t="inlineStr"/>
      <c r="L9199" t="inlineStr">
        <is>
          <t>XP_018416387.1 PREDICTED: protein LDOC1L-like [Nanorana parkeri]</t>
        </is>
      </c>
      <c r="M9199" t="n">
        <v>194</v>
      </c>
      <c r="N9199" t="inlineStr">
        <is>
          <t>Nanorana parkeri</t>
        </is>
      </c>
      <c r="O9199" t="inlineStr">
        <is>
          <t>PREDICTED: protein LDOC1L-like</t>
        </is>
      </c>
    </row>
    <row r="9200">
      <c r="A9200" t="inlineStr"/>
      <c r="B9200" t="inlineStr"/>
      <c r="C9200" t="inlineStr"/>
      <c r="D9200" t="inlineStr"/>
      <c r="E9200">
        <f>HYPERLINK("https://www.ncbi.nlm.nih.gov/gene/?term=KAG0578666.1", "KAG0578666.1")</f>
        <v/>
      </c>
      <c r="F9200" t="n">
        <v>37.8</v>
      </c>
      <c r="G9200" t="n">
        <v>278</v>
      </c>
      <c r="H9200" t="n">
        <v>1.66e-41</v>
      </c>
      <c r="I9200" t="inlineStr">
        <is>
          <t>Nr</t>
        </is>
      </c>
      <c r="J9200" t="inlineStr"/>
      <c r="K9200" t="inlineStr"/>
      <c r="L9200" t="inlineStr">
        <is>
          <t>KAG0578666.1 hypothetical protein KC19_4G040500 [Ceratodon purpureus]</t>
        </is>
      </c>
      <c r="M9200" t="n">
        <v>310</v>
      </c>
      <c r="N9200" t="inlineStr">
        <is>
          <t>Ceratodon purpureus</t>
        </is>
      </c>
      <c r="O9200" t="inlineStr">
        <is>
          <t>hypothetical protein KC19_4G040500</t>
        </is>
      </c>
    </row>
    <row r="9201">
      <c r="A9201" t="inlineStr"/>
      <c r="B9201" t="inlineStr"/>
      <c r="C9201" t="inlineStr"/>
      <c r="D9201" t="inlineStr"/>
      <c r="E9201">
        <f>HYPERLINK("https://www.ncbi.nlm.nih.gov/gene/?term=OMH78677.1", "OMH78677.1")</f>
        <v/>
      </c>
      <c r="F9201" t="n">
        <v>37</v>
      </c>
      <c r="G9201" t="n">
        <v>243</v>
      </c>
      <c r="H9201" t="n">
        <v>8.22e-41</v>
      </c>
      <c r="I9201" t="inlineStr">
        <is>
          <t>Nr</t>
        </is>
      </c>
      <c r="J9201" t="inlineStr"/>
      <c r="K9201" t="inlineStr"/>
      <c r="L9201" t="inlineStr">
        <is>
          <t>OMH78677.1 Retrotransposon-derived protein PEG10 [Zancudomyces culisetae]</t>
        </is>
      </c>
      <c r="M9201" t="n">
        <v>320</v>
      </c>
      <c r="N9201" t="inlineStr">
        <is>
          <t>Zancudomyces culisetae</t>
        </is>
      </c>
      <c r="O9201" t="inlineStr">
        <is>
          <t>Retrotransposon-derived protein PEG10</t>
        </is>
      </c>
    </row>
    <row r="9202">
      <c r="A9202" t="inlineStr"/>
      <c r="B9202" t="inlineStr"/>
      <c r="C9202" t="inlineStr"/>
      <c r="D9202" t="inlineStr"/>
      <c r="E9202">
        <f>HYPERLINK("https://www.ncbi.nlm.nih.gov/gene/?term=OMJ24085.1", "OMJ24085.1")</f>
        <v/>
      </c>
      <c r="F9202" t="n">
        <v>30.9</v>
      </c>
      <c r="G9202" t="n">
        <v>366</v>
      </c>
      <c r="H9202" t="n">
        <v>1.84e-39</v>
      </c>
      <c r="I9202" t="inlineStr">
        <is>
          <t>Nr</t>
        </is>
      </c>
      <c r="J9202" t="inlineStr"/>
      <c r="K9202" t="inlineStr"/>
      <c r="L9202" t="inlineStr">
        <is>
          <t>OMJ24085.1 Retrotransposon-derived protein PEG10 [Smittium culicis]</t>
        </is>
      </c>
      <c r="M9202" t="n">
        <v>582</v>
      </c>
      <c r="N9202" t="inlineStr">
        <is>
          <t>Smittium culicis</t>
        </is>
      </c>
      <c r="O9202" t="inlineStr">
        <is>
          <t>Retrotransposon-derived protein PEG10</t>
        </is>
      </c>
    </row>
    <row r="9203">
      <c r="A9203" t="inlineStr"/>
      <c r="B9203" t="inlineStr"/>
      <c r="C9203" t="inlineStr"/>
      <c r="D9203" t="inlineStr"/>
      <c r="E9203">
        <f>HYPERLINK("https://www.ncbi.nlm.nih.gov/gene/?term=KAI3650144.1", "KAI3650144.1")</f>
        <v/>
      </c>
      <c r="F9203" t="n">
        <v>33.2</v>
      </c>
      <c r="G9203" t="n">
        <v>352</v>
      </c>
      <c r="H9203" t="n">
        <v>4.41e-39</v>
      </c>
      <c r="I9203" t="inlineStr">
        <is>
          <t>Nr</t>
        </is>
      </c>
      <c r="J9203" t="inlineStr"/>
      <c r="K9203" t="inlineStr"/>
      <c r="L9203" t="inlineStr">
        <is>
          <t>KAI3650144.1 hypothetical protein MP228_005001, partial [Amoeboaphelidium protococcarum]</t>
        </is>
      </c>
      <c r="M9203" t="n">
        <v>1497</v>
      </c>
      <c r="N9203" t="inlineStr">
        <is>
          <t>Amoeboaphelidium protococcarum</t>
        </is>
      </c>
      <c r="O9203" t="inlineStr">
        <is>
          <t>hypothetical protein MP228_005001, partial</t>
        </is>
      </c>
    </row>
    <row r="9204">
      <c r="A9204" t="inlineStr"/>
      <c r="B9204" t="inlineStr"/>
      <c r="C9204" t="inlineStr"/>
      <c r="D9204" t="inlineStr"/>
      <c r="E9204">
        <f>HYPERLINK("https://www.ncbi.nlm.nih.gov/gene/?term=KAI3644463.1", "KAI3644463.1")</f>
        <v/>
      </c>
      <c r="F9204" t="n">
        <v>33.2</v>
      </c>
      <c r="G9204" t="n">
        <v>352</v>
      </c>
      <c r="H9204" t="n">
        <v>4.41e-39</v>
      </c>
      <c r="I9204" t="inlineStr">
        <is>
          <t>Nr</t>
        </is>
      </c>
      <c r="J9204" t="inlineStr"/>
      <c r="K9204" t="inlineStr"/>
      <c r="L9204" t="inlineStr">
        <is>
          <t>KAI3644463.1 hypothetical protein MP228_010627 [Amoeboaphelidium protococcarum]</t>
        </is>
      </c>
      <c r="M9204" t="n">
        <v>1499</v>
      </c>
      <c r="N9204" t="inlineStr">
        <is>
          <t>Amoeboaphelidium protococcarum</t>
        </is>
      </c>
      <c r="O9204" t="inlineStr">
        <is>
          <t>hypothetical protein MP228_010627</t>
        </is>
      </c>
    </row>
    <row r="9205">
      <c r="A9205" t="inlineStr"/>
      <c r="B9205" t="inlineStr"/>
      <c r="C9205" t="inlineStr"/>
      <c r="D9205" t="inlineStr"/>
      <c r="E9205">
        <f>HYPERLINK("https://www.ncbi.nlm.nih.gov/gene/?term=KAI3645612.1", "KAI3645612.1")</f>
        <v/>
      </c>
      <c r="F9205" t="n">
        <v>33.2</v>
      </c>
      <c r="G9205" t="n">
        <v>352</v>
      </c>
      <c r="H9205" t="n">
        <v>4.41e-39</v>
      </c>
      <c r="I9205" t="inlineStr">
        <is>
          <t>Nr</t>
        </is>
      </c>
      <c r="J9205" t="inlineStr"/>
      <c r="K9205" t="inlineStr"/>
      <c r="L9205" t="inlineStr">
        <is>
          <t>KAI3645612.1 hypothetical protein MP228_008540 [Amoeboaphelidium protococcarum]</t>
        </is>
      </c>
      <c r="M9205" t="n">
        <v>1499</v>
      </c>
      <c r="N9205" t="inlineStr">
        <is>
          <t>Amoeboaphelidium protococcarum</t>
        </is>
      </c>
      <c r="O9205" t="inlineStr">
        <is>
          <t>hypothetical protein MP228_008540</t>
        </is>
      </c>
    </row>
    <row r="9206">
      <c r="A9206" t="inlineStr"/>
      <c r="B9206" t="inlineStr"/>
      <c r="C9206" t="inlineStr"/>
      <c r="D9206" t="inlineStr"/>
      <c r="E9206">
        <f>HYPERLINK("https://www.ncbi.nlm.nih.gov/gene/?term=KAI3652360.1", "KAI3652360.1")</f>
        <v/>
      </c>
      <c r="F9206" t="n">
        <v>33.2</v>
      </c>
      <c r="G9206" t="n">
        <v>352</v>
      </c>
      <c r="H9206" t="n">
        <v>4.41e-39</v>
      </c>
      <c r="I9206" t="inlineStr">
        <is>
          <t>Nr</t>
        </is>
      </c>
      <c r="J9206" t="inlineStr"/>
      <c r="K9206" t="inlineStr"/>
      <c r="L9206" t="inlineStr">
        <is>
          <t>KAI3652360.1 hypothetical protein MP228_002685 [Amoeboaphelidium protococcarum]</t>
        </is>
      </c>
      <c r="M9206" t="n">
        <v>1499</v>
      </c>
      <c r="N9206" t="inlineStr">
        <is>
          <t>Amoeboaphelidium protococcarum</t>
        </is>
      </c>
      <c r="O9206" t="inlineStr">
        <is>
          <t>hypothetical protein MP228_002685</t>
        </is>
      </c>
    </row>
    <row r="9207">
      <c r="A9207" t="inlineStr"/>
      <c r="B9207" t="inlineStr"/>
      <c r="C9207" t="inlineStr"/>
      <c r="D9207" t="inlineStr"/>
      <c r="E9207">
        <f>HYPERLINK("https://www.ncbi.nlm.nih.gov/gene/?term=OMH84087.1", "OMH84087.1")</f>
        <v/>
      </c>
      <c r="F9207" t="n">
        <v>30.9</v>
      </c>
      <c r="G9207" t="n">
        <v>327</v>
      </c>
      <c r="H9207" t="n">
        <v>5.04e-39</v>
      </c>
      <c r="I9207" t="inlineStr">
        <is>
          <t>Nr</t>
        </is>
      </c>
      <c r="J9207" t="inlineStr"/>
      <c r="K9207" t="inlineStr"/>
      <c r="L9207" t="inlineStr">
        <is>
          <t>OMH84087.1 Retrotransposon-derived protein PEG10, partial [Zancudomyces culisetae]</t>
        </is>
      </c>
      <c r="M9207" t="n">
        <v>687</v>
      </c>
      <c r="N9207" t="inlineStr">
        <is>
          <t>Zancudomyces culisetae</t>
        </is>
      </c>
      <c r="O9207" t="inlineStr">
        <is>
          <t>Retrotransposon-derived protein PEG10, partial</t>
        </is>
      </c>
    </row>
    <row r="9208">
      <c r="A9208" t="inlineStr"/>
      <c r="B9208" t="inlineStr"/>
      <c r="C9208" t="inlineStr"/>
      <c r="D9208" t="inlineStr"/>
      <c r="E9208">
        <f>HYPERLINK("https://www.ncbi.nlm.nih.gov/gene/?term=AAH87517.1", "AAH87517.1")</f>
        <v/>
      </c>
      <c r="F9208" t="n">
        <v>37.4</v>
      </c>
      <c r="G9208" t="n">
        <v>214</v>
      </c>
      <c r="H9208" t="n">
        <v>5.84e-39</v>
      </c>
      <c r="I9208" t="inlineStr">
        <is>
          <t>Nr</t>
        </is>
      </c>
      <c r="J9208" t="inlineStr"/>
      <c r="K9208" t="inlineStr"/>
      <c r="L9208" t="inlineStr">
        <is>
          <t>AAH87517.1 LOC496091 protein, partial [Xenopus laevis]</t>
        </is>
      </c>
      <c r="M9208" t="n">
        <v>225</v>
      </c>
      <c r="N9208" t="inlineStr">
        <is>
          <t>Xenopus laevis</t>
        </is>
      </c>
      <c r="O9208" t="inlineStr">
        <is>
          <t>LOC496091 protein, partial</t>
        </is>
      </c>
    </row>
    <row r="9209">
      <c r="A9209" t="inlineStr"/>
      <c r="B9209" t="inlineStr"/>
      <c r="C9209" t="inlineStr"/>
      <c r="D9209" t="inlineStr"/>
      <c r="E9209">
        <f>HYPERLINK("https://www.ncbi.nlm.nih.gov/gene/?term=KAI3652905.1", "KAI3652905.1")</f>
        <v/>
      </c>
      <c r="F9209" t="n">
        <v>33.2</v>
      </c>
      <c r="G9209" t="n">
        <v>352</v>
      </c>
      <c r="H9209" t="n">
        <v>1.49e-38</v>
      </c>
      <c r="I9209" t="inlineStr">
        <is>
          <t>Nr</t>
        </is>
      </c>
      <c r="J9209" t="inlineStr"/>
      <c r="K9209" t="inlineStr"/>
      <c r="L9209" t="inlineStr">
        <is>
          <t>KAI3652905.1 hypothetical protein MP228_002330 [Amoeboaphelidium protococcarum]</t>
        </is>
      </c>
      <c r="M9209" t="n">
        <v>1499</v>
      </c>
      <c r="N9209" t="inlineStr">
        <is>
          <t>Amoeboaphelidium protococcarum</t>
        </is>
      </c>
      <c r="O9209" t="inlineStr">
        <is>
          <t>hypothetical protein MP228_002330</t>
        </is>
      </c>
    </row>
    <row r="9210">
      <c r="A9210" t="inlineStr"/>
      <c r="B9210" t="inlineStr"/>
      <c r="C9210" t="inlineStr"/>
      <c r="D9210" t="inlineStr"/>
      <c r="E9210">
        <f>HYPERLINK("https://www.ncbi.nlm.nih.gov/gene/?term=OMH79863.1", "OMH79863.1")</f>
        <v/>
      </c>
      <c r="F9210" t="n">
        <v>30.8</v>
      </c>
      <c r="G9210" t="n">
        <v>321</v>
      </c>
      <c r="H9210" t="n">
        <v>6.9e-38</v>
      </c>
      <c r="I9210" t="inlineStr">
        <is>
          <t>Nr</t>
        </is>
      </c>
      <c r="J9210" t="inlineStr"/>
      <c r="K9210" t="inlineStr"/>
      <c r="L9210" t="inlineStr">
        <is>
          <t>OMH79863.1 Retrotransposon-derived protein PEG10, partial [Zancudomyces culisetae]</t>
        </is>
      </c>
      <c r="M9210" t="n">
        <v>759</v>
      </c>
      <c r="N9210" t="inlineStr">
        <is>
          <t>Zancudomyces culisetae</t>
        </is>
      </c>
      <c r="O9210" t="inlineStr">
        <is>
          <t>Retrotransposon-derived protein PEG10, partial</t>
        </is>
      </c>
    </row>
    <row r="9211">
      <c r="A9211" t="inlineStr"/>
      <c r="B9211" t="inlineStr"/>
      <c r="C9211" t="inlineStr"/>
      <c r="D9211" t="inlineStr"/>
      <c r="E9211">
        <f>HYPERLINK("https://www.ncbi.nlm.nih.gov/gene/?term=CAG8757098.1", "CAG8757098.1")</f>
        <v/>
      </c>
      <c r="F9211" t="n">
        <v>32.1</v>
      </c>
      <c r="G9211" t="n">
        <v>333</v>
      </c>
      <c r="H9211" t="n">
        <v>2.64e-37</v>
      </c>
      <c r="I9211" t="inlineStr">
        <is>
          <t>Nr</t>
        </is>
      </c>
      <c r="J9211" t="inlineStr"/>
      <c r="K9211" t="inlineStr"/>
      <c r="L9211" t="inlineStr">
        <is>
          <t>CAG8757098.1 23693_t:CDS:2, partial [Cetraspora pellucida]</t>
        </is>
      </c>
      <c r="M9211" t="n">
        <v>471</v>
      </c>
      <c r="N9211" t="inlineStr">
        <is>
          <t>Cetraspora pellucida</t>
        </is>
      </c>
      <c r="O9211" t="inlineStr">
        <is>
          <t>23693_t:CDS:2, partial</t>
        </is>
      </c>
    </row>
    <row r="9212">
      <c r="A9212" t="inlineStr"/>
      <c r="B9212" t="inlineStr"/>
      <c r="C9212" t="inlineStr"/>
      <c r="D9212" t="inlineStr"/>
      <c r="E9212">
        <f>HYPERLINK("https://www.ncbi.nlm.nih.gov/gene/?term=OMJ17865.1", "OMJ17865.1")</f>
        <v/>
      </c>
      <c r="F9212" t="n">
        <v>30.6</v>
      </c>
      <c r="G9212" t="n">
        <v>350</v>
      </c>
      <c r="H9212" t="n">
        <v>7.37e-37</v>
      </c>
      <c r="I9212" t="inlineStr">
        <is>
          <t>Nr</t>
        </is>
      </c>
      <c r="J9212" t="inlineStr"/>
      <c r="K9212" t="inlineStr"/>
      <c r="L9212" t="inlineStr">
        <is>
          <t>OMJ17865.1 Retrotransposon-derived protein PEG10, partial [Smittium culicis]</t>
        </is>
      </c>
      <c r="M9212" t="n">
        <v>382</v>
      </c>
      <c r="N9212" t="inlineStr">
        <is>
          <t>Smittium culicis</t>
        </is>
      </c>
      <c r="O9212" t="inlineStr">
        <is>
          <t>Retrotransposon-derived protein PEG10, partial</t>
        </is>
      </c>
    </row>
    <row r="9213">
      <c r="A9213" t="inlineStr"/>
      <c r="B9213" t="inlineStr"/>
      <c r="C9213" t="inlineStr"/>
      <c r="D9213" t="inlineStr"/>
      <c r="E9213">
        <f>HYPERLINK("https://www.ncbi.nlm.nih.gov/gene/?term=KAH9556606.1", "KAH9556606.1")</f>
        <v/>
      </c>
      <c r="F9213" t="n">
        <v>38.4</v>
      </c>
      <c r="G9213" t="n">
        <v>245</v>
      </c>
      <c r="H9213" t="n">
        <v>1.16e-36</v>
      </c>
      <c r="I9213" t="inlineStr">
        <is>
          <t>Nr</t>
        </is>
      </c>
      <c r="J9213" t="inlineStr"/>
      <c r="K9213" t="inlineStr"/>
      <c r="L9213" t="inlineStr">
        <is>
          <t>KAH9556606.1 hypothetical protein CY35_07G038300 [Sphagnum magellanicum]</t>
        </is>
      </c>
      <c r="M9213" t="n">
        <v>356</v>
      </c>
      <c r="N9213" t="inlineStr">
        <is>
          <t>Sphagnum magellanicum</t>
        </is>
      </c>
      <c r="O9213" t="inlineStr">
        <is>
          <t>hypothetical protein CY35_07G038300</t>
        </is>
      </c>
    </row>
    <row r="9214">
      <c r="A9214" t="inlineStr"/>
      <c r="B9214" t="inlineStr"/>
      <c r="C9214" t="inlineStr"/>
      <c r="D9214" t="inlineStr"/>
      <c r="E9214">
        <f>HYPERLINK("https://www.ncbi.nlm.nih.gov/gene/?term=XP_046903459.1", "XP_046903459.1")</f>
        <v/>
      </c>
      <c r="F9214" t="n">
        <v>36.2</v>
      </c>
      <c r="G9214" t="n">
        <v>246</v>
      </c>
      <c r="H9214" t="n">
        <v>1.52e-36</v>
      </c>
      <c r="I9214" t="inlineStr">
        <is>
          <t>Nr</t>
        </is>
      </c>
      <c r="J9214" t="inlineStr"/>
      <c r="K9214" t="inlineStr"/>
      <c r="L9214" t="inlineStr">
        <is>
          <t>XP_046903459.1 uncharacterized protein LOC124485733 [Hypomesus transpacificus]</t>
        </is>
      </c>
      <c r="M9214" t="n">
        <v>323</v>
      </c>
      <c r="N9214" t="inlineStr">
        <is>
          <t>Hypomesus transpacificus</t>
        </is>
      </c>
      <c r="O9214" t="inlineStr">
        <is>
          <t>uncharacterized protein LOC124485733</t>
        </is>
      </c>
    </row>
    <row r="9215">
      <c r="A9215" t="inlineStr"/>
      <c r="B9215" t="inlineStr"/>
      <c r="C9215" t="inlineStr"/>
      <c r="D9215" t="inlineStr"/>
      <c r="E9215">
        <f>HYPERLINK("https://www.uniprot.org/uniprotkb/Q86TG7/entry", "Q86TG7")</f>
        <v/>
      </c>
      <c r="F9215" t="n">
        <v>30.6</v>
      </c>
      <c r="G9215" t="n">
        <v>330</v>
      </c>
      <c r="H9215" t="n">
        <v>1.55e-36</v>
      </c>
      <c r="I9215" t="inlineStr">
        <is>
          <t>Swiss-Prot</t>
        </is>
      </c>
      <c r="J9215" t="inlineStr">
        <is>
          <t>PEG10</t>
        </is>
      </c>
      <c r="K9215" t="inlineStr">
        <is>
          <t>PEG10_HUMAN</t>
        </is>
      </c>
      <c r="L9215" t="inlineStr">
        <is>
          <t>sp|Q86TG7|PEG10_HUMAN Retrotransposon-derived protein PEG10 OS=Homo sapiens OX=9606 GN=PEG10 PE=1 SV=2</t>
        </is>
      </c>
      <c r="M9215" t="n">
        <v>708</v>
      </c>
      <c r="N9215" t="inlineStr">
        <is>
          <t>Homo sapiens</t>
        </is>
      </c>
      <c r="O9215" t="inlineStr">
        <is>
          <t>Retrotransposon-derived protein PEG10</t>
        </is>
      </c>
    </row>
    <row r="9216">
      <c r="A9216" t="inlineStr"/>
      <c r="B9216" t="inlineStr"/>
      <c r="C9216" t="inlineStr"/>
      <c r="D9216" t="inlineStr"/>
      <c r="E9216">
        <f>HYPERLINK("https://www.ncbi.nlm.nih.gov/gene/?term=XP_048292911.1", "XP_048292911.1")</f>
        <v/>
      </c>
      <c r="F9216" t="n">
        <v>32.6</v>
      </c>
      <c r="G9216" t="n">
        <v>331</v>
      </c>
      <c r="H9216" t="n">
        <v>2.25e-36</v>
      </c>
      <c r="I9216" t="inlineStr">
        <is>
          <t>Nr</t>
        </is>
      </c>
      <c r="J9216" t="inlineStr"/>
      <c r="K9216" t="inlineStr"/>
      <c r="L9216" t="inlineStr">
        <is>
          <t>XP_048292911.1 LOW QUALITY PROTEIN: retrotransposon-derived protein PEG10 [Myodes glareolus]</t>
        </is>
      </c>
      <c r="M9216" t="n">
        <v>778</v>
      </c>
      <c r="N9216" t="inlineStr">
        <is>
          <t>Myodes glareolus</t>
        </is>
      </c>
      <c r="O9216" t="inlineStr">
        <is>
          <t>LOW QUALITY PROTEIN: retrotransposon-derived protein PEG10</t>
        </is>
      </c>
    </row>
    <row r="9217">
      <c r="A9217" t="inlineStr"/>
      <c r="B9217" t="inlineStr"/>
      <c r="C9217" t="inlineStr"/>
      <c r="D9217" t="inlineStr"/>
      <c r="E9217">
        <f>HYPERLINK("https://www.uniprot.org/uniprotkb/Q7TN75/entry", "Q7TN75")</f>
        <v/>
      </c>
      <c r="F9217" t="n">
        <v>31.5</v>
      </c>
      <c r="G9217" t="n">
        <v>327</v>
      </c>
      <c r="H9217" t="n">
        <v>1.46e-35</v>
      </c>
      <c r="I9217" t="inlineStr">
        <is>
          <t>Swiss-Prot</t>
        </is>
      </c>
      <c r="J9217" t="inlineStr">
        <is>
          <t>Peg10</t>
        </is>
      </c>
      <c r="K9217" t="inlineStr">
        <is>
          <t>PEG10_MOUSE</t>
        </is>
      </c>
      <c r="L9217" t="inlineStr">
        <is>
          <t>sp|Q7TN75|PEG10_MOUSE Retrotransposon-derived protein PEG10 OS=Mus musculus OX=10090 GN=Peg10 PE=1 SV=2</t>
        </is>
      </c>
      <c r="M9217" t="n">
        <v>958</v>
      </c>
      <c r="N9217" t="inlineStr">
        <is>
          <t>Mus musculus</t>
        </is>
      </c>
      <c r="O9217" t="inlineStr">
        <is>
          <t>Retrotransposon-derived protein PEG10</t>
        </is>
      </c>
    </row>
    <row r="9218">
      <c r="A9218" t="inlineStr"/>
      <c r="B9218" t="inlineStr"/>
      <c r="C9218" t="inlineStr"/>
      <c r="D9218" t="inlineStr"/>
      <c r="E9218">
        <f>HYPERLINK("https://www.uniprot.org/uniprotkb/Q52QI2/entry", "Q52QI2")</f>
        <v/>
      </c>
      <c r="F9218" t="n">
        <v>25.3</v>
      </c>
      <c r="G9218" t="n">
        <v>316</v>
      </c>
      <c r="H9218" t="n">
        <v>7.42e-17</v>
      </c>
      <c r="I9218" t="inlineStr">
        <is>
          <t>Swiss-Prot</t>
        </is>
      </c>
      <c r="J9218" t="inlineStr">
        <is>
          <t>RTL1</t>
        </is>
      </c>
      <c r="K9218" t="inlineStr">
        <is>
          <t>RTL1_BOVIN</t>
        </is>
      </c>
      <c r="L9218" t="inlineStr">
        <is>
          <t>sp|Q52QI2|RTL1_BOVIN Retrotransposon-like protein 1 OS=Bos taurus OX=9913 GN=RTL1 PE=2 SV=2</t>
        </is>
      </c>
      <c r="M9218" t="n">
        <v>1331</v>
      </c>
      <c r="N9218" t="inlineStr">
        <is>
          <t>Bos taurus</t>
        </is>
      </c>
      <c r="O9218" t="inlineStr">
        <is>
          <t>Retrotransposon-like protein 1</t>
        </is>
      </c>
    </row>
    <row r="9219">
      <c r="A9219" t="inlineStr"/>
      <c r="B9219" t="inlineStr"/>
      <c r="C9219" t="inlineStr"/>
      <c r="D9219" t="inlineStr"/>
      <c r="E9219">
        <f>HYPERLINK("https://www.uniprot.org/uniprotkb/Q7M732/entry", "Q7M732")</f>
        <v/>
      </c>
      <c r="F9219" t="n">
        <v>24.2</v>
      </c>
      <c r="G9219" t="n">
        <v>310</v>
      </c>
      <c r="H9219" t="n">
        <v>2.58e-15</v>
      </c>
      <c r="I9219" t="inlineStr">
        <is>
          <t>Swiss-Prot</t>
        </is>
      </c>
      <c r="J9219" t="inlineStr">
        <is>
          <t>Rtl1</t>
        </is>
      </c>
      <c r="K9219" t="inlineStr">
        <is>
          <t>RTL1_MOUSE</t>
        </is>
      </c>
      <c r="L9219" t="inlineStr">
        <is>
          <t>sp|Q7M732|RTL1_MOUSE Retrotransposon-like protein 1 OS=Mus musculus OX=10090 GN=Rtl1 PE=2 SV=1</t>
        </is>
      </c>
      <c r="M9219" t="n">
        <v>1744</v>
      </c>
      <c r="N9219" t="inlineStr">
        <is>
          <t>Mus musculus</t>
        </is>
      </c>
      <c r="O9219" t="inlineStr">
        <is>
          <t>Retrotransposon-like protein 1</t>
        </is>
      </c>
    </row>
    <row r="9220">
      <c r="A9220" t="inlineStr"/>
      <c r="B9220" t="inlineStr"/>
      <c r="C9220" t="inlineStr"/>
      <c r="D9220" t="inlineStr"/>
      <c r="E9220">
        <f>HYPERLINK("https://www.uniprot.org/uniprotkb/A6NKG5/entry", "A6NKG5")</f>
        <v/>
      </c>
      <c r="F9220" t="n">
        <v>23.7</v>
      </c>
      <c r="G9220" t="n">
        <v>317</v>
      </c>
      <c r="H9220" t="n">
        <v>5.87e-15</v>
      </c>
      <c r="I9220" t="inlineStr">
        <is>
          <t>Swiss-Prot</t>
        </is>
      </c>
      <c r="J9220" t="inlineStr">
        <is>
          <t>RTL1</t>
        </is>
      </c>
      <c r="K9220" t="inlineStr">
        <is>
          <t>RTL1_HUMAN</t>
        </is>
      </c>
      <c r="L9220" t="inlineStr">
        <is>
          <t>sp|A6NKG5|RTL1_HUMAN Retrotransposon-like protein 1 OS=Homo sapiens OX=9606 GN=RTL1 PE=3 SV=3</t>
        </is>
      </c>
      <c r="M9220" t="n">
        <v>1358</v>
      </c>
      <c r="N9220" t="inlineStr">
        <is>
          <t>Homo sapiens</t>
        </is>
      </c>
      <c r="O9220" t="inlineStr">
        <is>
          <t>Retrotransposon-like protein 1</t>
        </is>
      </c>
    </row>
    <row r="9221">
      <c r="A9221" t="inlineStr"/>
      <c r="B9221" t="inlineStr"/>
      <c r="C9221" t="inlineStr"/>
      <c r="D9221" t="inlineStr"/>
      <c r="E9221">
        <f>HYPERLINK("https://www.uniprot.org/uniprotkb/Q8N8U3/entry", "Q8N8U3")</f>
        <v/>
      </c>
      <c r="F9221" t="n">
        <v>24.4</v>
      </c>
      <c r="G9221" t="n">
        <v>238</v>
      </c>
      <c r="H9221" t="n">
        <v>1.57e-11</v>
      </c>
      <c r="I9221" t="inlineStr">
        <is>
          <t>Swiss-Prot</t>
        </is>
      </c>
      <c r="J9221" t="inlineStr">
        <is>
          <t>RTL3</t>
        </is>
      </c>
      <c r="K9221" t="inlineStr">
        <is>
          <t>RTL3_HUMAN</t>
        </is>
      </c>
      <c r="L9221" t="inlineStr">
        <is>
          <t>sp|Q8N8U3|RTL3_HUMAN Retrotransposon Gag-like protein 3 OS=Homo sapiens OX=9606 GN=RTL3 PE=2 SV=1</t>
        </is>
      </c>
      <c r="M9221" t="n">
        <v>475</v>
      </c>
      <c r="N9221" t="inlineStr">
        <is>
          <t>Homo sapiens</t>
        </is>
      </c>
      <c r="O9221" t="inlineStr">
        <is>
          <t>Retrotransposon Gag-like protein 3</t>
        </is>
      </c>
    </row>
    <row r="9222">
      <c r="A9222" t="inlineStr"/>
      <c r="B9222" t="inlineStr"/>
      <c r="C9222" t="inlineStr"/>
      <c r="D9222" t="inlineStr"/>
      <c r="E9222">
        <f>HYPERLINK("https://www.uniprot.org/uniprotkb/Q6P1Y1/entry", "Q6P1Y1")</f>
        <v/>
      </c>
      <c r="F9222" t="n">
        <v>25.1</v>
      </c>
      <c r="G9222" t="n">
        <v>207</v>
      </c>
      <c r="H9222" t="n">
        <v>2.36e-11</v>
      </c>
      <c r="I9222" t="inlineStr">
        <is>
          <t>Swiss-Prot</t>
        </is>
      </c>
      <c r="J9222" t="inlineStr">
        <is>
          <t>Rtl3</t>
        </is>
      </c>
      <c r="K9222" t="inlineStr">
        <is>
          <t>RTL3_MOUSE</t>
        </is>
      </c>
      <c r="L9222" t="inlineStr">
        <is>
          <t>sp|Q6P1Y1|RTL3_MOUSE Retrotransposon Gag-like protein 3 OS=Mus musculus OX=10090 GN=Rtl3 PE=1 SV=1</t>
        </is>
      </c>
      <c r="M9222" t="n">
        <v>553</v>
      </c>
      <c r="N9222" t="inlineStr">
        <is>
          <t>Mus musculus</t>
        </is>
      </c>
      <c r="O9222" t="inlineStr">
        <is>
          <t>Retrotransposon Gag-like protein 3</t>
        </is>
      </c>
    </row>
    <row r="9223">
      <c r="A9223" t="inlineStr"/>
      <c r="B9223" t="inlineStr"/>
      <c r="C9223" t="inlineStr"/>
      <c r="D9223" t="inlineStr"/>
      <c r="E9223">
        <f>HYPERLINK("https://www.uniprot.org/uniprotkb/Q3URY0/entry", "Q3URY0")</f>
        <v/>
      </c>
      <c r="F9223" t="n">
        <v>23.7</v>
      </c>
      <c r="G9223" t="n">
        <v>236</v>
      </c>
      <c r="H9223" t="n">
        <v>2.61e-10</v>
      </c>
      <c r="I9223" t="inlineStr">
        <is>
          <t>Swiss-Prot</t>
        </is>
      </c>
      <c r="J9223" t="inlineStr">
        <is>
          <t>Rtl4</t>
        </is>
      </c>
      <c r="K9223" t="inlineStr">
        <is>
          <t>RTL4_MOUSE</t>
        </is>
      </c>
      <c r="L9223" t="inlineStr">
        <is>
          <t>sp|Q3URY0|RTL4_MOUSE Retrotransposon Gag-like protein 4 OS=Mus musculus OX=10090 GN=Rtl4 PE=2 SV=1</t>
        </is>
      </c>
      <c r="M9223" t="n">
        <v>304</v>
      </c>
      <c r="N9223" t="inlineStr">
        <is>
          <t>Mus musculus</t>
        </is>
      </c>
      <c r="O9223" t="inlineStr">
        <is>
          <t>Retrotransposon Gag-like protein 4</t>
        </is>
      </c>
    </row>
    <row r="9224">
      <c r="A9224" t="inlineStr"/>
      <c r="B9224" t="inlineStr"/>
      <c r="C9224" t="inlineStr"/>
      <c r="D9224" t="inlineStr"/>
      <c r="E9224">
        <f>HYPERLINK("https://www.uniprot.org/uniprotkb/Q5DTT4/entry", "Q5DTT4")</f>
        <v/>
      </c>
      <c r="F9224" t="n">
        <v>27.7</v>
      </c>
      <c r="G9224" t="n">
        <v>159</v>
      </c>
      <c r="H9224" t="n">
        <v>5.82e-10</v>
      </c>
      <c r="I9224" t="inlineStr">
        <is>
          <t>Swiss-Prot</t>
        </is>
      </c>
      <c r="J9224" t="inlineStr">
        <is>
          <t>Rtl5</t>
        </is>
      </c>
      <c r="K9224" t="inlineStr">
        <is>
          <t>RTL5_MOUSE</t>
        </is>
      </c>
      <c r="L9224" t="inlineStr">
        <is>
          <t>sp|Q5DTT4|RTL5_MOUSE Retrotransposon Gag-like protein 5 OS=Mus musculus OX=10090 GN=Rtl5 PE=2 SV=2</t>
        </is>
      </c>
      <c r="M9224" t="n">
        <v>599</v>
      </c>
      <c r="N9224" t="inlineStr">
        <is>
          <t>Mus musculus</t>
        </is>
      </c>
      <c r="O9224" t="inlineStr">
        <is>
          <t>Retrotransposon Gag-like protein 5</t>
        </is>
      </c>
    </row>
    <row r="9225">
      <c r="A9225" t="inlineStr"/>
      <c r="B9225" t="inlineStr"/>
      <c r="C9225" t="inlineStr"/>
      <c r="D9225" t="inlineStr"/>
      <c r="E9225">
        <f>HYPERLINK("https://www.uniprot.org/uniprotkb/Q6ZR62/entry", "Q6ZR62")</f>
        <v/>
      </c>
      <c r="F9225" t="n">
        <v>22.7</v>
      </c>
      <c r="G9225" t="n">
        <v>269</v>
      </c>
      <c r="H9225" t="n">
        <v>2.13e-09</v>
      </c>
      <c r="I9225" t="inlineStr">
        <is>
          <t>Swiss-Prot</t>
        </is>
      </c>
      <c r="J9225" t="inlineStr">
        <is>
          <t>RTL4</t>
        </is>
      </c>
      <c r="K9225" t="inlineStr">
        <is>
          <t>RTL4_HUMAN</t>
        </is>
      </c>
      <c r="L9225" t="inlineStr">
        <is>
          <t>sp|Q6ZR62|RTL4_HUMAN Retrotransposon Gag-like protein 4 OS=Homo sapiens OX=9606 GN=RTL4 PE=1 SV=2</t>
        </is>
      </c>
      <c r="M9225" t="n">
        <v>310</v>
      </c>
      <c r="N9225" t="inlineStr">
        <is>
          <t>Homo sapiens</t>
        </is>
      </c>
      <c r="O9225" t="inlineStr">
        <is>
          <t>Retrotransposon Gag-like protein 4</t>
        </is>
      </c>
    </row>
    <row r="9226">
      <c r="A9226" t="inlineStr"/>
      <c r="B9226" t="inlineStr"/>
      <c r="C9226" t="inlineStr"/>
      <c r="D9226" t="inlineStr"/>
      <c r="E9226">
        <f>HYPERLINK("https://www.uniprot.org/uniprotkb/Q5HYW3/entry", "Q5HYW3")</f>
        <v/>
      </c>
      <c r="F9226" t="n">
        <v>27</v>
      </c>
      <c r="G9226" t="n">
        <v>159</v>
      </c>
      <c r="H9226" t="n">
        <v>9.81e-09</v>
      </c>
      <c r="I9226" t="inlineStr">
        <is>
          <t>Swiss-Prot</t>
        </is>
      </c>
      <c r="J9226" t="inlineStr">
        <is>
          <t>RTL5</t>
        </is>
      </c>
      <c r="K9226" t="inlineStr">
        <is>
          <t>RTL5_HUMAN</t>
        </is>
      </c>
      <c r="L9226" t="inlineStr">
        <is>
          <t>sp|Q5HYW3|RTL5_HUMAN Retrotransposon Gag-like protein 5 OS=Homo sapiens OX=9606 GN=RTL5 PE=2 SV=1</t>
        </is>
      </c>
      <c r="M9226" t="n">
        <v>569</v>
      </c>
      <c r="N9226" t="inlineStr">
        <is>
          <t>Homo sapiens</t>
        </is>
      </c>
      <c r="O9226" t="inlineStr">
        <is>
          <t>Retrotransposon Gag-like protein 5</t>
        </is>
      </c>
    </row>
    <row r="9227">
      <c r="A9227" t="inlineStr"/>
      <c r="B9227" t="inlineStr"/>
      <c r="C9227" t="inlineStr"/>
      <c r="D9227" t="inlineStr"/>
      <c r="E9227">
        <f>HYPERLINK("https://www.uniprot.org/uniprotkb/Q6ICC9/entry", "Q6ICC9")</f>
        <v/>
      </c>
      <c r="F9227" t="n">
        <v>26.7</v>
      </c>
      <c r="G9227" t="n">
        <v>86</v>
      </c>
      <c r="H9227" t="n">
        <v>0.000706</v>
      </c>
      <c r="I9227" t="inlineStr">
        <is>
          <t>Swiss-Prot</t>
        </is>
      </c>
      <c r="J9227" t="inlineStr">
        <is>
          <t>RTL6</t>
        </is>
      </c>
      <c r="K9227" t="inlineStr">
        <is>
          <t>RTL6_HUMAN</t>
        </is>
      </c>
      <c r="L9227" t="inlineStr">
        <is>
          <t>sp|Q6ICC9|RTL6_HUMAN Retrotransposon Gag-like protein 6 OS=Homo sapiens OX=9606 GN=RTL6 PE=2 SV=1</t>
        </is>
      </c>
      <c r="M9227" t="n">
        <v>239</v>
      </c>
      <c r="N9227" t="inlineStr">
        <is>
          <t>Homo sapiens</t>
        </is>
      </c>
      <c r="O9227" t="inlineStr">
        <is>
          <t>Retrotransposon Gag-like protein 6</t>
        </is>
      </c>
    </row>
    <row r="9228">
      <c r="A9228" t="inlineStr"/>
      <c r="B9228" t="inlineStr"/>
      <c r="C9228" t="inlineStr"/>
      <c r="D9228" t="inlineStr"/>
      <c r="E9228">
        <f>HYPERLINK("https://www.uniprot.org/uniprotkb/Q505G4/entry", "Q505G4")</f>
        <v/>
      </c>
      <c r="F9228" t="n">
        <v>26.7</v>
      </c>
      <c r="G9228" t="n">
        <v>86</v>
      </c>
      <c r="H9228" t="n">
        <v>0.000724</v>
      </c>
      <c r="I9228" t="inlineStr">
        <is>
          <t>Swiss-Prot</t>
        </is>
      </c>
      <c r="J9228" t="inlineStr">
        <is>
          <t>Rtl6</t>
        </is>
      </c>
      <c r="K9228" t="inlineStr">
        <is>
          <t>RTL6_MOUSE</t>
        </is>
      </c>
      <c r="L9228" t="inlineStr">
        <is>
          <t>sp|Q505G4|RTL6_MOUSE Retrotransposon Gag-like protein 6 OS=Mus musculus OX=10090 GN=Rtl6 PE=2 SV=1</t>
        </is>
      </c>
      <c r="M9228" t="n">
        <v>243</v>
      </c>
      <c r="N9228" t="inlineStr">
        <is>
          <t>Mus musculus</t>
        </is>
      </c>
      <c r="O9228" t="inlineStr">
        <is>
          <t>Retrotransposon Gag-like protein 6</t>
        </is>
      </c>
    </row>
    <row r="9229">
      <c r="A9229" t="inlineStr"/>
      <c r="B9229" t="inlineStr"/>
      <c r="C9229" t="inlineStr"/>
      <c r="D9229" t="inlineStr"/>
      <c r="E9229">
        <f>HYPERLINK("https://www.uniprot.org/uniprotkb/Q7TPY9/entry", "Q7TPY9")</f>
        <v/>
      </c>
      <c r="F9229" t="n">
        <v>25.3</v>
      </c>
      <c r="G9229" t="n">
        <v>83</v>
      </c>
      <c r="H9229" t="n">
        <v>0.000953</v>
      </c>
      <c r="I9229" t="inlineStr">
        <is>
          <t>Swiss-Prot</t>
        </is>
      </c>
      <c r="J9229" t="inlineStr">
        <is>
          <t>Ldoc1</t>
        </is>
      </c>
      <c r="K9229" t="inlineStr">
        <is>
          <t>LDOC1_MOUSE</t>
        </is>
      </c>
      <c r="L9229" t="inlineStr">
        <is>
          <t>sp|Q7TPY9|LDOC1_MOUSE Protein LDOC1 OS=Mus musculus OX=10090 GN=Ldoc1 PE=2 SV=1</t>
        </is>
      </c>
      <c r="M9229" t="n">
        <v>151</v>
      </c>
      <c r="N9229" t="inlineStr">
        <is>
          <t>Mus musculus</t>
        </is>
      </c>
      <c r="O9229" t="inlineStr">
        <is>
          <t>Protein LDOC1</t>
        </is>
      </c>
    </row>
    <row r="9230">
      <c r="A9230" t="inlineStr">
        <is>
          <t>NODE_76638_length_2149_cov_323.676753_g10261_i3</t>
        </is>
      </c>
      <c r="B9230" t="inlineStr">
        <is>
          <t>bombina_pachypus_blastx</t>
        </is>
      </c>
      <c r="C9230" t="n">
        <v>-2.40919462984604</v>
      </c>
      <c r="D9230" t="n">
        <v>0.0291789354639866</v>
      </c>
      <c r="E9230">
        <f>HYPERLINK("https://www.uniprot.org/uniprotkb/P11048/entry", "P11048")</f>
        <v/>
      </c>
      <c r="F9230" t="n">
        <v>74.7</v>
      </c>
      <c r="G9230" t="n">
        <v>494</v>
      </c>
      <c r="H9230" t="n">
        <v>9.459999999999999e-224</v>
      </c>
      <c r="I9230" t="inlineStr">
        <is>
          <t>Swiss-Prot</t>
        </is>
      </c>
      <c r="J9230" t="inlineStr">
        <is>
          <t>lmna</t>
        </is>
      </c>
      <c r="K9230" t="inlineStr">
        <is>
          <t>LMNA_XENLA</t>
        </is>
      </c>
      <c r="L9230" t="inlineStr">
        <is>
          <t>sp|P11048|LMNA_XENLA Lamin-A OS=Xenopus laevis OX=8355 GN=lmna PE=2 SV=1</t>
        </is>
      </c>
      <c r="M9230" t="n">
        <v>665</v>
      </c>
      <c r="N9230" t="inlineStr">
        <is>
          <t>Xenopus laevis</t>
        </is>
      </c>
      <c r="O9230" t="inlineStr">
        <is>
          <t>Lamin-A</t>
        </is>
      </c>
    </row>
    <row r="9231">
      <c r="A9231" t="inlineStr"/>
      <c r="B9231" t="inlineStr"/>
      <c r="C9231" t="inlineStr"/>
      <c r="D9231" t="inlineStr"/>
      <c r="E9231">
        <f>HYPERLINK("https://www.ncbi.nlm.nih.gov/gene/?term=NP_001095210.1", "NP_001095210.1")</f>
        <v/>
      </c>
      <c r="F9231" t="n">
        <v>74.7</v>
      </c>
      <c r="G9231" t="n">
        <v>494</v>
      </c>
      <c r="H9231" t="n">
        <v>9.549999999999999e-221</v>
      </c>
      <c r="I9231" t="inlineStr">
        <is>
          <t>Nr</t>
        </is>
      </c>
      <c r="J9231" t="inlineStr"/>
      <c r="K9231" t="inlineStr"/>
      <c r="L9231" t="inlineStr">
        <is>
          <t>NP_001095210.1 lamin-A [Xenopus laevis]</t>
        </is>
      </c>
      <c r="M9231" t="n">
        <v>665</v>
      </c>
      <c r="N9231" t="inlineStr">
        <is>
          <t>Xenopus laevis</t>
        </is>
      </c>
      <c r="O9231" t="inlineStr">
        <is>
          <t>lamin-A</t>
        </is>
      </c>
    </row>
    <row r="9232">
      <c r="A9232" t="inlineStr"/>
      <c r="B9232" t="inlineStr"/>
      <c r="C9232" t="inlineStr"/>
      <c r="D9232" t="inlineStr"/>
      <c r="E9232">
        <f>HYPERLINK("https://www.uniprot.org/uniprotkb/Q28BY8/entry", "Q28BY8")</f>
        <v/>
      </c>
      <c r="F9232" t="n">
        <v>74.5</v>
      </c>
      <c r="G9232" t="n">
        <v>494</v>
      </c>
      <c r="H9232" t="n">
        <v>4.74e-220</v>
      </c>
      <c r="I9232" t="inlineStr">
        <is>
          <t>TrEMBL</t>
        </is>
      </c>
      <c r="J9232" t="inlineStr">
        <is>
          <t>lmna</t>
        </is>
      </c>
      <c r="K9232" t="inlineStr">
        <is>
          <t>Q28BY8_XENTR</t>
        </is>
      </c>
      <c r="L9232" t="inlineStr">
        <is>
          <t>tr|Q28BY8|Q28BY8_XENTR Lamin A/C OS=Xenopus tropicalis OX=8364 GN=lmna PE=2 SV=1</t>
        </is>
      </c>
      <c r="M9232" t="n">
        <v>668</v>
      </c>
      <c r="N9232" t="inlineStr">
        <is>
          <t>Xenopus tropicalis</t>
        </is>
      </c>
      <c r="O9232" t="inlineStr">
        <is>
          <t>Lamin A/C</t>
        </is>
      </c>
    </row>
    <row r="9233">
      <c r="A9233" t="inlineStr"/>
      <c r="B9233" t="inlineStr"/>
      <c r="C9233" t="inlineStr"/>
      <c r="D9233" t="inlineStr"/>
      <c r="E9233">
        <f>HYPERLINK("https://www.uniprot.org/uniprotkb/A0A803K9J4/entry", "A0A803K9J4")</f>
        <v/>
      </c>
      <c r="F9233" t="n">
        <v>74.5</v>
      </c>
      <c r="G9233" t="n">
        <v>494</v>
      </c>
      <c r="H9233" t="n">
        <v>7.609999999999999e-220</v>
      </c>
      <c r="I9233" t="inlineStr">
        <is>
          <t>TrEMBL</t>
        </is>
      </c>
      <c r="J9233" t="inlineStr">
        <is>
          <t>lmna</t>
        </is>
      </c>
      <c r="K9233" t="inlineStr">
        <is>
          <t>A0A803K9J4_XENTR</t>
        </is>
      </c>
      <c r="L9233" t="inlineStr">
        <is>
          <t>tr|A0A803K9J4|A0A803K9J4_XENTR Lamin A/C OS=Xenopus tropicalis OX=8364 GN=lmna PE=3 SV=1</t>
        </is>
      </c>
      <c r="M9233" t="n">
        <v>682</v>
      </c>
      <c r="N9233" t="inlineStr">
        <is>
          <t>Xenopus tropicalis</t>
        </is>
      </c>
      <c r="O9233" t="inlineStr">
        <is>
          <t>Lamin A/C</t>
        </is>
      </c>
    </row>
    <row r="9234">
      <c r="A9234" t="inlineStr"/>
      <c r="B9234" t="inlineStr"/>
      <c r="C9234" t="inlineStr"/>
      <c r="D9234" t="inlineStr"/>
      <c r="E9234">
        <f>HYPERLINK("https://www.ncbi.nlm.nih.gov/gene/?term=NP_001039148.1", "NP_001039148.1")</f>
        <v/>
      </c>
      <c r="F9234" t="n">
        <v>74.5</v>
      </c>
      <c r="G9234" t="n">
        <v>494</v>
      </c>
      <c r="H9234" t="n">
        <v>1.22e-219</v>
      </c>
      <c r="I9234" t="inlineStr">
        <is>
          <t>Nr</t>
        </is>
      </c>
      <c r="J9234" t="inlineStr"/>
      <c r="K9234" t="inlineStr"/>
      <c r="L9234" t="inlineStr">
        <is>
          <t>NP_001039148.1 lamin [Xenopus tropicalis]</t>
        </is>
      </c>
      <c r="M9234" t="n">
        <v>668</v>
      </c>
      <c r="N9234" t="inlineStr">
        <is>
          <t>Xenopus tropicalis</t>
        </is>
      </c>
      <c r="O9234" t="inlineStr">
        <is>
          <t>lamin</t>
        </is>
      </c>
    </row>
    <row r="9235">
      <c r="A9235" t="inlineStr"/>
      <c r="B9235" t="inlineStr"/>
      <c r="C9235" t="inlineStr"/>
      <c r="D9235" t="inlineStr"/>
      <c r="E9235">
        <f>HYPERLINK("https://www.ncbi.nlm.nih.gov/gene/?term=XP_040188664.1", "XP_040188664.1")</f>
        <v/>
      </c>
      <c r="F9235" t="n">
        <v>76.40000000000001</v>
      </c>
      <c r="G9235" t="n">
        <v>492</v>
      </c>
      <c r="H9235" t="n">
        <v>1.63e-214</v>
      </c>
      <c r="I9235" t="inlineStr">
        <is>
          <t>Nr</t>
        </is>
      </c>
      <c r="J9235" t="inlineStr"/>
      <c r="K9235" t="inlineStr"/>
      <c r="L9235" t="inlineStr">
        <is>
          <t>XP_040188664.1 lamin [Rana temporaria]</t>
        </is>
      </c>
      <c r="M9235" t="n">
        <v>656</v>
      </c>
      <c r="N9235" t="inlineStr">
        <is>
          <t>Rana temporaria</t>
        </is>
      </c>
      <c r="O9235" t="inlineStr">
        <is>
          <t>lamin</t>
        </is>
      </c>
    </row>
    <row r="9236">
      <c r="A9236" t="inlineStr"/>
      <c r="B9236" t="inlineStr"/>
      <c r="C9236" t="inlineStr"/>
      <c r="D9236" t="inlineStr"/>
      <c r="E9236">
        <f>HYPERLINK("https://www.uniprot.org/uniprotkb/K7G3U5/entry", "K7G3U5")</f>
        <v/>
      </c>
      <c r="F9236" t="n">
        <v>77.90000000000001</v>
      </c>
      <c r="G9236" t="n">
        <v>494</v>
      </c>
      <c r="H9236" t="n">
        <v>7.02e-213</v>
      </c>
      <c r="I9236" t="inlineStr">
        <is>
          <t>TrEMBL</t>
        </is>
      </c>
      <c r="J9236" t="inlineStr">
        <is>
          <t>LMNA</t>
        </is>
      </c>
      <c r="K9236" t="inlineStr">
        <is>
          <t>K7G3U5_PELSI</t>
        </is>
      </c>
      <c r="L9236" t="inlineStr">
        <is>
          <t>tr|K7G3U5|K7G3U5_PELSI Lamin A/C OS=Pelodiscus sinensis OX=13735 GN=LMNA PE=3 SV=1</t>
        </is>
      </c>
      <c r="M9236" t="n">
        <v>661</v>
      </c>
      <c r="N9236" t="inlineStr">
        <is>
          <t>Pelodiscus sinensis</t>
        </is>
      </c>
      <c r="O9236" t="inlineStr">
        <is>
          <t>Lamin A/C</t>
        </is>
      </c>
    </row>
    <row r="9237">
      <c r="A9237" t="inlineStr"/>
      <c r="B9237" t="inlineStr"/>
      <c r="C9237" t="inlineStr"/>
      <c r="D9237" t="inlineStr"/>
      <c r="E9237">
        <f>HYPERLINK("https://www.ncbi.nlm.nih.gov/gene/?term=XP_014424436.1", "XP_014424436.1")</f>
        <v/>
      </c>
      <c r="F9237" t="n">
        <v>77.90000000000001</v>
      </c>
      <c r="G9237" t="n">
        <v>494</v>
      </c>
      <c r="H9237" t="n">
        <v>1.8e-212</v>
      </c>
      <c r="I9237" t="inlineStr">
        <is>
          <t>Nr</t>
        </is>
      </c>
      <c r="J9237" t="inlineStr"/>
      <c r="K9237" t="inlineStr"/>
      <c r="L9237" t="inlineStr">
        <is>
          <t>XP_014424436.1 lamin [Pelodiscus sinensis]</t>
        </is>
      </c>
      <c r="M9237" t="n">
        <v>661</v>
      </c>
      <c r="N9237" t="inlineStr">
        <is>
          <t>Pelodiscus sinensis</t>
        </is>
      </c>
      <c r="O9237" t="inlineStr">
        <is>
          <t>lamin</t>
        </is>
      </c>
    </row>
    <row r="9238">
      <c r="A9238" t="inlineStr"/>
      <c r="B9238" t="inlineStr"/>
      <c r="C9238" t="inlineStr"/>
      <c r="D9238" t="inlineStr"/>
      <c r="E9238">
        <f>HYPERLINK("https://www.uniprot.org/uniprotkb/A0A6P7WPD3/entry", "A0A6P7WPD3")</f>
        <v/>
      </c>
      <c r="F9238" t="n">
        <v>80.7</v>
      </c>
      <c r="G9238" t="n">
        <v>492</v>
      </c>
      <c r="H9238" t="n">
        <v>2.56e-212</v>
      </c>
      <c r="I9238" t="inlineStr">
        <is>
          <t>TrEMBL</t>
        </is>
      </c>
      <c r="J9238" t="inlineStr">
        <is>
          <t>LMNA</t>
        </is>
      </c>
      <c r="K9238" t="inlineStr">
        <is>
          <t>A0A6P7WPD3_9AMPH</t>
        </is>
      </c>
      <c r="L9238" t="inlineStr">
        <is>
          <t>tr|A0A6P7WPD3|A0A6P7WPD3_9AMPH lamin OS=Microcaecilia unicolor OX=1415580 GN=LMNA PE=3 SV=1</t>
        </is>
      </c>
      <c r="M9238" t="n">
        <v>658</v>
      </c>
      <c r="N9238" t="inlineStr">
        <is>
          <t>Microcaecilia unicolor</t>
        </is>
      </c>
      <c r="O9238" t="inlineStr">
        <is>
          <t>lamin</t>
        </is>
      </c>
    </row>
    <row r="9239">
      <c r="A9239" t="inlineStr"/>
      <c r="B9239" t="inlineStr"/>
      <c r="C9239" t="inlineStr"/>
      <c r="D9239" t="inlineStr"/>
      <c r="E9239">
        <f>HYPERLINK("https://www.ncbi.nlm.nih.gov/gene/?term=XP_039368658.1", "XP_039368658.1")</f>
        <v/>
      </c>
      <c r="F9239" t="n">
        <v>75.09999999999999</v>
      </c>
      <c r="G9239" t="n">
        <v>493</v>
      </c>
      <c r="H9239" t="n">
        <v>5.25e-212</v>
      </c>
      <c r="I9239" t="inlineStr">
        <is>
          <t>Nr</t>
        </is>
      </c>
      <c r="J9239" t="inlineStr"/>
      <c r="K9239" t="inlineStr"/>
      <c r="L9239" t="inlineStr">
        <is>
          <t>XP_039368658.1 lamin isoform X2 [Mauremys reevesii]</t>
        </is>
      </c>
      <c r="M9239" t="n">
        <v>570</v>
      </c>
      <c r="N9239" t="inlineStr">
        <is>
          <t>Mauremys reevesii</t>
        </is>
      </c>
      <c r="O9239" t="inlineStr">
        <is>
          <t>lamin isoform X2</t>
        </is>
      </c>
    </row>
    <row r="9240">
      <c r="A9240" t="inlineStr"/>
      <c r="B9240" t="inlineStr"/>
      <c r="C9240" t="inlineStr"/>
      <c r="D9240" t="inlineStr"/>
      <c r="E9240">
        <f>HYPERLINK("https://www.ncbi.nlm.nih.gov/gene/?term=XP_030042233.1", "XP_030042233.1")</f>
        <v/>
      </c>
      <c r="F9240" t="n">
        <v>80.7</v>
      </c>
      <c r="G9240" t="n">
        <v>492</v>
      </c>
      <c r="H9240" t="n">
        <v>6.580000000000001e-212</v>
      </c>
      <c r="I9240" t="inlineStr">
        <is>
          <t>Nr</t>
        </is>
      </c>
      <c r="J9240" t="inlineStr"/>
      <c r="K9240" t="inlineStr"/>
      <c r="L9240" t="inlineStr">
        <is>
          <t>XP_030042233.1 lamin [Microcaecilia unicolor]</t>
        </is>
      </c>
      <c r="M9240" t="n">
        <v>658</v>
      </c>
      <c r="N9240" t="inlineStr">
        <is>
          <t>Microcaecilia unicolor</t>
        </is>
      </c>
      <c r="O9240" t="inlineStr">
        <is>
          <t>lamin</t>
        </is>
      </c>
    </row>
    <row r="9241">
      <c r="A9241" t="inlineStr"/>
      <c r="B9241" t="inlineStr"/>
      <c r="C9241" t="inlineStr"/>
      <c r="D9241" t="inlineStr"/>
      <c r="E9241">
        <f>HYPERLINK("https://www.uniprot.org/uniprotkb/A0A8C4YCA6/entry", "A0A8C4YCA6")</f>
        <v/>
      </c>
      <c r="F9241" t="n">
        <v>75.09999999999999</v>
      </c>
      <c r="G9241" t="n">
        <v>493</v>
      </c>
      <c r="H9241" t="n">
        <v>3.26e-211</v>
      </c>
      <c r="I9241" t="inlineStr">
        <is>
          <t>TrEMBL</t>
        </is>
      </c>
      <c r="J9241" t="inlineStr">
        <is>
          <t>LMNA</t>
        </is>
      </c>
      <c r="K9241" t="inlineStr">
        <is>
          <t>A0A8C4YCA6_9SAUR</t>
        </is>
      </c>
      <c r="L9241" t="inlineStr">
        <is>
          <t>tr|A0A8C4YCA6|A0A8C4YCA6_9SAUR Lamin A/C OS=Gopherus evgoodei OX=1825980 GN=LMNA PE=3 SV=1</t>
        </is>
      </c>
      <c r="M9241" t="n">
        <v>661</v>
      </c>
      <c r="N9241" t="inlineStr">
        <is>
          <t>Gopherus evgoodei</t>
        </is>
      </c>
      <c r="O9241" t="inlineStr">
        <is>
          <t>Lamin A/C</t>
        </is>
      </c>
    </row>
    <row r="9242">
      <c r="A9242" t="inlineStr"/>
      <c r="B9242" t="inlineStr"/>
      <c r="C9242" t="inlineStr"/>
      <c r="D9242" t="inlineStr"/>
      <c r="E9242">
        <f>HYPERLINK("https://www.uniprot.org/uniprotkb/A0A452IKZ5/entry", "A0A452IKZ5")</f>
        <v/>
      </c>
      <c r="F9242" t="n">
        <v>75.09999999999999</v>
      </c>
      <c r="G9242" t="n">
        <v>493</v>
      </c>
      <c r="H9242" t="n">
        <v>3.49e-211</v>
      </c>
      <c r="I9242" t="inlineStr">
        <is>
          <t>TrEMBL</t>
        </is>
      </c>
      <c r="J9242" t="inlineStr"/>
      <c r="K9242" t="inlineStr">
        <is>
          <t>A0A452IKZ5_9SAUR</t>
        </is>
      </c>
      <c r="L9242" t="inlineStr">
        <is>
          <t>tr|A0A452IKZ5|A0A452IKZ5_9SAUR Lamin A/C OS=Gopherus agassizii OX=38772 PE=3 SV=1</t>
        </is>
      </c>
      <c r="M9242" t="n">
        <v>663</v>
      </c>
      <c r="N9242" t="inlineStr">
        <is>
          <t>Gopherus agassizii</t>
        </is>
      </c>
      <c r="O9242" t="inlineStr">
        <is>
          <t>Lamin A/C</t>
        </is>
      </c>
    </row>
    <row r="9243">
      <c r="A9243" t="inlineStr"/>
      <c r="B9243" t="inlineStr"/>
      <c r="C9243" t="inlineStr"/>
      <c r="D9243" t="inlineStr"/>
      <c r="E9243">
        <f>HYPERLINK("https://www.ncbi.nlm.nih.gov/gene/?term=XP_053331048.1", "XP_053331048.1")</f>
        <v/>
      </c>
      <c r="F9243" t="n">
        <v>77</v>
      </c>
      <c r="G9243" t="n">
        <v>496</v>
      </c>
      <c r="H9243" t="n">
        <v>5.1e-211</v>
      </c>
      <c r="I9243" t="inlineStr">
        <is>
          <t>Nr</t>
        </is>
      </c>
      <c r="J9243" t="inlineStr"/>
      <c r="K9243" t="inlineStr"/>
      <c r="L9243" t="inlineStr">
        <is>
          <t>XP_053331048.1 lamin [Spea bombifrons]</t>
        </is>
      </c>
      <c r="M9243" t="n">
        <v>667</v>
      </c>
      <c r="N9243" t="inlineStr">
        <is>
          <t>Spea bombifrons</t>
        </is>
      </c>
      <c r="O9243" t="inlineStr">
        <is>
          <t>lamin</t>
        </is>
      </c>
    </row>
    <row r="9244">
      <c r="A9244" t="inlineStr"/>
      <c r="B9244" t="inlineStr"/>
      <c r="C9244" t="inlineStr"/>
      <c r="D9244" t="inlineStr"/>
      <c r="E9244">
        <f>HYPERLINK("https://www.ncbi.nlm.nih.gov/gene/?term=XP_018427062.1", "XP_018427062.1")</f>
        <v/>
      </c>
      <c r="F9244" t="n">
        <v>72.2</v>
      </c>
      <c r="G9244" t="n">
        <v>493</v>
      </c>
      <c r="H9244" t="n">
        <v>7.07e-211</v>
      </c>
      <c r="I9244" t="inlineStr">
        <is>
          <t>Nr</t>
        </is>
      </c>
      <c r="J9244" t="inlineStr"/>
      <c r="K9244" t="inlineStr"/>
      <c r="L9244" t="inlineStr">
        <is>
          <t>XP_018427062.1 PREDICTED: lamin [Nanorana parkeri]</t>
        </is>
      </c>
      <c r="M9244" t="n">
        <v>656</v>
      </c>
      <c r="N9244" t="inlineStr">
        <is>
          <t>Nanorana parkeri</t>
        </is>
      </c>
      <c r="O9244" t="inlineStr">
        <is>
          <t>PREDICTED: lamin</t>
        </is>
      </c>
    </row>
    <row r="9245">
      <c r="A9245" t="inlineStr"/>
      <c r="B9245" t="inlineStr"/>
      <c r="C9245" t="inlineStr"/>
      <c r="D9245" t="inlineStr"/>
      <c r="E9245">
        <f>HYPERLINK("https://www.ncbi.nlm.nih.gov/gene/?term=XP_030398182.1", "XP_030398182.1")</f>
        <v/>
      </c>
      <c r="F9245" t="n">
        <v>75.09999999999999</v>
      </c>
      <c r="G9245" t="n">
        <v>493</v>
      </c>
      <c r="H9245" t="n">
        <v>8.37e-211</v>
      </c>
      <c r="I9245" t="inlineStr">
        <is>
          <t>Nr</t>
        </is>
      </c>
      <c r="J9245" t="inlineStr"/>
      <c r="K9245" t="inlineStr"/>
      <c r="L9245" t="inlineStr">
        <is>
          <t>XP_030398182.1 lamin [Gopherus evgoodei]</t>
        </is>
      </c>
      <c r="M9245" t="n">
        <v>661</v>
      </c>
      <c r="N9245" t="inlineStr">
        <is>
          <t>Gopherus evgoodei</t>
        </is>
      </c>
      <c r="O9245" t="inlineStr">
        <is>
          <t>lamin</t>
        </is>
      </c>
    </row>
    <row r="9246">
      <c r="A9246" t="inlineStr"/>
      <c r="B9246" t="inlineStr"/>
      <c r="C9246" t="inlineStr"/>
      <c r="D9246" t="inlineStr"/>
      <c r="E9246">
        <f>HYPERLINK("https://www.ncbi.nlm.nih.gov/gene/?term=XP_039368653.1", "XP_039368653.1")</f>
        <v/>
      </c>
      <c r="F9246" t="n">
        <v>75.09999999999999</v>
      </c>
      <c r="G9246" t="n">
        <v>493</v>
      </c>
      <c r="H9246" t="n">
        <v>1.15e-210</v>
      </c>
      <c r="I9246" t="inlineStr">
        <is>
          <t>Nr</t>
        </is>
      </c>
      <c r="J9246" t="inlineStr"/>
      <c r="K9246" t="inlineStr"/>
      <c r="L9246" t="inlineStr">
        <is>
          <t>XP_039368653.1 lamin isoform X1 [Mauremys reevesii]</t>
        </is>
      </c>
      <c r="M9246" t="n">
        <v>660</v>
      </c>
      <c r="N9246" t="inlineStr">
        <is>
          <t>Mauremys reevesii</t>
        </is>
      </c>
      <c r="O9246" t="inlineStr">
        <is>
          <t>lamin isoform X1</t>
        </is>
      </c>
    </row>
    <row r="9247">
      <c r="A9247" t="inlineStr"/>
      <c r="B9247" t="inlineStr"/>
      <c r="C9247" t="inlineStr"/>
      <c r="D9247" t="inlineStr"/>
      <c r="E9247">
        <f>HYPERLINK("https://www.uniprot.org/uniprotkb/A0A4D9EH10/entry", "A0A4D9EH10")</f>
        <v/>
      </c>
      <c r="F9247" t="n">
        <v>73.8</v>
      </c>
      <c r="G9247" t="n">
        <v>493</v>
      </c>
      <c r="H9247" t="n">
        <v>1.32e-210</v>
      </c>
      <c r="I9247" t="inlineStr">
        <is>
          <t>TrEMBL</t>
        </is>
      </c>
      <c r="J9247" t="inlineStr">
        <is>
          <t>DR999_PMT10569</t>
        </is>
      </c>
      <c r="K9247" t="inlineStr">
        <is>
          <t>A0A4D9EH10_9SAUR</t>
        </is>
      </c>
      <c r="L9247" t="inlineStr">
        <is>
          <t>tr|A0A4D9EH10|A0A4D9EH10_9SAUR Eukaryotic peptide chain release factor GTP-binding subunit ERF3A OS=Platysternon megacephalum OX=55544 GN=DR999_PMT10569 PE=3 SV=1</t>
        </is>
      </c>
      <c r="M9247" t="n">
        <v>661</v>
      </c>
      <c r="N9247" t="inlineStr">
        <is>
          <t>Platysternon megacephalum</t>
        </is>
      </c>
      <c r="O9247" t="inlineStr">
        <is>
          <t>Eukaryotic peptide chain release factor GTP-binding subunit ERF3A</t>
        </is>
      </c>
    </row>
    <row r="9248">
      <c r="A9248" t="inlineStr"/>
      <c r="B9248" t="inlineStr"/>
      <c r="C9248" t="inlineStr"/>
      <c r="D9248" t="inlineStr"/>
      <c r="E9248">
        <f>HYPERLINK("https://www.uniprot.org/uniprotkb/A0A6P8PXU0/entry", "A0A6P8PXU0")</f>
        <v/>
      </c>
      <c r="F9248" t="n">
        <v>79.90000000000001</v>
      </c>
      <c r="G9248" t="n">
        <v>492</v>
      </c>
      <c r="H9248" t="n">
        <v>1.32e-210</v>
      </c>
      <c r="I9248" t="inlineStr">
        <is>
          <t>TrEMBL</t>
        </is>
      </c>
      <c r="J9248" t="inlineStr">
        <is>
          <t>LMNA</t>
        </is>
      </c>
      <c r="K9248" t="inlineStr">
        <is>
          <t>A0A6P8PXU0_GEOSA</t>
        </is>
      </c>
      <c r="L9248" t="inlineStr">
        <is>
          <t>tr|A0A6P8PXU0|A0A6P8PXU0_GEOSA lamin OS=Geotrypetes seraphini OX=260995 GN=LMNA PE=3 SV=1</t>
        </is>
      </c>
      <c r="M9248" t="n">
        <v>661</v>
      </c>
      <c r="N9248" t="inlineStr">
        <is>
          <t>Geotrypetes seraphini</t>
        </is>
      </c>
      <c r="O9248" t="inlineStr">
        <is>
          <t>lamin</t>
        </is>
      </c>
    </row>
    <row r="9249">
      <c r="A9249" t="inlineStr"/>
      <c r="B9249" t="inlineStr"/>
      <c r="C9249" t="inlineStr"/>
      <c r="D9249" t="inlineStr"/>
      <c r="E9249">
        <f>HYPERLINK("https://www.ncbi.nlm.nih.gov/gene/?term=XP_033779613.1", "XP_033779613.1")</f>
        <v/>
      </c>
      <c r="F9249" t="n">
        <v>79.90000000000001</v>
      </c>
      <c r="G9249" t="n">
        <v>492</v>
      </c>
      <c r="H9249" t="n">
        <v>3.380000000000001e-210</v>
      </c>
      <c r="I9249" t="inlineStr">
        <is>
          <t>Nr</t>
        </is>
      </c>
      <c r="J9249" t="inlineStr"/>
      <c r="K9249" t="inlineStr"/>
      <c r="L9249" t="inlineStr">
        <is>
          <t>XP_033779613.1 lamin [Geotrypetes seraphini]</t>
        </is>
      </c>
      <c r="M9249" t="n">
        <v>661</v>
      </c>
      <c r="N9249" t="inlineStr">
        <is>
          <t>Geotrypetes seraphini</t>
        </is>
      </c>
      <c r="O9249" t="inlineStr">
        <is>
          <t>lamin</t>
        </is>
      </c>
    </row>
    <row r="9250">
      <c r="A9250" t="inlineStr"/>
      <c r="B9250" t="inlineStr"/>
      <c r="C9250" t="inlineStr"/>
      <c r="D9250" t="inlineStr"/>
      <c r="E9250">
        <f>HYPERLINK("https://www.ncbi.nlm.nih.gov/gene/?term=TFK06672.1", "TFK06672.1")</f>
        <v/>
      </c>
      <c r="F9250" t="n">
        <v>73.8</v>
      </c>
      <c r="G9250" t="n">
        <v>493</v>
      </c>
      <c r="H9250" t="n">
        <v>3.380000000000001e-210</v>
      </c>
      <c r="I9250" t="inlineStr">
        <is>
          <t>Nr</t>
        </is>
      </c>
      <c r="J9250" t="inlineStr"/>
      <c r="K9250" t="inlineStr"/>
      <c r="L9250" t="inlineStr">
        <is>
          <t>TFK06672.1 eukaryotic peptide chain release factor GTP-binding subunit ERF3A [Platysternon megacephalum]</t>
        </is>
      </c>
      <c r="M9250" t="n">
        <v>661</v>
      </c>
      <c r="N9250" t="inlineStr">
        <is>
          <t>Platysternon megacephalum</t>
        </is>
      </c>
      <c r="O9250" t="inlineStr">
        <is>
          <t>eukaryotic peptide chain release factor GTP-binding subunit ERF3A</t>
        </is>
      </c>
    </row>
    <row r="9251">
      <c r="A9251" t="inlineStr"/>
      <c r="B9251" t="inlineStr"/>
      <c r="C9251" t="inlineStr"/>
      <c r="D9251" t="inlineStr"/>
      <c r="E9251">
        <f>HYPERLINK("https://www.ncbi.nlm.nih.gov/gene/?term=XP_044848026.1", "XP_044848026.1")</f>
        <v/>
      </c>
      <c r="F9251" t="n">
        <v>78.5</v>
      </c>
      <c r="G9251" t="n">
        <v>493</v>
      </c>
      <c r="H9251" t="n">
        <v>4.63e-210</v>
      </c>
      <c r="I9251" t="inlineStr">
        <is>
          <t>Nr</t>
        </is>
      </c>
      <c r="J9251" t="inlineStr"/>
      <c r="K9251" t="inlineStr"/>
      <c r="L9251" t="inlineStr">
        <is>
          <t>XP_044848026.1 prelamin-A/C-like [Mauremys mutica]</t>
        </is>
      </c>
      <c r="M9251" t="n">
        <v>660</v>
      </c>
      <c r="N9251" t="inlineStr">
        <is>
          <t>Mauremys mutica</t>
        </is>
      </c>
      <c r="O9251" t="inlineStr">
        <is>
          <t>prelamin-A/C-like</t>
        </is>
      </c>
    </row>
    <row r="9252">
      <c r="A9252" t="inlineStr"/>
      <c r="B9252" t="inlineStr"/>
      <c r="C9252" t="inlineStr"/>
      <c r="D9252" t="inlineStr"/>
      <c r="E9252">
        <f>HYPERLINK("https://www.uniprot.org/uniprotkb/A0A8C3IPZ3/entry", "A0A8C3IPZ3")</f>
        <v/>
      </c>
      <c r="F9252" t="n">
        <v>74</v>
      </c>
      <c r="G9252" t="n">
        <v>493</v>
      </c>
      <c r="H9252" t="n">
        <v>5.310000000000001e-210</v>
      </c>
      <c r="I9252" t="inlineStr">
        <is>
          <t>TrEMBL</t>
        </is>
      </c>
      <c r="J9252" t="inlineStr"/>
      <c r="K9252" t="inlineStr">
        <is>
          <t>A0A8C3IPZ3_CHRPI</t>
        </is>
      </c>
      <c r="L9252" t="inlineStr">
        <is>
          <t>tr|A0A8C3IPZ3|A0A8C3IPZ3_CHRPI Lamin A/C OS=Chrysemys picta bellii OX=8478 PE=3 SV=1</t>
        </is>
      </c>
      <c r="M9252" t="n">
        <v>661</v>
      </c>
      <c r="N9252" t="inlineStr">
        <is>
          <t>Chrysemys picta bellii</t>
        </is>
      </c>
      <c r="O9252" t="inlineStr">
        <is>
          <t>Lamin A/C</t>
        </is>
      </c>
    </row>
    <row r="9253">
      <c r="A9253" t="inlineStr"/>
      <c r="B9253" t="inlineStr"/>
      <c r="C9253" t="inlineStr"/>
      <c r="D9253" t="inlineStr"/>
      <c r="E9253">
        <f>HYPERLINK("https://www.ncbi.nlm.nih.gov/gene/?term=XP_008170191.1", "XP_008170191.1")</f>
        <v/>
      </c>
      <c r="F9253" t="n">
        <v>74</v>
      </c>
      <c r="G9253" t="n">
        <v>493</v>
      </c>
      <c r="H9253" t="n">
        <v>1.36e-209</v>
      </c>
      <c r="I9253" t="inlineStr">
        <is>
          <t>Nr</t>
        </is>
      </c>
      <c r="J9253" t="inlineStr"/>
      <c r="K9253" t="inlineStr"/>
      <c r="L9253" t="inlineStr">
        <is>
          <t>XP_008170191.1 lamin [Chrysemys picta bellii]</t>
        </is>
      </c>
      <c r="M9253" t="n">
        <v>661</v>
      </c>
      <c r="N9253" t="inlineStr">
        <is>
          <t>Chrysemys picta bellii</t>
        </is>
      </c>
      <c r="O9253" t="inlineStr">
        <is>
          <t>lamin</t>
        </is>
      </c>
    </row>
    <row r="9254">
      <c r="A9254" t="inlineStr"/>
      <c r="B9254" t="inlineStr"/>
      <c r="C9254" t="inlineStr"/>
      <c r="D9254" t="inlineStr"/>
      <c r="E9254">
        <f>HYPERLINK("https://www.ncbi.nlm.nih.gov/gene/?term=XP_034953650.1", "XP_034953650.1")</f>
        <v/>
      </c>
      <c r="F9254" t="n">
        <v>76.09999999999999</v>
      </c>
      <c r="G9254" t="n">
        <v>493</v>
      </c>
      <c r="H9254" t="n">
        <v>2.21e-209</v>
      </c>
      <c r="I9254" t="inlineStr">
        <is>
          <t>Nr</t>
        </is>
      </c>
      <c r="J9254" t="inlineStr"/>
      <c r="K9254" t="inlineStr"/>
      <c r="L9254" t="inlineStr">
        <is>
          <t>XP_034953650.1 lamin isoform X2 [Zootoca vivipara]</t>
        </is>
      </c>
      <c r="M9254" t="n">
        <v>563</v>
      </c>
      <c r="N9254" t="inlineStr">
        <is>
          <t>Zootoca vivipara</t>
        </is>
      </c>
      <c r="O9254" t="inlineStr">
        <is>
          <t>lamin isoform X2</t>
        </is>
      </c>
    </row>
    <row r="9255">
      <c r="A9255" t="inlineStr"/>
      <c r="B9255" t="inlineStr"/>
      <c r="C9255" t="inlineStr"/>
      <c r="D9255" t="inlineStr"/>
      <c r="E9255">
        <f>HYPERLINK("https://www.ncbi.nlm.nih.gov/gene/?term=XP_048684888.1", "XP_048684888.1")</f>
        <v/>
      </c>
      <c r="F9255" t="n">
        <v>74.90000000000001</v>
      </c>
      <c r="G9255" t="n">
        <v>494</v>
      </c>
      <c r="H9255" t="n">
        <v>3.76e-209</v>
      </c>
      <c r="I9255" t="inlineStr">
        <is>
          <t>Nr</t>
        </is>
      </c>
      <c r="J9255" t="inlineStr"/>
      <c r="K9255" t="inlineStr"/>
      <c r="L9255" t="inlineStr">
        <is>
          <t>XP_048684888.1 lamin isoform X1 [Caretta caretta]</t>
        </is>
      </c>
      <c r="M9255" t="n">
        <v>660</v>
      </c>
      <c r="N9255" t="inlineStr">
        <is>
          <t>Caretta caretta</t>
        </is>
      </c>
      <c r="O9255" t="inlineStr">
        <is>
          <t>lamin isoform X1</t>
        </is>
      </c>
    </row>
    <row r="9256">
      <c r="A9256" t="inlineStr"/>
      <c r="B9256" t="inlineStr"/>
      <c r="C9256" t="inlineStr"/>
      <c r="D9256" t="inlineStr"/>
      <c r="E9256">
        <f>HYPERLINK("https://www.uniprot.org/uniprotkb/A0A8C0J032/entry", "A0A8C0J032")</f>
        <v/>
      </c>
      <c r="F9256" t="n">
        <v>71.2</v>
      </c>
      <c r="G9256" t="n">
        <v>493</v>
      </c>
      <c r="H9256" t="n">
        <v>4.16e-209</v>
      </c>
      <c r="I9256" t="inlineStr">
        <is>
          <t>TrEMBL</t>
        </is>
      </c>
      <c r="J9256" t="inlineStr">
        <is>
          <t>LMNA</t>
        </is>
      </c>
      <c r="K9256" t="inlineStr">
        <is>
          <t>A0A8C0J032_CHEAB</t>
        </is>
      </c>
      <c r="L9256" t="inlineStr">
        <is>
          <t>tr|A0A8C0J032|A0A8C0J032_CHEAB Lamin A/C OS=Chelonoidis abingdonii OX=106734 GN=LMNA PE=3 SV=1</t>
        </is>
      </c>
      <c r="M9256" t="n">
        <v>660</v>
      </c>
      <c r="N9256" t="inlineStr">
        <is>
          <t>Chelonoidis abingdonii</t>
        </is>
      </c>
      <c r="O9256" t="inlineStr">
        <is>
          <t>Lamin A/C</t>
        </is>
      </c>
    </row>
    <row r="9257">
      <c r="A9257" t="inlineStr"/>
      <c r="B9257" t="inlineStr"/>
      <c r="C9257" t="inlineStr"/>
      <c r="D9257" t="inlineStr"/>
      <c r="E9257">
        <f>HYPERLINK("https://www.ncbi.nlm.nih.gov/gene/?term=XP_053224239.1", "XP_053224239.1")</f>
        <v/>
      </c>
      <c r="F9257" t="n">
        <v>76.90000000000001</v>
      </c>
      <c r="G9257" t="n">
        <v>493</v>
      </c>
      <c r="H9257" t="n">
        <v>4.45e-209</v>
      </c>
      <c r="I9257" t="inlineStr">
        <is>
          <t>Nr</t>
        </is>
      </c>
      <c r="J9257" t="inlineStr"/>
      <c r="K9257" t="inlineStr"/>
      <c r="L9257" t="inlineStr">
        <is>
          <t>XP_053224239.1 lamin isoform X3 [Podarcis raffonei]</t>
        </is>
      </c>
      <c r="M9257" t="n">
        <v>563</v>
      </c>
      <c r="N9257" t="inlineStr">
        <is>
          <t>Podarcis raffonei</t>
        </is>
      </c>
      <c r="O9257" t="inlineStr">
        <is>
          <t>lamin isoform X3</t>
        </is>
      </c>
    </row>
    <row r="9258">
      <c r="A9258" t="inlineStr"/>
      <c r="B9258" t="inlineStr"/>
      <c r="C9258" t="inlineStr"/>
      <c r="D9258" t="inlineStr"/>
      <c r="E9258">
        <f>HYPERLINK("https://www.uniprot.org/uniprotkb/A0A8C5QJZ3/entry", "A0A8C5QJZ3")</f>
        <v/>
      </c>
      <c r="F9258" t="n">
        <v>81.7</v>
      </c>
      <c r="G9258" t="n">
        <v>460</v>
      </c>
      <c r="H9258" t="n">
        <v>7.22e-209</v>
      </c>
      <c r="I9258" t="inlineStr">
        <is>
          <t>TrEMBL</t>
        </is>
      </c>
      <c r="J9258" t="inlineStr">
        <is>
          <t>LMNA</t>
        </is>
      </c>
      <c r="K9258" t="inlineStr">
        <is>
          <t>A0A8C5QJZ3_9ANUR</t>
        </is>
      </c>
      <c r="L9258" t="inlineStr">
        <is>
          <t>tr|A0A8C5QJZ3|A0A8C5QJZ3_9ANUR Lamin A/C OS=Leptobrachium leishanense OX=445787 GN=LMNA PE=3 SV=1</t>
        </is>
      </c>
      <c r="M9258" t="n">
        <v>666</v>
      </c>
      <c r="N9258" t="inlineStr">
        <is>
          <t>Leptobrachium leishanense</t>
        </is>
      </c>
      <c r="O9258" t="inlineStr">
        <is>
          <t>Lamin A/C</t>
        </is>
      </c>
    </row>
    <row r="9259">
      <c r="A9259" t="inlineStr"/>
      <c r="B9259" t="inlineStr"/>
      <c r="C9259" t="inlineStr"/>
      <c r="D9259" t="inlineStr"/>
      <c r="E9259">
        <f>HYPERLINK("https://www.uniprot.org/uniprotkb/A0A8C5QM44/entry", "A0A8C5QM44")</f>
        <v/>
      </c>
      <c r="F9259" t="n">
        <v>81.7</v>
      </c>
      <c r="G9259" t="n">
        <v>460</v>
      </c>
      <c r="H9259" t="n">
        <v>7.980000000000001e-209</v>
      </c>
      <c r="I9259" t="inlineStr">
        <is>
          <t>TrEMBL</t>
        </is>
      </c>
      <c r="J9259" t="inlineStr">
        <is>
          <t>LMNA</t>
        </is>
      </c>
      <c r="K9259" t="inlineStr">
        <is>
          <t>A0A8C5QM44_9ANUR</t>
        </is>
      </c>
      <c r="L9259" t="inlineStr">
        <is>
          <t>tr|A0A8C5QM44|A0A8C5QM44_9ANUR Lamin A/C OS=Leptobrachium leishanense OX=445787 GN=LMNA PE=3 SV=1</t>
        </is>
      </c>
      <c r="M9259" t="n">
        <v>669</v>
      </c>
      <c r="N9259" t="inlineStr">
        <is>
          <t>Leptobrachium leishanense</t>
        </is>
      </c>
      <c r="O9259" t="inlineStr">
        <is>
          <t>Lamin A/C</t>
        </is>
      </c>
    </row>
    <row r="9260">
      <c r="A9260" t="inlineStr"/>
      <c r="B9260" t="inlineStr"/>
      <c r="C9260" t="inlineStr"/>
      <c r="D9260" t="inlineStr"/>
      <c r="E9260">
        <f>HYPERLINK("https://www.ncbi.nlm.nih.gov/gene/?term=XP_032648025.1", "XP_032648025.1")</f>
        <v/>
      </c>
      <c r="F9260" t="n">
        <v>71.2</v>
      </c>
      <c r="G9260" t="n">
        <v>493</v>
      </c>
      <c r="H9260" t="n">
        <v>1.07e-208</v>
      </c>
      <c r="I9260" t="inlineStr">
        <is>
          <t>Nr</t>
        </is>
      </c>
      <c r="J9260" t="inlineStr"/>
      <c r="K9260" t="inlineStr"/>
      <c r="L9260" t="inlineStr">
        <is>
          <t>XP_032648025.1 lamin [Chelonoidis abingdonii]</t>
        </is>
      </c>
      <c r="M9260" t="n">
        <v>660</v>
      </c>
      <c r="N9260" t="inlineStr">
        <is>
          <t>Chelonoidis abingdonii</t>
        </is>
      </c>
      <c r="O9260" t="inlineStr">
        <is>
          <t>lamin</t>
        </is>
      </c>
    </row>
    <row r="9261">
      <c r="A9261" t="inlineStr"/>
      <c r="B9261" t="inlineStr"/>
      <c r="C9261" t="inlineStr"/>
      <c r="D9261" t="inlineStr"/>
      <c r="E9261">
        <f>HYPERLINK("https://www.ncbi.nlm.nih.gov/gene/?term=XP_040268351.1", "XP_040268351.1")</f>
        <v/>
      </c>
      <c r="F9261" t="n">
        <v>77.2</v>
      </c>
      <c r="G9261" t="n">
        <v>492</v>
      </c>
      <c r="H9261" t="n">
        <v>1.28e-208</v>
      </c>
      <c r="I9261" t="inlineStr">
        <is>
          <t>Nr</t>
        </is>
      </c>
      <c r="J9261" t="inlineStr"/>
      <c r="K9261" t="inlineStr"/>
      <c r="L9261" t="inlineStr">
        <is>
          <t>XP_040268351.1 lamin [Bufo bufo]</t>
        </is>
      </c>
      <c r="M9261" t="n">
        <v>655</v>
      </c>
      <c r="N9261" t="inlineStr">
        <is>
          <t>Bufo bufo</t>
        </is>
      </c>
      <c r="O9261" t="inlineStr">
        <is>
          <t>lamin</t>
        </is>
      </c>
    </row>
    <row r="9262">
      <c r="A9262" t="inlineStr"/>
      <c r="B9262" t="inlineStr"/>
      <c r="C9262" t="inlineStr"/>
      <c r="D9262" t="inlineStr"/>
      <c r="E9262">
        <f>HYPERLINK("https://www.ncbi.nlm.nih.gov/gene/?term=XP_032992248.1", "XP_032992248.1")</f>
        <v/>
      </c>
      <c r="F9262" t="n">
        <v>78.5</v>
      </c>
      <c r="G9262" t="n">
        <v>493</v>
      </c>
      <c r="H9262" t="n">
        <v>1.31e-208</v>
      </c>
      <c r="I9262" t="inlineStr">
        <is>
          <t>Nr</t>
        </is>
      </c>
      <c r="J9262" t="inlineStr"/>
      <c r="K9262" t="inlineStr"/>
      <c r="L9262" t="inlineStr">
        <is>
          <t>XP_032992248.1 lamin isoform X2 [Lacerta agilis]</t>
        </is>
      </c>
      <c r="M9262" t="n">
        <v>564</v>
      </c>
      <c r="N9262" t="inlineStr">
        <is>
          <t>Lacerta agilis</t>
        </is>
      </c>
      <c r="O9262" t="inlineStr">
        <is>
          <t>lamin isoform X2</t>
        </is>
      </c>
    </row>
    <row r="9263">
      <c r="A9263" t="inlineStr"/>
      <c r="B9263" t="inlineStr"/>
      <c r="C9263" t="inlineStr"/>
      <c r="D9263" t="inlineStr"/>
      <c r="E9263">
        <f>HYPERLINK("https://www.ncbi.nlm.nih.gov/gene/?term=XP_007064647.1", "XP_007064647.1")</f>
        <v/>
      </c>
      <c r="F9263" t="n">
        <v>75.09999999999999</v>
      </c>
      <c r="G9263" t="n">
        <v>493</v>
      </c>
      <c r="H9263" t="n">
        <v>2.15e-208</v>
      </c>
      <c r="I9263" t="inlineStr">
        <is>
          <t>Nr</t>
        </is>
      </c>
      <c r="J9263" t="inlineStr"/>
      <c r="K9263" t="inlineStr"/>
      <c r="L9263" t="inlineStr">
        <is>
          <t>XP_007064647.1 lamin [Chelonia mydas]</t>
        </is>
      </c>
      <c r="M9263" t="n">
        <v>660</v>
      </c>
      <c r="N9263" t="inlineStr">
        <is>
          <t>Chelonia mydas</t>
        </is>
      </c>
      <c r="O9263" t="inlineStr">
        <is>
          <t>lamin</t>
        </is>
      </c>
    </row>
    <row r="9264">
      <c r="A9264" t="inlineStr"/>
      <c r="B9264" t="inlineStr"/>
      <c r="C9264" t="inlineStr"/>
      <c r="D9264" t="inlineStr"/>
      <c r="E9264">
        <f>HYPERLINK("https://www.ncbi.nlm.nih.gov/gene/?term=XP_044127680.1", "XP_044127680.1")</f>
        <v/>
      </c>
      <c r="F9264" t="n">
        <v>76.59999999999999</v>
      </c>
      <c r="G9264" t="n">
        <v>492</v>
      </c>
      <c r="H9264" t="n">
        <v>3.65e-208</v>
      </c>
      <c r="I9264" t="inlineStr">
        <is>
          <t>Nr</t>
        </is>
      </c>
      <c r="J9264" t="inlineStr"/>
      <c r="K9264" t="inlineStr"/>
      <c r="L9264" t="inlineStr">
        <is>
          <t>XP_044127680.1 lamin [Bufo gargarizans]</t>
        </is>
      </c>
      <c r="M9264" t="n">
        <v>655</v>
      </c>
      <c r="N9264" t="inlineStr">
        <is>
          <t>Bufo gargarizans</t>
        </is>
      </c>
      <c r="O9264" t="inlineStr">
        <is>
          <t>lamin</t>
        </is>
      </c>
    </row>
    <row r="9265">
      <c r="A9265" t="inlineStr"/>
      <c r="B9265" t="inlineStr"/>
      <c r="C9265" t="inlineStr"/>
      <c r="D9265" t="inlineStr"/>
      <c r="E9265">
        <f>HYPERLINK("https://www.ncbi.nlm.nih.gov/gene/?term=KAH1179894.1", "KAH1179894.1")</f>
        <v/>
      </c>
      <c r="F9265" t="n">
        <v>78.09999999999999</v>
      </c>
      <c r="G9265" t="n">
        <v>493</v>
      </c>
      <c r="H9265" t="n">
        <v>4.080000000000001e-208</v>
      </c>
      <c r="I9265" t="inlineStr">
        <is>
          <t>Nr</t>
        </is>
      </c>
      <c r="J9265" t="inlineStr"/>
      <c r="K9265" t="inlineStr"/>
      <c r="L9265" t="inlineStr">
        <is>
          <t>KAH1179894.1 hypothetical protein KIL84_005944 [Mauremys mutica]</t>
        </is>
      </c>
      <c r="M9265" t="n">
        <v>648</v>
      </c>
      <c r="N9265" t="inlineStr">
        <is>
          <t>Mauremys mutica</t>
        </is>
      </c>
      <c r="O9265" t="inlineStr">
        <is>
          <t>hypothetical protein KIL84_005944</t>
        </is>
      </c>
    </row>
    <row r="9266">
      <c r="A9266" t="inlineStr"/>
      <c r="B9266" t="inlineStr"/>
      <c r="C9266" t="inlineStr"/>
      <c r="D9266" t="inlineStr"/>
      <c r="E9266">
        <f>HYPERLINK("https://www.ncbi.nlm.nih.gov/gene/?term=XP_034953649.1", "XP_034953649.1")</f>
        <v/>
      </c>
      <c r="F9266" t="n">
        <v>76.09999999999999</v>
      </c>
      <c r="G9266" t="n">
        <v>493</v>
      </c>
      <c r="H9266" t="n">
        <v>4.83e-208</v>
      </c>
      <c r="I9266" t="inlineStr">
        <is>
          <t>Nr</t>
        </is>
      </c>
      <c r="J9266" t="inlineStr"/>
      <c r="K9266" t="inlineStr"/>
      <c r="L9266" t="inlineStr">
        <is>
          <t>XP_034953649.1 lamin isoform X1 [Zootoca vivipara]</t>
        </is>
      </c>
      <c r="M9266" t="n">
        <v>653</v>
      </c>
      <c r="N9266" t="inlineStr">
        <is>
          <t>Zootoca vivipara</t>
        </is>
      </c>
      <c r="O9266" t="inlineStr">
        <is>
          <t>lamin isoform X1</t>
        </is>
      </c>
    </row>
    <row r="9267">
      <c r="A9267" t="inlineStr"/>
      <c r="B9267" t="inlineStr"/>
      <c r="C9267" t="inlineStr"/>
      <c r="D9267" t="inlineStr"/>
      <c r="E9267">
        <f>HYPERLINK("https://www.ncbi.nlm.nih.gov/gene/?term=XP_053224238.1", "XP_053224238.1")</f>
        <v/>
      </c>
      <c r="F9267" t="n">
        <v>76.90000000000001</v>
      </c>
      <c r="G9267" t="n">
        <v>493</v>
      </c>
      <c r="H9267" t="n">
        <v>9.71e-208</v>
      </c>
      <c r="I9267" t="inlineStr">
        <is>
          <t>Nr</t>
        </is>
      </c>
      <c r="J9267" t="inlineStr"/>
      <c r="K9267" t="inlineStr"/>
      <c r="L9267" t="inlineStr">
        <is>
          <t>XP_053224238.1 lamin isoform X2 [Podarcis raffonei]</t>
        </is>
      </c>
      <c r="M9267" t="n">
        <v>653</v>
      </c>
      <c r="N9267" t="inlineStr">
        <is>
          <t>Podarcis raffonei</t>
        </is>
      </c>
      <c r="O9267" t="inlineStr">
        <is>
          <t>lamin isoform X2</t>
        </is>
      </c>
    </row>
    <row r="9268">
      <c r="A9268" t="inlineStr"/>
      <c r="B9268" t="inlineStr"/>
      <c r="C9268" t="inlineStr"/>
      <c r="D9268" t="inlineStr"/>
      <c r="E9268">
        <f>HYPERLINK("https://www.uniprot.org/uniprotkb/A0A8T1SM43/entry", "A0A8T1SM43")</f>
        <v/>
      </c>
      <c r="F9268" t="n">
        <v>75.09999999999999</v>
      </c>
      <c r="G9268" t="n">
        <v>493</v>
      </c>
      <c r="H9268" t="n">
        <v>9.94e-208</v>
      </c>
      <c r="I9268" t="inlineStr">
        <is>
          <t>TrEMBL</t>
        </is>
      </c>
      <c r="J9268" t="inlineStr">
        <is>
          <t>LMNA</t>
        </is>
      </c>
      <c r="K9268" t="inlineStr">
        <is>
          <t>A0A8T1SM43_CHESE</t>
        </is>
      </c>
      <c r="L9268" t="inlineStr">
        <is>
          <t>tr|A0A8T1SM43|A0A8T1SM43_CHESE Lamin A/C OS=Chelydra serpentina OX=8475 GN=LMNA PE=3 SV=1</t>
        </is>
      </c>
      <c r="M9268" t="n">
        <v>661</v>
      </c>
      <c r="N9268" t="inlineStr">
        <is>
          <t>Chelydra serpentina</t>
        </is>
      </c>
      <c r="O9268" t="inlineStr">
        <is>
          <t>Lamin A/C</t>
        </is>
      </c>
    </row>
    <row r="9269">
      <c r="A9269" t="inlineStr"/>
      <c r="B9269" t="inlineStr"/>
      <c r="C9269" t="inlineStr"/>
      <c r="D9269" t="inlineStr"/>
      <c r="E9269">
        <f>HYPERLINK("https://www.uniprot.org/uniprotkb/A0A8C3SRY4/entry", "A0A8C3SRY4")</f>
        <v/>
      </c>
      <c r="F9269" t="n">
        <v>75.09999999999999</v>
      </c>
      <c r="G9269" t="n">
        <v>493</v>
      </c>
      <c r="H9269" t="n">
        <v>9.94e-208</v>
      </c>
      <c r="I9269" t="inlineStr">
        <is>
          <t>TrEMBL</t>
        </is>
      </c>
      <c r="J9269" t="inlineStr"/>
      <c r="K9269" t="inlineStr">
        <is>
          <t>A0A8C3SRY4_CHESE</t>
        </is>
      </c>
      <c r="L9269" t="inlineStr">
        <is>
          <t>tr|A0A8C3SRY4|A0A8C3SRY4_CHESE Lamin A/C OS=Chelydra serpentina OX=8475 PE=3 SV=1</t>
        </is>
      </c>
      <c r="M9269" t="n">
        <v>661</v>
      </c>
      <c r="N9269" t="inlineStr">
        <is>
          <t>Chelydra serpentina</t>
        </is>
      </c>
      <c r="O9269" t="inlineStr">
        <is>
          <t>Lamin A/C</t>
        </is>
      </c>
    </row>
    <row r="9270">
      <c r="A9270" t="inlineStr"/>
      <c r="B9270" t="inlineStr"/>
      <c r="C9270" t="inlineStr"/>
      <c r="D9270" t="inlineStr"/>
      <c r="E9270">
        <f>HYPERLINK("https://www.uniprot.org/uniprotkb/A0A8D0KG24/entry", "A0A8D0KG24")</f>
        <v/>
      </c>
      <c r="F9270" t="n">
        <v>76.3</v>
      </c>
      <c r="G9270" t="n">
        <v>493</v>
      </c>
      <c r="H9270" t="n">
        <v>1.08e-207</v>
      </c>
      <c r="I9270" t="inlineStr">
        <is>
          <t>TrEMBL</t>
        </is>
      </c>
      <c r="J9270" t="inlineStr">
        <is>
          <t>LMNA</t>
        </is>
      </c>
      <c r="K9270" t="inlineStr">
        <is>
          <t>A0A8D0KG24_SALMN</t>
        </is>
      </c>
      <c r="L9270" t="inlineStr">
        <is>
          <t>tr|A0A8D0KG24|A0A8D0KG24_SALMN Lamin A/C OS=Salvator merianae OX=96440 GN=LMNA PE=3 SV=1</t>
        </is>
      </c>
      <c r="M9270" t="n">
        <v>653</v>
      </c>
      <c r="N9270" t="inlineStr">
        <is>
          <t>Salvator merianae</t>
        </is>
      </c>
      <c r="O9270" t="inlineStr">
        <is>
          <t>Lamin A/C</t>
        </is>
      </c>
    </row>
    <row r="9271">
      <c r="A9271" t="inlineStr"/>
      <c r="B9271" t="inlineStr"/>
      <c r="C9271" t="inlineStr"/>
      <c r="D9271" t="inlineStr"/>
      <c r="E9271">
        <f>HYPERLINK("https://www.uniprot.org/uniprotkb/A0A821EIS6/entry", "A0A821EIS6")</f>
        <v/>
      </c>
      <c r="F9271" t="n">
        <v>77.7</v>
      </c>
      <c r="G9271" t="n">
        <v>494</v>
      </c>
      <c r="H9271" t="n">
        <v>3.22e-207</v>
      </c>
      <c r="I9271" t="inlineStr">
        <is>
          <t>TrEMBL</t>
        </is>
      </c>
      <c r="J9271" t="inlineStr">
        <is>
          <t>RIMITATOR_LOCUS801063</t>
        </is>
      </c>
      <c r="K9271" t="inlineStr">
        <is>
          <t>A0A821EIS6_9NEOB</t>
        </is>
      </c>
      <c r="L9271" t="inlineStr">
        <is>
          <t>tr|A0A821EIS6|A0A821EIS6_9NEOB (mimic poison frog) hypothetical protein (Fragment) OS=Ranitomeya imitator OX=111125 GN=RIMITATOR_LOCUS801063 PE=3 SV=1</t>
        </is>
      </c>
      <c r="M9271" t="n">
        <v>859</v>
      </c>
      <c r="N9271" t="inlineStr">
        <is>
          <t>Ranitomeya imitator</t>
        </is>
      </c>
      <c r="O9271" t="inlineStr">
        <is>
          <t>(mimic poison frog) hypothetical protein (Fragment)</t>
        </is>
      </c>
    </row>
    <row r="9272">
      <c r="A9272" t="inlineStr"/>
      <c r="B9272" t="inlineStr"/>
      <c r="C9272" t="inlineStr"/>
      <c r="D9272" t="inlineStr"/>
      <c r="E9272">
        <f>HYPERLINK("https://www.uniprot.org/uniprotkb/A0A6J0VJJ0/entry", "A0A6J0VJJ0")</f>
        <v/>
      </c>
      <c r="F9272" t="n">
        <v>74.5</v>
      </c>
      <c r="G9272" t="n">
        <v>482</v>
      </c>
      <c r="H9272" t="n">
        <v>1.3e-206</v>
      </c>
      <c r="I9272" t="inlineStr">
        <is>
          <t>TrEMBL</t>
        </is>
      </c>
      <c r="J9272" t="inlineStr">
        <is>
          <t>LMNA</t>
        </is>
      </c>
      <c r="K9272" t="inlineStr">
        <is>
          <t>A0A6J0VJJ0_9SAUR</t>
        </is>
      </c>
      <c r="L9272" t="inlineStr">
        <is>
          <t>tr|A0A6J0VJJ0|A0A6J0VJJ0_9SAUR lamin OS=Pogona vitticeps OX=103695 GN=LMNA PE=3 SV=1</t>
        </is>
      </c>
      <c r="M9272" t="n">
        <v>665</v>
      </c>
      <c r="N9272" t="inlineStr">
        <is>
          <t>Pogona vitticeps</t>
        </is>
      </c>
      <c r="O9272" t="inlineStr">
        <is>
          <t>lamin</t>
        </is>
      </c>
    </row>
    <row r="9273">
      <c r="A9273" t="inlineStr"/>
      <c r="B9273" t="inlineStr"/>
      <c r="C9273" t="inlineStr"/>
      <c r="D9273" t="inlineStr"/>
      <c r="E9273">
        <f>HYPERLINK("https://www.uniprot.org/uniprotkb/A0A7M4FVL8/entry", "A0A7M4FVL8")</f>
        <v/>
      </c>
      <c r="F9273" t="n">
        <v>74.8</v>
      </c>
      <c r="G9273" t="n">
        <v>493</v>
      </c>
      <c r="H9273" t="n">
        <v>1.48e-206</v>
      </c>
      <c r="I9273" t="inlineStr">
        <is>
          <t>TrEMBL</t>
        </is>
      </c>
      <c r="J9273" t="inlineStr">
        <is>
          <t>LMNA</t>
        </is>
      </c>
      <c r="K9273" t="inlineStr">
        <is>
          <t>A0A7M4FVL8_CROPO</t>
        </is>
      </c>
      <c r="L9273" t="inlineStr">
        <is>
          <t>tr|A0A7M4FVL8|A0A7M4FVL8_CROPO Lamin A/C OS=Crocodylus porosus OX=8502 GN=LMNA PE=3 SV=1</t>
        </is>
      </c>
      <c r="M9273" t="n">
        <v>648</v>
      </c>
      <c r="N9273" t="inlineStr">
        <is>
          <t>Crocodylus porosus</t>
        </is>
      </c>
      <c r="O9273" t="inlineStr">
        <is>
          <t>Lamin A/C</t>
        </is>
      </c>
    </row>
    <row r="9274">
      <c r="A9274" t="inlineStr"/>
      <c r="B9274" t="inlineStr"/>
      <c r="C9274" t="inlineStr"/>
      <c r="D9274" t="inlineStr"/>
      <c r="E9274">
        <f>HYPERLINK("https://www.uniprot.org/uniprotkb/A0A8C6YGH7/entry", "A0A8C6YGH7")</f>
        <v/>
      </c>
      <c r="F9274" t="n">
        <v>76.7</v>
      </c>
      <c r="G9274" t="n">
        <v>494</v>
      </c>
      <c r="H9274" t="n">
        <v>4.99e-206</v>
      </c>
      <c r="I9274" t="inlineStr">
        <is>
          <t>TrEMBL</t>
        </is>
      </c>
      <c r="J9274" t="inlineStr">
        <is>
          <t>LMNA</t>
        </is>
      </c>
      <c r="K9274" t="inlineStr">
        <is>
          <t>A0A8C6YGH7_NAJNA</t>
        </is>
      </c>
      <c r="L9274" t="inlineStr">
        <is>
          <t>tr|A0A8C6YGH7|A0A8C6YGH7_NAJNA Lamin A/C OS=Naja naja OX=35670 GN=LMNA PE=3 SV=1</t>
        </is>
      </c>
      <c r="M9274" t="n">
        <v>653</v>
      </c>
      <c r="N9274" t="inlineStr">
        <is>
          <t>Naja naja</t>
        </is>
      </c>
      <c r="O9274" t="inlineStr">
        <is>
          <t>Lamin A/C</t>
        </is>
      </c>
    </row>
    <row r="9275">
      <c r="A9275" t="inlineStr"/>
      <c r="B9275" t="inlineStr"/>
      <c r="C9275" t="inlineStr"/>
      <c r="D9275" t="inlineStr"/>
      <c r="E9275">
        <f>HYPERLINK("https://www.uniprot.org/uniprotkb/A0A6P5KNF8/entry", "A0A6P5KNF8")</f>
        <v/>
      </c>
      <c r="F9275" t="n">
        <v>72.3</v>
      </c>
      <c r="G9275" t="n">
        <v>498</v>
      </c>
      <c r="H9275" t="n">
        <v>6.98e-206</v>
      </c>
      <c r="I9275" t="inlineStr">
        <is>
          <t>TrEMBL</t>
        </is>
      </c>
      <c r="J9275" t="inlineStr">
        <is>
          <t>LMNA</t>
        </is>
      </c>
      <c r="K9275" t="inlineStr">
        <is>
          <t>A0A6P5KNF8_PHACI</t>
        </is>
      </c>
      <c r="L9275" t="inlineStr">
        <is>
          <t>tr|A0A6P5KNF8|A0A6P5KNF8_PHACI lamin OS=Phascolarctos cinereus OX=38626 GN=LMNA PE=3 SV=1</t>
        </is>
      </c>
      <c r="M9275" t="n">
        <v>663</v>
      </c>
      <c r="N9275" t="inlineStr">
        <is>
          <t>Phascolarctos cinereus</t>
        </is>
      </c>
      <c r="O9275" t="inlineStr">
        <is>
          <t>lamin</t>
        </is>
      </c>
    </row>
    <row r="9276">
      <c r="A9276" t="inlineStr"/>
      <c r="B9276" t="inlineStr"/>
      <c r="C9276" t="inlineStr"/>
      <c r="D9276" t="inlineStr"/>
      <c r="E9276">
        <f>HYPERLINK("https://www.uniprot.org/uniprotkb/A0A4X2LBT6/entry", "A0A4X2LBT6")</f>
        <v/>
      </c>
      <c r="F9276" t="n">
        <v>72.90000000000001</v>
      </c>
      <c r="G9276" t="n">
        <v>498</v>
      </c>
      <c r="H9276" t="n">
        <v>2.06e-205</v>
      </c>
      <c r="I9276" t="inlineStr">
        <is>
          <t>TrEMBL</t>
        </is>
      </c>
      <c r="J9276" t="inlineStr">
        <is>
          <t>LMNA</t>
        </is>
      </c>
      <c r="K9276" t="inlineStr">
        <is>
          <t>A0A4X2LBT6_VOMUR</t>
        </is>
      </c>
      <c r="L9276" t="inlineStr">
        <is>
          <t>tr|A0A4X2LBT6|A0A4X2LBT6_VOMUR Lamin A/C OS=Vombatus ursinus OX=29139 GN=LMNA PE=3 SV=1</t>
        </is>
      </c>
      <c r="M9276" t="n">
        <v>633</v>
      </c>
      <c r="N9276" t="inlineStr">
        <is>
          <t>Vombatus ursinus</t>
        </is>
      </c>
      <c r="O9276" t="inlineStr">
        <is>
          <t>Lamin A/C</t>
        </is>
      </c>
    </row>
    <row r="9277">
      <c r="A9277" t="inlineStr"/>
      <c r="B9277" t="inlineStr"/>
      <c r="C9277" t="inlineStr"/>
      <c r="D9277" t="inlineStr"/>
      <c r="E9277">
        <f>HYPERLINK("https://www.uniprot.org/uniprotkb/A0A4X2L5D7/entry", "A0A4X2L5D7")</f>
        <v/>
      </c>
      <c r="F9277" t="n">
        <v>72.90000000000001</v>
      </c>
      <c r="G9277" t="n">
        <v>498</v>
      </c>
      <c r="H9277" t="n">
        <v>5.65e-205</v>
      </c>
      <c r="I9277" t="inlineStr">
        <is>
          <t>TrEMBL</t>
        </is>
      </c>
      <c r="J9277" t="inlineStr">
        <is>
          <t>LMNA</t>
        </is>
      </c>
      <c r="K9277" t="inlineStr">
        <is>
          <t>A0A4X2L5D7_VOMUR</t>
        </is>
      </c>
      <c r="L9277" t="inlineStr">
        <is>
          <t>tr|A0A4X2L5D7|A0A4X2L5D7_VOMUR Lamin A/C OS=Vombatus ursinus OX=29139 GN=LMNA PE=3 SV=1</t>
        </is>
      </c>
      <c r="M9277" t="n">
        <v>663</v>
      </c>
      <c r="N9277" t="inlineStr">
        <is>
          <t>Vombatus ursinus</t>
        </is>
      </c>
      <c r="O9277" t="inlineStr">
        <is>
          <t>Lamin A/C</t>
        </is>
      </c>
    </row>
    <row r="9278">
      <c r="A9278" t="inlineStr"/>
      <c r="B9278" t="inlineStr"/>
      <c r="C9278" t="inlineStr"/>
      <c r="D9278" t="inlineStr"/>
      <c r="E9278">
        <f>HYPERLINK("https://www.uniprot.org/uniprotkb/A0A0B8RQM6/entry", "A0A0B8RQM6")</f>
        <v/>
      </c>
      <c r="F9278" t="n">
        <v>80</v>
      </c>
      <c r="G9278" t="n">
        <v>491</v>
      </c>
      <c r="H9278" t="n">
        <v>1.04e-204</v>
      </c>
      <c r="I9278" t="inlineStr">
        <is>
          <t>TrEMBL</t>
        </is>
      </c>
      <c r="J9278" t="inlineStr"/>
      <c r="K9278" t="inlineStr">
        <is>
          <t>A0A0B8RQM6_BOIIR</t>
        </is>
      </c>
      <c r="L9278" t="inlineStr">
        <is>
          <t>tr|A0A0B8RQM6|A0A0B8RQM6_BOIIR Prelamin-A/C OS=Boiga irregularis OX=92519 PE=3 SV=1</t>
        </is>
      </c>
      <c r="M9278" t="n">
        <v>650</v>
      </c>
      <c r="N9278" t="inlineStr">
        <is>
          <t>Boiga irregularis</t>
        </is>
      </c>
      <c r="O9278" t="inlineStr">
        <is>
          <t>Prelamin-A/C</t>
        </is>
      </c>
    </row>
    <row r="9279">
      <c r="A9279" t="inlineStr"/>
      <c r="B9279" t="inlineStr"/>
      <c r="C9279" t="inlineStr"/>
      <c r="D9279" t="inlineStr"/>
      <c r="E9279">
        <f>HYPERLINK("https://www.uniprot.org/uniprotkb/A0A7N4Q130/entry", "A0A7N4Q130")</f>
        <v/>
      </c>
      <c r="F9279" t="n">
        <v>72.7</v>
      </c>
      <c r="G9279" t="n">
        <v>499</v>
      </c>
      <c r="H9279" t="n">
        <v>3.47e-204</v>
      </c>
      <c r="I9279" t="inlineStr">
        <is>
          <t>TrEMBL</t>
        </is>
      </c>
      <c r="J9279" t="inlineStr">
        <is>
          <t>LMNA</t>
        </is>
      </c>
      <c r="K9279" t="inlineStr">
        <is>
          <t>A0A7N4Q130_SARHA</t>
        </is>
      </c>
      <c r="L9279" t="inlineStr">
        <is>
          <t>tr|A0A7N4Q130|A0A7N4Q130_SARHA Lamin A/C OS=Sarcophilus harrisii OX=9305 GN=LMNA PE=3 SV=1</t>
        </is>
      </c>
      <c r="M9279" t="n">
        <v>634</v>
      </c>
      <c r="N9279" t="inlineStr">
        <is>
          <t>Sarcophilus harrisii</t>
        </is>
      </c>
      <c r="O9279" t="inlineStr">
        <is>
          <t>Lamin A/C</t>
        </is>
      </c>
    </row>
    <row r="9280">
      <c r="A9280" t="inlineStr"/>
      <c r="B9280" t="inlineStr"/>
      <c r="C9280" t="inlineStr"/>
      <c r="D9280" t="inlineStr"/>
      <c r="E9280">
        <f>HYPERLINK("https://www.uniprot.org/uniprotkb/G3WL00/entry", "G3WL00")</f>
        <v/>
      </c>
      <c r="F9280" t="n">
        <v>72.7</v>
      </c>
      <c r="G9280" t="n">
        <v>499</v>
      </c>
      <c r="H9280" t="n">
        <v>9.51e-204</v>
      </c>
      <c r="I9280" t="inlineStr">
        <is>
          <t>TrEMBL</t>
        </is>
      </c>
      <c r="J9280" t="inlineStr">
        <is>
          <t>LMNA</t>
        </is>
      </c>
      <c r="K9280" t="inlineStr">
        <is>
          <t>G3WL00_SARHA</t>
        </is>
      </c>
      <c r="L9280" t="inlineStr">
        <is>
          <t>tr|G3WL00|G3WL00_SARHA Lamin A/C OS=Sarcophilus harrisii OX=9305 GN=LMNA PE=3 SV=2</t>
        </is>
      </c>
      <c r="M9280" t="n">
        <v>664</v>
      </c>
      <c r="N9280" t="inlineStr">
        <is>
          <t>Sarcophilus harrisii</t>
        </is>
      </c>
      <c r="O9280" t="inlineStr">
        <is>
          <t>Lamin A/C</t>
        </is>
      </c>
    </row>
    <row r="9281">
      <c r="A9281" t="inlineStr"/>
      <c r="B9281" t="inlineStr"/>
      <c r="C9281" t="inlineStr"/>
      <c r="D9281" t="inlineStr"/>
      <c r="E9281">
        <f>HYPERLINK("https://www.uniprot.org/uniprotkb/Q3ZD69/entry", "Q3ZD69")</f>
        <v/>
      </c>
      <c r="F9281" t="n">
        <v>73.09999999999999</v>
      </c>
      <c r="G9281" t="n">
        <v>498</v>
      </c>
      <c r="H9281" t="n">
        <v>1.91e-195</v>
      </c>
      <c r="I9281" t="inlineStr">
        <is>
          <t>Swiss-Prot</t>
        </is>
      </c>
      <c r="J9281" t="inlineStr">
        <is>
          <t>LMNA</t>
        </is>
      </c>
      <c r="K9281" t="inlineStr">
        <is>
          <t>LMNA_PIG</t>
        </is>
      </c>
      <c r="L9281" t="inlineStr">
        <is>
          <t>sp|Q3ZD69|LMNA_PIG Prelamin-A/C OS=Sus scrofa OX=9823 GN=LMNA PE=3 SV=1</t>
        </is>
      </c>
      <c r="M9281" t="n">
        <v>664</v>
      </c>
      <c r="N9281" t="inlineStr">
        <is>
          <t>Sus scrofa</t>
        </is>
      </c>
      <c r="O9281" t="inlineStr">
        <is>
          <t>Prelamin-A/C</t>
        </is>
      </c>
    </row>
    <row r="9282">
      <c r="A9282" t="inlineStr"/>
      <c r="B9282" t="inlineStr"/>
      <c r="C9282" t="inlineStr"/>
      <c r="D9282" t="inlineStr"/>
      <c r="E9282">
        <f>HYPERLINK("https://www.uniprot.org/uniprotkb/P02545/entry", "P02545")</f>
        <v/>
      </c>
      <c r="F9282" t="n">
        <v>74.5</v>
      </c>
      <c r="G9282" t="n">
        <v>498</v>
      </c>
      <c r="H9282" t="n">
        <v>7.1e-193</v>
      </c>
      <c r="I9282" t="inlineStr">
        <is>
          <t>Swiss-Prot</t>
        </is>
      </c>
      <c r="J9282" t="inlineStr">
        <is>
          <t>LMNA</t>
        </is>
      </c>
      <c r="K9282" t="inlineStr">
        <is>
          <t>LMNA_HUMAN</t>
        </is>
      </c>
      <c r="L9282" t="inlineStr">
        <is>
          <t>sp|P02545|LMNA_HUMAN Prelamin-A/C OS=Homo sapiens OX=9606 GN=LMNA PE=1 SV=1</t>
        </is>
      </c>
      <c r="M9282" t="n">
        <v>664</v>
      </c>
      <c r="N9282" t="inlineStr">
        <is>
          <t>Homo sapiens</t>
        </is>
      </c>
      <c r="O9282" t="inlineStr">
        <is>
          <t>Prelamin-A/C</t>
        </is>
      </c>
    </row>
    <row r="9283">
      <c r="A9283" t="inlineStr"/>
      <c r="B9283" t="inlineStr"/>
      <c r="C9283" t="inlineStr"/>
      <c r="D9283" t="inlineStr"/>
      <c r="E9283">
        <f>HYPERLINK("https://www.uniprot.org/uniprotkb/P48679/entry", "P48679")</f>
        <v/>
      </c>
      <c r="F9283" t="n">
        <v>73.5</v>
      </c>
      <c r="G9283" t="n">
        <v>498</v>
      </c>
      <c r="H9283" t="n">
        <v>1.04e-192</v>
      </c>
      <c r="I9283" t="inlineStr">
        <is>
          <t>Swiss-Prot</t>
        </is>
      </c>
      <c r="J9283" t="inlineStr">
        <is>
          <t>Lmna</t>
        </is>
      </c>
      <c r="K9283" t="inlineStr">
        <is>
          <t>LMNA_RAT</t>
        </is>
      </c>
      <c r="L9283" t="inlineStr">
        <is>
          <t>sp|P48679|LMNA_RAT Prelamin-A/C OS=Rattus norvegicus OX=10116 GN=Lmna PE=1 SV=1</t>
        </is>
      </c>
      <c r="M9283" t="n">
        <v>665</v>
      </c>
      <c r="N9283" t="inlineStr">
        <is>
          <t>Rattus norvegicus</t>
        </is>
      </c>
      <c r="O9283" t="inlineStr">
        <is>
          <t>Prelamin-A/C</t>
        </is>
      </c>
    </row>
    <row r="9284">
      <c r="A9284" t="inlineStr"/>
      <c r="B9284" t="inlineStr"/>
      <c r="C9284" t="inlineStr"/>
      <c r="D9284" t="inlineStr"/>
      <c r="E9284">
        <f>HYPERLINK("https://www.uniprot.org/uniprotkb/P48678/entry", "P48678")</f>
        <v/>
      </c>
      <c r="F9284" t="n">
        <v>73.3</v>
      </c>
      <c r="G9284" t="n">
        <v>498</v>
      </c>
      <c r="H9284" t="n">
        <v>1.47e-192</v>
      </c>
      <c r="I9284" t="inlineStr">
        <is>
          <t>Swiss-Prot</t>
        </is>
      </c>
      <c r="J9284" t="inlineStr">
        <is>
          <t>Lmna</t>
        </is>
      </c>
      <c r="K9284" t="inlineStr">
        <is>
          <t>LMNA_MOUSE</t>
        </is>
      </c>
      <c r="L9284" t="inlineStr">
        <is>
          <t>sp|P48678|LMNA_MOUSE Prelamin-A/C OS=Mus musculus OX=10090 GN=Lmna PE=1 SV=2</t>
        </is>
      </c>
      <c r="M9284" t="n">
        <v>665</v>
      </c>
      <c r="N9284" t="inlineStr">
        <is>
          <t>Mus musculus</t>
        </is>
      </c>
      <c r="O9284" t="inlineStr">
        <is>
          <t>Prelamin-A/C</t>
        </is>
      </c>
    </row>
    <row r="9285">
      <c r="A9285" t="inlineStr"/>
      <c r="B9285" t="inlineStr"/>
      <c r="C9285" t="inlineStr"/>
      <c r="D9285" t="inlineStr"/>
      <c r="E9285">
        <f>HYPERLINK("https://www.uniprot.org/uniprotkb/P13648/entry", "P13648")</f>
        <v/>
      </c>
      <c r="F9285" t="n">
        <v>71.5</v>
      </c>
      <c r="G9285" t="n">
        <v>499</v>
      </c>
      <c r="H9285" t="n">
        <v>2.24e-163</v>
      </c>
      <c r="I9285" t="inlineStr">
        <is>
          <t>Swiss-Prot</t>
        </is>
      </c>
      <c r="J9285" t="inlineStr">
        <is>
          <t>LMNA</t>
        </is>
      </c>
      <c r="K9285" t="inlineStr">
        <is>
          <t>LMNA_CHICK</t>
        </is>
      </c>
      <c r="L9285" t="inlineStr">
        <is>
          <t>sp|P13648|LMNA_CHICK Lamin-A OS=Gallus gallus OX=9031 GN=LMNA PE=2 SV=1</t>
        </is>
      </c>
      <c r="M9285" t="n">
        <v>657</v>
      </c>
      <c r="N9285" t="inlineStr">
        <is>
          <t>Gallus gallus</t>
        </is>
      </c>
      <c r="O9285" t="inlineStr">
        <is>
          <t>Lamin-A</t>
        </is>
      </c>
    </row>
    <row r="9286">
      <c r="A9286" t="inlineStr"/>
      <c r="B9286" t="inlineStr"/>
      <c r="C9286" t="inlineStr"/>
      <c r="D9286" t="inlineStr"/>
      <c r="E9286">
        <f>HYPERLINK("https://www.uniprot.org/uniprotkb/P20700/entry", "P20700")</f>
        <v/>
      </c>
      <c r="F9286" t="n">
        <v>47.9</v>
      </c>
      <c r="G9286" t="n">
        <v>480</v>
      </c>
      <c r="H9286" t="n">
        <v>3.64e-121</v>
      </c>
      <c r="I9286" t="inlineStr">
        <is>
          <t>Swiss-Prot</t>
        </is>
      </c>
      <c r="J9286" t="inlineStr">
        <is>
          <t>LMNB1</t>
        </is>
      </c>
      <c r="K9286" t="inlineStr">
        <is>
          <t>LMNB1_HUMAN</t>
        </is>
      </c>
      <c r="L9286" t="inlineStr">
        <is>
          <t>sp|P20700|LMNB1_HUMAN Lamin-B1 OS=Homo sapiens OX=9606 GN=LMNB1 PE=1 SV=2</t>
        </is>
      </c>
      <c r="M9286" t="n">
        <v>586</v>
      </c>
      <c r="N9286" t="inlineStr">
        <is>
          <t>Homo sapiens</t>
        </is>
      </c>
      <c r="O9286" t="inlineStr">
        <is>
          <t>Lamin-B1</t>
        </is>
      </c>
    </row>
    <row r="9287">
      <c r="A9287" t="inlineStr"/>
      <c r="B9287" t="inlineStr"/>
      <c r="C9287" t="inlineStr"/>
      <c r="D9287" t="inlineStr"/>
      <c r="E9287">
        <f>HYPERLINK("https://www.uniprot.org/uniprotkb/P21910/entry", "P21910")</f>
        <v/>
      </c>
      <c r="F9287" t="n">
        <v>53.6</v>
      </c>
      <c r="G9287" t="n">
        <v>534</v>
      </c>
      <c r="H9287" t="n">
        <v>1.18e-119</v>
      </c>
      <c r="I9287" t="inlineStr">
        <is>
          <t>Swiss-Prot</t>
        </is>
      </c>
      <c r="J9287" t="inlineStr"/>
      <c r="K9287" t="inlineStr">
        <is>
          <t>LAML2_XENLA</t>
        </is>
      </c>
      <c r="L9287" t="inlineStr">
        <is>
          <t>sp|P21910|LAML2_XENLA Lamin-L(II) OS=Xenopus laevis OX=8355 PE=2 SV=1</t>
        </is>
      </c>
      <c r="M9287" t="n">
        <v>623</v>
      </c>
      <c r="N9287" t="inlineStr">
        <is>
          <t>Xenopus laevis</t>
        </is>
      </c>
      <c r="O9287" t="inlineStr">
        <is>
          <t>Lamin-L(II)</t>
        </is>
      </c>
    </row>
    <row r="9288">
      <c r="A9288" t="inlineStr"/>
      <c r="B9288" t="inlineStr"/>
      <c r="C9288" t="inlineStr"/>
      <c r="D9288" t="inlineStr"/>
      <c r="E9288">
        <f>HYPERLINK("https://www.uniprot.org/uniprotkb/P09010/entry", "P09010")</f>
        <v/>
      </c>
      <c r="F9288" t="n">
        <v>53</v>
      </c>
      <c r="G9288" t="n">
        <v>479</v>
      </c>
      <c r="H9288" t="n">
        <v>2.34e-118</v>
      </c>
      <c r="I9288" t="inlineStr">
        <is>
          <t>Swiss-Prot</t>
        </is>
      </c>
      <c r="J9288" t="inlineStr"/>
      <c r="K9288" t="inlineStr">
        <is>
          <t>LAML1_XENLA</t>
        </is>
      </c>
      <c r="L9288" t="inlineStr">
        <is>
          <t>sp|P09010|LAML1_XENLA Lamin-L(I) OS=Xenopus laevis OX=8355 PE=2 SV=1</t>
        </is>
      </c>
      <c r="M9288" t="n">
        <v>583</v>
      </c>
      <c r="N9288" t="inlineStr">
        <is>
          <t>Xenopus laevis</t>
        </is>
      </c>
      <c r="O9288" t="inlineStr">
        <is>
          <t>Lamin-L(I)</t>
        </is>
      </c>
    </row>
    <row r="9289">
      <c r="A9289" t="inlineStr"/>
      <c r="B9289" t="inlineStr"/>
      <c r="C9289" t="inlineStr"/>
      <c r="D9289" t="inlineStr"/>
      <c r="E9289">
        <f>HYPERLINK("https://www.uniprot.org/uniprotkb/P70615/entry", "P70615")</f>
        <v/>
      </c>
      <c r="F9289" t="n">
        <v>47.5</v>
      </c>
      <c r="G9289" t="n">
        <v>480</v>
      </c>
      <c r="H9289" t="n">
        <v>2.62e-118</v>
      </c>
      <c r="I9289" t="inlineStr">
        <is>
          <t>Swiss-Prot</t>
        </is>
      </c>
      <c r="J9289" t="inlineStr">
        <is>
          <t>Lmnb1</t>
        </is>
      </c>
      <c r="K9289" t="inlineStr">
        <is>
          <t>LMNB1_RAT</t>
        </is>
      </c>
      <c r="L9289" t="inlineStr">
        <is>
          <t>sp|P70615|LMNB1_RAT Lamin-B1 OS=Rattus norvegicus OX=10116 GN=Lmnb1 PE=1 SV=3</t>
        </is>
      </c>
      <c r="M9289" t="n">
        <v>587</v>
      </c>
      <c r="N9289" t="inlineStr">
        <is>
          <t>Rattus norvegicus</t>
        </is>
      </c>
      <c r="O9289" t="inlineStr">
        <is>
          <t>Lamin-B1</t>
        </is>
      </c>
    </row>
    <row r="9290">
      <c r="A9290" t="inlineStr"/>
      <c r="B9290" t="inlineStr"/>
      <c r="C9290" t="inlineStr"/>
      <c r="D9290" t="inlineStr"/>
      <c r="E9290">
        <f>HYPERLINK("https://www.uniprot.org/uniprotkb/P14731/entry", "P14731")</f>
        <v/>
      </c>
      <c r="F9290" t="n">
        <v>45.5</v>
      </c>
      <c r="G9290" t="n">
        <v>488</v>
      </c>
      <c r="H9290" t="n">
        <v>5.35e-117</v>
      </c>
      <c r="I9290" t="inlineStr">
        <is>
          <t>Swiss-Prot</t>
        </is>
      </c>
      <c r="J9290" t="inlineStr">
        <is>
          <t>LMNB1</t>
        </is>
      </c>
      <c r="K9290" t="inlineStr">
        <is>
          <t>LMNB1_CHICK</t>
        </is>
      </c>
      <c r="L9290" t="inlineStr">
        <is>
          <t>sp|P14731|LMNB1_CHICK Lamin-B1 OS=Gallus gallus OX=9031 GN=LMNB1 PE=2 SV=1</t>
        </is>
      </c>
      <c r="M9290" t="n">
        <v>584</v>
      </c>
      <c r="N9290" t="inlineStr">
        <is>
          <t>Gallus gallus</t>
        </is>
      </c>
      <c r="O9290" t="inlineStr">
        <is>
          <t>Lamin-B1</t>
        </is>
      </c>
    </row>
    <row r="9291">
      <c r="A9291" t="inlineStr"/>
      <c r="B9291" t="inlineStr"/>
      <c r="C9291" t="inlineStr"/>
      <c r="D9291" t="inlineStr"/>
      <c r="E9291">
        <f>HYPERLINK("https://www.uniprot.org/uniprotkb/P21619/entry", "P21619")</f>
        <v/>
      </c>
      <c r="F9291" t="n">
        <v>53.8</v>
      </c>
      <c r="G9291" t="n">
        <v>500</v>
      </c>
      <c r="H9291" t="n">
        <v>5.07e-111</v>
      </c>
      <c r="I9291" t="inlineStr">
        <is>
          <t>Swiss-Prot</t>
        </is>
      </c>
      <c r="J9291" t="inlineStr">
        <is>
          <t>Lmnb2</t>
        </is>
      </c>
      <c r="K9291" t="inlineStr">
        <is>
          <t>LMNB2_MOUSE</t>
        </is>
      </c>
      <c r="L9291" t="inlineStr">
        <is>
          <t>sp|P21619|LMNB2_MOUSE Lamin-B2 OS=Mus musculus OX=10090 GN=Lmnb2 PE=1 SV=2</t>
        </is>
      </c>
      <c r="M9291" t="n">
        <v>596</v>
      </c>
      <c r="N9291" t="inlineStr">
        <is>
          <t>Mus musculus</t>
        </is>
      </c>
      <c r="O9291" t="inlineStr">
        <is>
          <t>Lamin-B2</t>
        </is>
      </c>
    </row>
    <row r="9292">
      <c r="A9292" t="inlineStr"/>
      <c r="B9292" t="inlineStr"/>
      <c r="C9292" t="inlineStr"/>
      <c r="D9292" t="inlineStr"/>
      <c r="E9292">
        <f>HYPERLINK("https://www.uniprot.org/uniprotkb/P14732/entry", "P14732")</f>
        <v/>
      </c>
      <c r="F9292" t="n">
        <v>43.1</v>
      </c>
      <c r="G9292" t="n">
        <v>508</v>
      </c>
      <c r="H9292" t="n">
        <v>1.95e-108</v>
      </c>
      <c r="I9292" t="inlineStr">
        <is>
          <t>Swiss-Prot</t>
        </is>
      </c>
      <c r="J9292" t="inlineStr">
        <is>
          <t>LMNB2</t>
        </is>
      </c>
      <c r="K9292" t="inlineStr">
        <is>
          <t>LMNB2_CHICK</t>
        </is>
      </c>
      <c r="L9292" t="inlineStr">
        <is>
          <t>sp|P14732|LMNB2_CHICK Lamin-B2 OS=Gallus gallus OX=9031 GN=LMNB2 PE=2 SV=1</t>
        </is>
      </c>
      <c r="M9292" t="n">
        <v>600</v>
      </c>
      <c r="N9292" t="inlineStr">
        <is>
          <t>Gallus gallus</t>
        </is>
      </c>
      <c r="O9292" t="inlineStr">
        <is>
          <t>Lamin-B2</t>
        </is>
      </c>
    </row>
    <row r="9293">
      <c r="A9293" t="inlineStr"/>
      <c r="B9293" t="inlineStr"/>
      <c r="C9293" t="inlineStr"/>
      <c r="D9293" t="inlineStr"/>
      <c r="E9293">
        <f>HYPERLINK("https://www.uniprot.org/uniprotkb/P10999/entry", "P10999")</f>
        <v/>
      </c>
      <c r="F9293" t="n">
        <v>53.5</v>
      </c>
      <c r="G9293" t="n">
        <v>490</v>
      </c>
      <c r="H9293" t="n">
        <v>8.22e-99</v>
      </c>
      <c r="I9293" t="inlineStr">
        <is>
          <t>Swiss-Prot</t>
        </is>
      </c>
      <c r="J9293" t="inlineStr"/>
      <c r="K9293" t="inlineStr">
        <is>
          <t>LAML3_XENLA</t>
        </is>
      </c>
      <c r="L9293" t="inlineStr">
        <is>
          <t>sp|P10999|LAML3_XENLA Lamin-L(III) OS=Xenopus laevis OX=8355 PE=2 SV=2</t>
        </is>
      </c>
      <c r="M9293" t="n">
        <v>583</v>
      </c>
      <c r="N9293" t="inlineStr">
        <is>
          <t>Xenopus laevis</t>
        </is>
      </c>
      <c r="O9293" t="inlineStr">
        <is>
          <t>Lamin-L(III)</t>
        </is>
      </c>
    </row>
    <row r="9294">
      <c r="A9294" t="inlineStr"/>
      <c r="B9294" t="inlineStr"/>
      <c r="C9294" t="inlineStr"/>
      <c r="D9294" t="inlineStr"/>
      <c r="E9294">
        <f>HYPERLINK("https://www.uniprot.org/uniprotkb/P14733/entry", "P14733")</f>
        <v/>
      </c>
      <c r="F9294" t="n">
        <v>43.3</v>
      </c>
      <c r="G9294" t="n">
        <v>464</v>
      </c>
      <c r="H9294" t="n">
        <v>3.75e-94</v>
      </c>
      <c r="I9294" t="inlineStr">
        <is>
          <t>Swiss-Prot</t>
        </is>
      </c>
      <c r="J9294" t="inlineStr">
        <is>
          <t>Lmnb1</t>
        </is>
      </c>
      <c r="K9294" t="inlineStr">
        <is>
          <t>LMNB1_MOUSE</t>
        </is>
      </c>
      <c r="L9294" t="inlineStr">
        <is>
          <t>sp|P14733|LMNB1_MOUSE Lamin-B1 OS=Mus musculus OX=10090 GN=Lmnb1 PE=1 SV=3</t>
        </is>
      </c>
      <c r="M9294" t="n">
        <v>588</v>
      </c>
      <c r="N9294" t="inlineStr">
        <is>
          <t>Mus musculus</t>
        </is>
      </c>
      <c r="O9294" t="inlineStr">
        <is>
          <t>Lamin-B1</t>
        </is>
      </c>
    </row>
    <row r="9295">
      <c r="A9295" t="inlineStr"/>
      <c r="B9295" t="inlineStr"/>
      <c r="C9295" t="inlineStr"/>
      <c r="D9295" t="inlineStr"/>
      <c r="E9295">
        <f>HYPERLINK("https://www.uniprot.org/uniprotkb/Q03252/entry", "Q03252")</f>
        <v/>
      </c>
      <c r="F9295" t="n">
        <v>51.7</v>
      </c>
      <c r="G9295" t="n">
        <v>480</v>
      </c>
      <c r="H9295" t="n">
        <v>9.97e-92</v>
      </c>
      <c r="I9295" t="inlineStr">
        <is>
          <t>Swiss-Prot</t>
        </is>
      </c>
      <c r="J9295" t="inlineStr">
        <is>
          <t>LMNB2</t>
        </is>
      </c>
      <c r="K9295" t="inlineStr">
        <is>
          <t>LMNB2_HUMAN</t>
        </is>
      </c>
      <c r="L9295" t="inlineStr">
        <is>
          <t>sp|Q03252|LMNB2_HUMAN Lamin-B2 OS=Homo sapiens OX=9606 GN=LMNB2 PE=1 SV=4</t>
        </is>
      </c>
      <c r="M9295" t="n">
        <v>620</v>
      </c>
      <c r="N9295" t="inlineStr">
        <is>
          <t>Homo sapiens</t>
        </is>
      </c>
      <c r="O9295" t="inlineStr">
        <is>
          <t>Lamin-B2</t>
        </is>
      </c>
    </row>
    <row r="9296">
      <c r="A9296" t="inlineStr"/>
      <c r="B9296" t="inlineStr"/>
      <c r="C9296" t="inlineStr"/>
      <c r="D9296" t="inlineStr"/>
      <c r="E9296">
        <f>HYPERLINK("https://www.uniprot.org/uniprotkb/P08928/entry", "P08928")</f>
        <v/>
      </c>
      <c r="F9296" t="n">
        <v>33.7</v>
      </c>
      <c r="G9296" t="n">
        <v>490</v>
      </c>
      <c r="H9296" t="n">
        <v>3.19e-57</v>
      </c>
      <c r="I9296" t="inlineStr">
        <is>
          <t>Swiss-Prot</t>
        </is>
      </c>
      <c r="J9296" t="inlineStr">
        <is>
          <t>Lam</t>
        </is>
      </c>
      <c r="K9296" t="inlineStr">
        <is>
          <t>LAM0_DROME</t>
        </is>
      </c>
      <c r="L9296" t="inlineStr">
        <is>
          <t>sp|P08928|LAM0_DROME Lamin Dm0 OS=Drosophila melanogaster OX=7227 GN=Lam PE=1 SV=4</t>
        </is>
      </c>
      <c r="M9296" t="n">
        <v>622</v>
      </c>
      <c r="N9296" t="inlineStr">
        <is>
          <t>Drosophila melanogaster</t>
        </is>
      </c>
      <c r="O9296" t="inlineStr">
        <is>
          <t>Lamin Dm0</t>
        </is>
      </c>
    </row>
    <row r="9297">
      <c r="A9297" t="inlineStr"/>
      <c r="B9297" t="inlineStr"/>
      <c r="C9297" t="inlineStr"/>
      <c r="D9297" t="inlineStr"/>
      <c r="E9297">
        <f>HYPERLINK("https://www.uniprot.org/uniprotkb/Q03427/entry", "Q03427")</f>
        <v/>
      </c>
      <c r="F9297" t="n">
        <v>31.9</v>
      </c>
      <c r="G9297" t="n">
        <v>504</v>
      </c>
      <c r="H9297" t="n">
        <v>4.04e-53</v>
      </c>
      <c r="I9297" t="inlineStr">
        <is>
          <t>Swiss-Prot</t>
        </is>
      </c>
      <c r="J9297" t="inlineStr">
        <is>
          <t>LamC</t>
        </is>
      </c>
      <c r="K9297" t="inlineStr">
        <is>
          <t>LAMC_DROME</t>
        </is>
      </c>
      <c r="L9297" t="inlineStr">
        <is>
          <t>sp|Q03427|LAMC_DROME Lamin-C OS=Drosophila melanogaster OX=7227 GN=LamC PE=1 SV=2</t>
        </is>
      </c>
      <c r="M9297" t="n">
        <v>621</v>
      </c>
      <c r="N9297" t="inlineStr">
        <is>
          <t>Drosophila melanogaster</t>
        </is>
      </c>
      <c r="O9297" t="inlineStr">
        <is>
          <t>Lamin-C</t>
        </is>
      </c>
    </row>
    <row r="9298">
      <c r="A9298" t="inlineStr"/>
      <c r="B9298" t="inlineStr"/>
      <c r="C9298" t="inlineStr"/>
      <c r="D9298" t="inlineStr"/>
      <c r="E9298">
        <f>HYPERLINK("https://www.uniprot.org/uniprotkb/Q21443/entry", "Q21443")</f>
        <v/>
      </c>
      <c r="F9298" t="n">
        <v>38.3</v>
      </c>
      <c r="G9298" t="n">
        <v>480</v>
      </c>
      <c r="H9298" t="n">
        <v>1.03e-35</v>
      </c>
      <c r="I9298" t="inlineStr">
        <is>
          <t>Swiss-Prot</t>
        </is>
      </c>
      <c r="J9298" t="inlineStr">
        <is>
          <t>lmn-1</t>
        </is>
      </c>
      <c r="K9298" t="inlineStr">
        <is>
          <t>LMN1_CAEEL</t>
        </is>
      </c>
      <c r="L9298" t="inlineStr">
        <is>
          <t>sp|Q21443|LMN1_CAEEL Lamin-1 OS=Caenorhabditis elegans OX=6239 GN=lmn-1 PE=1 SV=2</t>
        </is>
      </c>
      <c r="M9298" t="n">
        <v>566</v>
      </c>
      <c r="N9298" t="inlineStr">
        <is>
          <t>Caenorhabditis elegans</t>
        </is>
      </c>
      <c r="O9298" t="inlineStr">
        <is>
          <t>Lamin-1</t>
        </is>
      </c>
    </row>
    <row r="9299">
      <c r="A9299" t="inlineStr"/>
      <c r="B9299" t="inlineStr"/>
      <c r="C9299" t="inlineStr"/>
      <c r="D9299" t="inlineStr"/>
      <c r="E9299">
        <f>HYPERLINK("https://www.uniprot.org/uniprotkb/P23731/entry", "P23731")</f>
        <v/>
      </c>
      <c r="F9299" t="n">
        <v>27.5</v>
      </c>
      <c r="G9299" t="n">
        <v>466</v>
      </c>
      <c r="H9299" t="n">
        <v>9.300000000000001e-32</v>
      </c>
      <c r="I9299" t="inlineStr">
        <is>
          <t>Swiss-Prot</t>
        </is>
      </c>
      <c r="J9299" t="inlineStr"/>
      <c r="K9299" t="inlineStr">
        <is>
          <t>IFEB_ASCSU</t>
        </is>
      </c>
      <c r="L9299" t="inlineStr">
        <is>
          <t>sp|P23731|IFEB_ASCSU Intermediate filament protein B OS=Ascaris suum OX=6253 PE=1 SV=1</t>
        </is>
      </c>
      <c r="M9299" t="n">
        <v>589</v>
      </c>
      <c r="N9299" t="inlineStr">
        <is>
          <t>Ascaris suum</t>
        </is>
      </c>
      <c r="O9299" t="inlineStr">
        <is>
          <t>Intermediate filament protein B</t>
        </is>
      </c>
    </row>
    <row r="9300">
      <c r="A9300" t="inlineStr"/>
      <c r="B9300" t="inlineStr"/>
      <c r="C9300" t="inlineStr"/>
      <c r="D9300" t="inlineStr"/>
      <c r="E9300">
        <f>HYPERLINK("https://www.uniprot.org/uniprotkb/A0A125S9M5/entry", "A0A125S9M5")</f>
        <v/>
      </c>
      <c r="F9300" t="n">
        <v>26.9</v>
      </c>
      <c r="G9300" t="n">
        <v>502</v>
      </c>
      <c r="H9300" t="n">
        <v>1.08e-28</v>
      </c>
      <c r="I9300" t="inlineStr">
        <is>
          <t>Swiss-Prot</t>
        </is>
      </c>
      <c r="J9300" t="inlineStr"/>
      <c r="K9300" t="inlineStr">
        <is>
          <t>LMN2_HYPEX</t>
        </is>
      </c>
      <c r="L9300" t="inlineStr">
        <is>
          <t>sp|A0A125S9M5|LMN2_HYPEX Lamin-2 OS=Hypsibius exemplaris OX=2072580 PE=1 SV=1</t>
        </is>
      </c>
      <c r="M9300" t="n">
        <v>614</v>
      </c>
      <c r="N9300" t="inlineStr">
        <is>
          <t>Hypsibius exemplaris</t>
        </is>
      </c>
      <c r="O9300" t="inlineStr">
        <is>
          <t>Lamin-2</t>
        </is>
      </c>
    </row>
    <row r="9301">
      <c r="A9301" t="inlineStr"/>
      <c r="B9301" t="inlineStr"/>
      <c r="C9301" t="inlineStr"/>
      <c r="D9301" t="inlineStr"/>
      <c r="E9301">
        <f>HYPERLINK("https://www.uniprot.org/uniprotkb/Q19289/entry", "Q19289")</f>
        <v/>
      </c>
      <c r="F9301" t="n">
        <v>25.8</v>
      </c>
      <c r="G9301" t="n">
        <v>466</v>
      </c>
      <c r="H9301" t="n">
        <v>1.73e-28</v>
      </c>
      <c r="I9301" t="inlineStr">
        <is>
          <t>Swiss-Prot</t>
        </is>
      </c>
      <c r="J9301" t="inlineStr">
        <is>
          <t>ifb-1</t>
        </is>
      </c>
      <c r="K9301" t="inlineStr">
        <is>
          <t>IFB1_CAEEL</t>
        </is>
      </c>
      <c r="L9301" t="inlineStr">
        <is>
          <t>sp|Q19289|IFB1_CAEEL Intermediate filament protein ifb-1 OS=Caenorhabditis elegans OX=6239 GN=ifb-1 PE=1 SV=1</t>
        </is>
      </c>
      <c r="M9301" t="n">
        <v>589</v>
      </c>
      <c r="N9301" t="inlineStr">
        <is>
          <t>Caenorhabditis elegans</t>
        </is>
      </c>
      <c r="O9301" t="inlineStr">
        <is>
          <t>Intermediate filament protein ifb-1</t>
        </is>
      </c>
    </row>
    <row r="9302">
      <c r="A9302" t="inlineStr"/>
      <c r="B9302" t="inlineStr"/>
      <c r="C9302" t="inlineStr"/>
      <c r="D9302" t="inlineStr"/>
      <c r="E9302">
        <f>HYPERLINK("https://www.uniprot.org/uniprotkb/P90901/entry", "P90901")</f>
        <v/>
      </c>
      <c r="F9302" t="n">
        <v>31.1</v>
      </c>
      <c r="G9302" t="n">
        <v>483</v>
      </c>
      <c r="H9302" t="n">
        <v>5.3e-28</v>
      </c>
      <c r="I9302" t="inlineStr">
        <is>
          <t>Swiss-Prot</t>
        </is>
      </c>
      <c r="J9302" t="inlineStr">
        <is>
          <t>ifa-1</t>
        </is>
      </c>
      <c r="K9302" t="inlineStr">
        <is>
          <t>IFA1_CAEEL</t>
        </is>
      </c>
      <c r="L9302" t="inlineStr">
        <is>
          <t>sp|P90901|IFA1_CAEEL Intermediate filament protein ifa-1 OS=Caenorhabditis elegans OX=6239 GN=ifa-1 PE=1 SV=2</t>
        </is>
      </c>
      <c r="M9302" t="n">
        <v>575</v>
      </c>
      <c r="N9302" t="inlineStr">
        <is>
          <t>Caenorhabditis elegans</t>
        </is>
      </c>
      <c r="O9302" t="inlineStr">
        <is>
          <t>Intermediate filament protein ifa-1</t>
        </is>
      </c>
    </row>
    <row r="9303">
      <c r="A9303" t="inlineStr"/>
      <c r="B9303" t="inlineStr"/>
      <c r="C9303" t="inlineStr"/>
      <c r="D9303" t="inlineStr"/>
      <c r="E9303">
        <f>HYPERLINK("https://www.uniprot.org/uniprotkb/Q01241/entry", "Q01241")</f>
        <v/>
      </c>
      <c r="F9303" t="n">
        <v>25.8</v>
      </c>
      <c r="G9303" t="n">
        <v>492</v>
      </c>
      <c r="H9303" t="n">
        <v>6.469999999999999e-28</v>
      </c>
      <c r="I9303" t="inlineStr">
        <is>
          <t>Swiss-Prot</t>
        </is>
      </c>
      <c r="J9303" t="inlineStr"/>
      <c r="K9303" t="inlineStr">
        <is>
          <t>NF70_DORPE</t>
        </is>
      </c>
      <c r="L9303" t="inlineStr">
        <is>
          <t>sp|Q01241|NF70_DORPE 70 kDa neurofilament protein OS=Doryteuthis pealeii OX=1051067 PE=2 SV=1</t>
        </is>
      </c>
      <c r="M9303" t="n">
        <v>615</v>
      </c>
      <c r="N9303" t="inlineStr">
        <is>
          <t>Doryteuthis pealeii</t>
        </is>
      </c>
      <c r="O9303" t="inlineStr">
        <is>
          <t>70 kDa neurofilament protein</t>
        </is>
      </c>
    </row>
    <row r="9304">
      <c r="A9304" t="inlineStr"/>
      <c r="B9304" t="inlineStr"/>
      <c r="C9304" t="inlineStr"/>
      <c r="D9304" t="inlineStr"/>
      <c r="E9304">
        <f>HYPERLINK("https://www.uniprot.org/uniprotkb/P23239/entry", "P23239")</f>
        <v/>
      </c>
      <c r="F9304" t="n">
        <v>29.3</v>
      </c>
      <c r="G9304" t="n">
        <v>365</v>
      </c>
      <c r="H9304" t="n">
        <v>9.21e-28</v>
      </c>
      <c r="I9304" t="inlineStr">
        <is>
          <t>Swiss-Prot</t>
        </is>
      </c>
      <c r="J9304" t="inlineStr">
        <is>
          <t>des</t>
        </is>
      </c>
      <c r="K9304" t="inlineStr">
        <is>
          <t>DESM_XENLA</t>
        </is>
      </c>
      <c r="L9304" t="inlineStr">
        <is>
          <t>sp|P23239|DESM_XENLA Desmin OS=Xenopus laevis OX=8355 GN=des PE=2 SV=1</t>
        </is>
      </c>
      <c r="M9304" t="n">
        <v>458</v>
      </c>
      <c r="N9304" t="inlineStr">
        <is>
          <t>Xenopus laevis</t>
        </is>
      </c>
      <c r="O9304" t="inlineStr">
        <is>
          <t>Desmin</t>
        </is>
      </c>
    </row>
    <row r="9305">
      <c r="A9305" t="inlineStr">
        <is>
          <t>NODE_77759_length_2122_cov_43.786861_g27994_i0</t>
        </is>
      </c>
      <c r="B9305" t="inlineStr">
        <is>
          <t>bombina_pachypus_blastx</t>
        </is>
      </c>
      <c r="C9305" t="n">
        <v>6.3253162760782</v>
      </c>
      <c r="D9305" t="n">
        <v>0.0265150640621928</v>
      </c>
      <c r="E9305">
        <f>HYPERLINK("https://www.ncbi.nlm.nih.gov/gene/?term=XP_053320105.1", "XP_053320105.1")</f>
        <v/>
      </c>
      <c r="F9305" t="n">
        <v>34.4</v>
      </c>
      <c r="G9305" t="n">
        <v>93</v>
      </c>
      <c r="H9305" t="n">
        <v>3.8e-05</v>
      </c>
      <c r="I9305" t="inlineStr">
        <is>
          <t>Nr</t>
        </is>
      </c>
      <c r="J9305" t="inlineStr"/>
      <c r="K9305" t="inlineStr"/>
      <c r="L9305" t="inlineStr">
        <is>
          <t>XP_053320105.1 uncharacterized protein LOC128491807 [Spea bombifrons]</t>
        </is>
      </c>
      <c r="M9305" t="n">
        <v>246</v>
      </c>
      <c r="N9305" t="inlineStr">
        <is>
          <t>Spea bombifrons</t>
        </is>
      </c>
      <c r="O9305" t="inlineStr">
        <is>
          <t>uncharacterized protein LOC128491807</t>
        </is>
      </c>
    </row>
    <row r="9306">
      <c r="A9306" t="inlineStr"/>
      <c r="B9306" t="inlineStr"/>
      <c r="C9306" t="inlineStr"/>
      <c r="D9306" t="inlineStr"/>
      <c r="E9306">
        <f>HYPERLINK("https://www.ncbi.nlm.nih.gov/gene/?term=XP_053320391.1", "XP_053320391.1")</f>
        <v/>
      </c>
      <c r="F9306" t="n">
        <v>34.4</v>
      </c>
      <c r="G9306" t="n">
        <v>93</v>
      </c>
      <c r="H9306" t="n">
        <v>5.08e-05</v>
      </c>
      <c r="I9306" t="inlineStr">
        <is>
          <t>Nr</t>
        </is>
      </c>
      <c r="J9306" t="inlineStr"/>
      <c r="K9306" t="inlineStr"/>
      <c r="L9306" t="inlineStr">
        <is>
          <t>XP_053320391.1 uncharacterized protein LOC128492006 [Spea bombifrons]</t>
        </is>
      </c>
      <c r="M9306" t="n">
        <v>349</v>
      </c>
      <c r="N9306" t="inlineStr">
        <is>
          <t>Spea bombifrons</t>
        </is>
      </c>
      <c r="O9306" t="inlineStr">
        <is>
          <t>uncharacterized protein LOC128492006</t>
        </is>
      </c>
    </row>
    <row r="9307">
      <c r="A9307" t="inlineStr"/>
      <c r="B9307" t="inlineStr"/>
      <c r="C9307" t="inlineStr"/>
      <c r="D9307" t="inlineStr"/>
      <c r="E9307">
        <f>HYPERLINK("https://www.ncbi.nlm.nih.gov/gene/?term=XP_053320194.1", "XP_053320194.1")</f>
        <v/>
      </c>
      <c r="F9307" t="n">
        <v>30.4</v>
      </c>
      <c r="G9307" t="n">
        <v>112</v>
      </c>
      <c r="H9307" t="n">
        <v>0.000836</v>
      </c>
      <c r="I9307" t="inlineStr">
        <is>
          <t>Nr</t>
        </is>
      </c>
      <c r="J9307" t="inlineStr"/>
      <c r="K9307" t="inlineStr"/>
      <c r="L9307" t="inlineStr">
        <is>
          <t>XP_053320194.1 uncharacterized protein LOC128491860 [Spea bombifrons]</t>
        </is>
      </c>
      <c r="M9307" t="n">
        <v>359</v>
      </c>
      <c r="N9307" t="inlineStr">
        <is>
          <t>Spea bombifrons</t>
        </is>
      </c>
      <c r="O9307" t="inlineStr">
        <is>
          <t>uncharacterized protein LOC128491860</t>
        </is>
      </c>
    </row>
    <row r="9308">
      <c r="A9308" t="inlineStr">
        <is>
          <t>NODE_77802_length_2121_cov_223.140214_g18159_i1</t>
        </is>
      </c>
      <c r="B9308" t="inlineStr">
        <is>
          <t>bombina_pachypus_blastx</t>
        </is>
      </c>
      <c r="C9308" t="n">
        <v>3.90272732347753</v>
      </c>
      <c r="D9308" t="n">
        <v>0.0006439046285544</v>
      </c>
      <c r="E9308">
        <f>HYPERLINK("https://www.ncbi.nlm.nih.gov/gene/?term=XP_044146119.1", "XP_044146119.1")</f>
        <v/>
      </c>
      <c r="F9308" t="n">
        <v>83.8</v>
      </c>
      <c r="G9308" t="n">
        <v>437</v>
      </c>
      <c r="H9308" t="n">
        <v>3.3e-221</v>
      </c>
      <c r="I9308" t="inlineStr">
        <is>
          <t>Nr</t>
        </is>
      </c>
      <c r="J9308" t="inlineStr"/>
      <c r="K9308" t="inlineStr"/>
      <c r="L9308" t="inlineStr">
        <is>
          <t>XP_044146119.1 tetratricopeptide repeat protein 27 [Bufo gargarizans]</t>
        </is>
      </c>
      <c r="M9308" t="n">
        <v>840</v>
      </c>
      <c r="N9308" t="inlineStr">
        <is>
          <t>Bufo gargarizans</t>
        </is>
      </c>
      <c r="O9308" t="inlineStr">
        <is>
          <t>tetratricopeptide repeat protein 27</t>
        </is>
      </c>
    </row>
    <row r="9309">
      <c r="A9309" t="inlineStr"/>
      <c r="B9309" t="inlineStr"/>
      <c r="C9309" t="inlineStr"/>
      <c r="D9309" t="inlineStr"/>
      <c r="E9309">
        <f>HYPERLINK("https://www.ncbi.nlm.nih.gov/gene/?term=XP_040285489.1", "XP_040285489.1")</f>
        <v/>
      </c>
      <c r="F9309" t="n">
        <v>83.8</v>
      </c>
      <c r="G9309" t="n">
        <v>437</v>
      </c>
      <c r="H9309" t="n">
        <v>4.67e-221</v>
      </c>
      <c r="I9309" t="inlineStr">
        <is>
          <t>Nr</t>
        </is>
      </c>
      <c r="J9309" t="inlineStr"/>
      <c r="K9309" t="inlineStr"/>
      <c r="L9309" t="inlineStr">
        <is>
          <t>XP_040285489.1 tetratricopeptide repeat protein 27 [Bufo bufo]</t>
        </is>
      </c>
      <c r="M9309" t="n">
        <v>840</v>
      </c>
      <c r="N9309" t="inlineStr">
        <is>
          <t>Bufo bufo</t>
        </is>
      </c>
      <c r="O9309" t="inlineStr">
        <is>
          <t>tetratricopeptide repeat protein 27</t>
        </is>
      </c>
    </row>
    <row r="9310">
      <c r="A9310" t="inlineStr"/>
      <c r="B9310" t="inlineStr"/>
      <c r="C9310" t="inlineStr"/>
      <c r="D9310" t="inlineStr"/>
      <c r="E9310">
        <f>HYPERLINK("https://www.uniprot.org/uniprotkb/A0A8J6F9S3/entry", "A0A8J6F9S3")</f>
        <v/>
      </c>
      <c r="F9310" t="n">
        <v>81.90000000000001</v>
      </c>
      <c r="G9310" t="n">
        <v>437</v>
      </c>
      <c r="H9310" t="n">
        <v>1.87e-213</v>
      </c>
      <c r="I9310" t="inlineStr">
        <is>
          <t>TrEMBL</t>
        </is>
      </c>
      <c r="J9310" t="inlineStr">
        <is>
          <t>GDO78_009836</t>
        </is>
      </c>
      <c r="K9310" t="inlineStr">
        <is>
          <t>A0A8J6F9S3_ELECQ</t>
        </is>
      </c>
      <c r="L9310" t="inlineStr">
        <is>
          <t>tr|A0A8J6F9S3|A0A8J6F9S3_ELECQ Tetratricopeptide repeat protein 27 OS=Eleutherodactylus coqui OX=57060 GN=GDO78_009836 PE=3 SV=1</t>
        </is>
      </c>
      <c r="M9310" t="n">
        <v>840</v>
      </c>
      <c r="N9310" t="inlineStr">
        <is>
          <t>Eleutherodactylus coqui</t>
        </is>
      </c>
      <c r="O9310" t="inlineStr">
        <is>
          <t>Tetratricopeptide repeat protein 27</t>
        </is>
      </c>
    </row>
    <row r="9311">
      <c r="A9311" t="inlineStr"/>
      <c r="B9311" t="inlineStr"/>
      <c r="C9311" t="inlineStr"/>
      <c r="D9311" t="inlineStr"/>
      <c r="E9311">
        <f>HYPERLINK("https://www.ncbi.nlm.nih.gov/gene/?term=KAG9484142.1", "KAG9484142.1")</f>
        <v/>
      </c>
      <c r="F9311" t="n">
        <v>81.90000000000001</v>
      </c>
      <c r="G9311" t="n">
        <v>437</v>
      </c>
      <c r="H9311" t="n">
        <v>4.81e-213</v>
      </c>
      <c r="I9311" t="inlineStr">
        <is>
          <t>Nr</t>
        </is>
      </c>
      <c r="J9311" t="inlineStr"/>
      <c r="K9311" t="inlineStr"/>
      <c r="L9311" t="inlineStr">
        <is>
          <t>KAG9484142.1 hypothetical protein GDO78_009836 [Eleutherodactylus coqui]</t>
        </is>
      </c>
      <c r="M9311" t="n">
        <v>840</v>
      </c>
      <c r="N9311" t="inlineStr">
        <is>
          <t>Eleutherodactylus coqui</t>
        </is>
      </c>
      <c r="O9311" t="inlineStr">
        <is>
          <t>hypothetical protein GDO78_009836</t>
        </is>
      </c>
    </row>
    <row r="9312">
      <c r="A9312" t="inlineStr"/>
      <c r="B9312" t="inlineStr"/>
      <c r="C9312" t="inlineStr"/>
      <c r="D9312" t="inlineStr"/>
      <c r="E9312">
        <f>HYPERLINK("https://www.uniprot.org/uniprotkb/A0A8C5MD86/entry", "A0A8C5MD86")</f>
        <v/>
      </c>
      <c r="F9312" t="n">
        <v>81.90000000000001</v>
      </c>
      <c r="G9312" t="n">
        <v>437</v>
      </c>
      <c r="H9312" t="n">
        <v>6.680000000000001e-212</v>
      </c>
      <c r="I9312" t="inlineStr">
        <is>
          <t>TrEMBL</t>
        </is>
      </c>
      <c r="J9312" t="inlineStr">
        <is>
          <t>TTC27</t>
        </is>
      </c>
      <c r="K9312" t="inlineStr">
        <is>
          <t>A0A8C5MD86_9ANUR</t>
        </is>
      </c>
      <c r="L9312" t="inlineStr">
        <is>
          <t>tr|A0A8C5MD86|A0A8C5MD86_9ANUR Tetratricopeptide repeat protein 27 OS=Leptobrachium leishanense OX=445787 GN=TTC27 PE=3 SV=1</t>
        </is>
      </c>
      <c r="M9312" t="n">
        <v>832</v>
      </c>
      <c r="N9312" t="inlineStr">
        <is>
          <t>Leptobrachium leishanense</t>
        </is>
      </c>
      <c r="O9312" t="inlineStr">
        <is>
          <t>Tetratricopeptide repeat protein 27</t>
        </is>
      </c>
    </row>
    <row r="9313">
      <c r="A9313" t="inlineStr"/>
      <c r="B9313" t="inlineStr"/>
      <c r="C9313" t="inlineStr"/>
      <c r="D9313" t="inlineStr"/>
      <c r="E9313">
        <f>HYPERLINK("https://www.uniprot.org/uniprotkb/A0A8C5MB33/entry", "A0A8C5MB33")</f>
        <v/>
      </c>
      <c r="F9313" t="n">
        <v>81.90000000000001</v>
      </c>
      <c r="G9313" t="n">
        <v>437</v>
      </c>
      <c r="H9313" t="n">
        <v>9.750000000000001e-212</v>
      </c>
      <c r="I9313" t="inlineStr">
        <is>
          <t>TrEMBL</t>
        </is>
      </c>
      <c r="J9313" t="inlineStr">
        <is>
          <t>TTC27</t>
        </is>
      </c>
      <c r="K9313" t="inlineStr">
        <is>
          <t>A0A8C5MB33_9ANUR</t>
        </is>
      </c>
      <c r="L9313" t="inlineStr">
        <is>
          <t>tr|A0A8C5MB33|A0A8C5MB33_9ANUR Tetratricopeptide repeat protein 27 OS=Leptobrachium leishanense OX=445787 GN=TTC27 PE=3 SV=1</t>
        </is>
      </c>
      <c r="M9313" t="n">
        <v>844</v>
      </c>
      <c r="N9313" t="inlineStr">
        <is>
          <t>Leptobrachium leishanense</t>
        </is>
      </c>
      <c r="O9313" t="inlineStr">
        <is>
          <t>Tetratricopeptide repeat protein 27</t>
        </is>
      </c>
    </row>
    <row r="9314">
      <c r="A9314" t="inlineStr"/>
      <c r="B9314" t="inlineStr"/>
      <c r="C9314" t="inlineStr"/>
      <c r="D9314" t="inlineStr"/>
      <c r="E9314">
        <f>HYPERLINK("https://www.ncbi.nlm.nih.gov/gene/?term=XP_018408396.1", "XP_018408396.1")</f>
        <v/>
      </c>
      <c r="F9314" t="n">
        <v>82.2</v>
      </c>
      <c r="G9314" t="n">
        <v>437</v>
      </c>
      <c r="H9314" t="n">
        <v>1.39e-209</v>
      </c>
      <c r="I9314" t="inlineStr">
        <is>
          <t>Nr</t>
        </is>
      </c>
      <c r="J9314" t="inlineStr"/>
      <c r="K9314" t="inlineStr"/>
      <c r="L9314" t="inlineStr">
        <is>
          <t>XP_018408396.1 PREDICTED: tetratricopeptide repeat protein 27 [Nanorana parkeri]</t>
        </is>
      </c>
      <c r="M9314" t="n">
        <v>839</v>
      </c>
      <c r="N9314" t="inlineStr">
        <is>
          <t>Nanorana parkeri</t>
        </is>
      </c>
      <c r="O9314" t="inlineStr">
        <is>
          <t>PREDICTED: tetratricopeptide repeat protein 27</t>
        </is>
      </c>
    </row>
    <row r="9315">
      <c r="A9315" t="inlineStr"/>
      <c r="B9315" t="inlineStr"/>
      <c r="C9315" t="inlineStr"/>
      <c r="D9315" t="inlineStr"/>
      <c r="E9315">
        <f>HYPERLINK("https://www.ncbi.nlm.nih.gov/gene/?term=XP_040206747.1", "XP_040206747.1")</f>
        <v/>
      </c>
      <c r="F9315" t="n">
        <v>81.5</v>
      </c>
      <c r="G9315" t="n">
        <v>437</v>
      </c>
      <c r="H9315" t="n">
        <v>1.97e-209</v>
      </c>
      <c r="I9315" t="inlineStr">
        <is>
          <t>Nr</t>
        </is>
      </c>
      <c r="J9315" t="inlineStr"/>
      <c r="K9315" t="inlineStr"/>
      <c r="L9315" t="inlineStr">
        <is>
          <t>XP_040206747.1 tetratricopeptide repeat protein 27 isoform X1 [Rana temporaria]</t>
        </is>
      </c>
      <c r="M9315" t="n">
        <v>839</v>
      </c>
      <c r="N9315" t="inlineStr">
        <is>
          <t>Rana temporaria</t>
        </is>
      </c>
      <c r="O9315" t="inlineStr">
        <is>
          <t>tetratricopeptide repeat protein 27 isoform X1</t>
        </is>
      </c>
    </row>
    <row r="9316">
      <c r="A9316" t="inlineStr"/>
      <c r="B9316" t="inlineStr"/>
      <c r="C9316" t="inlineStr"/>
      <c r="D9316" t="inlineStr"/>
      <c r="E9316">
        <f>HYPERLINK("https://www.ncbi.nlm.nih.gov/gene/?term=KAG8583580.1", "KAG8583580.1")</f>
        <v/>
      </c>
      <c r="F9316" t="n">
        <v>81</v>
      </c>
      <c r="G9316" t="n">
        <v>437</v>
      </c>
      <c r="H9316" t="n">
        <v>2.89e-209</v>
      </c>
      <c r="I9316" t="inlineStr">
        <is>
          <t>Nr</t>
        </is>
      </c>
      <c r="J9316" t="inlineStr"/>
      <c r="K9316" t="inlineStr"/>
      <c r="L9316" t="inlineStr">
        <is>
          <t>KAG8583580.1 hypothetical protein GDO81_008470 [Engystomops pustulosus]</t>
        </is>
      </c>
      <c r="M9316" t="n">
        <v>807</v>
      </c>
      <c r="N9316" t="inlineStr">
        <is>
          <t>Engystomops pustulosus</t>
        </is>
      </c>
      <c r="O9316" t="inlineStr">
        <is>
          <t>hypothetical protein GDO81_008470</t>
        </is>
      </c>
    </row>
    <row r="9317">
      <c r="A9317" t="inlineStr"/>
      <c r="B9317" t="inlineStr"/>
      <c r="C9317" t="inlineStr"/>
      <c r="D9317" t="inlineStr"/>
      <c r="E9317">
        <f>HYPERLINK("https://www.ncbi.nlm.nih.gov/gene/?term=XP_053315084.1", "XP_053315084.1")</f>
        <v/>
      </c>
      <c r="F9317" t="n">
        <v>79.8</v>
      </c>
      <c r="G9317" t="n">
        <v>436</v>
      </c>
      <c r="H9317" t="n">
        <v>7.57e-206</v>
      </c>
      <c r="I9317" t="inlineStr">
        <is>
          <t>Nr</t>
        </is>
      </c>
      <c r="J9317" t="inlineStr"/>
      <c r="K9317" t="inlineStr"/>
      <c r="L9317" t="inlineStr">
        <is>
          <t>XP_053315084.1 tetratricopeptide repeat protein 27 [Spea bombifrons]</t>
        </is>
      </c>
      <c r="M9317" t="n">
        <v>836</v>
      </c>
      <c r="N9317" t="inlineStr">
        <is>
          <t>Spea bombifrons</t>
        </is>
      </c>
      <c r="O9317" t="inlineStr">
        <is>
          <t>tetratricopeptide repeat protein 27</t>
        </is>
      </c>
    </row>
    <row r="9318">
      <c r="A9318" t="inlineStr"/>
      <c r="B9318" t="inlineStr"/>
      <c r="C9318" t="inlineStr"/>
      <c r="D9318" t="inlineStr"/>
      <c r="E9318">
        <f>HYPERLINK("https://www.uniprot.org/uniprotkb/A0A8T2JNU1/entry", "A0A8T2JNU1")</f>
        <v/>
      </c>
      <c r="F9318" t="n">
        <v>79.40000000000001</v>
      </c>
      <c r="G9318" t="n">
        <v>437</v>
      </c>
      <c r="H9318" t="n">
        <v>3.95e-204</v>
      </c>
      <c r="I9318" t="inlineStr">
        <is>
          <t>TrEMBL</t>
        </is>
      </c>
      <c r="J9318" t="inlineStr">
        <is>
          <t>GDO86_009362</t>
        </is>
      </c>
      <c r="K9318" t="inlineStr">
        <is>
          <t>A0A8T2JNU1_9PIPI</t>
        </is>
      </c>
      <c r="L9318" t="inlineStr">
        <is>
          <t>tr|A0A8T2JNU1|A0A8T2JNU1_9PIPI Tetratricopeptide repeat protein 27 OS=Hymenochirus boettgeri OX=247094 GN=GDO86_009362 PE=3 SV=1</t>
        </is>
      </c>
      <c r="M9318" t="n">
        <v>664</v>
      </c>
      <c r="N9318" t="inlineStr">
        <is>
          <t>Hymenochirus boettgeri</t>
        </is>
      </c>
      <c r="O9318" t="inlineStr">
        <is>
          <t>Tetratricopeptide repeat protein 27</t>
        </is>
      </c>
    </row>
    <row r="9319">
      <c r="A9319" t="inlineStr"/>
      <c r="B9319" t="inlineStr"/>
      <c r="C9319" t="inlineStr"/>
      <c r="D9319" t="inlineStr"/>
      <c r="E9319">
        <f>HYPERLINK("https://www.ncbi.nlm.nih.gov/gene/?term=KAG8444146.1", "KAG8444146.1")</f>
        <v/>
      </c>
      <c r="F9319" t="n">
        <v>79.40000000000001</v>
      </c>
      <c r="G9319" t="n">
        <v>437</v>
      </c>
      <c r="H9319" t="n">
        <v>1.01e-203</v>
      </c>
      <c r="I9319" t="inlineStr">
        <is>
          <t>Nr</t>
        </is>
      </c>
      <c r="J9319" t="inlineStr"/>
      <c r="K9319" t="inlineStr"/>
      <c r="L9319" t="inlineStr">
        <is>
          <t>KAG8444146.1 hypothetical protein GDO86_009362 [Hymenochirus boettgeri]</t>
        </is>
      </c>
      <c r="M9319" t="n">
        <v>664</v>
      </c>
      <c r="N9319" t="inlineStr">
        <is>
          <t>Hymenochirus boettgeri</t>
        </is>
      </c>
      <c r="O9319" t="inlineStr">
        <is>
          <t>hypothetical protein GDO86_009362</t>
        </is>
      </c>
    </row>
    <row r="9320">
      <c r="A9320" t="inlineStr"/>
      <c r="B9320" t="inlineStr"/>
      <c r="C9320" t="inlineStr"/>
      <c r="D9320" t="inlineStr"/>
      <c r="E9320">
        <f>HYPERLINK("https://www.uniprot.org/uniprotkb/A0A6I8QYT2/entry", "A0A6I8QYT2")</f>
        <v/>
      </c>
      <c r="F9320" t="n">
        <v>79.40000000000001</v>
      </c>
      <c r="G9320" t="n">
        <v>437</v>
      </c>
      <c r="H9320" t="n">
        <v>6.31e-202</v>
      </c>
      <c r="I9320" t="inlineStr">
        <is>
          <t>TrEMBL</t>
        </is>
      </c>
      <c r="J9320" t="inlineStr">
        <is>
          <t>ttc27</t>
        </is>
      </c>
      <c r="K9320" t="inlineStr">
        <is>
          <t>A0A6I8QYT2_XENTR</t>
        </is>
      </c>
      <c r="L9320" t="inlineStr">
        <is>
          <t>tr|A0A6I8QYT2|A0A6I8QYT2_XENTR Tetratricopeptide repeat protein 27 OS=Xenopus tropicalis OX=8364 GN=ttc27 PE=3 SV=2</t>
        </is>
      </c>
      <c r="M9320" t="n">
        <v>788</v>
      </c>
      <c r="N9320" t="inlineStr">
        <is>
          <t>Xenopus tropicalis</t>
        </is>
      </c>
      <c r="O9320" t="inlineStr">
        <is>
          <t>Tetratricopeptide repeat protein 27</t>
        </is>
      </c>
    </row>
    <row r="9321">
      <c r="A9321" t="inlineStr"/>
      <c r="B9321" t="inlineStr"/>
      <c r="C9321" t="inlineStr"/>
      <c r="D9321" t="inlineStr"/>
      <c r="E9321">
        <f>HYPERLINK("https://www.uniprot.org/uniprotkb/A0A6I8RZ65/entry", "A0A6I8RZ65")</f>
        <v/>
      </c>
      <c r="F9321" t="n">
        <v>79.40000000000001</v>
      </c>
      <c r="G9321" t="n">
        <v>437</v>
      </c>
      <c r="H9321" t="n">
        <v>3.11e-201</v>
      </c>
      <c r="I9321" t="inlineStr">
        <is>
          <t>TrEMBL</t>
        </is>
      </c>
      <c r="J9321" t="inlineStr">
        <is>
          <t>ttc27</t>
        </is>
      </c>
      <c r="K9321" t="inlineStr">
        <is>
          <t>A0A6I8RZ65_XENTR</t>
        </is>
      </c>
      <c r="L9321" t="inlineStr">
        <is>
          <t>tr|A0A6I8RZ65|A0A6I8RZ65_XENTR Tetratricopeptide repeat protein 27 OS=Xenopus tropicalis OX=8364 GN=ttc27 PE=3 SV=2</t>
        </is>
      </c>
      <c r="M9321" t="n">
        <v>839</v>
      </c>
      <c r="N9321" t="inlineStr">
        <is>
          <t>Xenopus tropicalis</t>
        </is>
      </c>
      <c r="O9321" t="inlineStr">
        <is>
          <t>Tetratricopeptide repeat protein 27</t>
        </is>
      </c>
    </row>
    <row r="9322">
      <c r="A9322" t="inlineStr"/>
      <c r="B9322" t="inlineStr"/>
      <c r="C9322" t="inlineStr"/>
      <c r="D9322" t="inlineStr"/>
      <c r="E9322">
        <f>HYPERLINK("https://www.ncbi.nlm.nih.gov/gene/?term=XP_002934504.2", "XP_002934504.2")</f>
        <v/>
      </c>
      <c r="F9322" t="n">
        <v>79.40000000000001</v>
      </c>
      <c r="G9322" t="n">
        <v>437</v>
      </c>
      <c r="H9322" t="n">
        <v>7.99e-201</v>
      </c>
      <c r="I9322" t="inlineStr">
        <is>
          <t>Nr</t>
        </is>
      </c>
      <c r="J9322" t="inlineStr"/>
      <c r="K9322" t="inlineStr"/>
      <c r="L9322" t="inlineStr">
        <is>
          <t>XP_002934504.2 tetratricopeptide repeat protein 27 [Xenopus tropicalis]</t>
        </is>
      </c>
      <c r="M9322" t="n">
        <v>839</v>
      </c>
      <c r="N9322" t="inlineStr">
        <is>
          <t>Xenopus tropicalis</t>
        </is>
      </c>
      <c r="O9322" t="inlineStr">
        <is>
          <t>tetratricopeptide repeat protein 27</t>
        </is>
      </c>
    </row>
    <row r="9323">
      <c r="A9323" t="inlineStr"/>
      <c r="B9323" t="inlineStr"/>
      <c r="C9323" t="inlineStr"/>
      <c r="D9323" t="inlineStr"/>
      <c r="E9323">
        <f>HYPERLINK("https://www.uniprot.org/uniprotkb/A0A6I8R727/entry", "A0A6I8R727")</f>
        <v/>
      </c>
      <c r="F9323" t="n">
        <v>79.40000000000001</v>
      </c>
      <c r="G9323" t="n">
        <v>437</v>
      </c>
      <c r="H9323" t="n">
        <v>8.06e-201</v>
      </c>
      <c r="I9323" t="inlineStr">
        <is>
          <t>TrEMBL</t>
        </is>
      </c>
      <c r="J9323" t="inlineStr">
        <is>
          <t>ttc27</t>
        </is>
      </c>
      <c r="K9323" t="inlineStr">
        <is>
          <t>A0A6I8R727_XENTR</t>
        </is>
      </c>
      <c r="L9323" t="inlineStr">
        <is>
          <t>tr|A0A6I8R727|A0A6I8R727_XENTR Tetratricopeptide repeat protein 27 OS=Xenopus tropicalis OX=8364 GN=ttc27 PE=3 SV=2</t>
        </is>
      </c>
      <c r="M9323" t="n">
        <v>870</v>
      </c>
      <c r="N9323" t="inlineStr">
        <is>
          <t>Xenopus tropicalis</t>
        </is>
      </c>
      <c r="O9323" t="inlineStr">
        <is>
          <t>Tetratricopeptide repeat protein 27</t>
        </is>
      </c>
    </row>
    <row r="9324">
      <c r="A9324" t="inlineStr"/>
      <c r="B9324" t="inlineStr"/>
      <c r="C9324" t="inlineStr"/>
      <c r="D9324" t="inlineStr"/>
      <c r="E9324">
        <f>HYPERLINK("https://www.uniprot.org/uniprotkb/A0A093PYS0/entry", "A0A093PYS0")</f>
        <v/>
      </c>
      <c r="F9324" t="n">
        <v>75.90000000000001</v>
      </c>
      <c r="G9324" t="n">
        <v>436</v>
      </c>
      <c r="H9324" t="n">
        <v>3.210000000000001e-200</v>
      </c>
      <c r="I9324" t="inlineStr">
        <is>
          <t>TrEMBL</t>
        </is>
      </c>
      <c r="J9324" t="inlineStr">
        <is>
          <t>N336_11377</t>
        </is>
      </c>
      <c r="K9324" t="inlineStr">
        <is>
          <t>A0A093PYS0_PHACA</t>
        </is>
      </c>
      <c r="L9324" t="inlineStr">
        <is>
          <t>tr|A0A093PYS0|A0A093PYS0_PHACA Tetratricopeptide repeat protein 27 (Fragment) OS=Phalacrocorax carbo OX=9209 GN=N336_11377 PE=3 SV=1</t>
        </is>
      </c>
      <c r="M9324" t="n">
        <v>469</v>
      </c>
      <c r="N9324" t="inlineStr">
        <is>
          <t>Phalacrocorax carbo</t>
        </is>
      </c>
      <c r="O9324" t="inlineStr">
        <is>
          <t>Tetratricopeptide repeat protein 27 (Fragment)</t>
        </is>
      </c>
    </row>
    <row r="9325">
      <c r="A9325" t="inlineStr"/>
      <c r="B9325" t="inlineStr"/>
      <c r="C9325" t="inlineStr"/>
      <c r="D9325" t="inlineStr"/>
      <c r="E9325">
        <f>HYPERLINK("https://www.ncbi.nlm.nih.gov/gene/?term=KFW81546.1", "KFW81546.1")</f>
        <v/>
      </c>
      <c r="F9325" t="n">
        <v>75.90000000000001</v>
      </c>
      <c r="G9325" t="n">
        <v>436</v>
      </c>
      <c r="H9325" t="n">
        <v>8.250000000000001e-200</v>
      </c>
      <c r="I9325" t="inlineStr">
        <is>
          <t>Nr</t>
        </is>
      </c>
      <c r="J9325" t="inlineStr"/>
      <c r="K9325" t="inlineStr"/>
      <c r="L9325" t="inlineStr">
        <is>
          <t>KFW81546.1 Tetratricopeptide repeat protein 27, partial [Phalacrocorax carbo]</t>
        </is>
      </c>
      <c r="M9325" t="n">
        <v>469</v>
      </c>
      <c r="N9325" t="inlineStr">
        <is>
          <t>Phalacrocorax carbo</t>
        </is>
      </c>
      <c r="O9325" t="inlineStr">
        <is>
          <t>Tetratricopeptide repeat protein 27, partial</t>
        </is>
      </c>
    </row>
    <row r="9326">
      <c r="A9326" t="inlineStr"/>
      <c r="B9326" t="inlineStr"/>
      <c r="C9326" t="inlineStr"/>
      <c r="D9326" t="inlineStr"/>
      <c r="E9326">
        <f>HYPERLINK("https://www.ncbi.nlm.nih.gov/gene/?term=XP_009512246.1", "XP_009512246.1")</f>
        <v/>
      </c>
      <c r="F9326" t="n">
        <v>75.90000000000001</v>
      </c>
      <c r="G9326" t="n">
        <v>436</v>
      </c>
      <c r="H9326" t="n">
        <v>1.18e-199</v>
      </c>
      <c r="I9326" t="inlineStr">
        <is>
          <t>Nr</t>
        </is>
      </c>
      <c r="J9326" t="inlineStr"/>
      <c r="K9326" t="inlineStr"/>
      <c r="L9326" t="inlineStr">
        <is>
          <t>XP_009512246.1 PREDICTED: tetratricopeptide repeat protein 27 [Phalacrocorax carbo]</t>
        </is>
      </c>
      <c r="M9326" t="n">
        <v>479</v>
      </c>
      <c r="N9326" t="inlineStr">
        <is>
          <t>Phalacrocorax carbo</t>
        </is>
      </c>
      <c r="O9326" t="inlineStr">
        <is>
          <t>PREDICTED: tetratricopeptide repeat protein 27</t>
        </is>
      </c>
    </row>
    <row r="9327">
      <c r="A9327" t="inlineStr"/>
      <c r="B9327" t="inlineStr"/>
      <c r="C9327" t="inlineStr"/>
      <c r="D9327" t="inlineStr"/>
      <c r="E9327">
        <f>HYPERLINK("https://www.uniprot.org/uniprotkb/A0A1L8G7S0/entry", "A0A1L8G7S0")</f>
        <v/>
      </c>
      <c r="F9327" t="n">
        <v>79.09999999999999</v>
      </c>
      <c r="G9327" t="n">
        <v>435</v>
      </c>
      <c r="H9327" t="n">
        <v>2.94e-199</v>
      </c>
      <c r="I9327" t="inlineStr">
        <is>
          <t>TrEMBL</t>
        </is>
      </c>
      <c r="J9327" t="inlineStr">
        <is>
          <t>ttc27.L</t>
        </is>
      </c>
      <c r="K9327" t="inlineStr">
        <is>
          <t>A0A1L8G7S0_XENLA</t>
        </is>
      </c>
      <c r="L9327" t="inlineStr">
        <is>
          <t>tr|A0A1L8G7S0|A0A1L8G7S0_XENLA Tetratricopeptide repeat protein 27 OS=Xenopus laevis OX=8355 GN=ttc27.L PE=3 SV=1</t>
        </is>
      </c>
      <c r="M9327" t="n">
        <v>840</v>
      </c>
      <c r="N9327" t="inlineStr">
        <is>
          <t>Xenopus laevis</t>
        </is>
      </c>
      <c r="O9327" t="inlineStr">
        <is>
          <t>Tetratricopeptide repeat protein 27</t>
        </is>
      </c>
    </row>
    <row r="9328">
      <c r="A9328" t="inlineStr"/>
      <c r="B9328" t="inlineStr"/>
      <c r="C9328" t="inlineStr"/>
      <c r="D9328" t="inlineStr"/>
      <c r="E9328">
        <f>HYPERLINK("https://www.ncbi.nlm.nih.gov/gene/?term=XP_018118502.1", "XP_018118502.1")</f>
        <v/>
      </c>
      <c r="F9328" t="n">
        <v>79.09999999999999</v>
      </c>
      <c r="G9328" t="n">
        <v>435</v>
      </c>
      <c r="H9328" t="n">
        <v>7.55e-199</v>
      </c>
      <c r="I9328" t="inlineStr">
        <is>
          <t>Nr</t>
        </is>
      </c>
      <c r="J9328" t="inlineStr"/>
      <c r="K9328" t="inlineStr"/>
      <c r="L9328" t="inlineStr">
        <is>
          <t>XP_018118502.1 tetratricopeptide repeat protein 27 [Xenopus laevis]</t>
        </is>
      </c>
      <c r="M9328" t="n">
        <v>840</v>
      </c>
      <c r="N9328" t="inlineStr">
        <is>
          <t>Xenopus laevis</t>
        </is>
      </c>
      <c r="O9328" t="inlineStr">
        <is>
          <t>tetratricopeptide repeat protein 27</t>
        </is>
      </c>
    </row>
    <row r="9329">
      <c r="A9329" t="inlineStr"/>
      <c r="B9329" t="inlineStr"/>
      <c r="C9329" t="inlineStr"/>
      <c r="D9329" t="inlineStr"/>
      <c r="E9329">
        <f>HYPERLINK("https://www.uniprot.org/uniprotkb/A0A6I8RKD5/entry", "A0A6I8RKD5")</f>
        <v/>
      </c>
      <c r="F9329" t="n">
        <v>79.40000000000001</v>
      </c>
      <c r="G9329" t="n">
        <v>431</v>
      </c>
      <c r="H9329" t="n">
        <v>2.84e-198</v>
      </c>
      <c r="I9329" t="inlineStr">
        <is>
          <t>TrEMBL</t>
        </is>
      </c>
      <c r="J9329" t="inlineStr">
        <is>
          <t>ttc27</t>
        </is>
      </c>
      <c r="K9329" t="inlineStr">
        <is>
          <t>A0A6I8RKD5_XENTR</t>
        </is>
      </c>
      <c r="L9329" t="inlineStr">
        <is>
          <t>tr|A0A6I8RKD5|A0A6I8RKD5_XENTR Tetratricopeptide repeat protein 27 OS=Xenopus tropicalis OX=8364 GN=ttc27 PE=3 SV=2</t>
        </is>
      </c>
      <c r="M9329" t="n">
        <v>801</v>
      </c>
      <c r="N9329" t="inlineStr">
        <is>
          <t>Xenopus tropicalis</t>
        </is>
      </c>
      <c r="O9329" t="inlineStr">
        <is>
          <t>Tetratricopeptide repeat protein 27</t>
        </is>
      </c>
    </row>
    <row r="9330">
      <c r="A9330" t="inlineStr"/>
      <c r="B9330" t="inlineStr"/>
      <c r="C9330" t="inlineStr"/>
      <c r="D9330" t="inlineStr"/>
      <c r="E9330">
        <f>HYPERLINK("https://www.ncbi.nlm.nih.gov/gene/?term=KAJ1153030.1", "KAJ1153030.1")</f>
        <v/>
      </c>
      <c r="F9330" t="n">
        <v>76.40000000000001</v>
      </c>
      <c r="G9330" t="n">
        <v>437</v>
      </c>
      <c r="H9330" t="n">
        <v>9.789999999999999e-197</v>
      </c>
      <c r="I9330" t="inlineStr">
        <is>
          <t>Nr</t>
        </is>
      </c>
      <c r="J9330" t="inlineStr"/>
      <c r="K9330" t="inlineStr"/>
      <c r="L9330" t="inlineStr">
        <is>
          <t>KAJ1153030.1 hypothetical protein NDU88_005797 [Pleurodeles waltl]</t>
        </is>
      </c>
      <c r="M9330" t="n">
        <v>840</v>
      </c>
      <c r="N9330" t="inlineStr">
        <is>
          <t>Pleurodeles waltl</t>
        </is>
      </c>
      <c r="O9330" t="inlineStr">
        <is>
          <t>hypothetical protein NDU88_005797</t>
        </is>
      </c>
    </row>
    <row r="9331">
      <c r="A9331" t="inlineStr"/>
      <c r="B9331" t="inlineStr"/>
      <c r="C9331" t="inlineStr"/>
      <c r="D9331" t="inlineStr"/>
      <c r="E9331">
        <f>HYPERLINK("https://www.uniprot.org/uniprotkb/A0A8C3GM16/entry", "A0A8C3GM16")</f>
        <v/>
      </c>
      <c r="F9331" t="n">
        <v>66.7</v>
      </c>
      <c r="G9331" t="n">
        <v>436</v>
      </c>
      <c r="H9331" t="n">
        <v>2.13e-195</v>
      </c>
      <c r="I9331" t="inlineStr">
        <is>
          <t>TrEMBL</t>
        </is>
      </c>
      <c r="J9331" t="inlineStr"/>
      <c r="K9331" t="inlineStr">
        <is>
          <t>A0A8C3GM16_CAIMO</t>
        </is>
      </c>
      <c r="L9331" t="inlineStr">
        <is>
          <t>tr|A0A8C3GM16|A0A8C3GM16_CAIMO Tetratricopeptide repeat protein 27 OS=Cairina moschata domestica OX=1240228 PE=3 SV=1</t>
        </is>
      </c>
      <c r="M9331" t="n">
        <v>824</v>
      </c>
      <c r="N9331" t="inlineStr">
        <is>
          <t>Cairina moschata domestica</t>
        </is>
      </c>
      <c r="O9331" t="inlineStr">
        <is>
          <t>Tetratricopeptide repeat protein 27</t>
        </is>
      </c>
    </row>
    <row r="9332">
      <c r="A9332" t="inlineStr"/>
      <c r="B9332" t="inlineStr"/>
      <c r="C9332" t="inlineStr"/>
      <c r="D9332" t="inlineStr"/>
      <c r="E9332">
        <f>HYPERLINK("https://www.uniprot.org/uniprotkb/A0A8C3CCW1/entry", "A0A8C3CCW1")</f>
        <v/>
      </c>
      <c r="F9332" t="n">
        <v>66.7</v>
      </c>
      <c r="G9332" t="n">
        <v>436</v>
      </c>
      <c r="H9332" t="n">
        <v>2.57e-195</v>
      </c>
      <c r="I9332" t="inlineStr">
        <is>
          <t>TrEMBL</t>
        </is>
      </c>
      <c r="J9332" t="inlineStr"/>
      <c r="K9332" t="inlineStr">
        <is>
          <t>A0A8C3CCW1_CAIMO</t>
        </is>
      </c>
      <c r="L9332" t="inlineStr">
        <is>
          <t>tr|A0A8C3CCW1|A0A8C3CCW1_CAIMO Tetratricopeptide repeat protein 27 OS=Cairina moschata domestica OX=1240228 PE=3 SV=1</t>
        </is>
      </c>
      <c r="M9332" t="n">
        <v>830</v>
      </c>
      <c r="N9332" t="inlineStr">
        <is>
          <t>Cairina moschata domestica</t>
        </is>
      </c>
      <c r="O9332" t="inlineStr">
        <is>
          <t>Tetratricopeptide repeat protein 27</t>
        </is>
      </c>
    </row>
    <row r="9333">
      <c r="A9333" t="inlineStr"/>
      <c r="B9333" t="inlineStr"/>
      <c r="C9333" t="inlineStr"/>
      <c r="D9333" t="inlineStr"/>
      <c r="E9333">
        <f>HYPERLINK("https://www.uniprot.org/uniprotkb/A0A5F8HEM5/entry", "A0A5F8HEM5")</f>
        <v/>
      </c>
      <c r="F9333" t="n">
        <v>74.40000000000001</v>
      </c>
      <c r="G9333" t="n">
        <v>437</v>
      </c>
      <c r="H9333" t="n">
        <v>2.7e-195</v>
      </c>
      <c r="I9333" t="inlineStr">
        <is>
          <t>TrEMBL</t>
        </is>
      </c>
      <c r="J9333" t="inlineStr">
        <is>
          <t>TTC27</t>
        </is>
      </c>
      <c r="K9333" t="inlineStr">
        <is>
          <t>A0A5F8HEM5_MONDO</t>
        </is>
      </c>
      <c r="L9333" t="inlineStr">
        <is>
          <t>tr|A0A5F8HEM5|A0A5F8HEM5_MONDO Tetratricopeptide repeat protein 27 OS=Monodelphis domestica OX=13616 GN=TTC27 PE=3 SV=1</t>
        </is>
      </c>
      <c r="M9333" t="n">
        <v>843</v>
      </c>
      <c r="N9333" t="inlineStr">
        <is>
          <t>Monodelphis domestica</t>
        </is>
      </c>
      <c r="O9333" t="inlineStr">
        <is>
          <t>Tetratricopeptide repeat protein 27</t>
        </is>
      </c>
    </row>
    <row r="9334">
      <c r="A9334" t="inlineStr"/>
      <c r="B9334" t="inlineStr"/>
      <c r="C9334" t="inlineStr"/>
      <c r="D9334" t="inlineStr"/>
      <c r="E9334">
        <f>HYPERLINK("https://www.uniprot.org/uniprotkb/A0A8C3CCM6/entry", "A0A8C3CCM6")</f>
        <v/>
      </c>
      <c r="F9334" t="n">
        <v>66.7</v>
      </c>
      <c r="G9334" t="n">
        <v>436</v>
      </c>
      <c r="H9334" t="n">
        <v>3.94e-195</v>
      </c>
      <c r="I9334" t="inlineStr">
        <is>
          <t>TrEMBL</t>
        </is>
      </c>
      <c r="J9334" t="inlineStr"/>
      <c r="K9334" t="inlineStr">
        <is>
          <t>A0A8C3CCM6_CAIMO</t>
        </is>
      </c>
      <c r="L9334" t="inlineStr">
        <is>
          <t>tr|A0A8C3CCM6|A0A8C3CCM6_CAIMO Tetratricopeptide repeat protein 27 OS=Cairina moschata domestica OX=1240228 PE=3 SV=1</t>
        </is>
      </c>
      <c r="M9334" t="n">
        <v>844</v>
      </c>
      <c r="N9334" t="inlineStr">
        <is>
          <t>Cairina moschata domestica</t>
        </is>
      </c>
      <c r="O9334" t="inlineStr">
        <is>
          <t>Tetratricopeptide repeat protein 27</t>
        </is>
      </c>
    </row>
    <row r="9335">
      <c r="A9335" t="inlineStr"/>
      <c r="B9335" t="inlineStr"/>
      <c r="C9335" t="inlineStr"/>
      <c r="D9335" t="inlineStr"/>
      <c r="E9335">
        <f>HYPERLINK("https://www.uniprot.org/uniprotkb/A0A7L2GG92/entry", "A0A7L2GG92")</f>
        <v/>
      </c>
      <c r="F9335" t="n">
        <v>75.90000000000001</v>
      </c>
      <c r="G9335" t="n">
        <v>436</v>
      </c>
      <c r="H9335" t="n">
        <v>5.06e-195</v>
      </c>
      <c r="I9335" t="inlineStr">
        <is>
          <t>TrEMBL</t>
        </is>
      </c>
      <c r="J9335" t="inlineStr">
        <is>
          <t>Ttc27</t>
        </is>
      </c>
      <c r="K9335" t="inlineStr">
        <is>
          <t>A0A7L2GG92_NYCGR</t>
        </is>
      </c>
      <c r="L9335" t="inlineStr">
        <is>
          <t>tr|A0A7L2GG92|A0A7L2GG92_NYCGR Tetratricopeptide repeat protein 27 (Fragment) OS=Nyctibius grandis OX=48427 GN=Ttc27 PE=3 SV=1</t>
        </is>
      </c>
      <c r="M9335" t="n">
        <v>491</v>
      </c>
      <c r="N9335" t="inlineStr">
        <is>
          <t>Nyctibius grandis</t>
        </is>
      </c>
      <c r="O9335" t="inlineStr">
        <is>
          <t>Tetratricopeptide repeat protein 27 (Fragment)</t>
        </is>
      </c>
    </row>
    <row r="9336">
      <c r="A9336" t="inlineStr"/>
      <c r="B9336" t="inlineStr"/>
      <c r="C9336" t="inlineStr"/>
      <c r="D9336" t="inlineStr"/>
      <c r="E9336">
        <f>HYPERLINK("https://www.uniprot.org/uniprotkb/A0A7K8P1C2/entry", "A0A7K8P1C2")</f>
        <v/>
      </c>
      <c r="F9336" t="n">
        <v>75.7</v>
      </c>
      <c r="G9336" t="n">
        <v>436</v>
      </c>
      <c r="H9336" t="n">
        <v>6.9e-195</v>
      </c>
      <c r="I9336" t="inlineStr">
        <is>
          <t>TrEMBL</t>
        </is>
      </c>
      <c r="J9336" t="inlineStr">
        <is>
          <t>Ttc27</t>
        </is>
      </c>
      <c r="K9336" t="inlineStr">
        <is>
          <t>A0A7K8P1C2_COCCO</t>
        </is>
      </c>
      <c r="L9336" t="inlineStr">
        <is>
          <t>tr|A0A7K8P1C2|A0A7K8P1C2_COCCO Tetratricopeptide repeat protein 27 (Fragment) OS=Cochlearius cochlearius OX=110676 GN=Ttc27 PE=3 SV=1</t>
        </is>
      </c>
      <c r="M9336" t="n">
        <v>470</v>
      </c>
      <c r="N9336" t="inlineStr">
        <is>
          <t>Cochlearius cochlearius</t>
        </is>
      </c>
      <c r="O9336" t="inlineStr">
        <is>
          <t>Tetratricopeptide repeat protein 27 (Fragment)</t>
        </is>
      </c>
    </row>
    <row r="9337">
      <c r="A9337" t="inlineStr"/>
      <c r="B9337" t="inlineStr"/>
      <c r="C9337" t="inlineStr"/>
      <c r="D9337" t="inlineStr"/>
      <c r="E9337">
        <f>HYPERLINK("https://www.ncbi.nlm.nih.gov/gene/?term=XP_007476113.1", "XP_007476113.1")</f>
        <v/>
      </c>
      <c r="F9337" t="n">
        <v>74.40000000000001</v>
      </c>
      <c r="G9337" t="n">
        <v>437</v>
      </c>
      <c r="H9337" t="n">
        <v>6.930000000000001e-195</v>
      </c>
      <c r="I9337" t="inlineStr">
        <is>
          <t>Nr</t>
        </is>
      </c>
      <c r="J9337" t="inlineStr"/>
      <c r="K9337" t="inlineStr"/>
      <c r="L9337" t="inlineStr">
        <is>
          <t>XP_007476113.1 PREDICTED: tetratricopeptide repeat protein 27 [Monodelphis domestica]</t>
        </is>
      </c>
      <c r="M9337" t="n">
        <v>843</v>
      </c>
      <c r="N9337" t="inlineStr">
        <is>
          <t>Monodelphis domestica</t>
        </is>
      </c>
      <c r="O9337" t="inlineStr">
        <is>
          <t>PREDICTED: tetratricopeptide repeat protein 27</t>
        </is>
      </c>
    </row>
    <row r="9338">
      <c r="A9338" t="inlineStr"/>
      <c r="B9338" t="inlineStr"/>
      <c r="C9338" t="inlineStr"/>
      <c r="D9338" t="inlineStr"/>
      <c r="E9338">
        <f>HYPERLINK("https://www.ncbi.nlm.nih.gov/gene/?term=XP_029449754.1", "XP_029449754.1")</f>
        <v/>
      </c>
      <c r="F9338" t="n">
        <v>76.8</v>
      </c>
      <c r="G9338" t="n">
        <v>435</v>
      </c>
      <c r="H9338" t="n">
        <v>9.410000000000001e-195</v>
      </c>
      <c r="I9338" t="inlineStr">
        <is>
          <t>Nr</t>
        </is>
      </c>
      <c r="J9338" t="inlineStr"/>
      <c r="K9338" t="inlineStr"/>
      <c r="L9338" t="inlineStr">
        <is>
          <t>XP_029449754.1 tetratricopeptide repeat protein 27 isoform X3 [Rhinatrema bivittatum]</t>
        </is>
      </c>
      <c r="M9338" t="n">
        <v>819</v>
      </c>
      <c r="N9338" t="inlineStr">
        <is>
          <t>Rhinatrema bivittatum</t>
        </is>
      </c>
      <c r="O9338" t="inlineStr">
        <is>
          <t>tetratricopeptide repeat protein 27 isoform X3</t>
        </is>
      </c>
    </row>
    <row r="9339">
      <c r="A9339" t="inlineStr"/>
      <c r="B9339" t="inlineStr"/>
      <c r="C9339" t="inlineStr"/>
      <c r="D9339" t="inlineStr"/>
      <c r="E9339">
        <f>HYPERLINK("https://www.uniprot.org/uniprotkb/A0A7K6YQU1/entry", "A0A7K6YQU1")</f>
        <v/>
      </c>
      <c r="F9339" t="n">
        <v>75.7</v>
      </c>
      <c r="G9339" t="n">
        <v>436</v>
      </c>
      <c r="H9339" t="n">
        <v>9.450000000000001e-195</v>
      </c>
      <c r="I9339" t="inlineStr">
        <is>
          <t>TrEMBL</t>
        </is>
      </c>
      <c r="J9339" t="inlineStr">
        <is>
          <t>Ttc27</t>
        </is>
      </c>
      <c r="K9339" t="inlineStr">
        <is>
          <t>A0A7K6YQU1_ALCTO</t>
        </is>
      </c>
      <c r="L9339" t="inlineStr">
        <is>
          <t>tr|A0A7K6YQU1|A0A7K6YQU1_ALCTO Tetratricopeptide repeat protein 27 (Fragment) OS=Alca torda OX=28689 GN=Ttc27 PE=3 SV=1</t>
        </is>
      </c>
      <c r="M9339" t="n">
        <v>469</v>
      </c>
      <c r="N9339" t="inlineStr">
        <is>
          <t>Alca torda</t>
        </is>
      </c>
      <c r="O9339" t="inlineStr">
        <is>
          <t>Tetratricopeptide repeat protein 27 (Fragment)</t>
        </is>
      </c>
    </row>
    <row r="9340">
      <c r="A9340" t="inlineStr"/>
      <c r="B9340" t="inlineStr"/>
      <c r="C9340" t="inlineStr"/>
      <c r="D9340" t="inlineStr"/>
      <c r="E9340">
        <f>HYPERLINK("https://www.uniprot.org/uniprotkb/A0A8C3LD02/entry", "A0A8C3LD02")</f>
        <v/>
      </c>
      <c r="F9340" t="n">
        <v>66.3</v>
      </c>
      <c r="G9340" t="n">
        <v>436</v>
      </c>
      <c r="H9340" t="n">
        <v>1.28e-194</v>
      </c>
      <c r="I9340" t="inlineStr">
        <is>
          <t>TrEMBL</t>
        </is>
      </c>
      <c r="J9340" t="inlineStr"/>
      <c r="K9340" t="inlineStr">
        <is>
          <t>A0A8C3LD02_CHRPC</t>
        </is>
      </c>
      <c r="L9340" t="inlineStr">
        <is>
          <t>tr|A0A8C3LD02|A0A8C3LD02_CHRPC Tetratricopeptide repeat protein 27 OS=Chrysolophus pictus OX=9089 PE=3 SV=1</t>
        </is>
      </c>
      <c r="M9340" t="n">
        <v>781</v>
      </c>
      <c r="N9340" t="inlineStr">
        <is>
          <t>Chrysolophus pictus</t>
        </is>
      </c>
      <c r="O9340" t="inlineStr">
        <is>
          <t>Tetratricopeptide repeat protein 27</t>
        </is>
      </c>
    </row>
    <row r="9341">
      <c r="A9341" t="inlineStr"/>
      <c r="B9341" t="inlineStr"/>
      <c r="C9341" t="inlineStr"/>
      <c r="D9341" t="inlineStr"/>
      <c r="E9341">
        <f>HYPERLINK("https://www.ncbi.nlm.nih.gov/gene/?term=NXQ84881.1", "NXQ84881.1")</f>
        <v/>
      </c>
      <c r="F9341" t="n">
        <v>75.90000000000001</v>
      </c>
      <c r="G9341" t="n">
        <v>436</v>
      </c>
      <c r="H9341" t="n">
        <v>1.3e-194</v>
      </c>
      <c r="I9341" t="inlineStr">
        <is>
          <t>Nr</t>
        </is>
      </c>
      <c r="J9341" t="inlineStr"/>
      <c r="K9341" t="inlineStr"/>
      <c r="L9341" t="inlineStr">
        <is>
          <t>NXQ84881.1 TTC27 protein [Nyctibius grandis]</t>
        </is>
      </c>
      <c r="M9341" t="n">
        <v>491</v>
      </c>
      <c r="N9341" t="inlineStr">
        <is>
          <t>Nyctibius grandis</t>
        </is>
      </c>
      <c r="O9341" t="inlineStr">
        <is>
          <t>TTC27 protein</t>
        </is>
      </c>
    </row>
    <row r="9342">
      <c r="A9342" t="inlineStr"/>
      <c r="B9342" t="inlineStr"/>
      <c r="C9342" t="inlineStr"/>
      <c r="D9342" t="inlineStr"/>
      <c r="E9342">
        <f>HYPERLINK("https://www.uniprot.org/uniprotkb/A0A8C3PX98/entry", "A0A8C3PX98")</f>
        <v/>
      </c>
      <c r="F9342" t="n">
        <v>66.3</v>
      </c>
      <c r="G9342" t="n">
        <v>436</v>
      </c>
      <c r="H9342" t="n">
        <v>1.32e-194</v>
      </c>
      <c r="I9342" t="inlineStr">
        <is>
          <t>TrEMBL</t>
        </is>
      </c>
      <c r="J9342" t="inlineStr"/>
      <c r="K9342" t="inlineStr">
        <is>
          <t>A0A8C3PX98_CHRPC</t>
        </is>
      </c>
      <c r="L9342" t="inlineStr">
        <is>
          <t>tr|A0A8C3PX98|A0A8C3PX98_CHRPC Tetratricopeptide repeat protein 27 OS=Chrysolophus pictus OX=9089 PE=3 SV=1</t>
        </is>
      </c>
      <c r="M9342" t="n">
        <v>782</v>
      </c>
      <c r="N9342" t="inlineStr">
        <is>
          <t>Chrysolophus pictus</t>
        </is>
      </c>
      <c r="O9342" t="inlineStr">
        <is>
          <t>Tetratricopeptide repeat protein 27</t>
        </is>
      </c>
    </row>
    <row r="9343">
      <c r="A9343" t="inlineStr"/>
      <c r="B9343" t="inlineStr"/>
      <c r="C9343" t="inlineStr"/>
      <c r="D9343" t="inlineStr"/>
      <c r="E9343">
        <f>HYPERLINK("https://www.uniprot.org/uniprotkb/A0A7K5FKN2/entry", "A0A7K5FKN2")</f>
        <v/>
      </c>
      <c r="F9343" t="n">
        <v>75.7</v>
      </c>
      <c r="G9343" t="n">
        <v>436</v>
      </c>
      <c r="H9343" t="n">
        <v>1.34e-194</v>
      </c>
      <c r="I9343" t="inlineStr">
        <is>
          <t>TrEMBL</t>
        </is>
      </c>
      <c r="J9343" t="inlineStr">
        <is>
          <t>Ttc27</t>
        </is>
      </c>
      <c r="K9343" t="inlineStr">
        <is>
          <t>A0A7K5FKN2_PROAR</t>
        </is>
      </c>
      <c r="L9343" t="inlineStr">
        <is>
          <t>tr|A0A7K5FKN2|A0A7K5FKN2_PROAR Tetratricopeptide repeat protein 27 (Fragment) OS=Probosciger aterrimus OX=141839 GN=Ttc27 PE=3 SV=1</t>
        </is>
      </c>
      <c r="M9343" t="n">
        <v>469</v>
      </c>
      <c r="N9343" t="inlineStr">
        <is>
          <t>Probosciger aterrimus</t>
        </is>
      </c>
      <c r="O9343" t="inlineStr">
        <is>
          <t>Tetratricopeptide repeat protein 27 (Fragment)</t>
        </is>
      </c>
    </row>
    <row r="9344">
      <c r="A9344" t="inlineStr"/>
      <c r="B9344" t="inlineStr"/>
      <c r="C9344" t="inlineStr"/>
      <c r="D9344" t="inlineStr"/>
      <c r="E9344">
        <f>HYPERLINK("https://www.uniprot.org/uniprotkb/A0A091U8R4/entry", "A0A091U8R4")</f>
        <v/>
      </c>
      <c r="F9344" t="n">
        <v>75.7</v>
      </c>
      <c r="G9344" t="n">
        <v>436</v>
      </c>
      <c r="H9344" t="n">
        <v>1.34e-194</v>
      </c>
      <c r="I9344" t="inlineStr">
        <is>
          <t>TrEMBL</t>
        </is>
      </c>
      <c r="J9344" t="inlineStr">
        <is>
          <t>N337_06439</t>
        </is>
      </c>
      <c r="K9344" t="inlineStr">
        <is>
          <t>A0A091U8R4_PHORB</t>
        </is>
      </c>
      <c r="L9344" t="inlineStr">
        <is>
          <t>tr|A0A091U8R4|A0A091U8R4_PHORB Tetratricopeptide repeat protein 27 (Fragment) OS=Phoenicopterus ruber ruber OX=9218 GN=N337_06439 PE=3 SV=1</t>
        </is>
      </c>
      <c r="M9344" t="n">
        <v>469</v>
      </c>
      <c r="N9344" t="inlineStr">
        <is>
          <t>Phoenicopterus ruber ruber</t>
        </is>
      </c>
      <c r="O9344" t="inlineStr">
        <is>
          <t>Tetratricopeptide repeat protein 27 (Fragment)</t>
        </is>
      </c>
    </row>
    <row r="9345">
      <c r="A9345" t="inlineStr"/>
      <c r="B9345" t="inlineStr"/>
      <c r="C9345" t="inlineStr"/>
      <c r="D9345" t="inlineStr"/>
      <c r="E9345">
        <f>HYPERLINK("https://www.uniprot.org/uniprotkb/A0A7L0PKU6/entry", "A0A7L0PKU6")</f>
        <v/>
      </c>
      <c r="F9345" t="n">
        <v>76.2</v>
      </c>
      <c r="G9345" t="n">
        <v>432</v>
      </c>
      <c r="H9345" t="n">
        <v>1.51e-194</v>
      </c>
      <c r="I9345" t="inlineStr">
        <is>
          <t>TrEMBL</t>
        </is>
      </c>
      <c r="J9345" t="inlineStr">
        <is>
          <t>Ttc27</t>
        </is>
      </c>
      <c r="K9345" t="inlineStr">
        <is>
          <t>A0A7L0PKU6_9AVES</t>
        </is>
      </c>
      <c r="L9345" t="inlineStr">
        <is>
          <t>tr|A0A7L0PKU6|A0A7L0PKU6_9AVES Tetratricopeptide repeat protein 27 (Fragment) OS=Mesembrinibis cayennensis OX=1118748 GN=Ttc27 PE=3 SV=1</t>
        </is>
      </c>
      <c r="M9345" t="n">
        <v>433</v>
      </c>
      <c r="N9345" t="inlineStr">
        <is>
          <t>Mesembrinibis cayennensis</t>
        </is>
      </c>
      <c r="O9345" t="inlineStr">
        <is>
          <t>Tetratricopeptide repeat protein 27 (Fragment)</t>
        </is>
      </c>
    </row>
    <row r="9346">
      <c r="A9346" t="inlineStr"/>
      <c r="B9346" t="inlineStr"/>
      <c r="C9346" t="inlineStr"/>
      <c r="D9346" t="inlineStr"/>
      <c r="E9346">
        <f>HYPERLINK("https://www.ncbi.nlm.nih.gov/gene/?term=XP_023350377.1", "XP_023350377.1")</f>
        <v/>
      </c>
      <c r="F9346" t="n">
        <v>74.09999999999999</v>
      </c>
      <c r="G9346" t="n">
        <v>437</v>
      </c>
      <c r="H9346" t="n">
        <v>1.73e-194</v>
      </c>
      <c r="I9346" t="inlineStr">
        <is>
          <t>Nr</t>
        </is>
      </c>
      <c r="J9346" t="inlineStr"/>
      <c r="K9346" t="inlineStr"/>
      <c r="L9346" t="inlineStr">
        <is>
          <t>XP_023350377.1 tetratricopeptide repeat protein 27 isoform X3 [Sarcophilus harrisii]</t>
        </is>
      </c>
      <c r="M9346" t="n">
        <v>805</v>
      </c>
      <c r="N9346" t="inlineStr">
        <is>
          <t>Sarcophilus harrisii</t>
        </is>
      </c>
      <c r="O9346" t="inlineStr">
        <is>
          <t>tetratricopeptide repeat protein 27 isoform X3</t>
        </is>
      </c>
    </row>
    <row r="9347">
      <c r="A9347" t="inlineStr"/>
      <c r="B9347" t="inlineStr"/>
      <c r="C9347" t="inlineStr"/>
      <c r="D9347" t="inlineStr"/>
      <c r="E9347">
        <f>HYPERLINK("https://www.ncbi.nlm.nih.gov/gene/?term=NXE73119.1", "NXE73119.1")</f>
        <v/>
      </c>
      <c r="F9347" t="n">
        <v>75.7</v>
      </c>
      <c r="G9347" t="n">
        <v>436</v>
      </c>
      <c r="H9347" t="n">
        <v>1.77e-194</v>
      </c>
      <c r="I9347" t="inlineStr">
        <is>
          <t>Nr</t>
        </is>
      </c>
      <c r="J9347" t="inlineStr"/>
      <c r="K9347" t="inlineStr"/>
      <c r="L9347" t="inlineStr">
        <is>
          <t>NXE73119.1 TTC27 protein [Cochlearius cochlearius]</t>
        </is>
      </c>
      <c r="M9347" t="n">
        <v>470</v>
      </c>
      <c r="N9347" t="inlineStr">
        <is>
          <t>Cochlearius cochlearius</t>
        </is>
      </c>
      <c r="O9347" t="inlineStr">
        <is>
          <t>TTC27 protein</t>
        </is>
      </c>
    </row>
    <row r="9348">
      <c r="A9348" t="inlineStr"/>
      <c r="B9348" t="inlineStr"/>
      <c r="C9348" t="inlineStr"/>
      <c r="D9348" t="inlineStr"/>
      <c r="E9348">
        <f>HYPERLINK("https://www.uniprot.org/uniprotkb/A0A7L1INR8/entry", "A0A7L1INR8")</f>
        <v/>
      </c>
      <c r="F9348" t="n">
        <v>75.5</v>
      </c>
      <c r="G9348" t="n">
        <v>436</v>
      </c>
      <c r="H9348" t="n">
        <v>1.9e-194</v>
      </c>
      <c r="I9348" t="inlineStr">
        <is>
          <t>TrEMBL</t>
        </is>
      </c>
      <c r="J9348" t="inlineStr">
        <is>
          <t>Ttc27</t>
        </is>
      </c>
      <c r="K9348" t="inlineStr">
        <is>
          <t>A0A7L1INR8_SMUAF</t>
        </is>
      </c>
      <c r="L9348" t="inlineStr">
        <is>
          <t>tr|A0A7L1INR8|A0A7L1INR8_SMUAF Tetratricopeptide repeat protein 27 (Fragment) OS=Smutsornis africanus OX=240209 GN=Ttc27 PE=3 SV=1</t>
        </is>
      </c>
      <c r="M9348" t="n">
        <v>469</v>
      </c>
      <c r="N9348" t="inlineStr">
        <is>
          <t>Smutsornis africanus</t>
        </is>
      </c>
      <c r="O9348" t="inlineStr">
        <is>
          <t>Tetratricopeptide repeat protein 27 (Fragment)</t>
        </is>
      </c>
    </row>
    <row r="9349">
      <c r="A9349" t="inlineStr"/>
      <c r="B9349" t="inlineStr"/>
      <c r="C9349" t="inlineStr"/>
      <c r="D9349" t="inlineStr"/>
      <c r="E9349">
        <f>HYPERLINK("https://www.ncbi.nlm.nih.gov/gene/?term=XP_029449753.1", "XP_029449753.1")</f>
        <v/>
      </c>
      <c r="F9349" t="n">
        <v>76.8</v>
      </c>
      <c r="G9349" t="n">
        <v>435</v>
      </c>
      <c r="H9349" t="n">
        <v>1.97e-194</v>
      </c>
      <c r="I9349" t="inlineStr">
        <is>
          <t>Nr</t>
        </is>
      </c>
      <c r="J9349" t="inlineStr"/>
      <c r="K9349" t="inlineStr"/>
      <c r="L9349" t="inlineStr">
        <is>
          <t>XP_029449753.1 tetratricopeptide repeat protein 27 isoform X2 [Rhinatrema bivittatum]</t>
        </is>
      </c>
      <c r="M9349" t="n">
        <v>843</v>
      </c>
      <c r="N9349" t="inlineStr">
        <is>
          <t>Rhinatrema bivittatum</t>
        </is>
      </c>
      <c r="O9349" t="inlineStr">
        <is>
          <t>tetratricopeptide repeat protein 27 isoform X2</t>
        </is>
      </c>
    </row>
    <row r="9350">
      <c r="A9350" t="inlineStr"/>
      <c r="B9350" t="inlineStr"/>
      <c r="C9350" t="inlineStr"/>
      <c r="D9350" t="inlineStr"/>
      <c r="E9350">
        <f>HYPERLINK("https://www.uniprot.org/uniprotkb/A0A7K7XEN6/entry", "A0A7K7XEN6")</f>
        <v/>
      </c>
      <c r="F9350" t="n">
        <v>75.5</v>
      </c>
      <c r="G9350" t="n">
        <v>436</v>
      </c>
      <c r="H9350" t="n">
        <v>1.97e-194</v>
      </c>
      <c r="I9350" t="inlineStr">
        <is>
          <t>TrEMBL</t>
        </is>
      </c>
      <c r="J9350" t="inlineStr">
        <is>
          <t>Ttc27</t>
        </is>
      </c>
      <c r="K9350" t="inlineStr">
        <is>
          <t>A0A7K7XEN6_9PASS</t>
        </is>
      </c>
      <c r="L9350" t="inlineStr">
        <is>
          <t>tr|A0A7K7XEN6|A0A7K7XEN6_9PASS Tetratricopeptide repeat protein 27 (Fragment) OS=Mohoua ochrocephala OX=874463 GN=Ttc27 PE=3 SV=1</t>
        </is>
      </c>
      <c r="M9350" t="n">
        <v>470</v>
      </c>
      <c r="N9350" t="inlineStr">
        <is>
          <t>Mohoua ochrocephala</t>
        </is>
      </c>
      <c r="O9350" t="inlineStr">
        <is>
          <t>Tetratricopeptide repeat protein 27 (Fragment)</t>
        </is>
      </c>
    </row>
    <row r="9351">
      <c r="A9351" t="inlineStr"/>
      <c r="B9351" t="inlineStr"/>
      <c r="C9351" t="inlineStr"/>
      <c r="D9351" t="inlineStr"/>
      <c r="E9351">
        <f>HYPERLINK("https://www.ncbi.nlm.nih.gov/gene/?term=XP_029449752.1", "XP_029449752.1")</f>
        <v/>
      </c>
      <c r="F9351" t="n">
        <v>76.8</v>
      </c>
      <c r="G9351" t="n">
        <v>435</v>
      </c>
      <c r="H9351" t="n">
        <v>2.03e-194</v>
      </c>
      <c r="I9351" t="inlineStr">
        <is>
          <t>Nr</t>
        </is>
      </c>
      <c r="J9351" t="inlineStr"/>
      <c r="K9351" t="inlineStr"/>
      <c r="L9351" t="inlineStr">
        <is>
          <t>XP_029449752.1 tetratricopeptide repeat protein 27 isoform X1 [Rhinatrema bivittatum]</t>
        </is>
      </c>
      <c r="M9351" t="n">
        <v>844</v>
      </c>
      <c r="N9351" t="inlineStr">
        <is>
          <t>Rhinatrema bivittatum</t>
        </is>
      </c>
      <c r="O9351" t="inlineStr">
        <is>
          <t>tetratricopeptide repeat protein 27 isoform X1</t>
        </is>
      </c>
    </row>
    <row r="9352">
      <c r="A9352" t="inlineStr"/>
      <c r="B9352" t="inlineStr"/>
      <c r="C9352" t="inlineStr"/>
      <c r="D9352" t="inlineStr"/>
      <c r="E9352">
        <f>HYPERLINK("https://www.uniprot.org/uniprotkb/A0A8C3L5K9/entry", "A0A8C3L5K9")</f>
        <v/>
      </c>
      <c r="F9352" t="n">
        <v>66.3</v>
      </c>
      <c r="G9352" t="n">
        <v>436</v>
      </c>
      <c r="H9352" t="n">
        <v>2.05e-194</v>
      </c>
      <c r="I9352" t="inlineStr">
        <is>
          <t>TrEMBL</t>
        </is>
      </c>
      <c r="J9352" t="inlineStr"/>
      <c r="K9352" t="inlineStr">
        <is>
          <t>A0A8C3L5K9_CHRPC</t>
        </is>
      </c>
      <c r="L9352" t="inlineStr">
        <is>
          <t>tr|A0A8C3L5K9|A0A8C3L5K9_CHRPC Tetratricopeptide repeat protein 27 OS=Chrysolophus pictus OX=9089 PE=3 SV=1</t>
        </is>
      </c>
      <c r="M9352" t="n">
        <v>796</v>
      </c>
      <c r="N9352" t="inlineStr">
        <is>
          <t>Chrysolophus pictus</t>
        </is>
      </c>
      <c r="O9352" t="inlineStr">
        <is>
          <t>Tetratricopeptide repeat protein 27</t>
        </is>
      </c>
    </row>
    <row r="9353">
      <c r="A9353" t="inlineStr"/>
      <c r="B9353" t="inlineStr"/>
      <c r="C9353" t="inlineStr"/>
      <c r="D9353" t="inlineStr"/>
      <c r="E9353">
        <f>HYPERLINK("https://www.ncbi.nlm.nih.gov/gene/?term=NWX73589.1", "NWX73589.1")</f>
        <v/>
      </c>
      <c r="F9353" t="n">
        <v>75.7</v>
      </c>
      <c r="G9353" t="n">
        <v>436</v>
      </c>
      <c r="H9353" t="n">
        <v>2.43e-194</v>
      </c>
      <c r="I9353" t="inlineStr">
        <is>
          <t>Nr</t>
        </is>
      </c>
      <c r="J9353" t="inlineStr"/>
      <c r="K9353" t="inlineStr"/>
      <c r="L9353" t="inlineStr">
        <is>
          <t>NWX73589.1 TTC27 protein [Alca torda]</t>
        </is>
      </c>
      <c r="M9353" t="n">
        <v>469</v>
      </c>
      <c r="N9353" t="inlineStr">
        <is>
          <t>Alca torda</t>
        </is>
      </c>
      <c r="O9353" t="inlineStr">
        <is>
          <t>TTC27 protein</t>
        </is>
      </c>
    </row>
    <row r="9354">
      <c r="A9354" t="inlineStr"/>
      <c r="B9354" t="inlineStr"/>
      <c r="C9354" t="inlineStr"/>
      <c r="D9354" t="inlineStr"/>
      <c r="E9354">
        <f>HYPERLINK("https://www.ncbi.nlm.nih.gov/gene/?term=KFQ86457.1", "KFQ86457.1")</f>
        <v/>
      </c>
      <c r="F9354" t="n">
        <v>75.7</v>
      </c>
      <c r="G9354" t="n">
        <v>436</v>
      </c>
      <c r="H9354" t="n">
        <v>3.44e-194</v>
      </c>
      <c r="I9354" t="inlineStr">
        <is>
          <t>Nr</t>
        </is>
      </c>
      <c r="J9354" t="inlineStr"/>
      <c r="K9354" t="inlineStr"/>
      <c r="L9354" t="inlineStr">
        <is>
          <t>KFQ86457.1 Tetratricopeptide repeat protein 27, partial [Phoenicopterus ruber ruber]</t>
        </is>
      </c>
      <c r="M9354" t="n">
        <v>469</v>
      </c>
      <c r="N9354" t="inlineStr">
        <is>
          <t>Phoenicopterus ruber ruber</t>
        </is>
      </c>
      <c r="O9354" t="inlineStr">
        <is>
          <t>Tetratricopeptide repeat protein 27, partial</t>
        </is>
      </c>
    </row>
    <row r="9355">
      <c r="A9355" t="inlineStr"/>
      <c r="B9355" t="inlineStr"/>
      <c r="C9355" t="inlineStr"/>
      <c r="D9355" t="inlineStr"/>
      <c r="E9355">
        <f>HYPERLINK("https://www.ncbi.nlm.nih.gov/gene/?term=NWS45446.1", "NWS45446.1")</f>
        <v/>
      </c>
      <c r="F9355" t="n">
        <v>75.7</v>
      </c>
      <c r="G9355" t="n">
        <v>436</v>
      </c>
      <c r="H9355" t="n">
        <v>3.44e-194</v>
      </c>
      <c r="I9355" t="inlineStr">
        <is>
          <t>Nr</t>
        </is>
      </c>
      <c r="J9355" t="inlineStr"/>
      <c r="K9355" t="inlineStr"/>
      <c r="L9355" t="inlineStr">
        <is>
          <t>NWS45446.1 TTC27 protein [Probosciger aterrimus]</t>
        </is>
      </c>
      <c r="M9355" t="n">
        <v>469</v>
      </c>
      <c r="N9355" t="inlineStr">
        <is>
          <t>Probosciger aterrimus</t>
        </is>
      </c>
      <c r="O9355" t="inlineStr">
        <is>
          <t>TTC27 protein</t>
        </is>
      </c>
    </row>
    <row r="9356">
      <c r="A9356" t="inlineStr"/>
      <c r="B9356" t="inlineStr"/>
      <c r="C9356" t="inlineStr"/>
      <c r="D9356" t="inlineStr"/>
      <c r="E9356">
        <f>HYPERLINK("https://www.ncbi.nlm.nih.gov/gene/?term=NXL05763.1", "NXL05763.1")</f>
        <v/>
      </c>
      <c r="F9356" t="n">
        <v>76.2</v>
      </c>
      <c r="G9356" t="n">
        <v>432</v>
      </c>
      <c r="H9356" t="n">
        <v>3.88e-194</v>
      </c>
      <c r="I9356" t="inlineStr">
        <is>
          <t>Nr</t>
        </is>
      </c>
      <c r="J9356" t="inlineStr"/>
      <c r="K9356" t="inlineStr"/>
      <c r="L9356" t="inlineStr">
        <is>
          <t>NXL05763.1 TTC27 protein [Mesembrinibis cayennensis]</t>
        </is>
      </c>
      <c r="M9356" t="n">
        <v>433</v>
      </c>
      <c r="N9356" t="inlineStr">
        <is>
          <t>Mesembrinibis cayennensis</t>
        </is>
      </c>
      <c r="O9356" t="inlineStr">
        <is>
          <t>TTC27 protein</t>
        </is>
      </c>
    </row>
    <row r="9357">
      <c r="A9357" t="inlineStr"/>
      <c r="B9357" t="inlineStr"/>
      <c r="C9357" t="inlineStr"/>
      <c r="D9357" t="inlineStr"/>
      <c r="E9357">
        <f>HYPERLINK("https://www.ncbi.nlm.nih.gov/gene/?term=XP_036608600.1", "XP_036608600.1")</f>
        <v/>
      </c>
      <c r="F9357" t="n">
        <v>74.40000000000001</v>
      </c>
      <c r="G9357" t="n">
        <v>437</v>
      </c>
      <c r="H9357" t="n">
        <v>3.94e-194</v>
      </c>
      <c r="I9357" t="inlineStr">
        <is>
          <t>Nr</t>
        </is>
      </c>
      <c r="J9357" t="inlineStr"/>
      <c r="K9357" t="inlineStr"/>
      <c r="L9357" t="inlineStr">
        <is>
          <t>XP_036608600.1 tetratricopeptide repeat protein 27 isoform X1 [Trichosurus vulpecula]</t>
        </is>
      </c>
      <c r="M9357" t="n">
        <v>843</v>
      </c>
      <c r="N9357" t="inlineStr">
        <is>
          <t>Trichosurus vulpecula</t>
        </is>
      </c>
      <c r="O9357" t="inlineStr">
        <is>
          <t>tetratricopeptide repeat protein 27 isoform X1</t>
        </is>
      </c>
    </row>
    <row r="9358">
      <c r="A9358" t="inlineStr"/>
      <c r="B9358" t="inlineStr"/>
      <c r="C9358" t="inlineStr"/>
      <c r="D9358" t="inlineStr"/>
      <c r="E9358">
        <f>HYPERLINK("https://www.uniprot.org/uniprotkb/Q5F3K0/entry", "Q5F3K0")</f>
        <v/>
      </c>
      <c r="F9358" t="n">
        <v>75</v>
      </c>
      <c r="G9358" t="n">
        <v>436</v>
      </c>
      <c r="H9358" t="n">
        <v>8.91e-188</v>
      </c>
      <c r="I9358" t="inlineStr">
        <is>
          <t>Swiss-Prot</t>
        </is>
      </c>
      <c r="J9358" t="inlineStr">
        <is>
          <t>TTC27</t>
        </is>
      </c>
      <c r="K9358" t="inlineStr">
        <is>
          <t>TTC27_CHICK</t>
        </is>
      </c>
      <c r="L9358" t="inlineStr">
        <is>
          <t>sp|Q5F3K0|TTC27_CHICK Tetratricopeptide repeat protein 27 OS=Gallus gallus OX=9031 GN=TTC27 PE=2 SV=1</t>
        </is>
      </c>
      <c r="M9358" t="n">
        <v>844</v>
      </c>
      <c r="N9358" t="inlineStr">
        <is>
          <t>Gallus gallus</t>
        </is>
      </c>
      <c r="O9358" t="inlineStr">
        <is>
          <t>Tetratricopeptide repeat protein 27</t>
        </is>
      </c>
    </row>
    <row r="9359">
      <c r="A9359" t="inlineStr"/>
      <c r="B9359" t="inlineStr"/>
      <c r="C9359" t="inlineStr"/>
      <c r="D9359" t="inlineStr"/>
      <c r="E9359">
        <f>HYPERLINK("https://www.uniprot.org/uniprotkb/Q17QZ7/entry", "Q17QZ7")</f>
        <v/>
      </c>
      <c r="F9359" t="n">
        <v>71.90000000000001</v>
      </c>
      <c r="G9359" t="n">
        <v>437</v>
      </c>
      <c r="H9359" t="n">
        <v>7.090000000000001e-185</v>
      </c>
      <c r="I9359" t="inlineStr">
        <is>
          <t>Swiss-Prot</t>
        </is>
      </c>
      <c r="J9359" t="inlineStr">
        <is>
          <t>TTC27</t>
        </is>
      </c>
      <c r="K9359" t="inlineStr">
        <is>
          <t>TTC27_BOVIN</t>
        </is>
      </c>
      <c r="L9359" t="inlineStr">
        <is>
          <t>sp|Q17QZ7|TTC27_BOVIN Tetratricopeptide repeat protein 27 OS=Bos taurus OX=9913 GN=TTC27 PE=2 SV=1</t>
        </is>
      </c>
      <c r="M9359" t="n">
        <v>847</v>
      </c>
      <c r="N9359" t="inlineStr">
        <is>
          <t>Bos taurus</t>
        </is>
      </c>
      <c r="O9359" t="inlineStr">
        <is>
          <t>Tetratricopeptide repeat protein 27</t>
        </is>
      </c>
    </row>
    <row r="9360">
      <c r="A9360" t="inlineStr"/>
      <c r="B9360" t="inlineStr"/>
      <c r="C9360" t="inlineStr"/>
      <c r="D9360" t="inlineStr"/>
      <c r="E9360">
        <f>HYPERLINK("https://www.uniprot.org/uniprotkb/Q5RBW9/entry", "Q5RBW9")</f>
        <v/>
      </c>
      <c r="F9360" t="n">
        <v>72.3</v>
      </c>
      <c r="G9360" t="n">
        <v>437</v>
      </c>
      <c r="H9360" t="n">
        <v>4.57e-182</v>
      </c>
      <c r="I9360" t="inlineStr">
        <is>
          <t>Swiss-Prot</t>
        </is>
      </c>
      <c r="J9360" t="inlineStr">
        <is>
          <t>TTC27</t>
        </is>
      </c>
      <c r="K9360" t="inlineStr">
        <is>
          <t>TTC27_PONAB</t>
        </is>
      </c>
      <c r="L9360" t="inlineStr">
        <is>
          <t>sp|Q5RBW9|TTC27_PONAB Tetratricopeptide repeat protein 27 OS=Pongo abelii OX=9601 GN=TTC27 PE=2 SV=1</t>
        </is>
      </c>
      <c r="M9360" t="n">
        <v>843</v>
      </c>
      <c r="N9360" t="inlineStr">
        <is>
          <t>Pongo abelii</t>
        </is>
      </c>
      <c r="O9360" t="inlineStr">
        <is>
          <t>Tetratricopeptide repeat protein 27</t>
        </is>
      </c>
    </row>
    <row r="9361">
      <c r="A9361" t="inlineStr"/>
      <c r="B9361" t="inlineStr"/>
      <c r="C9361" t="inlineStr"/>
      <c r="D9361" t="inlineStr"/>
      <c r="E9361">
        <f>HYPERLINK("https://www.uniprot.org/uniprotkb/Q6P3X3/entry", "Q6P3X3")</f>
        <v/>
      </c>
      <c r="F9361" t="n">
        <v>72.5</v>
      </c>
      <c r="G9361" t="n">
        <v>437</v>
      </c>
      <c r="H9361" t="n">
        <v>9.13e-182</v>
      </c>
      <c r="I9361" t="inlineStr">
        <is>
          <t>Swiss-Prot</t>
        </is>
      </c>
      <c r="J9361" t="inlineStr">
        <is>
          <t>TTC27</t>
        </is>
      </c>
      <c r="K9361" t="inlineStr">
        <is>
          <t>TTC27_HUMAN</t>
        </is>
      </c>
      <c r="L9361" t="inlineStr">
        <is>
          <t>sp|Q6P3X3|TTC27_HUMAN Tetratricopeptide repeat protein 27 OS=Homo sapiens OX=9606 GN=TTC27 PE=1 SV=1</t>
        </is>
      </c>
      <c r="M9361" t="n">
        <v>843</v>
      </c>
      <c r="N9361" t="inlineStr">
        <is>
          <t>Homo sapiens</t>
        </is>
      </c>
      <c r="O9361" t="inlineStr">
        <is>
          <t>Tetratricopeptide repeat protein 27</t>
        </is>
      </c>
    </row>
    <row r="9362">
      <c r="A9362" t="inlineStr"/>
      <c r="B9362" t="inlineStr"/>
      <c r="C9362" t="inlineStr"/>
      <c r="D9362" t="inlineStr"/>
      <c r="E9362">
        <f>HYPERLINK("https://www.uniprot.org/uniprotkb/Q8CD92/entry", "Q8CD92")</f>
        <v/>
      </c>
      <c r="F9362" t="n">
        <v>70.7</v>
      </c>
      <c r="G9362" t="n">
        <v>437</v>
      </c>
      <c r="H9362" t="n">
        <v>5.36e-176</v>
      </c>
      <c r="I9362" t="inlineStr">
        <is>
          <t>Swiss-Prot</t>
        </is>
      </c>
      <c r="J9362" t="inlineStr">
        <is>
          <t>Ttc27</t>
        </is>
      </c>
      <c r="K9362" t="inlineStr">
        <is>
          <t>TTC27_MOUSE</t>
        </is>
      </c>
      <c r="L9362" t="inlineStr">
        <is>
          <t>sp|Q8CD92|TTC27_MOUSE Tetratricopeptide repeat protein 27 OS=Mus musculus OX=10090 GN=Ttc27 PE=1 SV=2</t>
        </is>
      </c>
      <c r="M9362" t="n">
        <v>847</v>
      </c>
      <c r="N9362" t="inlineStr">
        <is>
          <t>Mus musculus</t>
        </is>
      </c>
      <c r="O9362" t="inlineStr">
        <is>
          <t>Tetratricopeptide repeat protein 27</t>
        </is>
      </c>
    </row>
    <row r="9363">
      <c r="A9363" t="inlineStr"/>
      <c r="B9363" t="inlineStr"/>
      <c r="C9363" t="inlineStr"/>
      <c r="D9363" t="inlineStr"/>
      <c r="E9363">
        <f>HYPERLINK("https://www.uniprot.org/uniprotkb/Q54BW6/entry", "Q54BW6")</f>
        <v/>
      </c>
      <c r="F9363" t="n">
        <v>40.1</v>
      </c>
      <c r="G9363" t="n">
        <v>359</v>
      </c>
      <c r="H9363" t="n">
        <v>8.47e-50</v>
      </c>
      <c r="I9363" t="inlineStr">
        <is>
          <t>Swiss-Prot</t>
        </is>
      </c>
      <c r="J9363" t="inlineStr">
        <is>
          <t>ttc27</t>
        </is>
      </c>
      <c r="K9363" t="inlineStr">
        <is>
          <t>TTC27_DICDI</t>
        </is>
      </c>
      <c r="L9363" t="inlineStr">
        <is>
          <t>sp|Q54BW6|TTC27_DICDI Tetratricopeptide repeat protein 27 homolog OS=Dictyostelium discoideum OX=44689 GN=ttc27 PE=3 SV=1</t>
        </is>
      </c>
      <c r="M9363" t="n">
        <v>853</v>
      </c>
      <c r="N9363" t="inlineStr">
        <is>
          <t>Dictyostelium discoideum</t>
        </is>
      </c>
      <c r="O9363" t="inlineStr">
        <is>
          <t>Tetratricopeptide repeat protein 27 homolog</t>
        </is>
      </c>
    </row>
    <row r="9364">
      <c r="A9364" t="inlineStr"/>
      <c r="B9364" t="inlineStr"/>
      <c r="C9364" t="inlineStr"/>
      <c r="D9364" t="inlineStr"/>
      <c r="E9364">
        <f>HYPERLINK("https://www.uniprot.org/uniprotkb/P41842/entry", "P41842")</f>
        <v/>
      </c>
      <c r="F9364" t="n">
        <v>28.1</v>
      </c>
      <c r="G9364" t="n">
        <v>417</v>
      </c>
      <c r="H9364" t="n">
        <v>7.970000000000001e-43</v>
      </c>
      <c r="I9364" t="inlineStr">
        <is>
          <t>Swiss-Prot</t>
        </is>
      </c>
      <c r="J9364" t="inlineStr">
        <is>
          <t>trd-1</t>
        </is>
      </c>
      <c r="K9364" t="inlineStr">
        <is>
          <t>TTC27_CAEEL</t>
        </is>
      </c>
      <c r="L9364" t="inlineStr">
        <is>
          <t>sp|P41842|TTC27_CAEEL Tetratricopeptide repeat-containing protein trd-1 OS=Caenorhabditis elegans OX=6239 GN=trd-1 PE=2 SV=2</t>
        </is>
      </c>
      <c r="M9364" t="n">
        <v>771</v>
      </c>
      <c r="N9364" t="inlineStr">
        <is>
          <t>Caenorhabditis elegans</t>
        </is>
      </c>
      <c r="O9364" t="inlineStr">
        <is>
          <t>Tetratricopeptide repeat-containing protein trd-1</t>
        </is>
      </c>
    </row>
    <row r="9365">
      <c r="A9365" t="inlineStr"/>
      <c r="B9365" t="inlineStr"/>
      <c r="C9365" t="inlineStr"/>
      <c r="D9365" t="inlineStr"/>
      <c r="E9365">
        <f>HYPERLINK("https://www.uniprot.org/uniprotkb/O36033/entry", "O36033")</f>
        <v/>
      </c>
      <c r="F9365" t="n">
        <v>29.3</v>
      </c>
      <c r="G9365" t="n">
        <v>396</v>
      </c>
      <c r="H9365" t="n">
        <v>3.31e-40</v>
      </c>
      <c r="I9365" t="inlineStr">
        <is>
          <t>Swiss-Prot</t>
        </is>
      </c>
      <c r="J9365" t="inlineStr">
        <is>
          <t>SPAC19B12.01</t>
        </is>
      </c>
      <c r="K9365" t="inlineStr">
        <is>
          <t>YLM1_SCHPO</t>
        </is>
      </c>
      <c r="L9365" t="inlineStr">
        <is>
          <t>sp|O36033|YLM1_SCHPO TPR repeat-containing protein C19B12.01 OS=Schizosaccharomyces pombe (strain 972 / ATCC 24843) OX=284812 GN=SPAC19B12.01 PE=4 SV=2</t>
        </is>
      </c>
      <c r="M9365" t="n">
        <v>817</v>
      </c>
      <c r="N9365" t="inlineStr">
        <is>
          <t>Schizosaccharomyces pombe (strain 972 / ATCC 24843)</t>
        </is>
      </c>
      <c r="O9365" t="inlineStr">
        <is>
          <t>TPR repeat-containing protein C19B12.01</t>
        </is>
      </c>
    </row>
    <row r="9366">
      <c r="A9366" t="inlineStr"/>
      <c r="B9366" t="inlineStr"/>
      <c r="C9366" t="inlineStr"/>
      <c r="D9366" t="inlineStr"/>
      <c r="E9366">
        <f>HYPERLINK("https://www.uniprot.org/uniprotkb/P42842/entry", "P42842")</f>
        <v/>
      </c>
      <c r="F9366" t="n">
        <v>20.3</v>
      </c>
      <c r="G9366" t="n">
        <v>350</v>
      </c>
      <c r="H9366" t="n">
        <v>1e-12</v>
      </c>
      <c r="I9366" t="inlineStr">
        <is>
          <t>Swiss-Prot</t>
        </is>
      </c>
      <c r="J9366" t="inlineStr">
        <is>
          <t>EMW1</t>
        </is>
      </c>
      <c r="K9366" t="inlineStr">
        <is>
          <t>EMW1_YEAST</t>
        </is>
      </c>
      <c r="L9366" t="inlineStr">
        <is>
          <t>sp|P42842|EMW1_YEAST Essential for maintenance of the cell wall protein 1 OS=Saccharomyces cerevisiae (strain ATCC 204508 / S288c) OX=559292 GN=EMW1 PE=1 SV=1</t>
        </is>
      </c>
      <c r="M9366" t="n">
        <v>904</v>
      </c>
      <c r="N9366" t="inlineStr">
        <is>
          <t>Saccharomyces cerevisiae (strain ATCC 204508 / S288c)</t>
        </is>
      </c>
      <c r="O9366" t="inlineStr">
        <is>
          <t>Essential for maintenance of the cell wall protein 1</t>
        </is>
      </c>
    </row>
    <row r="9367">
      <c r="A9367" t="inlineStr">
        <is>
          <t>NODE_78064_length_2115_cov_95.752930_g13631_i1</t>
        </is>
      </c>
      <c r="B9367" t="inlineStr">
        <is>
          <t>bombina_pachypus_blastx</t>
        </is>
      </c>
      <c r="C9367" t="n">
        <v>6.77264227069167</v>
      </c>
      <c r="D9367" t="n">
        <v>0.009338059672016501</v>
      </c>
      <c r="E9367">
        <f>HYPERLINK("https://www.uniprot.org/uniprotkb/F7EKA8/entry", "F7EKA8")</f>
        <v/>
      </c>
      <c r="F9367" t="n">
        <v>63.8</v>
      </c>
      <c r="G9367" t="n">
        <v>160</v>
      </c>
      <c r="H9367" t="n">
        <v>3.35e-64</v>
      </c>
      <c r="I9367" t="inlineStr">
        <is>
          <t>TrEMBL</t>
        </is>
      </c>
      <c r="J9367" t="inlineStr">
        <is>
          <t>serpini2</t>
        </is>
      </c>
      <c r="K9367" t="inlineStr">
        <is>
          <t>F7EKA8_XENTR</t>
        </is>
      </c>
      <c r="L9367" t="inlineStr">
        <is>
          <t>tr|F7EKA8|F7EKA8_XENTR MGC107953 protein OS=Xenopus tropicalis OX=8364 GN=serpini2 PE=2 SV=3</t>
        </is>
      </c>
      <c r="M9367" t="n">
        <v>410</v>
      </c>
      <c r="N9367" t="inlineStr">
        <is>
          <t>Xenopus tropicalis</t>
        </is>
      </c>
      <c r="O9367" t="inlineStr">
        <is>
          <t>MGC107953 protein</t>
        </is>
      </c>
    </row>
    <row r="9368">
      <c r="A9368" t="inlineStr"/>
      <c r="B9368" t="inlineStr"/>
      <c r="C9368" t="inlineStr"/>
      <c r="D9368" t="inlineStr"/>
      <c r="E9368">
        <f>HYPERLINK("https://www.uniprot.org/uniprotkb/Q5U527/entry", "Q5U527")</f>
        <v/>
      </c>
      <c r="F9368" t="n">
        <v>63.1</v>
      </c>
      <c r="G9368" t="n">
        <v>160</v>
      </c>
      <c r="H9368" t="n">
        <v>4.25e-64</v>
      </c>
      <c r="I9368" t="inlineStr">
        <is>
          <t>TrEMBL</t>
        </is>
      </c>
      <c r="J9368" t="inlineStr">
        <is>
          <t>LOC495389</t>
        </is>
      </c>
      <c r="K9368" t="inlineStr">
        <is>
          <t>Q5U527_XENLA</t>
        </is>
      </c>
      <c r="L9368" t="inlineStr">
        <is>
          <t>tr|Q5U527|Q5U527_XENLA LOC495389 protein (Fragment) OS=Xenopus laevis OX=8355 GN=LOC495389 PE=2 SV=1</t>
        </is>
      </c>
      <c r="M9368" t="n">
        <v>433</v>
      </c>
      <c r="N9368" t="inlineStr">
        <is>
          <t>Xenopus laevis</t>
        </is>
      </c>
      <c r="O9368" t="inlineStr">
        <is>
          <t>LOC495389 protein (Fragment)</t>
        </is>
      </c>
    </row>
    <row r="9369">
      <c r="A9369" t="inlineStr"/>
      <c r="B9369" t="inlineStr"/>
      <c r="C9369" t="inlineStr"/>
      <c r="D9369" t="inlineStr"/>
      <c r="E9369">
        <f>HYPERLINK("https://www.uniprot.org/uniprotkb/A0A1L8GAB9/entry", "A0A1L8GAB9")</f>
        <v/>
      </c>
      <c r="F9369" t="n">
        <v>62.5</v>
      </c>
      <c r="G9369" t="n">
        <v>160</v>
      </c>
      <c r="H9369" t="n">
        <v>6.360000000000001e-64</v>
      </c>
      <c r="I9369" t="inlineStr">
        <is>
          <t>TrEMBL</t>
        </is>
      </c>
      <c r="J9369" t="inlineStr">
        <is>
          <t>serpini2.L</t>
        </is>
      </c>
      <c r="K9369" t="inlineStr">
        <is>
          <t>A0A1L8GAB9_XENLA</t>
        </is>
      </c>
      <c r="L9369" t="inlineStr">
        <is>
          <t>tr|A0A1L8GAB9|A0A1L8GAB9_XENLA serpin I2 OS=Xenopus laevis OX=8355 GN=serpini2.L PE=3 SV=1</t>
        </is>
      </c>
      <c r="M9369" t="n">
        <v>408</v>
      </c>
      <c r="N9369" t="inlineStr">
        <is>
          <t>Xenopus laevis</t>
        </is>
      </c>
      <c r="O9369" t="inlineStr">
        <is>
          <t>serpin I2</t>
        </is>
      </c>
    </row>
    <row r="9370">
      <c r="A9370" t="inlineStr"/>
      <c r="B9370" t="inlineStr"/>
      <c r="C9370" t="inlineStr"/>
      <c r="D9370" t="inlineStr"/>
      <c r="E9370">
        <f>HYPERLINK("https://www.uniprot.org/uniprotkb/A0A803J867/entry", "A0A803J867")</f>
        <v/>
      </c>
      <c r="F9370" t="n">
        <v>63.8</v>
      </c>
      <c r="G9370" t="n">
        <v>160</v>
      </c>
      <c r="H9370" t="n">
        <v>6.47e-64</v>
      </c>
      <c r="I9370" t="inlineStr">
        <is>
          <t>TrEMBL</t>
        </is>
      </c>
      <c r="J9370" t="inlineStr">
        <is>
          <t>wdr49</t>
        </is>
      </c>
      <c r="K9370" t="inlineStr">
        <is>
          <t>A0A803J867_XENTR</t>
        </is>
      </c>
      <c r="L9370" t="inlineStr">
        <is>
          <t>tr|A0A803J867|A0A803J867_XENTR WD repeat domain 49 OS=Xenopus tropicalis OX=8364 GN=wdr49 PE=3 SV=1</t>
        </is>
      </c>
      <c r="M9370" t="n">
        <v>436</v>
      </c>
      <c r="N9370" t="inlineStr">
        <is>
          <t>Xenopus tropicalis</t>
        </is>
      </c>
      <c r="O9370" t="inlineStr">
        <is>
          <t>WD repeat domain 49</t>
        </is>
      </c>
    </row>
    <row r="9371">
      <c r="A9371" t="inlineStr"/>
      <c r="B9371" t="inlineStr"/>
      <c r="C9371" t="inlineStr"/>
      <c r="D9371" t="inlineStr"/>
      <c r="E9371">
        <f>HYPERLINK("https://www.ncbi.nlm.nih.gov/gene/?term=NP_001015754.1", "NP_001015754.1")</f>
        <v/>
      </c>
      <c r="F9371" t="n">
        <v>63.8</v>
      </c>
      <c r="G9371" t="n">
        <v>160</v>
      </c>
      <c r="H9371" t="n">
        <v>8.62e-64</v>
      </c>
      <c r="I9371" t="inlineStr">
        <is>
          <t>Nr</t>
        </is>
      </c>
      <c r="J9371" t="inlineStr"/>
      <c r="K9371" t="inlineStr"/>
      <c r="L9371" t="inlineStr">
        <is>
          <t>NP_001015754.1 serpin I2 [Xenopus tropicalis]</t>
        </is>
      </c>
      <c r="M9371" t="n">
        <v>410</v>
      </c>
      <c r="N9371" t="inlineStr">
        <is>
          <t>Xenopus tropicalis</t>
        </is>
      </c>
      <c r="O9371" t="inlineStr">
        <is>
          <t>serpin I2</t>
        </is>
      </c>
    </row>
    <row r="9372">
      <c r="A9372" t="inlineStr"/>
      <c r="B9372" t="inlineStr"/>
      <c r="C9372" t="inlineStr"/>
      <c r="D9372" t="inlineStr"/>
      <c r="E9372">
        <f>HYPERLINK("https://www.ncbi.nlm.nih.gov/gene/?term=AAH84858.1", "AAH84858.1")</f>
        <v/>
      </c>
      <c r="F9372" t="n">
        <v>63.1</v>
      </c>
      <c r="G9372" t="n">
        <v>160</v>
      </c>
      <c r="H9372" t="n">
        <v>1.09e-63</v>
      </c>
      <c r="I9372" t="inlineStr">
        <is>
          <t>Nr</t>
        </is>
      </c>
      <c r="J9372" t="inlineStr"/>
      <c r="K9372" t="inlineStr"/>
      <c r="L9372" t="inlineStr">
        <is>
          <t>AAH84858.1 LOC495389 protein, partial [Xenopus laevis]</t>
        </is>
      </c>
      <c r="M9372" t="n">
        <v>433</v>
      </c>
      <c r="N9372" t="inlineStr">
        <is>
          <t>Xenopus laevis</t>
        </is>
      </c>
      <c r="O9372" t="inlineStr">
        <is>
          <t>LOC495389 protein, partial</t>
        </is>
      </c>
    </row>
    <row r="9373">
      <c r="A9373" t="inlineStr"/>
      <c r="B9373" t="inlineStr"/>
      <c r="C9373" t="inlineStr"/>
      <c r="D9373" t="inlineStr"/>
      <c r="E9373">
        <f>HYPERLINK("https://www.ncbi.nlm.nih.gov/gene/?term=XP_018119226.1", "XP_018119226.1")</f>
        <v/>
      </c>
      <c r="F9373" t="n">
        <v>62.5</v>
      </c>
      <c r="G9373" t="n">
        <v>160</v>
      </c>
      <c r="H9373" t="n">
        <v>1.63e-63</v>
      </c>
      <c r="I9373" t="inlineStr">
        <is>
          <t>Nr</t>
        </is>
      </c>
      <c r="J9373" t="inlineStr"/>
      <c r="K9373" t="inlineStr"/>
      <c r="L9373" t="inlineStr">
        <is>
          <t>XP_018119226.1 serpin I2 [Xenopus laevis]</t>
        </is>
      </c>
      <c r="M9373" t="n">
        <v>408</v>
      </c>
      <c r="N9373" t="inlineStr">
        <is>
          <t>Xenopus laevis</t>
        </is>
      </c>
      <c r="O9373" t="inlineStr">
        <is>
          <t>serpin I2</t>
        </is>
      </c>
    </row>
    <row r="9374">
      <c r="A9374" t="inlineStr"/>
      <c r="B9374" t="inlineStr"/>
      <c r="C9374" t="inlineStr"/>
      <c r="D9374" t="inlineStr"/>
      <c r="E9374">
        <f>HYPERLINK("https://www.uniprot.org/uniprotkb/A0A803JT19/entry", "A0A803JT19")</f>
        <v/>
      </c>
      <c r="F9374" t="n">
        <v>63.8</v>
      </c>
      <c r="G9374" t="n">
        <v>160</v>
      </c>
      <c r="H9374" t="n">
        <v>7.93e-62</v>
      </c>
      <c r="I9374" t="inlineStr">
        <is>
          <t>TrEMBL</t>
        </is>
      </c>
      <c r="J9374" t="inlineStr">
        <is>
          <t>wdr49</t>
        </is>
      </c>
      <c r="K9374" t="inlineStr">
        <is>
          <t>A0A803JT19_XENTR</t>
        </is>
      </c>
      <c r="L9374" t="inlineStr">
        <is>
          <t>tr|A0A803JT19|A0A803JT19_XENTR WD repeat domain 49 OS=Xenopus tropicalis OX=8364 GN=wdr49 PE=3 SV=1</t>
        </is>
      </c>
      <c r="M9374" t="n">
        <v>674</v>
      </c>
      <c r="N9374" t="inlineStr">
        <is>
          <t>Xenopus tropicalis</t>
        </is>
      </c>
      <c r="O9374" t="inlineStr">
        <is>
          <t>WD repeat domain 49</t>
        </is>
      </c>
    </row>
    <row r="9375">
      <c r="A9375" t="inlineStr"/>
      <c r="B9375" t="inlineStr"/>
      <c r="C9375" t="inlineStr"/>
      <c r="D9375" t="inlineStr"/>
      <c r="E9375">
        <f>HYPERLINK("https://www.uniprot.org/uniprotkb/A0A8T2JLP2/entry", "A0A8T2JLP2")</f>
        <v/>
      </c>
      <c r="F9375" t="n">
        <v>60.8</v>
      </c>
      <c r="G9375" t="n">
        <v>158</v>
      </c>
      <c r="H9375" t="n">
        <v>2.57e-60</v>
      </c>
      <c r="I9375" t="inlineStr">
        <is>
          <t>TrEMBL</t>
        </is>
      </c>
      <c r="J9375" t="inlineStr">
        <is>
          <t>GDO86_010115</t>
        </is>
      </c>
      <c r="K9375" t="inlineStr">
        <is>
          <t>A0A8T2JLP2_9PIPI</t>
        </is>
      </c>
      <c r="L9375" t="inlineStr">
        <is>
          <t>tr|A0A8T2JLP2|A0A8T2JLP2_9PIPI SERPIN domain-containing protein OS=Hymenochirus boettgeri OX=247094 GN=GDO86_010115 PE=3 SV=1</t>
        </is>
      </c>
      <c r="M9375" t="n">
        <v>409</v>
      </c>
      <c r="N9375" t="inlineStr">
        <is>
          <t>Hymenochirus boettgeri</t>
        </is>
      </c>
      <c r="O9375" t="inlineStr">
        <is>
          <t>SERPIN domain-containing protein</t>
        </is>
      </c>
    </row>
    <row r="9376">
      <c r="A9376" t="inlineStr"/>
      <c r="B9376" t="inlineStr"/>
      <c r="C9376" t="inlineStr"/>
      <c r="D9376" t="inlineStr"/>
      <c r="E9376">
        <f>HYPERLINK("https://www.ncbi.nlm.nih.gov/gene/?term=KAG8445212.1", "KAG8445212.1")</f>
        <v/>
      </c>
      <c r="F9376" t="n">
        <v>60.8</v>
      </c>
      <c r="G9376" t="n">
        <v>158</v>
      </c>
      <c r="H9376" t="n">
        <v>6.609999999999999e-60</v>
      </c>
      <c r="I9376" t="inlineStr">
        <is>
          <t>Nr</t>
        </is>
      </c>
      <c r="J9376" t="inlineStr"/>
      <c r="K9376" t="inlineStr"/>
      <c r="L9376" t="inlineStr">
        <is>
          <t>KAG8445212.1 hypothetical protein GDO86_010115 [Hymenochirus boettgeri]</t>
        </is>
      </c>
      <c r="M9376" t="n">
        <v>409</v>
      </c>
      <c r="N9376" t="inlineStr">
        <is>
          <t>Hymenochirus boettgeri</t>
        </is>
      </c>
      <c r="O9376" t="inlineStr">
        <is>
          <t>hypothetical protein GDO86_010115</t>
        </is>
      </c>
    </row>
    <row r="9377">
      <c r="A9377" t="inlineStr"/>
      <c r="B9377" t="inlineStr"/>
      <c r="C9377" t="inlineStr"/>
      <c r="D9377" t="inlineStr"/>
      <c r="E9377">
        <f>HYPERLINK("https://www.ncbi.nlm.nih.gov/gene/?term=XP_040284115.1", "XP_040284115.1")</f>
        <v/>
      </c>
      <c r="F9377" t="n">
        <v>63.4</v>
      </c>
      <c r="G9377" t="n">
        <v>145</v>
      </c>
      <c r="H9377" t="n">
        <v>1.73e-58</v>
      </c>
      <c r="I9377" t="inlineStr">
        <is>
          <t>Nr</t>
        </is>
      </c>
      <c r="J9377" t="inlineStr"/>
      <c r="K9377" t="inlineStr"/>
      <c r="L9377" t="inlineStr">
        <is>
          <t>XP_040284115.1 serpin I2 [Bufo bufo]</t>
        </is>
      </c>
      <c r="M9377" t="n">
        <v>430</v>
      </c>
      <c r="N9377" t="inlineStr">
        <is>
          <t>Bufo bufo</t>
        </is>
      </c>
      <c r="O9377" t="inlineStr">
        <is>
          <t>serpin I2</t>
        </is>
      </c>
    </row>
    <row r="9378">
      <c r="A9378" t="inlineStr"/>
      <c r="B9378" t="inlineStr"/>
      <c r="C9378" t="inlineStr"/>
      <c r="D9378" t="inlineStr"/>
      <c r="E9378">
        <f>HYPERLINK("https://www.uniprot.org/uniprotkb/A0A8C5PJY9/entry", "A0A8C5PJY9")</f>
        <v/>
      </c>
      <c r="F9378" t="n">
        <v>60.3</v>
      </c>
      <c r="G9378" t="n">
        <v>146</v>
      </c>
      <c r="H9378" t="n">
        <v>4.460000000000001e-58</v>
      </c>
      <c r="I9378" t="inlineStr">
        <is>
          <t>TrEMBL</t>
        </is>
      </c>
      <c r="J9378" t="inlineStr">
        <is>
          <t>SERPINI2</t>
        </is>
      </c>
      <c r="K9378" t="inlineStr">
        <is>
          <t>A0A8C5PJY9_9ANUR</t>
        </is>
      </c>
      <c r="L9378" t="inlineStr">
        <is>
          <t>tr|A0A8C5PJY9|A0A8C5PJY9_9ANUR Serpin family I member 2 OS=Leptobrachium leishanense OX=445787 GN=SERPINI2 PE=3 SV=1</t>
        </is>
      </c>
      <c r="M9378" t="n">
        <v>381</v>
      </c>
      <c r="N9378" t="inlineStr">
        <is>
          <t>Leptobrachium leishanense</t>
        </is>
      </c>
      <c r="O9378" t="inlineStr">
        <is>
          <t>Serpin family I member 2</t>
        </is>
      </c>
    </row>
    <row r="9379">
      <c r="A9379" t="inlineStr"/>
      <c r="B9379" t="inlineStr"/>
      <c r="C9379" t="inlineStr"/>
      <c r="D9379" t="inlineStr"/>
      <c r="E9379">
        <f>HYPERLINK("https://www.ncbi.nlm.nih.gov/gene/?term=XP_044147877.1", "XP_044147877.1")</f>
        <v/>
      </c>
      <c r="F9379" t="n">
        <v>62.8</v>
      </c>
      <c r="G9379" t="n">
        <v>145</v>
      </c>
      <c r="H9379" t="n">
        <v>9.650000000000001e-58</v>
      </c>
      <c r="I9379" t="inlineStr">
        <is>
          <t>Nr</t>
        </is>
      </c>
      <c r="J9379" t="inlineStr"/>
      <c r="K9379" t="inlineStr"/>
      <c r="L9379" t="inlineStr">
        <is>
          <t>XP_044147877.1 serpin I2 isoform X1 [Bufo gargarizans]</t>
        </is>
      </c>
      <c r="M9379" t="n">
        <v>430</v>
      </c>
      <c r="N9379" t="inlineStr">
        <is>
          <t>Bufo gargarizans</t>
        </is>
      </c>
      <c r="O9379" t="inlineStr">
        <is>
          <t>serpin I2 isoform X1</t>
        </is>
      </c>
    </row>
    <row r="9380">
      <c r="A9380" t="inlineStr"/>
      <c r="B9380" t="inlineStr"/>
      <c r="C9380" t="inlineStr"/>
      <c r="D9380" t="inlineStr"/>
      <c r="E9380">
        <f>HYPERLINK("https://www.ncbi.nlm.nih.gov/gene/?term=KAG8581144.1", "KAG8581144.1")</f>
        <v/>
      </c>
      <c r="F9380" t="n">
        <v>61.4</v>
      </c>
      <c r="G9380" t="n">
        <v>145</v>
      </c>
      <c r="H9380" t="n">
        <v>2.02e-57</v>
      </c>
      <c r="I9380" t="inlineStr">
        <is>
          <t>Nr</t>
        </is>
      </c>
      <c r="J9380" t="inlineStr"/>
      <c r="K9380" t="inlineStr"/>
      <c r="L9380" t="inlineStr">
        <is>
          <t>KAG8581144.1 hypothetical protein GDO81_007571 [Engystomops pustulosus]</t>
        </is>
      </c>
      <c r="M9380" t="n">
        <v>447</v>
      </c>
      <c r="N9380" t="inlineStr">
        <is>
          <t>Engystomops pustulosus</t>
        </is>
      </c>
      <c r="O9380" t="inlineStr">
        <is>
          <t>hypothetical protein GDO81_007571</t>
        </is>
      </c>
    </row>
    <row r="9381">
      <c r="A9381" t="inlineStr"/>
      <c r="B9381" t="inlineStr"/>
      <c r="C9381" t="inlineStr"/>
      <c r="D9381" t="inlineStr"/>
      <c r="E9381">
        <f>HYPERLINK("https://www.uniprot.org/uniprotkb/A0A8C5PJG3/entry", "A0A8C5PJG3")</f>
        <v/>
      </c>
      <c r="F9381" t="n">
        <v>59.2</v>
      </c>
      <c r="G9381" t="n">
        <v>152</v>
      </c>
      <c r="H9381" t="n">
        <v>2.58e-57</v>
      </c>
      <c r="I9381" t="inlineStr">
        <is>
          <t>TrEMBL</t>
        </is>
      </c>
      <c r="J9381" t="inlineStr">
        <is>
          <t>SERPINI2</t>
        </is>
      </c>
      <c r="K9381" t="inlineStr">
        <is>
          <t>A0A8C5PJG3_9ANUR</t>
        </is>
      </c>
      <c r="L9381" t="inlineStr">
        <is>
          <t>tr|A0A8C5PJG3|A0A8C5PJG3_9ANUR Serpin family I member 2 OS=Leptobrachium leishanense OX=445787 GN=SERPINI2 PE=3 SV=1</t>
        </is>
      </c>
      <c r="M9381" t="n">
        <v>410</v>
      </c>
      <c r="N9381" t="inlineStr">
        <is>
          <t>Leptobrachium leishanense</t>
        </is>
      </c>
      <c r="O9381" t="inlineStr">
        <is>
          <t>Serpin family I member 2</t>
        </is>
      </c>
    </row>
    <row r="9382">
      <c r="A9382" t="inlineStr"/>
      <c r="B9382" t="inlineStr"/>
      <c r="C9382" t="inlineStr"/>
      <c r="D9382" t="inlineStr"/>
      <c r="E9382">
        <f>HYPERLINK("https://www.ncbi.nlm.nih.gov/gene/?term=KAJ1087892.1", "KAJ1087892.1")</f>
        <v/>
      </c>
      <c r="F9382" t="n">
        <v>60.8</v>
      </c>
      <c r="G9382" t="n">
        <v>158</v>
      </c>
      <c r="H9382" t="n">
        <v>2.66e-57</v>
      </c>
      <c r="I9382" t="inlineStr">
        <is>
          <t>Nr</t>
        </is>
      </c>
      <c r="J9382" t="inlineStr"/>
      <c r="K9382" t="inlineStr"/>
      <c r="L9382" t="inlineStr">
        <is>
          <t>KAJ1087892.1 hypothetical protein NDU88_001051 [Pleurodeles waltl]</t>
        </is>
      </c>
      <c r="M9382" t="n">
        <v>347</v>
      </c>
      <c r="N9382" t="inlineStr">
        <is>
          <t>Pleurodeles waltl</t>
        </is>
      </c>
      <c r="O9382" t="inlineStr">
        <is>
          <t>hypothetical protein NDU88_001051</t>
        </is>
      </c>
    </row>
    <row r="9383">
      <c r="A9383" t="inlineStr"/>
      <c r="B9383" t="inlineStr"/>
      <c r="C9383" t="inlineStr"/>
      <c r="D9383" t="inlineStr"/>
      <c r="E9383">
        <f>HYPERLINK("https://www.ncbi.nlm.nih.gov/gene/?term=XP_008580540.1", "XP_008580540.1")</f>
        <v/>
      </c>
      <c r="F9383" t="n">
        <v>58.1</v>
      </c>
      <c r="G9383" t="n">
        <v>160</v>
      </c>
      <c r="H9383" t="n">
        <v>4.06e-57</v>
      </c>
      <c r="I9383" t="inlineStr">
        <is>
          <t>Nr</t>
        </is>
      </c>
      <c r="J9383" t="inlineStr"/>
      <c r="K9383" t="inlineStr"/>
      <c r="L9383" t="inlineStr">
        <is>
          <t>XP_008580540.1 PREDICTED: serpin I2 [Galeopterus variegatus]</t>
        </is>
      </c>
      <c r="M9383" t="n">
        <v>404</v>
      </c>
      <c r="N9383" t="inlineStr">
        <is>
          <t>Galeopterus variegatus</t>
        </is>
      </c>
      <c r="O9383" t="inlineStr">
        <is>
          <t>PREDICTED: serpin I2</t>
        </is>
      </c>
    </row>
    <row r="9384">
      <c r="A9384" t="inlineStr"/>
      <c r="B9384" t="inlineStr"/>
      <c r="C9384" t="inlineStr"/>
      <c r="D9384" t="inlineStr"/>
      <c r="E9384">
        <f>HYPERLINK("https://www.uniprot.org/uniprotkb/O75830/entry", "O75830")</f>
        <v/>
      </c>
      <c r="F9384" t="n">
        <v>56.9</v>
      </c>
      <c r="G9384" t="n">
        <v>160</v>
      </c>
      <c r="H9384" t="n">
        <v>5.65e-57</v>
      </c>
      <c r="I9384" t="inlineStr">
        <is>
          <t>Swiss-Prot</t>
        </is>
      </c>
      <c r="J9384" t="inlineStr">
        <is>
          <t>SERPINI2</t>
        </is>
      </c>
      <c r="K9384" t="inlineStr">
        <is>
          <t>SPI2_HUMAN</t>
        </is>
      </c>
      <c r="L9384" t="inlineStr">
        <is>
          <t>sp|O75830|SPI2_HUMAN Serpin I2 OS=Homo sapiens OX=9606 GN=SERPINI2 PE=1 SV=1</t>
        </is>
      </c>
      <c r="M9384" t="n">
        <v>405</v>
      </c>
      <c r="N9384" t="inlineStr">
        <is>
          <t>Homo sapiens</t>
        </is>
      </c>
      <c r="O9384" t="inlineStr">
        <is>
          <t>Serpin I2</t>
        </is>
      </c>
    </row>
    <row r="9385">
      <c r="A9385" t="inlineStr"/>
      <c r="B9385" t="inlineStr"/>
      <c r="C9385" t="inlineStr"/>
      <c r="D9385" t="inlineStr"/>
      <c r="E9385">
        <f>HYPERLINK("https://www.uniprot.org/uniprotkb/A0A8C2NHQ8/entry", "A0A8C2NHQ8")</f>
        <v/>
      </c>
      <c r="F9385" t="n">
        <v>56.7</v>
      </c>
      <c r="G9385" t="n">
        <v>157</v>
      </c>
      <c r="H9385" t="n">
        <v>1.75e-56</v>
      </c>
      <c r="I9385" t="inlineStr">
        <is>
          <t>TrEMBL</t>
        </is>
      </c>
      <c r="J9385" t="inlineStr">
        <is>
          <t>SERPINI2</t>
        </is>
      </c>
      <c r="K9385" t="inlineStr">
        <is>
          <t>A0A8C2NHQ8_CAPHI</t>
        </is>
      </c>
      <c r="L9385" t="inlineStr">
        <is>
          <t>tr|A0A8C2NHQ8|A0A8C2NHQ8_CAPHI Serpin family I member 2 OS=Capra hircus OX=9925 GN=SERPINI2 PE=3 SV=1</t>
        </is>
      </c>
      <c r="M9385" t="n">
        <v>376</v>
      </c>
      <c r="N9385" t="inlineStr">
        <is>
          <t>Capra hircus</t>
        </is>
      </c>
      <c r="O9385" t="inlineStr">
        <is>
          <t>Serpin family I member 2</t>
        </is>
      </c>
    </row>
    <row r="9386">
      <c r="A9386" t="inlineStr"/>
      <c r="B9386" t="inlineStr"/>
      <c r="C9386" t="inlineStr"/>
      <c r="D9386" t="inlineStr"/>
      <c r="E9386">
        <f>HYPERLINK("https://www.ncbi.nlm.nih.gov/gene/?term=XP_037381649.1", "XP_037381649.1")</f>
        <v/>
      </c>
      <c r="F9386" t="n">
        <v>57.5</v>
      </c>
      <c r="G9386" t="n">
        <v>160</v>
      </c>
      <c r="H9386" t="n">
        <v>4.63e-56</v>
      </c>
      <c r="I9386" t="inlineStr">
        <is>
          <t>Nr</t>
        </is>
      </c>
      <c r="J9386" t="inlineStr"/>
      <c r="K9386" t="inlineStr"/>
      <c r="L9386" t="inlineStr">
        <is>
          <t>XP_037381649.1 serpin I2 [Talpa occidentalis]</t>
        </is>
      </c>
      <c r="M9386" t="n">
        <v>405</v>
      </c>
      <c r="N9386" t="inlineStr">
        <is>
          <t>Talpa occidentalis</t>
        </is>
      </c>
      <c r="O9386" t="inlineStr">
        <is>
          <t>serpin I2</t>
        </is>
      </c>
    </row>
    <row r="9387">
      <c r="A9387" t="inlineStr"/>
      <c r="B9387" t="inlineStr"/>
      <c r="C9387" t="inlineStr"/>
      <c r="D9387" t="inlineStr"/>
      <c r="E9387">
        <f>HYPERLINK("https://www.ncbi.nlm.nih.gov/gene/?term=XP_004674990.1", "XP_004674990.1")</f>
        <v/>
      </c>
      <c r="F9387" t="n">
        <v>57.5</v>
      </c>
      <c r="G9387" t="n">
        <v>160</v>
      </c>
      <c r="H9387" t="n">
        <v>4.63e-56</v>
      </c>
      <c r="I9387" t="inlineStr">
        <is>
          <t>Nr</t>
        </is>
      </c>
      <c r="J9387" t="inlineStr"/>
      <c r="K9387" t="inlineStr"/>
      <c r="L9387" t="inlineStr">
        <is>
          <t>XP_004674990.1 PREDICTED: serpin I2 [Condylura cristata]</t>
        </is>
      </c>
      <c r="M9387" t="n">
        <v>405</v>
      </c>
      <c r="N9387" t="inlineStr">
        <is>
          <t>Condylura cristata</t>
        </is>
      </c>
      <c r="O9387" t="inlineStr">
        <is>
          <t>PREDICTED: serpin I2</t>
        </is>
      </c>
    </row>
    <row r="9388">
      <c r="A9388" t="inlineStr"/>
      <c r="B9388" t="inlineStr"/>
      <c r="C9388" t="inlineStr"/>
      <c r="D9388" t="inlineStr"/>
      <c r="E9388">
        <f>HYPERLINK("https://www.uniprot.org/uniprotkb/A0A4W2FWN6/entry", "A0A4W2FWN6")</f>
        <v/>
      </c>
      <c r="F9388" t="n">
        <v>56.3</v>
      </c>
      <c r="G9388" t="n">
        <v>160</v>
      </c>
      <c r="H9388" t="n">
        <v>5.060000000000001e-56</v>
      </c>
      <c r="I9388" t="inlineStr">
        <is>
          <t>TrEMBL</t>
        </is>
      </c>
      <c r="J9388" t="inlineStr">
        <is>
          <t>SERPINI2</t>
        </is>
      </c>
      <c r="K9388" t="inlineStr">
        <is>
          <t>A0A4W2FWN6_BOBOX</t>
        </is>
      </c>
      <c r="L9388" t="inlineStr">
        <is>
          <t>tr|A0A4W2FWN6|A0A4W2FWN6_BOBOX Serpin family I member 2 OS=Bos indicus x Bos taurus OX=30522 GN=SERPINI2 PE=3 SV=1</t>
        </is>
      </c>
      <c r="M9388" t="n">
        <v>405</v>
      </c>
      <c r="N9388" t="inlineStr">
        <is>
          <t>Bos indicus x Bos taurus</t>
        </is>
      </c>
      <c r="O9388" t="inlineStr">
        <is>
          <t>Serpin family I member 2</t>
        </is>
      </c>
    </row>
    <row r="9389">
      <c r="A9389" t="inlineStr"/>
      <c r="B9389" t="inlineStr"/>
      <c r="C9389" t="inlineStr"/>
      <c r="D9389" t="inlineStr"/>
      <c r="E9389">
        <f>HYPERLINK("https://www.uniprot.org/uniprotkb/A6QPW6/entry", "A6QPW6")</f>
        <v/>
      </c>
      <c r="F9389" t="n">
        <v>56.3</v>
      </c>
      <c r="G9389" t="n">
        <v>160</v>
      </c>
      <c r="H9389" t="n">
        <v>5.060000000000001e-56</v>
      </c>
      <c r="I9389" t="inlineStr">
        <is>
          <t>TrEMBL</t>
        </is>
      </c>
      <c r="J9389" t="inlineStr">
        <is>
          <t>SERPINI2</t>
        </is>
      </c>
      <c r="K9389" t="inlineStr">
        <is>
          <t>A6QPW6_BOVIN</t>
        </is>
      </c>
      <c r="L9389" t="inlineStr">
        <is>
          <t>tr|A6QPW6|A6QPW6_BOVIN SERPINI2 protein OS=Bos taurus OX=9913 GN=SERPINI2 PE=2 SV=1</t>
        </is>
      </c>
      <c r="M9389" t="n">
        <v>405</v>
      </c>
      <c r="N9389" t="inlineStr">
        <is>
          <t>Bos taurus</t>
        </is>
      </c>
      <c r="O9389" t="inlineStr">
        <is>
          <t>SERPINI2 protein</t>
        </is>
      </c>
    </row>
    <row r="9390">
      <c r="A9390" t="inlineStr"/>
      <c r="B9390" t="inlineStr"/>
      <c r="C9390" t="inlineStr"/>
      <c r="D9390" t="inlineStr"/>
      <c r="E9390">
        <f>HYPERLINK("https://www.uniprot.org/uniprotkb/A0A6P3GV19/entry", "A0A6P3GV19")</f>
        <v/>
      </c>
      <c r="F9390" t="n">
        <v>56.3</v>
      </c>
      <c r="G9390" t="n">
        <v>160</v>
      </c>
      <c r="H9390" t="n">
        <v>5.060000000000001e-56</v>
      </c>
      <c r="I9390" t="inlineStr">
        <is>
          <t>TrEMBL</t>
        </is>
      </c>
      <c r="J9390" t="inlineStr">
        <is>
          <t>SERPINI2</t>
        </is>
      </c>
      <c r="K9390" t="inlineStr">
        <is>
          <t>A0A6P3GV19_BISBI</t>
        </is>
      </c>
      <c r="L9390" t="inlineStr">
        <is>
          <t>tr|A0A6P3GV19|A0A6P3GV19_BISBI serpin I2 OS=Bison bison bison OX=43346 GN=SERPINI2 PE=3 SV=1</t>
        </is>
      </c>
      <c r="M9390" t="n">
        <v>405</v>
      </c>
      <c r="N9390" t="inlineStr">
        <is>
          <t>Bison bison bison</t>
        </is>
      </c>
      <c r="O9390" t="inlineStr">
        <is>
          <t>serpin I2</t>
        </is>
      </c>
    </row>
    <row r="9391">
      <c r="A9391" t="inlineStr"/>
      <c r="B9391" t="inlineStr"/>
      <c r="C9391" t="inlineStr"/>
      <c r="D9391" t="inlineStr"/>
      <c r="E9391">
        <f>HYPERLINK("https://www.uniprot.org/uniprotkb/A0A6P5BEE0/entry", "A0A6P5BEE0")</f>
        <v/>
      </c>
      <c r="F9391" t="n">
        <v>56.3</v>
      </c>
      <c r="G9391" t="n">
        <v>160</v>
      </c>
      <c r="H9391" t="n">
        <v>5.060000000000001e-56</v>
      </c>
      <c r="I9391" t="inlineStr">
        <is>
          <t>TrEMBL</t>
        </is>
      </c>
      <c r="J9391" t="inlineStr">
        <is>
          <t>SERPINI2</t>
        </is>
      </c>
      <c r="K9391" t="inlineStr">
        <is>
          <t>A0A6P5BEE0_BOSIN</t>
        </is>
      </c>
      <c r="L9391" t="inlineStr">
        <is>
          <t>tr|A0A6P5BEE0|A0A6P5BEE0_BOSIN serpin I2 OS=Bos indicus OX=9915 GN=SERPINI2 PE=3 SV=1</t>
        </is>
      </c>
      <c r="M9391" t="n">
        <v>405</v>
      </c>
      <c r="N9391" t="inlineStr">
        <is>
          <t>Bos indicus</t>
        </is>
      </c>
      <c r="O9391" t="inlineStr">
        <is>
          <t>serpin I2</t>
        </is>
      </c>
    </row>
    <row r="9392">
      <c r="A9392" t="inlineStr"/>
      <c r="B9392" t="inlineStr"/>
      <c r="C9392" t="inlineStr"/>
      <c r="D9392" t="inlineStr"/>
      <c r="E9392">
        <f>HYPERLINK("https://www.uniprot.org/uniprotkb/A0A8B7FI34/entry", "A0A8B7FI34")</f>
        <v/>
      </c>
      <c r="F9392" t="n">
        <v>57.9</v>
      </c>
      <c r="G9392" t="n">
        <v>159</v>
      </c>
      <c r="H9392" t="n">
        <v>6.75e-56</v>
      </c>
      <c r="I9392" t="inlineStr">
        <is>
          <t>TrEMBL</t>
        </is>
      </c>
      <c r="J9392" t="inlineStr">
        <is>
          <t>SERPINI2</t>
        </is>
      </c>
      <c r="K9392" t="inlineStr">
        <is>
          <t>A0A8B7FI34_MICMU</t>
        </is>
      </c>
      <c r="L9392" t="inlineStr">
        <is>
          <t>tr|A0A8B7FI34|A0A8B7FI34_MICMU serpin I2 isoform X2 OS=Microcebus murinus OX=30608 GN=SERPINI2 PE=3 SV=1</t>
        </is>
      </c>
      <c r="M9392" t="n">
        <v>348</v>
      </c>
      <c r="N9392" t="inlineStr">
        <is>
          <t>Microcebus murinus</t>
        </is>
      </c>
      <c r="O9392" t="inlineStr">
        <is>
          <t>serpin I2 isoform X2</t>
        </is>
      </c>
    </row>
    <row r="9393">
      <c r="A9393" t="inlineStr"/>
      <c r="B9393" t="inlineStr"/>
      <c r="C9393" t="inlineStr"/>
      <c r="D9393" t="inlineStr"/>
      <c r="E9393">
        <f>HYPERLINK("https://www.uniprot.org/uniprotkb/A0A8J6FTZ7/entry", "A0A8J6FTZ7")</f>
        <v/>
      </c>
      <c r="F9393" t="n">
        <v>59.3</v>
      </c>
      <c r="G9393" t="n">
        <v>145</v>
      </c>
      <c r="H9393" t="n">
        <v>6.920000000000001e-56</v>
      </c>
      <c r="I9393" t="inlineStr">
        <is>
          <t>TrEMBL</t>
        </is>
      </c>
      <c r="J9393" t="inlineStr">
        <is>
          <t>GDO78_001782</t>
        </is>
      </c>
      <c r="K9393" t="inlineStr">
        <is>
          <t>A0A8J6FTZ7_ELECQ</t>
        </is>
      </c>
      <c r="L9393" t="inlineStr">
        <is>
          <t>tr|A0A8J6FTZ7|A0A8J6FTZ7_ELECQ SERPIN domain-containing protein (Fragment) OS=Eleutherodactylus coqui OX=57060 GN=GDO78_001782 PE=3 SV=1</t>
        </is>
      </c>
      <c r="M9393" t="n">
        <v>298</v>
      </c>
      <c r="N9393" t="inlineStr">
        <is>
          <t>Eleutherodactylus coqui</t>
        </is>
      </c>
      <c r="O9393" t="inlineStr">
        <is>
          <t>SERPIN domain-containing protein (Fragment)</t>
        </is>
      </c>
    </row>
    <row r="9394">
      <c r="A9394" t="inlineStr"/>
      <c r="B9394" t="inlineStr"/>
      <c r="C9394" t="inlineStr"/>
      <c r="D9394" t="inlineStr"/>
      <c r="E9394">
        <f>HYPERLINK("https://www.ncbi.nlm.nih.gov/gene/?term=XP_018413290.1", "XP_018413290.1")</f>
        <v/>
      </c>
      <c r="F9394" t="n">
        <v>55.1</v>
      </c>
      <c r="G9394" t="n">
        <v>158</v>
      </c>
      <c r="H9394" t="n">
        <v>1.01e-55</v>
      </c>
      <c r="I9394" t="inlineStr">
        <is>
          <t>Nr</t>
        </is>
      </c>
      <c r="J9394" t="inlineStr"/>
      <c r="K9394" t="inlineStr"/>
      <c r="L9394" t="inlineStr">
        <is>
          <t>XP_018413290.1 PREDICTED: serpin I2 [Nanorana parkeri]</t>
        </is>
      </c>
      <c r="M9394" t="n">
        <v>409</v>
      </c>
      <c r="N9394" t="inlineStr">
        <is>
          <t>Nanorana parkeri</t>
        </is>
      </c>
      <c r="O9394" t="inlineStr">
        <is>
          <t>PREDICTED: serpin I2</t>
        </is>
      </c>
    </row>
    <row r="9395">
      <c r="A9395" t="inlineStr"/>
      <c r="B9395" t="inlineStr"/>
      <c r="C9395" t="inlineStr"/>
      <c r="D9395" t="inlineStr"/>
      <c r="E9395">
        <f>HYPERLINK("https://www.uniprot.org/uniprotkb/A0A6J3R9Q7/entry", "A0A6J3R9Q7")</f>
        <v/>
      </c>
      <c r="F9395" t="n">
        <v>57.5</v>
      </c>
      <c r="G9395" t="n">
        <v>160</v>
      </c>
      <c r="H9395" t="n">
        <v>1.01e-55</v>
      </c>
      <c r="I9395" t="inlineStr">
        <is>
          <t>TrEMBL</t>
        </is>
      </c>
      <c r="J9395" t="inlineStr">
        <is>
          <t>SERPINI2</t>
        </is>
      </c>
      <c r="K9395" t="inlineStr">
        <is>
          <t>A0A6J3R9Q7_TURTR</t>
        </is>
      </c>
      <c r="L9395" t="inlineStr">
        <is>
          <t>tr|A0A6J3R9Q7|A0A6J3R9Q7_TURTR serpin I2 OS=Tursiops truncatus OX=9739 GN=SERPINI2 PE=3 SV=1</t>
        </is>
      </c>
      <c r="M9395" t="n">
        <v>405</v>
      </c>
      <c r="N9395" t="inlineStr">
        <is>
          <t>Tursiops truncatus</t>
        </is>
      </c>
      <c r="O9395" t="inlineStr">
        <is>
          <t>serpin I2</t>
        </is>
      </c>
    </row>
    <row r="9396">
      <c r="A9396" t="inlineStr"/>
      <c r="B9396" t="inlineStr"/>
      <c r="C9396" t="inlineStr"/>
      <c r="D9396" t="inlineStr"/>
      <c r="E9396">
        <f>HYPERLINK("https://www.ncbi.nlm.nih.gov/gene/?term=XP_019815501.1", "XP_019815501.1")</f>
        <v/>
      </c>
      <c r="F9396" t="n">
        <v>56.3</v>
      </c>
      <c r="G9396" t="n">
        <v>160</v>
      </c>
      <c r="H9396" t="n">
        <v>1.3e-55</v>
      </c>
      <c r="I9396" t="inlineStr">
        <is>
          <t>Nr</t>
        </is>
      </c>
      <c r="J9396" t="inlineStr"/>
      <c r="K9396" t="inlineStr"/>
      <c r="L9396" t="inlineStr">
        <is>
          <t>XP_019815501.1 PREDICTED: serpin I2 [Bos indicus]</t>
        </is>
      </c>
      <c r="M9396" t="n">
        <v>405</v>
      </c>
      <c r="N9396" t="inlineStr">
        <is>
          <t>Bos indicus</t>
        </is>
      </c>
      <c r="O9396" t="inlineStr">
        <is>
          <t>PREDICTED: serpin I2</t>
        </is>
      </c>
    </row>
    <row r="9397">
      <c r="A9397" t="inlineStr"/>
      <c r="B9397" t="inlineStr"/>
      <c r="C9397" t="inlineStr"/>
      <c r="D9397" t="inlineStr"/>
      <c r="E9397">
        <f>HYPERLINK("https://www.ncbi.nlm.nih.gov/gene/?term=XP_006077346.2", "XP_006077346.2")</f>
        <v/>
      </c>
      <c r="F9397" t="n">
        <v>58.7</v>
      </c>
      <c r="G9397" t="n">
        <v>150</v>
      </c>
      <c r="H9397" t="n">
        <v>1.3e-55</v>
      </c>
      <c r="I9397" t="inlineStr">
        <is>
          <t>Nr</t>
        </is>
      </c>
      <c r="J9397" t="inlineStr"/>
      <c r="K9397" t="inlineStr"/>
      <c r="L9397" t="inlineStr">
        <is>
          <t>XP_006077346.2 serpin I2 [Bubalus bubalis]</t>
        </is>
      </c>
      <c r="M9397" t="n">
        <v>405</v>
      </c>
      <c r="N9397" t="inlineStr">
        <is>
          <t>Bubalus bubalis</t>
        </is>
      </c>
      <c r="O9397" t="inlineStr">
        <is>
          <t>serpin I2</t>
        </is>
      </c>
    </row>
    <row r="9398">
      <c r="A9398" t="inlineStr"/>
      <c r="B9398" t="inlineStr"/>
      <c r="C9398" t="inlineStr"/>
      <c r="D9398" t="inlineStr"/>
      <c r="E9398">
        <f>HYPERLINK("https://www.ncbi.nlm.nih.gov/gene/?term=NP_001095524.1", "NP_001095524.1")</f>
        <v/>
      </c>
      <c r="F9398" t="n">
        <v>56.3</v>
      </c>
      <c r="G9398" t="n">
        <v>160</v>
      </c>
      <c r="H9398" t="n">
        <v>1.3e-55</v>
      </c>
      <c r="I9398" t="inlineStr">
        <is>
          <t>Nr</t>
        </is>
      </c>
      <c r="J9398" t="inlineStr"/>
      <c r="K9398" t="inlineStr"/>
      <c r="L9398" t="inlineStr">
        <is>
          <t>NP_001095524.1 serpin I2 precursor [Bos taurus]</t>
        </is>
      </c>
      <c r="M9398" t="n">
        <v>405</v>
      </c>
      <c r="N9398" t="inlineStr">
        <is>
          <t>Bos taurus</t>
        </is>
      </c>
      <c r="O9398" t="inlineStr">
        <is>
          <t>serpin I2 precursor</t>
        </is>
      </c>
    </row>
    <row r="9399">
      <c r="A9399" t="inlineStr"/>
      <c r="B9399" t="inlineStr"/>
      <c r="C9399" t="inlineStr"/>
      <c r="D9399" t="inlineStr"/>
      <c r="E9399">
        <f>HYPERLINK("https://www.uniprot.org/uniprotkb/A0A8T1TEQ1/entry", "A0A8T1TEQ1")</f>
        <v/>
      </c>
      <c r="F9399" t="n">
        <v>55.7</v>
      </c>
      <c r="G9399" t="n">
        <v>158</v>
      </c>
      <c r="H9399" t="n">
        <v>1.69e-55</v>
      </c>
      <c r="I9399" t="inlineStr">
        <is>
          <t>TrEMBL</t>
        </is>
      </c>
      <c r="J9399" t="inlineStr">
        <is>
          <t>SERPINI2</t>
        </is>
      </c>
      <c r="K9399" t="inlineStr">
        <is>
          <t>A0A8T1TEQ1_CHESE</t>
        </is>
      </c>
      <c r="L9399" t="inlineStr">
        <is>
          <t>tr|A0A8T1TEQ1|A0A8T1TEQ1_CHESE Serpin family I member 2 OS=Chelydra serpentina OX=8475 GN=SERPINI2 PE=3 SV=1</t>
        </is>
      </c>
      <c r="M9399" t="n">
        <v>384</v>
      </c>
      <c r="N9399" t="inlineStr">
        <is>
          <t>Chelydra serpentina</t>
        </is>
      </c>
      <c r="O9399" t="inlineStr">
        <is>
          <t>Serpin family I member 2</t>
        </is>
      </c>
    </row>
    <row r="9400">
      <c r="A9400" t="inlineStr"/>
      <c r="B9400" t="inlineStr"/>
      <c r="C9400" t="inlineStr"/>
      <c r="D9400" t="inlineStr"/>
      <c r="E9400">
        <f>HYPERLINK("https://www.ncbi.nlm.nih.gov/gene/?term=XP_012607666.1", "XP_012607666.1")</f>
        <v/>
      </c>
      <c r="F9400" t="n">
        <v>57.9</v>
      </c>
      <c r="G9400" t="n">
        <v>159</v>
      </c>
      <c r="H9400" t="n">
        <v>1.73e-55</v>
      </c>
      <c r="I9400" t="inlineStr">
        <is>
          <t>Nr</t>
        </is>
      </c>
      <c r="J9400" t="inlineStr"/>
      <c r="K9400" t="inlineStr"/>
      <c r="L9400" t="inlineStr">
        <is>
          <t>XP_012607666.1 serpin I2 isoform X2 [Microcebus murinus]</t>
        </is>
      </c>
      <c r="M9400" t="n">
        <v>348</v>
      </c>
      <c r="N9400" t="inlineStr">
        <is>
          <t>Microcebus murinus</t>
        </is>
      </c>
      <c r="O9400" t="inlineStr">
        <is>
          <t>serpin I2 isoform X2</t>
        </is>
      </c>
    </row>
    <row r="9401">
      <c r="A9401" t="inlineStr"/>
      <c r="B9401" t="inlineStr"/>
      <c r="C9401" t="inlineStr"/>
      <c r="D9401" t="inlineStr"/>
      <c r="E9401">
        <f>HYPERLINK("https://www.ncbi.nlm.nih.gov/gene/?term=TEA30894.1", "TEA30894.1")</f>
        <v/>
      </c>
      <c r="F9401" t="n">
        <v>57.5</v>
      </c>
      <c r="G9401" t="n">
        <v>160</v>
      </c>
      <c r="H9401" t="n">
        <v>1.75e-55</v>
      </c>
      <c r="I9401" t="inlineStr">
        <is>
          <t>Nr</t>
        </is>
      </c>
      <c r="J9401" t="inlineStr"/>
      <c r="K9401" t="inlineStr"/>
      <c r="L9401" t="inlineStr">
        <is>
          <t>TEA30894.1 hypothetical protein DBR06_SOUSAS3510040, partial [Sousa chinensis]</t>
        </is>
      </c>
      <c r="M9401" t="n">
        <v>389</v>
      </c>
      <c r="N9401" t="inlineStr">
        <is>
          <t>Sousa chinensis</t>
        </is>
      </c>
      <c r="O9401" t="inlineStr">
        <is>
          <t>hypothetical protein DBR06_SOUSAS3510040, partial</t>
        </is>
      </c>
    </row>
    <row r="9402">
      <c r="A9402" t="inlineStr"/>
      <c r="B9402" t="inlineStr"/>
      <c r="C9402" t="inlineStr"/>
      <c r="D9402" t="inlineStr"/>
      <c r="E9402">
        <f>HYPERLINK("https://www.ncbi.nlm.nih.gov/gene/?term=KAG9494126.1", "KAG9494126.1")</f>
        <v/>
      </c>
      <c r="F9402" t="n">
        <v>59.3</v>
      </c>
      <c r="G9402" t="n">
        <v>145</v>
      </c>
      <c r="H9402" t="n">
        <v>1.78e-55</v>
      </c>
      <c r="I9402" t="inlineStr">
        <is>
          <t>Nr</t>
        </is>
      </c>
      <c r="J9402" t="inlineStr"/>
      <c r="K9402" t="inlineStr"/>
      <c r="L9402" t="inlineStr">
        <is>
          <t>KAG9494126.1 hypothetical protein GDO78_001782, partial [Eleutherodactylus coqui]</t>
        </is>
      </c>
      <c r="M9402" t="n">
        <v>298</v>
      </c>
      <c r="N9402" t="inlineStr">
        <is>
          <t>Eleutherodactylus coqui</t>
        </is>
      </c>
      <c r="O9402" t="inlineStr">
        <is>
          <t>hypothetical protein GDO78_001782, partial</t>
        </is>
      </c>
    </row>
    <row r="9403">
      <c r="A9403" t="inlineStr"/>
      <c r="B9403" t="inlineStr"/>
      <c r="C9403" t="inlineStr"/>
      <c r="D9403" t="inlineStr"/>
      <c r="E9403">
        <f>HYPERLINK("https://www.uniprot.org/uniprotkb/A0A452F5F2/entry", "A0A452F5F2")</f>
        <v/>
      </c>
      <c r="F9403" t="n">
        <v>55.6</v>
      </c>
      <c r="G9403" t="n">
        <v>160</v>
      </c>
      <c r="H9403" t="n">
        <v>2e-55</v>
      </c>
      <c r="I9403" t="inlineStr">
        <is>
          <t>TrEMBL</t>
        </is>
      </c>
      <c r="J9403" t="inlineStr">
        <is>
          <t>SERPINI2</t>
        </is>
      </c>
      <c r="K9403" t="inlineStr">
        <is>
          <t>A0A452F5F2_CAPHI</t>
        </is>
      </c>
      <c r="L9403" t="inlineStr">
        <is>
          <t>tr|A0A452F5F2|A0A452F5F2_CAPHI Serpin family I member 2 OS=Capra hircus OX=9925 GN=SERPINI2 PE=3 SV=1</t>
        </is>
      </c>
      <c r="M9403" t="n">
        <v>405</v>
      </c>
      <c r="N9403" t="inlineStr">
        <is>
          <t>Capra hircus</t>
        </is>
      </c>
      <c r="O9403" t="inlineStr">
        <is>
          <t>Serpin family I member 2</t>
        </is>
      </c>
    </row>
    <row r="9404">
      <c r="A9404" t="inlineStr"/>
      <c r="B9404" t="inlineStr"/>
      <c r="C9404" t="inlineStr"/>
      <c r="D9404" t="inlineStr"/>
      <c r="E9404">
        <f>HYPERLINK("https://www.uniprot.org/uniprotkb/A0A0D9RJ70/entry", "A0A0D9RJ70")</f>
        <v/>
      </c>
      <c r="F9404" t="n">
        <v>57.5</v>
      </c>
      <c r="G9404" t="n">
        <v>160</v>
      </c>
      <c r="H9404" t="n">
        <v>2e-55</v>
      </c>
      <c r="I9404" t="inlineStr">
        <is>
          <t>TrEMBL</t>
        </is>
      </c>
      <c r="J9404" t="inlineStr">
        <is>
          <t>SERPINI2</t>
        </is>
      </c>
      <c r="K9404" t="inlineStr">
        <is>
          <t>A0A0D9RJ70_CHLSB</t>
        </is>
      </c>
      <c r="L9404" t="inlineStr">
        <is>
          <t>tr|A0A0D9RJ70|A0A0D9RJ70_CHLSB Serpin family I member 2 OS=Chlorocebus sabaeus OX=60711 GN=SERPINI2 PE=3 SV=1</t>
        </is>
      </c>
      <c r="M9404" t="n">
        <v>405</v>
      </c>
      <c r="N9404" t="inlineStr">
        <is>
          <t>Chlorocebus sabaeus</t>
        </is>
      </c>
      <c r="O9404" t="inlineStr">
        <is>
          <t>Serpin family I member 2</t>
        </is>
      </c>
    </row>
    <row r="9405">
      <c r="A9405" t="inlineStr"/>
      <c r="B9405" t="inlineStr"/>
      <c r="C9405" t="inlineStr"/>
      <c r="D9405" t="inlineStr"/>
      <c r="E9405">
        <f>HYPERLINK("https://www.uniprot.org/uniprotkb/A0A8B9X0A7/entry", "A0A8B9X0A7")</f>
        <v/>
      </c>
      <c r="F9405" t="n">
        <v>55.6</v>
      </c>
      <c r="G9405" t="n">
        <v>160</v>
      </c>
      <c r="H9405" t="n">
        <v>2e-55</v>
      </c>
      <c r="I9405" t="inlineStr">
        <is>
          <t>TrEMBL</t>
        </is>
      </c>
      <c r="J9405" t="inlineStr">
        <is>
          <t>WDR49</t>
        </is>
      </c>
      <c r="K9405" t="inlineStr">
        <is>
          <t>A0A8B9X0A7_BOSMU</t>
        </is>
      </c>
      <c r="L9405" t="inlineStr">
        <is>
          <t>tr|A0A8B9X0A7|A0A8B9X0A7_BOSMU WD repeat domain 49 OS=Bos mutus grunniens OX=30521 GN=WDR49 PE=3 SV=1</t>
        </is>
      </c>
      <c r="M9405" t="n">
        <v>405</v>
      </c>
      <c r="N9405" t="inlineStr">
        <is>
          <t>Bos mutus grunniens</t>
        </is>
      </c>
      <c r="O9405" t="inlineStr">
        <is>
          <t>WD repeat domain 49</t>
        </is>
      </c>
    </row>
    <row r="9406">
      <c r="A9406" t="inlineStr"/>
      <c r="B9406" t="inlineStr"/>
      <c r="C9406" t="inlineStr"/>
      <c r="D9406" t="inlineStr"/>
      <c r="E9406">
        <f>HYPERLINK("https://www.ncbi.nlm.nih.gov/gene/?term=XP_030720096.1", "XP_030720096.1")</f>
        <v/>
      </c>
      <c r="F9406" t="n">
        <v>57.5</v>
      </c>
      <c r="G9406" t="n">
        <v>160</v>
      </c>
      <c r="H9406" t="n">
        <v>2.59e-55</v>
      </c>
      <c r="I9406" t="inlineStr">
        <is>
          <t>Nr</t>
        </is>
      </c>
      <c r="J9406" t="inlineStr"/>
      <c r="K9406" t="inlineStr"/>
      <c r="L9406" t="inlineStr">
        <is>
          <t>XP_030720096.1 serpin I2 [Globicephala melas]</t>
        </is>
      </c>
      <c r="M9406" t="n">
        <v>405</v>
      </c>
      <c r="N9406" t="inlineStr">
        <is>
          <t>Globicephala melas</t>
        </is>
      </c>
      <c r="O9406" t="inlineStr">
        <is>
          <t>serpin I2</t>
        </is>
      </c>
    </row>
    <row r="9407">
      <c r="A9407" t="inlineStr"/>
      <c r="B9407" t="inlineStr"/>
      <c r="C9407" t="inlineStr"/>
      <c r="D9407" t="inlineStr"/>
      <c r="E9407">
        <f>HYPERLINK("https://www.ncbi.nlm.nih.gov/gene/?term=XP_027814480.2", "XP_027814480.2")</f>
        <v/>
      </c>
      <c r="F9407" t="n">
        <v>55.6</v>
      </c>
      <c r="G9407" t="n">
        <v>160</v>
      </c>
      <c r="H9407" t="n">
        <v>2.59e-55</v>
      </c>
      <c r="I9407" t="inlineStr">
        <is>
          <t>Nr</t>
        </is>
      </c>
      <c r="J9407" t="inlineStr"/>
      <c r="K9407" t="inlineStr"/>
      <c r="L9407" t="inlineStr">
        <is>
          <t>XP_027814480.2 serpin I2 [Ovis aries]</t>
        </is>
      </c>
      <c r="M9407" t="n">
        <v>405</v>
      </c>
      <c r="N9407" t="inlineStr">
        <is>
          <t>Ovis aries</t>
        </is>
      </c>
      <c r="O9407" t="inlineStr">
        <is>
          <t>serpin I2</t>
        </is>
      </c>
    </row>
    <row r="9408">
      <c r="A9408" t="inlineStr"/>
      <c r="B9408" t="inlineStr"/>
      <c r="C9408" t="inlineStr"/>
      <c r="D9408" t="inlineStr"/>
      <c r="E9408">
        <f>HYPERLINK("https://www.ncbi.nlm.nih.gov/gene/?term=XP_033711332.1", "XP_033711332.1")</f>
        <v/>
      </c>
      <c r="F9408" t="n">
        <v>57.5</v>
      </c>
      <c r="G9408" t="n">
        <v>160</v>
      </c>
      <c r="H9408" t="n">
        <v>2.59e-55</v>
      </c>
      <c r="I9408" t="inlineStr">
        <is>
          <t>Nr</t>
        </is>
      </c>
      <c r="J9408" t="inlineStr"/>
      <c r="K9408" t="inlineStr"/>
      <c r="L9408" t="inlineStr">
        <is>
          <t>XP_033711332.1 serpin I2 [Tursiops truncatus]</t>
        </is>
      </c>
      <c r="M9408" t="n">
        <v>405</v>
      </c>
      <c r="N9408" t="inlineStr">
        <is>
          <t>Tursiops truncatus</t>
        </is>
      </c>
      <c r="O9408" t="inlineStr">
        <is>
          <t>serpin I2</t>
        </is>
      </c>
    </row>
    <row r="9409">
      <c r="A9409" t="inlineStr"/>
      <c r="B9409" t="inlineStr"/>
      <c r="C9409" t="inlineStr"/>
      <c r="D9409" t="inlineStr"/>
      <c r="E9409">
        <f>HYPERLINK("https://www.uniprot.org/uniprotkb/A0A8C2QSW0/entry", "A0A8C2QSW0")</f>
        <v/>
      </c>
      <c r="F9409" t="n">
        <v>55</v>
      </c>
      <c r="G9409" t="n">
        <v>160</v>
      </c>
      <c r="H9409" t="n">
        <v>2.69e-55</v>
      </c>
      <c r="I9409" t="inlineStr">
        <is>
          <t>TrEMBL</t>
        </is>
      </c>
      <c r="J9409" t="inlineStr">
        <is>
          <t>SERPINI2</t>
        </is>
      </c>
      <c r="K9409" t="inlineStr">
        <is>
          <t>A0A8C2QSW0_CAPHI</t>
        </is>
      </c>
      <c r="L9409" t="inlineStr">
        <is>
          <t>tr|A0A8C2QSW0|A0A8C2QSW0_CAPHI Serpin family I member 2 OS=Capra hircus OX=9925 GN=SERPINI2 PE=3 SV=1</t>
        </is>
      </c>
      <c r="M9409" t="n">
        <v>375</v>
      </c>
      <c r="N9409" t="inlineStr">
        <is>
          <t>Capra hircus</t>
        </is>
      </c>
      <c r="O9409" t="inlineStr">
        <is>
          <t>Serpin family I member 2</t>
        </is>
      </c>
    </row>
    <row r="9410">
      <c r="A9410" t="inlineStr"/>
      <c r="B9410" t="inlineStr"/>
      <c r="C9410" t="inlineStr"/>
      <c r="D9410" t="inlineStr"/>
      <c r="E9410">
        <f>HYPERLINK("https://www.uniprot.org/uniprotkb/A0A2J8WTU0/entry", "A0A2J8WTU0")</f>
        <v/>
      </c>
      <c r="F9410" t="n">
        <v>57.5</v>
      </c>
      <c r="G9410" t="n">
        <v>160</v>
      </c>
      <c r="H9410" t="n">
        <v>2.82e-55</v>
      </c>
      <c r="I9410" t="inlineStr">
        <is>
          <t>TrEMBL</t>
        </is>
      </c>
      <c r="J9410" t="inlineStr">
        <is>
          <t>CR201_G0007893</t>
        </is>
      </c>
      <c r="K9410" t="inlineStr">
        <is>
          <t>A0A2J8WTU0_PONAB</t>
        </is>
      </c>
      <c r="L9410" t="inlineStr">
        <is>
          <t>tr|A0A2J8WTU0|A0A2J8WTU0_PONAB SERPINI2 isoform 1 OS=Pongo abelii OX=9601 GN=CR201_G0007893 PE=3 SV=1</t>
        </is>
      </c>
      <c r="M9410" t="n">
        <v>405</v>
      </c>
      <c r="N9410" t="inlineStr">
        <is>
          <t>Pongo abelii</t>
        </is>
      </c>
      <c r="O9410" t="inlineStr">
        <is>
          <t>SERPINI2 isoform 1</t>
        </is>
      </c>
    </row>
    <row r="9411">
      <c r="A9411" t="inlineStr"/>
      <c r="B9411" t="inlineStr"/>
      <c r="C9411" t="inlineStr"/>
      <c r="D9411" t="inlineStr"/>
      <c r="E9411">
        <f>HYPERLINK("https://www.uniprot.org/uniprotkb/A0A8C5YET6/entry", "A0A8C5YET6")</f>
        <v/>
      </c>
      <c r="F9411" t="n">
        <v>56.9</v>
      </c>
      <c r="G9411" t="n">
        <v>160</v>
      </c>
      <c r="H9411" t="n">
        <v>2.82e-55</v>
      </c>
      <c r="I9411" t="inlineStr">
        <is>
          <t>TrEMBL</t>
        </is>
      </c>
      <c r="J9411" t="inlineStr">
        <is>
          <t>SERPINI2</t>
        </is>
      </c>
      <c r="K9411" t="inlineStr">
        <is>
          <t>A0A8C5YET6_MICMU</t>
        </is>
      </c>
      <c r="L9411" t="inlineStr">
        <is>
          <t>tr|A0A8C5YET6|A0A8C5YET6_MICMU Serpin family I member 2 OS=Microcebus murinus OX=30608 GN=SERPINI2 PE=3 SV=1</t>
        </is>
      </c>
      <c r="M9411" t="n">
        <v>405</v>
      </c>
      <c r="N9411" t="inlineStr">
        <is>
          <t>Microcebus murinus</t>
        </is>
      </c>
      <c r="O9411" t="inlineStr">
        <is>
          <t>Serpin family I member 2</t>
        </is>
      </c>
    </row>
    <row r="9412">
      <c r="A9412" t="inlineStr"/>
      <c r="B9412" t="inlineStr"/>
      <c r="C9412" t="inlineStr"/>
      <c r="D9412" t="inlineStr"/>
      <c r="E9412">
        <f>HYPERLINK("https://www.uniprot.org/uniprotkb/G3R4R7/entry", "G3R4R7")</f>
        <v/>
      </c>
      <c r="F9412" t="n">
        <v>58.1</v>
      </c>
      <c r="G9412" t="n">
        <v>160</v>
      </c>
      <c r="H9412" t="n">
        <v>2.82e-55</v>
      </c>
      <c r="I9412" t="inlineStr">
        <is>
          <t>TrEMBL</t>
        </is>
      </c>
      <c r="J9412" t="inlineStr">
        <is>
          <t>SERPINI2</t>
        </is>
      </c>
      <c r="K9412" t="inlineStr">
        <is>
          <t>G3R4R7_GORGO</t>
        </is>
      </c>
      <c r="L9412" t="inlineStr">
        <is>
          <t>tr|G3R4R7|G3R4R7_GORGO Serpin family I member 2 OS=Gorilla gorilla gorilla OX=9595 GN=SERPINI2 PE=3 SV=2</t>
        </is>
      </c>
      <c r="M9412" t="n">
        <v>405</v>
      </c>
      <c r="N9412" t="inlineStr">
        <is>
          <t>Gorilla gorilla gorilla</t>
        </is>
      </c>
      <c r="O9412" t="inlineStr">
        <is>
          <t>Serpin family I member 2</t>
        </is>
      </c>
    </row>
    <row r="9413">
      <c r="A9413" t="inlineStr"/>
      <c r="B9413" t="inlineStr"/>
      <c r="C9413" t="inlineStr"/>
      <c r="D9413" t="inlineStr"/>
      <c r="E9413">
        <f>HYPERLINK("https://www.uniprot.org/uniprotkb/A0A2J8P1S5/entry", "A0A2J8P1S5")</f>
        <v/>
      </c>
      <c r="F9413" t="n">
        <v>57.5</v>
      </c>
      <c r="G9413" t="n">
        <v>160</v>
      </c>
      <c r="H9413" t="n">
        <v>2.95e-55</v>
      </c>
      <c r="I9413" t="inlineStr">
        <is>
          <t>TrEMBL</t>
        </is>
      </c>
      <c r="J9413" t="inlineStr">
        <is>
          <t>CK820_G0006140</t>
        </is>
      </c>
      <c r="K9413" t="inlineStr">
        <is>
          <t>A0A2J8P1S5_PANTR</t>
        </is>
      </c>
      <c r="L9413" t="inlineStr">
        <is>
          <t>tr|A0A2J8P1S5|A0A2J8P1S5_PANTR SERPINI2 isoform 8 (Fragment) OS=Pan troglodytes OX=9598 GN=CK820_G0006140 PE=3 SV=1</t>
        </is>
      </c>
      <c r="M9413" t="n">
        <v>365</v>
      </c>
      <c r="N9413" t="inlineStr">
        <is>
          <t>Pan troglodytes</t>
        </is>
      </c>
      <c r="O9413" t="inlineStr">
        <is>
          <t>SERPINI2 isoform 8 (Fragment)</t>
        </is>
      </c>
    </row>
    <row r="9414">
      <c r="A9414" t="inlineStr"/>
      <c r="B9414" t="inlineStr"/>
      <c r="C9414" t="inlineStr"/>
      <c r="D9414" t="inlineStr"/>
      <c r="E9414">
        <f>HYPERLINK("https://www.ncbi.nlm.nih.gov/gene/?term=XP_040205238.1", "XP_040205238.1")</f>
        <v/>
      </c>
      <c r="F9414" t="n">
        <v>59.3</v>
      </c>
      <c r="G9414" t="n">
        <v>145</v>
      </c>
      <c r="H9414" t="n">
        <v>3.01e-55</v>
      </c>
      <c r="I9414" t="inlineStr">
        <is>
          <t>Nr</t>
        </is>
      </c>
      <c r="J9414" t="inlineStr"/>
      <c r="K9414" t="inlineStr"/>
      <c r="L9414" t="inlineStr">
        <is>
          <t>XP_040205238.1 serpin I2 [Rana temporaria]</t>
        </is>
      </c>
      <c r="M9414" t="n">
        <v>426</v>
      </c>
      <c r="N9414" t="inlineStr">
        <is>
          <t>Rana temporaria</t>
        </is>
      </c>
      <c r="O9414" t="inlineStr">
        <is>
          <t>serpin I2</t>
        </is>
      </c>
    </row>
    <row r="9415">
      <c r="A9415" t="inlineStr"/>
      <c r="B9415" t="inlineStr"/>
      <c r="C9415" t="inlineStr"/>
      <c r="D9415" t="inlineStr"/>
      <c r="E9415">
        <f>HYPERLINK("https://www.ncbi.nlm.nih.gov/gene/?term=KAG6939234.1", "KAG6939234.1")</f>
        <v/>
      </c>
      <c r="F9415" t="n">
        <v>55.7</v>
      </c>
      <c r="G9415" t="n">
        <v>158</v>
      </c>
      <c r="H9415" t="n">
        <v>4.35e-55</v>
      </c>
      <c r="I9415" t="inlineStr">
        <is>
          <t>Nr</t>
        </is>
      </c>
      <c r="J9415" t="inlineStr"/>
      <c r="K9415" t="inlineStr"/>
      <c r="L9415" t="inlineStr">
        <is>
          <t>KAG6939234.1 serpin family I member 2 [Chelydra serpentina]</t>
        </is>
      </c>
      <c r="M9415" t="n">
        <v>384</v>
      </c>
      <c r="N9415" t="inlineStr">
        <is>
          <t>Chelydra serpentina</t>
        </is>
      </c>
      <c r="O9415" t="inlineStr">
        <is>
          <t>serpin family I member 2</t>
        </is>
      </c>
    </row>
    <row r="9416">
      <c r="A9416" t="inlineStr"/>
      <c r="B9416" t="inlineStr"/>
      <c r="C9416" t="inlineStr"/>
      <c r="D9416" t="inlineStr"/>
      <c r="E9416">
        <f>HYPERLINK("https://www.ncbi.nlm.nih.gov/gene/?term=XP_007970381.2", "XP_007970381.2")</f>
        <v/>
      </c>
      <c r="F9416" t="n">
        <v>57.5</v>
      </c>
      <c r="G9416" t="n">
        <v>160</v>
      </c>
      <c r="H9416" t="n">
        <v>5.14e-55</v>
      </c>
      <c r="I9416" t="inlineStr">
        <is>
          <t>Nr</t>
        </is>
      </c>
      <c r="J9416" t="inlineStr"/>
      <c r="K9416" t="inlineStr"/>
      <c r="L9416" t="inlineStr">
        <is>
          <t>XP_007970381.2 serpin I2 [Chlorocebus sabaeus]</t>
        </is>
      </c>
      <c r="M9416" t="n">
        <v>405</v>
      </c>
      <c r="N9416" t="inlineStr">
        <is>
          <t>Chlorocebus sabaeus</t>
        </is>
      </c>
      <c r="O9416" t="inlineStr">
        <is>
          <t>serpin I2</t>
        </is>
      </c>
    </row>
    <row r="9417">
      <c r="A9417" t="inlineStr"/>
      <c r="B9417" t="inlineStr"/>
      <c r="C9417" t="inlineStr"/>
      <c r="D9417" t="inlineStr"/>
      <c r="E9417">
        <f>HYPERLINK("https://www.ncbi.nlm.nih.gov/gene/?term=XP_005905743.1", "XP_005905743.1")</f>
        <v/>
      </c>
      <c r="F9417" t="n">
        <v>55.6</v>
      </c>
      <c r="G9417" t="n">
        <v>160</v>
      </c>
      <c r="H9417" t="n">
        <v>5.14e-55</v>
      </c>
      <c r="I9417" t="inlineStr">
        <is>
          <t>Nr</t>
        </is>
      </c>
      <c r="J9417" t="inlineStr"/>
      <c r="K9417" t="inlineStr"/>
      <c r="L9417" t="inlineStr">
        <is>
          <t>XP_005905743.1 PREDICTED: serpin I2 [Bos mutus]</t>
        </is>
      </c>
      <c r="M9417" t="n">
        <v>405</v>
      </c>
      <c r="N9417" t="inlineStr">
        <is>
          <t>Bos mutus</t>
        </is>
      </c>
      <c r="O9417" t="inlineStr">
        <is>
          <t>PREDICTED: serpin I2</t>
        </is>
      </c>
    </row>
    <row r="9418">
      <c r="A9418" t="inlineStr"/>
      <c r="B9418" t="inlineStr"/>
      <c r="C9418" t="inlineStr"/>
      <c r="D9418" t="inlineStr"/>
      <c r="E9418">
        <f>HYPERLINK("https://www.uniprot.org/uniprotkb/Q9JK88/entry", "Q9JK88")</f>
        <v/>
      </c>
      <c r="F9418" t="n">
        <v>52.5</v>
      </c>
      <c r="G9418" t="n">
        <v>160</v>
      </c>
      <c r="H9418" t="n">
        <v>5.409999999999999e-54</v>
      </c>
      <c r="I9418" t="inlineStr">
        <is>
          <t>Swiss-Prot</t>
        </is>
      </c>
      <c r="J9418" t="inlineStr">
        <is>
          <t>Serpini2</t>
        </is>
      </c>
      <c r="K9418" t="inlineStr">
        <is>
          <t>SPI2_MOUSE</t>
        </is>
      </c>
      <c r="L9418" t="inlineStr">
        <is>
          <t>sp|Q9JK88|SPI2_MOUSE Serpin I2 OS=Mus musculus OX=10090 GN=Serpini2 PE=1 SV=1</t>
        </is>
      </c>
      <c r="M9418" t="n">
        <v>405</v>
      </c>
      <c r="N9418" t="inlineStr">
        <is>
          <t>Mus musculus</t>
        </is>
      </c>
      <c r="O9418" t="inlineStr">
        <is>
          <t>Serpin I2</t>
        </is>
      </c>
    </row>
    <row r="9419">
      <c r="A9419" t="inlineStr"/>
      <c r="B9419" t="inlineStr"/>
      <c r="C9419" t="inlineStr"/>
      <c r="D9419" t="inlineStr"/>
      <c r="E9419">
        <f>HYPERLINK("https://www.uniprot.org/uniprotkb/P29508/entry", "P29508")</f>
        <v/>
      </c>
      <c r="F9419" t="n">
        <v>42.6</v>
      </c>
      <c r="G9419" t="n">
        <v>148</v>
      </c>
      <c r="H9419" t="n">
        <v>5.339999999999999e-30</v>
      </c>
      <c r="I9419" t="inlineStr">
        <is>
          <t>Swiss-Prot</t>
        </is>
      </c>
      <c r="J9419" t="inlineStr">
        <is>
          <t>SERPINB3</t>
        </is>
      </c>
      <c r="K9419" t="inlineStr">
        <is>
          <t>SPB3_HUMAN</t>
        </is>
      </c>
      <c r="L9419" t="inlineStr">
        <is>
          <t>sp|P29508|SPB3_HUMAN Serpin B3 OS=Homo sapiens OX=9606 GN=SERPINB3 PE=1 SV=2</t>
        </is>
      </c>
      <c r="M9419" t="n">
        <v>390</v>
      </c>
      <c r="N9419" t="inlineStr">
        <is>
          <t>Homo sapiens</t>
        </is>
      </c>
      <c r="O9419" t="inlineStr">
        <is>
          <t>Serpin B3</t>
        </is>
      </c>
    </row>
    <row r="9420">
      <c r="A9420" t="inlineStr"/>
      <c r="B9420" t="inlineStr"/>
      <c r="C9420" t="inlineStr"/>
      <c r="D9420" t="inlineStr"/>
      <c r="E9420">
        <f>HYPERLINK("https://www.uniprot.org/uniprotkb/Q90935/entry", "Q90935")</f>
        <v/>
      </c>
      <c r="F9420" t="n">
        <v>38.4</v>
      </c>
      <c r="G9420" t="n">
        <v>151</v>
      </c>
      <c r="H9420" t="n">
        <v>1.35e-28</v>
      </c>
      <c r="I9420" t="inlineStr">
        <is>
          <t>Swiss-Prot</t>
        </is>
      </c>
      <c r="J9420" t="inlineStr">
        <is>
          <t>SERPINI1</t>
        </is>
      </c>
      <c r="K9420" t="inlineStr">
        <is>
          <t>NEUS_CHICK</t>
        </is>
      </c>
      <c r="L9420" t="inlineStr">
        <is>
          <t>sp|Q90935|NEUS_CHICK Neuroserpin OS=Gallus gallus OX=9031 GN=SERPINI1 PE=1 SV=1</t>
        </is>
      </c>
      <c r="M9420" t="n">
        <v>410</v>
      </c>
      <c r="N9420" t="inlineStr">
        <is>
          <t>Gallus gallus</t>
        </is>
      </c>
      <c r="O9420" t="inlineStr">
        <is>
          <t>Neuroserpin</t>
        </is>
      </c>
    </row>
    <row r="9421">
      <c r="A9421" t="inlineStr"/>
      <c r="B9421" t="inlineStr"/>
      <c r="C9421" t="inlineStr"/>
      <c r="D9421" t="inlineStr"/>
      <c r="E9421">
        <f>HYPERLINK("https://www.uniprot.org/uniprotkb/Q99574/entry", "Q99574")</f>
        <v/>
      </c>
      <c r="F9421" t="n">
        <v>37.7</v>
      </c>
      <c r="G9421" t="n">
        <v>154</v>
      </c>
      <c r="H9421" t="n">
        <v>3.64e-28</v>
      </c>
      <c r="I9421" t="inlineStr">
        <is>
          <t>Swiss-Prot</t>
        </is>
      </c>
      <c r="J9421" t="inlineStr">
        <is>
          <t>SERPINI1</t>
        </is>
      </c>
      <c r="K9421" t="inlineStr">
        <is>
          <t>NEUS_HUMAN</t>
        </is>
      </c>
      <c r="L9421" t="inlineStr">
        <is>
          <t>sp|Q99574|NEUS_HUMAN Neuroserpin OS=Homo sapiens OX=9606 GN=SERPINI1 PE=1 SV=1</t>
        </is>
      </c>
      <c r="M9421" t="n">
        <v>410</v>
      </c>
      <c r="N9421" t="inlineStr">
        <is>
          <t>Homo sapiens</t>
        </is>
      </c>
      <c r="O9421" t="inlineStr">
        <is>
          <t>Neuroserpin</t>
        </is>
      </c>
    </row>
    <row r="9422">
      <c r="A9422" t="inlineStr"/>
      <c r="B9422" t="inlineStr"/>
      <c r="C9422" t="inlineStr"/>
      <c r="D9422" t="inlineStr"/>
      <c r="E9422">
        <f>HYPERLINK("https://www.uniprot.org/uniprotkb/P48594/entry", "P48594")</f>
        <v/>
      </c>
      <c r="F9422" t="n">
        <v>41.5</v>
      </c>
      <c r="G9422" t="n">
        <v>147</v>
      </c>
      <c r="H9422" t="n">
        <v>2.07e-27</v>
      </c>
      <c r="I9422" t="inlineStr">
        <is>
          <t>Swiss-Prot</t>
        </is>
      </c>
      <c r="J9422" t="inlineStr">
        <is>
          <t>SERPINB4</t>
        </is>
      </c>
      <c r="K9422" t="inlineStr">
        <is>
          <t>SPB4_HUMAN</t>
        </is>
      </c>
      <c r="L9422" t="inlineStr">
        <is>
          <t>sp|P48594|SPB4_HUMAN Serpin B4 OS=Homo sapiens OX=9606 GN=SERPINB4 PE=1 SV=2</t>
        </is>
      </c>
      <c r="M9422" t="n">
        <v>390</v>
      </c>
      <c r="N9422" t="inlineStr">
        <is>
          <t>Homo sapiens</t>
        </is>
      </c>
      <c r="O9422" t="inlineStr">
        <is>
          <t>Serpin B4</t>
        </is>
      </c>
    </row>
    <row r="9423">
      <c r="A9423" t="inlineStr"/>
      <c r="B9423" t="inlineStr"/>
      <c r="C9423" t="inlineStr"/>
      <c r="D9423" t="inlineStr"/>
      <c r="E9423">
        <f>HYPERLINK("https://www.uniprot.org/uniprotkb/O35684/entry", "O35684")</f>
        <v/>
      </c>
      <c r="F9423" t="n">
        <v>37.6</v>
      </c>
      <c r="G9423" t="n">
        <v>149</v>
      </c>
      <c r="H9423" t="n">
        <v>6.980000000000001e-27</v>
      </c>
      <c r="I9423" t="inlineStr">
        <is>
          <t>Swiss-Prot</t>
        </is>
      </c>
      <c r="J9423" t="inlineStr">
        <is>
          <t>Serpini1</t>
        </is>
      </c>
      <c r="K9423" t="inlineStr">
        <is>
          <t>NEUS_MOUSE</t>
        </is>
      </c>
      <c r="L9423" t="inlineStr">
        <is>
          <t>sp|O35684|NEUS_MOUSE Neuroserpin OS=Mus musculus OX=10090 GN=Serpini1 PE=1 SV=1</t>
        </is>
      </c>
      <c r="M9423" t="n">
        <v>410</v>
      </c>
      <c r="N9423" t="inlineStr">
        <is>
          <t>Mus musculus</t>
        </is>
      </c>
      <c r="O9423" t="inlineStr">
        <is>
          <t>Neuroserpin</t>
        </is>
      </c>
    </row>
    <row r="9424">
      <c r="A9424" t="inlineStr"/>
      <c r="B9424" t="inlineStr"/>
      <c r="C9424" t="inlineStr"/>
      <c r="D9424" t="inlineStr"/>
      <c r="E9424">
        <f>HYPERLINK("https://www.uniprot.org/uniprotkb/Q9JLD2/entry", "Q9JLD2")</f>
        <v/>
      </c>
      <c r="F9424" t="n">
        <v>36.9</v>
      </c>
      <c r="G9424" t="n">
        <v>149</v>
      </c>
      <c r="H9424" t="n">
        <v>3.59e-26</v>
      </c>
      <c r="I9424" t="inlineStr">
        <is>
          <t>Swiss-Prot</t>
        </is>
      </c>
      <c r="J9424" t="inlineStr">
        <is>
          <t>Serpini1</t>
        </is>
      </c>
      <c r="K9424" t="inlineStr">
        <is>
          <t>NEUS_RAT</t>
        </is>
      </c>
      <c r="L9424" t="inlineStr">
        <is>
          <t>sp|Q9JLD2|NEUS_RAT Neuroserpin OS=Rattus norvegicus OX=10116 GN=Serpini1 PE=1 SV=1</t>
        </is>
      </c>
      <c r="M9424" t="n">
        <v>410</v>
      </c>
      <c r="N9424" t="inlineStr">
        <is>
          <t>Rattus norvegicus</t>
        </is>
      </c>
      <c r="O9424" t="inlineStr">
        <is>
          <t>Neuroserpin</t>
        </is>
      </c>
    </row>
    <row r="9425">
      <c r="A9425" t="inlineStr"/>
      <c r="B9425" t="inlineStr"/>
      <c r="C9425" t="inlineStr"/>
      <c r="D9425" t="inlineStr"/>
      <c r="E9425">
        <f>HYPERLINK("https://www.uniprot.org/uniprotkb/Q96P15/entry", "Q96P15")</f>
        <v/>
      </c>
      <c r="F9425" t="n">
        <v>40.5</v>
      </c>
      <c r="G9425" t="n">
        <v>148</v>
      </c>
      <c r="H9425" t="n">
        <v>1.1e-25</v>
      </c>
      <c r="I9425" t="inlineStr">
        <is>
          <t>Swiss-Prot</t>
        </is>
      </c>
      <c r="J9425" t="inlineStr">
        <is>
          <t>SERPINB11</t>
        </is>
      </c>
      <c r="K9425" t="inlineStr">
        <is>
          <t>SPB11_HUMAN</t>
        </is>
      </c>
      <c r="L9425" t="inlineStr">
        <is>
          <t>sp|Q96P15|SPB11_HUMAN Serpin B11 OS=Homo sapiens OX=9606 GN=SERPINB11 PE=2 SV=1</t>
        </is>
      </c>
      <c r="M9425" t="n">
        <v>392</v>
      </c>
      <c r="N9425" t="inlineStr">
        <is>
          <t>Homo sapiens</t>
        </is>
      </c>
      <c r="O9425" t="inlineStr">
        <is>
          <t>Serpin B11</t>
        </is>
      </c>
    </row>
    <row r="9426">
      <c r="A9426" t="inlineStr"/>
      <c r="B9426" t="inlineStr"/>
      <c r="C9426" t="inlineStr"/>
      <c r="D9426" t="inlineStr"/>
      <c r="E9426">
        <f>HYPERLINK("https://www.uniprot.org/uniprotkb/Q9CQV3/entry", "Q9CQV3")</f>
        <v/>
      </c>
      <c r="F9426" t="n">
        <v>38.7</v>
      </c>
      <c r="G9426" t="n">
        <v>150</v>
      </c>
      <c r="H9426" t="n">
        <v>1.04e-24</v>
      </c>
      <c r="I9426" t="inlineStr">
        <is>
          <t>Swiss-Prot</t>
        </is>
      </c>
      <c r="J9426" t="inlineStr">
        <is>
          <t>Serpinb11</t>
        </is>
      </c>
      <c r="K9426" t="inlineStr">
        <is>
          <t>SPB11_MOUSE</t>
        </is>
      </c>
      <c r="L9426" t="inlineStr">
        <is>
          <t>sp|Q9CQV3|SPB11_MOUSE Serpin B11 OS=Mus musculus OX=10090 GN=Serpinb11 PE=2 SV=1</t>
        </is>
      </c>
      <c r="M9426" t="n">
        <v>388</v>
      </c>
      <c r="N9426" t="inlineStr">
        <is>
          <t>Mus musculus</t>
        </is>
      </c>
      <c r="O9426" t="inlineStr">
        <is>
          <t>Serpin B11</t>
        </is>
      </c>
    </row>
    <row r="9427">
      <c r="A9427" t="inlineStr"/>
      <c r="B9427" t="inlineStr"/>
      <c r="C9427" t="inlineStr"/>
      <c r="D9427" t="inlineStr"/>
      <c r="E9427">
        <f>HYPERLINK("https://www.uniprot.org/uniprotkb/Q6J201/entry", "Q6J201")</f>
        <v/>
      </c>
      <c r="F9427" t="n">
        <v>36.5</v>
      </c>
      <c r="G9427" t="n">
        <v>148</v>
      </c>
      <c r="H9427" t="n">
        <v>1.28e-24</v>
      </c>
      <c r="I9427" t="inlineStr">
        <is>
          <t>Swiss-Prot</t>
        </is>
      </c>
      <c r="J9427" t="inlineStr"/>
      <c r="K9427" t="inlineStr">
        <is>
          <t>SPI_CYACP</t>
        </is>
      </c>
      <c r="L9427" t="inlineStr">
        <is>
          <t>sp|Q6J201|SPI_CYACP Serine protease inhibitor OS=Cyanea capillata OX=27804 PE=1 SV=1</t>
        </is>
      </c>
      <c r="M9427" t="n">
        <v>377</v>
      </c>
      <c r="N9427" t="inlineStr">
        <is>
          <t>Cyanea capillata</t>
        </is>
      </c>
      <c r="O9427" t="inlineStr">
        <is>
          <t>Serine protease inhibitor</t>
        </is>
      </c>
    </row>
    <row r="9428">
      <c r="A9428" t="inlineStr"/>
      <c r="B9428" t="inlineStr"/>
      <c r="C9428" t="inlineStr"/>
      <c r="D9428" t="inlineStr"/>
      <c r="E9428">
        <f>HYPERLINK("https://www.uniprot.org/uniprotkb/O08800/entry", "O08800")</f>
        <v/>
      </c>
      <c r="F9428" t="n">
        <v>35</v>
      </c>
      <c r="G9428" t="n">
        <v>163</v>
      </c>
      <c r="H9428" t="n">
        <v>8.89e-24</v>
      </c>
      <c r="I9428" t="inlineStr">
        <is>
          <t>Swiss-Prot</t>
        </is>
      </c>
      <c r="J9428" t="inlineStr">
        <is>
          <t>Serpinb8</t>
        </is>
      </c>
      <c r="K9428" t="inlineStr">
        <is>
          <t>SPB8_MOUSE</t>
        </is>
      </c>
      <c r="L9428" t="inlineStr">
        <is>
          <t>sp|O08800|SPB8_MOUSE Serpin B8 OS=Mus musculus OX=10090 GN=Serpinb8 PE=1 SV=2</t>
        </is>
      </c>
      <c r="M9428" t="n">
        <v>374</v>
      </c>
      <c r="N9428" t="inlineStr">
        <is>
          <t>Mus musculus</t>
        </is>
      </c>
      <c r="O9428" t="inlineStr">
        <is>
          <t>Serpin B8</t>
        </is>
      </c>
    </row>
    <row r="9429">
      <c r="A9429" t="inlineStr"/>
      <c r="B9429" t="inlineStr"/>
      <c r="C9429" t="inlineStr"/>
      <c r="D9429" t="inlineStr"/>
      <c r="E9429">
        <f>HYPERLINK("https://www.uniprot.org/uniprotkb/O73790/entry", "O73790")</f>
        <v/>
      </c>
      <c r="F9429" t="n">
        <v>34.9</v>
      </c>
      <c r="G9429" t="n">
        <v>166</v>
      </c>
      <c r="H9429" t="n">
        <v>9.079999999999999e-24</v>
      </c>
      <c r="I9429" t="inlineStr">
        <is>
          <t>Swiss-Prot</t>
        </is>
      </c>
      <c r="J9429" t="inlineStr">
        <is>
          <t>SERPINB10</t>
        </is>
      </c>
      <c r="K9429" t="inlineStr">
        <is>
          <t>SPB10_CHICK</t>
        </is>
      </c>
      <c r="L9429" t="inlineStr">
        <is>
          <t>sp|O73790|SPB10_CHICK Heterochromatin-associated protein MENT OS=Gallus gallus OX=9031 GN=SERPINB10 PE=1 SV=1</t>
        </is>
      </c>
      <c r="M9429" t="n">
        <v>410</v>
      </c>
      <c r="N9429" t="inlineStr">
        <is>
          <t>Gallus gallus</t>
        </is>
      </c>
      <c r="O9429" t="inlineStr">
        <is>
          <t>Heterochromatin-associated protein MENT</t>
        </is>
      </c>
    </row>
    <row r="9430">
      <c r="A9430" t="inlineStr"/>
      <c r="B9430" t="inlineStr"/>
      <c r="C9430" t="inlineStr"/>
      <c r="D9430" t="inlineStr"/>
      <c r="E9430">
        <f>HYPERLINK("https://www.uniprot.org/uniprotkb/Q52L45/entry", "Q52L45")</f>
        <v/>
      </c>
      <c r="F9430" t="n">
        <v>36.4</v>
      </c>
      <c r="G9430" t="n">
        <v>151</v>
      </c>
      <c r="H9430" t="n">
        <v>9.18e-24</v>
      </c>
      <c r="I9430" t="inlineStr">
        <is>
          <t>Swiss-Prot</t>
        </is>
      </c>
      <c r="J9430" t="inlineStr">
        <is>
          <t>serpinb1</t>
        </is>
      </c>
      <c r="K9430" t="inlineStr">
        <is>
          <t>ILEU_XENLA</t>
        </is>
      </c>
      <c r="L9430" t="inlineStr">
        <is>
          <t>sp|Q52L45|ILEU_XENLA Leukocyte elastase inhibitor OS=Xenopus laevis OX=8355 GN=serpinb1 PE=2 SV=1</t>
        </is>
      </c>
      <c r="M9430" t="n">
        <v>377</v>
      </c>
      <c r="N9430" t="inlineStr">
        <is>
          <t>Xenopus laevis</t>
        </is>
      </c>
      <c r="O9430" t="inlineStr">
        <is>
          <t>Leukocyte elastase inhibitor</t>
        </is>
      </c>
    </row>
    <row r="9431">
      <c r="A9431" t="inlineStr"/>
      <c r="B9431" t="inlineStr"/>
      <c r="C9431" t="inlineStr"/>
      <c r="D9431" t="inlineStr"/>
      <c r="E9431">
        <f>HYPERLINK("https://www.uniprot.org/uniprotkb/Q5MGH0/entry", "Q5MGH0")</f>
        <v/>
      </c>
      <c r="F9431" t="n">
        <v>39</v>
      </c>
      <c r="G9431" t="n">
        <v>136</v>
      </c>
      <c r="H9431" t="n">
        <v>1.35e-23</v>
      </c>
      <c r="I9431" t="inlineStr">
        <is>
          <t>Swiss-Prot</t>
        </is>
      </c>
      <c r="J9431" t="inlineStr"/>
      <c r="K9431" t="inlineStr">
        <is>
          <t>SPI3_LONON</t>
        </is>
      </c>
      <c r="L9431" t="inlineStr">
        <is>
          <t>sp|Q5MGH0|SPI3_LONON Serine protease inhibitor 3/4 (Fragment) OS=Lonomia obliqua OX=304329 PE=1 SV=1</t>
        </is>
      </c>
      <c r="M9431" t="n">
        <v>383</v>
      </c>
      <c r="N9431" t="inlineStr">
        <is>
          <t>Lonomia obliqua</t>
        </is>
      </c>
      <c r="O9431" t="inlineStr">
        <is>
          <t>Serine protease inhibitor 3/4 (Fragment)</t>
        </is>
      </c>
    </row>
    <row r="9432">
      <c r="A9432" t="inlineStr"/>
      <c r="B9432" t="inlineStr"/>
      <c r="C9432" t="inlineStr"/>
      <c r="D9432" t="inlineStr"/>
      <c r="E9432">
        <f>HYPERLINK("https://www.uniprot.org/uniprotkb/Q60854/entry", "Q60854")</f>
        <v/>
      </c>
      <c r="F9432" t="n">
        <v>35.8</v>
      </c>
      <c r="G9432" t="n">
        <v>148</v>
      </c>
      <c r="H9432" t="n">
        <v>1.78e-23</v>
      </c>
      <c r="I9432" t="inlineStr">
        <is>
          <t>Swiss-Prot</t>
        </is>
      </c>
      <c r="J9432" t="inlineStr">
        <is>
          <t>Serpinb6</t>
        </is>
      </c>
      <c r="K9432" t="inlineStr">
        <is>
          <t>SPB6_MOUSE</t>
        </is>
      </c>
      <c r="L9432" t="inlineStr">
        <is>
          <t>sp|Q60854|SPB6_MOUSE Serpin B6 OS=Mus musculus OX=10090 GN=Serpinb6 PE=1 SV=1</t>
        </is>
      </c>
      <c r="M9432" t="n">
        <v>378</v>
      </c>
      <c r="N9432" t="inlineStr">
        <is>
          <t>Mus musculus</t>
        </is>
      </c>
      <c r="O9432" t="inlineStr">
        <is>
          <t>Serpin B6</t>
        </is>
      </c>
    </row>
    <row r="9433">
      <c r="A9433" t="inlineStr"/>
      <c r="B9433" t="inlineStr"/>
      <c r="C9433" t="inlineStr"/>
      <c r="D9433" t="inlineStr"/>
      <c r="E9433">
        <f>HYPERLINK("https://www.uniprot.org/uniprotkb/Q1JPB0/entry", "Q1JPB0")</f>
        <v/>
      </c>
      <c r="F9433" t="n">
        <v>34.9</v>
      </c>
      <c r="G9433" t="n">
        <v>152</v>
      </c>
      <c r="H9433" t="n">
        <v>3.399999999999999e-23</v>
      </c>
      <c r="I9433" t="inlineStr">
        <is>
          <t>Swiss-Prot</t>
        </is>
      </c>
      <c r="J9433" t="inlineStr">
        <is>
          <t>SERPINB1</t>
        </is>
      </c>
      <c r="K9433" t="inlineStr">
        <is>
          <t>ILEU_BOVIN</t>
        </is>
      </c>
      <c r="L9433" t="inlineStr">
        <is>
          <t>sp|Q1JPB0|ILEU_BOVIN Leukocyte elastase inhibitor OS=Bos taurus OX=9913 GN=SERPINB1 PE=2 SV=2</t>
        </is>
      </c>
      <c r="M9433" t="n">
        <v>377</v>
      </c>
      <c r="N9433" t="inlineStr">
        <is>
          <t>Bos taurus</t>
        </is>
      </c>
      <c r="O9433" t="inlineStr">
        <is>
          <t>Leukocyte elastase inhibitor</t>
        </is>
      </c>
    </row>
    <row r="9434">
      <c r="A9434" t="inlineStr"/>
      <c r="B9434" t="inlineStr"/>
      <c r="C9434" t="inlineStr"/>
      <c r="D9434" t="inlineStr"/>
      <c r="E9434">
        <f>HYPERLINK("https://www.uniprot.org/uniprotkb/Q5I0S8/entry", "Q5I0S8")</f>
        <v/>
      </c>
      <c r="F9434" t="n">
        <v>36.4</v>
      </c>
      <c r="G9434" t="n">
        <v>151</v>
      </c>
      <c r="H9434" t="n">
        <v>1.25e-22</v>
      </c>
      <c r="I9434" t="inlineStr">
        <is>
          <t>Swiss-Prot</t>
        </is>
      </c>
      <c r="J9434" t="inlineStr">
        <is>
          <t>serpinb1</t>
        </is>
      </c>
      <c r="K9434" t="inlineStr">
        <is>
          <t>ILEU_XENTR</t>
        </is>
      </c>
      <c r="L9434" t="inlineStr">
        <is>
          <t>sp|Q5I0S8|ILEU_XENTR Leukocyte elastase inhibitor OS=Xenopus tropicalis OX=8364 GN=serpinb1 PE=2 SV=1</t>
        </is>
      </c>
      <c r="M9434" t="n">
        <v>377</v>
      </c>
      <c r="N9434" t="inlineStr">
        <is>
          <t>Xenopus tropicalis</t>
        </is>
      </c>
      <c r="O9434" t="inlineStr">
        <is>
          <t>Leukocyte elastase inhibitor</t>
        </is>
      </c>
    </row>
    <row r="9435">
      <c r="A9435" t="inlineStr"/>
      <c r="B9435" t="inlineStr"/>
      <c r="C9435" t="inlineStr"/>
      <c r="D9435" t="inlineStr"/>
      <c r="E9435">
        <f>HYPERLINK("https://www.uniprot.org/uniprotkb/B0UYL8/entry", "B0UYL8")</f>
        <v/>
      </c>
      <c r="F9435" t="n">
        <v>36.5</v>
      </c>
      <c r="G9435" t="n">
        <v>148</v>
      </c>
      <c r="H9435" t="n">
        <v>2.42e-22</v>
      </c>
      <c r="I9435" t="inlineStr">
        <is>
          <t>Swiss-Prot</t>
        </is>
      </c>
      <c r="J9435" t="inlineStr">
        <is>
          <t>serpine3</t>
        </is>
      </c>
      <c r="K9435" t="inlineStr">
        <is>
          <t>SERP3_DANRE</t>
        </is>
      </c>
      <c r="L9435" t="inlineStr">
        <is>
          <t>sp|B0UYL8|SERP3_DANRE Probable serpin E3 OS=Danio rerio OX=7955 GN=serpine3 PE=3 SV=1</t>
        </is>
      </c>
      <c r="M9435" t="n">
        <v>417</v>
      </c>
      <c r="N9435" t="inlineStr">
        <is>
          <t>Danio rerio</t>
        </is>
      </c>
      <c r="O9435" t="inlineStr">
        <is>
          <t>Probable serpin E3</t>
        </is>
      </c>
    </row>
    <row r="9436">
      <c r="A9436" t="inlineStr"/>
      <c r="B9436" t="inlineStr"/>
      <c r="C9436" t="inlineStr"/>
      <c r="D9436" t="inlineStr"/>
      <c r="E9436">
        <f>HYPERLINK("https://www.uniprot.org/uniprotkb/P50452/entry", "P50452")</f>
        <v/>
      </c>
      <c r="F9436" t="n">
        <v>34.4</v>
      </c>
      <c r="G9436" t="n">
        <v>163</v>
      </c>
      <c r="H9436" t="n">
        <v>3.23e-22</v>
      </c>
      <c r="I9436" t="inlineStr">
        <is>
          <t>Swiss-Prot</t>
        </is>
      </c>
      <c r="J9436" t="inlineStr">
        <is>
          <t>SERPINB8</t>
        </is>
      </c>
      <c r="K9436" t="inlineStr">
        <is>
          <t>SPB8_HUMAN</t>
        </is>
      </c>
      <c r="L9436" t="inlineStr">
        <is>
          <t>sp|P50452|SPB8_HUMAN Serpin B8 OS=Homo sapiens OX=9606 GN=SERPINB8 PE=1 SV=2</t>
        </is>
      </c>
      <c r="M9436" t="n">
        <v>374</v>
      </c>
      <c r="N9436" t="inlineStr">
        <is>
          <t>Homo sapiens</t>
        </is>
      </c>
      <c r="O9436" t="inlineStr">
        <is>
          <t>Serpin B8</t>
        </is>
      </c>
    </row>
    <row r="9437">
      <c r="A9437" t="inlineStr"/>
      <c r="B9437" t="inlineStr"/>
      <c r="C9437" t="inlineStr"/>
      <c r="D9437" t="inlineStr"/>
      <c r="E9437">
        <f>HYPERLINK("https://www.uniprot.org/uniprotkb/B3RFC3/entry", "B3RFC3")</f>
        <v/>
      </c>
      <c r="F9437" t="n">
        <v>36</v>
      </c>
      <c r="G9437" t="n">
        <v>150</v>
      </c>
      <c r="H9437" t="n">
        <v>3.96e-22</v>
      </c>
      <c r="I9437" t="inlineStr">
        <is>
          <t>Swiss-Prot</t>
        </is>
      </c>
      <c r="J9437" t="inlineStr">
        <is>
          <t>SERPINB10</t>
        </is>
      </c>
      <c r="K9437" t="inlineStr">
        <is>
          <t>SPB10_SORAR</t>
        </is>
      </c>
      <c r="L9437" t="inlineStr">
        <is>
          <t>sp|B3RFC3|SPB10_SORAR Serpin B10 OS=Sorex araneus OX=42254 GN=SERPINB10 PE=3 SV=1</t>
        </is>
      </c>
      <c r="M9437" t="n">
        <v>397</v>
      </c>
      <c r="N9437" t="inlineStr">
        <is>
          <t>Sorex araneus</t>
        </is>
      </c>
      <c r="O9437" t="inlineStr">
        <is>
          <t>Serpin B10</t>
        </is>
      </c>
    </row>
    <row r="9438">
      <c r="A9438" t="inlineStr"/>
      <c r="B9438" t="inlineStr"/>
      <c r="C9438" t="inlineStr"/>
      <c r="D9438" t="inlineStr"/>
      <c r="E9438">
        <f>HYPERLINK("https://www.uniprot.org/uniprotkb/Q5BIR5/entry", "Q5BIR5")</f>
        <v/>
      </c>
      <c r="F9438" t="n">
        <v>35.6</v>
      </c>
      <c r="G9438" t="n">
        <v>163</v>
      </c>
      <c r="H9438" t="n">
        <v>4.48e-22</v>
      </c>
      <c r="I9438" t="inlineStr">
        <is>
          <t>Swiss-Prot</t>
        </is>
      </c>
      <c r="J9438" t="inlineStr">
        <is>
          <t>SERPINB8</t>
        </is>
      </c>
      <c r="K9438" t="inlineStr">
        <is>
          <t>SPB8_BOVIN</t>
        </is>
      </c>
      <c r="L9438" t="inlineStr">
        <is>
          <t>sp|Q5BIR5|SPB8_BOVIN Serpin B8 OS=Bos taurus OX=9913 GN=SERPINB8 PE=2 SV=1</t>
        </is>
      </c>
      <c r="M9438" t="n">
        <v>374</v>
      </c>
      <c r="N9438" t="inlineStr">
        <is>
          <t>Bos taurus</t>
        </is>
      </c>
      <c r="O9438" t="inlineStr">
        <is>
          <t>Serpin B8</t>
        </is>
      </c>
    </row>
    <row r="9439">
      <c r="A9439" t="inlineStr"/>
      <c r="B9439" t="inlineStr"/>
      <c r="C9439" t="inlineStr"/>
      <c r="D9439" t="inlineStr"/>
      <c r="E9439">
        <f>HYPERLINK("https://www.uniprot.org/uniprotkb/P80034/entry", "P80034")</f>
        <v/>
      </c>
      <c r="F9439" t="n">
        <v>35.4</v>
      </c>
      <c r="G9439" t="n">
        <v>144</v>
      </c>
      <c r="H9439" t="n">
        <v>4.52e-22</v>
      </c>
      <c r="I9439" t="inlineStr">
        <is>
          <t>Swiss-Prot</t>
        </is>
      </c>
      <c r="J9439" t="inlineStr"/>
      <c r="K9439" t="inlineStr">
        <is>
          <t>ACH2_BOMMO</t>
        </is>
      </c>
      <c r="L9439" t="inlineStr">
        <is>
          <t>sp|P80034|ACH2_BOMMO Antichymotrypsin-2 OS=Bombyx mori OX=7091 PE=1 SV=1</t>
        </is>
      </c>
      <c r="M9439" t="n">
        <v>375</v>
      </c>
      <c r="N9439" t="inlineStr">
        <is>
          <t>Bombyx mori</t>
        </is>
      </c>
      <c r="O9439" t="inlineStr">
        <is>
          <t>Antichymotrypsin-2</t>
        </is>
      </c>
    </row>
    <row r="9440">
      <c r="A9440" t="inlineStr"/>
      <c r="B9440" t="inlineStr"/>
      <c r="C9440" t="inlineStr"/>
      <c r="D9440" t="inlineStr"/>
      <c r="E9440">
        <f>HYPERLINK("https://www.uniprot.org/uniprotkb/P22922/entry", "P22922")</f>
        <v/>
      </c>
      <c r="F9440" t="n">
        <v>35.4</v>
      </c>
      <c r="G9440" t="n">
        <v>144</v>
      </c>
      <c r="H9440" t="n">
        <v>5.26e-22</v>
      </c>
      <c r="I9440" t="inlineStr">
        <is>
          <t>Swiss-Prot</t>
        </is>
      </c>
      <c r="J9440" t="inlineStr"/>
      <c r="K9440" t="inlineStr">
        <is>
          <t>A1AT_BOMMO</t>
        </is>
      </c>
      <c r="L9440" t="inlineStr">
        <is>
          <t>sp|P22922|A1AT_BOMMO Antitrypsin OS=Bombyx mori OX=7091 PE=1 SV=2</t>
        </is>
      </c>
      <c r="M9440" t="n">
        <v>392</v>
      </c>
      <c r="N9440" t="inlineStr">
        <is>
          <t>Bombyx mori</t>
        </is>
      </c>
      <c r="O9440" t="inlineStr">
        <is>
          <t>Antitrypsin</t>
        </is>
      </c>
    </row>
    <row r="9441">
      <c r="A9441" t="inlineStr"/>
      <c r="B9441" t="inlineStr"/>
      <c r="C9441" t="inlineStr"/>
      <c r="D9441" t="inlineStr"/>
      <c r="E9441">
        <f>HYPERLINK("https://www.uniprot.org/uniprotkb/Q6V115/entry", "Q6V115")</f>
        <v/>
      </c>
      <c r="F9441" t="n">
        <v>37.8</v>
      </c>
      <c r="G9441" t="n">
        <v>148</v>
      </c>
      <c r="H9441" t="n">
        <v>6.73e-22</v>
      </c>
      <c r="I9441" t="inlineStr">
        <is>
          <t>Swiss-Prot</t>
        </is>
      </c>
      <c r="J9441" t="inlineStr">
        <is>
          <t>SERPINB14</t>
        </is>
      </c>
      <c r="K9441" t="inlineStr">
        <is>
          <t>OVAL_COTCO</t>
        </is>
      </c>
      <c r="L9441" t="inlineStr">
        <is>
          <t>sp|Q6V115|OVAL_COTCO Ovalbumin OS=Coturnix coturnix OX=9091 GN=SERPINB14 PE=2 SV=3</t>
        </is>
      </c>
      <c r="M9441" t="n">
        <v>383</v>
      </c>
      <c r="N9441" t="inlineStr">
        <is>
          <t>Coturnix coturnix</t>
        </is>
      </c>
      <c r="O9441" t="inlineStr">
        <is>
          <t>Ovalbumin</t>
        </is>
      </c>
    </row>
    <row r="9442">
      <c r="A9442" t="inlineStr">
        <is>
          <t>NODE_7822_length_6788_cov_2254.982741_g105_i19</t>
        </is>
      </c>
      <c r="B9442" t="inlineStr">
        <is>
          <t>bombina_pachypus_blastx</t>
        </is>
      </c>
      <c r="C9442" t="n">
        <v>-4.94973309778892</v>
      </c>
      <c r="D9442" t="n">
        <v>6.31103025712049e-17</v>
      </c>
      <c r="E9442">
        <f>HYPERLINK("https://www.uniprot.org/uniprotkb/Q6DF09/entry", "Q6DF09")</f>
        <v/>
      </c>
      <c r="F9442" t="n">
        <v>72.59999999999999</v>
      </c>
      <c r="G9442" t="n">
        <v>347</v>
      </c>
      <c r="H9442" t="n">
        <v>2.24e-186</v>
      </c>
      <c r="I9442" t="inlineStr">
        <is>
          <t>TrEMBL</t>
        </is>
      </c>
      <c r="J9442" t="inlineStr">
        <is>
          <t>pon2</t>
        </is>
      </c>
      <c r="K9442" t="inlineStr">
        <is>
          <t>Q6DF09_XENTR</t>
        </is>
      </c>
      <c r="L9442" t="inlineStr">
        <is>
          <t>tr|Q6DF09|Q6DF09_XENTR Paraoxonase OS=Xenopus tropicalis OX=8364 GN=pon2 PE=2 SV=1</t>
        </is>
      </c>
      <c r="M9442" t="n">
        <v>356</v>
      </c>
      <c r="N9442" t="inlineStr">
        <is>
          <t>Xenopus tropicalis</t>
        </is>
      </c>
      <c r="O9442" t="inlineStr">
        <is>
          <t>Paraoxonase</t>
        </is>
      </c>
    </row>
    <row r="9443">
      <c r="A9443" t="inlineStr"/>
      <c r="B9443" t="inlineStr"/>
      <c r="C9443" t="inlineStr"/>
      <c r="D9443" t="inlineStr"/>
      <c r="E9443">
        <f>HYPERLINK("https://www.ncbi.nlm.nih.gov/gene/?term=NP_001006848.1", "NP_001006848.1")</f>
        <v/>
      </c>
      <c r="F9443" t="n">
        <v>72.59999999999999</v>
      </c>
      <c r="G9443" t="n">
        <v>347</v>
      </c>
      <c r="H9443" t="n">
        <v>5.74e-186</v>
      </c>
      <c r="I9443" t="inlineStr">
        <is>
          <t>Nr</t>
        </is>
      </c>
      <c r="J9443" t="inlineStr"/>
      <c r="K9443" t="inlineStr"/>
      <c r="L9443" t="inlineStr">
        <is>
          <t>NP_001006848.1 serum paraoxonase/arylesterase 2 precursor [Xenopus tropicalis]</t>
        </is>
      </c>
      <c r="M9443" t="n">
        <v>356</v>
      </c>
      <c r="N9443" t="inlineStr">
        <is>
          <t>Xenopus tropicalis</t>
        </is>
      </c>
      <c r="O9443" t="inlineStr">
        <is>
          <t>serum paraoxonase/arylesterase 2 precursor</t>
        </is>
      </c>
    </row>
    <row r="9444">
      <c r="A9444" t="inlineStr"/>
      <c r="B9444" t="inlineStr"/>
      <c r="C9444" t="inlineStr"/>
      <c r="D9444" t="inlineStr"/>
      <c r="E9444">
        <f>HYPERLINK("https://www.uniprot.org/uniprotkb/Q6IRR7/entry", "Q6IRR7")</f>
        <v/>
      </c>
      <c r="F9444" t="n">
        <v>70</v>
      </c>
      <c r="G9444" t="n">
        <v>350</v>
      </c>
      <c r="H9444" t="n">
        <v>3.690000000000001e-185</v>
      </c>
      <c r="I9444" t="inlineStr">
        <is>
          <t>TrEMBL</t>
        </is>
      </c>
      <c r="J9444" t="inlineStr">
        <is>
          <t>pon2.S</t>
        </is>
      </c>
      <c r="K9444" t="inlineStr">
        <is>
          <t>Q6IRR7_XENLA</t>
        </is>
      </c>
      <c r="L9444" t="inlineStr">
        <is>
          <t>tr|Q6IRR7|Q6IRR7_XENLA Paraoxonase OS=Xenopus laevis OX=8355 GN=pon2.S PE=2 SV=1</t>
        </is>
      </c>
      <c r="M9444" t="n">
        <v>356</v>
      </c>
      <c r="N9444" t="inlineStr">
        <is>
          <t>Xenopus laevis</t>
        </is>
      </c>
      <c r="O9444" t="inlineStr">
        <is>
          <t>Paraoxonase</t>
        </is>
      </c>
    </row>
    <row r="9445">
      <c r="A9445" t="inlineStr"/>
      <c r="B9445" t="inlineStr"/>
      <c r="C9445" t="inlineStr"/>
      <c r="D9445" t="inlineStr"/>
      <c r="E9445">
        <f>HYPERLINK("https://www.ncbi.nlm.nih.gov/gene/?term=NP_001084979.1", "NP_001084979.1")</f>
        <v/>
      </c>
      <c r="F9445" t="n">
        <v>70</v>
      </c>
      <c r="G9445" t="n">
        <v>350</v>
      </c>
      <c r="H9445" t="n">
        <v>9.480000000000001e-185</v>
      </c>
      <c r="I9445" t="inlineStr">
        <is>
          <t>Nr</t>
        </is>
      </c>
      <c r="J9445" t="inlineStr"/>
      <c r="K9445" t="inlineStr"/>
      <c r="L9445" t="inlineStr">
        <is>
          <t>NP_001084979.1 Serum paraoxonase/arylesterase 2-like precursor [Xenopus laevis]</t>
        </is>
      </c>
      <c r="M9445" t="n">
        <v>356</v>
      </c>
      <c r="N9445" t="inlineStr">
        <is>
          <t>Xenopus laevis</t>
        </is>
      </c>
      <c r="O9445" t="inlineStr">
        <is>
          <t>Serum paraoxonase/arylesterase 2-like precursor</t>
        </is>
      </c>
    </row>
    <row r="9446">
      <c r="A9446" t="inlineStr"/>
      <c r="B9446" t="inlineStr"/>
      <c r="C9446" t="inlineStr"/>
      <c r="D9446" t="inlineStr"/>
      <c r="E9446">
        <f>HYPERLINK("https://www.ncbi.nlm.nih.gov/gene/?term=OCT74017.1", "OCT74017.1")</f>
        <v/>
      </c>
      <c r="F9446" t="n">
        <v>73.59999999999999</v>
      </c>
      <c r="G9446" t="n">
        <v>330</v>
      </c>
      <c r="H9446" t="n">
        <v>1.35e-184</v>
      </c>
      <c r="I9446" t="inlineStr">
        <is>
          <t>Nr</t>
        </is>
      </c>
      <c r="J9446" t="inlineStr"/>
      <c r="K9446" t="inlineStr"/>
      <c r="L9446" t="inlineStr">
        <is>
          <t>OCT74017.1 hypothetical protein XELAEV_18032980mg [Xenopus laevis]</t>
        </is>
      </c>
      <c r="M9446" t="n">
        <v>356</v>
      </c>
      <c r="N9446" t="inlineStr">
        <is>
          <t>Xenopus laevis</t>
        </is>
      </c>
      <c r="O9446" t="inlineStr">
        <is>
          <t>hypothetical protein XELAEV_18032980mg</t>
        </is>
      </c>
    </row>
    <row r="9447">
      <c r="A9447" t="inlineStr"/>
      <c r="B9447" t="inlineStr"/>
      <c r="C9447" t="inlineStr"/>
      <c r="D9447" t="inlineStr"/>
      <c r="E9447">
        <f>HYPERLINK("https://www.uniprot.org/uniprotkb/A0A8C5T2S5/entry", "A0A8C5T2S5")</f>
        <v/>
      </c>
      <c r="F9447" t="n">
        <v>71.59999999999999</v>
      </c>
      <c r="G9447" t="n">
        <v>331</v>
      </c>
      <c r="H9447" t="n">
        <v>6.430000000000001e-181</v>
      </c>
      <c r="I9447" t="inlineStr">
        <is>
          <t>TrEMBL</t>
        </is>
      </c>
      <c r="J9447" t="inlineStr"/>
      <c r="K9447" t="inlineStr">
        <is>
          <t>A0A8C5T2S5_9PASS</t>
        </is>
      </c>
      <c r="L9447" t="inlineStr">
        <is>
          <t>tr|A0A8C5T2S5|A0A8C5T2S5_9PASS Paraoxonase OS=Malurus cyaneus samueli OX=2593467 PE=3 SV=1</t>
        </is>
      </c>
      <c r="M9447" t="n">
        <v>345</v>
      </c>
      <c r="N9447" t="inlineStr">
        <is>
          <t>Malurus cyaneus samueli</t>
        </is>
      </c>
      <c r="O9447" t="inlineStr">
        <is>
          <t>Paraoxonase</t>
        </is>
      </c>
    </row>
    <row r="9448">
      <c r="A9448" t="inlineStr"/>
      <c r="B9448" t="inlineStr"/>
      <c r="C9448" t="inlineStr"/>
      <c r="D9448" t="inlineStr"/>
      <c r="E9448">
        <f>HYPERLINK("https://www.uniprot.org/uniprotkb/A0A8C3QNK8/entry", "A0A8C3QNK8")</f>
        <v/>
      </c>
      <c r="F9448" t="n">
        <v>71.8</v>
      </c>
      <c r="G9448" t="n">
        <v>330</v>
      </c>
      <c r="H9448" t="n">
        <v>3.61e-180</v>
      </c>
      <c r="I9448" t="inlineStr">
        <is>
          <t>TrEMBL</t>
        </is>
      </c>
      <c r="J9448" t="inlineStr"/>
      <c r="K9448" t="inlineStr">
        <is>
          <t>A0A8C3QNK8_9PASS</t>
        </is>
      </c>
      <c r="L9448" t="inlineStr">
        <is>
          <t>tr|A0A8C3QNK8|A0A8C3QNK8_9PASS Paraoxonase OS=Cyanoderma ruficeps OX=181631 PE=3 SV=1</t>
        </is>
      </c>
      <c r="M9448" t="n">
        <v>354</v>
      </c>
      <c r="N9448" t="inlineStr">
        <is>
          <t>Cyanoderma ruficeps</t>
        </is>
      </c>
      <c r="O9448" t="inlineStr">
        <is>
          <t>Paraoxonase</t>
        </is>
      </c>
    </row>
    <row r="9449">
      <c r="A9449" t="inlineStr"/>
      <c r="B9449" t="inlineStr"/>
      <c r="C9449" t="inlineStr"/>
      <c r="D9449" t="inlineStr"/>
      <c r="E9449">
        <f>HYPERLINK("https://www.uniprot.org/uniprotkb/A0A8C5PBL0/entry", "A0A8C5PBL0")</f>
        <v/>
      </c>
      <c r="F9449" t="n">
        <v>69.90000000000001</v>
      </c>
      <c r="G9449" t="n">
        <v>346</v>
      </c>
      <c r="H9449" t="n">
        <v>3.88e-180</v>
      </c>
      <c r="I9449" t="inlineStr">
        <is>
          <t>TrEMBL</t>
        </is>
      </c>
      <c r="J9449" t="inlineStr"/>
      <c r="K9449" t="inlineStr">
        <is>
          <t>A0A8C5PBL0_9ANUR</t>
        </is>
      </c>
      <c r="L9449" t="inlineStr">
        <is>
          <t>tr|A0A8C5PBL0|A0A8C5PBL0_9ANUR Paraoxonase OS=Leptobrachium leishanense OX=445787 PE=3 SV=1</t>
        </is>
      </c>
      <c r="M9449" t="n">
        <v>356</v>
      </c>
      <c r="N9449" t="inlineStr">
        <is>
          <t>Leptobrachium leishanense</t>
        </is>
      </c>
      <c r="O9449" t="inlineStr">
        <is>
          <t>Paraoxonase</t>
        </is>
      </c>
    </row>
    <row r="9450">
      <c r="A9450" t="inlineStr"/>
      <c r="B9450" t="inlineStr"/>
      <c r="C9450" t="inlineStr"/>
      <c r="D9450" t="inlineStr"/>
      <c r="E9450">
        <f>HYPERLINK("https://www.uniprot.org/uniprotkb/A0A1L8FVT9/entry", "A0A1L8FVT9")</f>
        <v/>
      </c>
      <c r="F9450" t="n">
        <v>72.09999999999999</v>
      </c>
      <c r="G9450" t="n">
        <v>330</v>
      </c>
      <c r="H9450" t="n">
        <v>3.88e-180</v>
      </c>
      <c r="I9450" t="inlineStr">
        <is>
          <t>TrEMBL</t>
        </is>
      </c>
      <c r="J9450" t="inlineStr">
        <is>
          <t>LOC108718843</t>
        </is>
      </c>
      <c r="K9450" t="inlineStr">
        <is>
          <t>A0A1L8FVT9_XENLA</t>
        </is>
      </c>
      <c r="L9450" t="inlineStr">
        <is>
          <t>tr|A0A1L8FVT9|A0A1L8FVT9_XENLA Paraoxonase OS=Xenopus laevis OX=8355 GN=LOC108718843 PE=3 SV=1</t>
        </is>
      </c>
      <c r="M9450" t="n">
        <v>356</v>
      </c>
      <c r="N9450" t="inlineStr">
        <is>
          <t>Xenopus laevis</t>
        </is>
      </c>
      <c r="O9450" t="inlineStr">
        <is>
          <t>Paraoxonase</t>
        </is>
      </c>
    </row>
    <row r="9451">
      <c r="A9451" t="inlineStr"/>
      <c r="B9451" t="inlineStr"/>
      <c r="C9451" t="inlineStr"/>
      <c r="D9451" t="inlineStr"/>
      <c r="E9451">
        <f>HYPERLINK("https://www.uniprot.org/uniprotkb/A0A8C5MCD5/entry", "A0A8C5MCD5")</f>
        <v/>
      </c>
      <c r="F9451" t="n">
        <v>70.2</v>
      </c>
      <c r="G9451" t="n">
        <v>346</v>
      </c>
      <c r="H9451" t="n">
        <v>7.83e-180</v>
      </c>
      <c r="I9451" t="inlineStr">
        <is>
          <t>TrEMBL</t>
        </is>
      </c>
      <c r="J9451" t="inlineStr"/>
      <c r="K9451" t="inlineStr">
        <is>
          <t>A0A8C5MCD5_9ANUR</t>
        </is>
      </c>
      <c r="L9451" t="inlineStr">
        <is>
          <t>tr|A0A8C5MCD5|A0A8C5MCD5_9ANUR Paraoxonase OS=Leptobrachium leishanense OX=445787 PE=3 SV=1</t>
        </is>
      </c>
      <c r="M9451" t="n">
        <v>356</v>
      </c>
      <c r="N9451" t="inlineStr">
        <is>
          <t>Leptobrachium leishanense</t>
        </is>
      </c>
      <c r="O9451" t="inlineStr">
        <is>
          <t>Paraoxonase</t>
        </is>
      </c>
    </row>
    <row r="9452">
      <c r="A9452" t="inlineStr"/>
      <c r="B9452" t="inlineStr"/>
      <c r="C9452" t="inlineStr"/>
      <c r="D9452" t="inlineStr"/>
      <c r="E9452">
        <f>HYPERLINK("https://www.uniprot.org/uniprotkb/Q7ZTN3/entry", "Q7ZTN3")</f>
        <v/>
      </c>
      <c r="F9452" t="n">
        <v>69.2</v>
      </c>
      <c r="G9452" t="n">
        <v>351</v>
      </c>
      <c r="H9452" t="n">
        <v>8.109999999999999e-180</v>
      </c>
      <c r="I9452" t="inlineStr">
        <is>
          <t>TrEMBL</t>
        </is>
      </c>
      <c r="J9452" t="inlineStr">
        <is>
          <t>pon2.L</t>
        </is>
      </c>
      <c r="K9452" t="inlineStr">
        <is>
          <t>Q7ZTN3_XENLA</t>
        </is>
      </c>
      <c r="L9452" t="inlineStr">
        <is>
          <t>tr|Q7ZTN3|Q7ZTN3_XENLA Paraoxonase OS=Xenopus laevis OX=8355 GN=pon2.L PE=2 SV=1</t>
        </is>
      </c>
      <c r="M9452" t="n">
        <v>357</v>
      </c>
      <c r="N9452" t="inlineStr">
        <is>
          <t>Xenopus laevis</t>
        </is>
      </c>
      <c r="O9452" t="inlineStr">
        <is>
          <t>Paraoxonase</t>
        </is>
      </c>
    </row>
    <row r="9453">
      <c r="A9453" t="inlineStr"/>
      <c r="B9453" t="inlineStr"/>
      <c r="C9453" t="inlineStr"/>
      <c r="D9453" t="inlineStr"/>
      <c r="E9453">
        <f>HYPERLINK("https://www.ncbi.nlm.nih.gov/gene/?term=XP_018122811.1", "XP_018122811.1")</f>
        <v/>
      </c>
      <c r="F9453" t="n">
        <v>72.09999999999999</v>
      </c>
      <c r="G9453" t="n">
        <v>330</v>
      </c>
      <c r="H9453" t="n">
        <v>9.98e-180</v>
      </c>
      <c r="I9453" t="inlineStr">
        <is>
          <t>Nr</t>
        </is>
      </c>
      <c r="J9453" t="inlineStr"/>
      <c r="K9453" t="inlineStr"/>
      <c r="L9453" t="inlineStr">
        <is>
          <t>XP_018122811.1 serum paraoxonase/arylesterase 2-like [Xenopus laevis]</t>
        </is>
      </c>
      <c r="M9453" t="n">
        <v>356</v>
      </c>
      <c r="N9453" t="inlineStr">
        <is>
          <t>Xenopus laevis</t>
        </is>
      </c>
      <c r="O9453" t="inlineStr">
        <is>
          <t>serum paraoxonase/arylesterase 2-like</t>
        </is>
      </c>
    </row>
    <row r="9454">
      <c r="A9454" t="inlineStr"/>
      <c r="B9454" t="inlineStr"/>
      <c r="C9454" t="inlineStr"/>
      <c r="D9454" t="inlineStr"/>
      <c r="E9454">
        <f>HYPERLINK("https://www.ncbi.nlm.nih.gov/gene/?term=XP_053324398.1", "XP_053324398.1")</f>
        <v/>
      </c>
      <c r="F9454" t="n">
        <v>72.5</v>
      </c>
      <c r="G9454" t="n">
        <v>346</v>
      </c>
      <c r="H9454" t="n">
        <v>9.98e-180</v>
      </c>
      <c r="I9454" t="inlineStr">
        <is>
          <t>Nr</t>
        </is>
      </c>
      <c r="J9454" t="inlineStr"/>
      <c r="K9454" t="inlineStr"/>
      <c r="L9454" t="inlineStr">
        <is>
          <t>XP_053324398.1 serum paraoxonase/arylesterase 2-like isoform X2 [Spea bombifrons]</t>
        </is>
      </c>
      <c r="M9454" t="n">
        <v>356</v>
      </c>
      <c r="N9454" t="inlineStr">
        <is>
          <t>Spea bombifrons</t>
        </is>
      </c>
      <c r="O9454" t="inlineStr">
        <is>
          <t>serum paraoxonase/arylesterase 2-like isoform X2</t>
        </is>
      </c>
    </row>
    <row r="9455">
      <c r="A9455" t="inlineStr"/>
      <c r="B9455" t="inlineStr"/>
      <c r="C9455" t="inlineStr"/>
      <c r="D9455" t="inlineStr"/>
      <c r="E9455">
        <f>HYPERLINK("https://www.uniprot.org/uniprotkb/A0A8C5X0K7/entry", "A0A8C5X0K7")</f>
        <v/>
      </c>
      <c r="F9455" t="n">
        <v>71.5</v>
      </c>
      <c r="G9455" t="n">
        <v>330</v>
      </c>
      <c r="H9455" t="n">
        <v>1.07e-179</v>
      </c>
      <c r="I9455" t="inlineStr">
        <is>
          <t>TrEMBL</t>
        </is>
      </c>
      <c r="J9455" t="inlineStr"/>
      <c r="K9455" t="inlineStr">
        <is>
          <t>A0A8C5X0K7_9PASS</t>
        </is>
      </c>
      <c r="L9455" t="inlineStr">
        <is>
          <t>tr|A0A8C5X0K7|A0A8C5X0K7_9PASS Paraoxonase OS=Malurus cyaneus samueli OX=2593467 PE=3 SV=1</t>
        </is>
      </c>
      <c r="M9455" t="n">
        <v>355</v>
      </c>
      <c r="N9455" t="inlineStr">
        <is>
          <t>Malurus cyaneus samueli</t>
        </is>
      </c>
      <c r="O9455" t="inlineStr">
        <is>
          <t>Paraoxonase</t>
        </is>
      </c>
    </row>
    <row r="9456">
      <c r="A9456" t="inlineStr"/>
      <c r="B9456" t="inlineStr"/>
      <c r="C9456" t="inlineStr"/>
      <c r="D9456" t="inlineStr"/>
      <c r="E9456">
        <f>HYPERLINK("https://www.uniprot.org/uniprotkb/A0A218V916/entry", "A0A218V916")</f>
        <v/>
      </c>
      <c r="F9456" t="n">
        <v>72.09999999999999</v>
      </c>
      <c r="G9456" t="n">
        <v>330</v>
      </c>
      <c r="H9456" t="n">
        <v>1.47e-179</v>
      </c>
      <c r="I9456" t="inlineStr">
        <is>
          <t>TrEMBL</t>
        </is>
      </c>
      <c r="J9456" t="inlineStr">
        <is>
          <t>PON2</t>
        </is>
      </c>
      <c r="K9456" t="inlineStr">
        <is>
          <t>A0A218V916_9PASE</t>
        </is>
      </c>
      <c r="L9456" t="inlineStr">
        <is>
          <t>tr|A0A218V916|A0A218V916_9PASE Paraoxonase OS=Lonchura striata domestica OX=299123 GN=PON2 PE=3 SV=1</t>
        </is>
      </c>
      <c r="M9456" t="n">
        <v>354</v>
      </c>
      <c r="N9456" t="inlineStr">
        <is>
          <t>Lonchura striata domestica</t>
        </is>
      </c>
      <c r="O9456" t="inlineStr">
        <is>
          <t>Paraoxonase</t>
        </is>
      </c>
    </row>
    <row r="9457">
      <c r="A9457" t="inlineStr"/>
      <c r="B9457" t="inlineStr"/>
      <c r="C9457" t="inlineStr"/>
      <c r="D9457" t="inlineStr"/>
      <c r="E9457">
        <f>HYPERLINK("https://www.uniprot.org/uniprotkb/A0A803VZ29/entry", "A0A803VZ29")</f>
        <v/>
      </c>
      <c r="F9457" t="n">
        <v>71.8</v>
      </c>
      <c r="G9457" t="n">
        <v>330</v>
      </c>
      <c r="H9457" t="n">
        <v>1.92e-179</v>
      </c>
      <c r="I9457" t="inlineStr">
        <is>
          <t>TrEMBL</t>
        </is>
      </c>
      <c r="J9457" t="inlineStr">
        <is>
          <t>LOC101812552</t>
        </is>
      </c>
      <c r="K9457" t="inlineStr">
        <is>
          <t>A0A803VZ29_FICAL</t>
        </is>
      </c>
      <c r="L9457" t="inlineStr">
        <is>
          <t>tr|A0A803VZ29|A0A803VZ29_FICAL Paraoxonase OS=Ficedula albicollis OX=59894 GN=LOC101812552 PE=3 SV=1</t>
        </is>
      </c>
      <c r="M9457" t="n">
        <v>342</v>
      </c>
      <c r="N9457" t="inlineStr">
        <is>
          <t>Ficedula albicollis</t>
        </is>
      </c>
      <c r="O9457" t="inlineStr">
        <is>
          <t>Paraoxonase</t>
        </is>
      </c>
    </row>
    <row r="9458">
      <c r="A9458" t="inlineStr"/>
      <c r="B9458" t="inlineStr"/>
      <c r="C9458" t="inlineStr"/>
      <c r="D9458" t="inlineStr"/>
      <c r="E9458">
        <f>HYPERLINK("https://www.ncbi.nlm.nih.gov/gene/?term=XP_053324397.1", "XP_053324397.1")</f>
        <v/>
      </c>
      <c r="F9458" t="n">
        <v>72</v>
      </c>
      <c r="G9458" t="n">
        <v>347</v>
      </c>
      <c r="H9458" t="n">
        <v>2.01e-179</v>
      </c>
      <c r="I9458" t="inlineStr">
        <is>
          <t>Nr</t>
        </is>
      </c>
      <c r="J9458" t="inlineStr"/>
      <c r="K9458" t="inlineStr"/>
      <c r="L9458" t="inlineStr">
        <is>
          <t>XP_053324397.1 serum paraoxonase/arylesterase 2-like isoform X1 [Spea bombifrons]</t>
        </is>
      </c>
      <c r="M9458" t="n">
        <v>356</v>
      </c>
      <c r="N9458" t="inlineStr">
        <is>
          <t>Spea bombifrons</t>
        </is>
      </c>
      <c r="O9458" t="inlineStr">
        <is>
          <t>serum paraoxonase/arylesterase 2-like isoform X1</t>
        </is>
      </c>
    </row>
    <row r="9459">
      <c r="A9459" t="inlineStr"/>
      <c r="B9459" t="inlineStr"/>
      <c r="C9459" t="inlineStr"/>
      <c r="D9459" t="inlineStr"/>
      <c r="E9459">
        <f>HYPERLINK("https://www.ncbi.nlm.nih.gov/gene/?term=NP_001080649.1", "NP_001080649.1")</f>
        <v/>
      </c>
      <c r="F9459" t="n">
        <v>69.2</v>
      </c>
      <c r="G9459" t="n">
        <v>351</v>
      </c>
      <c r="H9459" t="n">
        <v>2.08e-179</v>
      </c>
      <c r="I9459" t="inlineStr">
        <is>
          <t>Nr</t>
        </is>
      </c>
      <c r="J9459" t="inlineStr"/>
      <c r="K9459" t="inlineStr"/>
      <c r="L9459" t="inlineStr">
        <is>
          <t>NP_001080649.1 serum paraoxonase/arylesterase 2 [Xenopus laevis]</t>
        </is>
      </c>
      <c r="M9459" t="n">
        <v>357</v>
      </c>
      <c r="N9459" t="inlineStr">
        <is>
          <t>Xenopus laevis</t>
        </is>
      </c>
      <c r="O9459" t="inlineStr">
        <is>
          <t>serum paraoxonase/arylesterase 2</t>
        </is>
      </c>
    </row>
    <row r="9460">
      <c r="A9460" t="inlineStr"/>
      <c r="B9460" t="inlineStr"/>
      <c r="C9460" t="inlineStr"/>
      <c r="D9460" t="inlineStr"/>
      <c r="E9460">
        <f>HYPERLINK("https://www.ncbi.nlm.nih.gov/gene/?term=XP_021394067.1", "XP_021394067.1")</f>
        <v/>
      </c>
      <c r="F9460" t="n">
        <v>72.09999999999999</v>
      </c>
      <c r="G9460" t="n">
        <v>330</v>
      </c>
      <c r="H9460" t="n">
        <v>3.77e-179</v>
      </c>
      <c r="I9460" t="inlineStr">
        <is>
          <t>Nr</t>
        </is>
      </c>
      <c r="J9460" t="inlineStr"/>
      <c r="K9460" t="inlineStr"/>
      <c r="L9460" t="inlineStr">
        <is>
          <t>XP_021394067.1 serum paraoxonase/arylesterase 2 [Lonchura striata domestica]</t>
        </is>
      </c>
      <c r="M9460" t="n">
        <v>354</v>
      </c>
      <c r="N9460" t="inlineStr">
        <is>
          <t>Lonchura striata domestica</t>
        </is>
      </c>
      <c r="O9460" t="inlineStr">
        <is>
          <t>serum paraoxonase/arylesterase 2</t>
        </is>
      </c>
    </row>
    <row r="9461">
      <c r="A9461" t="inlineStr"/>
      <c r="B9461" t="inlineStr"/>
      <c r="C9461" t="inlineStr"/>
      <c r="D9461" t="inlineStr"/>
      <c r="E9461">
        <f>HYPERLINK("https://www.ncbi.nlm.nih.gov/gene/?term=OCT75697.1", "OCT75697.1")</f>
        <v/>
      </c>
      <c r="F9461" t="n">
        <v>69.2</v>
      </c>
      <c r="G9461" t="n">
        <v>351</v>
      </c>
      <c r="H9461" t="n">
        <v>4.2e-179</v>
      </c>
      <c r="I9461" t="inlineStr">
        <is>
          <t>Nr</t>
        </is>
      </c>
      <c r="J9461" t="inlineStr"/>
      <c r="K9461" t="inlineStr"/>
      <c r="L9461" t="inlineStr">
        <is>
          <t>OCT75697.1 hypothetical protein XELAEV_18030881mg [Xenopus laevis]</t>
        </is>
      </c>
      <c r="M9461" t="n">
        <v>357</v>
      </c>
      <c r="N9461" t="inlineStr">
        <is>
          <t>Xenopus laevis</t>
        </is>
      </c>
      <c r="O9461" t="inlineStr">
        <is>
          <t>hypothetical protein XELAEV_18030881mg</t>
        </is>
      </c>
    </row>
    <row r="9462">
      <c r="A9462" t="inlineStr"/>
      <c r="B9462" t="inlineStr"/>
      <c r="C9462" t="inlineStr"/>
      <c r="D9462" t="inlineStr"/>
      <c r="E9462">
        <f>HYPERLINK("https://www.uniprot.org/uniprotkb/A0A8C5PBJ6/entry", "A0A8C5PBJ6")</f>
        <v/>
      </c>
      <c r="F9462" t="n">
        <v>70.2</v>
      </c>
      <c r="G9462" t="n">
        <v>346</v>
      </c>
      <c r="H9462" t="n">
        <v>4.510000000000001e-179</v>
      </c>
      <c r="I9462" t="inlineStr">
        <is>
          <t>TrEMBL</t>
        </is>
      </c>
      <c r="J9462" t="inlineStr"/>
      <c r="K9462" t="inlineStr">
        <is>
          <t>A0A8C5PBJ6_9ANUR</t>
        </is>
      </c>
      <c r="L9462" t="inlineStr">
        <is>
          <t>tr|A0A8C5PBJ6|A0A8C5PBJ6_9ANUR Paraoxonase OS=Leptobrachium leishanense OX=445787 PE=3 SV=1</t>
        </is>
      </c>
      <c r="M9462" t="n">
        <v>356</v>
      </c>
      <c r="N9462" t="inlineStr">
        <is>
          <t>Leptobrachium leishanense</t>
        </is>
      </c>
      <c r="O9462" t="inlineStr">
        <is>
          <t>Paraoxonase</t>
        </is>
      </c>
    </row>
    <row r="9463">
      <c r="A9463" t="inlineStr"/>
      <c r="B9463" t="inlineStr"/>
      <c r="C9463" t="inlineStr"/>
      <c r="D9463" t="inlineStr"/>
      <c r="E9463">
        <f>HYPERLINK("https://www.ncbi.nlm.nih.gov/gene/?term=XP_005041138.1", "XP_005041138.1")</f>
        <v/>
      </c>
      <c r="F9463" t="n">
        <v>71.8</v>
      </c>
      <c r="G9463" t="n">
        <v>330</v>
      </c>
      <c r="H9463" t="n">
        <v>4.930000000000001e-179</v>
      </c>
      <c r="I9463" t="inlineStr">
        <is>
          <t>Nr</t>
        </is>
      </c>
      <c r="J9463" t="inlineStr"/>
      <c r="K9463" t="inlineStr"/>
      <c r="L9463" t="inlineStr">
        <is>
          <t>XP_005041138.1 PREDICTED: serum paraoxonase/arylesterase 2 isoform X2 [Ficedula albicollis]</t>
        </is>
      </c>
      <c r="M9463" t="n">
        <v>342</v>
      </c>
      <c r="N9463" t="inlineStr">
        <is>
          <t>Ficedula albicollis</t>
        </is>
      </c>
      <c r="O9463" t="inlineStr">
        <is>
          <t>PREDICTED: serum paraoxonase/arylesterase 2 isoform X2</t>
        </is>
      </c>
    </row>
    <row r="9464">
      <c r="A9464" t="inlineStr"/>
      <c r="B9464" t="inlineStr"/>
      <c r="C9464" t="inlineStr"/>
      <c r="D9464" t="inlineStr"/>
      <c r="E9464">
        <f>HYPERLINK("https://www.ncbi.nlm.nih.gov/gene/?term=XP_033367743.1", "XP_033367743.1")</f>
        <v/>
      </c>
      <c r="F9464" t="n">
        <v>71.09999999999999</v>
      </c>
      <c r="G9464" t="n">
        <v>339</v>
      </c>
      <c r="H9464" t="n">
        <v>6.580000000000001e-179</v>
      </c>
      <c r="I9464" t="inlineStr">
        <is>
          <t>Nr</t>
        </is>
      </c>
      <c r="J9464" t="inlineStr"/>
      <c r="K9464" t="inlineStr"/>
      <c r="L9464" t="inlineStr">
        <is>
          <t>XP_033367743.1 serum paraoxonase/arylesterase 2 isoform X2 [Parus major]</t>
        </is>
      </c>
      <c r="M9464" t="n">
        <v>350</v>
      </c>
      <c r="N9464" t="inlineStr">
        <is>
          <t>Parus major</t>
        </is>
      </c>
      <c r="O9464" t="inlineStr">
        <is>
          <t>serum paraoxonase/arylesterase 2 isoform X2</t>
        </is>
      </c>
    </row>
    <row r="9465">
      <c r="A9465" t="inlineStr"/>
      <c r="B9465" t="inlineStr"/>
      <c r="C9465" t="inlineStr"/>
      <c r="D9465" t="inlineStr"/>
      <c r="E9465">
        <f>HYPERLINK("https://www.uniprot.org/uniprotkb/A0A8C5PBP2/entry", "A0A8C5PBP2")</f>
        <v/>
      </c>
      <c r="F9465" t="n">
        <v>69.90000000000001</v>
      </c>
      <c r="G9465" t="n">
        <v>346</v>
      </c>
      <c r="H9465" t="n">
        <v>9.09e-179</v>
      </c>
      <c r="I9465" t="inlineStr">
        <is>
          <t>TrEMBL</t>
        </is>
      </c>
      <c r="J9465" t="inlineStr"/>
      <c r="K9465" t="inlineStr">
        <is>
          <t>A0A8C5PBP2_9ANUR</t>
        </is>
      </c>
      <c r="L9465" t="inlineStr">
        <is>
          <t>tr|A0A8C5PBP2|A0A8C5PBP2_9ANUR Paraoxonase OS=Leptobrachium leishanense OX=445787 PE=3 SV=1</t>
        </is>
      </c>
      <c r="M9465" t="n">
        <v>356</v>
      </c>
      <c r="N9465" t="inlineStr">
        <is>
          <t>Leptobrachium leishanense</t>
        </is>
      </c>
      <c r="O9465" t="inlineStr">
        <is>
          <t>Paraoxonase</t>
        </is>
      </c>
    </row>
    <row r="9466">
      <c r="A9466" t="inlineStr"/>
      <c r="B9466" t="inlineStr"/>
      <c r="C9466" t="inlineStr"/>
      <c r="D9466" t="inlineStr"/>
      <c r="E9466">
        <f>HYPERLINK("https://www.ncbi.nlm.nih.gov/gene/?term=XP_005041136.1", "XP_005041136.1")</f>
        <v/>
      </c>
      <c r="F9466" t="n">
        <v>71.8</v>
      </c>
      <c r="G9466" t="n">
        <v>330</v>
      </c>
      <c r="H9466" t="n">
        <v>9.430000000000001e-179</v>
      </c>
      <c r="I9466" t="inlineStr">
        <is>
          <t>Nr</t>
        </is>
      </c>
      <c r="J9466" t="inlineStr"/>
      <c r="K9466" t="inlineStr"/>
      <c r="L9466" t="inlineStr">
        <is>
          <t>XP_005041136.1 PREDICTED: serum paraoxonase/arylesterase 2 isoform X1 [Ficedula albicollis]</t>
        </is>
      </c>
      <c r="M9466" t="n">
        <v>360</v>
      </c>
      <c r="N9466" t="inlineStr">
        <is>
          <t>Ficedula albicollis</t>
        </is>
      </c>
      <c r="O9466" t="inlineStr">
        <is>
          <t>PREDICTED: serum paraoxonase/arylesterase 2 isoform X1</t>
        </is>
      </c>
    </row>
    <row r="9467">
      <c r="A9467" t="inlineStr"/>
      <c r="B9467" t="inlineStr"/>
      <c r="C9467" t="inlineStr"/>
      <c r="D9467" t="inlineStr"/>
      <c r="E9467">
        <f>HYPERLINK("https://www.uniprot.org/uniprotkb/A0A8B9VQI8/entry", "A0A8B9VQI8")</f>
        <v/>
      </c>
      <c r="F9467" t="n">
        <v>71.3</v>
      </c>
      <c r="G9467" t="n">
        <v>338</v>
      </c>
      <c r="H9467" t="n">
        <v>9.570000000000001e-179</v>
      </c>
      <c r="I9467" t="inlineStr">
        <is>
          <t>TrEMBL</t>
        </is>
      </c>
      <c r="J9467" t="inlineStr"/>
      <c r="K9467" t="inlineStr">
        <is>
          <t>A0A8B9VQI8_9AVES</t>
        </is>
      </c>
      <c r="L9467" t="inlineStr">
        <is>
          <t>tr|A0A8B9VQI8|A0A8B9VQI8_9AVES Paraoxonase OS=Anas zonorhyncha OX=75864 PE=3 SV=1</t>
        </is>
      </c>
      <c r="M9467" t="n">
        <v>338</v>
      </c>
      <c r="N9467" t="inlineStr">
        <is>
          <t>Anas zonorhyncha</t>
        </is>
      </c>
      <c r="O9467" t="inlineStr">
        <is>
          <t>Paraoxonase</t>
        </is>
      </c>
    </row>
    <row r="9468">
      <c r="A9468" t="inlineStr"/>
      <c r="B9468" t="inlineStr"/>
      <c r="C9468" t="inlineStr"/>
      <c r="D9468" t="inlineStr"/>
      <c r="E9468">
        <f>HYPERLINK("https://www.ncbi.nlm.nih.gov/gene/?term=XP_032930754.1", "XP_032930754.1")</f>
        <v/>
      </c>
      <c r="F9468" t="n">
        <v>72.09999999999999</v>
      </c>
      <c r="G9468" t="n">
        <v>330</v>
      </c>
      <c r="H9468" t="n">
        <v>1.08e-178</v>
      </c>
      <c r="I9468" t="inlineStr">
        <is>
          <t>Nr</t>
        </is>
      </c>
      <c r="J9468" t="inlineStr"/>
      <c r="K9468" t="inlineStr"/>
      <c r="L9468" t="inlineStr">
        <is>
          <t>XP_032930754.1 serum paraoxonase/arylesterase 2 isoform X2 [Catharus ustulatus]</t>
        </is>
      </c>
      <c r="M9468" t="n">
        <v>354</v>
      </c>
      <c r="N9468" t="inlineStr">
        <is>
          <t>Catharus ustulatus</t>
        </is>
      </c>
      <c r="O9468" t="inlineStr">
        <is>
          <t>serum paraoxonase/arylesterase 2 isoform X2</t>
        </is>
      </c>
    </row>
    <row r="9469">
      <c r="A9469" t="inlineStr"/>
      <c r="B9469" t="inlineStr"/>
      <c r="C9469" t="inlineStr"/>
      <c r="D9469" t="inlineStr"/>
      <c r="E9469">
        <f>HYPERLINK("https://www.ncbi.nlm.nih.gov/gene/?term=XP_015473525.1", "XP_015473525.1")</f>
        <v/>
      </c>
      <c r="F9469" t="n">
        <v>71.8</v>
      </c>
      <c r="G9469" t="n">
        <v>330</v>
      </c>
      <c r="H9469" t="n">
        <v>1.11e-178</v>
      </c>
      <c r="I9469" t="inlineStr">
        <is>
          <t>Nr</t>
        </is>
      </c>
      <c r="J9469" t="inlineStr"/>
      <c r="K9469" t="inlineStr"/>
      <c r="L9469" t="inlineStr">
        <is>
          <t>XP_015473525.1 serum paraoxonase/arylesterase 2 isoform X3 [Parus major]</t>
        </is>
      </c>
      <c r="M9469" t="n">
        <v>345</v>
      </c>
      <c r="N9469" t="inlineStr">
        <is>
          <t>Parus major</t>
        </is>
      </c>
      <c r="O9469" t="inlineStr">
        <is>
          <t>serum paraoxonase/arylesterase 2 isoform X3</t>
        </is>
      </c>
    </row>
    <row r="9470">
      <c r="A9470" t="inlineStr"/>
      <c r="B9470" t="inlineStr"/>
      <c r="C9470" t="inlineStr"/>
      <c r="D9470" t="inlineStr"/>
      <c r="E9470">
        <f>HYPERLINK("https://www.uniprot.org/uniprotkb/A0A8C0V9K3/entry", "A0A8C0V9K3")</f>
        <v/>
      </c>
      <c r="F9470" t="n">
        <v>71.2</v>
      </c>
      <c r="G9470" t="n">
        <v>330</v>
      </c>
      <c r="H9470" t="n">
        <v>1.31e-178</v>
      </c>
      <c r="I9470" t="inlineStr">
        <is>
          <t>TrEMBL</t>
        </is>
      </c>
      <c r="J9470" t="inlineStr">
        <is>
          <t>LOC111924234</t>
        </is>
      </c>
      <c r="K9470" t="inlineStr">
        <is>
          <t>A0A8C0V9K3_CYACU</t>
        </is>
      </c>
      <c r="L9470" t="inlineStr">
        <is>
          <t>tr|A0A8C0V9K3|A0A8C0V9K3_CYACU Paraoxonase OS=Cyanistes caeruleus OX=156563 GN=LOC111924234 PE=3 SV=1</t>
        </is>
      </c>
      <c r="M9470" t="n">
        <v>337</v>
      </c>
      <c r="N9470" t="inlineStr">
        <is>
          <t>Cyanistes caeruleus</t>
        </is>
      </c>
      <c r="O9470" t="inlineStr">
        <is>
          <t>Paraoxonase</t>
        </is>
      </c>
    </row>
    <row r="9471">
      <c r="A9471" t="inlineStr"/>
      <c r="B9471" t="inlineStr"/>
      <c r="C9471" t="inlineStr"/>
      <c r="D9471" t="inlineStr"/>
      <c r="E9471">
        <f>HYPERLINK("https://www.ncbi.nlm.nih.gov/gene/?term=XP_015473524.1", "XP_015473524.1")</f>
        <v/>
      </c>
      <c r="F9471" t="n">
        <v>71.8</v>
      </c>
      <c r="G9471" t="n">
        <v>330</v>
      </c>
      <c r="H9471" t="n">
        <v>1.53e-178</v>
      </c>
      <c r="I9471" t="inlineStr">
        <is>
          <t>Nr</t>
        </is>
      </c>
      <c r="J9471" t="inlineStr"/>
      <c r="K9471" t="inlineStr"/>
      <c r="L9471" t="inlineStr">
        <is>
          <t>XP_015473524.1 serum paraoxonase/arylesterase 2 isoform X1 [Parus major]</t>
        </is>
      </c>
      <c r="M9471" t="n">
        <v>354</v>
      </c>
      <c r="N9471" t="inlineStr">
        <is>
          <t>Parus major</t>
        </is>
      </c>
      <c r="O9471" t="inlineStr">
        <is>
          <t>serum paraoxonase/arylesterase 2 isoform X1</t>
        </is>
      </c>
    </row>
    <row r="9472">
      <c r="A9472" t="inlineStr"/>
      <c r="B9472" t="inlineStr"/>
      <c r="C9472" t="inlineStr"/>
      <c r="D9472" t="inlineStr"/>
      <c r="E9472">
        <f>HYPERLINK("https://www.ncbi.nlm.nih.gov/gene/?term=XP_050183450.1", "XP_050183450.1")</f>
        <v/>
      </c>
      <c r="F9472" t="n">
        <v>71.5</v>
      </c>
      <c r="G9472" t="n">
        <v>330</v>
      </c>
      <c r="H9472" t="n">
        <v>2.17e-178</v>
      </c>
      <c r="I9472" t="inlineStr">
        <is>
          <t>Nr</t>
        </is>
      </c>
      <c r="J9472" t="inlineStr"/>
      <c r="K9472" t="inlineStr"/>
      <c r="L9472" t="inlineStr">
        <is>
          <t>XP_050183450.1 serum paraoxonase/arylesterase 2 [Myiozetetes cayanensis]</t>
        </is>
      </c>
      <c r="M9472" t="n">
        <v>354</v>
      </c>
      <c r="N9472" t="inlineStr">
        <is>
          <t>Myiozetetes cayanensis</t>
        </is>
      </c>
      <c r="O9472" t="inlineStr">
        <is>
          <t>serum paraoxonase/arylesterase 2</t>
        </is>
      </c>
    </row>
    <row r="9473">
      <c r="A9473" t="inlineStr"/>
      <c r="B9473" t="inlineStr"/>
      <c r="C9473" t="inlineStr"/>
      <c r="D9473" t="inlineStr"/>
      <c r="E9473">
        <f>HYPERLINK("https://www.ncbi.nlm.nih.gov/gene/?term=XP_023776136.1", "XP_023776136.1")</f>
        <v/>
      </c>
      <c r="F9473" t="n">
        <v>71.2</v>
      </c>
      <c r="G9473" t="n">
        <v>330</v>
      </c>
      <c r="H9473" t="n">
        <v>3.37e-178</v>
      </c>
      <c r="I9473" t="inlineStr">
        <is>
          <t>Nr</t>
        </is>
      </c>
      <c r="J9473" t="inlineStr"/>
      <c r="K9473" t="inlineStr"/>
      <c r="L9473" t="inlineStr">
        <is>
          <t>XP_023776136.1 serum paraoxonase/arylesterase 2 [Cyanistes caeruleus]</t>
        </is>
      </c>
      <c r="M9473" t="n">
        <v>337</v>
      </c>
      <c r="N9473" t="inlineStr">
        <is>
          <t>Cyanistes caeruleus</t>
        </is>
      </c>
      <c r="O9473" t="inlineStr">
        <is>
          <t>serum paraoxonase/arylesterase 2</t>
        </is>
      </c>
    </row>
    <row r="9474">
      <c r="A9474" t="inlineStr"/>
      <c r="B9474" t="inlineStr"/>
      <c r="C9474" t="inlineStr"/>
      <c r="D9474" t="inlineStr"/>
      <c r="E9474">
        <f>HYPERLINK("https://www.uniprot.org/uniprotkb/A0A8C3E874/entry", "A0A8C3E874")</f>
        <v/>
      </c>
      <c r="F9474" t="n">
        <v>70.59999999999999</v>
      </c>
      <c r="G9474" t="n">
        <v>330</v>
      </c>
      <c r="H9474" t="n">
        <v>3.4e-178</v>
      </c>
      <c r="I9474" t="inlineStr">
        <is>
          <t>TrEMBL</t>
        </is>
      </c>
      <c r="J9474" t="inlineStr">
        <is>
          <t>LOC116445298</t>
        </is>
      </c>
      <c r="K9474" t="inlineStr">
        <is>
          <t>A0A8C3E874_CORMO</t>
        </is>
      </c>
      <c r="L9474" t="inlineStr">
        <is>
          <t>tr|A0A8C3E874|A0A8C3E874_CORMO Paraoxonase OS=Corvus moneduloides OX=1196302 GN=LOC116445298 PE=3 SV=1</t>
        </is>
      </c>
      <c r="M9474" t="n">
        <v>344</v>
      </c>
      <c r="N9474" t="inlineStr">
        <is>
          <t>Corvus moneduloides</t>
        </is>
      </c>
      <c r="O9474" t="inlineStr">
        <is>
          <t>Paraoxonase</t>
        </is>
      </c>
    </row>
    <row r="9475">
      <c r="A9475" t="inlineStr"/>
      <c r="B9475" t="inlineStr"/>
      <c r="C9475" t="inlineStr"/>
      <c r="D9475" t="inlineStr"/>
      <c r="E9475">
        <f>HYPERLINK("https://www.ncbi.nlm.nih.gov/gene/?term=XP_037985446.1", "XP_037985446.1")</f>
        <v/>
      </c>
      <c r="F9475" t="n">
        <v>71.5</v>
      </c>
      <c r="G9475" t="n">
        <v>330</v>
      </c>
      <c r="H9475" t="n">
        <v>4.38e-178</v>
      </c>
      <c r="I9475" t="inlineStr">
        <is>
          <t>Nr</t>
        </is>
      </c>
      <c r="J9475" t="inlineStr"/>
      <c r="K9475" t="inlineStr"/>
      <c r="L9475" t="inlineStr">
        <is>
          <t>XP_037985446.1 serum paraoxonase/arylesterase 2 [Motacilla alba alba]</t>
        </is>
      </c>
      <c r="M9475" t="n">
        <v>354</v>
      </c>
      <c r="N9475" t="inlineStr">
        <is>
          <t>Motacilla alba alba</t>
        </is>
      </c>
      <c r="O9475" t="inlineStr">
        <is>
          <t>serum paraoxonase/arylesterase 2</t>
        </is>
      </c>
    </row>
    <row r="9476">
      <c r="A9476" t="inlineStr"/>
      <c r="B9476" t="inlineStr"/>
      <c r="C9476" t="inlineStr"/>
      <c r="D9476" t="inlineStr"/>
      <c r="E9476">
        <f>HYPERLINK("https://www.ncbi.nlm.nih.gov/gene/?term=XP_041264870.1", "XP_041264870.1")</f>
        <v/>
      </c>
      <c r="F9476" t="n">
        <v>70.90000000000001</v>
      </c>
      <c r="G9476" t="n">
        <v>330</v>
      </c>
      <c r="H9476" t="n">
        <v>4.38e-178</v>
      </c>
      <c r="I9476" t="inlineStr">
        <is>
          <t>Nr</t>
        </is>
      </c>
      <c r="J9476" t="inlineStr"/>
      <c r="K9476" t="inlineStr"/>
      <c r="L9476" t="inlineStr">
        <is>
          <t>XP_041264870.1 serum paraoxonase/arylesterase 2 [Onychostruthus taczanowskii]</t>
        </is>
      </c>
      <c r="M9476" t="n">
        <v>354</v>
      </c>
      <c r="N9476" t="inlineStr">
        <is>
          <t>Onychostruthus taczanowskii</t>
        </is>
      </c>
      <c r="O9476" t="inlineStr">
        <is>
          <t>serum paraoxonase/arylesterase 2</t>
        </is>
      </c>
    </row>
    <row r="9477">
      <c r="A9477" t="inlineStr"/>
      <c r="B9477" t="inlineStr"/>
      <c r="C9477" t="inlineStr"/>
      <c r="D9477" t="inlineStr"/>
      <c r="E9477">
        <f>HYPERLINK("https://www.uniprot.org/uniprotkb/A0A091EE74/entry", "A0A091EE74")</f>
        <v/>
      </c>
      <c r="F9477" t="n">
        <v>70.3</v>
      </c>
      <c r="G9477" t="n">
        <v>330</v>
      </c>
      <c r="H9477" t="n">
        <v>6.78e-178</v>
      </c>
      <c r="I9477" t="inlineStr">
        <is>
          <t>TrEMBL</t>
        </is>
      </c>
      <c r="J9477" t="inlineStr">
        <is>
          <t>N302_03089</t>
        </is>
      </c>
      <c r="K9477" t="inlineStr">
        <is>
          <t>A0A091EE74_CORBR</t>
        </is>
      </c>
      <c r="L9477" t="inlineStr">
        <is>
          <t>tr|A0A091EE74|A0A091EE74_CORBR Paraoxonase (Fragment) OS=Corvus brachyrhynchos OX=85066 GN=N302_03089 PE=3 SV=1</t>
        </is>
      </c>
      <c r="M9477" t="n">
        <v>334</v>
      </c>
      <c r="N9477" t="inlineStr">
        <is>
          <t>Corvus brachyrhynchos</t>
        </is>
      </c>
      <c r="O9477" t="inlineStr">
        <is>
          <t>Paraoxonase (Fragment)</t>
        </is>
      </c>
    </row>
    <row r="9478">
      <c r="A9478" t="inlineStr"/>
      <c r="B9478" t="inlineStr"/>
      <c r="C9478" t="inlineStr"/>
      <c r="D9478" t="inlineStr"/>
      <c r="E9478">
        <f>HYPERLINK("https://www.uniprot.org/uniprotkb/A0A8K1LDQ8/entry", "A0A8K1LDQ8")</f>
        <v/>
      </c>
      <c r="F9478" t="n">
        <v>71.2</v>
      </c>
      <c r="G9478" t="n">
        <v>330</v>
      </c>
      <c r="H9478" t="n">
        <v>6.93e-178</v>
      </c>
      <c r="I9478" t="inlineStr">
        <is>
          <t>TrEMBL</t>
        </is>
      </c>
      <c r="J9478" t="inlineStr">
        <is>
          <t>HGM15179_017063</t>
        </is>
      </c>
      <c r="K9478" t="inlineStr">
        <is>
          <t>A0A8K1LDQ8_9PASS</t>
        </is>
      </c>
      <c r="L9478" t="inlineStr">
        <is>
          <t>tr|A0A8K1LDQ8|A0A8K1LDQ8_9PASS Paraoxonase OS=Zosterops borbonicus OX=364589 GN=HGM15179_017063 PE=3 SV=1</t>
        </is>
      </c>
      <c r="M9478" t="n">
        <v>354</v>
      </c>
      <c r="N9478" t="inlineStr">
        <is>
          <t>Zosterops borbonicus</t>
        </is>
      </c>
      <c r="O9478" t="inlineStr">
        <is>
          <t>Paraoxonase</t>
        </is>
      </c>
    </row>
    <row r="9479">
      <c r="A9479" t="inlineStr"/>
      <c r="B9479" t="inlineStr"/>
      <c r="C9479" t="inlineStr"/>
      <c r="D9479" t="inlineStr"/>
      <c r="E9479">
        <f>HYPERLINK("https://www.uniprot.org/uniprotkb/A0A8C3TKS2/entry", "A0A8C3TKS2")</f>
        <v/>
      </c>
      <c r="F9479" t="n">
        <v>72.09999999999999</v>
      </c>
      <c r="G9479" t="n">
        <v>330</v>
      </c>
      <c r="H9479" t="n">
        <v>8.34e-178</v>
      </c>
      <c r="I9479" t="inlineStr">
        <is>
          <t>TrEMBL</t>
        </is>
      </c>
      <c r="J9479" t="inlineStr"/>
      <c r="K9479" t="inlineStr">
        <is>
          <t>A0A8C3TKS2_CATUS</t>
        </is>
      </c>
      <c r="L9479" t="inlineStr">
        <is>
          <t>tr|A0A8C3TKS2|A0A8C3TKS2_CATUS Paraoxonase OS=Catharus ustulatus OX=91951 PE=3 SV=1</t>
        </is>
      </c>
      <c r="M9479" t="n">
        <v>438</v>
      </c>
      <c r="N9479" t="inlineStr">
        <is>
          <t>Catharus ustulatus</t>
        </is>
      </c>
      <c r="O9479" t="inlineStr">
        <is>
          <t>Paraoxonase</t>
        </is>
      </c>
    </row>
    <row r="9480">
      <c r="A9480" t="inlineStr"/>
      <c r="B9480" t="inlineStr"/>
      <c r="C9480" t="inlineStr"/>
      <c r="D9480" t="inlineStr"/>
      <c r="E9480">
        <f>HYPERLINK("https://www.uniprot.org/uniprotkb/A0A493STB0/entry", "A0A493STB0")</f>
        <v/>
      </c>
      <c r="F9480" t="n">
        <v>70.7</v>
      </c>
      <c r="G9480" t="n">
        <v>338</v>
      </c>
      <c r="H9480" t="n">
        <v>1.11e-177</v>
      </c>
      <c r="I9480" t="inlineStr">
        <is>
          <t>TrEMBL</t>
        </is>
      </c>
      <c r="J9480" t="inlineStr"/>
      <c r="K9480" t="inlineStr">
        <is>
          <t>A0A493STB0_ANAPP</t>
        </is>
      </c>
      <c r="L9480" t="inlineStr">
        <is>
          <t>tr|A0A493STB0|A0A493STB0_ANAPP Paraoxonase OS=Anas platyrhynchos platyrhynchos OX=8840 PE=3 SV=1</t>
        </is>
      </c>
      <c r="M9480" t="n">
        <v>338</v>
      </c>
      <c r="N9480" t="inlineStr">
        <is>
          <t>Anas platyrhynchos platyrhynchos</t>
        </is>
      </c>
      <c r="O9480" t="inlineStr">
        <is>
          <t>Paraoxonase</t>
        </is>
      </c>
    </row>
    <row r="9481">
      <c r="A9481" t="inlineStr"/>
      <c r="B9481" t="inlineStr"/>
      <c r="C9481" t="inlineStr"/>
      <c r="D9481" t="inlineStr"/>
      <c r="E9481">
        <f>HYPERLINK("https://www.ncbi.nlm.nih.gov/gene/?term=XP_031967704.1", "XP_031967704.1")</f>
        <v/>
      </c>
      <c r="F9481" t="n">
        <v>70.59999999999999</v>
      </c>
      <c r="G9481" t="n">
        <v>330</v>
      </c>
      <c r="H9481" t="n">
        <v>1.25e-177</v>
      </c>
      <c r="I9481" t="inlineStr">
        <is>
          <t>Nr</t>
        </is>
      </c>
      <c r="J9481" t="inlineStr"/>
      <c r="K9481" t="inlineStr"/>
      <c r="L9481" t="inlineStr">
        <is>
          <t>XP_031967704.1 serum paraoxonase/arylesterase 2 [Corvus moneduloides]</t>
        </is>
      </c>
      <c r="M9481" t="n">
        <v>354</v>
      </c>
      <c r="N9481" t="inlineStr">
        <is>
          <t>Corvus moneduloides</t>
        </is>
      </c>
      <c r="O9481" t="inlineStr">
        <is>
          <t>serum paraoxonase/arylesterase 2</t>
        </is>
      </c>
    </row>
    <row r="9482">
      <c r="A9482" t="inlineStr"/>
      <c r="B9482" t="inlineStr"/>
      <c r="C9482" t="inlineStr"/>
      <c r="D9482" t="inlineStr"/>
      <c r="E9482">
        <f>HYPERLINK("https://www.uniprot.org/uniprotkb/A0A8D2PVF0/entry", "A0A8D2PVF0")</f>
        <v/>
      </c>
      <c r="F9482" t="n">
        <v>71.2</v>
      </c>
      <c r="G9482" t="n">
        <v>330</v>
      </c>
      <c r="H9482" t="n">
        <v>1.3e-177</v>
      </c>
      <c r="I9482" t="inlineStr">
        <is>
          <t>TrEMBL</t>
        </is>
      </c>
      <c r="J9482" t="inlineStr"/>
      <c r="K9482" t="inlineStr">
        <is>
          <t>A0A8D2PVF0_ZOSLA</t>
        </is>
      </c>
      <c r="L9482" t="inlineStr">
        <is>
          <t>tr|A0A8D2PVF0|A0A8D2PVF0_ZOSLA Paraoxonase OS=Zosterops lateralis melanops OX=1220523 PE=3 SV=1</t>
        </is>
      </c>
      <c r="M9482" t="n">
        <v>352</v>
      </c>
      <c r="N9482" t="inlineStr">
        <is>
          <t>Zosterops lateralis melanops</t>
        </is>
      </c>
      <c r="O9482" t="inlineStr">
        <is>
          <t>Paraoxonase</t>
        </is>
      </c>
    </row>
    <row r="9483">
      <c r="A9483" t="inlineStr"/>
      <c r="B9483" t="inlineStr"/>
      <c r="C9483" t="inlineStr"/>
      <c r="D9483" t="inlineStr"/>
      <c r="E9483">
        <f>HYPERLINK("https://www.uniprot.org/uniprotkb/A0A8B9BIE3/entry", "A0A8B9BIE3")</f>
        <v/>
      </c>
      <c r="F9483" t="n">
        <v>71.8</v>
      </c>
      <c r="G9483" t="n">
        <v>330</v>
      </c>
      <c r="H9483" t="n">
        <v>1.4e-177</v>
      </c>
      <c r="I9483" t="inlineStr">
        <is>
          <t>TrEMBL</t>
        </is>
      </c>
      <c r="J9483" t="inlineStr"/>
      <c r="K9483" t="inlineStr">
        <is>
          <t>A0A8B9BIE3_9AVES</t>
        </is>
      </c>
      <c r="L9483" t="inlineStr">
        <is>
          <t>tr|A0A8B9BIE3|A0A8B9BIE3_9AVES Paraoxonase OS=Anser brachyrhynchus OX=132585 PE=3 SV=1</t>
        </is>
      </c>
      <c r="M9483" t="n">
        <v>354</v>
      </c>
      <c r="N9483" t="inlineStr">
        <is>
          <t>Anser brachyrhynchus</t>
        </is>
      </c>
      <c r="O9483" t="inlineStr">
        <is>
          <t>Paraoxonase</t>
        </is>
      </c>
    </row>
    <row r="9484">
      <c r="A9484" t="inlineStr"/>
      <c r="B9484" t="inlineStr"/>
      <c r="C9484" t="inlineStr"/>
      <c r="D9484" t="inlineStr"/>
      <c r="E9484">
        <f>HYPERLINK("https://www.uniprot.org/uniprotkb/A0A8C9NGT6/entry", "A0A8C9NGT6")</f>
        <v/>
      </c>
      <c r="F9484" t="n">
        <v>70.59999999999999</v>
      </c>
      <c r="G9484" t="n">
        <v>330</v>
      </c>
      <c r="H9484" t="n">
        <v>1.43e-177</v>
      </c>
      <c r="I9484" t="inlineStr">
        <is>
          <t>TrEMBL</t>
        </is>
      </c>
      <c r="J9484" t="inlineStr"/>
      <c r="K9484" t="inlineStr">
        <is>
          <t>A0A8C9NGT6_SERCA</t>
        </is>
      </c>
      <c r="L9484" t="inlineStr">
        <is>
          <t>tr|A0A8C9NGT6|A0A8C9NGT6_SERCA Paraoxonase OS=Serinus canaria OX=9135 PE=3 SV=1</t>
        </is>
      </c>
      <c r="M9484" t="n">
        <v>345</v>
      </c>
      <c r="N9484" t="inlineStr">
        <is>
          <t>Serinus canaria</t>
        </is>
      </c>
      <c r="O9484" t="inlineStr">
        <is>
          <t>Paraoxonase</t>
        </is>
      </c>
    </row>
    <row r="9485">
      <c r="A9485" t="inlineStr"/>
      <c r="B9485" t="inlineStr"/>
      <c r="C9485" t="inlineStr"/>
      <c r="D9485" t="inlineStr"/>
      <c r="E9485">
        <f>HYPERLINK("https://www.uniprot.org/uniprotkb/A0A8J6EMP8/entry", "A0A8J6EMP8")</f>
        <v/>
      </c>
      <c r="F9485" t="n">
        <v>67.90000000000001</v>
      </c>
      <c r="G9485" t="n">
        <v>349</v>
      </c>
      <c r="H9485" t="n">
        <v>1.45e-177</v>
      </c>
      <c r="I9485" t="inlineStr">
        <is>
          <t>TrEMBL</t>
        </is>
      </c>
      <c r="J9485" t="inlineStr">
        <is>
          <t>GDO78_020259</t>
        </is>
      </c>
      <c r="K9485" t="inlineStr">
        <is>
          <t>A0A8J6EMP8_ELECQ</t>
        </is>
      </c>
      <c r="L9485" t="inlineStr">
        <is>
          <t>tr|A0A8J6EMP8|A0A8J6EMP8_ELECQ Paraoxonase OS=Eleutherodactylus coqui OX=57060 GN=GDO78_020259 PE=3 SV=1</t>
        </is>
      </c>
      <c r="M9485" t="n">
        <v>355</v>
      </c>
      <c r="N9485" t="inlineStr">
        <is>
          <t>Eleutherodactylus coqui</t>
        </is>
      </c>
      <c r="O9485" t="inlineStr">
        <is>
          <t>Paraoxonase</t>
        </is>
      </c>
    </row>
    <row r="9486">
      <c r="A9486" t="inlineStr"/>
      <c r="B9486" t="inlineStr"/>
      <c r="C9486" t="inlineStr"/>
      <c r="D9486" t="inlineStr"/>
      <c r="E9486">
        <f>HYPERLINK("https://www.uniprot.org/uniprotkb/A0A8T2JFN9/entry", "A0A8T2JFN9")</f>
        <v/>
      </c>
      <c r="F9486" t="n">
        <v>70</v>
      </c>
      <c r="G9486" t="n">
        <v>347</v>
      </c>
      <c r="H9486" t="n">
        <v>1.61e-177</v>
      </c>
      <c r="I9486" t="inlineStr">
        <is>
          <t>TrEMBL</t>
        </is>
      </c>
      <c r="J9486" t="inlineStr">
        <is>
          <t>GDO86_011800</t>
        </is>
      </c>
      <c r="K9486" t="inlineStr">
        <is>
          <t>A0A8T2JFN9_9PIPI</t>
        </is>
      </c>
      <c r="L9486" t="inlineStr">
        <is>
          <t>tr|A0A8T2JFN9|A0A8T2JFN9_9PIPI Paraoxonase OS=Hymenochirus boettgeri OX=247094 GN=GDO86_011800 PE=3 SV=1</t>
        </is>
      </c>
      <c r="M9486" t="n">
        <v>358</v>
      </c>
      <c r="N9486" t="inlineStr">
        <is>
          <t>Hymenochirus boettgeri</t>
        </is>
      </c>
      <c r="O9486" t="inlineStr">
        <is>
          <t>Paraoxonase</t>
        </is>
      </c>
    </row>
    <row r="9487">
      <c r="A9487" t="inlineStr"/>
      <c r="B9487" t="inlineStr"/>
      <c r="C9487" t="inlineStr"/>
      <c r="D9487" t="inlineStr"/>
      <c r="E9487">
        <f>HYPERLINK("https://www.ncbi.nlm.nih.gov/gene/?term=KFO56263.1", "KFO56263.1")</f>
        <v/>
      </c>
      <c r="F9487" t="n">
        <v>70.3</v>
      </c>
      <c r="G9487" t="n">
        <v>330</v>
      </c>
      <c r="H9487" t="n">
        <v>1.74e-177</v>
      </c>
      <c r="I9487" t="inlineStr">
        <is>
          <t>Nr</t>
        </is>
      </c>
      <c r="J9487" t="inlineStr"/>
      <c r="K9487" t="inlineStr"/>
      <c r="L9487" t="inlineStr">
        <is>
          <t>KFO56263.1 Serum paraoxonase/arylesterase 2, partial [Corvus brachyrhynchos]</t>
        </is>
      </c>
      <c r="M9487" t="n">
        <v>334</v>
      </c>
      <c r="N9487" t="inlineStr">
        <is>
          <t>Corvus brachyrhynchos</t>
        </is>
      </c>
      <c r="O9487" t="inlineStr">
        <is>
          <t>Serum paraoxonase/arylesterase 2, partial</t>
        </is>
      </c>
    </row>
    <row r="9488">
      <c r="A9488" t="inlineStr"/>
      <c r="B9488" t="inlineStr"/>
      <c r="C9488" t="inlineStr"/>
      <c r="D9488" t="inlineStr"/>
      <c r="E9488">
        <f>HYPERLINK("https://www.ncbi.nlm.nih.gov/gene/?term=TRZ10052.1", "TRZ10052.1")</f>
        <v/>
      </c>
      <c r="F9488" t="n">
        <v>71.2</v>
      </c>
      <c r="G9488" t="n">
        <v>330</v>
      </c>
      <c r="H9488" t="n">
        <v>1.78e-177</v>
      </c>
      <c r="I9488" t="inlineStr">
        <is>
          <t>Nr</t>
        </is>
      </c>
      <c r="J9488" t="inlineStr"/>
      <c r="K9488" t="inlineStr"/>
      <c r="L9488" t="inlineStr">
        <is>
          <t>TRZ10052.1 hypothetical protein HGM15179_017063 [Zosterops borbonicus]</t>
        </is>
      </c>
      <c r="M9488" t="n">
        <v>354</v>
      </c>
      <c r="N9488" t="inlineStr">
        <is>
          <t>Zosterops borbonicus</t>
        </is>
      </c>
      <c r="O9488" t="inlineStr">
        <is>
          <t>hypothetical protein HGM15179_017063</t>
        </is>
      </c>
    </row>
    <row r="9489">
      <c r="A9489" t="inlineStr"/>
      <c r="B9489" t="inlineStr"/>
      <c r="C9489" t="inlineStr"/>
      <c r="D9489" t="inlineStr"/>
      <c r="E9489">
        <f>HYPERLINK("https://www.ncbi.nlm.nih.gov/gene/?term=XP_005518868.1", "XP_005518868.1")</f>
        <v/>
      </c>
      <c r="F9489" t="n">
        <v>71.5</v>
      </c>
      <c r="G9489" t="n">
        <v>330</v>
      </c>
      <c r="H9489" t="n">
        <v>2.53e-177</v>
      </c>
      <c r="I9489" t="inlineStr">
        <is>
          <t>Nr</t>
        </is>
      </c>
      <c r="J9489" t="inlineStr"/>
      <c r="K9489" t="inlineStr"/>
      <c r="L9489" t="inlineStr">
        <is>
          <t>XP_005518868.1 PREDICTED: serum paraoxonase/arylesterase 2 [Pseudopodoces humilis]</t>
        </is>
      </c>
      <c r="M9489" t="n">
        <v>354</v>
      </c>
      <c r="N9489" t="inlineStr">
        <is>
          <t>Pseudopodoces humilis</t>
        </is>
      </c>
      <c r="O9489" t="inlineStr">
        <is>
          <t>PREDICTED: serum paraoxonase/arylesterase 2</t>
        </is>
      </c>
    </row>
    <row r="9490">
      <c r="A9490" t="inlineStr"/>
      <c r="B9490" t="inlineStr"/>
      <c r="C9490" t="inlineStr"/>
      <c r="D9490" t="inlineStr"/>
      <c r="E9490">
        <f>HYPERLINK("https://www.ncbi.nlm.nih.gov/gene/?term=XP_014733997.1", "XP_014733997.1")</f>
        <v/>
      </c>
      <c r="F9490" t="n">
        <v>71.5</v>
      </c>
      <c r="G9490" t="n">
        <v>330</v>
      </c>
      <c r="H9490" t="n">
        <v>3.59e-177</v>
      </c>
      <c r="I9490" t="inlineStr">
        <is>
          <t>Nr</t>
        </is>
      </c>
      <c r="J9490" t="inlineStr"/>
      <c r="K9490" t="inlineStr"/>
      <c r="L9490" t="inlineStr">
        <is>
          <t>XP_014733997.1 PREDICTED: serum paraoxonase/arylesterase 2 isoform X1 [Sturnus vulgaris]</t>
        </is>
      </c>
      <c r="M9490" t="n">
        <v>354</v>
      </c>
      <c r="N9490" t="inlineStr">
        <is>
          <t>Sturnus vulgaris</t>
        </is>
      </c>
      <c r="O9490" t="inlineStr">
        <is>
          <t>PREDICTED: serum paraoxonase/arylesterase 2 isoform X1</t>
        </is>
      </c>
    </row>
    <row r="9491">
      <c r="A9491" t="inlineStr"/>
      <c r="B9491" t="inlineStr"/>
      <c r="C9491" t="inlineStr"/>
      <c r="D9491" t="inlineStr"/>
      <c r="E9491">
        <f>HYPERLINK("https://www.ncbi.nlm.nih.gov/gene/?term=XP_041900088.1", "XP_041900088.1")</f>
        <v/>
      </c>
      <c r="F9491" t="n">
        <v>70.3</v>
      </c>
      <c r="G9491" t="n">
        <v>330</v>
      </c>
      <c r="H9491" t="n">
        <v>3.59e-177</v>
      </c>
      <c r="I9491" t="inlineStr">
        <is>
          <t>Nr</t>
        </is>
      </c>
      <c r="J9491" t="inlineStr"/>
      <c r="K9491" t="inlineStr"/>
      <c r="L9491" t="inlineStr">
        <is>
          <t>XP_041900088.1 serum paraoxonase/arylesterase 2 [Corvus kubaryi]</t>
        </is>
      </c>
      <c r="M9491" t="n">
        <v>354</v>
      </c>
      <c r="N9491" t="inlineStr">
        <is>
          <t>Corvus kubaryi</t>
        </is>
      </c>
      <c r="O9491" t="inlineStr">
        <is>
          <t>serum paraoxonase/arylesterase 2</t>
        </is>
      </c>
    </row>
    <row r="9492">
      <c r="A9492" t="inlineStr"/>
      <c r="B9492" t="inlineStr"/>
      <c r="C9492" t="inlineStr"/>
      <c r="D9492" t="inlineStr"/>
      <c r="E9492">
        <f>HYPERLINK("https://www.uniprot.org/uniprotkb/Q90952/entry", "Q90952")</f>
        <v/>
      </c>
      <c r="F9492" t="n">
        <v>69.09999999999999</v>
      </c>
      <c r="G9492" t="n">
        <v>330</v>
      </c>
      <c r="H9492" t="n">
        <v>1.01e-172</v>
      </c>
      <c r="I9492" t="inlineStr">
        <is>
          <t>Swiss-Prot</t>
        </is>
      </c>
      <c r="J9492" t="inlineStr">
        <is>
          <t>PON2</t>
        </is>
      </c>
      <c r="K9492" t="inlineStr">
        <is>
          <t>PON2_CHICK</t>
        </is>
      </c>
      <c r="L9492" t="inlineStr">
        <is>
          <t>sp|Q90952|PON2_CHICK Serum paraoxonase/arylesterase 2 OS=Gallus gallus OX=9031 GN=PON2 PE=2 SV=1</t>
        </is>
      </c>
      <c r="M9492" t="n">
        <v>354</v>
      </c>
      <c r="N9492" t="inlineStr">
        <is>
          <t>Gallus gallus</t>
        </is>
      </c>
      <c r="O9492" t="inlineStr">
        <is>
          <t>Serum paraoxonase/arylesterase 2</t>
        </is>
      </c>
    </row>
    <row r="9493">
      <c r="A9493" t="inlineStr"/>
      <c r="B9493" t="inlineStr"/>
      <c r="C9493" t="inlineStr"/>
      <c r="D9493" t="inlineStr"/>
      <c r="E9493">
        <f>HYPERLINK("https://www.uniprot.org/uniprotkb/Q91090/entry", "Q91090")</f>
        <v/>
      </c>
      <c r="F9493" t="n">
        <v>68.8</v>
      </c>
      <c r="G9493" t="n">
        <v>330</v>
      </c>
      <c r="H9493" t="n">
        <v>4.77e-171</v>
      </c>
      <c r="I9493" t="inlineStr">
        <is>
          <t>Swiss-Prot</t>
        </is>
      </c>
      <c r="J9493" t="inlineStr">
        <is>
          <t>PON2</t>
        </is>
      </c>
      <c r="K9493" t="inlineStr">
        <is>
          <t>PON2_MELGA</t>
        </is>
      </c>
      <c r="L9493" t="inlineStr">
        <is>
          <t>sp|Q91090|PON2_MELGA Serum paraoxonase/arylesterase 2 OS=Meleagris gallopavo OX=9103 GN=PON2 PE=2 SV=1</t>
        </is>
      </c>
      <c r="M9493" t="n">
        <v>354</v>
      </c>
      <c r="N9493" t="inlineStr">
        <is>
          <t>Meleagris gallopavo</t>
        </is>
      </c>
      <c r="O9493" t="inlineStr">
        <is>
          <t>Serum paraoxonase/arylesterase 2</t>
        </is>
      </c>
    </row>
    <row r="9494">
      <c r="A9494" t="inlineStr"/>
      <c r="B9494" t="inlineStr"/>
      <c r="C9494" t="inlineStr"/>
      <c r="D9494" t="inlineStr"/>
      <c r="E9494">
        <f>HYPERLINK("https://www.uniprot.org/uniprotkb/Q15165/entry", "Q15165")</f>
        <v/>
      </c>
      <c r="F9494" t="n">
        <v>65</v>
      </c>
      <c r="G9494" t="n">
        <v>346</v>
      </c>
      <c r="H9494" t="n">
        <v>1.28e-161</v>
      </c>
      <c r="I9494" t="inlineStr">
        <is>
          <t>Swiss-Prot</t>
        </is>
      </c>
      <c r="J9494" t="inlineStr">
        <is>
          <t>PON2</t>
        </is>
      </c>
      <c r="K9494" t="inlineStr">
        <is>
          <t>PON2_HUMAN</t>
        </is>
      </c>
      <c r="L9494" t="inlineStr">
        <is>
          <t>sp|Q15165|PON2_HUMAN Serum paraoxonase/arylesterase 2 OS=Homo sapiens OX=9606 GN=PON2 PE=1 SV=4</t>
        </is>
      </c>
      <c r="M9494" t="n">
        <v>354</v>
      </c>
      <c r="N9494" t="inlineStr">
        <is>
          <t>Homo sapiens</t>
        </is>
      </c>
      <c r="O9494" t="inlineStr">
        <is>
          <t>Serum paraoxonase/arylesterase 2</t>
        </is>
      </c>
    </row>
    <row r="9495">
      <c r="A9495" t="inlineStr"/>
      <c r="B9495" t="inlineStr"/>
      <c r="C9495" t="inlineStr"/>
      <c r="D9495" t="inlineStr"/>
      <c r="E9495">
        <f>HYPERLINK("https://www.uniprot.org/uniprotkb/Q58DS7/entry", "Q58DS7")</f>
        <v/>
      </c>
      <c r="F9495" t="n">
        <v>66.59999999999999</v>
      </c>
      <c r="G9495" t="n">
        <v>329</v>
      </c>
      <c r="H9495" t="n">
        <v>4.01e-158</v>
      </c>
      <c r="I9495" t="inlineStr">
        <is>
          <t>Swiss-Prot</t>
        </is>
      </c>
      <c r="J9495" t="inlineStr">
        <is>
          <t>PON2</t>
        </is>
      </c>
      <c r="K9495" t="inlineStr">
        <is>
          <t>PON2_BOVIN</t>
        </is>
      </c>
      <c r="L9495" t="inlineStr">
        <is>
          <t>sp|Q58DS7|PON2_BOVIN Serum paraoxonase/arylesterase 2 OS=Bos taurus OX=9913 GN=PON2 PE=2 SV=1</t>
        </is>
      </c>
      <c r="M9495" t="n">
        <v>354</v>
      </c>
      <c r="N9495" t="inlineStr">
        <is>
          <t>Bos taurus</t>
        </is>
      </c>
      <c r="O9495" t="inlineStr">
        <is>
          <t>Serum paraoxonase/arylesterase 2</t>
        </is>
      </c>
    </row>
    <row r="9496">
      <c r="A9496" t="inlineStr"/>
      <c r="B9496" t="inlineStr"/>
      <c r="C9496" t="inlineStr"/>
      <c r="D9496" t="inlineStr"/>
      <c r="E9496">
        <f>HYPERLINK("https://www.uniprot.org/uniprotkb/Q62086/entry", "Q62086")</f>
        <v/>
      </c>
      <c r="F9496" t="n">
        <v>66.09999999999999</v>
      </c>
      <c r="G9496" t="n">
        <v>330</v>
      </c>
      <c r="H9496" t="n">
        <v>2.67e-156</v>
      </c>
      <c r="I9496" t="inlineStr">
        <is>
          <t>Swiss-Prot</t>
        </is>
      </c>
      <c r="J9496" t="inlineStr">
        <is>
          <t>Pon2</t>
        </is>
      </c>
      <c r="K9496" t="inlineStr">
        <is>
          <t>PON2_MOUSE</t>
        </is>
      </c>
      <c r="L9496" t="inlineStr">
        <is>
          <t>sp|Q62086|PON2_MOUSE Serum paraoxonase/arylesterase 2 OS=Mus musculus OX=10090 GN=Pon2 PE=1 SV=2</t>
        </is>
      </c>
      <c r="M9496" t="n">
        <v>354</v>
      </c>
      <c r="N9496" t="inlineStr">
        <is>
          <t>Mus musculus</t>
        </is>
      </c>
      <c r="O9496" t="inlineStr">
        <is>
          <t>Serum paraoxonase/arylesterase 2</t>
        </is>
      </c>
    </row>
    <row r="9497">
      <c r="A9497" t="inlineStr"/>
      <c r="B9497" t="inlineStr"/>
      <c r="C9497" t="inlineStr"/>
      <c r="D9497" t="inlineStr"/>
      <c r="E9497">
        <f>HYPERLINK("https://www.uniprot.org/uniprotkb/Q6AXM8/entry", "Q6AXM8")</f>
        <v/>
      </c>
      <c r="F9497" t="n">
        <v>65.2</v>
      </c>
      <c r="G9497" t="n">
        <v>330</v>
      </c>
      <c r="H9497" t="n">
        <v>1.08e-155</v>
      </c>
      <c r="I9497" t="inlineStr">
        <is>
          <t>Swiss-Prot</t>
        </is>
      </c>
      <c r="J9497" t="inlineStr">
        <is>
          <t>Pon2</t>
        </is>
      </c>
      <c r="K9497" t="inlineStr">
        <is>
          <t>PON2_RAT</t>
        </is>
      </c>
      <c r="L9497" t="inlineStr">
        <is>
          <t>sp|Q6AXM8|PON2_RAT Serum paraoxonase/arylesterase 2 OS=Rattus norvegicus OX=10116 GN=Pon2 PE=2 SV=1</t>
        </is>
      </c>
      <c r="M9497" t="n">
        <v>354</v>
      </c>
      <c r="N9497" t="inlineStr">
        <is>
          <t>Rattus norvegicus</t>
        </is>
      </c>
      <c r="O9497" t="inlineStr">
        <is>
          <t>Serum paraoxonase/arylesterase 2</t>
        </is>
      </c>
    </row>
    <row r="9498">
      <c r="A9498" t="inlineStr"/>
      <c r="B9498" t="inlineStr"/>
      <c r="C9498" t="inlineStr"/>
      <c r="D9498" t="inlineStr"/>
      <c r="E9498">
        <f>HYPERLINK("https://www.uniprot.org/uniprotkb/P27169/entry", "P27169")</f>
        <v/>
      </c>
      <c r="F9498" t="n">
        <v>63.7</v>
      </c>
      <c r="G9498" t="n">
        <v>331</v>
      </c>
      <c r="H9498" t="n">
        <v>1.12e-155</v>
      </c>
      <c r="I9498" t="inlineStr">
        <is>
          <t>Swiss-Prot</t>
        </is>
      </c>
      <c r="J9498" t="inlineStr">
        <is>
          <t>PON1</t>
        </is>
      </c>
      <c r="K9498" t="inlineStr">
        <is>
          <t>PON1_HUMAN</t>
        </is>
      </c>
      <c r="L9498" t="inlineStr">
        <is>
          <t>sp|P27169|PON1_HUMAN Serum paraoxonase/arylesterase 1 OS=Homo sapiens OX=9606 GN=PON1 PE=1 SV=3</t>
        </is>
      </c>
      <c r="M9498" t="n">
        <v>355</v>
      </c>
      <c r="N9498" t="inlineStr">
        <is>
          <t>Homo sapiens</t>
        </is>
      </c>
      <c r="O9498" t="inlineStr">
        <is>
          <t>Serum paraoxonase/arylesterase 1</t>
        </is>
      </c>
    </row>
    <row r="9499">
      <c r="A9499" t="inlineStr"/>
      <c r="B9499" t="inlineStr"/>
      <c r="C9499" t="inlineStr"/>
      <c r="D9499" t="inlineStr"/>
      <c r="E9499">
        <f>HYPERLINK("https://www.uniprot.org/uniprotkb/P54832/entry", "P54832")</f>
        <v/>
      </c>
      <c r="F9499" t="n">
        <v>64.8</v>
      </c>
      <c r="G9499" t="n">
        <v>330</v>
      </c>
      <c r="H9499" t="n">
        <v>5.08e-154</v>
      </c>
      <c r="I9499" t="inlineStr">
        <is>
          <t>Swiss-Prot</t>
        </is>
      </c>
      <c r="J9499" t="inlineStr">
        <is>
          <t>PON2</t>
        </is>
      </c>
      <c r="K9499" t="inlineStr">
        <is>
          <t>PON2_CANLF</t>
        </is>
      </c>
      <c r="L9499" t="inlineStr">
        <is>
          <t>sp|P54832|PON2_CANLF Serum paraoxonase/arylesterase 2 OS=Canis lupus familiaris OX=9615 GN=PON2 PE=2 SV=1</t>
        </is>
      </c>
      <c r="M9499" t="n">
        <v>354</v>
      </c>
      <c r="N9499" t="inlineStr">
        <is>
          <t>Canis lupus familiaris</t>
        </is>
      </c>
      <c r="O9499" t="inlineStr">
        <is>
          <t>Serum paraoxonase/arylesterase 2</t>
        </is>
      </c>
    </row>
    <row r="9500">
      <c r="A9500" t="inlineStr"/>
      <c r="B9500" t="inlineStr"/>
      <c r="C9500" t="inlineStr"/>
      <c r="D9500" t="inlineStr"/>
      <c r="E9500">
        <f>HYPERLINK("https://www.uniprot.org/uniprotkb/P27170/entry", "P27170")</f>
        <v/>
      </c>
      <c r="F9500" t="n">
        <v>61.3</v>
      </c>
      <c r="G9500" t="n">
        <v>331</v>
      </c>
      <c r="H9500" t="n">
        <v>6.62e-151</v>
      </c>
      <c r="I9500" t="inlineStr">
        <is>
          <t>Swiss-Prot</t>
        </is>
      </c>
      <c r="J9500" t="inlineStr">
        <is>
          <t>PON1</t>
        </is>
      </c>
      <c r="K9500" t="inlineStr">
        <is>
          <t>PON1_RABIT</t>
        </is>
      </c>
      <c r="L9500" t="inlineStr">
        <is>
          <t>sp|P27170|PON1_RABIT Serum paraoxonase/arylesterase 1 OS=Oryctolagus cuniculus OX=9986 GN=PON1 PE=1 SV=2</t>
        </is>
      </c>
      <c r="M9500" t="n">
        <v>359</v>
      </c>
      <c r="N9500" t="inlineStr">
        <is>
          <t>Oryctolagus cuniculus</t>
        </is>
      </c>
      <c r="O9500" t="inlineStr">
        <is>
          <t>Serum paraoxonase/arylesterase 1</t>
        </is>
      </c>
    </row>
    <row r="9501">
      <c r="A9501" t="inlineStr"/>
      <c r="B9501" t="inlineStr"/>
      <c r="C9501" t="inlineStr"/>
      <c r="D9501" t="inlineStr"/>
      <c r="E9501">
        <f>HYPERLINK("https://www.uniprot.org/uniprotkb/P52430/entry", "P52430")</f>
        <v/>
      </c>
      <c r="F9501" t="n">
        <v>61.5</v>
      </c>
      <c r="G9501" t="n">
        <v>330</v>
      </c>
      <c r="H9501" t="n">
        <v>9.46e-150</v>
      </c>
      <c r="I9501" t="inlineStr">
        <is>
          <t>Swiss-Prot</t>
        </is>
      </c>
      <c r="J9501" t="inlineStr">
        <is>
          <t>Pon1</t>
        </is>
      </c>
      <c r="K9501" t="inlineStr">
        <is>
          <t>PON1_MOUSE</t>
        </is>
      </c>
      <c r="L9501" t="inlineStr">
        <is>
          <t>sp|P52430|PON1_MOUSE Serum paraoxonase/arylesterase 1 OS=Mus musculus OX=10090 GN=Pon1 PE=1 SV=2</t>
        </is>
      </c>
      <c r="M9501" t="n">
        <v>355</v>
      </c>
      <c r="N9501" t="inlineStr">
        <is>
          <t>Mus musculus</t>
        </is>
      </c>
      <c r="O9501" t="inlineStr">
        <is>
          <t>Serum paraoxonase/arylesterase 1</t>
        </is>
      </c>
    </row>
    <row r="9502">
      <c r="A9502" t="inlineStr"/>
      <c r="B9502" t="inlineStr"/>
      <c r="C9502" t="inlineStr"/>
      <c r="D9502" t="inlineStr"/>
      <c r="E9502">
        <f>HYPERLINK("https://www.uniprot.org/uniprotkb/Q9BGN0/entry", "Q9BGN0")</f>
        <v/>
      </c>
      <c r="F9502" t="n">
        <v>59</v>
      </c>
      <c r="G9502" t="n">
        <v>349</v>
      </c>
      <c r="H9502" t="n">
        <v>6.08e-148</v>
      </c>
      <c r="I9502" t="inlineStr">
        <is>
          <t>Swiss-Prot</t>
        </is>
      </c>
      <c r="J9502" t="inlineStr">
        <is>
          <t>PON3</t>
        </is>
      </c>
      <c r="K9502" t="inlineStr">
        <is>
          <t>PON3_RABIT</t>
        </is>
      </c>
      <c r="L9502" t="inlineStr">
        <is>
          <t>sp|Q9BGN0|PON3_RABIT Serum paraoxonase/lactonase 3 OS=Oryctolagus cuniculus OX=9986 GN=PON3 PE=1 SV=1</t>
        </is>
      </c>
      <c r="M9502" t="n">
        <v>354</v>
      </c>
      <c r="N9502" t="inlineStr">
        <is>
          <t>Oryctolagus cuniculus</t>
        </is>
      </c>
      <c r="O9502" t="inlineStr">
        <is>
          <t>Serum paraoxonase/lactonase 3</t>
        </is>
      </c>
    </row>
    <row r="9503">
      <c r="A9503" t="inlineStr"/>
      <c r="B9503" t="inlineStr"/>
      <c r="C9503" t="inlineStr"/>
      <c r="D9503" t="inlineStr"/>
      <c r="E9503">
        <f>HYPERLINK("https://www.uniprot.org/uniprotkb/P55159/entry", "P55159")</f>
        <v/>
      </c>
      <c r="F9503" t="n">
        <v>61.2</v>
      </c>
      <c r="G9503" t="n">
        <v>330</v>
      </c>
      <c r="H9503" t="n">
        <v>6.29e-148</v>
      </c>
      <c r="I9503" t="inlineStr">
        <is>
          <t>Swiss-Prot</t>
        </is>
      </c>
      <c r="J9503" t="inlineStr">
        <is>
          <t>Pon1</t>
        </is>
      </c>
      <c r="K9503" t="inlineStr">
        <is>
          <t>PON1_RAT</t>
        </is>
      </c>
      <c r="L9503" t="inlineStr">
        <is>
          <t>sp|P55159|PON1_RAT Serum paraoxonase/arylesterase 1 OS=Rattus norvegicus OX=10116 GN=Pon1 PE=1 SV=3</t>
        </is>
      </c>
      <c r="M9503" t="n">
        <v>355</v>
      </c>
      <c r="N9503" t="inlineStr">
        <is>
          <t>Rattus norvegicus</t>
        </is>
      </c>
      <c r="O9503" t="inlineStr">
        <is>
          <t>Serum paraoxonase/arylesterase 1</t>
        </is>
      </c>
    </row>
    <row r="9504">
      <c r="A9504" t="inlineStr"/>
      <c r="B9504" t="inlineStr"/>
      <c r="C9504" t="inlineStr"/>
      <c r="D9504" t="inlineStr"/>
      <c r="E9504">
        <f>HYPERLINK("https://www.uniprot.org/uniprotkb/Q15166/entry", "Q15166")</f>
        <v/>
      </c>
      <c r="F9504" t="n">
        <v>59.1</v>
      </c>
      <c r="G9504" t="n">
        <v>342</v>
      </c>
      <c r="H9504" t="n">
        <v>3.49e-147</v>
      </c>
      <c r="I9504" t="inlineStr">
        <is>
          <t>Swiss-Prot</t>
        </is>
      </c>
      <c r="J9504" t="inlineStr">
        <is>
          <t>PON3</t>
        </is>
      </c>
      <c r="K9504" t="inlineStr">
        <is>
          <t>PON3_HUMAN</t>
        </is>
      </c>
      <c r="L9504" t="inlineStr">
        <is>
          <t>sp|Q15166|PON3_HUMAN Serum paraoxonase/lactonase 3 OS=Homo sapiens OX=9606 GN=PON3 PE=1 SV=3</t>
        </is>
      </c>
      <c r="M9504" t="n">
        <v>354</v>
      </c>
      <c r="N9504" t="inlineStr">
        <is>
          <t>Homo sapiens</t>
        </is>
      </c>
      <c r="O9504" t="inlineStr">
        <is>
          <t>Serum paraoxonase/lactonase 3</t>
        </is>
      </c>
    </row>
    <row r="9505">
      <c r="A9505" t="inlineStr"/>
      <c r="B9505" t="inlineStr"/>
      <c r="C9505" t="inlineStr"/>
      <c r="D9505" t="inlineStr"/>
      <c r="E9505">
        <f>HYPERLINK("https://www.uniprot.org/uniprotkb/Q68FP2/entry", "Q68FP2")</f>
        <v/>
      </c>
      <c r="F9505" t="n">
        <v>58.7</v>
      </c>
      <c r="G9505" t="n">
        <v>349</v>
      </c>
      <c r="H9505" t="n">
        <v>2.68e-144</v>
      </c>
      <c r="I9505" t="inlineStr">
        <is>
          <t>Swiss-Prot</t>
        </is>
      </c>
      <c r="J9505" t="inlineStr">
        <is>
          <t>Pon3</t>
        </is>
      </c>
      <c r="K9505" t="inlineStr">
        <is>
          <t>PON3_RAT</t>
        </is>
      </c>
      <c r="L9505" t="inlineStr">
        <is>
          <t>sp|Q68FP2|PON3_RAT Serum paraoxonase/lactonase 3 OS=Rattus norvegicus OX=10116 GN=Pon3 PE=2 SV=1</t>
        </is>
      </c>
      <c r="M9505" t="n">
        <v>354</v>
      </c>
      <c r="N9505" t="inlineStr">
        <is>
          <t>Rattus norvegicus</t>
        </is>
      </c>
      <c r="O9505" t="inlineStr">
        <is>
          <t>Serum paraoxonase/lactonase 3</t>
        </is>
      </c>
    </row>
    <row r="9506">
      <c r="A9506" t="inlineStr"/>
      <c r="B9506" t="inlineStr"/>
      <c r="C9506" t="inlineStr"/>
      <c r="D9506" t="inlineStr"/>
      <c r="E9506">
        <f>HYPERLINK("https://www.uniprot.org/uniprotkb/Q62087/entry", "Q62087")</f>
        <v/>
      </c>
      <c r="F9506" t="n">
        <v>57.3</v>
      </c>
      <c r="G9506" t="n">
        <v>349</v>
      </c>
      <c r="H9506" t="n">
        <v>2.06e-141</v>
      </c>
      <c r="I9506" t="inlineStr">
        <is>
          <t>Swiss-Prot</t>
        </is>
      </c>
      <c r="J9506" t="inlineStr">
        <is>
          <t>Pon3</t>
        </is>
      </c>
      <c r="K9506" t="inlineStr">
        <is>
          <t>PON3_MOUSE</t>
        </is>
      </c>
      <c r="L9506" t="inlineStr">
        <is>
          <t>sp|Q62087|PON3_MOUSE Serum paraoxonase/lactonase 3 OS=Mus musculus OX=10090 GN=Pon3 PE=1 SV=2</t>
        </is>
      </c>
      <c r="M9506" t="n">
        <v>354</v>
      </c>
      <c r="N9506" t="inlineStr">
        <is>
          <t>Mus musculus</t>
        </is>
      </c>
      <c r="O9506" t="inlineStr">
        <is>
          <t>Serum paraoxonase/lactonase 3</t>
        </is>
      </c>
    </row>
    <row r="9507">
      <c r="A9507" t="inlineStr"/>
      <c r="B9507" t="inlineStr"/>
      <c r="C9507" t="inlineStr"/>
      <c r="D9507" t="inlineStr"/>
      <c r="E9507">
        <f>HYPERLINK("https://www.uniprot.org/uniprotkb/O01811/entry", "O01811")</f>
        <v/>
      </c>
      <c r="F9507" t="n">
        <v>27</v>
      </c>
      <c r="G9507" t="n">
        <v>252</v>
      </c>
      <c r="H9507" t="n">
        <v>4.37e-21</v>
      </c>
      <c r="I9507" t="inlineStr">
        <is>
          <t>Swiss-Prot</t>
        </is>
      </c>
      <c r="J9507" t="inlineStr">
        <is>
          <t>mec-6</t>
        </is>
      </c>
      <c r="K9507" t="inlineStr">
        <is>
          <t>MEC6_CAEEL</t>
        </is>
      </c>
      <c r="L9507" t="inlineStr">
        <is>
          <t>sp|O01811|MEC6_CAEEL Mechanosensory abnormality protein 6 OS=Caenorhabditis elegans OX=6239 GN=mec-6 PE=1 SV=2</t>
        </is>
      </c>
      <c r="M9507" t="n">
        <v>377</v>
      </c>
      <c r="N9507" t="inlineStr">
        <is>
          <t>Caenorhabditis elegans</t>
        </is>
      </c>
      <c r="O9507" t="inlineStr">
        <is>
          <t>Mechanosensory abnormality protein 6</t>
        </is>
      </c>
    </row>
    <row r="9508">
      <c r="A9508" t="inlineStr"/>
      <c r="B9508" t="inlineStr"/>
      <c r="C9508" t="inlineStr"/>
      <c r="D9508" t="inlineStr"/>
      <c r="E9508">
        <f>HYPERLINK("https://www.uniprot.org/uniprotkb/A0A0V0SSE3/entry", "A0A0V0SSE3")</f>
        <v/>
      </c>
      <c r="F9508" t="n">
        <v>88.90000000000001</v>
      </c>
      <c r="G9508" t="n">
        <v>36</v>
      </c>
      <c r="H9508" t="n">
        <v>1.32e-13</v>
      </c>
      <c r="I9508" t="inlineStr">
        <is>
          <t>TrEMBL</t>
        </is>
      </c>
      <c r="J9508" t="inlineStr">
        <is>
          <t>T06_3778</t>
        </is>
      </c>
      <c r="K9508" t="inlineStr">
        <is>
          <t>A0A0V0SSE3_9BILA</t>
        </is>
      </c>
      <c r="L9508" t="inlineStr">
        <is>
          <t>tr|A0A0V0SSE3|A0A0V0SSE3_9BILA Transposase (Fragment) OS=Trichinella sp. T6 OX=92179 GN=T06_3778 PE=4 SV=1</t>
        </is>
      </c>
      <c r="M9508" t="n">
        <v>39</v>
      </c>
      <c r="N9508" t="inlineStr">
        <is>
          <t>Trichinella sp. T6</t>
        </is>
      </c>
      <c r="O9508" t="inlineStr">
        <is>
          <t>Transposase (Fragment)</t>
        </is>
      </c>
    </row>
    <row r="9509">
      <c r="A9509" t="inlineStr"/>
      <c r="B9509" t="inlineStr"/>
      <c r="C9509" t="inlineStr"/>
      <c r="D9509" t="inlineStr"/>
      <c r="E9509">
        <f>HYPERLINK("https://www.ncbi.nlm.nih.gov/gene/?term=KRX29649.1", "KRX29649.1")</f>
        <v/>
      </c>
      <c r="F9509" t="n">
        <v>88.90000000000001</v>
      </c>
      <c r="G9509" t="n">
        <v>36</v>
      </c>
      <c r="H9509" t="n">
        <v>3.38e-13</v>
      </c>
      <c r="I9509" t="inlineStr">
        <is>
          <t>Nr</t>
        </is>
      </c>
      <c r="J9509" t="inlineStr"/>
      <c r="K9509" t="inlineStr"/>
      <c r="L9509" t="inlineStr">
        <is>
          <t>KRX29649.1 hypothetical protein T06_3778, partial [Trichinella sp. T6]</t>
        </is>
      </c>
      <c r="M9509" t="n">
        <v>39</v>
      </c>
      <c r="N9509" t="inlineStr">
        <is>
          <t>Trichinella sp. T6</t>
        </is>
      </c>
      <c r="O9509" t="inlineStr">
        <is>
          <t>hypothetical protein T06_3778, partial</t>
        </is>
      </c>
    </row>
    <row r="9510">
      <c r="A9510" t="inlineStr"/>
      <c r="B9510" t="inlineStr"/>
      <c r="C9510" t="inlineStr"/>
      <c r="D9510" t="inlineStr"/>
      <c r="E9510">
        <f>HYPERLINK("https://www.uniprot.org/uniprotkb/A0A6G0HD93/entry", "A0A6G0HD93")</f>
        <v/>
      </c>
      <c r="F9510" t="n">
        <v>60.6</v>
      </c>
      <c r="G9510" t="n">
        <v>66</v>
      </c>
      <c r="H9510" t="n">
        <v>4.01e-12</v>
      </c>
      <c r="I9510" t="inlineStr">
        <is>
          <t>TrEMBL</t>
        </is>
      </c>
      <c r="J9510" t="inlineStr">
        <is>
          <t>D5F01_LYC25313</t>
        </is>
      </c>
      <c r="K9510" t="inlineStr">
        <is>
          <t>A0A6G0HD93_LARCR</t>
        </is>
      </c>
      <c r="L9510" t="inlineStr">
        <is>
          <t>tr|A0A6G0HD93|A0A6G0HD93_LARCR Collagen alpha-1(I) chain-like OS=Larimichthys crocea OX=215358 GN=D5F01_LYC25313 PE=4 SV=1</t>
        </is>
      </c>
      <c r="M9510" t="n">
        <v>264</v>
      </c>
      <c r="N9510" t="inlineStr">
        <is>
          <t>Larimichthys crocea</t>
        </is>
      </c>
      <c r="O9510" t="inlineStr">
        <is>
          <t>Collagen alpha-1(I) chain-like</t>
        </is>
      </c>
    </row>
    <row r="9511">
      <c r="A9511" t="inlineStr"/>
      <c r="B9511" t="inlineStr"/>
      <c r="C9511" t="inlineStr"/>
      <c r="D9511" t="inlineStr"/>
      <c r="E9511">
        <f>HYPERLINK("https://www.uniprot.org/uniprotkb/A0A644EWQ5/entry", "A0A644EWQ5")</f>
        <v/>
      </c>
      <c r="F9511" t="n">
        <v>91.40000000000001</v>
      </c>
      <c r="G9511" t="n">
        <v>35</v>
      </c>
      <c r="H9511" t="n">
        <v>4.71e-12</v>
      </c>
      <c r="I9511" t="inlineStr">
        <is>
          <t>TrEMBL</t>
        </is>
      </c>
      <c r="J9511" t="inlineStr">
        <is>
          <t>D5F01_LYC25363</t>
        </is>
      </c>
      <c r="K9511" t="inlineStr">
        <is>
          <t>A0A644EWQ5_LARCR</t>
        </is>
      </c>
      <c r="L9511" t="inlineStr">
        <is>
          <t>tr|A0A644EWQ5|A0A644EWQ5_LARCR Collagen alpha-1(I) chain-like OS=Larimichthys crocea OX=215358 GN=D5F01_LYC25363 PE=4 SV=1</t>
        </is>
      </c>
      <c r="M9511" t="n">
        <v>254</v>
      </c>
      <c r="N9511" t="inlineStr">
        <is>
          <t>Larimichthys crocea</t>
        </is>
      </c>
      <c r="O9511" t="inlineStr">
        <is>
          <t>Collagen alpha-1(I) chain-like</t>
        </is>
      </c>
    </row>
    <row r="9512">
      <c r="A9512" t="inlineStr"/>
      <c r="B9512" t="inlineStr"/>
      <c r="C9512" t="inlineStr"/>
      <c r="D9512" t="inlineStr"/>
      <c r="E9512">
        <f>HYPERLINK("https://www.ncbi.nlm.nih.gov/gene/?term=XP_044140493.1", "XP_044140493.1")</f>
        <v/>
      </c>
      <c r="F9512" t="n">
        <v>100</v>
      </c>
      <c r="G9512" t="n">
        <v>33</v>
      </c>
      <c r="H9512" t="n">
        <v>6.1e-12</v>
      </c>
      <c r="I9512" t="inlineStr">
        <is>
          <t>Nr</t>
        </is>
      </c>
      <c r="J9512" t="inlineStr"/>
      <c r="K9512" t="inlineStr"/>
      <c r="L9512" t="inlineStr">
        <is>
          <t>XP_044140493.1 uncharacterized protein LOC122930876 [Bufo gargarizans]</t>
        </is>
      </c>
      <c r="M9512" t="n">
        <v>321</v>
      </c>
      <c r="N9512" t="inlineStr">
        <is>
          <t>Bufo gargarizans</t>
        </is>
      </c>
      <c r="O9512" t="inlineStr">
        <is>
          <t>uncharacterized protein LOC122930876</t>
        </is>
      </c>
    </row>
    <row r="9513">
      <c r="A9513" t="inlineStr"/>
      <c r="B9513" t="inlineStr"/>
      <c r="C9513" t="inlineStr"/>
      <c r="D9513" t="inlineStr"/>
      <c r="E9513">
        <f>HYPERLINK("https://www.ncbi.nlm.nih.gov/gene/?term=KAE8276965.1", "KAE8276965.1")</f>
        <v/>
      </c>
      <c r="F9513" t="n">
        <v>60.6</v>
      </c>
      <c r="G9513" t="n">
        <v>66</v>
      </c>
      <c r="H9513" t="n">
        <v>1.03e-11</v>
      </c>
      <c r="I9513" t="inlineStr">
        <is>
          <t>Nr</t>
        </is>
      </c>
      <c r="J9513" t="inlineStr"/>
      <c r="K9513" t="inlineStr"/>
      <c r="L9513" t="inlineStr">
        <is>
          <t>KAE8276965.1 hypothetical protein D5F01_LYC25313 [Larimichthys crocea]</t>
        </is>
      </c>
      <c r="M9513" t="n">
        <v>264</v>
      </c>
      <c r="N9513" t="inlineStr">
        <is>
          <t>Larimichthys crocea</t>
        </is>
      </c>
      <c r="O9513" t="inlineStr">
        <is>
          <t>hypothetical protein D5F01_LYC25313</t>
        </is>
      </c>
    </row>
    <row r="9514">
      <c r="A9514" t="inlineStr"/>
      <c r="B9514" t="inlineStr"/>
      <c r="C9514" t="inlineStr"/>
      <c r="D9514" t="inlineStr"/>
      <c r="E9514">
        <f>HYPERLINK("https://www.ncbi.nlm.nih.gov/gene/?term=KAE8276938.1", "KAE8276938.1")</f>
        <v/>
      </c>
      <c r="F9514" t="n">
        <v>91.40000000000001</v>
      </c>
      <c r="G9514" t="n">
        <v>35</v>
      </c>
      <c r="H9514" t="n">
        <v>1.21e-11</v>
      </c>
      <c r="I9514" t="inlineStr">
        <is>
          <t>Nr</t>
        </is>
      </c>
      <c r="J9514" t="inlineStr"/>
      <c r="K9514" t="inlineStr"/>
      <c r="L9514" t="inlineStr">
        <is>
          <t>KAE8276938.1 hypothetical protein D5F01_LYC25363 [Larimichthys crocea]</t>
        </is>
      </c>
      <c r="M9514" t="n">
        <v>254</v>
      </c>
      <c r="N9514" t="inlineStr">
        <is>
          <t>Larimichthys crocea</t>
        </is>
      </c>
      <c r="O9514" t="inlineStr">
        <is>
          <t>hypothetical protein D5F01_LYC25363</t>
        </is>
      </c>
    </row>
    <row r="9515">
      <c r="A9515" t="inlineStr"/>
      <c r="B9515" t="inlineStr"/>
      <c r="C9515" t="inlineStr"/>
      <c r="D9515" t="inlineStr"/>
      <c r="E9515">
        <f>HYPERLINK("https://www.uniprot.org/uniprotkb/A0A7J6BHJ1/entry", "A0A7J6BHJ1")</f>
        <v/>
      </c>
      <c r="F9515" t="n">
        <v>88.59999999999999</v>
      </c>
      <c r="G9515" t="n">
        <v>35</v>
      </c>
      <c r="H9515" t="n">
        <v>2.21e-11</v>
      </c>
      <c r="I9515" t="inlineStr">
        <is>
          <t>TrEMBL</t>
        </is>
      </c>
      <c r="J9515" t="inlineStr">
        <is>
          <t>G5714_024690</t>
        </is>
      </c>
      <c r="K9515" t="inlineStr">
        <is>
          <t>A0A7J6BHJ1_9TELE</t>
        </is>
      </c>
      <c r="L9515" t="inlineStr">
        <is>
          <t>tr|A0A7J6BHJ1|A0A7J6BHJ1_9TELE Collagen alpha-1(I) chain-like OS=Onychostoma macrolepis OX=369639 GN=G5714_024690 PE=4 SV=1</t>
        </is>
      </c>
      <c r="M9515" t="n">
        <v>278</v>
      </c>
      <c r="N9515" t="inlineStr">
        <is>
          <t>Onychostoma macrolepis</t>
        </is>
      </c>
      <c r="O9515" t="inlineStr">
        <is>
          <t>Collagen alpha-1(I) chain-like</t>
        </is>
      </c>
    </row>
    <row r="9516">
      <c r="A9516" t="inlineStr"/>
      <c r="B9516" t="inlineStr"/>
      <c r="C9516" t="inlineStr"/>
      <c r="D9516" t="inlineStr"/>
      <c r="E9516">
        <f>HYPERLINK("https://www.uniprot.org/uniprotkb/A0A0V1C7K3/entry", "A0A0V1C7K3")</f>
        <v/>
      </c>
      <c r="F9516" t="n">
        <v>36.7</v>
      </c>
      <c r="G9516" t="n">
        <v>281</v>
      </c>
      <c r="H9516" t="n">
        <v>2.43e-11</v>
      </c>
      <c r="I9516" t="inlineStr">
        <is>
          <t>TrEMBL</t>
        </is>
      </c>
      <c r="J9516" t="inlineStr">
        <is>
          <t>T03_16985</t>
        </is>
      </c>
      <c r="K9516" t="inlineStr">
        <is>
          <t>A0A0V1C7K3_TRIBR</t>
        </is>
      </c>
      <c r="L9516" t="inlineStr">
        <is>
          <t>tr|A0A0V1C7K3|A0A0V1C7K3_TRIBR Chloride channel protein OS=Trichinella britovi OX=45882 GN=T03_16985 PE=4 SV=1</t>
        </is>
      </c>
      <c r="M9516" t="n">
        <v>1305</v>
      </c>
      <c r="N9516" t="inlineStr">
        <is>
          <t>Trichinella britovi</t>
        </is>
      </c>
      <c r="O9516" t="inlineStr">
        <is>
          <t>Chloride channel protein</t>
        </is>
      </c>
    </row>
    <row r="9517">
      <c r="A9517" t="inlineStr"/>
      <c r="B9517" t="inlineStr"/>
      <c r="C9517" t="inlineStr"/>
      <c r="D9517" t="inlineStr"/>
      <c r="E9517">
        <f>HYPERLINK("https://www.ncbi.nlm.nih.gov/gene/?term=QHG79997.1", "QHG79997.1")</f>
        <v/>
      </c>
      <c r="F9517" t="n">
        <v>86.09999999999999</v>
      </c>
      <c r="G9517" t="n">
        <v>36</v>
      </c>
      <c r="H9517" t="n">
        <v>4.58e-11</v>
      </c>
      <c r="I9517" t="inlineStr">
        <is>
          <t>Nr</t>
        </is>
      </c>
      <c r="J9517" t="inlineStr"/>
      <c r="K9517" t="inlineStr"/>
      <c r="L9517" t="inlineStr">
        <is>
          <t>QHG79997.1 hypothetical protein D7B62_12415 [Staphylococcus aureus]</t>
        </is>
      </c>
      <c r="M9517" t="n">
        <v>84</v>
      </c>
      <c r="N9517" t="inlineStr">
        <is>
          <t>Staphylococcus aureus</t>
        </is>
      </c>
      <c r="O9517" t="inlineStr">
        <is>
          <t>hypothetical protein D7B62_12415</t>
        </is>
      </c>
    </row>
    <row r="9518">
      <c r="A9518" t="inlineStr"/>
      <c r="B9518" t="inlineStr"/>
      <c r="C9518" t="inlineStr"/>
      <c r="D9518" t="inlineStr"/>
      <c r="E9518">
        <f>HYPERLINK("https://www.uniprot.org/uniprotkb/A0A0V1GU23/entry", "A0A0V1GU23")</f>
        <v/>
      </c>
      <c r="F9518" t="n">
        <v>36.4</v>
      </c>
      <c r="G9518" t="n">
        <v>283</v>
      </c>
      <c r="H9518" t="n">
        <v>4.95e-11</v>
      </c>
      <c r="I9518" t="inlineStr">
        <is>
          <t>TrEMBL</t>
        </is>
      </c>
      <c r="J9518" t="inlineStr">
        <is>
          <t>T11_15273</t>
        </is>
      </c>
      <c r="K9518" t="inlineStr">
        <is>
          <t>A0A0V1GU23_9BILA</t>
        </is>
      </c>
      <c r="L9518" t="inlineStr">
        <is>
          <t>tr|A0A0V1GU23|A0A0V1GU23_9BILA Collagen alpha-1(I) chain-like OS=Trichinella zimbabwensis OX=268475 GN=T11_15273 PE=4 SV=1</t>
        </is>
      </c>
      <c r="M9518" t="n">
        <v>831</v>
      </c>
      <c r="N9518" t="inlineStr">
        <is>
          <t>Trichinella zimbabwensis</t>
        </is>
      </c>
      <c r="O9518" t="inlineStr">
        <is>
          <t>Collagen alpha-1(I) chain-like</t>
        </is>
      </c>
    </row>
    <row r="9519">
      <c r="A9519" t="inlineStr"/>
      <c r="B9519" t="inlineStr"/>
      <c r="C9519" t="inlineStr"/>
      <c r="D9519" t="inlineStr"/>
      <c r="E9519">
        <f>HYPERLINK("https://www.uniprot.org/uniprotkb/A0A0V1F5M4/entry", "A0A0V1F5M4")</f>
        <v/>
      </c>
      <c r="F9519" t="n">
        <v>36.4</v>
      </c>
      <c r="G9519" t="n">
        <v>283</v>
      </c>
      <c r="H9519" t="n">
        <v>4.95e-11</v>
      </c>
      <c r="I9519" t="inlineStr">
        <is>
          <t>TrEMBL</t>
        </is>
      </c>
      <c r="J9519" t="inlineStr">
        <is>
          <t>T4A_9613</t>
        </is>
      </c>
      <c r="K9519" t="inlineStr">
        <is>
          <t>A0A0V1F5M4_TRIPS</t>
        </is>
      </c>
      <c r="L9519" t="inlineStr">
        <is>
          <t>tr|A0A0V1F5M4|A0A0V1F5M4_TRIPS Collagen alpha-1(I) chain-like OS=Trichinella pseudospiralis OX=6337 GN=T4A_9613 PE=4 SV=1</t>
        </is>
      </c>
      <c r="M9519" t="n">
        <v>833</v>
      </c>
      <c r="N9519" t="inlineStr">
        <is>
          <t>Trichinella pseudospiralis</t>
        </is>
      </c>
      <c r="O9519" t="inlineStr">
        <is>
          <t>Collagen alpha-1(I) chain-like</t>
        </is>
      </c>
    </row>
    <row r="9520">
      <c r="A9520" t="inlineStr"/>
      <c r="B9520" t="inlineStr"/>
      <c r="C9520" t="inlineStr"/>
      <c r="D9520" t="inlineStr"/>
      <c r="E9520">
        <f>HYPERLINK("https://www.ncbi.nlm.nih.gov/gene/?term=KAF4094590.1", "KAF4094590.1")</f>
        <v/>
      </c>
      <c r="F9520" t="n">
        <v>88.59999999999999</v>
      </c>
      <c r="G9520" t="n">
        <v>35</v>
      </c>
      <c r="H9520" t="n">
        <v>5.69e-11</v>
      </c>
      <c r="I9520" t="inlineStr">
        <is>
          <t>Nr</t>
        </is>
      </c>
      <c r="J9520" t="inlineStr"/>
      <c r="K9520" t="inlineStr"/>
      <c r="L9520" t="inlineStr">
        <is>
          <t>KAF4094590.1 hypothetical protein G5714_024690 [Onychostoma macrolepis]</t>
        </is>
      </c>
      <c r="M9520" t="n">
        <v>278</v>
      </c>
      <c r="N9520" t="inlineStr">
        <is>
          <t>Onychostoma macrolepis</t>
        </is>
      </c>
      <c r="O9520" t="inlineStr">
        <is>
          <t>hypothetical protein G5714_024690</t>
        </is>
      </c>
    </row>
    <row r="9521">
      <c r="A9521" t="inlineStr"/>
      <c r="B9521" t="inlineStr"/>
      <c r="C9521" t="inlineStr"/>
      <c r="D9521" t="inlineStr"/>
      <c r="E9521">
        <f>HYPERLINK("https://www.ncbi.nlm.nih.gov/gene/?term=KRY44974.1", "KRY44974.1")</f>
        <v/>
      </c>
      <c r="F9521" t="n">
        <v>36.7</v>
      </c>
      <c r="G9521" t="n">
        <v>281</v>
      </c>
      <c r="H9521" t="n">
        <v>6.25e-11</v>
      </c>
      <c r="I9521" t="inlineStr">
        <is>
          <t>Nr</t>
        </is>
      </c>
      <c r="J9521" t="inlineStr"/>
      <c r="K9521" t="inlineStr"/>
      <c r="L9521" t="inlineStr">
        <is>
          <t>KRY44974.1 hypothetical protein T03_16985 [Trichinella britovi]</t>
        </is>
      </c>
      <c r="M9521" t="n">
        <v>1305</v>
      </c>
      <c r="N9521" t="inlineStr">
        <is>
          <t>Trichinella britovi</t>
        </is>
      </c>
      <c r="O9521" t="inlineStr">
        <is>
          <t>hypothetical protein T03_16985</t>
        </is>
      </c>
    </row>
    <row r="9522">
      <c r="A9522" t="inlineStr"/>
      <c r="B9522" t="inlineStr"/>
      <c r="C9522" t="inlineStr"/>
      <c r="D9522" t="inlineStr"/>
      <c r="E9522">
        <f>HYPERLINK("https://www.uniprot.org/uniprotkb/A0A3Q0RNF8/entry", "A0A3Q0RNF8")</f>
        <v/>
      </c>
      <c r="F9522" t="n">
        <v>85.7</v>
      </c>
      <c r="G9522" t="n">
        <v>35</v>
      </c>
      <c r="H9522" t="n">
        <v>9.389999999999999e-11</v>
      </c>
      <c r="I9522" t="inlineStr">
        <is>
          <t>TrEMBL</t>
        </is>
      </c>
      <c r="J9522" t="inlineStr"/>
      <c r="K9522" t="inlineStr">
        <is>
          <t>A0A3Q0RNF8_AMPCI</t>
        </is>
      </c>
      <c r="L9522" t="inlineStr">
        <is>
          <t>tr|A0A3Q0RNF8|A0A3Q0RNF8_AMPCI ERVV2 protein OS=Amphilophus citrinellus OX=61819 PE=4 SV=1</t>
        </is>
      </c>
      <c r="M9522" t="n">
        <v>331</v>
      </c>
      <c r="N9522" t="inlineStr">
        <is>
          <t>Amphilophus citrinellus</t>
        </is>
      </c>
      <c r="O9522" t="inlineStr">
        <is>
          <t>ERVV2 protein</t>
        </is>
      </c>
    </row>
    <row r="9523">
      <c r="A9523" t="inlineStr"/>
      <c r="B9523" t="inlineStr"/>
      <c r="C9523" t="inlineStr"/>
      <c r="D9523" t="inlineStr"/>
      <c r="E9523">
        <f>HYPERLINK("https://www.uniprot.org/uniprotkb/A0A0V1KN65/entry", "A0A0V1KN65")</f>
        <v/>
      </c>
      <c r="F9523" t="n">
        <v>36.3</v>
      </c>
      <c r="G9523" t="n">
        <v>289</v>
      </c>
      <c r="H9523" t="n">
        <v>1.03e-10</v>
      </c>
      <c r="I9523" t="inlineStr">
        <is>
          <t>TrEMBL</t>
        </is>
      </c>
      <c r="J9523" t="inlineStr">
        <is>
          <t>T02_16311</t>
        </is>
      </c>
      <c r="K9523" t="inlineStr">
        <is>
          <t>A0A0V1KN65_9BILA</t>
        </is>
      </c>
      <c r="L9523" t="inlineStr">
        <is>
          <t>tr|A0A0V1KN65|A0A0V1KN65_9BILA SET domain-containing protein OS=Trichinella nativa OX=6335 GN=T02_16311 PE=4 SV=1</t>
        </is>
      </c>
      <c r="M9523" t="n">
        <v>658</v>
      </c>
      <c r="N9523" t="inlineStr">
        <is>
          <t>Trichinella nativa</t>
        </is>
      </c>
      <c r="O9523" t="inlineStr">
        <is>
          <t>SET domain-containing protein</t>
        </is>
      </c>
    </row>
    <row r="9524">
      <c r="A9524" t="inlineStr"/>
      <c r="B9524" t="inlineStr"/>
      <c r="C9524" t="inlineStr"/>
      <c r="D9524" t="inlineStr"/>
      <c r="E9524">
        <f>HYPERLINK("https://www.ncbi.nlm.nih.gov/gene/?term=KRZ01450.1", "KRZ01450.1")</f>
        <v/>
      </c>
      <c r="F9524" t="n">
        <v>36.4</v>
      </c>
      <c r="G9524" t="n">
        <v>283</v>
      </c>
      <c r="H9524" t="n">
        <v>1.27e-10</v>
      </c>
      <c r="I9524" t="inlineStr">
        <is>
          <t>Nr</t>
        </is>
      </c>
      <c r="J9524" t="inlineStr"/>
      <c r="K9524" t="inlineStr"/>
      <c r="L9524" t="inlineStr">
        <is>
          <t>KRZ01450.1 hypothetical protein T11_15273 [Trichinella zimbabwensis]</t>
        </is>
      </c>
      <c r="M9524" t="n">
        <v>831</v>
      </c>
      <c r="N9524" t="inlineStr">
        <is>
          <t>Trichinella zimbabwensis</t>
        </is>
      </c>
      <c r="O9524" t="inlineStr">
        <is>
          <t>hypothetical protein T11_15273</t>
        </is>
      </c>
    </row>
    <row r="9525">
      <c r="A9525" t="inlineStr"/>
      <c r="B9525" t="inlineStr"/>
      <c r="C9525" t="inlineStr"/>
      <c r="D9525" t="inlineStr"/>
      <c r="E9525">
        <f>HYPERLINK("https://www.ncbi.nlm.nih.gov/gene/?term=KRY64877.1", "KRY64877.1")</f>
        <v/>
      </c>
      <c r="F9525" t="n">
        <v>36.4</v>
      </c>
      <c r="G9525" t="n">
        <v>283</v>
      </c>
      <c r="H9525" t="n">
        <v>1.27e-10</v>
      </c>
      <c r="I9525" t="inlineStr">
        <is>
          <t>Nr</t>
        </is>
      </c>
      <c r="J9525" t="inlineStr"/>
      <c r="K9525" t="inlineStr"/>
      <c r="L9525" t="inlineStr">
        <is>
          <t>KRY64877.1 hypothetical protein T4A_9613 [Trichinella pseudospiralis]</t>
        </is>
      </c>
      <c r="M9525" t="n">
        <v>833</v>
      </c>
      <c r="N9525" t="inlineStr">
        <is>
          <t>Trichinella pseudospiralis</t>
        </is>
      </c>
      <c r="O9525" t="inlineStr">
        <is>
          <t>hypothetical protein T4A_9613</t>
        </is>
      </c>
    </row>
    <row r="9526">
      <c r="A9526" t="inlineStr"/>
      <c r="B9526" t="inlineStr"/>
      <c r="C9526" t="inlineStr"/>
      <c r="D9526" t="inlineStr"/>
      <c r="E9526">
        <f>HYPERLINK("https://www.uniprot.org/uniprotkb/A0A0K2VLB2/entry", "A0A0K2VLB2")</f>
        <v/>
      </c>
      <c r="F9526" t="n">
        <v>94.09999999999999</v>
      </c>
      <c r="G9526" t="n">
        <v>34</v>
      </c>
      <c r="H9526" t="n">
        <v>1.67e-10</v>
      </c>
      <c r="I9526" t="inlineStr">
        <is>
          <t>TrEMBL</t>
        </is>
      </c>
      <c r="J9526" t="inlineStr"/>
      <c r="K9526" t="inlineStr">
        <is>
          <t>A0A0K2VLB2_LEPSM</t>
        </is>
      </c>
      <c r="L9526" t="inlineStr">
        <is>
          <t>tr|A0A0K2VLB2|A0A0K2VLB2_LEPSM G_PROTEIN_RECEP_F1_2 domain-containing protein (Fragment) OS=Lepeophtheirus salmonis OX=72036 PE=4 SV=1</t>
        </is>
      </c>
      <c r="M9526" t="n">
        <v>61</v>
      </c>
      <c r="N9526" t="inlineStr">
        <is>
          <t>Lepeophtheirus salmonis</t>
        </is>
      </c>
      <c r="O9526" t="inlineStr">
        <is>
          <t>G_PROTEIN_RECEP_F1_2 domain-containing protein (Fragment)</t>
        </is>
      </c>
    </row>
    <row r="9527">
      <c r="A9527" t="inlineStr"/>
      <c r="B9527" t="inlineStr"/>
      <c r="C9527" t="inlineStr"/>
      <c r="D9527" t="inlineStr"/>
      <c r="E9527">
        <f>HYPERLINK("https://www.ncbi.nlm.nih.gov/gene/?term=WP_205635100.1", "WP_205635100.1")</f>
        <v/>
      </c>
      <c r="F9527" t="n">
        <v>94.09999999999999</v>
      </c>
      <c r="G9527" t="n">
        <v>34</v>
      </c>
      <c r="H9527" t="n">
        <v>7.66e-10</v>
      </c>
      <c r="I9527" t="inlineStr">
        <is>
          <t>Nr</t>
        </is>
      </c>
      <c r="J9527" t="inlineStr"/>
      <c r="K9527" t="inlineStr"/>
      <c r="L9527" t="inlineStr">
        <is>
          <t>WP_205635100.1 hypothetical protein, partial [Acinetobacter baumannii]</t>
        </is>
      </c>
      <c r="M9527" t="n">
        <v>59</v>
      </c>
      <c r="N9527" t="inlineStr">
        <is>
          <t>Acinetobacter baumannii</t>
        </is>
      </c>
      <c r="O9527" t="inlineStr">
        <is>
          <t>hypothetical protein, partial</t>
        </is>
      </c>
    </row>
    <row r="9528">
      <c r="A9528" t="inlineStr"/>
      <c r="B9528" t="inlineStr"/>
      <c r="C9528" t="inlineStr"/>
      <c r="D9528" t="inlineStr"/>
      <c r="E9528">
        <f>HYPERLINK("https://www.ncbi.nlm.nih.gov/gene/?term=XP_046757526.1", "XP_046757526.1")</f>
        <v/>
      </c>
      <c r="F9528" t="n">
        <v>86.09999999999999</v>
      </c>
      <c r="G9528" t="n">
        <v>36</v>
      </c>
      <c r="H9528" t="n">
        <v>1.05e-09</v>
      </c>
      <c r="I9528" t="inlineStr">
        <is>
          <t>Nr</t>
        </is>
      </c>
      <c r="J9528" t="inlineStr"/>
      <c r="K9528" t="inlineStr"/>
      <c r="L9528" t="inlineStr">
        <is>
          <t>XP_046757526.1 translation initiation factor IF-2-like [Gallus gallus]</t>
        </is>
      </c>
      <c r="M9528" t="n">
        <v>375</v>
      </c>
      <c r="N9528" t="inlineStr">
        <is>
          <t>Gallus gallus</t>
        </is>
      </c>
      <c r="O9528" t="inlineStr">
        <is>
          <t>translation initiation factor IF-2-like</t>
        </is>
      </c>
    </row>
    <row r="9529">
      <c r="A9529" t="inlineStr"/>
      <c r="B9529" t="inlineStr"/>
      <c r="C9529" t="inlineStr"/>
      <c r="D9529" t="inlineStr"/>
      <c r="E9529">
        <f>HYPERLINK("https://www.ncbi.nlm.nih.gov/gene/?term=SGA02328.1", "SGA02328.1")</f>
        <v/>
      </c>
      <c r="F9529" t="n">
        <v>86.09999999999999</v>
      </c>
      <c r="G9529" t="n">
        <v>36</v>
      </c>
      <c r="H9529" t="n">
        <v>1.58e-09</v>
      </c>
      <c r="I9529" t="inlineStr">
        <is>
          <t>Nr</t>
        </is>
      </c>
      <c r="J9529" t="inlineStr"/>
      <c r="K9529" t="inlineStr"/>
      <c r="L9529" t="inlineStr">
        <is>
          <t>SGA02328.1 Uncharacterised protein [Chlamydia abortus]</t>
        </is>
      </c>
      <c r="M9529" t="n">
        <v>496</v>
      </c>
      <c r="N9529" t="inlineStr">
        <is>
          <t>Chlamydia abortus</t>
        </is>
      </c>
      <c r="O9529" t="inlineStr">
        <is>
          <t>Uncharacterised protein</t>
        </is>
      </c>
    </row>
    <row r="9530">
      <c r="A9530" t="inlineStr"/>
      <c r="B9530" t="inlineStr"/>
      <c r="C9530" t="inlineStr"/>
      <c r="D9530" t="inlineStr"/>
      <c r="E9530">
        <f>HYPERLINK("https://www.ncbi.nlm.nih.gov/gene/?term=XP_046757489.1", "XP_046757489.1")</f>
        <v/>
      </c>
      <c r="F9530" t="n">
        <v>86.09999999999999</v>
      </c>
      <c r="G9530" t="n">
        <v>36</v>
      </c>
      <c r="H9530" t="n">
        <v>1.59e-09</v>
      </c>
      <c r="I9530" t="inlineStr">
        <is>
          <t>Nr</t>
        </is>
      </c>
      <c r="J9530" t="inlineStr"/>
      <c r="K9530" t="inlineStr"/>
      <c r="L9530" t="inlineStr">
        <is>
          <t>XP_046757489.1 collagen alpha-1(I) chain-like [Gallus gallus]</t>
        </is>
      </c>
      <c r="M9530" t="n">
        <v>497</v>
      </c>
      <c r="N9530" t="inlineStr">
        <is>
          <t>Gallus gallus</t>
        </is>
      </c>
      <c r="O9530" t="inlineStr">
        <is>
          <t>collagen alpha-1(I) chain-like</t>
        </is>
      </c>
    </row>
    <row r="9531">
      <c r="A9531" t="inlineStr"/>
      <c r="B9531" t="inlineStr"/>
      <c r="C9531" t="inlineStr"/>
      <c r="D9531" t="inlineStr"/>
      <c r="E9531">
        <f>HYPERLINK("https://www.uniprot.org/uniprotkb/A0A803T736/entry", "A0A803T736")</f>
        <v/>
      </c>
      <c r="F9531" t="n">
        <v>85.3</v>
      </c>
      <c r="G9531" t="n">
        <v>34</v>
      </c>
      <c r="H9531" t="n">
        <v>3.05e-09</v>
      </c>
      <c r="I9531" t="inlineStr">
        <is>
          <t>TrEMBL</t>
        </is>
      </c>
      <c r="J9531" t="inlineStr"/>
      <c r="K9531" t="inlineStr">
        <is>
          <t>A0A803T736_ANOCA</t>
        </is>
      </c>
      <c r="L9531" t="inlineStr">
        <is>
          <t>tr|A0A803T736|A0A803T736_ANOCA Collagen alpha-1(I) chain-like OS=Anolis carolinensis OX=28377 PE=4 SV=1</t>
        </is>
      </c>
      <c r="M9531" t="n">
        <v>368</v>
      </c>
      <c r="N9531" t="inlineStr">
        <is>
          <t>Anolis carolinensis</t>
        </is>
      </c>
      <c r="O9531" t="inlineStr">
        <is>
          <t>Collagen alpha-1(I) chain-like</t>
        </is>
      </c>
    </row>
    <row r="9532">
      <c r="A9532" t="inlineStr"/>
      <c r="B9532" t="inlineStr"/>
      <c r="C9532" t="inlineStr"/>
      <c r="D9532" t="inlineStr"/>
      <c r="E9532">
        <f>HYPERLINK("https://www.uniprot.org/uniprotkb/A0A8C3JBQ4/entry", "A0A8C3JBQ4")</f>
        <v/>
      </c>
      <c r="F9532" t="n">
        <v>94.09999999999999</v>
      </c>
      <c r="G9532" t="n">
        <v>34</v>
      </c>
      <c r="H9532" t="n">
        <v>5.59e-09</v>
      </c>
      <c r="I9532" t="inlineStr">
        <is>
          <t>TrEMBL</t>
        </is>
      </c>
      <c r="J9532" t="inlineStr"/>
      <c r="K9532" t="inlineStr">
        <is>
          <t>A0A8C3JBQ4_9CHAR</t>
        </is>
      </c>
      <c r="L9532" t="inlineStr">
        <is>
          <t>tr|A0A8C3JBQ4|A0A8C3JBQ4_9CHAR Uncharacterized protein OS=Calidris pygmaea OX=425635 PE=4 SV=1</t>
        </is>
      </c>
      <c r="M9532" t="n">
        <v>138</v>
      </c>
      <c r="N9532" t="inlineStr">
        <is>
          <t>Calidris pygmaea</t>
        </is>
      </c>
      <c r="O9532" t="inlineStr">
        <is>
          <t>Uncharacterized protein</t>
        </is>
      </c>
    </row>
    <row r="9533">
      <c r="A9533" t="inlineStr"/>
      <c r="B9533" t="inlineStr"/>
      <c r="C9533" t="inlineStr"/>
      <c r="D9533" t="inlineStr"/>
      <c r="E9533">
        <f>HYPERLINK("https://www.ncbi.nlm.nih.gov/gene/?term=KAG7323894.1", "KAG7323894.1")</f>
        <v/>
      </c>
      <c r="F9533" t="n">
        <v>69.8</v>
      </c>
      <c r="G9533" t="n">
        <v>43</v>
      </c>
      <c r="H9533" t="n">
        <v>1.76e-08</v>
      </c>
      <c r="I9533" t="inlineStr">
        <is>
          <t>Nr</t>
        </is>
      </c>
      <c r="J9533" t="inlineStr"/>
      <c r="K9533" t="inlineStr"/>
      <c r="L9533" t="inlineStr">
        <is>
          <t>KAG7323894.1 hypothetical protein KOW79_011910 [Hemibagrus wyckioides]</t>
        </is>
      </c>
      <c r="M9533" t="n">
        <v>571</v>
      </c>
      <c r="N9533" t="inlineStr">
        <is>
          <t>Hemibagrus wyckioides</t>
        </is>
      </c>
      <c r="O9533" t="inlineStr">
        <is>
          <t>hypothetical protein KOW79_011910</t>
        </is>
      </c>
    </row>
    <row r="9534">
      <c r="A9534" t="inlineStr"/>
      <c r="B9534" t="inlineStr"/>
      <c r="C9534" t="inlineStr"/>
      <c r="D9534" t="inlineStr"/>
      <c r="E9534">
        <f>HYPERLINK("https://www.ncbi.nlm.nih.gov/gene/?term=KAG7323886.1", "KAG7323886.1")</f>
        <v/>
      </c>
      <c r="F9534" t="n">
        <v>69.8</v>
      </c>
      <c r="G9534" t="n">
        <v>43</v>
      </c>
      <c r="H9534" t="n">
        <v>1.89e-08</v>
      </c>
      <c r="I9534" t="inlineStr">
        <is>
          <t>Nr</t>
        </is>
      </c>
      <c r="J9534" t="inlineStr"/>
      <c r="K9534" t="inlineStr"/>
      <c r="L9534" t="inlineStr">
        <is>
          <t>KAG7323886.1 hypothetical protein KOW79_011902 [Hemibagrus wyckioides]</t>
        </is>
      </c>
      <c r="M9534" t="n">
        <v>634</v>
      </c>
      <c r="N9534" t="inlineStr">
        <is>
          <t>Hemibagrus wyckioides</t>
        </is>
      </c>
      <c r="O9534" t="inlineStr">
        <is>
          <t>hypothetical protein KOW79_011902</t>
        </is>
      </c>
    </row>
    <row r="9535">
      <c r="A9535" t="inlineStr"/>
      <c r="B9535" t="inlineStr"/>
      <c r="C9535" t="inlineStr"/>
      <c r="D9535" t="inlineStr"/>
      <c r="E9535">
        <f>HYPERLINK("https://www.uniprot.org/uniprotkb/A0A0V1C7N3/entry", "A0A0V1C7N3")</f>
        <v/>
      </c>
      <c r="F9535" t="n">
        <v>93.90000000000001</v>
      </c>
      <c r="G9535" t="n">
        <v>33</v>
      </c>
      <c r="H9535" t="n">
        <v>1.89e-08</v>
      </c>
      <c r="I9535" t="inlineStr">
        <is>
          <t>TrEMBL</t>
        </is>
      </c>
      <c r="J9535" t="inlineStr">
        <is>
          <t>T03_809</t>
        </is>
      </c>
      <c r="K9535" t="inlineStr">
        <is>
          <t>A0A0V1C7N3_TRIBR</t>
        </is>
      </c>
      <c r="L9535" t="inlineStr">
        <is>
          <t>tr|A0A0V1C7N3|A0A0V1C7N3_TRIBR Vegetative cell wall protein gp1-like OS=Trichinella britovi OX=45882 GN=T03_809 PE=4 SV=1</t>
        </is>
      </c>
      <c r="M9535" t="n">
        <v>151</v>
      </c>
      <c r="N9535" t="inlineStr">
        <is>
          <t>Trichinella britovi</t>
        </is>
      </c>
      <c r="O9535" t="inlineStr">
        <is>
          <t>Vegetative cell wall protein gp1-like</t>
        </is>
      </c>
    </row>
    <row r="9536">
      <c r="A9536" t="inlineStr"/>
      <c r="B9536" t="inlineStr"/>
      <c r="C9536" t="inlineStr"/>
      <c r="D9536" t="inlineStr"/>
      <c r="E9536">
        <f>HYPERLINK("https://www.uniprot.org/uniprotkb/A0A0V1F5M5/entry", "A0A0V1F5M5")</f>
        <v/>
      </c>
      <c r="F9536" t="n">
        <v>93.90000000000001</v>
      </c>
      <c r="G9536" t="n">
        <v>33</v>
      </c>
      <c r="H9536" t="n">
        <v>1.93e-08</v>
      </c>
      <c r="I9536" t="inlineStr">
        <is>
          <t>TrEMBL</t>
        </is>
      </c>
      <c r="J9536" t="inlineStr">
        <is>
          <t>T4A_11769</t>
        </is>
      </c>
      <c r="K9536" t="inlineStr">
        <is>
          <t>A0A0V1F5M5_TRIPS</t>
        </is>
      </c>
      <c r="L9536" t="inlineStr">
        <is>
          <t>tr|A0A0V1F5M5|A0A0V1F5M5_TRIPS Vegetative cell wall protein gp1-like OS=Trichinella pseudospiralis OX=6337 GN=T4A_11769 PE=4 SV=1</t>
        </is>
      </c>
      <c r="M9536" t="n">
        <v>152</v>
      </c>
      <c r="N9536" t="inlineStr">
        <is>
          <t>Trichinella pseudospiralis</t>
        </is>
      </c>
      <c r="O9536" t="inlineStr">
        <is>
          <t>Vegetative cell wall protein gp1-like</t>
        </is>
      </c>
    </row>
    <row r="9537">
      <c r="A9537" t="inlineStr"/>
      <c r="B9537" t="inlineStr"/>
      <c r="C9537" t="inlineStr"/>
      <c r="D9537" t="inlineStr"/>
      <c r="E9537">
        <f>HYPERLINK("https://www.uniprot.org/uniprotkb/A0A0V1KMK9/entry", "A0A0V1KMK9")</f>
        <v/>
      </c>
      <c r="F9537" t="n">
        <v>93.90000000000001</v>
      </c>
      <c r="G9537" t="n">
        <v>33</v>
      </c>
      <c r="H9537" t="n">
        <v>1.93e-08</v>
      </c>
      <c r="I9537" t="inlineStr">
        <is>
          <t>TrEMBL</t>
        </is>
      </c>
      <c r="J9537" t="inlineStr">
        <is>
          <t>T02_8665</t>
        </is>
      </c>
      <c r="K9537" t="inlineStr">
        <is>
          <t>A0A0V1KMK9_9BILA</t>
        </is>
      </c>
      <c r="L9537" t="inlineStr">
        <is>
          <t>tr|A0A0V1KMK9|A0A0V1KMK9_9BILA Vegetative cell wall protein gp1-like OS=Trichinella nativa OX=6335 GN=T02_8665 PE=4 SV=1</t>
        </is>
      </c>
      <c r="M9537" t="n">
        <v>152</v>
      </c>
      <c r="N9537" t="inlineStr">
        <is>
          <t>Trichinella nativa</t>
        </is>
      </c>
      <c r="O9537" t="inlineStr">
        <is>
          <t>Vegetative cell wall protein gp1-like</t>
        </is>
      </c>
    </row>
    <row r="9538">
      <c r="A9538" t="inlineStr"/>
      <c r="B9538" t="inlineStr"/>
      <c r="C9538" t="inlineStr"/>
      <c r="D9538" t="inlineStr"/>
      <c r="E9538">
        <f>HYPERLINK("https://www.uniprot.org/uniprotkb/A0A0V0UKX5/entry", "A0A0V0UKX5")</f>
        <v/>
      </c>
      <c r="F9538" t="n">
        <v>93.90000000000001</v>
      </c>
      <c r="G9538" t="n">
        <v>33</v>
      </c>
      <c r="H9538" t="n">
        <v>1.93e-08</v>
      </c>
      <c r="I9538" t="inlineStr">
        <is>
          <t>TrEMBL</t>
        </is>
      </c>
      <c r="J9538" t="inlineStr">
        <is>
          <t>T09_6739</t>
        </is>
      </c>
      <c r="K9538" t="inlineStr">
        <is>
          <t>A0A0V0UKX5_9BILA</t>
        </is>
      </c>
      <c r="L9538" t="inlineStr">
        <is>
          <t>tr|A0A0V0UKX5|A0A0V0UKX5_9BILA Vegetative cell wall protein gp1-like OS=Trichinella sp. T9 OX=181606 GN=T09_6739 PE=4 SV=1</t>
        </is>
      </c>
      <c r="M9538" t="n">
        <v>152</v>
      </c>
      <c r="N9538" t="inlineStr">
        <is>
          <t>Trichinella sp. T9</t>
        </is>
      </c>
      <c r="O9538" t="inlineStr">
        <is>
          <t>Vegetative cell wall protein gp1-like</t>
        </is>
      </c>
    </row>
    <row r="9539">
      <c r="A9539" t="inlineStr"/>
      <c r="B9539" t="inlineStr"/>
      <c r="C9539" t="inlineStr"/>
      <c r="D9539" t="inlineStr"/>
      <c r="E9539">
        <f>HYPERLINK("https://www.uniprot.org/uniprotkb/A0A0V1GTA4/entry", "A0A0V1GTA4")</f>
        <v/>
      </c>
      <c r="F9539" t="n">
        <v>93.90000000000001</v>
      </c>
      <c r="G9539" t="n">
        <v>33</v>
      </c>
      <c r="H9539" t="n">
        <v>1.93e-08</v>
      </c>
      <c r="I9539" t="inlineStr">
        <is>
          <t>TrEMBL</t>
        </is>
      </c>
      <c r="J9539" t="inlineStr">
        <is>
          <t>T11_8634</t>
        </is>
      </c>
      <c r="K9539" t="inlineStr">
        <is>
          <t>A0A0V1GTA4_9BILA</t>
        </is>
      </c>
      <c r="L9539" t="inlineStr">
        <is>
          <t>tr|A0A0V1GTA4|A0A0V1GTA4_9BILA Vegetative cell wall protein gp1-like OS=Trichinella zimbabwensis OX=268475 GN=T11_8634 PE=4 SV=1</t>
        </is>
      </c>
      <c r="M9539" t="n">
        <v>152</v>
      </c>
      <c r="N9539" t="inlineStr">
        <is>
          <t>Trichinella zimbabwensis</t>
        </is>
      </c>
      <c r="O9539" t="inlineStr">
        <is>
          <t>Vegetative cell wall protein gp1-like</t>
        </is>
      </c>
    </row>
    <row r="9540">
      <c r="A9540" t="inlineStr"/>
      <c r="B9540" t="inlineStr"/>
      <c r="C9540" t="inlineStr"/>
      <c r="D9540" t="inlineStr"/>
      <c r="E9540">
        <f>HYPERLINK("https://www.ncbi.nlm.nih.gov/gene/?term=KAG7323906.1", "KAG7323906.1")</f>
        <v/>
      </c>
      <c r="F9540" t="n">
        <v>69.8</v>
      </c>
      <c r="G9540" t="n">
        <v>43</v>
      </c>
      <c r="H9540" t="n">
        <v>2.17e-08</v>
      </c>
      <c r="I9540" t="inlineStr">
        <is>
          <t>Nr</t>
        </is>
      </c>
      <c r="J9540" t="inlineStr"/>
      <c r="K9540" t="inlineStr"/>
      <c r="L9540" t="inlineStr">
        <is>
          <t>KAG7323906.1 hypothetical protein KOW79_011922 [Hemibagrus wyckioides]</t>
        </is>
      </c>
      <c r="M9540" t="n">
        <v>835</v>
      </c>
      <c r="N9540" t="inlineStr">
        <is>
          <t>Hemibagrus wyckioides</t>
        </is>
      </c>
      <c r="O9540" t="inlineStr">
        <is>
          <t>hypothetical protein KOW79_011922</t>
        </is>
      </c>
    </row>
    <row r="9541">
      <c r="A9541" t="inlineStr"/>
      <c r="B9541" t="inlineStr"/>
      <c r="C9541" t="inlineStr"/>
      <c r="D9541" t="inlineStr"/>
      <c r="E9541">
        <f>HYPERLINK("https://www.ncbi.nlm.nih.gov/gene/?term=KRY44972.1", "KRY44972.1")</f>
        <v/>
      </c>
      <c r="F9541" t="n">
        <v>93.90000000000001</v>
      </c>
      <c r="G9541" t="n">
        <v>33</v>
      </c>
      <c r="H9541" t="n">
        <v>4.86e-08</v>
      </c>
      <c r="I9541" t="inlineStr">
        <is>
          <t>Nr</t>
        </is>
      </c>
      <c r="J9541" t="inlineStr"/>
      <c r="K9541" t="inlineStr"/>
      <c r="L9541" t="inlineStr">
        <is>
          <t>KRY44972.1 hypothetical protein T03_809 [Trichinella britovi]</t>
        </is>
      </c>
      <c r="M9541" t="n">
        <v>151</v>
      </c>
      <c r="N9541" t="inlineStr">
        <is>
          <t>Trichinella britovi</t>
        </is>
      </c>
      <c r="O9541" t="inlineStr">
        <is>
          <t>hypothetical protein T03_809</t>
        </is>
      </c>
    </row>
    <row r="9542">
      <c r="A9542" t="inlineStr"/>
      <c r="B9542" t="inlineStr"/>
      <c r="C9542" t="inlineStr"/>
      <c r="D9542" t="inlineStr"/>
      <c r="E9542">
        <f>HYPERLINK("https://www.ncbi.nlm.nih.gov/gene/?term=KRX51781.1", "KRX51781.1")</f>
        <v/>
      </c>
      <c r="F9542" t="n">
        <v>93.90000000000001</v>
      </c>
      <c r="G9542" t="n">
        <v>33</v>
      </c>
      <c r="H9542" t="n">
        <v>4.97e-08</v>
      </c>
      <c r="I9542" t="inlineStr">
        <is>
          <t>Nr</t>
        </is>
      </c>
      <c r="J9542" t="inlineStr"/>
      <c r="K9542" t="inlineStr"/>
      <c r="L9542" t="inlineStr">
        <is>
          <t>KRX51781.1 hypothetical protein T09_6739 [Trichinella sp. T9]</t>
        </is>
      </c>
      <c r="M9542" t="n">
        <v>152</v>
      </c>
      <c r="N9542" t="inlineStr">
        <is>
          <t>Trichinella sp. T9</t>
        </is>
      </c>
      <c r="O9542" t="inlineStr">
        <is>
          <t>hypothetical protein T09_6739</t>
        </is>
      </c>
    </row>
    <row r="9543">
      <c r="A9543" t="inlineStr"/>
      <c r="B9543" t="inlineStr"/>
      <c r="C9543" t="inlineStr"/>
      <c r="D9543" t="inlineStr"/>
      <c r="E9543">
        <f>HYPERLINK("https://www.ncbi.nlm.nih.gov/gene/?term=pir|S12206|", "pir|S12206|")</f>
        <v/>
      </c>
      <c r="F9543" t="n">
        <v>93.90000000000001</v>
      </c>
      <c r="G9543" t="n">
        <v>33</v>
      </c>
      <c r="H9543" t="n">
        <v>5.07e-08</v>
      </c>
      <c r="I9543" t="inlineStr">
        <is>
          <t>Nr</t>
        </is>
      </c>
      <c r="J9543" t="inlineStr"/>
      <c r="K9543" t="inlineStr"/>
      <c r="L9543" t="inlineStr">
        <is>
          <t>pir|S12206| hypothetical protein 2 (rRNA external transcribed spacer) - mouse [Mus musculus]</t>
        </is>
      </c>
      <c r="M9543" t="n">
        <v>153</v>
      </c>
      <c r="N9543" t="inlineStr">
        <is>
          <t>Mus musculus</t>
        </is>
      </c>
      <c r="O9543" t="inlineStr">
        <is>
          <t>hypothetical protein 2 (rRNA external transcribed spacer) - mouse</t>
        </is>
      </c>
    </row>
    <row r="9544">
      <c r="A9544" t="inlineStr"/>
      <c r="B9544" t="inlineStr"/>
      <c r="C9544" t="inlineStr"/>
      <c r="D9544" t="inlineStr"/>
      <c r="E9544">
        <f>HYPERLINK("https://www.uniprot.org/uniprotkb/A0A835ML28/entry", "A0A835ML28")</f>
        <v/>
      </c>
      <c r="F9544" t="n">
        <v>86.2</v>
      </c>
      <c r="G9544" t="n">
        <v>29</v>
      </c>
      <c r="H9544" t="n">
        <v>1.55e-07</v>
      </c>
      <c r="I9544" t="inlineStr">
        <is>
          <t>TrEMBL</t>
        </is>
      </c>
      <c r="J9544" t="inlineStr">
        <is>
          <t>SADUNF_Sadunf19G0060000</t>
        </is>
      </c>
      <c r="K9544" t="inlineStr">
        <is>
          <t>A0A835ML28_9ROSI</t>
        </is>
      </c>
      <c r="L9544" t="inlineStr">
        <is>
          <t>tr|A0A835ML28|A0A835ML28_9ROSI Uncharacterized protein OS=Salix dunnii OX=1413687 GN=SADUNF_Sadunf19G0060000 PE=4 SV=1</t>
        </is>
      </c>
      <c r="M9544" t="n">
        <v>197</v>
      </c>
      <c r="N9544" t="inlineStr">
        <is>
          <t>Salix dunnii</t>
        </is>
      </c>
      <c r="O9544" t="inlineStr">
        <is>
          <t>Uncharacterized protein</t>
        </is>
      </c>
    </row>
    <row r="9545">
      <c r="A9545" t="inlineStr"/>
      <c r="B9545" t="inlineStr"/>
      <c r="C9545" t="inlineStr"/>
      <c r="D9545" t="inlineStr"/>
      <c r="E9545">
        <f>HYPERLINK("https://www.uniprot.org/uniprotkb/A0A8B7TRW7/entry", "A0A8B7TRW7")</f>
        <v/>
      </c>
      <c r="F9545" t="n">
        <v>93.90000000000001</v>
      </c>
      <c r="G9545" t="n">
        <v>33</v>
      </c>
      <c r="H9545" t="n">
        <v>1.65e-07</v>
      </c>
      <c r="I9545" t="inlineStr">
        <is>
          <t>TrEMBL</t>
        </is>
      </c>
      <c r="J9545" t="inlineStr">
        <is>
          <t>LOC109679535</t>
        </is>
      </c>
      <c r="K9545" t="inlineStr">
        <is>
          <t>A0A8B7TRW7_CASCN</t>
        </is>
      </c>
      <c r="L9545" t="inlineStr">
        <is>
          <t>tr|A0A8B7TRW7|A0A8B7TRW7_CASCN LOW QUALITY PROTEIN: microtubule cross-linking factor 1-like OS=Castor canadensis OX=51338 GN=LOC109679535 PE=4 SV=1</t>
        </is>
      </c>
      <c r="M9545" t="n">
        <v>306</v>
      </c>
      <c r="N9545" t="inlineStr">
        <is>
          <t>Castor canadensis</t>
        </is>
      </c>
      <c r="O9545" t="inlineStr">
        <is>
          <t>LOW QUALITY PROTEIN: microtubule cross-linking factor 1-like</t>
        </is>
      </c>
    </row>
    <row r="9546">
      <c r="A9546" t="inlineStr"/>
      <c r="B9546" t="inlineStr"/>
      <c r="C9546" t="inlineStr"/>
      <c r="D9546" t="inlineStr"/>
      <c r="E9546">
        <f>HYPERLINK("https://www.uniprot.org/uniprotkb/A0A498MHU1/entry", "A0A498MHU1")</f>
        <v/>
      </c>
      <c r="F9546" t="n">
        <v>87.90000000000001</v>
      </c>
      <c r="G9546" t="n">
        <v>33</v>
      </c>
      <c r="H9546" t="n">
        <v>1.79e-07</v>
      </c>
      <c r="I9546" t="inlineStr">
        <is>
          <t>TrEMBL</t>
        </is>
      </c>
      <c r="J9546" t="inlineStr">
        <is>
          <t>ROHU_025827</t>
        </is>
      </c>
      <c r="K9546" t="inlineStr">
        <is>
          <t>A0A498MHU1_LABRO</t>
        </is>
      </c>
      <c r="L9546" t="inlineStr">
        <is>
          <t>tr|A0A498MHU1|A0A498MHU1_LABRO Microtubule cross-linking factor 1 OS=Labeo rohita OX=84645 GN=ROHU_025827 PE=4 SV=1</t>
        </is>
      </c>
      <c r="M9546" t="n">
        <v>155</v>
      </c>
      <c r="N9546" t="inlineStr">
        <is>
          <t>Labeo rohita</t>
        </is>
      </c>
      <c r="O9546" t="inlineStr">
        <is>
          <t>Microtubule cross-linking factor 1</t>
        </is>
      </c>
    </row>
    <row r="9547">
      <c r="A9547" t="inlineStr"/>
      <c r="B9547" t="inlineStr"/>
      <c r="C9547" t="inlineStr"/>
      <c r="D9547" t="inlineStr"/>
      <c r="E9547">
        <f>HYPERLINK("https://www.uniprot.org/uniprotkb/A0A8U8BWZ8/entry", "A0A8U8BWZ8")</f>
        <v/>
      </c>
      <c r="F9547" t="n">
        <v>91.2</v>
      </c>
      <c r="G9547" t="n">
        <v>34</v>
      </c>
      <c r="H9547" t="n">
        <v>2.43e-07</v>
      </c>
      <c r="I9547" t="inlineStr">
        <is>
          <t>TrEMBL</t>
        </is>
      </c>
      <c r="J9547" t="inlineStr"/>
      <c r="K9547" t="inlineStr">
        <is>
          <t>A0A8U8BWZ8_GEOPR</t>
        </is>
      </c>
      <c r="L9547" t="inlineStr">
        <is>
          <t>tr|A0A8U8BWZ8|A0A8U8BWZ8_GEOPR Uncharacterized protein OS=Geospiza parvula OX=87175 PE=4 SV=1</t>
        </is>
      </c>
      <c r="M9547" t="n">
        <v>375</v>
      </c>
      <c r="N9547" t="inlineStr">
        <is>
          <t>Geospiza parvula</t>
        </is>
      </c>
      <c r="O9547" t="inlineStr">
        <is>
          <t>Uncharacterized protein</t>
        </is>
      </c>
    </row>
    <row r="9548">
      <c r="A9548" t="inlineStr"/>
      <c r="B9548" t="inlineStr"/>
      <c r="C9548" t="inlineStr"/>
      <c r="D9548" t="inlineStr"/>
      <c r="E9548">
        <f>HYPERLINK("https://www.uniprot.org/uniprotkb/A0A8U8BDU1/entry", "A0A8U8BDU1")</f>
        <v/>
      </c>
      <c r="F9548" t="n">
        <v>91.2</v>
      </c>
      <c r="G9548" t="n">
        <v>34</v>
      </c>
      <c r="H9548" t="n">
        <v>3.22e-07</v>
      </c>
      <c r="I9548" t="inlineStr">
        <is>
          <t>TrEMBL</t>
        </is>
      </c>
      <c r="J9548" t="inlineStr"/>
      <c r="K9548" t="inlineStr">
        <is>
          <t>A0A8U8BDU1_GEOPR</t>
        </is>
      </c>
      <c r="L9548" t="inlineStr">
        <is>
          <t>tr|A0A8U8BDU1|A0A8U8BDU1_GEOPR Uncharacterized protein OS=Geospiza parvula OX=87175 PE=4 SV=1</t>
        </is>
      </c>
      <c r="M9548" t="n">
        <v>479</v>
      </c>
      <c r="N9548" t="inlineStr">
        <is>
          <t>Geospiza parvula</t>
        </is>
      </c>
      <c r="O9548" t="inlineStr">
        <is>
          <t>Uncharacterized protein</t>
        </is>
      </c>
    </row>
    <row r="9549">
      <c r="A9549" t="inlineStr"/>
      <c r="B9549" t="inlineStr"/>
      <c r="C9549" t="inlineStr"/>
      <c r="D9549" t="inlineStr"/>
      <c r="E9549">
        <f>HYPERLINK("https://www.ncbi.nlm.nih.gov/gene/?term=KAF9661358.1", "KAF9661358.1")</f>
        <v/>
      </c>
      <c r="F9549" t="n">
        <v>86.2</v>
      </c>
      <c r="G9549" t="n">
        <v>29</v>
      </c>
      <c r="H9549" t="n">
        <v>3.99e-07</v>
      </c>
      <c r="I9549" t="inlineStr">
        <is>
          <t>Nr</t>
        </is>
      </c>
      <c r="J9549" t="inlineStr"/>
      <c r="K9549" t="inlineStr"/>
      <c r="L9549" t="inlineStr">
        <is>
          <t>KAF9661358.1 hypothetical protein SADUNF_Sadunf19G0060000 [Salix dunnii]</t>
        </is>
      </c>
      <c r="M9549" t="n">
        <v>197</v>
      </c>
      <c r="N9549" t="inlineStr">
        <is>
          <t>Salix dunnii</t>
        </is>
      </c>
      <c r="O9549" t="inlineStr">
        <is>
          <t>hypothetical protein SADUNF_Sadunf19G0060000</t>
        </is>
      </c>
    </row>
    <row r="9550">
      <c r="A9550" t="inlineStr"/>
      <c r="B9550" t="inlineStr"/>
      <c r="C9550" t="inlineStr"/>
      <c r="D9550" t="inlineStr"/>
      <c r="E9550">
        <f>HYPERLINK("https://www.ncbi.nlm.nih.gov/gene/?term=XP_020010298.1", "XP_020010298.1")</f>
        <v/>
      </c>
      <c r="F9550" t="n">
        <v>93.90000000000001</v>
      </c>
      <c r="G9550" t="n">
        <v>33</v>
      </c>
      <c r="H9550" t="n">
        <v>4.25e-07</v>
      </c>
      <c r="I9550" t="inlineStr">
        <is>
          <t>Nr</t>
        </is>
      </c>
      <c r="J9550" t="inlineStr"/>
      <c r="K9550" t="inlineStr"/>
      <c r="L9550" t="inlineStr">
        <is>
          <t>XP_020010298.1 LOW QUALITY PROTEIN: microtubule cross-linking factor 1-like, partial [Castor canadensis]</t>
        </is>
      </c>
      <c r="M9550" t="n">
        <v>306</v>
      </c>
      <c r="N9550" t="inlineStr">
        <is>
          <t>Castor canadensis</t>
        </is>
      </c>
      <c r="O9550" t="inlineStr">
        <is>
          <t>LOW QUALITY PROTEIN: microtubule cross-linking factor 1-like, partial</t>
        </is>
      </c>
    </row>
    <row r="9551">
      <c r="A9551" t="inlineStr"/>
      <c r="B9551" t="inlineStr"/>
      <c r="C9551" t="inlineStr"/>
      <c r="D9551" t="inlineStr"/>
      <c r="E9551">
        <f>HYPERLINK("https://www.ncbi.nlm.nih.gov/gene/?term=RXN19373.1", "RXN19373.1")</f>
        <v/>
      </c>
      <c r="F9551" t="n">
        <v>87.90000000000001</v>
      </c>
      <c r="G9551" t="n">
        <v>33</v>
      </c>
      <c r="H9551" t="n">
        <v>4.61e-07</v>
      </c>
      <c r="I9551" t="inlineStr">
        <is>
          <t>Nr</t>
        </is>
      </c>
      <c r="J9551" t="inlineStr"/>
      <c r="K9551" t="inlineStr"/>
      <c r="L9551" t="inlineStr">
        <is>
          <t>RXN19373.1 microtubule cross-linking factor 1 [Labeo rohita]</t>
        </is>
      </c>
      <c r="M9551" t="n">
        <v>155</v>
      </c>
      <c r="N9551" t="inlineStr">
        <is>
          <t>Labeo rohita</t>
        </is>
      </c>
      <c r="O9551" t="inlineStr">
        <is>
          <t>microtubule cross-linking factor 1</t>
        </is>
      </c>
    </row>
    <row r="9552">
      <c r="A9552" t="inlineStr"/>
      <c r="B9552" t="inlineStr"/>
      <c r="C9552" t="inlineStr"/>
      <c r="D9552" t="inlineStr"/>
      <c r="E9552">
        <f>HYPERLINK("https://www.uniprot.org/uniprotkb/Q5HKM9/entry", "Q5HKM9")</f>
        <v/>
      </c>
      <c r="F9552" t="n">
        <v>25.9</v>
      </c>
      <c r="G9552" t="n">
        <v>185</v>
      </c>
      <c r="H9552" t="n">
        <v>5.18e-06</v>
      </c>
      <c r="I9552" t="inlineStr">
        <is>
          <t>Swiss-Prot</t>
        </is>
      </c>
      <c r="J9552" t="inlineStr">
        <is>
          <t>drp35</t>
        </is>
      </c>
      <c r="K9552" t="inlineStr">
        <is>
          <t>DRP35_STAEQ</t>
        </is>
      </c>
      <c r="L9552" t="inlineStr">
        <is>
          <t>sp|Q5HKM9|DRP35_STAEQ Lactonase drp35 OS=Staphylococcus epidermidis (strain ATCC 35984 / RP62A) OX=176279 GN=drp35 PE=3 SV=1</t>
        </is>
      </c>
      <c r="M9552" t="n">
        <v>325</v>
      </c>
      <c r="N9552" t="inlineStr">
        <is>
          <t>Staphylococcus epidermidis (strain ATCC 35984 / RP62A)</t>
        </is>
      </c>
      <c r="O9552" t="inlineStr">
        <is>
          <t>Lactonase drp35</t>
        </is>
      </c>
    </row>
    <row r="9553">
      <c r="A9553" t="inlineStr"/>
      <c r="B9553" t="inlineStr"/>
      <c r="C9553" t="inlineStr"/>
      <c r="D9553" t="inlineStr"/>
      <c r="E9553">
        <f>HYPERLINK("https://www.uniprot.org/uniprotkb/Q8CQ97/entry", "Q8CQ97")</f>
        <v/>
      </c>
      <c r="F9553" t="n">
        <v>25.9</v>
      </c>
      <c r="G9553" t="n">
        <v>185</v>
      </c>
      <c r="H9553" t="n">
        <v>5.18e-06</v>
      </c>
      <c r="I9553" t="inlineStr">
        <is>
          <t>Swiss-Prot</t>
        </is>
      </c>
      <c r="J9553" t="inlineStr">
        <is>
          <t>drp35</t>
        </is>
      </c>
      <c r="K9553" t="inlineStr">
        <is>
          <t>DRP35_STAES</t>
        </is>
      </c>
      <c r="L9553" t="inlineStr">
        <is>
          <t>sp|Q8CQ97|DRP35_STAES Lactonase drp35 OS=Staphylococcus epidermidis (strain ATCC 12228 / FDA PCI 1200) OX=176280 GN=drp35 PE=3 SV=1</t>
        </is>
      </c>
      <c r="M9553" t="n">
        <v>325</v>
      </c>
      <c r="N9553" t="inlineStr">
        <is>
          <t>Staphylococcus epidermidis (strain ATCC 12228 / FDA PCI 1200)</t>
        </is>
      </c>
      <c r="O9553" t="inlineStr">
        <is>
          <t>Lactonase drp35</t>
        </is>
      </c>
    </row>
    <row r="9554">
      <c r="A9554" t="inlineStr"/>
      <c r="B9554" t="inlineStr"/>
      <c r="C9554" t="inlineStr"/>
      <c r="D9554" t="inlineStr"/>
      <c r="E9554">
        <f>HYPERLINK("https://www.uniprot.org/uniprotkb/Q2FDH3/entry", "Q2FDH3")</f>
        <v/>
      </c>
      <c r="F9554" t="n">
        <v>26.3</v>
      </c>
      <c r="G9554" t="n">
        <v>190</v>
      </c>
      <c r="H9554" t="n">
        <v>6.88e-06</v>
      </c>
      <c r="I9554" t="inlineStr">
        <is>
          <t>Swiss-Prot</t>
        </is>
      </c>
      <c r="J9554" t="inlineStr">
        <is>
          <t>drp35</t>
        </is>
      </c>
      <c r="K9554" t="inlineStr">
        <is>
          <t>DRP35_STAA3</t>
        </is>
      </c>
      <c r="L9554" t="inlineStr">
        <is>
          <t>sp|Q2FDH3|DRP35_STAA3 Lactonase drp35 OS=Staphylococcus aureus (strain USA300) OX=367830 GN=drp35 PE=3 SV=2</t>
        </is>
      </c>
      <c r="M9554" t="n">
        <v>324</v>
      </c>
      <c r="N9554" t="inlineStr">
        <is>
          <t>Staphylococcus aureus (strain USA300)</t>
        </is>
      </c>
      <c r="O9554" t="inlineStr">
        <is>
          <t>Lactonase drp35</t>
        </is>
      </c>
    </row>
    <row r="9555">
      <c r="A9555" t="inlineStr"/>
      <c r="B9555" t="inlineStr"/>
      <c r="C9555" t="inlineStr"/>
      <c r="D9555" t="inlineStr"/>
      <c r="E9555">
        <f>HYPERLINK("https://www.uniprot.org/uniprotkb/Q2FUS8/entry", "Q2FUS8")</f>
        <v/>
      </c>
      <c r="F9555" t="n">
        <v>26.3</v>
      </c>
      <c r="G9555" t="n">
        <v>190</v>
      </c>
      <c r="H9555" t="n">
        <v>6.88e-06</v>
      </c>
      <c r="I9555" t="inlineStr">
        <is>
          <t>Swiss-Prot</t>
        </is>
      </c>
      <c r="J9555" t="inlineStr">
        <is>
          <t>drp35</t>
        </is>
      </c>
      <c r="K9555" t="inlineStr">
        <is>
          <t>DRP35_STAA8</t>
        </is>
      </c>
      <c r="L9555" t="inlineStr">
        <is>
          <t>sp|Q2FUS8|DRP35_STAA8 Lactonase drp35 OS=Staphylococcus aureus (strain NCTC 8325 / PS 47) OX=93061 GN=drp35 PE=3 SV=2</t>
        </is>
      </c>
      <c r="M9555" t="n">
        <v>324</v>
      </c>
      <c r="N9555" t="inlineStr">
        <is>
          <t>Staphylococcus aureus (strain NCTC 8325 / PS 47)</t>
        </is>
      </c>
      <c r="O9555" t="inlineStr">
        <is>
          <t>Lactonase drp35</t>
        </is>
      </c>
    </row>
    <row r="9556">
      <c r="A9556" t="inlineStr"/>
      <c r="B9556" t="inlineStr"/>
      <c r="C9556" t="inlineStr"/>
      <c r="D9556" t="inlineStr"/>
      <c r="E9556">
        <f>HYPERLINK("https://www.uniprot.org/uniprotkb/Q5HCK9/entry", "Q5HCK9")</f>
        <v/>
      </c>
      <c r="F9556" t="n">
        <v>26.3</v>
      </c>
      <c r="G9556" t="n">
        <v>190</v>
      </c>
      <c r="H9556" t="n">
        <v>6.88e-06</v>
      </c>
      <c r="I9556" t="inlineStr">
        <is>
          <t>Swiss-Prot</t>
        </is>
      </c>
      <c r="J9556" t="inlineStr">
        <is>
          <t>drp35</t>
        </is>
      </c>
      <c r="K9556" t="inlineStr">
        <is>
          <t>DRP35_STAAC</t>
        </is>
      </c>
      <c r="L9556" t="inlineStr">
        <is>
          <t>sp|Q5HCK9|DRP35_STAAC Lactonase drp35 OS=Staphylococcus aureus (strain COL) OX=93062 GN=drp35 PE=3 SV=2</t>
        </is>
      </c>
      <c r="M9556" t="n">
        <v>324</v>
      </c>
      <c r="N9556" t="inlineStr">
        <is>
          <t>Staphylococcus aureus (strain COL)</t>
        </is>
      </c>
      <c r="O9556" t="inlineStr">
        <is>
          <t>Lactonase drp35</t>
        </is>
      </c>
    </row>
    <row r="9557">
      <c r="A9557" t="inlineStr"/>
      <c r="B9557" t="inlineStr"/>
      <c r="C9557" t="inlineStr"/>
      <c r="D9557" t="inlineStr"/>
      <c r="E9557">
        <f>HYPERLINK("https://www.uniprot.org/uniprotkb/Q99QV3/entry", "Q99QV3")</f>
        <v/>
      </c>
      <c r="F9557" t="n">
        <v>26.3</v>
      </c>
      <c r="G9557" t="n">
        <v>190</v>
      </c>
      <c r="H9557" t="n">
        <v>6.88e-06</v>
      </c>
      <c r="I9557" t="inlineStr">
        <is>
          <t>Swiss-Prot</t>
        </is>
      </c>
      <c r="J9557" t="inlineStr">
        <is>
          <t>drp35</t>
        </is>
      </c>
      <c r="K9557" t="inlineStr">
        <is>
          <t>DRP35_STAAM</t>
        </is>
      </c>
      <c r="L9557" t="inlineStr">
        <is>
          <t>sp|Q99QV3|DRP35_STAAM Lactonase drp35 OS=Staphylococcus aureus (strain Mu50 / ATCC 700699) OX=158878 GN=drp35 PE=1 SV=1</t>
        </is>
      </c>
      <c r="M9557" t="n">
        <v>324</v>
      </c>
      <c r="N9557" t="inlineStr">
        <is>
          <t>Staphylococcus aureus (strain Mu50 / ATCC 700699)</t>
        </is>
      </c>
      <c r="O9557" t="inlineStr">
        <is>
          <t>Lactonase drp35</t>
        </is>
      </c>
    </row>
    <row r="9558">
      <c r="A9558" t="inlineStr"/>
      <c r="B9558" t="inlineStr"/>
      <c r="C9558" t="inlineStr"/>
      <c r="D9558" t="inlineStr"/>
      <c r="E9558">
        <f>HYPERLINK("https://www.uniprot.org/uniprotkb/Q7A338/entry", "Q7A338")</f>
        <v/>
      </c>
      <c r="F9558" t="n">
        <v>26.3</v>
      </c>
      <c r="G9558" t="n">
        <v>190</v>
      </c>
      <c r="H9558" t="n">
        <v>6.88e-06</v>
      </c>
      <c r="I9558" t="inlineStr">
        <is>
          <t>Swiss-Prot</t>
        </is>
      </c>
      <c r="J9558" t="inlineStr">
        <is>
          <t>drp35</t>
        </is>
      </c>
      <c r="K9558" t="inlineStr">
        <is>
          <t>DRP35_STAAN</t>
        </is>
      </c>
      <c r="L9558" t="inlineStr">
        <is>
          <t>sp|Q7A338|DRP35_STAAN Lactonase drp35 OS=Staphylococcus aureus (strain N315) OX=158879 GN=drp35 PE=1 SV=1</t>
        </is>
      </c>
      <c r="M9558" t="n">
        <v>324</v>
      </c>
      <c r="N9558" t="inlineStr">
        <is>
          <t>Staphylococcus aureus (strain N315)</t>
        </is>
      </c>
      <c r="O9558" t="inlineStr">
        <is>
          <t>Lactonase drp35</t>
        </is>
      </c>
    </row>
    <row r="9559">
      <c r="A9559" t="inlineStr"/>
      <c r="B9559" t="inlineStr"/>
      <c r="C9559" t="inlineStr"/>
      <c r="D9559" t="inlineStr"/>
      <c r="E9559">
        <f>HYPERLINK("https://www.uniprot.org/uniprotkb/Q6GDB6/entry", "Q6GDB6")</f>
        <v/>
      </c>
      <c r="F9559" t="n">
        <v>26</v>
      </c>
      <c r="G9559" t="n">
        <v>192</v>
      </c>
      <c r="H9559" t="n">
        <v>1.23e-05</v>
      </c>
      <c r="I9559" t="inlineStr">
        <is>
          <t>Swiss-Prot</t>
        </is>
      </c>
      <c r="J9559" t="inlineStr">
        <is>
          <t>drp35</t>
        </is>
      </c>
      <c r="K9559" t="inlineStr">
        <is>
          <t>DRP35_STAAR</t>
        </is>
      </c>
      <c r="L9559" t="inlineStr">
        <is>
          <t>sp|Q6GDB6|DRP35_STAAR Lactonase drp35 OS=Staphylococcus aureus (strain MRSA252) OX=282458 GN=drp35 PE=3 SV=1</t>
        </is>
      </c>
      <c r="M9559" t="n">
        <v>324</v>
      </c>
      <c r="N9559" t="inlineStr">
        <is>
          <t>Staphylococcus aureus (strain MRSA252)</t>
        </is>
      </c>
      <c r="O9559" t="inlineStr">
        <is>
          <t>Lactonase drp35</t>
        </is>
      </c>
    </row>
    <row r="9560">
      <c r="A9560" t="inlineStr"/>
      <c r="B9560" t="inlineStr"/>
      <c r="C9560" t="inlineStr"/>
      <c r="D9560" t="inlineStr"/>
      <c r="E9560">
        <f>HYPERLINK("https://www.uniprot.org/uniprotkb/Q9S0S3/entry", "Q9S0S3")</f>
        <v/>
      </c>
      <c r="F9560" t="n">
        <v>26.3</v>
      </c>
      <c r="G9560" t="n">
        <v>190</v>
      </c>
      <c r="H9560" t="n">
        <v>1.23e-05</v>
      </c>
      <c r="I9560" t="inlineStr">
        <is>
          <t>Swiss-Prot</t>
        </is>
      </c>
      <c r="J9560" t="inlineStr">
        <is>
          <t>drp35</t>
        </is>
      </c>
      <c r="K9560" t="inlineStr">
        <is>
          <t>DRP35_STAAU</t>
        </is>
      </c>
      <c r="L9560" t="inlineStr">
        <is>
          <t>sp|Q9S0S3|DRP35_STAAU Lactonase drp35 OS=Staphylococcus aureus OX=1280 GN=drp35 PE=2 SV=2</t>
        </is>
      </c>
      <c r="M9560" t="n">
        <v>324</v>
      </c>
      <c r="N9560" t="inlineStr">
        <is>
          <t>Staphylococcus aureus</t>
        </is>
      </c>
      <c r="O9560" t="inlineStr">
        <is>
          <t>Lactonase drp35</t>
        </is>
      </c>
    </row>
    <row r="9561">
      <c r="A9561" t="inlineStr"/>
      <c r="B9561" t="inlineStr"/>
      <c r="C9561" t="inlineStr"/>
      <c r="D9561" t="inlineStr"/>
      <c r="E9561">
        <f>HYPERLINK("https://www.ncbi.nlm.nih.gov/gene/?term=WP_221934709.1", "WP_221934709.1")</f>
        <v/>
      </c>
      <c r="F9561" t="n">
        <v>92</v>
      </c>
      <c r="G9561" t="n">
        <v>25</v>
      </c>
      <c r="H9561" t="n">
        <v>8.559999999999999e-05</v>
      </c>
      <c r="I9561" t="inlineStr">
        <is>
          <t>Nr</t>
        </is>
      </c>
      <c r="J9561" t="inlineStr"/>
      <c r="K9561" t="inlineStr"/>
      <c r="L9561" t="inlineStr">
        <is>
          <t>WP_221934709.1 hypothetical protein, partial [Klebsiella pneumoniae]</t>
        </is>
      </c>
      <c r="M9561" t="n">
        <v>72</v>
      </c>
      <c r="N9561" t="inlineStr">
        <is>
          <t>Klebsiella pneumoniae</t>
        </is>
      </c>
      <c r="O9561" t="inlineStr">
        <is>
          <t>hypothetical protein, partial</t>
        </is>
      </c>
    </row>
    <row r="9562">
      <c r="A9562" t="inlineStr"/>
      <c r="B9562" t="inlineStr"/>
      <c r="C9562" t="inlineStr"/>
      <c r="D9562" t="inlineStr"/>
      <c r="E9562">
        <f>HYPERLINK("https://www.uniprot.org/uniprotkb/A0A8X6LT15/entry", "A0A8X6LT15")</f>
        <v/>
      </c>
      <c r="F9562" t="n">
        <v>79.40000000000001</v>
      </c>
      <c r="G9562" t="n">
        <v>34</v>
      </c>
      <c r="H9562" t="n">
        <v>0.000133</v>
      </c>
      <c r="I9562" t="inlineStr">
        <is>
          <t>TrEMBL</t>
        </is>
      </c>
      <c r="J9562" t="inlineStr">
        <is>
          <t>TNCT_20171</t>
        </is>
      </c>
      <c r="K9562" t="inlineStr">
        <is>
          <t>A0A8X6LT15_TRICU</t>
        </is>
      </c>
      <c r="L9562" t="inlineStr">
        <is>
          <t>tr|A0A8X6LT15|A0A8X6LT15_TRICU Uncharacterized protein OS=Trichonephila clavata OX=2740835 GN=TNCT_20171 PE=4 SV=1</t>
        </is>
      </c>
      <c r="M9562" t="n">
        <v>90</v>
      </c>
      <c r="N9562" t="inlineStr">
        <is>
          <t>Trichonephila clavata</t>
        </is>
      </c>
      <c r="O9562" t="inlineStr">
        <is>
          <t>Uncharacterized protein</t>
        </is>
      </c>
    </row>
    <row r="9563">
      <c r="A9563" t="inlineStr"/>
      <c r="B9563" t="inlineStr"/>
      <c r="C9563" t="inlineStr"/>
      <c r="D9563" t="inlineStr"/>
      <c r="E9563">
        <f>HYPERLINK("https://www.uniprot.org/uniprotkb/A0A8X6KBH6/entry", "A0A8X6KBH6")</f>
        <v/>
      </c>
      <c r="F9563" t="n">
        <v>79.40000000000001</v>
      </c>
      <c r="G9563" t="n">
        <v>34</v>
      </c>
      <c r="H9563" t="n">
        <v>0.000133</v>
      </c>
      <c r="I9563" t="inlineStr">
        <is>
          <t>TrEMBL</t>
        </is>
      </c>
      <c r="J9563" t="inlineStr">
        <is>
          <t>TNCT_483491</t>
        </is>
      </c>
      <c r="K9563" t="inlineStr">
        <is>
          <t>A0A8X6KBH6_TRICU</t>
        </is>
      </c>
      <c r="L9563" t="inlineStr">
        <is>
          <t>tr|A0A8X6KBH6|A0A8X6KBH6_TRICU Uncharacterized protein OS=Trichonephila clavata OX=2740835 GN=TNCT_483491 PE=4 SV=1</t>
        </is>
      </c>
      <c r="M9563" t="n">
        <v>90</v>
      </c>
      <c r="N9563" t="inlineStr">
        <is>
          <t>Trichonephila clavata</t>
        </is>
      </c>
      <c r="O9563" t="inlineStr">
        <is>
          <t>Uncharacterized protein</t>
        </is>
      </c>
    </row>
    <row r="9564">
      <c r="A9564" t="inlineStr"/>
      <c r="B9564" t="inlineStr"/>
      <c r="C9564" t="inlineStr"/>
      <c r="D9564" t="inlineStr"/>
      <c r="E9564">
        <f>HYPERLINK("https://www.uniprot.org/uniprotkb/A0A8X6LX11/entry", "A0A8X6LX11")</f>
        <v/>
      </c>
      <c r="F9564" t="n">
        <v>79.40000000000001</v>
      </c>
      <c r="G9564" t="n">
        <v>34</v>
      </c>
      <c r="H9564" t="n">
        <v>0.00014</v>
      </c>
      <c r="I9564" t="inlineStr">
        <is>
          <t>TrEMBL</t>
        </is>
      </c>
      <c r="J9564" t="inlineStr">
        <is>
          <t>TNCT_316681</t>
        </is>
      </c>
      <c r="K9564" t="inlineStr">
        <is>
          <t>A0A8X6LX11_TRICU</t>
        </is>
      </c>
      <c r="L9564" t="inlineStr">
        <is>
          <t>tr|A0A8X6LX11|A0A8X6LX11_TRICU Uncharacterized protein OS=Trichonephila clavata OX=2740835 GN=TNCT_316681 PE=4 SV=1</t>
        </is>
      </c>
      <c r="M9564" t="n">
        <v>92</v>
      </c>
      <c r="N9564" t="inlineStr">
        <is>
          <t>Trichonephila clavata</t>
        </is>
      </c>
      <c r="O9564" t="inlineStr">
        <is>
          <t>Uncharacterized protein</t>
        </is>
      </c>
    </row>
    <row r="9565">
      <c r="A9565" t="inlineStr"/>
      <c r="B9565" t="inlineStr"/>
      <c r="C9565" t="inlineStr"/>
      <c r="D9565" t="inlineStr"/>
      <c r="E9565">
        <f>HYPERLINK("https://www.ncbi.nlm.nih.gov/gene/?term=GFR20950.1", "GFR20950.1")</f>
        <v/>
      </c>
      <c r="F9565" t="n">
        <v>79.40000000000001</v>
      </c>
      <c r="G9565" t="n">
        <v>34</v>
      </c>
      <c r="H9565" t="n">
        <v>0.000342</v>
      </c>
      <c r="I9565" t="inlineStr">
        <is>
          <t>Nr</t>
        </is>
      </c>
      <c r="J9565" t="inlineStr"/>
      <c r="K9565" t="inlineStr"/>
      <c r="L9565" t="inlineStr">
        <is>
          <t>GFR20950.1 hypothetical protein TNCT_20171 [Trichonephila clavata]</t>
        </is>
      </c>
      <c r="M9565" t="n">
        <v>90</v>
      </c>
      <c r="N9565" t="inlineStr">
        <is>
          <t>Trichonephila clavata</t>
        </is>
      </c>
      <c r="O9565" t="inlineStr">
        <is>
          <t>hypothetical protein TNCT_20171</t>
        </is>
      </c>
    </row>
    <row r="9566">
      <c r="A9566" t="inlineStr"/>
      <c r="B9566" t="inlineStr"/>
      <c r="C9566" t="inlineStr"/>
      <c r="D9566" t="inlineStr"/>
      <c r="E9566">
        <f>HYPERLINK("https://www.ncbi.nlm.nih.gov/gene/?term=GFQ66918.1", "GFQ66918.1")</f>
        <v/>
      </c>
      <c r="F9566" t="n">
        <v>79.40000000000001</v>
      </c>
      <c r="G9566" t="n">
        <v>34</v>
      </c>
      <c r="H9566" t="n">
        <v>0.000342</v>
      </c>
      <c r="I9566" t="inlineStr">
        <is>
          <t>Nr</t>
        </is>
      </c>
      <c r="J9566" t="inlineStr"/>
      <c r="K9566" t="inlineStr"/>
      <c r="L9566" t="inlineStr">
        <is>
          <t>GFQ66918.1 hypothetical protein TNCT_483491 [Trichonephila clavata]</t>
        </is>
      </c>
      <c r="M9566" t="n">
        <v>90</v>
      </c>
      <c r="N9566" t="inlineStr">
        <is>
          <t>Trichonephila clavata</t>
        </is>
      </c>
      <c r="O9566" t="inlineStr">
        <is>
          <t>hypothetical protein TNCT_483491</t>
        </is>
      </c>
    </row>
    <row r="9567">
      <c r="A9567" t="inlineStr">
        <is>
          <t>NODE_7876_length_6770_cov_219.505893_g2904_i0</t>
        </is>
      </c>
      <c r="B9567" t="inlineStr">
        <is>
          <t>bombina_pachypus_blastx</t>
        </is>
      </c>
      <c r="C9567" t="n">
        <v>-4.2727125618384</v>
      </c>
      <c r="D9567" t="n">
        <v>1.18376666551828e-12</v>
      </c>
      <c r="E9567">
        <f>HYPERLINK("https://www.ncbi.nlm.nih.gov/gene/?term=XP_053309714.1", "XP_053309714.1")</f>
        <v/>
      </c>
      <c r="F9567" t="n">
        <v>76.8</v>
      </c>
      <c r="G9567" t="n">
        <v>177</v>
      </c>
      <c r="H9567" t="n">
        <v>1.92e-97</v>
      </c>
      <c r="I9567" t="inlineStr">
        <is>
          <t>Nr</t>
        </is>
      </c>
      <c r="J9567" t="inlineStr"/>
      <c r="K9567" t="inlineStr"/>
      <c r="L9567" t="inlineStr">
        <is>
          <t>XP_053309714.1 E3 ubiquitin-protein ligase TRIM47 [Spea bombifrons]</t>
        </is>
      </c>
      <c r="M9567" t="n">
        <v>460</v>
      </c>
      <c r="N9567" t="inlineStr">
        <is>
          <t>Spea bombifrons</t>
        </is>
      </c>
      <c r="O9567" t="inlineStr">
        <is>
          <t>E3 ubiquitin-protein ligase TRIM47</t>
        </is>
      </c>
    </row>
    <row r="9568">
      <c r="A9568" t="inlineStr"/>
      <c r="B9568" t="inlineStr"/>
      <c r="C9568" t="inlineStr"/>
      <c r="D9568" t="inlineStr"/>
      <c r="E9568">
        <f>HYPERLINK("https://www.uniprot.org/uniprotkb/A0A6I8PZA0/entry", "A0A6I8PZA0")</f>
        <v/>
      </c>
      <c r="F9568" t="n">
        <v>75.09999999999999</v>
      </c>
      <c r="G9568" t="n">
        <v>177</v>
      </c>
      <c r="H9568" t="n">
        <v>7.82e-97</v>
      </c>
      <c r="I9568" t="inlineStr">
        <is>
          <t>TrEMBL</t>
        </is>
      </c>
      <c r="J9568" t="inlineStr">
        <is>
          <t>trim47</t>
        </is>
      </c>
      <c r="K9568" t="inlineStr">
        <is>
          <t>A0A6I8PZA0_XENTR</t>
        </is>
      </c>
      <c r="L9568" t="inlineStr">
        <is>
          <t>tr|A0A6I8PZA0|A0A6I8PZA0_XENTR Tripartite motif containing 47 OS=Xenopus tropicalis OX=8364 GN=trim47 PE=4 SV=2</t>
        </is>
      </c>
      <c r="M9568" t="n">
        <v>481</v>
      </c>
      <c r="N9568" t="inlineStr">
        <is>
          <t>Xenopus tropicalis</t>
        </is>
      </c>
      <c r="O9568" t="inlineStr">
        <is>
          <t>Tripartite motif containing 47</t>
        </is>
      </c>
    </row>
    <row r="9569">
      <c r="A9569" t="inlineStr"/>
      <c r="B9569" t="inlineStr"/>
      <c r="C9569" t="inlineStr"/>
      <c r="D9569" t="inlineStr"/>
      <c r="E9569">
        <f>HYPERLINK("https://www.uniprot.org/uniprotkb/A0A8J0SZ51/entry", "A0A8J0SZ51")</f>
        <v/>
      </c>
      <c r="F9569" t="n">
        <v>75.09999999999999</v>
      </c>
      <c r="G9569" t="n">
        <v>177</v>
      </c>
      <c r="H9569" t="n">
        <v>1.01e-96</v>
      </c>
      <c r="I9569" t="inlineStr">
        <is>
          <t>TrEMBL</t>
        </is>
      </c>
      <c r="J9569" t="inlineStr">
        <is>
          <t>trim47</t>
        </is>
      </c>
      <c r="K9569" t="inlineStr">
        <is>
          <t>A0A8J0SZ51_XENTR</t>
        </is>
      </c>
      <c r="L9569" t="inlineStr">
        <is>
          <t>tr|A0A8J0SZ51|A0A8J0SZ51_XENTR tripartite motif-containing protein 47 isoform X1 OS=Xenopus tropicalis OX=8364 GN=trim47 PE=4 SV=1</t>
        </is>
      </c>
      <c r="M9569" t="n">
        <v>490</v>
      </c>
      <c r="N9569" t="inlineStr">
        <is>
          <t>Xenopus tropicalis</t>
        </is>
      </c>
      <c r="O9569" t="inlineStr">
        <is>
          <t>tripartite motif-containing protein 47 isoform X1</t>
        </is>
      </c>
    </row>
    <row r="9570">
      <c r="A9570" t="inlineStr"/>
      <c r="B9570" t="inlineStr"/>
      <c r="C9570" t="inlineStr"/>
      <c r="D9570" t="inlineStr"/>
      <c r="E9570">
        <f>HYPERLINK("https://www.ncbi.nlm.nih.gov/gene/?term=XP_031749814.1", "XP_031749814.1")</f>
        <v/>
      </c>
      <c r="F9570" t="n">
        <v>75.09999999999999</v>
      </c>
      <c r="G9570" t="n">
        <v>177</v>
      </c>
      <c r="H9570" t="n">
        <v>2.01e-96</v>
      </c>
      <c r="I9570" t="inlineStr">
        <is>
          <t>Nr</t>
        </is>
      </c>
      <c r="J9570" t="inlineStr"/>
      <c r="K9570" t="inlineStr"/>
      <c r="L9570" t="inlineStr">
        <is>
          <t>XP_031749814.1 tripartite motif-containing protein 47 isoform X2 [Xenopus tropicalis]</t>
        </is>
      </c>
      <c r="M9570" t="n">
        <v>481</v>
      </c>
      <c r="N9570" t="inlineStr">
        <is>
          <t>Xenopus tropicalis</t>
        </is>
      </c>
      <c r="O9570" t="inlineStr">
        <is>
          <t>tripartite motif-containing protein 47 isoform X2</t>
        </is>
      </c>
    </row>
    <row r="9571">
      <c r="A9571" t="inlineStr"/>
      <c r="B9571" t="inlineStr"/>
      <c r="C9571" t="inlineStr"/>
      <c r="D9571" t="inlineStr"/>
      <c r="E9571">
        <f>HYPERLINK("https://www.uniprot.org/uniprotkb/A8E4W1/entry", "A8E4W1")</f>
        <v/>
      </c>
      <c r="F9571" t="n">
        <v>74.59999999999999</v>
      </c>
      <c r="G9571" t="n">
        <v>177</v>
      </c>
      <c r="H9571" t="n">
        <v>2.22e-96</v>
      </c>
      <c r="I9571" t="inlineStr">
        <is>
          <t>TrEMBL</t>
        </is>
      </c>
      <c r="J9571" t="inlineStr">
        <is>
          <t>trim47</t>
        </is>
      </c>
      <c r="K9571" t="inlineStr">
        <is>
          <t>A8E4W1_XENTR</t>
        </is>
      </c>
      <c r="L9571" t="inlineStr">
        <is>
          <t>tr|A8E4W1|A8E4W1_XENTR LOC100127579 protein OS=Xenopus tropicalis OX=8364 GN=trim47 PE=2 SV=1</t>
        </is>
      </c>
      <c r="M9571" t="n">
        <v>481</v>
      </c>
      <c r="N9571" t="inlineStr">
        <is>
          <t>Xenopus tropicalis</t>
        </is>
      </c>
      <c r="O9571" t="inlineStr">
        <is>
          <t>LOC100127579 protein</t>
        </is>
      </c>
    </row>
    <row r="9572">
      <c r="A9572" t="inlineStr"/>
      <c r="B9572" t="inlineStr"/>
      <c r="C9572" t="inlineStr"/>
      <c r="D9572" t="inlineStr"/>
      <c r="E9572">
        <f>HYPERLINK("https://www.ncbi.nlm.nih.gov/gene/?term=XP_012826964.2", "XP_012826964.2")</f>
        <v/>
      </c>
      <c r="F9572" t="n">
        <v>75.09999999999999</v>
      </c>
      <c r="G9572" t="n">
        <v>177</v>
      </c>
      <c r="H9572" t="n">
        <v>2.6e-96</v>
      </c>
      <c r="I9572" t="inlineStr">
        <is>
          <t>Nr</t>
        </is>
      </c>
      <c r="J9572" t="inlineStr"/>
      <c r="K9572" t="inlineStr"/>
      <c r="L9572" t="inlineStr">
        <is>
          <t>XP_012826964.2 tripartite motif-containing protein 47 isoform X1 [Xenopus tropicalis]</t>
        </is>
      </c>
      <c r="M9572" t="n">
        <v>490</v>
      </c>
      <c r="N9572" t="inlineStr">
        <is>
          <t>Xenopus tropicalis</t>
        </is>
      </c>
      <c r="O9572" t="inlineStr">
        <is>
          <t>tripartite motif-containing protein 47 isoform X1</t>
        </is>
      </c>
    </row>
    <row r="9573">
      <c r="A9573" t="inlineStr"/>
      <c r="B9573" t="inlineStr"/>
      <c r="C9573" t="inlineStr"/>
      <c r="D9573" t="inlineStr"/>
      <c r="E9573">
        <f>HYPERLINK("https://www.ncbi.nlm.nih.gov/gene/?term=NP_001106416.1", "NP_001106416.1")</f>
        <v/>
      </c>
      <c r="F9573" t="n">
        <v>74.59999999999999</v>
      </c>
      <c r="G9573" t="n">
        <v>177</v>
      </c>
      <c r="H9573" t="n">
        <v>5.69e-96</v>
      </c>
      <c r="I9573" t="inlineStr">
        <is>
          <t>Nr</t>
        </is>
      </c>
      <c r="J9573" t="inlineStr"/>
      <c r="K9573" t="inlineStr"/>
      <c r="L9573" t="inlineStr">
        <is>
          <t>NP_001106416.1 tripartite motif-containing protein 47 [Xenopus tropicalis]</t>
        </is>
      </c>
      <c r="M9573" t="n">
        <v>481</v>
      </c>
      <c r="N9573" t="inlineStr">
        <is>
          <t>Xenopus tropicalis</t>
        </is>
      </c>
      <c r="O9573" t="inlineStr">
        <is>
          <t>tripartite motif-containing protein 47</t>
        </is>
      </c>
    </row>
    <row r="9574">
      <c r="A9574" t="inlineStr"/>
      <c r="B9574" t="inlineStr"/>
      <c r="C9574" t="inlineStr"/>
      <c r="D9574" t="inlineStr"/>
      <c r="E9574">
        <f>HYPERLINK("https://www.uniprot.org/uniprotkb/A0A1L8EUJ3/entry", "A0A1L8EUJ3")</f>
        <v/>
      </c>
      <c r="F9574" t="n">
        <v>74</v>
      </c>
      <c r="G9574" t="n">
        <v>177</v>
      </c>
      <c r="H9574" t="n">
        <v>5.649999999999999e-95</v>
      </c>
      <c r="I9574" t="inlineStr">
        <is>
          <t>TrEMBL</t>
        </is>
      </c>
      <c r="J9574" t="inlineStr">
        <is>
          <t>trim47.L</t>
        </is>
      </c>
      <c r="K9574" t="inlineStr">
        <is>
          <t>A0A1L8EUJ3_XENLA</t>
        </is>
      </c>
      <c r="L9574" t="inlineStr">
        <is>
          <t>tr|A0A1L8EUJ3|A0A1L8EUJ3_XENLA E3 ubiquitin/ISG15 ligase TRIM25 OS=Xenopus laevis OX=8355 GN=trim47.L PE=4 SV=1</t>
        </is>
      </c>
      <c r="M9574" t="n">
        <v>485</v>
      </c>
      <c r="N9574" t="inlineStr">
        <is>
          <t>Xenopus laevis</t>
        </is>
      </c>
      <c r="O9574" t="inlineStr">
        <is>
          <t>E3 ubiquitin/ISG15 ligase TRIM25</t>
        </is>
      </c>
    </row>
    <row r="9575">
      <c r="A9575" t="inlineStr"/>
      <c r="B9575" t="inlineStr"/>
      <c r="C9575" t="inlineStr"/>
      <c r="D9575" t="inlineStr"/>
      <c r="E9575">
        <f>HYPERLINK("https://www.uniprot.org/uniprotkb/A0A2G9S236/entry", "A0A2G9S236")</f>
        <v/>
      </c>
      <c r="F9575" t="n">
        <v>74.40000000000001</v>
      </c>
      <c r="G9575" t="n">
        <v>176</v>
      </c>
      <c r="H9575" t="n">
        <v>5.77e-95</v>
      </c>
      <c r="I9575" t="inlineStr">
        <is>
          <t>TrEMBL</t>
        </is>
      </c>
      <c r="J9575" t="inlineStr">
        <is>
          <t>AB205_0079330</t>
        </is>
      </c>
      <c r="K9575" t="inlineStr">
        <is>
          <t>A0A2G9S236_LITCT</t>
        </is>
      </c>
      <c r="L9575" t="inlineStr">
        <is>
          <t>tr|A0A2G9S236|A0A2G9S236_LITCT B30.2/SPRY domain-containing protein (Fragment) OS=Lithobates catesbeianus OX=8400 GN=AB205_0079330 PE=4 SV=1</t>
        </is>
      </c>
      <c r="M9575" t="n">
        <v>336</v>
      </c>
      <c r="N9575" t="inlineStr">
        <is>
          <t>Lithobates catesbeianus</t>
        </is>
      </c>
      <c r="O9575" t="inlineStr">
        <is>
          <t>B30.2/SPRY domain-containing protein (Fragment)</t>
        </is>
      </c>
    </row>
    <row r="9576">
      <c r="A9576" t="inlineStr"/>
      <c r="B9576" t="inlineStr"/>
      <c r="C9576" t="inlineStr"/>
      <c r="D9576" t="inlineStr"/>
      <c r="E9576">
        <f>HYPERLINK("https://www.ncbi.nlm.nih.gov/gene/?term=XP_018090826.1", "XP_018090826.1")</f>
        <v/>
      </c>
      <c r="F9576" t="n">
        <v>74</v>
      </c>
      <c r="G9576" t="n">
        <v>177</v>
      </c>
      <c r="H9576" t="n">
        <v>1.45e-94</v>
      </c>
      <c r="I9576" t="inlineStr">
        <is>
          <t>Nr</t>
        </is>
      </c>
      <c r="J9576" t="inlineStr"/>
      <c r="K9576" t="inlineStr"/>
      <c r="L9576" t="inlineStr">
        <is>
          <t>XP_018090826.1 E3 ubiquitin/ISG15 ligase TRIM25 [Xenopus laevis]</t>
        </is>
      </c>
      <c r="M9576" t="n">
        <v>485</v>
      </c>
      <c r="N9576" t="inlineStr">
        <is>
          <t>Xenopus laevis</t>
        </is>
      </c>
      <c r="O9576" t="inlineStr">
        <is>
          <t>E3 ubiquitin/ISG15 ligase TRIM25</t>
        </is>
      </c>
    </row>
    <row r="9577">
      <c r="A9577" t="inlineStr"/>
      <c r="B9577" t="inlineStr"/>
      <c r="C9577" t="inlineStr"/>
      <c r="D9577" t="inlineStr"/>
      <c r="E9577">
        <f>HYPERLINK("https://www.ncbi.nlm.nih.gov/gene/?term=PIO34170.1", "PIO34170.1")</f>
        <v/>
      </c>
      <c r="F9577" t="n">
        <v>74.40000000000001</v>
      </c>
      <c r="G9577" t="n">
        <v>176</v>
      </c>
      <c r="H9577" t="n">
        <v>1.48e-94</v>
      </c>
      <c r="I9577" t="inlineStr">
        <is>
          <t>Nr</t>
        </is>
      </c>
      <c r="J9577" t="inlineStr"/>
      <c r="K9577" t="inlineStr"/>
      <c r="L9577" t="inlineStr">
        <is>
          <t>PIO34170.1 hypothetical protein AB205_0079330, partial [Lithobates catesbeianus]</t>
        </is>
      </c>
      <c r="M9577" t="n">
        <v>336</v>
      </c>
      <c r="N9577" t="inlineStr">
        <is>
          <t>Lithobates catesbeianus</t>
        </is>
      </c>
      <c r="O9577" t="inlineStr">
        <is>
          <t>hypothetical protein AB205_0079330, partial</t>
        </is>
      </c>
    </row>
    <row r="9578">
      <c r="A9578" t="inlineStr"/>
      <c r="B9578" t="inlineStr"/>
      <c r="C9578" t="inlineStr"/>
      <c r="D9578" t="inlineStr"/>
      <c r="E9578">
        <f>HYPERLINK("https://www.uniprot.org/uniprotkb/A0A8J0TZP3/entry", "A0A8J0TZP3")</f>
        <v/>
      </c>
      <c r="F9578" t="n">
        <v>71.8</v>
      </c>
      <c r="G9578" t="n">
        <v>177</v>
      </c>
      <c r="H9578" t="n">
        <v>1.61e-93</v>
      </c>
      <c r="I9578" t="inlineStr">
        <is>
          <t>TrEMBL</t>
        </is>
      </c>
      <c r="J9578" t="inlineStr">
        <is>
          <t>LOC108702387</t>
        </is>
      </c>
      <c r="K9578" t="inlineStr">
        <is>
          <t>A0A8J0TZP3_XENLA</t>
        </is>
      </c>
      <c r="L9578" t="inlineStr">
        <is>
          <t>tr|A0A8J0TZP3|A0A8J0TZP3_XENLA LOW QUALITY PROTEIN: E3 ubiquitin/ISG15 ligase TRIM25 OS=Xenopus laevis OX=8355 GN=LOC108702387 PE=4 SV=1</t>
        </is>
      </c>
      <c r="M9578" t="n">
        <v>493</v>
      </c>
      <c r="N9578" t="inlineStr">
        <is>
          <t>Xenopus laevis</t>
        </is>
      </c>
      <c r="O9578" t="inlineStr">
        <is>
          <t>LOW QUALITY PROTEIN: E3 ubiquitin/ISG15 ligase TRIM25</t>
        </is>
      </c>
    </row>
    <row r="9579">
      <c r="A9579" t="inlineStr"/>
      <c r="B9579" t="inlineStr"/>
      <c r="C9579" t="inlineStr"/>
      <c r="D9579" t="inlineStr"/>
      <c r="E9579">
        <f>HYPERLINK("https://www.uniprot.org/uniprotkb/A0A8C5RAD2/entry", "A0A8C5RAD2")</f>
        <v/>
      </c>
      <c r="F9579" t="n">
        <v>72.3</v>
      </c>
      <c r="G9579" t="n">
        <v>177</v>
      </c>
      <c r="H9579" t="n">
        <v>1.78e-93</v>
      </c>
      <c r="I9579" t="inlineStr">
        <is>
          <t>TrEMBL</t>
        </is>
      </c>
      <c r="J9579" t="inlineStr"/>
      <c r="K9579" t="inlineStr">
        <is>
          <t>A0A8C5RAD2_9ANUR</t>
        </is>
      </c>
      <c r="L9579" t="inlineStr">
        <is>
          <t>tr|A0A8C5RAD2|A0A8C5RAD2_9ANUR Tripartite motif-containing protein 65 OS=Leptobrachium leishanense OX=445787 PE=4 SV=1</t>
        </is>
      </c>
      <c r="M9579" t="n">
        <v>472</v>
      </c>
      <c r="N9579" t="inlineStr">
        <is>
          <t>Leptobrachium leishanense</t>
        </is>
      </c>
      <c r="O9579" t="inlineStr">
        <is>
          <t>Tripartite motif-containing protein 65</t>
        </is>
      </c>
    </row>
    <row r="9580">
      <c r="A9580" t="inlineStr"/>
      <c r="B9580" t="inlineStr"/>
      <c r="C9580" t="inlineStr"/>
      <c r="D9580" t="inlineStr"/>
      <c r="E9580">
        <f>HYPERLINK("https://www.ncbi.nlm.nih.gov/gene/?term=XP_040185882.1", "XP_040185882.1")</f>
        <v/>
      </c>
      <c r="F9580" t="n">
        <v>74.40000000000001</v>
      </c>
      <c r="G9580" t="n">
        <v>176</v>
      </c>
      <c r="H9580" t="n">
        <v>2.54e-93</v>
      </c>
      <c r="I9580" t="inlineStr">
        <is>
          <t>Nr</t>
        </is>
      </c>
      <c r="J9580" t="inlineStr"/>
      <c r="K9580" t="inlineStr"/>
      <c r="L9580" t="inlineStr">
        <is>
          <t>XP_040185882.1 tripartite motif-containing protein 16-like [Rana temporaria]</t>
        </is>
      </c>
      <c r="M9580" t="n">
        <v>428</v>
      </c>
      <c r="N9580" t="inlineStr">
        <is>
          <t>Rana temporaria</t>
        </is>
      </c>
      <c r="O9580" t="inlineStr">
        <is>
          <t>tripartite motif-containing protein 16-like</t>
        </is>
      </c>
    </row>
    <row r="9581">
      <c r="A9581" t="inlineStr"/>
      <c r="B9581" t="inlineStr"/>
      <c r="C9581" t="inlineStr"/>
      <c r="D9581" t="inlineStr"/>
      <c r="E9581">
        <f>HYPERLINK("https://www.ncbi.nlm.nih.gov/gene/?term=OCT60694.1", "OCT60694.1")</f>
        <v/>
      </c>
      <c r="F9581" t="n">
        <v>71.8</v>
      </c>
      <c r="G9581" t="n">
        <v>177</v>
      </c>
      <c r="H9581" t="n">
        <v>3.69e-93</v>
      </c>
      <c r="I9581" t="inlineStr">
        <is>
          <t>Nr</t>
        </is>
      </c>
      <c r="J9581" t="inlineStr"/>
      <c r="K9581" t="inlineStr"/>
      <c r="L9581" t="inlineStr">
        <is>
          <t>OCT60694.1 hypothetical protein XELAEV_18046715mg [Xenopus laevis]</t>
        </is>
      </c>
      <c r="M9581" t="n">
        <v>489</v>
      </c>
      <c r="N9581" t="inlineStr">
        <is>
          <t>Xenopus laevis</t>
        </is>
      </c>
      <c r="O9581" t="inlineStr">
        <is>
          <t>hypothetical protein XELAEV_18046715mg</t>
        </is>
      </c>
    </row>
    <row r="9582">
      <c r="A9582" t="inlineStr"/>
      <c r="B9582" t="inlineStr"/>
      <c r="C9582" t="inlineStr"/>
      <c r="D9582" t="inlineStr"/>
      <c r="E9582">
        <f>HYPERLINK("https://www.ncbi.nlm.nih.gov/gene/?term=XP_018093341.2", "XP_018093341.2")</f>
        <v/>
      </c>
      <c r="F9582" t="n">
        <v>71.8</v>
      </c>
      <c r="G9582" t="n">
        <v>177</v>
      </c>
      <c r="H9582" t="n">
        <v>4.13e-93</v>
      </c>
      <c r="I9582" t="inlineStr">
        <is>
          <t>Nr</t>
        </is>
      </c>
      <c r="J9582" t="inlineStr"/>
      <c r="K9582" t="inlineStr"/>
      <c r="L9582" t="inlineStr">
        <is>
          <t>XP_018093341.2 LOW QUALITY PROTEIN: E3 ubiquitin/ISG15 ligase TRIM25 [Xenopus laevis]</t>
        </is>
      </c>
      <c r="M9582" t="n">
        <v>493</v>
      </c>
      <c r="N9582" t="inlineStr">
        <is>
          <t>Xenopus laevis</t>
        </is>
      </c>
      <c r="O9582" t="inlineStr">
        <is>
          <t>LOW QUALITY PROTEIN: E3 ubiquitin/ISG15 ligase TRIM25</t>
        </is>
      </c>
    </row>
    <row r="9583">
      <c r="A9583" t="inlineStr"/>
      <c r="B9583" t="inlineStr"/>
      <c r="C9583" t="inlineStr"/>
      <c r="D9583" t="inlineStr"/>
      <c r="E9583">
        <f>HYPERLINK("https://www.ncbi.nlm.nih.gov/gene/?term=XP_040185785.1", "XP_040185785.1")</f>
        <v/>
      </c>
      <c r="F9583" t="n">
        <v>74.40000000000001</v>
      </c>
      <c r="G9583" t="n">
        <v>176</v>
      </c>
      <c r="H9583" t="n">
        <v>9.67e-93</v>
      </c>
      <c r="I9583" t="inlineStr">
        <is>
          <t>Nr</t>
        </is>
      </c>
      <c r="J9583" t="inlineStr"/>
      <c r="K9583" t="inlineStr"/>
      <c r="L9583" t="inlineStr">
        <is>
          <t>XP_040185785.1 E3 ubiquitin-protein ligase TRIM47 [Rana temporaria]</t>
        </is>
      </c>
      <c r="M9583" t="n">
        <v>474</v>
      </c>
      <c r="N9583" t="inlineStr">
        <is>
          <t>Rana temporaria</t>
        </is>
      </c>
      <c r="O9583" t="inlineStr">
        <is>
          <t>E3 ubiquitin-protein ligase TRIM47</t>
        </is>
      </c>
    </row>
    <row r="9584">
      <c r="A9584" t="inlineStr"/>
      <c r="B9584" t="inlineStr"/>
      <c r="C9584" t="inlineStr"/>
      <c r="D9584" t="inlineStr"/>
      <c r="E9584">
        <f>HYPERLINK("https://www.ncbi.nlm.nih.gov/gene/?term=XP_018417036.1", "XP_018417036.1")</f>
        <v/>
      </c>
      <c r="F9584" t="n">
        <v>72.7</v>
      </c>
      <c r="G9584" t="n">
        <v>176</v>
      </c>
      <c r="H9584" t="n">
        <v>1.15e-90</v>
      </c>
      <c r="I9584" t="inlineStr">
        <is>
          <t>Nr</t>
        </is>
      </c>
      <c r="J9584" t="inlineStr"/>
      <c r="K9584" t="inlineStr"/>
      <c r="L9584" t="inlineStr">
        <is>
          <t>XP_018417036.1 PREDICTED: tripartite motif-containing protein 47 [Nanorana parkeri]</t>
        </is>
      </c>
      <c r="M9584" t="n">
        <v>574</v>
      </c>
      <c r="N9584" t="inlineStr">
        <is>
          <t>Nanorana parkeri</t>
        </is>
      </c>
      <c r="O9584" t="inlineStr">
        <is>
          <t>PREDICTED: tripartite motif-containing protein 47</t>
        </is>
      </c>
    </row>
    <row r="9585">
      <c r="A9585" t="inlineStr"/>
      <c r="B9585" t="inlineStr"/>
      <c r="C9585" t="inlineStr"/>
      <c r="D9585" t="inlineStr"/>
      <c r="E9585">
        <f>HYPERLINK("https://www.uniprot.org/uniprotkb/A0A8J6EQ15/entry", "A0A8J6EQ15")</f>
        <v/>
      </c>
      <c r="F9585" t="n">
        <v>70.59999999999999</v>
      </c>
      <c r="G9585" t="n">
        <v>177</v>
      </c>
      <c r="H9585" t="n">
        <v>3.92e-90</v>
      </c>
      <c r="I9585" t="inlineStr">
        <is>
          <t>TrEMBL</t>
        </is>
      </c>
      <c r="J9585" t="inlineStr">
        <is>
          <t>GDO78_004137</t>
        </is>
      </c>
      <c r="K9585" t="inlineStr">
        <is>
          <t>A0A8J6EQ15_ELECQ</t>
        </is>
      </c>
      <c r="L9585" t="inlineStr">
        <is>
          <t>tr|A0A8J6EQ15|A0A8J6EQ15_ELECQ Tripartite motif-containing protein 5 OS=Eleutherodactylus coqui OX=57060 GN=GDO78_004137 PE=4 SV=1</t>
        </is>
      </c>
      <c r="M9585" t="n">
        <v>462</v>
      </c>
      <c r="N9585" t="inlineStr">
        <is>
          <t>Eleutherodactylus coqui</t>
        </is>
      </c>
      <c r="O9585" t="inlineStr">
        <is>
          <t>Tripartite motif-containing protein 5</t>
        </is>
      </c>
    </row>
    <row r="9586">
      <c r="A9586" t="inlineStr"/>
      <c r="B9586" t="inlineStr"/>
      <c r="C9586" t="inlineStr"/>
      <c r="D9586" t="inlineStr"/>
      <c r="E9586">
        <f>HYPERLINK("https://www.uniprot.org/uniprotkb/A0A8J6ERF5/entry", "A0A8J6ERF5")</f>
        <v/>
      </c>
      <c r="F9586" t="n">
        <v>70.59999999999999</v>
      </c>
      <c r="G9586" t="n">
        <v>177</v>
      </c>
      <c r="H9586" t="n">
        <v>5.05e-90</v>
      </c>
      <c r="I9586" t="inlineStr">
        <is>
          <t>TrEMBL</t>
        </is>
      </c>
      <c r="J9586" t="inlineStr">
        <is>
          <t>GDO78_004137</t>
        </is>
      </c>
      <c r="K9586" t="inlineStr">
        <is>
          <t>A0A8J6ERF5_ELECQ</t>
        </is>
      </c>
      <c r="L9586" t="inlineStr">
        <is>
          <t>tr|A0A8J6ERF5|A0A8J6ERF5_ELECQ Tripartite motif-containing protein 65 OS=Eleutherodactylus coqui OX=57060 GN=GDO78_004137 PE=4 SV=1</t>
        </is>
      </c>
      <c r="M9586" t="n">
        <v>471</v>
      </c>
      <c r="N9586" t="inlineStr">
        <is>
          <t>Eleutherodactylus coqui</t>
        </is>
      </c>
      <c r="O9586" t="inlineStr">
        <is>
          <t>Tripartite motif-containing protein 65</t>
        </is>
      </c>
    </row>
    <row r="9587">
      <c r="A9587" t="inlineStr"/>
      <c r="B9587" t="inlineStr"/>
      <c r="C9587" t="inlineStr"/>
      <c r="D9587" t="inlineStr"/>
      <c r="E9587">
        <f>HYPERLINK("https://www.ncbi.nlm.nih.gov/gene/?term=KAG9473672.1", "KAG9473672.1")</f>
        <v/>
      </c>
      <c r="F9587" t="n">
        <v>70.59999999999999</v>
      </c>
      <c r="G9587" t="n">
        <v>177</v>
      </c>
      <c r="H9587" t="n">
        <v>1.01e-89</v>
      </c>
      <c r="I9587" t="inlineStr">
        <is>
          <t>Nr</t>
        </is>
      </c>
      <c r="J9587" t="inlineStr"/>
      <c r="K9587" t="inlineStr"/>
      <c r="L9587" t="inlineStr">
        <is>
          <t>KAG9473672.1 hypothetical protein GDO78_004137 [Eleutherodactylus coqui]</t>
        </is>
      </c>
      <c r="M9587" t="n">
        <v>462</v>
      </c>
      <c r="N9587" t="inlineStr">
        <is>
          <t>Eleutherodactylus coqui</t>
        </is>
      </c>
      <c r="O9587" t="inlineStr">
        <is>
          <t>hypothetical protein GDO78_004137</t>
        </is>
      </c>
    </row>
    <row r="9588">
      <c r="A9588" t="inlineStr"/>
      <c r="B9588" t="inlineStr"/>
      <c r="C9588" t="inlineStr"/>
      <c r="D9588" t="inlineStr"/>
      <c r="E9588">
        <f>HYPERLINK("https://www.ncbi.nlm.nih.gov/gene/?term=KAG9473671.1", "KAG9473671.1")</f>
        <v/>
      </c>
      <c r="F9588" t="n">
        <v>70.59999999999999</v>
      </c>
      <c r="G9588" t="n">
        <v>177</v>
      </c>
      <c r="H9588" t="n">
        <v>1.3e-89</v>
      </c>
      <c r="I9588" t="inlineStr">
        <is>
          <t>Nr</t>
        </is>
      </c>
      <c r="J9588" t="inlineStr"/>
      <c r="K9588" t="inlineStr"/>
      <c r="L9588" t="inlineStr">
        <is>
          <t>KAG9473671.1 hypothetical protein GDO78_004137 [Eleutherodactylus coqui]</t>
        </is>
      </c>
      <c r="M9588" t="n">
        <v>471</v>
      </c>
      <c r="N9588" t="inlineStr">
        <is>
          <t>Eleutherodactylus coqui</t>
        </is>
      </c>
      <c r="O9588" t="inlineStr">
        <is>
          <t>hypothetical protein GDO78_004137</t>
        </is>
      </c>
    </row>
    <row r="9589">
      <c r="A9589" t="inlineStr"/>
      <c r="B9589" t="inlineStr"/>
      <c r="C9589" t="inlineStr"/>
      <c r="D9589" t="inlineStr"/>
      <c r="E9589">
        <f>HYPERLINK("https://www.ncbi.nlm.nih.gov/gene/?term=KAG8565703.1", "KAG8565703.1")</f>
        <v/>
      </c>
      <c r="F9589" t="n">
        <v>69.5</v>
      </c>
      <c r="G9589" t="n">
        <v>177</v>
      </c>
      <c r="H9589" t="n">
        <v>3.93e-87</v>
      </c>
      <c r="I9589" t="inlineStr">
        <is>
          <t>Nr</t>
        </is>
      </c>
      <c r="J9589" t="inlineStr"/>
      <c r="K9589" t="inlineStr"/>
      <c r="L9589" t="inlineStr">
        <is>
          <t>KAG8565703.1 hypothetical protein GDO81_012951 [Engystomops pustulosus]</t>
        </is>
      </c>
      <c r="M9589" t="n">
        <v>477</v>
      </c>
      <c r="N9589" t="inlineStr">
        <is>
          <t>Engystomops pustulosus</t>
        </is>
      </c>
      <c r="O9589" t="inlineStr">
        <is>
          <t>hypothetical protein GDO81_012951</t>
        </is>
      </c>
    </row>
    <row r="9590">
      <c r="A9590" t="inlineStr"/>
      <c r="B9590" t="inlineStr"/>
      <c r="C9590" t="inlineStr"/>
      <c r="D9590" t="inlineStr"/>
      <c r="E9590">
        <f>HYPERLINK("https://www.ncbi.nlm.nih.gov/gene/?term=XP_040294745.1", "XP_040294745.1")</f>
        <v/>
      </c>
      <c r="F9590" t="n">
        <v>69.5</v>
      </c>
      <c r="G9590" t="n">
        <v>177</v>
      </c>
      <c r="H9590" t="n">
        <v>3.37e-86</v>
      </c>
      <c r="I9590" t="inlineStr">
        <is>
          <t>Nr</t>
        </is>
      </c>
      <c r="J9590" t="inlineStr"/>
      <c r="K9590" t="inlineStr"/>
      <c r="L9590" t="inlineStr">
        <is>
          <t>XP_040294745.1 E3 ubiquitin/ISG15 ligase TRIM25-like [Bufo bufo]</t>
        </is>
      </c>
      <c r="M9590" t="n">
        <v>467</v>
      </c>
      <c r="N9590" t="inlineStr">
        <is>
          <t>Bufo bufo</t>
        </is>
      </c>
      <c r="O9590" t="inlineStr">
        <is>
          <t>E3 ubiquitin/ISG15 ligase TRIM25-like</t>
        </is>
      </c>
    </row>
    <row r="9591">
      <c r="A9591" t="inlineStr"/>
      <c r="B9591" t="inlineStr"/>
      <c r="C9591" t="inlineStr"/>
      <c r="D9591" t="inlineStr"/>
      <c r="E9591">
        <f>HYPERLINK("https://www.ncbi.nlm.nih.gov/gene/?term=XP_044153357.1", "XP_044153357.1")</f>
        <v/>
      </c>
      <c r="F9591" t="n">
        <v>70.5</v>
      </c>
      <c r="G9591" t="n">
        <v>166</v>
      </c>
      <c r="H9591" t="n">
        <v>8.7e-82</v>
      </c>
      <c r="I9591" t="inlineStr">
        <is>
          <t>Nr</t>
        </is>
      </c>
      <c r="J9591" t="inlineStr"/>
      <c r="K9591" t="inlineStr"/>
      <c r="L9591" t="inlineStr">
        <is>
          <t>XP_044153357.1 E3 ubiquitin-protein ligase TRIM21-like [Bufo gargarizans]</t>
        </is>
      </c>
      <c r="M9591" t="n">
        <v>484</v>
      </c>
      <c r="N9591" t="inlineStr">
        <is>
          <t>Bufo gargarizans</t>
        </is>
      </c>
      <c r="O9591" t="inlineStr">
        <is>
          <t>E3 ubiquitin-protein ligase TRIM21-like</t>
        </is>
      </c>
    </row>
    <row r="9592">
      <c r="A9592" t="inlineStr"/>
      <c r="B9592" t="inlineStr"/>
      <c r="C9592" t="inlineStr"/>
      <c r="D9592" t="inlineStr"/>
      <c r="E9592">
        <f>HYPERLINK("https://www.ncbi.nlm.nih.gov/gene/?term=KAJ1130146.1", "KAJ1130146.1")</f>
        <v/>
      </c>
      <c r="F9592" t="n">
        <v>57.3</v>
      </c>
      <c r="G9592" t="n">
        <v>178</v>
      </c>
      <c r="H9592" t="n">
        <v>5.919999999999999e-67</v>
      </c>
      <c r="I9592" t="inlineStr">
        <is>
          <t>Nr</t>
        </is>
      </c>
      <c r="J9592" t="inlineStr"/>
      <c r="K9592" t="inlineStr"/>
      <c r="L9592" t="inlineStr">
        <is>
          <t>KAJ1130146.1 hypothetical protein NDU88_008502 [Pleurodeles waltl]</t>
        </is>
      </c>
      <c r="M9592" t="n">
        <v>577</v>
      </c>
      <c r="N9592" t="inlineStr">
        <is>
          <t>Pleurodeles waltl</t>
        </is>
      </c>
      <c r="O9592" t="inlineStr">
        <is>
          <t>hypothetical protein NDU88_008502</t>
        </is>
      </c>
    </row>
    <row r="9593">
      <c r="A9593" t="inlineStr"/>
      <c r="B9593" t="inlineStr"/>
      <c r="C9593" t="inlineStr"/>
      <c r="D9593" t="inlineStr"/>
      <c r="E9593">
        <f>HYPERLINK("https://www.uniprot.org/uniprotkb/A0A6P7YIH3/entry", "A0A6P7YIH3")</f>
        <v/>
      </c>
      <c r="F9593" t="n">
        <v>55.3</v>
      </c>
      <c r="G9593" t="n">
        <v>179</v>
      </c>
      <c r="H9593" t="n">
        <v>8.1e-66</v>
      </c>
      <c r="I9593" t="inlineStr">
        <is>
          <t>TrEMBL</t>
        </is>
      </c>
      <c r="J9593" t="inlineStr">
        <is>
          <t>LOC115472659</t>
        </is>
      </c>
      <c r="K9593" t="inlineStr">
        <is>
          <t>A0A6P7YIH3_9AMPH</t>
        </is>
      </c>
      <c r="L9593" t="inlineStr">
        <is>
          <t>tr|A0A6P7YIH3|A0A6P7YIH3_9AMPH tripartite motif-containing protein 16-like protein OS=Microcaecilia unicolor OX=1415580 GN=LOC115472659 PE=4 SV=1</t>
        </is>
      </c>
      <c r="M9593" t="n">
        <v>568</v>
      </c>
      <c r="N9593" t="inlineStr">
        <is>
          <t>Microcaecilia unicolor</t>
        </is>
      </c>
      <c r="O9593" t="inlineStr">
        <is>
          <t>tripartite motif-containing protein 16-like protein</t>
        </is>
      </c>
    </row>
    <row r="9594">
      <c r="A9594" t="inlineStr"/>
      <c r="B9594" t="inlineStr"/>
      <c r="C9594" t="inlineStr"/>
      <c r="D9594" t="inlineStr"/>
      <c r="E9594">
        <f>HYPERLINK("https://www.ncbi.nlm.nih.gov/gene/?term=XP_030062855.1", "XP_030062855.1")</f>
        <v/>
      </c>
      <c r="F9594" t="n">
        <v>55.3</v>
      </c>
      <c r="G9594" t="n">
        <v>179</v>
      </c>
      <c r="H9594" t="n">
        <v>2.08e-65</v>
      </c>
      <c r="I9594" t="inlineStr">
        <is>
          <t>Nr</t>
        </is>
      </c>
      <c r="J9594" t="inlineStr"/>
      <c r="K9594" t="inlineStr"/>
      <c r="L9594" t="inlineStr">
        <is>
          <t>XP_030062855.1 tripartite motif-containing protein 16-like protein [Microcaecilia unicolor]</t>
        </is>
      </c>
      <c r="M9594" t="n">
        <v>568</v>
      </c>
      <c r="N9594" t="inlineStr">
        <is>
          <t>Microcaecilia unicolor</t>
        </is>
      </c>
      <c r="O9594" t="inlineStr">
        <is>
          <t>tripartite motif-containing protein 16-like protein</t>
        </is>
      </c>
    </row>
    <row r="9595">
      <c r="A9595" t="inlineStr"/>
      <c r="B9595" t="inlineStr"/>
      <c r="C9595" t="inlineStr"/>
      <c r="D9595" t="inlineStr"/>
      <c r="E9595">
        <f>HYPERLINK("https://www.uniprot.org/uniprotkb/A0A6P8SC89/entry", "A0A6P8SC89")</f>
        <v/>
      </c>
      <c r="F9595" t="n">
        <v>53.1</v>
      </c>
      <c r="G9595" t="n">
        <v>177</v>
      </c>
      <c r="H9595" t="n">
        <v>5.24e-65</v>
      </c>
      <c r="I9595" t="inlineStr">
        <is>
          <t>TrEMBL</t>
        </is>
      </c>
      <c r="J9595" t="inlineStr">
        <is>
          <t>LOC117367406</t>
        </is>
      </c>
      <c r="K9595" t="inlineStr">
        <is>
          <t>A0A6P8SC89_GEOSA</t>
        </is>
      </c>
      <c r="L9595" t="inlineStr">
        <is>
          <t>tr|A0A6P8SC89|A0A6P8SC89_GEOSA tripartite motif-containing protein 16-like protein isoform X2 OS=Geotrypetes seraphini OX=260995 GN=LOC117367406 PE=4 SV=1</t>
        </is>
      </c>
      <c r="M9595" t="n">
        <v>482</v>
      </c>
      <c r="N9595" t="inlineStr">
        <is>
          <t>Geotrypetes seraphini</t>
        </is>
      </c>
      <c r="O9595" t="inlineStr">
        <is>
          <t>tripartite motif-containing protein 16-like protein isoform X2</t>
        </is>
      </c>
    </row>
    <row r="9596">
      <c r="A9596" t="inlineStr"/>
      <c r="B9596" t="inlineStr"/>
      <c r="C9596" t="inlineStr"/>
      <c r="D9596" t="inlineStr"/>
      <c r="E9596">
        <f>HYPERLINK("https://www.ncbi.nlm.nih.gov/gene/?term=XP_033815797.1", "XP_033815797.1")</f>
        <v/>
      </c>
      <c r="F9596" t="n">
        <v>53.1</v>
      </c>
      <c r="G9596" t="n">
        <v>177</v>
      </c>
      <c r="H9596" t="n">
        <v>1.34e-64</v>
      </c>
      <c r="I9596" t="inlineStr">
        <is>
          <t>Nr</t>
        </is>
      </c>
      <c r="J9596" t="inlineStr"/>
      <c r="K9596" t="inlineStr"/>
      <c r="L9596" t="inlineStr">
        <is>
          <t>XP_033815797.1 tripartite motif-containing protein 16-like protein isoform X2 [Geotrypetes seraphini]</t>
        </is>
      </c>
      <c r="M9596" t="n">
        <v>482</v>
      </c>
      <c r="N9596" t="inlineStr">
        <is>
          <t>Geotrypetes seraphini</t>
        </is>
      </c>
      <c r="O9596" t="inlineStr">
        <is>
          <t>tripartite motif-containing protein 16-like protein isoform X2</t>
        </is>
      </c>
    </row>
    <row r="9597">
      <c r="A9597" t="inlineStr"/>
      <c r="B9597" t="inlineStr"/>
      <c r="C9597" t="inlineStr"/>
      <c r="D9597" t="inlineStr"/>
      <c r="E9597">
        <f>HYPERLINK("https://www.uniprot.org/uniprotkb/A0A6P8SKR6/entry", "A0A6P8SKR6")</f>
        <v/>
      </c>
      <c r="F9597" t="n">
        <v>53.1</v>
      </c>
      <c r="G9597" t="n">
        <v>177</v>
      </c>
      <c r="H9597" t="n">
        <v>5.39e-64</v>
      </c>
      <c r="I9597" t="inlineStr">
        <is>
          <t>TrEMBL</t>
        </is>
      </c>
      <c r="J9597" t="inlineStr">
        <is>
          <t>LOC117367406</t>
        </is>
      </c>
      <c r="K9597" t="inlineStr">
        <is>
          <t>A0A6P8SKR6_GEOSA</t>
        </is>
      </c>
      <c r="L9597" t="inlineStr">
        <is>
          <t>tr|A0A6P8SKR6|A0A6P8SKR6_GEOSA E3 ubiquitin/ISG15 ligase TRIM25-like isoform X1 OS=Geotrypetes seraphini OX=260995 GN=LOC117367406 PE=4 SV=1</t>
        </is>
      </c>
      <c r="M9597" t="n">
        <v>591</v>
      </c>
      <c r="N9597" t="inlineStr">
        <is>
          <t>Geotrypetes seraphini</t>
        </is>
      </c>
      <c r="O9597" t="inlineStr">
        <is>
          <t>E3 ubiquitin/ISG15 ligase TRIM25-like isoform X1</t>
        </is>
      </c>
    </row>
    <row r="9598">
      <c r="A9598" t="inlineStr"/>
      <c r="B9598" t="inlineStr"/>
      <c r="C9598" t="inlineStr"/>
      <c r="D9598" t="inlineStr"/>
      <c r="E9598">
        <f>HYPERLINK("https://www.ncbi.nlm.nih.gov/gene/?term=XP_029456345.1", "XP_029456345.1")</f>
        <v/>
      </c>
      <c r="F9598" t="n">
        <v>54.2</v>
      </c>
      <c r="G9598" t="n">
        <v>179</v>
      </c>
      <c r="H9598" t="n">
        <v>8.430000000000001e-64</v>
      </c>
      <c r="I9598" t="inlineStr">
        <is>
          <t>Nr</t>
        </is>
      </c>
      <c r="J9598" t="inlineStr"/>
      <c r="K9598" t="inlineStr"/>
      <c r="L9598" t="inlineStr">
        <is>
          <t>XP_029456345.1 tripartite motif-containing protein 16-like protein [Rhinatrema bivittatum]</t>
        </is>
      </c>
      <c r="M9598" t="n">
        <v>566</v>
      </c>
      <c r="N9598" t="inlineStr">
        <is>
          <t>Rhinatrema bivittatum</t>
        </is>
      </c>
      <c r="O9598" t="inlineStr">
        <is>
          <t>tripartite motif-containing protein 16-like protein</t>
        </is>
      </c>
    </row>
    <row r="9599">
      <c r="A9599" t="inlineStr"/>
      <c r="B9599" t="inlineStr"/>
      <c r="C9599" t="inlineStr"/>
      <c r="D9599" t="inlineStr"/>
      <c r="E9599">
        <f>HYPERLINK("https://www.ncbi.nlm.nih.gov/gene/?term=XP_033815796.1", "XP_033815796.1")</f>
        <v/>
      </c>
      <c r="F9599" t="n">
        <v>53.1</v>
      </c>
      <c r="G9599" t="n">
        <v>177</v>
      </c>
      <c r="H9599" t="n">
        <v>1.38e-63</v>
      </c>
      <c r="I9599" t="inlineStr">
        <is>
          <t>Nr</t>
        </is>
      </c>
      <c r="J9599" t="inlineStr"/>
      <c r="K9599" t="inlineStr"/>
      <c r="L9599" t="inlineStr">
        <is>
          <t>XP_033815796.1 E3 ubiquitin/ISG15 ligase TRIM25-like isoform X1 [Geotrypetes seraphini]</t>
        </is>
      </c>
      <c r="M9599" t="n">
        <v>591</v>
      </c>
      <c r="N9599" t="inlineStr">
        <is>
          <t>Geotrypetes seraphini</t>
        </is>
      </c>
      <c r="O9599" t="inlineStr">
        <is>
          <t>E3 ubiquitin/ISG15 ligase TRIM25-like isoform X1</t>
        </is>
      </c>
    </row>
    <row r="9600">
      <c r="A9600" t="inlineStr"/>
      <c r="B9600" t="inlineStr"/>
      <c r="C9600" t="inlineStr"/>
      <c r="D9600" t="inlineStr"/>
      <c r="E9600">
        <f>HYPERLINK("https://www.uniprot.org/uniprotkb/A0A8C4TCX6/entry", "A0A8C4TCX6")</f>
        <v/>
      </c>
      <c r="F9600" t="n">
        <v>43.5</v>
      </c>
      <c r="G9600" t="n">
        <v>154</v>
      </c>
      <c r="H9600" t="n">
        <v>4.2e-41</v>
      </c>
      <c r="I9600" t="inlineStr">
        <is>
          <t>TrEMBL</t>
        </is>
      </c>
      <c r="J9600" t="inlineStr"/>
      <c r="K9600" t="inlineStr">
        <is>
          <t>A0A8C4TCX6_ERPCA</t>
        </is>
      </c>
      <c r="L9600" t="inlineStr">
        <is>
          <t>tr|A0A8C4TCX6|A0A8C4TCX6_ERPCA Tripartite motif-containing protein 16-like OS=Erpetoichthys calabaricus OX=27687 PE=4 SV=1</t>
        </is>
      </c>
      <c r="M9600" t="n">
        <v>424</v>
      </c>
      <c r="N9600" t="inlineStr">
        <is>
          <t>Erpetoichthys calabaricus</t>
        </is>
      </c>
      <c r="O9600" t="inlineStr">
        <is>
          <t>Tripartite motif-containing protein 16-like</t>
        </is>
      </c>
    </row>
    <row r="9601">
      <c r="A9601" t="inlineStr"/>
      <c r="B9601" t="inlineStr"/>
      <c r="C9601" t="inlineStr"/>
      <c r="D9601" t="inlineStr"/>
      <c r="E9601">
        <f>HYPERLINK("https://www.uniprot.org/uniprotkb/A0A8C4TCZ5/entry", "A0A8C4TCZ5")</f>
        <v/>
      </c>
      <c r="F9601" t="n">
        <v>43.5</v>
      </c>
      <c r="G9601" t="n">
        <v>154</v>
      </c>
      <c r="H9601" t="n">
        <v>1.66e-40</v>
      </c>
      <c r="I9601" t="inlineStr">
        <is>
          <t>TrEMBL</t>
        </is>
      </c>
      <c r="J9601" t="inlineStr"/>
      <c r="K9601" t="inlineStr">
        <is>
          <t>A0A8C4TCZ5_ERPCA</t>
        </is>
      </c>
      <c r="L9601" t="inlineStr">
        <is>
          <t>tr|A0A8C4TCZ5|A0A8C4TCZ5_ERPCA Tripartite motif-containing protein 16-like OS=Erpetoichthys calabaricus OX=27687 PE=4 SV=1</t>
        </is>
      </c>
      <c r="M9601" t="n">
        <v>507</v>
      </c>
      <c r="N9601" t="inlineStr">
        <is>
          <t>Erpetoichthys calabaricus</t>
        </is>
      </c>
      <c r="O9601" t="inlineStr">
        <is>
          <t>Tripartite motif-containing protein 16-like</t>
        </is>
      </c>
    </row>
    <row r="9602">
      <c r="A9602" t="inlineStr"/>
      <c r="B9602" t="inlineStr"/>
      <c r="C9602" t="inlineStr"/>
      <c r="D9602" t="inlineStr"/>
      <c r="E9602">
        <f>HYPERLINK("https://www.uniprot.org/uniprotkb/A0A8C4RRS5/entry", "A0A8C4RRS5")</f>
        <v/>
      </c>
      <c r="F9602" t="n">
        <v>41.2</v>
      </c>
      <c r="G9602" t="n">
        <v>153</v>
      </c>
      <c r="H9602" t="n">
        <v>7.999999999999999e-40</v>
      </c>
      <c r="I9602" t="inlineStr">
        <is>
          <t>TrEMBL</t>
        </is>
      </c>
      <c r="J9602" t="inlineStr"/>
      <c r="K9602" t="inlineStr">
        <is>
          <t>A0A8C4RRS5_ERPCA</t>
        </is>
      </c>
      <c r="L9602" t="inlineStr">
        <is>
          <t>tr|A0A8C4RRS5|A0A8C4RRS5_ERPCA B30.2/SPRY domain-containing protein OS=Erpetoichthys calabaricus OX=27687 PE=4 SV=1</t>
        </is>
      </c>
      <c r="M9602" t="n">
        <v>214</v>
      </c>
      <c r="N9602" t="inlineStr">
        <is>
          <t>Erpetoichthys calabaricus</t>
        </is>
      </c>
      <c r="O9602" t="inlineStr">
        <is>
          <t>B30.2/SPRY domain-containing protein</t>
        </is>
      </c>
    </row>
    <row r="9603">
      <c r="A9603" t="inlineStr"/>
      <c r="B9603" t="inlineStr"/>
      <c r="C9603" t="inlineStr"/>
      <c r="D9603" t="inlineStr"/>
      <c r="E9603">
        <f>HYPERLINK("https://www.uniprot.org/uniprotkb/A0A8C4TBG2/entry", "A0A8C4TBG2")</f>
        <v/>
      </c>
      <c r="F9603" t="n">
        <v>42.2</v>
      </c>
      <c r="G9603" t="n">
        <v>154</v>
      </c>
      <c r="H9603" t="n">
        <v>1.61e-39</v>
      </c>
      <c r="I9603" t="inlineStr">
        <is>
          <t>TrEMBL</t>
        </is>
      </c>
      <c r="J9603" t="inlineStr"/>
      <c r="K9603" t="inlineStr">
        <is>
          <t>A0A8C4TBG2_ERPCA</t>
        </is>
      </c>
      <c r="L9603" t="inlineStr">
        <is>
          <t>tr|A0A8C4TBG2|A0A8C4TBG2_ERPCA B30.2/SPRY domain-containing protein OS=Erpetoichthys calabaricus OX=27687 PE=4 SV=1</t>
        </is>
      </c>
      <c r="M9603" t="n">
        <v>202</v>
      </c>
      <c r="N9603" t="inlineStr">
        <is>
          <t>Erpetoichthys calabaricus</t>
        </is>
      </c>
      <c r="O9603" t="inlineStr">
        <is>
          <t>B30.2/SPRY domain-containing protein</t>
        </is>
      </c>
    </row>
    <row r="9604">
      <c r="A9604" t="inlineStr"/>
      <c r="B9604" t="inlineStr"/>
      <c r="C9604" t="inlineStr"/>
      <c r="D9604" t="inlineStr"/>
      <c r="E9604">
        <f>HYPERLINK("https://www.ncbi.nlm.nih.gov/gene/?term=XP_033910694.2", "XP_033910694.2")</f>
        <v/>
      </c>
      <c r="F9604" t="n">
        <v>41.4</v>
      </c>
      <c r="G9604" t="n">
        <v>152</v>
      </c>
      <c r="H9604" t="n">
        <v>3.19e-39</v>
      </c>
      <c r="I9604" t="inlineStr">
        <is>
          <t>Nr</t>
        </is>
      </c>
      <c r="J9604" t="inlineStr"/>
      <c r="K9604" t="inlineStr"/>
      <c r="L9604" t="inlineStr">
        <is>
          <t>XP_033910694.2 tripartite motif-containing protein 16-like protein [Acipenser ruthenus]</t>
        </is>
      </c>
      <c r="M9604" t="n">
        <v>181</v>
      </c>
      <c r="N9604" t="inlineStr">
        <is>
          <t>Acipenser ruthenus</t>
        </is>
      </c>
      <c r="O9604" t="inlineStr">
        <is>
          <t>tripartite motif-containing protein 16-like protein</t>
        </is>
      </c>
    </row>
    <row r="9605">
      <c r="A9605" t="inlineStr"/>
      <c r="B9605" t="inlineStr"/>
      <c r="C9605" t="inlineStr"/>
      <c r="D9605" t="inlineStr"/>
      <c r="E9605">
        <f>HYPERLINK("https://www.ncbi.nlm.nih.gov/gene/?term=XP_051790400.1", "XP_051790400.1")</f>
        <v/>
      </c>
      <c r="F9605" t="n">
        <v>41.2</v>
      </c>
      <c r="G9605" t="n">
        <v>153</v>
      </c>
      <c r="H9605" t="n">
        <v>6.82e-39</v>
      </c>
      <c r="I9605" t="inlineStr">
        <is>
          <t>Nr</t>
        </is>
      </c>
      <c r="J9605" t="inlineStr"/>
      <c r="K9605" t="inlineStr"/>
      <c r="L9605" t="inlineStr">
        <is>
          <t>XP_051790400.1 tripartite motif-containing protein 16-like [Erpetoichthys calabaricus]</t>
        </is>
      </c>
      <c r="M9605" t="n">
        <v>245</v>
      </c>
      <c r="N9605" t="inlineStr">
        <is>
          <t>Erpetoichthys calabaricus</t>
        </is>
      </c>
      <c r="O9605" t="inlineStr">
        <is>
          <t>tripartite motif-containing protein 16-like</t>
        </is>
      </c>
    </row>
    <row r="9606">
      <c r="A9606" t="inlineStr"/>
      <c r="B9606" t="inlineStr"/>
      <c r="C9606" t="inlineStr"/>
      <c r="D9606" t="inlineStr"/>
      <c r="E9606">
        <f>HYPERLINK("https://www.ncbi.nlm.nih.gov/gene/?term=XP_028670657.1", "XP_028670657.1")</f>
        <v/>
      </c>
      <c r="F9606" t="n">
        <v>44</v>
      </c>
      <c r="G9606" t="n">
        <v>150</v>
      </c>
      <c r="H9606" t="n">
        <v>8.19e-39</v>
      </c>
      <c r="I9606" t="inlineStr">
        <is>
          <t>Nr</t>
        </is>
      </c>
      <c r="J9606" t="inlineStr"/>
      <c r="K9606" t="inlineStr"/>
      <c r="L9606" t="inlineStr">
        <is>
          <t>XP_028670657.1 tripartite motif-containing protein 16-like [Erpetoichthys calabaricus]</t>
        </is>
      </c>
      <c r="M9606" t="n">
        <v>556</v>
      </c>
      <c r="N9606" t="inlineStr">
        <is>
          <t>Erpetoichthys calabaricus</t>
        </is>
      </c>
      <c r="O9606" t="inlineStr">
        <is>
          <t>tripartite motif-containing protein 16-like</t>
        </is>
      </c>
    </row>
    <row r="9607">
      <c r="A9607" t="inlineStr"/>
      <c r="B9607" t="inlineStr"/>
      <c r="C9607" t="inlineStr"/>
      <c r="D9607" t="inlineStr"/>
      <c r="E9607">
        <f>HYPERLINK("https://www.ncbi.nlm.nih.gov/gene/?term=XP_051783821.1", "XP_051783821.1")</f>
        <v/>
      </c>
      <c r="F9607" t="n">
        <v>43.6</v>
      </c>
      <c r="G9607" t="n">
        <v>156</v>
      </c>
      <c r="H9607" t="n">
        <v>8.76e-39</v>
      </c>
      <c r="I9607" t="inlineStr">
        <is>
          <t>Nr</t>
        </is>
      </c>
      <c r="J9607" t="inlineStr"/>
      <c r="K9607" t="inlineStr"/>
      <c r="L9607" t="inlineStr">
        <is>
          <t>XP_051783821.1 tripartite motif-containing protein 16-like isoform X3 [Erpetoichthys calabaricus]</t>
        </is>
      </c>
      <c r="M9607" t="n">
        <v>562</v>
      </c>
      <c r="N9607" t="inlineStr">
        <is>
          <t>Erpetoichthys calabaricus</t>
        </is>
      </c>
      <c r="O9607" t="inlineStr">
        <is>
          <t>tripartite motif-containing protein 16-like isoform X3</t>
        </is>
      </c>
    </row>
    <row r="9608">
      <c r="A9608" t="inlineStr"/>
      <c r="B9608" t="inlineStr"/>
      <c r="C9608" t="inlineStr"/>
      <c r="D9608" t="inlineStr"/>
      <c r="E9608">
        <f>HYPERLINK("https://www.uniprot.org/uniprotkb/A0A8C4TC56/entry", "A0A8C4TC56")</f>
        <v/>
      </c>
      <c r="F9608" t="n">
        <v>41.2</v>
      </c>
      <c r="G9608" t="n">
        <v>153</v>
      </c>
      <c r="H9608" t="n">
        <v>1.12e-38</v>
      </c>
      <c r="I9608" t="inlineStr">
        <is>
          <t>TrEMBL</t>
        </is>
      </c>
      <c r="J9608" t="inlineStr"/>
      <c r="K9608" t="inlineStr">
        <is>
          <t>A0A8C4TC56_ERPCA</t>
        </is>
      </c>
      <c r="L9608" t="inlineStr">
        <is>
          <t>tr|A0A8C4TC56|A0A8C4TC56_ERPCA B30.2/SPRY domain-containing protein OS=Erpetoichthys calabaricus OX=27687 PE=4 SV=1</t>
        </is>
      </c>
      <c r="M9608" t="n">
        <v>197</v>
      </c>
      <c r="N9608" t="inlineStr">
        <is>
          <t>Erpetoichthys calabaricus</t>
        </is>
      </c>
      <c r="O9608" t="inlineStr">
        <is>
          <t>B30.2/SPRY domain-containing protein</t>
        </is>
      </c>
    </row>
    <row r="9609">
      <c r="A9609" t="inlineStr"/>
      <c r="B9609" t="inlineStr"/>
      <c r="C9609" t="inlineStr"/>
      <c r="D9609" t="inlineStr"/>
      <c r="E9609">
        <f>HYPERLINK("https://www.uniprot.org/uniprotkb/A0A8C4XHD4/entry", "A0A8C4XHD4")</f>
        <v/>
      </c>
      <c r="F9609" t="n">
        <v>40.9</v>
      </c>
      <c r="G9609" t="n">
        <v>149</v>
      </c>
      <c r="H9609" t="n">
        <v>1.69e-38</v>
      </c>
      <c r="I9609" t="inlineStr">
        <is>
          <t>TrEMBL</t>
        </is>
      </c>
      <c r="J9609" t="inlineStr">
        <is>
          <t>LOC114644004</t>
        </is>
      </c>
      <c r="K9609" t="inlineStr">
        <is>
          <t>A0A8C4XHD4_ERPCA</t>
        </is>
      </c>
      <c r="L9609" t="inlineStr">
        <is>
          <t>tr|A0A8C4XHD4|A0A8C4XHD4_ERPCA Tripartite motif-containing protein 16-like OS=Erpetoichthys calabaricus OX=27687 GN=LOC114644004 PE=4 SV=1</t>
        </is>
      </c>
      <c r="M9609" t="n">
        <v>224</v>
      </c>
      <c r="N9609" t="inlineStr">
        <is>
          <t>Erpetoichthys calabaricus</t>
        </is>
      </c>
      <c r="O9609" t="inlineStr">
        <is>
          <t>Tripartite motif-containing protein 16-like</t>
        </is>
      </c>
    </row>
    <row r="9610">
      <c r="A9610" t="inlineStr"/>
      <c r="B9610" t="inlineStr"/>
      <c r="C9610" t="inlineStr"/>
      <c r="D9610" t="inlineStr"/>
      <c r="E9610">
        <f>HYPERLINK("https://www.uniprot.org/uniprotkb/A0A8C4RHW2/entry", "A0A8C4RHW2")</f>
        <v/>
      </c>
      <c r="F9610" t="n">
        <v>41.6</v>
      </c>
      <c r="G9610" t="n">
        <v>154</v>
      </c>
      <c r="H9610" t="n">
        <v>1.19e-37</v>
      </c>
      <c r="I9610" t="inlineStr">
        <is>
          <t>TrEMBL</t>
        </is>
      </c>
      <c r="J9610" t="inlineStr">
        <is>
          <t>LOC114651544</t>
        </is>
      </c>
      <c r="K9610" t="inlineStr">
        <is>
          <t>A0A8C4RHW2_ERPCA</t>
        </is>
      </c>
      <c r="L9610" t="inlineStr">
        <is>
          <t>tr|A0A8C4RHW2|A0A8C4RHW2_ERPCA Tripartite motif-containing protein 16-like OS=Erpetoichthys calabaricus OX=27687 GN=LOC114651544 PE=4 SV=1</t>
        </is>
      </c>
      <c r="M9610" t="n">
        <v>528</v>
      </c>
      <c r="N9610" t="inlineStr">
        <is>
          <t>Erpetoichthys calabaricus</t>
        </is>
      </c>
      <c r="O9610" t="inlineStr">
        <is>
          <t>Tripartite motif-containing protein 16-like</t>
        </is>
      </c>
    </row>
    <row r="9611">
      <c r="A9611" t="inlineStr"/>
      <c r="B9611" t="inlineStr"/>
      <c r="C9611" t="inlineStr"/>
      <c r="D9611" t="inlineStr"/>
      <c r="E9611">
        <f>HYPERLINK("https://www.uniprot.org/uniprotkb/A0A8C4TDM2/entry", "A0A8C4TDM2")</f>
        <v/>
      </c>
      <c r="F9611" t="n">
        <v>40.9</v>
      </c>
      <c r="G9611" t="n">
        <v>154</v>
      </c>
      <c r="H9611" t="n">
        <v>1.64e-37</v>
      </c>
      <c r="I9611" t="inlineStr">
        <is>
          <t>TrEMBL</t>
        </is>
      </c>
      <c r="J9611" t="inlineStr">
        <is>
          <t>LOC114644004</t>
        </is>
      </c>
      <c r="K9611" t="inlineStr">
        <is>
          <t>A0A8C4TDM2_ERPCA</t>
        </is>
      </c>
      <c r="L9611" t="inlineStr">
        <is>
          <t>tr|A0A8C4TDM2|A0A8C4TDM2_ERPCA Tripartite motif-containing protein 16-like OS=Erpetoichthys calabaricus OX=27687 GN=LOC114644004 PE=4 SV=1</t>
        </is>
      </c>
      <c r="M9611" t="n">
        <v>527</v>
      </c>
      <c r="N9611" t="inlineStr">
        <is>
          <t>Erpetoichthys calabaricus</t>
        </is>
      </c>
      <c r="O9611" t="inlineStr">
        <is>
          <t>Tripartite motif-containing protein 16-like</t>
        </is>
      </c>
    </row>
    <row r="9612">
      <c r="A9612" t="inlineStr"/>
      <c r="B9612" t="inlineStr"/>
      <c r="C9612" t="inlineStr"/>
      <c r="D9612" t="inlineStr"/>
      <c r="E9612">
        <f>HYPERLINK("https://www.uniprot.org/uniprotkb/A0A8C4RHV2/entry", "A0A8C4RHV2")</f>
        <v/>
      </c>
      <c r="F9612" t="n">
        <v>41.6</v>
      </c>
      <c r="G9612" t="n">
        <v>154</v>
      </c>
      <c r="H9612" t="n">
        <v>1.71e-37</v>
      </c>
      <c r="I9612" t="inlineStr">
        <is>
          <t>TrEMBL</t>
        </is>
      </c>
      <c r="J9612" t="inlineStr">
        <is>
          <t>LOC114651544</t>
        </is>
      </c>
      <c r="K9612" t="inlineStr">
        <is>
          <t>A0A8C4RHV2_ERPCA</t>
        </is>
      </c>
      <c r="L9612" t="inlineStr">
        <is>
          <t>tr|A0A8C4RHV2|A0A8C4RHV2_ERPCA Tripartite motif-containing protein 16-like OS=Erpetoichthys calabaricus OX=27687 GN=LOC114651544 PE=4 SV=1</t>
        </is>
      </c>
      <c r="M9612" t="n">
        <v>560</v>
      </c>
      <c r="N9612" t="inlineStr">
        <is>
          <t>Erpetoichthys calabaricus</t>
        </is>
      </c>
      <c r="O9612" t="inlineStr">
        <is>
          <t>Tripartite motif-containing protein 16-like</t>
        </is>
      </c>
    </row>
    <row r="9613">
      <c r="A9613" t="inlineStr"/>
      <c r="B9613" t="inlineStr"/>
      <c r="C9613" t="inlineStr"/>
      <c r="D9613" t="inlineStr"/>
      <c r="E9613">
        <f>HYPERLINK("https://www.uniprot.org/uniprotkb/A0A8C4TIF1/entry", "A0A8C4TIF1")</f>
        <v/>
      </c>
      <c r="F9613" t="n">
        <v>40.9</v>
      </c>
      <c r="G9613" t="n">
        <v>154</v>
      </c>
      <c r="H9613" t="n">
        <v>1.78e-37</v>
      </c>
      <c r="I9613" t="inlineStr">
        <is>
          <t>TrEMBL</t>
        </is>
      </c>
      <c r="J9613" t="inlineStr">
        <is>
          <t>LOC114644004</t>
        </is>
      </c>
      <c r="K9613" t="inlineStr">
        <is>
          <t>A0A8C4TIF1_ERPCA</t>
        </is>
      </c>
      <c r="L9613" t="inlineStr">
        <is>
          <t>tr|A0A8C4TIF1|A0A8C4TIF1_ERPCA Tripartite motif-containing protein 16-like OS=Erpetoichthys calabaricus OX=27687 GN=LOC114644004 PE=4 SV=1</t>
        </is>
      </c>
      <c r="M9613" t="n">
        <v>534</v>
      </c>
      <c r="N9613" t="inlineStr">
        <is>
          <t>Erpetoichthys calabaricus</t>
        </is>
      </c>
      <c r="O9613" t="inlineStr">
        <is>
          <t>Tripartite motif-containing protein 16-like</t>
        </is>
      </c>
    </row>
    <row r="9614">
      <c r="A9614" t="inlineStr"/>
      <c r="B9614" t="inlineStr"/>
      <c r="C9614" t="inlineStr"/>
      <c r="D9614" t="inlineStr"/>
      <c r="E9614">
        <f>HYPERLINK("https://www.uniprot.org/uniprotkb/A0A8C4RI22/entry", "A0A8C4RI22")</f>
        <v/>
      </c>
      <c r="F9614" t="n">
        <v>39.2</v>
      </c>
      <c r="G9614" t="n">
        <v>158</v>
      </c>
      <c r="H9614" t="n">
        <v>2.21e-37</v>
      </c>
      <c r="I9614" t="inlineStr">
        <is>
          <t>TrEMBL</t>
        </is>
      </c>
      <c r="J9614" t="inlineStr"/>
      <c r="K9614" t="inlineStr">
        <is>
          <t>A0A8C4RI22_ERPCA</t>
        </is>
      </c>
      <c r="L9614" t="inlineStr">
        <is>
          <t>tr|A0A8C4RI22|A0A8C4RI22_ERPCA B30.2/SPRY domain-containing protein OS=Erpetoichthys calabaricus OX=27687 PE=4 SV=1</t>
        </is>
      </c>
      <c r="M9614" t="n">
        <v>192</v>
      </c>
      <c r="N9614" t="inlineStr">
        <is>
          <t>Erpetoichthys calabaricus</t>
        </is>
      </c>
      <c r="O9614" t="inlineStr">
        <is>
          <t>B30.2/SPRY domain-containing protein</t>
        </is>
      </c>
    </row>
    <row r="9615">
      <c r="A9615" t="inlineStr"/>
      <c r="B9615" t="inlineStr"/>
      <c r="C9615" t="inlineStr"/>
      <c r="D9615" t="inlineStr"/>
      <c r="E9615">
        <f>HYPERLINK("https://www.uniprot.org/uniprotkb/A0A8C4XEU9/entry", "A0A8C4XEU9")</f>
        <v/>
      </c>
      <c r="F9615" t="n">
        <v>40.9</v>
      </c>
      <c r="G9615" t="n">
        <v>154</v>
      </c>
      <c r="H9615" t="n">
        <v>2.3e-37</v>
      </c>
      <c r="I9615" t="inlineStr">
        <is>
          <t>TrEMBL</t>
        </is>
      </c>
      <c r="J9615" t="inlineStr"/>
      <c r="K9615" t="inlineStr">
        <is>
          <t>A0A8C4XEU9_ERPCA</t>
        </is>
      </c>
      <c r="L9615" t="inlineStr">
        <is>
          <t>tr|A0A8C4XEU9|A0A8C4XEU9_ERPCA B30.2/SPRY domain-containing protein OS=Erpetoichthys calabaricus OX=27687 PE=4 SV=1</t>
        </is>
      </c>
      <c r="M9615" t="n">
        <v>396</v>
      </c>
      <c r="N9615" t="inlineStr">
        <is>
          <t>Erpetoichthys calabaricus</t>
        </is>
      </c>
      <c r="O9615" t="inlineStr">
        <is>
          <t>B30.2/SPRY domain-containing protein</t>
        </is>
      </c>
    </row>
    <row r="9616">
      <c r="A9616" t="inlineStr"/>
      <c r="B9616" t="inlineStr"/>
      <c r="C9616" t="inlineStr"/>
      <c r="D9616" t="inlineStr"/>
      <c r="E9616">
        <f>HYPERLINK("https://www.uniprot.org/uniprotkb/A0A8C4RMS9/entry", "A0A8C4RMS9")</f>
        <v/>
      </c>
      <c r="F9616" t="n">
        <v>40.9</v>
      </c>
      <c r="G9616" t="n">
        <v>154</v>
      </c>
      <c r="H9616" t="n">
        <v>3.23e-37</v>
      </c>
      <c r="I9616" t="inlineStr">
        <is>
          <t>TrEMBL</t>
        </is>
      </c>
      <c r="J9616" t="inlineStr">
        <is>
          <t>LOC114652514</t>
        </is>
      </c>
      <c r="K9616" t="inlineStr">
        <is>
          <t>A0A8C4RMS9_ERPCA</t>
        </is>
      </c>
      <c r="L9616" t="inlineStr">
        <is>
          <t>tr|A0A8C4RMS9|A0A8C4RMS9_ERPCA E3 ubiquitin/ISG15 ligase TRIM25-like OS=Erpetoichthys calabaricus OX=27687 GN=LOC114652514 PE=4 SV=1</t>
        </is>
      </c>
      <c r="M9616" t="n">
        <v>558</v>
      </c>
      <c r="N9616" t="inlineStr">
        <is>
          <t>Erpetoichthys calabaricus</t>
        </is>
      </c>
      <c r="O9616" t="inlineStr">
        <is>
          <t>E3 ubiquitin/ISG15 ligase TRIM25-like</t>
        </is>
      </c>
    </row>
    <row r="9617">
      <c r="A9617" t="inlineStr"/>
      <c r="B9617" t="inlineStr"/>
      <c r="C9617" t="inlineStr"/>
      <c r="D9617" t="inlineStr"/>
      <c r="E9617">
        <f>HYPERLINK("https://www.uniprot.org/uniprotkb/Q14142/entry", "Q14142")</f>
        <v/>
      </c>
      <c r="F9617" t="n">
        <v>37.7</v>
      </c>
      <c r="G9617" t="n">
        <v>151</v>
      </c>
      <c r="H9617" t="n">
        <v>1.84e-24</v>
      </c>
      <c r="I9617" t="inlineStr">
        <is>
          <t>Swiss-Prot</t>
        </is>
      </c>
      <c r="J9617" t="inlineStr">
        <is>
          <t>TRIM14</t>
        </is>
      </c>
      <c r="K9617" t="inlineStr">
        <is>
          <t>TRI14_HUMAN</t>
        </is>
      </c>
      <c r="L9617" t="inlineStr">
        <is>
          <t>sp|Q14142|TRI14_HUMAN Tripartite motif-containing protein 14 OS=Homo sapiens OX=9606 GN=TRIM14 PE=1 SV=2</t>
        </is>
      </c>
      <c r="M9617" t="n">
        <v>442</v>
      </c>
      <c r="N9617" t="inlineStr">
        <is>
          <t>Homo sapiens</t>
        </is>
      </c>
      <c r="O9617" t="inlineStr">
        <is>
          <t>Tripartite motif-containing protein 14</t>
        </is>
      </c>
    </row>
    <row r="9618">
      <c r="A9618" t="inlineStr"/>
      <c r="B9618" t="inlineStr"/>
      <c r="C9618" t="inlineStr"/>
      <c r="D9618" t="inlineStr"/>
      <c r="E9618">
        <f>HYPERLINK("https://www.uniprot.org/uniprotkb/Q8BVW3/entry", "Q8BVW3")</f>
        <v/>
      </c>
      <c r="F9618" t="n">
        <v>35.8</v>
      </c>
      <c r="G9618" t="n">
        <v>151</v>
      </c>
      <c r="H9618" t="n">
        <v>6.569999999999999e-24</v>
      </c>
      <c r="I9618" t="inlineStr">
        <is>
          <t>Swiss-Prot</t>
        </is>
      </c>
      <c r="J9618" t="inlineStr">
        <is>
          <t>Trim14</t>
        </is>
      </c>
      <c r="K9618" t="inlineStr">
        <is>
          <t>TRI14_MOUSE</t>
        </is>
      </c>
      <c r="L9618" t="inlineStr">
        <is>
          <t>sp|Q8BVW3|TRI14_MOUSE Tripartite motif-containing protein 14 OS=Mus musculus OX=10090 GN=Trim14 PE=1 SV=2</t>
        </is>
      </c>
      <c r="M9618" t="n">
        <v>440</v>
      </c>
      <c r="N9618" t="inlineStr">
        <is>
          <t>Mus musculus</t>
        </is>
      </c>
      <c r="O9618" t="inlineStr">
        <is>
          <t>Tripartite motif-containing protein 14</t>
        </is>
      </c>
    </row>
    <row r="9619">
      <c r="A9619" t="inlineStr"/>
      <c r="B9619" t="inlineStr"/>
      <c r="C9619" t="inlineStr"/>
      <c r="D9619" t="inlineStr"/>
      <c r="E9619">
        <f>HYPERLINK("https://www.uniprot.org/uniprotkb/Q14258/entry", "Q14258")</f>
        <v/>
      </c>
      <c r="F9619" t="n">
        <v>34.8</v>
      </c>
      <c r="G9619" t="n">
        <v>135</v>
      </c>
      <c r="H9619" t="n">
        <v>7.599999999999999e-23</v>
      </c>
      <c r="I9619" t="inlineStr">
        <is>
          <t>Swiss-Prot</t>
        </is>
      </c>
      <c r="J9619" t="inlineStr">
        <is>
          <t>TRIM25</t>
        </is>
      </c>
      <c r="K9619" t="inlineStr">
        <is>
          <t>TRI25_HUMAN</t>
        </is>
      </c>
      <c r="L9619" t="inlineStr">
        <is>
          <t>sp|Q14258|TRI25_HUMAN E3 ubiquitin/ISG15 ligase TRIM25 OS=Homo sapiens OX=9606 GN=TRIM25 PE=1 SV=2</t>
        </is>
      </c>
      <c r="M9619" t="n">
        <v>630</v>
      </c>
      <c r="N9619" t="inlineStr">
        <is>
          <t>Homo sapiens</t>
        </is>
      </c>
      <c r="O9619" t="inlineStr">
        <is>
          <t>E3 ubiquitin/ISG15 ligase TRIM25</t>
        </is>
      </c>
    </row>
    <row r="9620">
      <c r="A9620" t="inlineStr"/>
      <c r="B9620" t="inlineStr"/>
      <c r="C9620" t="inlineStr"/>
      <c r="D9620" t="inlineStr"/>
      <c r="E9620">
        <f>HYPERLINK("https://www.uniprot.org/uniprotkb/A0ZSK3/entry", "A0ZSK3")</f>
        <v/>
      </c>
      <c r="F9620" t="n">
        <v>41</v>
      </c>
      <c r="G9620" t="n">
        <v>139</v>
      </c>
      <c r="H9620" t="n">
        <v>9.280000000000001e-22</v>
      </c>
      <c r="I9620" t="inlineStr">
        <is>
          <t>Swiss-Prot</t>
        </is>
      </c>
      <c r="J9620" t="inlineStr"/>
      <c r="K9620" t="inlineStr">
        <is>
          <t>STXA_SYNVE</t>
        </is>
      </c>
      <c r="L9620" t="inlineStr">
        <is>
          <t>sp|A0ZSK3|STXA_SYNVE Neoverrucotoxin subunit alpha OS=Synanceia verrucosa OX=51996 PE=1 SV=1</t>
        </is>
      </c>
      <c r="M9620" t="n">
        <v>703</v>
      </c>
      <c r="N9620" t="inlineStr">
        <is>
          <t>Synanceia verrucosa</t>
        </is>
      </c>
      <c r="O9620" t="inlineStr">
        <is>
          <t>Neoverrucotoxin subunit alpha</t>
        </is>
      </c>
    </row>
    <row r="9621">
      <c r="A9621" t="inlineStr"/>
      <c r="B9621" t="inlineStr"/>
      <c r="C9621" t="inlineStr"/>
      <c r="D9621" t="inlineStr"/>
      <c r="E9621">
        <f>HYPERLINK("https://www.uniprot.org/uniprotkb/Q98989/entry", "Q98989")</f>
        <v/>
      </c>
      <c r="F9621" t="n">
        <v>40.9</v>
      </c>
      <c r="G9621" t="n">
        <v>137</v>
      </c>
      <c r="H9621" t="n">
        <v>1.26e-21</v>
      </c>
      <c r="I9621" t="inlineStr">
        <is>
          <t>Swiss-Prot</t>
        </is>
      </c>
      <c r="J9621" t="inlineStr"/>
      <c r="K9621" t="inlineStr">
        <is>
          <t>STXA_SYNHO</t>
        </is>
      </c>
      <c r="L9621" t="inlineStr">
        <is>
          <t>sp|Q98989|STXA_SYNHO Stonustoxin subunit alpha OS=Synanceia horrida OX=13279 PE=1 SV=3</t>
        </is>
      </c>
      <c r="M9621" t="n">
        <v>703</v>
      </c>
      <c r="N9621" t="inlineStr">
        <is>
          <t>Synanceia horrida</t>
        </is>
      </c>
      <c r="O9621" t="inlineStr">
        <is>
          <t>Stonustoxin subunit alpha</t>
        </is>
      </c>
    </row>
    <row r="9622">
      <c r="A9622" t="inlineStr"/>
      <c r="B9622" t="inlineStr"/>
      <c r="C9622" t="inlineStr"/>
      <c r="D9622" t="inlineStr"/>
      <c r="E9622">
        <f>HYPERLINK("https://www.uniprot.org/uniprotkb/A0ZSK4/entry", "A0ZSK4")</f>
        <v/>
      </c>
      <c r="F9622" t="n">
        <v>36.2</v>
      </c>
      <c r="G9622" t="n">
        <v>149</v>
      </c>
      <c r="H9622" t="n">
        <v>2.75e-20</v>
      </c>
      <c r="I9622" t="inlineStr">
        <is>
          <t>Swiss-Prot</t>
        </is>
      </c>
      <c r="J9622" t="inlineStr"/>
      <c r="K9622" t="inlineStr">
        <is>
          <t>STXB_SYNVE</t>
        </is>
      </c>
      <c r="L9622" t="inlineStr">
        <is>
          <t>sp|A0ZSK4|STXB_SYNVE Neoverrucotoxin subunit beta OS=Synanceia verrucosa OX=51996 PE=1 SV=1</t>
        </is>
      </c>
      <c r="M9622" t="n">
        <v>700</v>
      </c>
      <c r="N9622" t="inlineStr">
        <is>
          <t>Synanceia verrucosa</t>
        </is>
      </c>
      <c r="O9622" t="inlineStr">
        <is>
          <t>Neoverrucotoxin subunit beta</t>
        </is>
      </c>
    </row>
    <row r="9623">
      <c r="A9623" t="inlineStr"/>
      <c r="B9623" t="inlineStr"/>
      <c r="C9623" t="inlineStr"/>
      <c r="D9623" t="inlineStr"/>
      <c r="E9623">
        <f>HYPERLINK("https://www.uniprot.org/uniprotkb/Q61510/entry", "Q61510")</f>
        <v/>
      </c>
      <c r="F9623" t="n">
        <v>32.1</v>
      </c>
      <c r="G9623" t="n">
        <v>134</v>
      </c>
      <c r="H9623" t="n">
        <v>4.99e-20</v>
      </c>
      <c r="I9623" t="inlineStr">
        <is>
          <t>Swiss-Prot</t>
        </is>
      </c>
      <c r="J9623" t="inlineStr">
        <is>
          <t>Trim25</t>
        </is>
      </c>
      <c r="K9623" t="inlineStr">
        <is>
          <t>TRI25_MOUSE</t>
        </is>
      </c>
      <c r="L9623" t="inlineStr">
        <is>
          <t>sp|Q61510|TRI25_MOUSE E3 ubiquitin/ISG15 ligase TRIM25 OS=Mus musculus OX=10090 GN=Trim25 PE=1 SV=2</t>
        </is>
      </c>
      <c r="M9623" t="n">
        <v>634</v>
      </c>
      <c r="N9623" t="inlineStr">
        <is>
          <t>Mus musculus</t>
        </is>
      </c>
      <c r="O9623" t="inlineStr">
        <is>
          <t>E3 ubiquitin/ISG15 ligase TRIM25</t>
        </is>
      </c>
    </row>
    <row r="9624">
      <c r="A9624" t="inlineStr"/>
      <c r="B9624" t="inlineStr"/>
      <c r="C9624" t="inlineStr"/>
      <c r="D9624" t="inlineStr"/>
      <c r="E9624">
        <f>HYPERLINK("https://www.uniprot.org/uniprotkb/Q99PP9/entry", "Q99PP9")</f>
        <v/>
      </c>
      <c r="F9624" t="n">
        <v>31.3</v>
      </c>
      <c r="G9624" t="n">
        <v>163</v>
      </c>
      <c r="H9624" t="n">
        <v>8.81e-20</v>
      </c>
      <c r="I9624" t="inlineStr">
        <is>
          <t>Swiss-Prot</t>
        </is>
      </c>
      <c r="J9624" t="inlineStr">
        <is>
          <t>Trim16</t>
        </is>
      </c>
      <c r="K9624" t="inlineStr">
        <is>
          <t>TRI16_MOUSE</t>
        </is>
      </c>
      <c r="L9624" t="inlineStr">
        <is>
          <t>sp|Q99PP9|TRI16_MOUSE Tripartite motif-containing protein 16 OS=Mus musculus OX=10090 GN=Trim16 PE=1 SV=2</t>
        </is>
      </c>
      <c r="M9624" t="n">
        <v>556</v>
      </c>
      <c r="N9624" t="inlineStr">
        <is>
          <t>Mus musculus</t>
        </is>
      </c>
      <c r="O9624" t="inlineStr">
        <is>
          <t>Tripartite motif-containing protein 16</t>
        </is>
      </c>
    </row>
    <row r="9625">
      <c r="A9625" t="inlineStr"/>
      <c r="B9625" t="inlineStr"/>
      <c r="C9625" t="inlineStr"/>
      <c r="D9625" t="inlineStr"/>
      <c r="E9625">
        <f>HYPERLINK("https://www.uniprot.org/uniprotkb/Q91453/entry", "Q91453")</f>
        <v/>
      </c>
      <c r="F9625" t="n">
        <v>36.2</v>
      </c>
      <c r="G9625" t="n">
        <v>149</v>
      </c>
      <c r="H9625" t="n">
        <v>9.45e-20</v>
      </c>
      <c r="I9625" t="inlineStr">
        <is>
          <t>Swiss-Prot</t>
        </is>
      </c>
      <c r="J9625" t="inlineStr"/>
      <c r="K9625" t="inlineStr">
        <is>
          <t>STXB_SYNHO</t>
        </is>
      </c>
      <c r="L9625" t="inlineStr">
        <is>
          <t>sp|Q91453|STXB_SYNHO Stonustoxin subunit beta OS=Synanceia horrida OX=13279 PE=1 SV=3</t>
        </is>
      </c>
      <c r="M9625" t="n">
        <v>700</v>
      </c>
      <c r="N9625" t="inlineStr">
        <is>
          <t>Synanceia horrida</t>
        </is>
      </c>
      <c r="O9625" t="inlineStr">
        <is>
          <t>Stonustoxin subunit beta</t>
        </is>
      </c>
    </row>
    <row r="9626">
      <c r="A9626" t="inlineStr"/>
      <c r="B9626" t="inlineStr"/>
      <c r="C9626" t="inlineStr"/>
      <c r="D9626" t="inlineStr"/>
      <c r="E9626">
        <f>HYPERLINK("https://www.uniprot.org/uniprotkb/A0A2P1BRP3/entry", "A0A2P1BRP3")</f>
        <v/>
      </c>
      <c r="F9626" t="n">
        <v>34.2</v>
      </c>
      <c r="G9626" t="n">
        <v>149</v>
      </c>
      <c r="H9626" t="n">
        <v>1.75e-19</v>
      </c>
      <c r="I9626" t="inlineStr">
        <is>
          <t>Swiss-Prot</t>
        </is>
      </c>
      <c r="J9626" t="inlineStr"/>
      <c r="K9626" t="inlineStr">
        <is>
          <t>CTXB_SCOPL</t>
        </is>
      </c>
      <c r="L9626" t="inlineStr">
        <is>
          <t>sp|A0A2P1BRP3|CTXB_SCOPL Cytolytic toxin-beta OS=Scorpaena plumieri OX=274700 PE=1 SV=1</t>
        </is>
      </c>
      <c r="M9626" t="n">
        <v>702</v>
      </c>
      <c r="N9626" t="inlineStr">
        <is>
          <t>Scorpaena plumieri</t>
        </is>
      </c>
      <c r="O9626" t="inlineStr">
        <is>
          <t>Cytolytic toxin-beta</t>
        </is>
      </c>
    </row>
    <row r="9627">
      <c r="A9627" t="inlineStr"/>
      <c r="B9627" t="inlineStr"/>
      <c r="C9627" t="inlineStr"/>
      <c r="D9627" t="inlineStr"/>
      <c r="E9627">
        <f>HYPERLINK("https://www.uniprot.org/uniprotkb/O95361/entry", "O95361")</f>
        <v/>
      </c>
      <c r="F9627" t="n">
        <v>30.7</v>
      </c>
      <c r="G9627" t="n">
        <v>163</v>
      </c>
      <c r="H9627" t="n">
        <v>3.05e-19</v>
      </c>
      <c r="I9627" t="inlineStr">
        <is>
          <t>Swiss-Prot</t>
        </is>
      </c>
      <c r="J9627" t="inlineStr">
        <is>
          <t>TRIM16</t>
        </is>
      </c>
      <c r="K9627" t="inlineStr">
        <is>
          <t>TRI16_HUMAN</t>
        </is>
      </c>
      <c r="L9627" t="inlineStr">
        <is>
          <t>sp|O95361|TRI16_HUMAN Tripartite motif-containing protein 16 OS=Homo sapiens OX=9606 GN=TRIM16 PE=1 SV=3</t>
        </is>
      </c>
      <c r="M9627" t="n">
        <v>564</v>
      </c>
      <c r="N9627" t="inlineStr">
        <is>
          <t>Homo sapiens</t>
        </is>
      </c>
      <c r="O9627" t="inlineStr">
        <is>
          <t>Tripartite motif-containing protein 16</t>
        </is>
      </c>
    </row>
    <row r="9628">
      <c r="A9628" t="inlineStr"/>
      <c r="B9628" t="inlineStr"/>
      <c r="C9628" t="inlineStr"/>
      <c r="D9628" t="inlineStr"/>
      <c r="E9628">
        <f>HYPERLINK("https://www.uniprot.org/uniprotkb/Q5R760/entry", "Q5R760")</f>
        <v/>
      </c>
      <c r="F9628" t="n">
        <v>30.7</v>
      </c>
      <c r="G9628" t="n">
        <v>163</v>
      </c>
      <c r="H9628" t="n">
        <v>3.05e-19</v>
      </c>
      <c r="I9628" t="inlineStr">
        <is>
          <t>Swiss-Prot</t>
        </is>
      </c>
      <c r="J9628" t="inlineStr">
        <is>
          <t>TRIM16</t>
        </is>
      </c>
      <c r="K9628" t="inlineStr">
        <is>
          <t>TRI16_PONAB</t>
        </is>
      </c>
      <c r="L9628" t="inlineStr">
        <is>
          <t>sp|Q5R760|TRI16_PONAB E3 ubiquitin-protein ligase TRIM16 OS=Pongo abelii OX=9601 GN=TRIM16 PE=2 SV=1</t>
        </is>
      </c>
      <c r="M9628" t="n">
        <v>564</v>
      </c>
      <c r="N9628" t="inlineStr">
        <is>
          <t>Pongo abelii</t>
        </is>
      </c>
      <c r="O9628" t="inlineStr">
        <is>
          <t>E3 ubiquitin-protein ligase TRIM16</t>
        </is>
      </c>
    </row>
    <row r="9629">
      <c r="A9629" t="inlineStr"/>
      <c r="B9629" t="inlineStr"/>
      <c r="C9629" t="inlineStr"/>
      <c r="D9629" t="inlineStr"/>
      <c r="E9629">
        <f>HYPERLINK("https://www.uniprot.org/uniprotkb/Q309B1/entry", "Q309B1")</f>
        <v/>
      </c>
      <c r="F9629" t="n">
        <v>31.7</v>
      </c>
      <c r="G9629" t="n">
        <v>164</v>
      </c>
      <c r="H9629" t="n">
        <v>4.75e-19</v>
      </c>
      <c r="I9629" t="inlineStr">
        <is>
          <t>Swiss-Prot</t>
        </is>
      </c>
      <c r="J9629" t="inlineStr">
        <is>
          <t>TRIM16L</t>
        </is>
      </c>
      <c r="K9629" t="inlineStr">
        <is>
          <t>TR16L_HUMAN</t>
        </is>
      </c>
      <c r="L9629" t="inlineStr">
        <is>
          <t>sp|Q309B1|TR16L_HUMAN Tripartite motif-containing protein 16-like protein OS=Homo sapiens OX=9606 GN=TRIM16L PE=1 SV=3</t>
        </is>
      </c>
      <c r="M9629" t="n">
        <v>348</v>
      </c>
      <c r="N9629" t="inlineStr">
        <is>
          <t>Homo sapiens</t>
        </is>
      </c>
      <c r="O9629" t="inlineStr">
        <is>
          <t>Tripartite motif-containing protein 16-like protein</t>
        </is>
      </c>
    </row>
    <row r="9630">
      <c r="A9630" t="inlineStr"/>
      <c r="B9630" t="inlineStr"/>
      <c r="C9630" t="inlineStr"/>
      <c r="D9630" t="inlineStr"/>
      <c r="E9630">
        <f>HYPERLINK("https://www.uniprot.org/uniprotkb/Q8BFW4/entry", "Q8BFW4")</f>
        <v/>
      </c>
      <c r="F9630" t="n">
        <v>30.9</v>
      </c>
      <c r="G9630" t="n">
        <v>152</v>
      </c>
      <c r="H9630" t="n">
        <v>4.85e-16</v>
      </c>
      <c r="I9630" t="inlineStr">
        <is>
          <t>Swiss-Prot</t>
        </is>
      </c>
      <c r="J9630" t="inlineStr">
        <is>
          <t>Trim65</t>
        </is>
      </c>
      <c r="K9630" t="inlineStr">
        <is>
          <t>TRI65_MOUSE</t>
        </is>
      </c>
      <c r="L9630" t="inlineStr">
        <is>
          <t>sp|Q8BFW4|TRI65_MOUSE Tripartite motif-containing protein 65 OS=Mus musculus OX=10090 GN=Trim65 PE=1 SV=1</t>
        </is>
      </c>
      <c r="M9630" t="n">
        <v>522</v>
      </c>
      <c r="N9630" t="inlineStr">
        <is>
          <t>Mus musculus</t>
        </is>
      </c>
      <c r="O9630" t="inlineStr">
        <is>
          <t>Tripartite motif-containing protein 65</t>
        </is>
      </c>
    </row>
    <row r="9631">
      <c r="A9631" t="inlineStr"/>
      <c r="B9631" t="inlineStr"/>
      <c r="C9631" t="inlineStr"/>
      <c r="D9631" t="inlineStr"/>
      <c r="E9631">
        <f>HYPERLINK("https://www.uniprot.org/uniprotkb/A4QPC6/entry", "A4QPC6")</f>
        <v/>
      </c>
      <c r="F9631" t="n">
        <v>30.3</v>
      </c>
      <c r="G9631" t="n">
        <v>142</v>
      </c>
      <c r="H9631" t="n">
        <v>3.06e-15</v>
      </c>
      <c r="I9631" t="inlineStr">
        <is>
          <t>Swiss-Prot</t>
        </is>
      </c>
      <c r="J9631" t="inlineStr">
        <is>
          <t>Btn2a2</t>
        </is>
      </c>
      <c r="K9631" t="inlineStr">
        <is>
          <t>BT2A2_MOUSE</t>
        </is>
      </c>
      <c r="L9631" t="inlineStr">
        <is>
          <t>sp|A4QPC6|BT2A2_MOUSE Butyrophilin subfamily 2 member A2 OS=Mus musculus OX=10090 GN=Btn2a2 PE=1 SV=1</t>
        </is>
      </c>
      <c r="M9631" t="n">
        <v>514</v>
      </c>
      <c r="N9631" t="inlineStr">
        <is>
          <t>Mus musculus</t>
        </is>
      </c>
      <c r="O9631" t="inlineStr">
        <is>
          <t>Butyrophilin subfamily 2 member A2</t>
        </is>
      </c>
    </row>
    <row r="9632">
      <c r="A9632" t="inlineStr"/>
      <c r="B9632" t="inlineStr"/>
      <c r="C9632" t="inlineStr"/>
      <c r="D9632" t="inlineStr"/>
      <c r="E9632">
        <f>HYPERLINK("https://www.uniprot.org/uniprotkb/P19474/entry", "P19474")</f>
        <v/>
      </c>
      <c r="F9632" t="n">
        <v>31.4</v>
      </c>
      <c r="G9632" t="n">
        <v>156</v>
      </c>
      <c r="H9632" t="n">
        <v>1.38e-14</v>
      </c>
      <c r="I9632" t="inlineStr">
        <is>
          <t>Swiss-Prot</t>
        </is>
      </c>
      <c r="J9632" t="inlineStr">
        <is>
          <t>TRIM21</t>
        </is>
      </c>
      <c r="K9632" t="inlineStr">
        <is>
          <t>RO52_HUMAN</t>
        </is>
      </c>
      <c r="L9632" t="inlineStr">
        <is>
          <t>sp|P19474|RO52_HUMAN E3 ubiquitin-protein ligase TRIM21 OS=Homo sapiens OX=9606 GN=TRIM21 PE=1 SV=1</t>
        </is>
      </c>
      <c r="M9632" t="n">
        <v>475</v>
      </c>
      <c r="N9632" t="inlineStr">
        <is>
          <t>Homo sapiens</t>
        </is>
      </c>
      <c r="O9632" t="inlineStr">
        <is>
          <t>E3 ubiquitin-protein ligase TRIM21</t>
        </is>
      </c>
    </row>
    <row r="9633">
      <c r="A9633" t="inlineStr"/>
      <c r="B9633" t="inlineStr"/>
      <c r="C9633" t="inlineStr"/>
      <c r="D9633" t="inlineStr"/>
      <c r="E9633">
        <f>HYPERLINK("https://www.uniprot.org/uniprotkb/Q7KYR7/entry", "Q7KYR7")</f>
        <v/>
      </c>
      <c r="F9633" t="n">
        <v>30.5</v>
      </c>
      <c r="G9633" t="n">
        <v>141</v>
      </c>
      <c r="H9633" t="n">
        <v>4.91e-14</v>
      </c>
      <c r="I9633" t="inlineStr">
        <is>
          <t>Swiss-Prot</t>
        </is>
      </c>
      <c r="J9633" t="inlineStr">
        <is>
          <t>BTN2A1</t>
        </is>
      </c>
      <c r="K9633" t="inlineStr">
        <is>
          <t>BT2A1_HUMAN</t>
        </is>
      </c>
      <c r="L9633" t="inlineStr">
        <is>
          <t>sp|Q7KYR7|BT2A1_HUMAN Butyrophilin subfamily 2 member A1 OS=Homo sapiens OX=9606 GN=BTN2A1 PE=1 SV=3</t>
        </is>
      </c>
      <c r="M9633" t="n">
        <v>527</v>
      </c>
      <c r="N9633" t="inlineStr">
        <is>
          <t>Homo sapiens</t>
        </is>
      </c>
      <c r="O9633" t="inlineStr">
        <is>
          <t>Butyrophilin subfamily 2 member A1</t>
        </is>
      </c>
    </row>
    <row r="9634">
      <c r="A9634" t="inlineStr"/>
      <c r="B9634" t="inlineStr"/>
      <c r="C9634" t="inlineStr"/>
      <c r="D9634" t="inlineStr"/>
      <c r="E9634">
        <f>HYPERLINK("https://www.uniprot.org/uniprotkb/Q640S6/entry", "Q640S6")</f>
        <v/>
      </c>
      <c r="F9634" t="n">
        <v>31.1</v>
      </c>
      <c r="G9634" t="n">
        <v>151</v>
      </c>
      <c r="H9634" t="n">
        <v>6.44e-14</v>
      </c>
      <c r="I9634" t="inlineStr">
        <is>
          <t>Swiss-Prot</t>
        </is>
      </c>
      <c r="J9634" t="inlineStr">
        <is>
          <t>trim72</t>
        </is>
      </c>
      <c r="K9634" t="inlineStr">
        <is>
          <t>TRI72_XENTR</t>
        </is>
      </c>
      <c r="L9634" t="inlineStr">
        <is>
          <t>sp|Q640S6|TRI72_XENTR Tripartite motif-containing protein 72 OS=Xenopus tropicalis OX=8364 GN=trim72 PE=2 SV=1</t>
        </is>
      </c>
      <c r="M9634" t="n">
        <v>477</v>
      </c>
      <c r="N9634" t="inlineStr">
        <is>
          <t>Xenopus tropicalis</t>
        </is>
      </c>
      <c r="O9634" t="inlineStr">
        <is>
          <t>Tripartite motif-containing protein 72</t>
        </is>
      </c>
    </row>
    <row r="9635">
      <c r="A9635" t="inlineStr"/>
      <c r="B9635" t="inlineStr"/>
      <c r="C9635" t="inlineStr"/>
      <c r="D9635" t="inlineStr"/>
      <c r="E9635">
        <f>HYPERLINK("https://www.uniprot.org/uniprotkb/Q8WVV5/entry", "Q8WVV5")</f>
        <v/>
      </c>
      <c r="F9635" t="n">
        <v>31.8</v>
      </c>
      <c r="G9635" t="n">
        <v>132</v>
      </c>
      <c r="H9635" t="n">
        <v>6.649999999999999e-14</v>
      </c>
      <c r="I9635" t="inlineStr">
        <is>
          <t>Swiss-Prot</t>
        </is>
      </c>
      <c r="J9635" t="inlineStr">
        <is>
          <t>BTN2A2</t>
        </is>
      </c>
      <c r="K9635" t="inlineStr">
        <is>
          <t>BT2A2_HUMAN</t>
        </is>
      </c>
      <c r="L9635" t="inlineStr">
        <is>
          <t>sp|Q8WVV5|BT2A2_HUMAN Butyrophilin subfamily 2 member A2 OS=Homo sapiens OX=9606 GN=BTN2A2 PE=1 SV=2</t>
        </is>
      </c>
      <c r="M9635" t="n">
        <v>523</v>
      </c>
      <c r="N9635" t="inlineStr">
        <is>
          <t>Homo sapiens</t>
        </is>
      </c>
      <c r="O9635" t="inlineStr">
        <is>
          <t>Butyrophilin subfamily 2 member A2</t>
        </is>
      </c>
    </row>
    <row r="9636">
      <c r="A9636" t="inlineStr"/>
      <c r="B9636" t="inlineStr"/>
      <c r="C9636" t="inlineStr"/>
      <c r="D9636" t="inlineStr"/>
      <c r="E9636">
        <f>HYPERLINK("https://www.uniprot.org/uniprotkb/Q13410/entry", "Q13410")</f>
        <v/>
      </c>
      <c r="F9636" t="n">
        <v>32.4</v>
      </c>
      <c r="G9636" t="n">
        <v>139</v>
      </c>
      <c r="H9636" t="n">
        <v>2.27e-13</v>
      </c>
      <c r="I9636" t="inlineStr">
        <is>
          <t>Swiss-Prot</t>
        </is>
      </c>
      <c r="J9636" t="inlineStr">
        <is>
          <t>BTN1A1</t>
        </is>
      </c>
      <c r="K9636" t="inlineStr">
        <is>
          <t>BT1A1_HUMAN</t>
        </is>
      </c>
      <c r="L9636" t="inlineStr">
        <is>
          <t>sp|Q13410|BT1A1_HUMAN Butyrophilin subfamily 1 member A1 OS=Homo sapiens OX=9606 GN=BTN1A1 PE=1 SV=3</t>
        </is>
      </c>
      <c r="M9636" t="n">
        <v>526</v>
      </c>
      <c r="N9636" t="inlineStr">
        <is>
          <t>Homo sapiens</t>
        </is>
      </c>
      <c r="O9636" t="inlineStr">
        <is>
          <t>Butyrophilin subfamily 1 member A1</t>
        </is>
      </c>
    </row>
    <row r="9637">
      <c r="A9637" t="inlineStr"/>
      <c r="B9637" t="inlineStr"/>
      <c r="C9637" t="inlineStr"/>
      <c r="D9637" t="inlineStr"/>
      <c r="E9637">
        <f>HYPERLINK("https://www.uniprot.org/uniprotkb/O15344/entry", "O15344")</f>
        <v/>
      </c>
      <c r="F9637" t="n">
        <v>35.3</v>
      </c>
      <c r="G9637" t="n">
        <v>119</v>
      </c>
      <c r="H9637" t="n">
        <v>2.41e-13</v>
      </c>
      <c r="I9637" t="inlineStr">
        <is>
          <t>Swiss-Prot</t>
        </is>
      </c>
      <c r="J9637" t="inlineStr">
        <is>
          <t>MID1</t>
        </is>
      </c>
      <c r="K9637" t="inlineStr">
        <is>
          <t>TRI18_HUMAN</t>
        </is>
      </c>
      <c r="L9637" t="inlineStr">
        <is>
          <t>sp|O15344|TRI18_HUMAN E3 ubiquitin-protein ligase Midline-1 OS=Homo sapiens OX=9606 GN=MID1 PE=1 SV=1</t>
        </is>
      </c>
      <c r="M9637" t="n">
        <v>667</v>
      </c>
      <c r="N9637" t="inlineStr">
        <is>
          <t>Homo sapiens</t>
        </is>
      </c>
      <c r="O9637" t="inlineStr">
        <is>
          <t>E3 ubiquitin-protein ligase Midline-1</t>
        </is>
      </c>
    </row>
    <row r="9638">
      <c r="A9638" t="inlineStr"/>
      <c r="B9638" t="inlineStr"/>
      <c r="C9638" t="inlineStr"/>
      <c r="D9638" t="inlineStr"/>
      <c r="E9638">
        <f>HYPERLINK("https://www.uniprot.org/uniprotkb/Q6P6S3/entry", "Q6P6S3")</f>
        <v/>
      </c>
      <c r="F9638" t="n">
        <v>30.2</v>
      </c>
      <c r="G9638" t="n">
        <v>139</v>
      </c>
      <c r="H9638" t="n">
        <v>5.38e-13</v>
      </c>
      <c r="I9638" t="inlineStr">
        <is>
          <t>Swiss-Prot</t>
        </is>
      </c>
      <c r="J9638" t="inlineStr">
        <is>
          <t>Bspry</t>
        </is>
      </c>
      <c r="K9638" t="inlineStr">
        <is>
          <t>BSPRY_RAT</t>
        </is>
      </c>
      <c r="L9638" t="inlineStr">
        <is>
          <t>sp|Q6P6S3|BSPRY_RAT B box and SPRY domain-containing protein OS=Rattus norvegicus OX=10116 GN=Bspry PE=1 SV=2</t>
        </is>
      </c>
      <c r="M9638" t="n">
        <v>448</v>
      </c>
      <c r="N9638" t="inlineStr">
        <is>
          <t>Rattus norvegicus</t>
        </is>
      </c>
      <c r="O9638" t="inlineStr">
        <is>
          <t>B box and SPRY domain-containing protein</t>
        </is>
      </c>
    </row>
    <row r="9639">
      <c r="A9639" t="inlineStr"/>
      <c r="B9639" t="inlineStr"/>
      <c r="C9639" t="inlineStr"/>
      <c r="D9639" t="inlineStr"/>
      <c r="E9639">
        <f>HYPERLINK("https://www.uniprot.org/uniprotkb/Q5R7W8/entry", "Q5R7W8")</f>
        <v/>
      </c>
      <c r="F9639" t="n">
        <v>29.5</v>
      </c>
      <c r="G9639" t="n">
        <v>132</v>
      </c>
      <c r="H9639" t="n">
        <v>5.71e-13</v>
      </c>
      <c r="I9639" t="inlineStr">
        <is>
          <t>Swiss-Prot</t>
        </is>
      </c>
      <c r="J9639" t="inlineStr">
        <is>
          <t>BTN2A2</t>
        </is>
      </c>
      <c r="K9639" t="inlineStr">
        <is>
          <t>BT2A2_PONAB</t>
        </is>
      </c>
      <c r="L9639" t="inlineStr">
        <is>
          <t>sp|Q5R7W8|BT2A2_PONAB Butyrophilin subfamily 2 member A2 OS=Pongo abelii OX=9601 GN=BTN2A2 PE=2 SV=1</t>
        </is>
      </c>
      <c r="M9639" t="n">
        <v>528</v>
      </c>
      <c r="N9639" t="inlineStr">
        <is>
          <t>Pongo abelii</t>
        </is>
      </c>
      <c r="O9639" t="inlineStr">
        <is>
          <t>Butyrophilin subfamily 2 member A2</t>
        </is>
      </c>
    </row>
    <row r="9640">
      <c r="A9640" t="inlineStr"/>
      <c r="B9640" t="inlineStr"/>
      <c r="C9640" t="inlineStr"/>
      <c r="D9640" t="inlineStr"/>
      <c r="E9640">
        <f>HYPERLINK("https://www.uniprot.org/uniprotkb/Q7YRV4/entry", "Q7YRV4")</f>
        <v/>
      </c>
      <c r="F9640" t="n">
        <v>28.3</v>
      </c>
      <c r="G9640" t="n">
        <v>159</v>
      </c>
      <c r="H9640" t="n">
        <v>7.47e-13</v>
      </c>
      <c r="I9640" t="inlineStr">
        <is>
          <t>Swiss-Prot</t>
        </is>
      </c>
      <c r="J9640" t="inlineStr">
        <is>
          <t>TRIM21</t>
        </is>
      </c>
      <c r="K9640" t="inlineStr">
        <is>
          <t>RO52_BOVIN</t>
        </is>
      </c>
      <c r="L9640" t="inlineStr">
        <is>
          <t>sp|Q7YRV4|RO52_BOVIN E3 ubiquitin-protein ligase TRIM21 OS=Bos taurus OX=9913 GN=TRIM21 PE=2 SV=1</t>
        </is>
      </c>
      <c r="M9640" t="n">
        <v>469</v>
      </c>
      <c r="N9640" t="inlineStr">
        <is>
          <t>Bos taurus</t>
        </is>
      </c>
      <c r="O9640" t="inlineStr">
        <is>
          <t>E3 ubiquitin-protein ligase TRIM21</t>
        </is>
      </c>
    </row>
    <row r="9641">
      <c r="A9641" t="inlineStr"/>
      <c r="B9641" t="inlineStr"/>
      <c r="C9641" t="inlineStr"/>
      <c r="D9641" t="inlineStr"/>
      <c r="E9641">
        <f>HYPERLINK("https://www.uniprot.org/uniprotkb/Q6PGR9/entry", "Q6PGR9")</f>
        <v/>
      </c>
      <c r="F9641" t="n">
        <v>29.1</v>
      </c>
      <c r="G9641" t="n">
        <v>151</v>
      </c>
      <c r="H9641" t="n">
        <v>7.52e-13</v>
      </c>
      <c r="I9641" t="inlineStr">
        <is>
          <t>Swiss-Prot</t>
        </is>
      </c>
      <c r="J9641" t="inlineStr">
        <is>
          <t>trim72</t>
        </is>
      </c>
      <c r="K9641" t="inlineStr">
        <is>
          <t>TRI72_XENLA</t>
        </is>
      </c>
      <c r="L9641" t="inlineStr">
        <is>
          <t>sp|Q6PGR9|TRI72_XENLA Tripartite motif-containing protein 72 OS=Xenopus laevis OX=8355 GN=trim72 PE=2 SV=1</t>
        </is>
      </c>
      <c r="M9641" t="n">
        <v>477</v>
      </c>
      <c r="N9641" t="inlineStr">
        <is>
          <t>Xenopus laevis</t>
        </is>
      </c>
      <c r="O9641" t="inlineStr">
        <is>
          <t>Tripartite motif-containing protein 72</t>
        </is>
      </c>
    </row>
    <row r="9642">
      <c r="A9642" t="inlineStr">
        <is>
          <t>NODE_79277_length_2086_cov_25.006439_g23529_i1</t>
        </is>
      </c>
      <c r="B9642" t="inlineStr">
        <is>
          <t>bombina_pachypus_blastx</t>
        </is>
      </c>
      <c r="C9642" t="n">
        <v>-4.01646863185416</v>
      </c>
      <c r="D9642" t="n">
        <v>0.0155254916624562</v>
      </c>
      <c r="E9642">
        <f>HYPERLINK("https://www.uniprot.org/uniprotkb/Q6DCD1/entry", "Q6DCD1")</f>
        <v/>
      </c>
      <c r="F9642" t="n">
        <v>70.3</v>
      </c>
      <c r="G9642" t="n">
        <v>249</v>
      </c>
      <c r="H9642" t="n">
        <v>7.94e-113</v>
      </c>
      <c r="I9642" t="inlineStr">
        <is>
          <t>Swiss-Prot</t>
        </is>
      </c>
      <c r="J9642" t="inlineStr">
        <is>
          <t>fggy</t>
        </is>
      </c>
      <c r="K9642" t="inlineStr">
        <is>
          <t>FGGY_XENLA</t>
        </is>
      </c>
      <c r="L9642" t="inlineStr">
        <is>
          <t>sp|Q6DCD1|FGGY_XENLA FGGY carbohydrate kinase domain-containing protein OS=Xenopus laevis OX=8355 GN=fggy PE=2 SV=2</t>
        </is>
      </c>
      <c r="M9642" t="n">
        <v>550</v>
      </c>
      <c r="N9642" t="inlineStr">
        <is>
          <t>Xenopus laevis</t>
        </is>
      </c>
      <c r="O9642" t="inlineStr">
        <is>
          <t>FGGY carbohydrate kinase domain-containing protein</t>
        </is>
      </c>
    </row>
    <row r="9643">
      <c r="A9643" t="inlineStr"/>
      <c r="B9643" t="inlineStr"/>
      <c r="C9643" t="inlineStr"/>
      <c r="D9643" t="inlineStr"/>
      <c r="E9643">
        <f>HYPERLINK("https://www.uniprot.org/uniprotkb/A0A8J1MVB8/entry", "A0A8J1MVB8")</f>
        <v/>
      </c>
      <c r="F9643" t="n">
        <v>70.3</v>
      </c>
      <c r="G9643" t="n">
        <v>249</v>
      </c>
      <c r="H9643" t="n">
        <v>7.86e-112</v>
      </c>
      <c r="I9643" t="inlineStr">
        <is>
          <t>TrEMBL</t>
        </is>
      </c>
      <c r="J9643" t="inlineStr">
        <is>
          <t>fggy.L</t>
        </is>
      </c>
      <c r="K9643" t="inlineStr">
        <is>
          <t>A0A8J1MVB8_XENLA</t>
        </is>
      </c>
      <c r="L9643" t="inlineStr">
        <is>
          <t>tr|A0A8J1MVB8|A0A8J1MVB8_XENLA FGGY carbohydrate kinase domain-containing protein isoform X3 OS=Xenopus laevis OX=8355 GN=fggy.L PE=3 SV=1</t>
        </is>
      </c>
      <c r="M9643" t="n">
        <v>439</v>
      </c>
      <c r="N9643" t="inlineStr">
        <is>
          <t>Xenopus laevis</t>
        </is>
      </c>
      <c r="O9643" t="inlineStr">
        <is>
          <t>FGGY carbohydrate kinase domain-containing protein isoform X3</t>
        </is>
      </c>
    </row>
    <row r="9644">
      <c r="A9644" t="inlineStr"/>
      <c r="B9644" t="inlineStr"/>
      <c r="C9644" t="inlineStr"/>
      <c r="D9644" t="inlineStr"/>
      <c r="E9644">
        <f>HYPERLINK("https://www.ncbi.nlm.nih.gov/gene/?term=XP_041445278.1", "XP_041445278.1")</f>
        <v/>
      </c>
      <c r="F9644" t="n">
        <v>70.3</v>
      </c>
      <c r="G9644" t="n">
        <v>249</v>
      </c>
      <c r="H9644" t="n">
        <v>2.02e-111</v>
      </c>
      <c r="I9644" t="inlineStr">
        <is>
          <t>Nr</t>
        </is>
      </c>
      <c r="J9644" t="inlineStr"/>
      <c r="K9644" t="inlineStr"/>
      <c r="L9644" t="inlineStr">
        <is>
          <t>XP_041445278.1 FGGY carbohydrate kinase domain-containing protein isoform X3 [Xenopus laevis]</t>
        </is>
      </c>
      <c r="M9644" t="n">
        <v>439</v>
      </c>
      <c r="N9644" t="inlineStr">
        <is>
          <t>Xenopus laevis</t>
        </is>
      </c>
      <c r="O9644" t="inlineStr">
        <is>
          <t>FGGY carbohydrate kinase domain-containing protein isoform X3</t>
        </is>
      </c>
    </row>
    <row r="9645">
      <c r="A9645" t="inlineStr"/>
      <c r="B9645" t="inlineStr"/>
      <c r="C9645" t="inlineStr"/>
      <c r="D9645" t="inlineStr"/>
      <c r="E9645">
        <f>HYPERLINK("https://www.ncbi.nlm.nih.gov/gene/?term=AAH78117.1", "AAH78117.1")</f>
        <v/>
      </c>
      <c r="F9645" t="n">
        <v>70.3</v>
      </c>
      <c r="G9645" t="n">
        <v>249</v>
      </c>
      <c r="H9645" t="n">
        <v>2.86e-111</v>
      </c>
      <c r="I9645" t="inlineStr">
        <is>
          <t>Nr</t>
        </is>
      </c>
      <c r="J9645" t="inlineStr"/>
      <c r="K9645" t="inlineStr"/>
      <c r="L9645" t="inlineStr">
        <is>
          <t>AAH78117.1 MGC83632 protein [Xenopus laevis]</t>
        </is>
      </c>
      <c r="M9645" t="n">
        <v>439</v>
      </c>
      <c r="N9645" t="inlineStr">
        <is>
          <t>Xenopus laevis</t>
        </is>
      </c>
      <c r="O9645" t="inlineStr">
        <is>
          <t>MGC83632 protein</t>
        </is>
      </c>
    </row>
    <row r="9646">
      <c r="A9646" t="inlineStr"/>
      <c r="B9646" t="inlineStr"/>
      <c r="C9646" t="inlineStr"/>
      <c r="D9646" t="inlineStr"/>
      <c r="E9646">
        <f>HYPERLINK("https://www.uniprot.org/uniprotkb/A0A8J1MV04/entry", "A0A8J1MV04")</f>
        <v/>
      </c>
      <c r="F9646" t="n">
        <v>70.3</v>
      </c>
      <c r="G9646" t="n">
        <v>249</v>
      </c>
      <c r="H9646" t="n">
        <v>3.69e-110</v>
      </c>
      <c r="I9646" t="inlineStr">
        <is>
          <t>TrEMBL</t>
        </is>
      </c>
      <c r="J9646" t="inlineStr">
        <is>
          <t>fggy.L</t>
        </is>
      </c>
      <c r="K9646" t="inlineStr">
        <is>
          <t>A0A8J1MV04_XENLA</t>
        </is>
      </c>
      <c r="L9646" t="inlineStr">
        <is>
          <t>tr|A0A8J1MV04|A0A8J1MV04_XENLA FGGY carbohydrate kinase domain-containing protein isoform X1 OS=Xenopus laevis OX=8355 GN=fggy.L PE=3 SV=1</t>
        </is>
      </c>
      <c r="M9646" t="n">
        <v>568</v>
      </c>
      <c r="N9646" t="inlineStr">
        <is>
          <t>Xenopus laevis</t>
        </is>
      </c>
      <c r="O9646" t="inlineStr">
        <is>
          <t>FGGY carbohydrate kinase domain-containing protein isoform X1</t>
        </is>
      </c>
    </row>
    <row r="9647">
      <c r="A9647" t="inlineStr"/>
      <c r="B9647" t="inlineStr"/>
      <c r="C9647" t="inlineStr"/>
      <c r="D9647" t="inlineStr"/>
      <c r="E9647">
        <f>HYPERLINK("https://www.ncbi.nlm.nih.gov/gene/?term=OCT84858.1", "OCT84858.1")</f>
        <v/>
      </c>
      <c r="F9647" t="n">
        <v>70.3</v>
      </c>
      <c r="G9647" t="n">
        <v>249</v>
      </c>
      <c r="H9647" t="n">
        <v>5.66e-110</v>
      </c>
      <c r="I9647" t="inlineStr">
        <is>
          <t>Nr</t>
        </is>
      </c>
      <c r="J9647" t="inlineStr"/>
      <c r="K9647" t="inlineStr"/>
      <c r="L9647" t="inlineStr">
        <is>
          <t>OCT84858.1 hypothetical protein XELAEV_18023017mg [Xenopus laevis]</t>
        </is>
      </c>
      <c r="M9647" t="n">
        <v>550</v>
      </c>
      <c r="N9647" t="inlineStr">
        <is>
          <t>Xenopus laevis</t>
        </is>
      </c>
      <c r="O9647" t="inlineStr">
        <is>
          <t>hypothetical protein XELAEV_18023017mg</t>
        </is>
      </c>
    </row>
    <row r="9648">
      <c r="A9648" t="inlineStr"/>
      <c r="B9648" t="inlineStr"/>
      <c r="C9648" t="inlineStr"/>
      <c r="D9648" t="inlineStr"/>
      <c r="E9648">
        <f>HYPERLINK("https://www.ncbi.nlm.nih.gov/gene/?term=NP_001087170.2", "NP_001087170.2")</f>
        <v/>
      </c>
      <c r="F9648" t="n">
        <v>70.3</v>
      </c>
      <c r="G9648" t="n">
        <v>249</v>
      </c>
      <c r="H9648" t="n">
        <v>8.01e-110</v>
      </c>
      <c r="I9648" t="inlineStr">
        <is>
          <t>Nr</t>
        </is>
      </c>
      <c r="J9648" t="inlineStr"/>
      <c r="K9648" t="inlineStr"/>
      <c r="L9648" t="inlineStr">
        <is>
          <t>NP_001087170.2 FGGY carbohydrate kinase domain-containing protein [Xenopus laevis]</t>
        </is>
      </c>
      <c r="M9648" t="n">
        <v>550</v>
      </c>
      <c r="N9648" t="inlineStr">
        <is>
          <t>Xenopus laevis</t>
        </is>
      </c>
      <c r="O9648" t="inlineStr">
        <is>
          <t>FGGY carbohydrate kinase domain-containing protein</t>
        </is>
      </c>
    </row>
    <row r="9649">
      <c r="A9649" t="inlineStr"/>
      <c r="B9649" t="inlineStr"/>
      <c r="C9649" t="inlineStr"/>
      <c r="D9649" t="inlineStr"/>
      <c r="E9649">
        <f>HYPERLINK("https://www.ncbi.nlm.nih.gov/gene/?term=XP_041445276.1", "XP_041445276.1")</f>
        <v/>
      </c>
      <c r="F9649" t="n">
        <v>70.3</v>
      </c>
      <c r="G9649" t="n">
        <v>249</v>
      </c>
      <c r="H9649" t="n">
        <v>9.470000000000001e-110</v>
      </c>
      <c r="I9649" t="inlineStr">
        <is>
          <t>Nr</t>
        </is>
      </c>
      <c r="J9649" t="inlineStr"/>
      <c r="K9649" t="inlineStr"/>
      <c r="L9649" t="inlineStr">
        <is>
          <t>XP_041445276.1 FGGY carbohydrate kinase domain-containing protein isoform X1 [Xenopus laevis]</t>
        </is>
      </c>
      <c r="M9649" t="n">
        <v>568</v>
      </c>
      <c r="N9649" t="inlineStr">
        <is>
          <t>Xenopus laevis</t>
        </is>
      </c>
      <c r="O9649" t="inlineStr">
        <is>
          <t>FGGY carbohydrate kinase domain-containing protein isoform X1</t>
        </is>
      </c>
    </row>
    <row r="9650">
      <c r="A9650" t="inlineStr"/>
      <c r="B9650" t="inlineStr"/>
      <c r="C9650" t="inlineStr"/>
      <c r="D9650" t="inlineStr"/>
      <c r="E9650">
        <f>HYPERLINK("https://www.uniprot.org/uniprotkb/V9L7C1/entry", "V9L7C1")</f>
        <v/>
      </c>
      <c r="F9650" t="n">
        <v>65.90000000000001</v>
      </c>
      <c r="G9650" t="n">
        <v>252</v>
      </c>
      <c r="H9650" t="n">
        <v>1.66e-109</v>
      </c>
      <c r="I9650" t="inlineStr">
        <is>
          <t>TrEMBL</t>
        </is>
      </c>
      <c r="J9650" t="inlineStr"/>
      <c r="K9650" t="inlineStr">
        <is>
          <t>V9L7C1_CALMI</t>
        </is>
      </c>
      <c r="L9650" t="inlineStr">
        <is>
          <t>tr|V9L7C1|V9L7C1_CALMI FGGY carbohydrate kinase domain-containing protein-like protein (Fragment) OS=Callorhinchus milii OX=7868 PE=2 SV=1</t>
        </is>
      </c>
      <c r="M9650" t="n">
        <v>262</v>
      </c>
      <c r="N9650" t="inlineStr">
        <is>
          <t>Callorhinchus milii</t>
        </is>
      </c>
      <c r="O9650" t="inlineStr">
        <is>
          <t>FGGY carbohydrate kinase domain-containing protein-like protein (Fragment)</t>
        </is>
      </c>
    </row>
    <row r="9651">
      <c r="A9651" t="inlineStr"/>
      <c r="B9651" t="inlineStr"/>
      <c r="C9651" t="inlineStr"/>
      <c r="D9651" t="inlineStr"/>
      <c r="E9651">
        <f>HYPERLINK("https://www.uniprot.org/uniprotkb/A0A8C5R5M8/entry", "A0A8C5R5M8")</f>
        <v/>
      </c>
      <c r="F9651" t="n">
        <v>67.90000000000001</v>
      </c>
      <c r="G9651" t="n">
        <v>252</v>
      </c>
      <c r="H9651" t="n">
        <v>3.03e-109</v>
      </c>
      <c r="I9651" t="inlineStr">
        <is>
          <t>TrEMBL</t>
        </is>
      </c>
      <c r="J9651" t="inlineStr">
        <is>
          <t>FGGY</t>
        </is>
      </c>
      <c r="K9651" t="inlineStr">
        <is>
          <t>A0A8C5R5M8_9ANUR</t>
        </is>
      </c>
      <c r="L9651" t="inlineStr">
        <is>
          <t>tr|A0A8C5R5M8|A0A8C5R5M8_9ANUR FGGY carbohydrate kinase domain containing OS=Leptobrachium leishanense OX=445787 GN=FGGY PE=3 SV=1</t>
        </is>
      </c>
      <c r="M9651" t="n">
        <v>569</v>
      </c>
      <c r="N9651" t="inlineStr">
        <is>
          <t>Leptobrachium leishanense</t>
        </is>
      </c>
      <c r="O9651" t="inlineStr">
        <is>
          <t>FGGY carbohydrate kinase domain containing</t>
        </is>
      </c>
    </row>
    <row r="9652">
      <c r="A9652" t="inlineStr"/>
      <c r="B9652" t="inlineStr"/>
      <c r="C9652" t="inlineStr"/>
      <c r="D9652" t="inlineStr"/>
      <c r="E9652">
        <f>HYPERLINK("https://www.ncbi.nlm.nih.gov/gene/?term=XP_032645136.1", "XP_032645136.1")</f>
        <v/>
      </c>
      <c r="F9652" t="n">
        <v>66.3</v>
      </c>
      <c r="G9652" t="n">
        <v>252</v>
      </c>
      <c r="H9652" t="n">
        <v>4.290000000000001e-109</v>
      </c>
      <c r="I9652" t="inlineStr">
        <is>
          <t>Nr</t>
        </is>
      </c>
      <c r="J9652" t="inlineStr"/>
      <c r="K9652" t="inlineStr"/>
      <c r="L9652" t="inlineStr">
        <is>
          <t>XP_032645136.1 FGGY carbohydrate kinase domain-containing protein-like isoform X2 [Chelonoidis abingdonii]</t>
        </is>
      </c>
      <c r="M9652" t="n">
        <v>252</v>
      </c>
      <c r="N9652" t="inlineStr">
        <is>
          <t>Chelonoidis abingdonii</t>
        </is>
      </c>
      <c r="O9652" t="inlineStr">
        <is>
          <t>FGGY carbohydrate kinase domain-containing protein-like isoform X2</t>
        </is>
      </c>
    </row>
    <row r="9653">
      <c r="A9653" t="inlineStr"/>
      <c r="B9653" t="inlineStr"/>
      <c r="C9653" t="inlineStr"/>
      <c r="D9653" t="inlineStr"/>
      <c r="E9653">
        <f>HYPERLINK("https://www.ncbi.nlm.nih.gov/gene/?term=XP_027392904.1", "XP_027392904.1")</f>
        <v/>
      </c>
      <c r="F9653" t="n">
        <v>66.5</v>
      </c>
      <c r="G9653" t="n">
        <v>251</v>
      </c>
      <c r="H9653" t="n">
        <v>8.650000000000001e-109</v>
      </c>
      <c r="I9653" t="inlineStr">
        <is>
          <t>Nr</t>
        </is>
      </c>
      <c r="J9653" t="inlineStr"/>
      <c r="K9653" t="inlineStr"/>
      <c r="L9653" t="inlineStr">
        <is>
          <t>XP_027392904.1 FGGY carbohydrate kinase domain-containing protein isoform X5 [Bos indicus x Bos taurus]</t>
        </is>
      </c>
      <c r="M9653" t="n">
        <v>252</v>
      </c>
      <c r="N9653" t="inlineStr">
        <is>
          <t>Bos indicus x Bos taurus</t>
        </is>
      </c>
      <c r="O9653" t="inlineStr">
        <is>
          <t>FGGY carbohydrate kinase domain-containing protein isoform X5</t>
        </is>
      </c>
    </row>
    <row r="9654">
      <c r="A9654" t="inlineStr"/>
      <c r="B9654" t="inlineStr"/>
      <c r="C9654" t="inlineStr"/>
      <c r="D9654" t="inlineStr"/>
      <c r="E9654">
        <f>HYPERLINK("https://www.uniprot.org/uniprotkb/B1H1B0/entry", "B1H1B0")</f>
        <v/>
      </c>
      <c r="F9654" t="n">
        <v>69.40000000000001</v>
      </c>
      <c r="G9654" t="n">
        <v>252</v>
      </c>
      <c r="H9654" t="n">
        <v>1e-108</v>
      </c>
      <c r="I9654" t="inlineStr">
        <is>
          <t>TrEMBL</t>
        </is>
      </c>
      <c r="J9654" t="inlineStr">
        <is>
          <t>fggy</t>
        </is>
      </c>
      <c r="K9654" t="inlineStr">
        <is>
          <t>B1H1B0_XENTR</t>
        </is>
      </c>
      <c r="L9654" t="inlineStr">
        <is>
          <t>tr|B1H1B0|B1H1B0_XENTR FGGY carbohydrate kinase domain-containing protein OS=Xenopus tropicalis OX=8364 GN=fggy PE=2 SV=1</t>
        </is>
      </c>
      <c r="M9654" t="n">
        <v>550</v>
      </c>
      <c r="N9654" t="inlineStr">
        <is>
          <t>Xenopus tropicalis</t>
        </is>
      </c>
      <c r="O9654" t="inlineStr">
        <is>
          <t>FGGY carbohydrate kinase domain-containing protein</t>
        </is>
      </c>
    </row>
    <row r="9655">
      <c r="A9655" t="inlineStr"/>
      <c r="B9655" t="inlineStr"/>
      <c r="C9655" t="inlineStr"/>
      <c r="D9655" t="inlineStr"/>
      <c r="E9655">
        <f>HYPERLINK("https://www.ncbi.nlm.nih.gov/gene/?term=XP_044800867.1", "XP_044800867.1")</f>
        <v/>
      </c>
      <c r="F9655" t="n">
        <v>66.09999999999999</v>
      </c>
      <c r="G9655" t="n">
        <v>251</v>
      </c>
      <c r="H9655" t="n">
        <v>1.23e-108</v>
      </c>
      <c r="I9655" t="inlineStr">
        <is>
          <t>Nr</t>
        </is>
      </c>
      <c r="J9655" t="inlineStr"/>
      <c r="K9655" t="inlineStr"/>
      <c r="L9655" t="inlineStr">
        <is>
          <t>XP_044800867.1 FGGY carbohydrate kinase domain-containing protein isoform X11 [Bubalus bubalis]</t>
        </is>
      </c>
      <c r="M9655" t="n">
        <v>252</v>
      </c>
      <c r="N9655" t="inlineStr">
        <is>
          <t>Bubalus bubalis</t>
        </is>
      </c>
      <c r="O9655" t="inlineStr">
        <is>
          <t>FGGY carbohydrate kinase domain-containing protein isoform X11</t>
        </is>
      </c>
    </row>
    <row r="9656">
      <c r="A9656" t="inlineStr"/>
      <c r="B9656" t="inlineStr"/>
      <c r="C9656" t="inlineStr"/>
      <c r="D9656" t="inlineStr"/>
      <c r="E9656">
        <f>HYPERLINK("https://www.ncbi.nlm.nih.gov/gene/?term=XP_026507493.1", "XP_026507493.1")</f>
        <v/>
      </c>
      <c r="F9656" t="n">
        <v>66.3</v>
      </c>
      <c r="G9656" t="n">
        <v>252</v>
      </c>
      <c r="H9656" t="n">
        <v>1.4e-108</v>
      </c>
      <c r="I9656" t="inlineStr">
        <is>
          <t>Nr</t>
        </is>
      </c>
      <c r="J9656" t="inlineStr"/>
      <c r="K9656" t="inlineStr"/>
      <c r="L9656" t="inlineStr">
        <is>
          <t>XP_026507493.1 FGGY carbohydrate kinase domain-containing protein isoform X2 [Terrapene carolina triunguis]</t>
        </is>
      </c>
      <c r="M9656" t="n">
        <v>266</v>
      </c>
      <c r="N9656" t="inlineStr">
        <is>
          <t>Terrapene carolina triunguis</t>
        </is>
      </c>
      <c r="O9656" t="inlineStr">
        <is>
          <t>FGGY carbohydrate kinase domain-containing protein isoform X2</t>
        </is>
      </c>
    </row>
    <row r="9657">
      <c r="A9657" t="inlineStr"/>
      <c r="B9657" t="inlineStr"/>
      <c r="C9657" t="inlineStr"/>
      <c r="D9657" t="inlineStr"/>
      <c r="E9657">
        <f>HYPERLINK("https://www.ncbi.nlm.nih.gov/gene/?term=NP_001120276.1", "NP_001120276.1")</f>
        <v/>
      </c>
      <c r="F9657" t="n">
        <v>69.40000000000001</v>
      </c>
      <c r="G9657" t="n">
        <v>252</v>
      </c>
      <c r="H9657" t="n">
        <v>2.57e-108</v>
      </c>
      <c r="I9657" t="inlineStr">
        <is>
          <t>Nr</t>
        </is>
      </c>
      <c r="J9657" t="inlineStr"/>
      <c r="K9657" t="inlineStr"/>
      <c r="L9657" t="inlineStr">
        <is>
          <t>NP_001120276.1 FGGY carbohydrate kinase domain-containing protein [Xenopus tropicalis]</t>
        </is>
      </c>
      <c r="M9657" t="n">
        <v>550</v>
      </c>
      <c r="N9657" t="inlineStr">
        <is>
          <t>Xenopus tropicalis</t>
        </is>
      </c>
      <c r="O9657" t="inlineStr">
        <is>
          <t>FGGY carbohydrate kinase domain-containing protein</t>
        </is>
      </c>
    </row>
    <row r="9658">
      <c r="A9658" t="inlineStr"/>
      <c r="B9658" t="inlineStr"/>
      <c r="C9658" t="inlineStr"/>
      <c r="D9658" t="inlineStr"/>
      <c r="E9658">
        <f>HYPERLINK("https://www.uniprot.org/uniprotkb/A0A341CBQ1/entry", "A0A341CBQ1")</f>
        <v/>
      </c>
      <c r="F9658" t="n">
        <v>66.09999999999999</v>
      </c>
      <c r="G9658" t="n">
        <v>251</v>
      </c>
      <c r="H9658" t="n">
        <v>3.91e-108</v>
      </c>
      <c r="I9658" t="inlineStr">
        <is>
          <t>TrEMBL</t>
        </is>
      </c>
      <c r="J9658" t="inlineStr">
        <is>
          <t>FGGY</t>
        </is>
      </c>
      <c r="K9658" t="inlineStr">
        <is>
          <t>A0A341CBQ1_NEOAA</t>
        </is>
      </c>
      <c r="L9658" t="inlineStr">
        <is>
          <t>tr|A0A341CBQ1|A0A341CBQ1_NEOAA FGGY carbohydrate kinase domain-containing protein isoform X5 OS=Neophocaena asiaeorientalis asiaeorientalis OX=1706337 GN=FGGY PE=4 SV=1</t>
        </is>
      </c>
      <c r="M9658" t="n">
        <v>252</v>
      </c>
      <c r="N9658" t="inlineStr">
        <is>
          <t>Neophocaena asiaeorientalis asiaeorientalis</t>
        </is>
      </c>
      <c r="O9658" t="inlineStr">
        <is>
          <t>FGGY carbohydrate kinase domain-containing protein isoform X5</t>
        </is>
      </c>
    </row>
    <row r="9659">
      <c r="A9659" t="inlineStr"/>
      <c r="B9659" t="inlineStr"/>
      <c r="C9659" t="inlineStr"/>
      <c r="D9659" t="inlineStr"/>
      <c r="E9659">
        <f>HYPERLINK("https://www.uniprot.org/uniprotkb/A0A6P3IT85/entry", "A0A6P3IT85")</f>
        <v/>
      </c>
      <c r="F9659" t="n">
        <v>66.90000000000001</v>
      </c>
      <c r="G9659" t="n">
        <v>251</v>
      </c>
      <c r="H9659" t="n">
        <v>4.63e-108</v>
      </c>
      <c r="I9659" t="inlineStr">
        <is>
          <t>TrEMBL</t>
        </is>
      </c>
      <c r="J9659" t="inlineStr">
        <is>
          <t>FGGY</t>
        </is>
      </c>
      <c r="K9659" t="inlineStr">
        <is>
          <t>A0A6P3IT85_BISBI</t>
        </is>
      </c>
      <c r="L9659" t="inlineStr">
        <is>
          <t>tr|A0A6P3IT85|A0A6P3IT85_BISBI FGGY carbohydrate kinase domain-containing protein isoform X2 OS=Bison bison bison OX=43346 GN=FGGY PE=3 SV=1</t>
        </is>
      </c>
      <c r="M9659" t="n">
        <v>372</v>
      </c>
      <c r="N9659" t="inlineStr">
        <is>
          <t>Bison bison bison</t>
        </is>
      </c>
      <c r="O9659" t="inlineStr">
        <is>
          <t>FGGY carbohydrate kinase domain-containing protein isoform X2</t>
        </is>
      </c>
    </row>
    <row r="9660">
      <c r="A9660" t="inlineStr"/>
      <c r="B9660" t="inlineStr"/>
      <c r="C9660" t="inlineStr"/>
      <c r="D9660" t="inlineStr"/>
      <c r="E9660">
        <f>HYPERLINK("https://www.uniprot.org/uniprotkb/A0A6P8NW54/entry", "A0A6P8NW54")</f>
        <v/>
      </c>
      <c r="F9660" t="n">
        <v>65.3</v>
      </c>
      <c r="G9660" t="n">
        <v>251</v>
      </c>
      <c r="H9660" t="n">
        <v>6.75e-108</v>
      </c>
      <c r="I9660" t="inlineStr">
        <is>
          <t>TrEMBL</t>
        </is>
      </c>
      <c r="J9660" t="inlineStr">
        <is>
          <t>FGGY</t>
        </is>
      </c>
      <c r="K9660" t="inlineStr">
        <is>
          <t>A0A6P8NW54_GEOSA</t>
        </is>
      </c>
      <c r="L9660" t="inlineStr">
        <is>
          <t>tr|A0A6P8NW54|A0A6P8NW54_GEOSA FGGY carbohydrate kinase domain-containing protein isoform X2 OS=Geotrypetes seraphini OX=260995 GN=FGGY PE=3 SV=1</t>
        </is>
      </c>
      <c r="M9660" t="n">
        <v>439</v>
      </c>
      <c r="N9660" t="inlineStr">
        <is>
          <t>Geotrypetes seraphini</t>
        </is>
      </c>
      <c r="O9660" t="inlineStr">
        <is>
          <t>FGGY carbohydrate kinase domain-containing protein isoform X2</t>
        </is>
      </c>
    </row>
    <row r="9661">
      <c r="A9661" t="inlineStr"/>
      <c r="B9661" t="inlineStr"/>
      <c r="C9661" t="inlineStr"/>
      <c r="D9661" t="inlineStr"/>
      <c r="E9661">
        <f>HYPERLINK("https://www.uniprot.org/uniprotkb/A0A6I9KZM3/entry", "A0A6I9KZM3")</f>
        <v/>
      </c>
      <c r="F9661" t="n">
        <v>66.09999999999999</v>
      </c>
      <c r="G9661" t="n">
        <v>251</v>
      </c>
      <c r="H9661" t="n">
        <v>7.869999999999999e-108</v>
      </c>
      <c r="I9661" t="inlineStr">
        <is>
          <t>TrEMBL</t>
        </is>
      </c>
      <c r="J9661" t="inlineStr">
        <is>
          <t>Fggy</t>
        </is>
      </c>
      <c r="K9661" t="inlineStr">
        <is>
          <t>A0A6I9KZM3_PERMB</t>
        </is>
      </c>
      <c r="L9661" t="inlineStr">
        <is>
          <t>tr|A0A6I9KZM3|A0A6I9KZM3_PERMB FGGY carbohydrate kinase domain-containing protein isoform X5 OS=Peromyscus maniculatus bairdii OX=230844 GN=Fggy PE=4 SV=1</t>
        </is>
      </c>
      <c r="M9661" t="n">
        <v>252</v>
      </c>
      <c r="N9661" t="inlineStr">
        <is>
          <t>Peromyscus maniculatus bairdii</t>
        </is>
      </c>
      <c r="O9661" t="inlineStr">
        <is>
          <t>FGGY carbohydrate kinase domain-containing protein isoform X5</t>
        </is>
      </c>
    </row>
    <row r="9662">
      <c r="A9662" t="inlineStr"/>
      <c r="B9662" t="inlineStr"/>
      <c r="C9662" t="inlineStr"/>
      <c r="D9662" t="inlineStr"/>
      <c r="E9662">
        <f>HYPERLINK("https://www.ncbi.nlm.nih.gov/gene/?term=XP_034634442.1", "XP_034634442.1")</f>
        <v/>
      </c>
      <c r="F9662" t="n">
        <v>65.90000000000001</v>
      </c>
      <c r="G9662" t="n">
        <v>252</v>
      </c>
      <c r="H9662" t="n">
        <v>8.05e-108</v>
      </c>
      <c r="I9662" t="inlineStr">
        <is>
          <t>Nr</t>
        </is>
      </c>
      <c r="J9662" t="inlineStr"/>
      <c r="K9662" t="inlineStr"/>
      <c r="L9662" t="inlineStr">
        <is>
          <t>XP_034634442.1 FGGY carbohydrate kinase domain-containing protein isoform X6 [Trachemys scripta elegans]</t>
        </is>
      </c>
      <c r="M9662" t="n">
        <v>266</v>
      </c>
      <c r="N9662" t="inlineStr">
        <is>
          <t>Trachemys scripta elegans</t>
        </is>
      </c>
      <c r="O9662" t="inlineStr">
        <is>
          <t>FGGY carbohydrate kinase domain-containing protein isoform X6</t>
        </is>
      </c>
    </row>
    <row r="9663">
      <c r="A9663" t="inlineStr"/>
      <c r="B9663" t="inlineStr"/>
      <c r="C9663" t="inlineStr"/>
      <c r="D9663" t="inlineStr"/>
      <c r="E9663">
        <f>HYPERLINK("https://www.ncbi.nlm.nih.gov/gene/?term=XP_012014181.1", "XP_012014181.1")</f>
        <v/>
      </c>
      <c r="F9663" t="n">
        <v>65.7</v>
      </c>
      <c r="G9663" t="n">
        <v>251</v>
      </c>
      <c r="H9663" t="n">
        <v>1e-107</v>
      </c>
      <c r="I9663" t="inlineStr">
        <is>
          <t>Nr</t>
        </is>
      </c>
      <c r="J9663" t="inlineStr"/>
      <c r="K9663" t="inlineStr"/>
      <c r="L9663" t="inlineStr">
        <is>
          <t>XP_012014181.1 FGGY carbohydrate kinase domain-containing protein isoform X7 [Ovis aries]</t>
        </is>
      </c>
      <c r="M9663" t="n">
        <v>252</v>
      </c>
      <c r="N9663" t="inlineStr">
        <is>
          <t>Ovis aries</t>
        </is>
      </c>
      <c r="O9663" t="inlineStr">
        <is>
          <t>FGGY carbohydrate kinase domain-containing protein isoform X7</t>
        </is>
      </c>
    </row>
    <row r="9664">
      <c r="A9664" t="inlineStr"/>
      <c r="B9664" t="inlineStr"/>
      <c r="C9664" t="inlineStr"/>
      <c r="D9664" t="inlineStr"/>
      <c r="E9664">
        <f>HYPERLINK("https://www.ncbi.nlm.nih.gov/gene/?term=XP_024612009.1", "XP_024612009.1")</f>
        <v/>
      </c>
      <c r="F9664" t="n">
        <v>66.09999999999999</v>
      </c>
      <c r="G9664" t="n">
        <v>251</v>
      </c>
      <c r="H9664" t="n">
        <v>1e-107</v>
      </c>
      <c r="I9664" t="inlineStr">
        <is>
          <t>Nr</t>
        </is>
      </c>
      <c r="J9664" t="inlineStr"/>
      <c r="K9664" t="inlineStr"/>
      <c r="L9664" t="inlineStr">
        <is>
          <t>XP_024612009.1 FGGY carbohydrate kinase domain-containing protein isoform X5 [Neophocaena asiaeorientalis asiaeorientalis]</t>
        </is>
      </c>
      <c r="M9664" t="n">
        <v>252</v>
      </c>
      <c r="N9664" t="inlineStr">
        <is>
          <t>Neophocaena asiaeorientalis asiaeorientalis</t>
        </is>
      </c>
      <c r="O9664" t="inlineStr">
        <is>
          <t>FGGY carbohydrate kinase domain-containing protein isoform X5</t>
        </is>
      </c>
    </row>
    <row r="9665">
      <c r="A9665" t="inlineStr"/>
      <c r="B9665" t="inlineStr"/>
      <c r="C9665" t="inlineStr"/>
      <c r="D9665" t="inlineStr"/>
      <c r="E9665">
        <f>HYPERLINK("https://www.ncbi.nlm.nih.gov/gene/?term=XP_010857533.1", "XP_010857533.1")</f>
        <v/>
      </c>
      <c r="F9665" t="n">
        <v>66.90000000000001</v>
      </c>
      <c r="G9665" t="n">
        <v>251</v>
      </c>
      <c r="H9665" t="n">
        <v>1.19e-107</v>
      </c>
      <c r="I9665" t="inlineStr">
        <is>
          <t>Nr</t>
        </is>
      </c>
      <c r="J9665" t="inlineStr"/>
      <c r="K9665" t="inlineStr"/>
      <c r="L9665" t="inlineStr">
        <is>
          <t>XP_010857533.1 PREDICTED: FGGY carbohydrate kinase domain-containing protein isoform X2 [Bison bison bison]</t>
        </is>
      </c>
      <c r="M9665" t="n">
        <v>372</v>
      </c>
      <c r="N9665" t="inlineStr">
        <is>
          <t>Bison bison bison</t>
        </is>
      </c>
      <c r="O9665" t="inlineStr">
        <is>
          <t>PREDICTED: FGGY carbohydrate kinase domain-containing protein isoform X2</t>
        </is>
      </c>
    </row>
    <row r="9666">
      <c r="A9666" t="inlineStr"/>
      <c r="B9666" t="inlineStr"/>
      <c r="C9666" t="inlineStr"/>
      <c r="D9666" t="inlineStr"/>
      <c r="E9666">
        <f>HYPERLINK("https://www.uniprot.org/uniprotkb/A0A341CC39/entry", "A0A341CC39")</f>
        <v/>
      </c>
      <c r="F9666" t="n">
        <v>66.09999999999999</v>
      </c>
      <c r="G9666" t="n">
        <v>251</v>
      </c>
      <c r="H9666" t="n">
        <v>1.48e-107</v>
      </c>
      <c r="I9666" t="inlineStr">
        <is>
          <t>TrEMBL</t>
        </is>
      </c>
      <c r="J9666" t="inlineStr">
        <is>
          <t>FGGY</t>
        </is>
      </c>
      <c r="K9666" t="inlineStr">
        <is>
          <t>A0A341CC39_NEOAA</t>
        </is>
      </c>
      <c r="L9666" t="inlineStr">
        <is>
          <t>tr|A0A341CC39|A0A341CC39_NEOAA FGGY carbohydrate kinase domain-containing protein isoform X4 OS=Neophocaena asiaeorientalis asiaeorientalis OX=1706337 GN=FGGY PE=4 SV=1</t>
        </is>
      </c>
      <c r="M9666" t="n">
        <v>291</v>
      </c>
      <c r="N9666" t="inlineStr">
        <is>
          <t>Neophocaena asiaeorientalis asiaeorientalis</t>
        </is>
      </c>
      <c r="O9666" t="inlineStr">
        <is>
          <t>FGGY carbohydrate kinase domain-containing protein isoform X4</t>
        </is>
      </c>
    </row>
    <row r="9667">
      <c r="A9667" t="inlineStr"/>
      <c r="B9667" t="inlineStr"/>
      <c r="C9667" t="inlineStr"/>
      <c r="D9667" t="inlineStr"/>
      <c r="E9667">
        <f>HYPERLINK("https://www.ncbi.nlm.nih.gov/gene/?term=XP_033772995.1", "XP_033772995.1")</f>
        <v/>
      </c>
      <c r="F9667" t="n">
        <v>65.3</v>
      </c>
      <c r="G9667" t="n">
        <v>251</v>
      </c>
      <c r="H9667" t="n">
        <v>1.73e-107</v>
      </c>
      <c r="I9667" t="inlineStr">
        <is>
          <t>Nr</t>
        </is>
      </c>
      <c r="J9667" t="inlineStr"/>
      <c r="K9667" t="inlineStr"/>
      <c r="L9667" t="inlineStr">
        <is>
          <t>XP_033772995.1 FGGY carbohydrate kinase domain-containing protein isoform X2 [Geotrypetes seraphini]</t>
        </is>
      </c>
      <c r="M9667" t="n">
        <v>439</v>
      </c>
      <c r="N9667" t="inlineStr">
        <is>
          <t>Geotrypetes seraphini</t>
        </is>
      </c>
      <c r="O9667" t="inlineStr">
        <is>
          <t>FGGY carbohydrate kinase domain-containing protein isoform X2</t>
        </is>
      </c>
    </row>
    <row r="9668">
      <c r="A9668" t="inlineStr"/>
      <c r="B9668" t="inlineStr"/>
      <c r="C9668" t="inlineStr"/>
      <c r="D9668" t="inlineStr"/>
      <c r="E9668">
        <f>HYPERLINK("https://www.ncbi.nlm.nih.gov/gene/?term=XP_027392903.1", "XP_027392903.1")</f>
        <v/>
      </c>
      <c r="F9668" t="n">
        <v>66.5</v>
      </c>
      <c r="G9668" t="n">
        <v>251</v>
      </c>
      <c r="H9668" t="n">
        <v>1.86e-107</v>
      </c>
      <c r="I9668" t="inlineStr">
        <is>
          <t>Nr</t>
        </is>
      </c>
      <c r="J9668" t="inlineStr"/>
      <c r="K9668" t="inlineStr"/>
      <c r="L9668" t="inlineStr">
        <is>
          <t>XP_027392903.1 FGGY carbohydrate kinase domain-containing protein isoform X4 [Bos indicus x Bos taurus]</t>
        </is>
      </c>
      <c r="M9668" t="n">
        <v>343</v>
      </c>
      <c r="N9668" t="inlineStr">
        <is>
          <t>Bos indicus x Bos taurus</t>
        </is>
      </c>
      <c r="O9668" t="inlineStr">
        <is>
          <t>FGGY carbohydrate kinase domain-containing protein isoform X4</t>
        </is>
      </c>
    </row>
    <row r="9669">
      <c r="A9669" t="inlineStr"/>
      <c r="B9669" t="inlineStr"/>
      <c r="C9669" t="inlineStr"/>
      <c r="D9669" t="inlineStr"/>
      <c r="E9669">
        <f>HYPERLINK("https://www.ncbi.nlm.nih.gov/gene/?term=XP_006974085.1", "XP_006974085.1")</f>
        <v/>
      </c>
      <c r="F9669" t="n">
        <v>66.09999999999999</v>
      </c>
      <c r="G9669" t="n">
        <v>251</v>
      </c>
      <c r="H9669" t="n">
        <v>2.02e-107</v>
      </c>
      <c r="I9669" t="inlineStr">
        <is>
          <t>Nr</t>
        </is>
      </c>
      <c r="J9669" t="inlineStr"/>
      <c r="K9669" t="inlineStr"/>
      <c r="L9669" t="inlineStr">
        <is>
          <t>XP_006974085.1 FGGY carbohydrate kinase domain-containing protein isoform X6 [Peromyscus maniculatus bairdii]</t>
        </is>
      </c>
      <c r="M9669" t="n">
        <v>252</v>
      </c>
      <c r="N9669" t="inlineStr">
        <is>
          <t>Peromyscus maniculatus bairdii</t>
        </is>
      </c>
      <c r="O9669" t="inlineStr">
        <is>
          <t>FGGY carbohydrate kinase domain-containing protein isoform X6</t>
        </is>
      </c>
    </row>
    <row r="9670">
      <c r="A9670" t="inlineStr"/>
      <c r="B9670" t="inlineStr"/>
      <c r="C9670" t="inlineStr"/>
      <c r="D9670" t="inlineStr"/>
      <c r="E9670">
        <f>HYPERLINK("https://www.ncbi.nlm.nih.gov/gene/?term=XP_029473727.1", "XP_029473727.1")</f>
        <v/>
      </c>
      <c r="F9670" t="n">
        <v>66.90000000000001</v>
      </c>
      <c r="G9670" t="n">
        <v>251</v>
      </c>
      <c r="H9670" t="n">
        <v>2.12e-107</v>
      </c>
      <c r="I9670" t="inlineStr">
        <is>
          <t>Nr</t>
        </is>
      </c>
      <c r="J9670" t="inlineStr"/>
      <c r="K9670" t="inlineStr"/>
      <c r="L9670" t="inlineStr">
        <is>
          <t>XP_029473727.1 FGGY carbohydrate kinase domain-containing protein isoform X1 [Rhinatrema bivittatum]</t>
        </is>
      </c>
      <c r="M9670" t="n">
        <v>551</v>
      </c>
      <c r="N9670" t="inlineStr">
        <is>
          <t>Rhinatrema bivittatum</t>
        </is>
      </c>
      <c r="O9670" t="inlineStr">
        <is>
          <t>FGGY carbohydrate kinase domain-containing protein isoform X1</t>
        </is>
      </c>
    </row>
    <row r="9671">
      <c r="A9671" t="inlineStr"/>
      <c r="B9671" t="inlineStr"/>
      <c r="C9671" t="inlineStr"/>
      <c r="D9671" t="inlineStr"/>
      <c r="E9671">
        <f>HYPERLINK("https://www.ncbi.nlm.nih.gov/gene/?term=XP_042707347.1", "XP_042707347.1")</f>
        <v/>
      </c>
      <c r="F9671" t="n">
        <v>65.5</v>
      </c>
      <c r="G9671" t="n">
        <v>252</v>
      </c>
      <c r="H9671" t="n">
        <v>2.3e-107</v>
      </c>
      <c r="I9671" t="inlineStr">
        <is>
          <t>Nr</t>
        </is>
      </c>
      <c r="J9671" t="inlineStr"/>
      <c r="K9671" t="inlineStr"/>
      <c r="L9671" t="inlineStr">
        <is>
          <t>XP_042707347.1 FGGY carbohydrate kinase domain-containing protein isoform X5 [Chrysemys picta bellii]</t>
        </is>
      </c>
      <c r="M9671" t="n">
        <v>266</v>
      </c>
      <c r="N9671" t="inlineStr">
        <is>
          <t>Chrysemys picta bellii</t>
        </is>
      </c>
      <c r="O9671" t="inlineStr">
        <is>
          <t>FGGY carbohydrate kinase domain-containing protein isoform X5</t>
        </is>
      </c>
    </row>
    <row r="9672">
      <c r="A9672" t="inlineStr"/>
      <c r="B9672" t="inlineStr"/>
      <c r="C9672" t="inlineStr"/>
      <c r="D9672" t="inlineStr"/>
      <c r="E9672">
        <f>HYPERLINK("https://www.ncbi.nlm.nih.gov/gene/?term=XP_044800863.1", "XP_044800863.1")</f>
        <v/>
      </c>
      <c r="F9672" t="n">
        <v>66.09999999999999</v>
      </c>
      <c r="G9672" t="n">
        <v>251</v>
      </c>
      <c r="H9672" t="n">
        <v>2.64e-107</v>
      </c>
      <c r="I9672" t="inlineStr">
        <is>
          <t>Nr</t>
        </is>
      </c>
      <c r="J9672" t="inlineStr"/>
      <c r="K9672" t="inlineStr"/>
      <c r="L9672" t="inlineStr">
        <is>
          <t>XP_044800863.1 FGGY carbohydrate kinase domain-containing protein isoform X8 [Bubalus bubalis]</t>
        </is>
      </c>
      <c r="M9672" t="n">
        <v>343</v>
      </c>
      <c r="N9672" t="inlineStr">
        <is>
          <t>Bubalus bubalis</t>
        </is>
      </c>
      <c r="O9672" t="inlineStr">
        <is>
          <t>FGGY carbohydrate kinase domain-containing protein isoform X8</t>
        </is>
      </c>
    </row>
    <row r="9673">
      <c r="A9673" t="inlineStr"/>
      <c r="B9673" t="inlineStr"/>
      <c r="C9673" t="inlineStr"/>
      <c r="D9673" t="inlineStr"/>
      <c r="E9673">
        <f>HYPERLINK("https://www.ncbi.nlm.nih.gov/gene/?term=XP_029082709.1", "XP_029082709.1")</f>
        <v/>
      </c>
      <c r="F9673" t="n">
        <v>66.09999999999999</v>
      </c>
      <c r="G9673" t="n">
        <v>251</v>
      </c>
      <c r="H9673" t="n">
        <v>2.87e-107</v>
      </c>
      <c r="I9673" t="inlineStr">
        <is>
          <t>Nr</t>
        </is>
      </c>
      <c r="J9673" t="inlineStr"/>
      <c r="K9673" t="inlineStr"/>
      <c r="L9673" t="inlineStr">
        <is>
          <t>XP_029082709.1 FGGY carbohydrate kinase domain-containing protein isoform X8 [Monodon monoceros]</t>
        </is>
      </c>
      <c r="M9673" t="n">
        <v>252</v>
      </c>
      <c r="N9673" t="inlineStr">
        <is>
          <t>Monodon monoceros</t>
        </is>
      </c>
      <c r="O9673" t="inlineStr">
        <is>
          <t>FGGY carbohydrate kinase domain-containing protein isoform X8</t>
        </is>
      </c>
    </row>
    <row r="9674">
      <c r="A9674" t="inlineStr"/>
      <c r="B9674" t="inlineStr"/>
      <c r="C9674" t="inlineStr"/>
      <c r="D9674" t="inlineStr"/>
      <c r="E9674">
        <f>HYPERLINK("https://www.ncbi.nlm.nih.gov/gene/?term=XP_024612008.1", "XP_024612008.1")</f>
        <v/>
      </c>
      <c r="F9674" t="n">
        <v>66.09999999999999</v>
      </c>
      <c r="G9674" t="n">
        <v>251</v>
      </c>
      <c r="H9674" t="n">
        <v>3.8e-107</v>
      </c>
      <c r="I9674" t="inlineStr">
        <is>
          <t>Nr</t>
        </is>
      </c>
      <c r="J9674" t="inlineStr"/>
      <c r="K9674" t="inlineStr"/>
      <c r="L9674" t="inlineStr">
        <is>
          <t>XP_024612008.1 FGGY carbohydrate kinase domain-containing protein isoform X4 [Neophocaena asiaeorientalis asiaeorientalis]</t>
        </is>
      </c>
      <c r="M9674" t="n">
        <v>291</v>
      </c>
      <c r="N9674" t="inlineStr">
        <is>
          <t>Neophocaena asiaeorientalis asiaeorientalis</t>
        </is>
      </c>
      <c r="O9674" t="inlineStr">
        <is>
          <t>FGGY carbohydrate kinase domain-containing protein isoform X4</t>
        </is>
      </c>
    </row>
    <row r="9675">
      <c r="A9675" t="inlineStr"/>
      <c r="B9675" t="inlineStr"/>
      <c r="C9675" t="inlineStr"/>
      <c r="D9675" t="inlineStr"/>
      <c r="E9675">
        <f>HYPERLINK("https://www.ncbi.nlm.nih.gov/gene/?term=XP_027392902.1", "XP_027392902.1")</f>
        <v/>
      </c>
      <c r="F9675" t="n">
        <v>66.5</v>
      </c>
      <c r="G9675" t="n">
        <v>251</v>
      </c>
      <c r="H9675" t="n">
        <v>4.8e-107</v>
      </c>
      <c r="I9675" t="inlineStr">
        <is>
          <t>Nr</t>
        </is>
      </c>
      <c r="J9675" t="inlineStr"/>
      <c r="K9675" t="inlineStr"/>
      <c r="L9675" t="inlineStr">
        <is>
          <t>XP_027392902.1 FGGY carbohydrate kinase domain-containing protein isoform X3 [Bos indicus x Bos taurus]</t>
        </is>
      </c>
      <c r="M9675" t="n">
        <v>372</v>
      </c>
      <c r="N9675" t="inlineStr">
        <is>
          <t>Bos indicus x Bos taurus</t>
        </is>
      </c>
      <c r="O9675" t="inlineStr">
        <is>
          <t>FGGY carbohydrate kinase domain-containing protein isoform X3</t>
        </is>
      </c>
    </row>
    <row r="9676">
      <c r="A9676" t="inlineStr"/>
      <c r="B9676" t="inlineStr"/>
      <c r="C9676" t="inlineStr"/>
      <c r="D9676" t="inlineStr"/>
      <c r="E9676">
        <f>HYPERLINK("https://www.ncbi.nlm.nih.gov/gene/?term=XP_044800865.1", "XP_044800865.1")</f>
        <v/>
      </c>
      <c r="F9676" t="n">
        <v>65.90000000000001</v>
      </c>
      <c r="G9676" t="n">
        <v>249</v>
      </c>
      <c r="H9676" t="n">
        <v>5.59e-107</v>
      </c>
      <c r="I9676" t="inlineStr">
        <is>
          <t>Nr</t>
        </is>
      </c>
      <c r="J9676" t="inlineStr"/>
      <c r="K9676" t="inlineStr"/>
      <c r="L9676" t="inlineStr">
        <is>
          <t>XP_044800865.1 FGGY carbohydrate kinase domain-containing protein isoform X10 [Bubalus bubalis]</t>
        </is>
      </c>
      <c r="M9676" t="n">
        <v>251</v>
      </c>
      <c r="N9676" t="inlineStr">
        <is>
          <t>Bubalus bubalis</t>
        </is>
      </c>
      <c r="O9676" t="inlineStr">
        <is>
          <t>FGGY carbohydrate kinase domain-containing protein isoform X10</t>
        </is>
      </c>
    </row>
    <row r="9677">
      <c r="A9677" t="inlineStr"/>
      <c r="B9677" t="inlineStr"/>
      <c r="C9677" t="inlineStr"/>
      <c r="D9677" t="inlineStr"/>
      <c r="E9677">
        <f>HYPERLINK("https://www.ncbi.nlm.nih.gov/gene/?term=XP_040088680.1", "XP_040088680.1")</f>
        <v/>
      </c>
      <c r="F9677" t="n">
        <v>65.3</v>
      </c>
      <c r="G9677" t="n">
        <v>251</v>
      </c>
      <c r="H9677" t="n">
        <v>5.78e-107</v>
      </c>
      <c r="I9677" t="inlineStr">
        <is>
          <t>Nr</t>
        </is>
      </c>
      <c r="J9677" t="inlineStr"/>
      <c r="K9677" t="inlineStr"/>
      <c r="L9677" t="inlineStr">
        <is>
          <t>XP_040088680.1 FGGY carbohydrate kinase domain-containing protein isoform X6 [Oryx dammah]</t>
        </is>
      </c>
      <c r="M9677" t="n">
        <v>252</v>
      </c>
      <c r="N9677" t="inlineStr">
        <is>
          <t>Oryx dammah</t>
        </is>
      </c>
      <c r="O9677" t="inlineStr">
        <is>
          <t>FGGY carbohydrate kinase domain-containing protein isoform X6</t>
        </is>
      </c>
    </row>
    <row r="9678">
      <c r="A9678" t="inlineStr"/>
      <c r="B9678" t="inlineStr"/>
      <c r="C9678" t="inlineStr"/>
      <c r="D9678" t="inlineStr"/>
      <c r="E9678">
        <f>HYPERLINK("https://www.uniprot.org/uniprotkb/A0A2K6UDE8/entry", "A0A2K6UDE8")</f>
        <v/>
      </c>
      <c r="F9678" t="n">
        <v>65.3</v>
      </c>
      <c r="G9678" t="n">
        <v>251</v>
      </c>
      <c r="H9678" t="n">
        <v>1.3e-106</v>
      </c>
      <c r="I9678" t="inlineStr">
        <is>
          <t>TrEMBL</t>
        </is>
      </c>
      <c r="J9678" t="inlineStr">
        <is>
          <t>FGGY</t>
        </is>
      </c>
      <c r="K9678" t="inlineStr">
        <is>
          <t>A0A2K6UDE8_SAIBB</t>
        </is>
      </c>
      <c r="L9678" t="inlineStr">
        <is>
          <t>tr|A0A2K6UDE8|A0A2K6UDE8_SAIBB FGGY carbohydrate kinase domain containing OS=Saimiri boliviensis boliviensis OX=39432 GN=FGGY PE=4 SV=1</t>
        </is>
      </c>
      <c r="M9678" t="n">
        <v>252</v>
      </c>
      <c r="N9678" t="inlineStr">
        <is>
          <t>Saimiri boliviensis boliviensis</t>
        </is>
      </c>
      <c r="O9678" t="inlineStr">
        <is>
          <t>FGGY carbohydrate kinase domain containing</t>
        </is>
      </c>
    </row>
    <row r="9679">
      <c r="A9679" t="inlineStr"/>
      <c r="B9679" t="inlineStr"/>
      <c r="C9679" t="inlineStr"/>
      <c r="D9679" t="inlineStr"/>
      <c r="E9679">
        <f>HYPERLINK("https://www.uniprot.org/uniprotkb/A0A4W3JX44/entry", "A0A4W3JX44")</f>
        <v/>
      </c>
      <c r="F9679" t="n">
        <v>65.5</v>
      </c>
      <c r="G9679" t="n">
        <v>252</v>
      </c>
      <c r="H9679" t="n">
        <v>1.5e-106</v>
      </c>
      <c r="I9679" t="inlineStr">
        <is>
          <t>TrEMBL</t>
        </is>
      </c>
      <c r="J9679" t="inlineStr">
        <is>
          <t>fggy</t>
        </is>
      </c>
      <c r="K9679" t="inlineStr">
        <is>
          <t>A0A4W3JX44_CALMI</t>
        </is>
      </c>
      <c r="L9679" t="inlineStr">
        <is>
          <t>tr|A0A4W3JX44|A0A4W3JX44_CALMI FGGY carbohydrate kinase domain containing OS=Callorhinchus milii OX=7868 GN=fggy PE=3 SV=1</t>
        </is>
      </c>
      <c r="M9679" t="n">
        <v>438</v>
      </c>
      <c r="N9679" t="inlineStr">
        <is>
          <t>Callorhinchus milii</t>
        </is>
      </c>
      <c r="O9679" t="inlineStr">
        <is>
          <t>FGGY carbohydrate kinase domain containing</t>
        </is>
      </c>
    </row>
    <row r="9680">
      <c r="A9680" t="inlineStr"/>
      <c r="B9680" t="inlineStr"/>
      <c r="C9680" t="inlineStr"/>
      <c r="D9680" t="inlineStr"/>
      <c r="E9680">
        <f>HYPERLINK("https://www.uniprot.org/uniprotkb/A0A6P8NQI2/entry", "A0A6P8NQI2")</f>
        <v/>
      </c>
      <c r="F9680" t="n">
        <v>65.3</v>
      </c>
      <c r="G9680" t="n">
        <v>251</v>
      </c>
      <c r="H9680" t="n">
        <v>1.92e-106</v>
      </c>
      <c r="I9680" t="inlineStr">
        <is>
          <t>TrEMBL</t>
        </is>
      </c>
      <c r="J9680" t="inlineStr">
        <is>
          <t>FGGY</t>
        </is>
      </c>
      <c r="K9680" t="inlineStr">
        <is>
          <t>A0A6P8NQI2_GEOSA</t>
        </is>
      </c>
      <c r="L9680" t="inlineStr">
        <is>
          <t>tr|A0A6P8NQI2|A0A6P8NQI2_GEOSA FGGY carbohydrate kinase domain-containing protein isoform X1 OS=Geotrypetes seraphini OX=260995 GN=FGGY PE=3 SV=1</t>
        </is>
      </c>
      <c r="M9680" t="n">
        <v>552</v>
      </c>
      <c r="N9680" t="inlineStr">
        <is>
          <t>Geotrypetes seraphini</t>
        </is>
      </c>
      <c r="O9680" t="inlineStr">
        <is>
          <t>FGGY carbohydrate kinase domain-containing protein isoform X1</t>
        </is>
      </c>
    </row>
    <row r="9681">
      <c r="A9681" t="inlineStr"/>
      <c r="B9681" t="inlineStr"/>
      <c r="C9681" t="inlineStr"/>
      <c r="D9681" t="inlineStr"/>
      <c r="E9681">
        <f>HYPERLINK("https://www.uniprot.org/uniprotkb/A0A8T2J335/entry", "A0A8T2J335")</f>
        <v/>
      </c>
      <c r="F9681" t="n">
        <v>66.3</v>
      </c>
      <c r="G9681" t="n">
        <v>252</v>
      </c>
      <c r="H9681" t="n">
        <v>3.06e-106</v>
      </c>
      <c r="I9681" t="inlineStr">
        <is>
          <t>TrEMBL</t>
        </is>
      </c>
      <c r="J9681" t="inlineStr">
        <is>
          <t>GDO86_007972</t>
        </is>
      </c>
      <c r="K9681" t="inlineStr">
        <is>
          <t>A0A8T2J335_9PIPI</t>
        </is>
      </c>
      <c r="L9681" t="inlineStr">
        <is>
          <t>tr|A0A8T2J335|A0A8T2J335_9PIPI FGGY carbohydrate kinase domain containing OS=Hymenochirus boettgeri OX=247094 GN=GDO86_007972 PE=3 SV=1</t>
        </is>
      </c>
      <c r="M9681" t="n">
        <v>544</v>
      </c>
      <c r="N9681" t="inlineStr">
        <is>
          <t>Hymenochirus boettgeri</t>
        </is>
      </c>
      <c r="O9681" t="inlineStr">
        <is>
          <t>FGGY carbohydrate kinase domain containing</t>
        </is>
      </c>
    </row>
    <row r="9682">
      <c r="A9682" t="inlineStr"/>
      <c r="B9682" t="inlineStr"/>
      <c r="C9682" t="inlineStr"/>
      <c r="D9682" t="inlineStr"/>
      <c r="E9682">
        <f>HYPERLINK("https://www.uniprot.org/uniprotkb/A0A4W2G9Z2/entry", "A0A4W2G9Z2")</f>
        <v/>
      </c>
      <c r="F9682" t="n">
        <v>66.5</v>
      </c>
      <c r="G9682" t="n">
        <v>251</v>
      </c>
      <c r="H9682" t="n">
        <v>3.13e-106</v>
      </c>
      <c r="I9682" t="inlineStr">
        <is>
          <t>TrEMBL</t>
        </is>
      </c>
      <c r="J9682" t="inlineStr">
        <is>
          <t>FGGY</t>
        </is>
      </c>
      <c r="K9682" t="inlineStr">
        <is>
          <t>A0A4W2G9Z2_BOBOX</t>
        </is>
      </c>
      <c r="L9682" t="inlineStr">
        <is>
          <t>tr|A0A4W2G9Z2|A0A4W2G9Z2_BOBOX FGGY carbohydrate kinase domain containing OS=Bos indicus x Bos taurus OX=30522 GN=FGGY PE=3 SV=1</t>
        </is>
      </c>
      <c r="M9682" t="n">
        <v>462</v>
      </c>
      <c r="N9682" t="inlineStr">
        <is>
          <t>Bos indicus x Bos taurus</t>
        </is>
      </c>
      <c r="O9682" t="inlineStr">
        <is>
          <t>FGGY carbohydrate kinase domain containing</t>
        </is>
      </c>
    </row>
    <row r="9683">
      <c r="A9683" t="inlineStr"/>
      <c r="B9683" t="inlineStr"/>
      <c r="C9683" t="inlineStr"/>
      <c r="D9683" t="inlineStr"/>
      <c r="E9683">
        <f>HYPERLINK("https://www.uniprot.org/uniprotkb/A0A3Q1MSJ8/entry", "A0A3Q1MSJ8")</f>
        <v/>
      </c>
      <c r="F9683" t="n">
        <v>66.5</v>
      </c>
      <c r="G9683" t="n">
        <v>251</v>
      </c>
      <c r="H9683" t="n">
        <v>3.13e-106</v>
      </c>
      <c r="I9683" t="inlineStr">
        <is>
          <t>TrEMBL</t>
        </is>
      </c>
      <c r="J9683" t="inlineStr">
        <is>
          <t>FGGY</t>
        </is>
      </c>
      <c r="K9683" t="inlineStr">
        <is>
          <t>A0A3Q1MSJ8_BOVIN</t>
        </is>
      </c>
      <c r="L9683" t="inlineStr">
        <is>
          <t>tr|A0A3Q1MSJ8|A0A3Q1MSJ8_BOVIN FGGY carbohydrate kinase domain containing OS=Bos taurus OX=9913 GN=FGGY PE=3 SV=1</t>
        </is>
      </c>
      <c r="M9683" t="n">
        <v>462</v>
      </c>
      <c r="N9683" t="inlineStr">
        <is>
          <t>Bos taurus</t>
        </is>
      </c>
      <c r="O9683" t="inlineStr">
        <is>
          <t>FGGY carbohydrate kinase domain containing</t>
        </is>
      </c>
    </row>
    <row r="9684">
      <c r="A9684" t="inlineStr"/>
      <c r="B9684" t="inlineStr"/>
      <c r="C9684" t="inlineStr"/>
      <c r="D9684" t="inlineStr"/>
      <c r="E9684">
        <f>HYPERLINK("https://www.uniprot.org/uniprotkb/A0A6P5BP28/entry", "A0A6P5BP28")</f>
        <v/>
      </c>
      <c r="F9684" t="n">
        <v>66.5</v>
      </c>
      <c r="G9684" t="n">
        <v>251</v>
      </c>
      <c r="H9684" t="n">
        <v>3.38e-106</v>
      </c>
      <c r="I9684" t="inlineStr">
        <is>
          <t>TrEMBL</t>
        </is>
      </c>
      <c r="J9684" t="inlineStr">
        <is>
          <t>FGGY</t>
        </is>
      </c>
      <c r="K9684" t="inlineStr">
        <is>
          <t>A0A6P5BP28_BOSIN</t>
        </is>
      </c>
      <c r="L9684" t="inlineStr">
        <is>
          <t>tr|A0A6P5BP28|A0A6P5BP28_BOSIN FGGY carbohydrate kinase domain-containing protein isoform X2 OS=Bos indicus OX=9915 GN=FGGY PE=3 SV=1</t>
        </is>
      </c>
      <c r="M9684" t="n">
        <v>453</v>
      </c>
      <c r="N9684" t="inlineStr">
        <is>
          <t>Bos indicus</t>
        </is>
      </c>
      <c r="O9684" t="inlineStr">
        <is>
          <t>FGGY carbohydrate kinase domain-containing protein isoform X2</t>
        </is>
      </c>
    </row>
    <row r="9685">
      <c r="A9685" t="inlineStr"/>
      <c r="B9685" t="inlineStr"/>
      <c r="C9685" t="inlineStr"/>
      <c r="D9685" t="inlineStr"/>
      <c r="E9685">
        <f>HYPERLINK("https://www.uniprot.org/uniprotkb/A0A6J2BEM2/entry", "A0A6J2BEM2")</f>
        <v/>
      </c>
      <c r="F9685" t="n">
        <v>65.3</v>
      </c>
      <c r="G9685" t="n">
        <v>251</v>
      </c>
      <c r="H9685" t="n">
        <v>3.71e-106</v>
      </c>
      <c r="I9685" t="inlineStr">
        <is>
          <t>TrEMBL</t>
        </is>
      </c>
      <c r="J9685" t="inlineStr">
        <is>
          <t>FGGY</t>
        </is>
      </c>
      <c r="K9685" t="inlineStr">
        <is>
          <t>A0A6J2BEM2_ZALCA</t>
        </is>
      </c>
      <c r="L9685" t="inlineStr">
        <is>
          <t>tr|A0A6J2BEM2|A0A6J2BEM2_ZALCA FGGY carbohydrate kinase domain-containing protein isoform X9 OS=Zalophus californianus OX=9704 GN=FGGY PE=4 SV=1</t>
        </is>
      </c>
      <c r="M9685" t="n">
        <v>252</v>
      </c>
      <c r="N9685" t="inlineStr">
        <is>
          <t>Zalophus californianus</t>
        </is>
      </c>
      <c r="O9685" t="inlineStr">
        <is>
          <t>FGGY carbohydrate kinase domain-containing protein isoform X9</t>
        </is>
      </c>
    </row>
    <row r="9686">
      <c r="A9686" t="inlineStr"/>
      <c r="B9686" t="inlineStr"/>
      <c r="C9686" t="inlineStr"/>
      <c r="D9686" t="inlineStr"/>
      <c r="E9686">
        <f>HYPERLINK("https://www.uniprot.org/uniprotkb/A0A2K5IKZ5/entry", "A0A2K5IKZ5")</f>
        <v/>
      </c>
      <c r="F9686" t="n">
        <v>65.7</v>
      </c>
      <c r="G9686" t="n">
        <v>251</v>
      </c>
      <c r="H9686" t="n">
        <v>3.71e-106</v>
      </c>
      <c r="I9686" t="inlineStr">
        <is>
          <t>TrEMBL</t>
        </is>
      </c>
      <c r="J9686" t="inlineStr"/>
      <c r="K9686" t="inlineStr">
        <is>
          <t>A0A2K5IKZ5_COLAP</t>
        </is>
      </c>
      <c r="L9686" t="inlineStr">
        <is>
          <t>tr|A0A2K5IKZ5|A0A2K5IKZ5_COLAP FGGY_C domain-containing protein OS=Colobus angolensis palliatus OX=336983 PE=4 SV=1</t>
        </is>
      </c>
      <c r="M9686" t="n">
        <v>252</v>
      </c>
      <c r="N9686" t="inlineStr">
        <is>
          <t>Colobus angolensis palliatus</t>
        </is>
      </c>
      <c r="O9686" t="inlineStr">
        <is>
          <t>FGGY_C domain-containing protein</t>
        </is>
      </c>
    </row>
    <row r="9687">
      <c r="A9687" t="inlineStr"/>
      <c r="B9687" t="inlineStr"/>
      <c r="C9687" t="inlineStr"/>
      <c r="D9687" t="inlineStr"/>
      <c r="E9687">
        <f>HYPERLINK("https://www.uniprot.org/uniprotkb/A0A8N5HSS1/entry", "A0A8N5HSS1")</f>
        <v/>
      </c>
      <c r="F9687" t="n">
        <v>64.3</v>
      </c>
      <c r="G9687" t="n">
        <v>252</v>
      </c>
      <c r="H9687" t="n">
        <v>5.04e-106</v>
      </c>
      <c r="I9687" t="inlineStr">
        <is>
          <t>TrEMBL</t>
        </is>
      </c>
      <c r="J9687" t="inlineStr">
        <is>
          <t>FGGY</t>
        </is>
      </c>
      <c r="K9687" t="inlineStr">
        <is>
          <t>A0A8N5HSS1_GEOFO</t>
        </is>
      </c>
      <c r="L9687" t="inlineStr">
        <is>
          <t>tr|A0A8N5HSS1|A0A8N5HSS1_GEOFO FGGY carbohydrate kinase domain-containing protein OS=Geospiza fortis OX=48883 GN=FGGY PE=4 SV=1</t>
        </is>
      </c>
      <c r="M9687" t="n">
        <v>261</v>
      </c>
      <c r="N9687" t="inlineStr">
        <is>
          <t>Geospiza fortis</t>
        </is>
      </c>
      <c r="O9687" t="inlineStr">
        <is>
          <t>FGGY carbohydrate kinase domain-containing protein</t>
        </is>
      </c>
    </row>
    <row r="9688">
      <c r="A9688" t="inlineStr"/>
      <c r="B9688" t="inlineStr"/>
      <c r="C9688" t="inlineStr"/>
      <c r="D9688" t="inlineStr"/>
      <c r="E9688">
        <f>HYPERLINK("https://www.uniprot.org/uniprotkb/A0A2J8NHU4/entry", "A0A2J8NHU4")</f>
        <v/>
      </c>
      <c r="F9688" t="n">
        <v>65.7</v>
      </c>
      <c r="G9688" t="n">
        <v>251</v>
      </c>
      <c r="H9688" t="n">
        <v>5.259999999999999e-106</v>
      </c>
      <c r="I9688" t="inlineStr">
        <is>
          <t>TrEMBL</t>
        </is>
      </c>
      <c r="J9688" t="inlineStr">
        <is>
          <t>CK820_G0010475</t>
        </is>
      </c>
      <c r="K9688" t="inlineStr">
        <is>
          <t>A0A2J8NHU4_PANTR</t>
        </is>
      </c>
      <c r="L9688" t="inlineStr">
        <is>
          <t>tr|A0A2J8NHU4|A0A2J8NHU4_PANTR FGGY isoform 11 OS=Pan troglodytes OX=9598 GN=CK820_G0010475 PE=4 SV=1</t>
        </is>
      </c>
      <c r="M9688" t="n">
        <v>252</v>
      </c>
      <c r="N9688" t="inlineStr">
        <is>
          <t>Pan troglodytes</t>
        </is>
      </c>
      <c r="O9688" t="inlineStr">
        <is>
          <t>FGGY isoform 11</t>
        </is>
      </c>
    </row>
    <row r="9689">
      <c r="A9689" t="inlineStr"/>
      <c r="B9689" t="inlineStr"/>
      <c r="C9689" t="inlineStr"/>
      <c r="D9689" t="inlineStr"/>
      <c r="E9689">
        <f>HYPERLINK("https://www.uniprot.org/uniprotkb/A0A2I3HH90/entry", "A0A2I3HH90")</f>
        <v/>
      </c>
      <c r="F9689" t="n">
        <v>65.7</v>
      </c>
      <c r="G9689" t="n">
        <v>251</v>
      </c>
      <c r="H9689" t="n">
        <v>5.259999999999999e-106</v>
      </c>
      <c r="I9689" t="inlineStr">
        <is>
          <t>TrEMBL</t>
        </is>
      </c>
      <c r="J9689" t="inlineStr">
        <is>
          <t>FGGY</t>
        </is>
      </c>
      <c r="K9689" t="inlineStr">
        <is>
          <t>A0A2I3HH90_NOMLE</t>
        </is>
      </c>
      <c r="L9689" t="inlineStr">
        <is>
          <t>tr|A0A2I3HH90|A0A2I3HH90_NOMLE FGGY carbohydrate kinase domain containing OS=Nomascus leucogenys OX=61853 GN=FGGY PE=4 SV=1</t>
        </is>
      </c>
      <c r="M9689" t="n">
        <v>252</v>
      </c>
      <c r="N9689" t="inlineStr">
        <is>
          <t>Nomascus leucogenys</t>
        </is>
      </c>
      <c r="O9689" t="inlineStr">
        <is>
          <t>FGGY carbohydrate kinase domain containing</t>
        </is>
      </c>
    </row>
    <row r="9690">
      <c r="A9690" t="inlineStr"/>
      <c r="B9690" t="inlineStr"/>
      <c r="C9690" t="inlineStr"/>
      <c r="D9690" t="inlineStr"/>
      <c r="E9690">
        <f>HYPERLINK("https://www.uniprot.org/uniprotkb/A0A6P3J2H3/entry", "A0A6P3J2H3")</f>
        <v/>
      </c>
      <c r="F9690" t="n">
        <v>66.90000000000001</v>
      </c>
      <c r="G9690" t="n">
        <v>251</v>
      </c>
      <c r="H9690" t="n">
        <v>1.03e-105</v>
      </c>
      <c r="I9690" t="inlineStr">
        <is>
          <t>TrEMBL</t>
        </is>
      </c>
      <c r="J9690" t="inlineStr">
        <is>
          <t>FGGY</t>
        </is>
      </c>
      <c r="K9690" t="inlineStr">
        <is>
          <t>A0A6P3J2H3_BISBI</t>
        </is>
      </c>
      <c r="L9690" t="inlineStr">
        <is>
          <t>tr|A0A6P3J2H3|A0A6P3J2H3_BISBI FGGY carbohydrate kinase domain-containing protein isoform X1 OS=Bison bison bison OX=43346 GN=FGGY PE=3 SV=1</t>
        </is>
      </c>
      <c r="M9690" t="n">
        <v>550</v>
      </c>
      <c r="N9690" t="inlineStr">
        <is>
          <t>Bison bison bison</t>
        </is>
      </c>
      <c r="O9690" t="inlineStr">
        <is>
          <t>FGGY carbohydrate kinase domain-containing protein isoform X1</t>
        </is>
      </c>
    </row>
    <row r="9691">
      <c r="A9691" t="inlineStr"/>
      <c r="B9691" t="inlineStr"/>
      <c r="C9691" t="inlineStr"/>
      <c r="D9691" t="inlineStr"/>
      <c r="E9691">
        <f>HYPERLINK("https://www.uniprot.org/uniprotkb/A0A2K5Y081/entry", "A0A2K5Y081")</f>
        <v/>
      </c>
      <c r="F9691" t="n">
        <v>65.3</v>
      </c>
      <c r="G9691" t="n">
        <v>251</v>
      </c>
      <c r="H9691" t="n">
        <v>1.06e-105</v>
      </c>
      <c r="I9691" t="inlineStr">
        <is>
          <t>TrEMBL</t>
        </is>
      </c>
      <c r="J9691" t="inlineStr">
        <is>
          <t>FGGY</t>
        </is>
      </c>
      <c r="K9691" t="inlineStr">
        <is>
          <t>A0A2K5Y081_MANLE</t>
        </is>
      </c>
      <c r="L9691" t="inlineStr">
        <is>
          <t>tr|A0A2K5Y081|A0A2K5Y081_MANLE FGGY carbohydrate kinase domain containing OS=Mandrillus leucophaeus OX=9568 GN=FGGY PE=4 SV=1</t>
        </is>
      </c>
      <c r="M9691" t="n">
        <v>252</v>
      </c>
      <c r="N9691" t="inlineStr">
        <is>
          <t>Mandrillus leucophaeus</t>
        </is>
      </c>
      <c r="O9691" t="inlineStr">
        <is>
          <t>FGGY carbohydrate kinase domain containing</t>
        </is>
      </c>
    </row>
    <row r="9692">
      <c r="A9692" t="inlineStr"/>
      <c r="B9692" t="inlineStr"/>
      <c r="C9692" t="inlineStr"/>
      <c r="D9692" t="inlineStr"/>
      <c r="E9692">
        <f>HYPERLINK("https://www.uniprot.org/uniprotkb/A0A4W2DZ77/entry", "A0A4W2DZ77")</f>
        <v/>
      </c>
      <c r="F9692" t="n">
        <v>66.5</v>
      </c>
      <c r="G9692" t="n">
        <v>251</v>
      </c>
      <c r="H9692" t="n">
        <v>1.2e-105</v>
      </c>
      <c r="I9692" t="inlineStr">
        <is>
          <t>TrEMBL</t>
        </is>
      </c>
      <c r="J9692" t="inlineStr">
        <is>
          <t>FGGY</t>
        </is>
      </c>
      <c r="K9692" t="inlineStr">
        <is>
          <t>A0A4W2DZ77_BOBOX</t>
        </is>
      </c>
      <c r="L9692" t="inlineStr">
        <is>
          <t>tr|A0A4W2DZ77|A0A4W2DZ77_BOBOX FGGY carbohydrate kinase domain containing OS=Bos indicus x Bos taurus OX=30522 GN=FGGY PE=3 SV=1</t>
        </is>
      </c>
      <c r="M9692" t="n">
        <v>507</v>
      </c>
      <c r="N9692" t="inlineStr">
        <is>
          <t>Bos indicus x Bos taurus</t>
        </is>
      </c>
      <c r="O9692" t="inlineStr">
        <is>
          <t>FGGY carbohydrate kinase domain containing</t>
        </is>
      </c>
    </row>
    <row r="9693">
      <c r="A9693" t="inlineStr"/>
      <c r="B9693" t="inlineStr"/>
      <c r="C9693" t="inlineStr"/>
      <c r="D9693" t="inlineStr"/>
      <c r="E9693">
        <f>HYPERLINK("https://www.uniprot.org/uniprotkb/Q96C11/entry", "Q96C11")</f>
        <v/>
      </c>
      <c r="F9693" t="n">
        <v>65.3</v>
      </c>
      <c r="G9693" t="n">
        <v>251</v>
      </c>
      <c r="H9693" t="n">
        <v>2.19e-104</v>
      </c>
      <c r="I9693" t="inlineStr">
        <is>
          <t>Swiss-Prot</t>
        </is>
      </c>
      <c r="J9693" t="inlineStr">
        <is>
          <t>FGGY</t>
        </is>
      </c>
      <c r="K9693" t="inlineStr">
        <is>
          <t>FGGY_HUMAN</t>
        </is>
      </c>
      <c r="L9693" t="inlineStr">
        <is>
          <t>sp|Q96C11|FGGY_HUMAN FGGY carbohydrate kinase domain-containing protein OS=Homo sapiens OX=9606 GN=FGGY PE=1 SV=2</t>
        </is>
      </c>
      <c r="M9693" t="n">
        <v>551</v>
      </c>
      <c r="N9693" t="inlineStr">
        <is>
          <t>Homo sapiens</t>
        </is>
      </c>
      <c r="O9693" t="inlineStr">
        <is>
          <t>FGGY carbohydrate kinase domain-containing protein</t>
        </is>
      </c>
    </row>
    <row r="9694">
      <c r="A9694" t="inlineStr"/>
      <c r="B9694" t="inlineStr"/>
      <c r="C9694" t="inlineStr"/>
      <c r="D9694" t="inlineStr"/>
      <c r="E9694">
        <f>HYPERLINK("https://www.uniprot.org/uniprotkb/A2AJL3/entry", "A2AJL3")</f>
        <v/>
      </c>
      <c r="F9694" t="n">
        <v>64.09999999999999</v>
      </c>
      <c r="G9694" t="n">
        <v>251</v>
      </c>
      <c r="H9694" t="n">
        <v>1.8e-103</v>
      </c>
      <c r="I9694" t="inlineStr">
        <is>
          <t>Swiss-Prot</t>
        </is>
      </c>
      <c r="J9694" t="inlineStr">
        <is>
          <t>Fggy</t>
        </is>
      </c>
      <c r="K9694" t="inlineStr">
        <is>
          <t>FGGY_MOUSE</t>
        </is>
      </c>
      <c r="L9694" t="inlineStr">
        <is>
          <t>sp|A2AJL3|FGGY_MOUSE FGGY carbohydrate kinase domain-containing protein OS=Mus musculus OX=10090 GN=Fggy PE=1 SV=1</t>
        </is>
      </c>
      <c r="M9694" t="n">
        <v>552</v>
      </c>
      <c r="N9694" t="inlineStr">
        <is>
          <t>Mus musculus</t>
        </is>
      </c>
      <c r="O9694" t="inlineStr">
        <is>
          <t>FGGY carbohydrate kinase domain-containing protein</t>
        </is>
      </c>
    </row>
    <row r="9695">
      <c r="A9695" t="inlineStr"/>
      <c r="B9695" t="inlineStr"/>
      <c r="C9695" t="inlineStr"/>
      <c r="D9695" t="inlineStr"/>
      <c r="E9695">
        <f>HYPERLINK("https://www.uniprot.org/uniprotkb/Q6NUW9/entry", "Q6NUW9")</f>
        <v/>
      </c>
      <c r="F9695" t="n">
        <v>52.4</v>
      </c>
      <c r="G9695" t="n">
        <v>252</v>
      </c>
      <c r="H9695" t="n">
        <v>8.72e-81</v>
      </c>
      <c r="I9695" t="inlineStr">
        <is>
          <t>Swiss-Prot</t>
        </is>
      </c>
      <c r="J9695" t="inlineStr">
        <is>
          <t>fggy</t>
        </is>
      </c>
      <c r="K9695" t="inlineStr">
        <is>
          <t>FGGY_DANRE</t>
        </is>
      </c>
      <c r="L9695" t="inlineStr">
        <is>
          <t>sp|Q6NUW9|FGGY_DANRE FGGY carbohydrate kinase domain-containing protein OS=Danio rerio OX=7955 GN=fggy PE=2 SV=2</t>
        </is>
      </c>
      <c r="M9695" t="n">
        <v>545</v>
      </c>
      <c r="N9695" t="inlineStr">
        <is>
          <t>Danio rerio</t>
        </is>
      </c>
      <c r="O9695" t="inlineStr">
        <is>
          <t>FGGY carbohydrate kinase domain-containing protein</t>
        </is>
      </c>
    </row>
    <row r="9696">
      <c r="A9696" t="inlineStr"/>
      <c r="B9696" t="inlineStr"/>
      <c r="C9696" t="inlineStr"/>
      <c r="D9696" t="inlineStr"/>
      <c r="E9696">
        <f>HYPERLINK("https://www.uniprot.org/uniprotkb/Q04585/entry", "Q04585")</f>
        <v/>
      </c>
      <c r="F9696" t="n">
        <v>39.9</v>
      </c>
      <c r="G9696" t="n">
        <v>203</v>
      </c>
      <c r="H9696" t="n">
        <v>2.46e-36</v>
      </c>
      <c r="I9696" t="inlineStr">
        <is>
          <t>Swiss-Prot</t>
        </is>
      </c>
      <c r="J9696" t="inlineStr">
        <is>
          <t>YDR109C</t>
        </is>
      </c>
      <c r="K9696" t="inlineStr">
        <is>
          <t>YDR09_YEAST</t>
        </is>
      </c>
      <c r="L9696" t="inlineStr">
        <is>
          <t>sp|Q04585|YDR09_YEAST D-ribulokinase YDR109C OS=Saccharomyces cerevisiae (strain ATCC 204508 / S288c) OX=559292 GN=YDR109C PE=1 SV=1</t>
        </is>
      </c>
      <c r="M9696" t="n">
        <v>715</v>
      </c>
      <c r="N9696" t="inlineStr">
        <is>
          <t>Saccharomyces cerevisiae (strain ATCC 204508 / S288c)</t>
        </is>
      </c>
      <c r="O9696" t="inlineStr">
        <is>
          <t>D-ribulokinase YDR109C</t>
        </is>
      </c>
    </row>
    <row r="9697">
      <c r="A9697" t="inlineStr"/>
      <c r="B9697" t="inlineStr"/>
      <c r="C9697" t="inlineStr"/>
      <c r="D9697" t="inlineStr"/>
      <c r="E9697">
        <f>HYPERLINK("https://www.uniprot.org/uniprotkb/P53583/entry", "P53583")</f>
        <v/>
      </c>
      <c r="F9697" t="n">
        <v>32</v>
      </c>
      <c r="G9697" t="n">
        <v>125</v>
      </c>
      <c r="H9697" t="n">
        <v>2.55e-13</v>
      </c>
      <c r="I9697" t="inlineStr">
        <is>
          <t>Swiss-Prot</t>
        </is>
      </c>
      <c r="J9697" t="inlineStr">
        <is>
          <t>MPA43</t>
        </is>
      </c>
      <c r="K9697" t="inlineStr">
        <is>
          <t>MPA43_YEAST</t>
        </is>
      </c>
      <c r="L9697" t="inlineStr">
        <is>
          <t>sp|P53583|MPA43_YEAST Protein MPA43 OS=Saccharomyces cerevisiae (strain ATCC 204508 / S288c) OX=559292 GN=MPA43 PE=1 SV=1</t>
        </is>
      </c>
      <c r="M9697" t="n">
        <v>542</v>
      </c>
      <c r="N9697" t="inlineStr">
        <is>
          <t>Saccharomyces cerevisiae (strain ATCC 204508 / S288c)</t>
        </is>
      </c>
      <c r="O9697" t="inlineStr">
        <is>
          <t>Protein MPA43</t>
        </is>
      </c>
    </row>
    <row r="9698">
      <c r="A9698" t="inlineStr"/>
      <c r="B9698" t="inlineStr"/>
      <c r="C9698" t="inlineStr"/>
      <c r="D9698" t="inlineStr"/>
      <c r="E9698">
        <f>HYPERLINK("https://www.uniprot.org/uniprotkb/Q2FJ88/entry", "Q2FJ88")</f>
        <v/>
      </c>
      <c r="F9698" t="n">
        <v>28.6</v>
      </c>
      <c r="G9698" t="n">
        <v>210</v>
      </c>
      <c r="H9698" t="n">
        <v>6.33e-10</v>
      </c>
      <c r="I9698" t="inlineStr">
        <is>
          <t>Swiss-Prot</t>
        </is>
      </c>
      <c r="J9698" t="inlineStr">
        <is>
          <t>araB</t>
        </is>
      </c>
      <c r="K9698" t="inlineStr">
        <is>
          <t>ARAB_STAA3</t>
        </is>
      </c>
      <c r="L9698" t="inlineStr">
        <is>
          <t>sp|Q2FJ88|ARAB_STAA3 Ribulokinase OS=Staphylococcus aureus (strain USA300) OX=367830 GN=araB PE=3 SV=1</t>
        </is>
      </c>
      <c r="M9698" t="n">
        <v>545</v>
      </c>
      <c r="N9698" t="inlineStr">
        <is>
          <t>Staphylococcus aureus (strain USA300)</t>
        </is>
      </c>
      <c r="O9698" t="inlineStr">
        <is>
          <t>Ribulokinase</t>
        </is>
      </c>
    </row>
    <row r="9699">
      <c r="A9699" t="inlineStr"/>
      <c r="B9699" t="inlineStr"/>
      <c r="C9699" t="inlineStr"/>
      <c r="D9699" t="inlineStr"/>
      <c r="E9699">
        <f>HYPERLINK("https://www.uniprot.org/uniprotkb/Q2G0M6/entry", "Q2G0M6")</f>
        <v/>
      </c>
      <c r="F9699" t="n">
        <v>28.6</v>
      </c>
      <c r="G9699" t="n">
        <v>210</v>
      </c>
      <c r="H9699" t="n">
        <v>6.33e-10</v>
      </c>
      <c r="I9699" t="inlineStr">
        <is>
          <t>Swiss-Prot</t>
        </is>
      </c>
      <c r="J9699" t="inlineStr">
        <is>
          <t>araB</t>
        </is>
      </c>
      <c r="K9699" t="inlineStr">
        <is>
          <t>ARAB_STAA8</t>
        </is>
      </c>
      <c r="L9699" t="inlineStr">
        <is>
          <t>sp|Q2G0M6|ARAB_STAA8 Ribulokinase OS=Staphylococcus aureus (strain NCTC 8325 / PS 47) OX=93061 GN=araB PE=3 SV=1</t>
        </is>
      </c>
      <c r="M9699" t="n">
        <v>545</v>
      </c>
      <c r="N9699" t="inlineStr">
        <is>
          <t>Staphylococcus aureus (strain NCTC 8325 / PS 47)</t>
        </is>
      </c>
      <c r="O9699" t="inlineStr">
        <is>
          <t>Ribulokinase</t>
        </is>
      </c>
    </row>
    <row r="9700">
      <c r="A9700" t="inlineStr"/>
      <c r="B9700" t="inlineStr"/>
      <c r="C9700" t="inlineStr"/>
      <c r="D9700" t="inlineStr"/>
      <c r="E9700">
        <f>HYPERLINK("https://www.uniprot.org/uniprotkb/Q5HIC3/entry", "Q5HIC3")</f>
        <v/>
      </c>
      <c r="F9700" t="n">
        <v>28.6</v>
      </c>
      <c r="G9700" t="n">
        <v>210</v>
      </c>
      <c r="H9700" t="n">
        <v>6.33e-10</v>
      </c>
      <c r="I9700" t="inlineStr">
        <is>
          <t>Swiss-Prot</t>
        </is>
      </c>
      <c r="J9700" t="inlineStr">
        <is>
          <t>araB</t>
        </is>
      </c>
      <c r="K9700" t="inlineStr">
        <is>
          <t>ARAB_STAAC</t>
        </is>
      </c>
      <c r="L9700" t="inlineStr">
        <is>
          <t>sp|Q5HIC3|ARAB_STAAC Ribulokinase OS=Staphylococcus aureus (strain COL) OX=93062 GN=araB PE=3 SV=1</t>
        </is>
      </c>
      <c r="M9700" t="n">
        <v>545</v>
      </c>
      <c r="N9700" t="inlineStr">
        <is>
          <t>Staphylococcus aureus (strain COL)</t>
        </is>
      </c>
      <c r="O9700" t="inlineStr">
        <is>
          <t>Ribulokinase</t>
        </is>
      </c>
    </row>
    <row r="9701">
      <c r="A9701" t="inlineStr"/>
      <c r="B9701" t="inlineStr"/>
      <c r="C9701" t="inlineStr"/>
      <c r="D9701" t="inlineStr"/>
      <c r="E9701">
        <f>HYPERLINK("https://www.uniprot.org/uniprotkb/A6QEK4/entry", "A6QEK4")</f>
        <v/>
      </c>
      <c r="F9701" t="n">
        <v>28.6</v>
      </c>
      <c r="G9701" t="n">
        <v>210</v>
      </c>
      <c r="H9701" t="n">
        <v>6.33e-10</v>
      </c>
      <c r="I9701" t="inlineStr">
        <is>
          <t>Swiss-Prot</t>
        </is>
      </c>
      <c r="J9701" t="inlineStr">
        <is>
          <t>araB</t>
        </is>
      </c>
      <c r="K9701" t="inlineStr">
        <is>
          <t>ARAB_STAAE</t>
        </is>
      </c>
      <c r="L9701" t="inlineStr">
        <is>
          <t>sp|A6QEK4|ARAB_STAAE Ribulokinase OS=Staphylococcus aureus (strain Newman) OX=426430 GN=araB PE=3 SV=1</t>
        </is>
      </c>
      <c r="M9701" t="n">
        <v>545</v>
      </c>
      <c r="N9701" t="inlineStr">
        <is>
          <t>Staphylococcus aureus (strain Newman)</t>
        </is>
      </c>
      <c r="O9701" t="inlineStr">
        <is>
          <t>Ribulokinase</t>
        </is>
      </c>
    </row>
    <row r="9702">
      <c r="A9702" t="inlineStr"/>
      <c r="B9702" t="inlineStr"/>
      <c r="C9702" t="inlineStr"/>
      <c r="D9702" t="inlineStr"/>
      <c r="E9702">
        <f>HYPERLINK("https://www.uniprot.org/uniprotkb/Q6GJB6/entry", "Q6GJB6")</f>
        <v/>
      </c>
      <c r="F9702" t="n">
        <v>27.5</v>
      </c>
      <c r="G9702" t="n">
        <v>211</v>
      </c>
      <c r="H9702" t="n">
        <v>6.33e-10</v>
      </c>
      <c r="I9702" t="inlineStr">
        <is>
          <t>Swiss-Prot</t>
        </is>
      </c>
      <c r="J9702" t="inlineStr">
        <is>
          <t>araB</t>
        </is>
      </c>
      <c r="K9702" t="inlineStr">
        <is>
          <t>ARAB_STAAR</t>
        </is>
      </c>
      <c r="L9702" t="inlineStr">
        <is>
          <t>sp|Q6GJB6|ARAB_STAAR Ribulokinase OS=Staphylococcus aureus (strain MRSA252) OX=282458 GN=araB PE=3 SV=1</t>
        </is>
      </c>
      <c r="M9702" t="n">
        <v>545</v>
      </c>
      <c r="N9702" t="inlineStr">
        <is>
          <t>Staphylococcus aureus (strain MRSA252)</t>
        </is>
      </c>
      <c r="O9702" t="inlineStr">
        <is>
          <t>Ribulokinase</t>
        </is>
      </c>
    </row>
    <row r="9703">
      <c r="A9703" t="inlineStr"/>
      <c r="B9703" t="inlineStr"/>
      <c r="C9703" t="inlineStr"/>
      <c r="D9703" t="inlineStr"/>
      <c r="E9703">
        <f>HYPERLINK("https://www.uniprot.org/uniprotkb/A7WYY2/entry", "A7WYY2")</f>
        <v/>
      </c>
      <c r="F9703" t="n">
        <v>28.6</v>
      </c>
      <c r="G9703" t="n">
        <v>210</v>
      </c>
      <c r="H9703" t="n">
        <v>1.15e-09</v>
      </c>
      <c r="I9703" t="inlineStr">
        <is>
          <t>Swiss-Prot</t>
        </is>
      </c>
      <c r="J9703" t="inlineStr">
        <is>
          <t>araB</t>
        </is>
      </c>
      <c r="K9703" t="inlineStr">
        <is>
          <t>ARAB_STAA1</t>
        </is>
      </c>
      <c r="L9703" t="inlineStr">
        <is>
          <t>sp|A7WYY2|ARAB_STAA1 Ribulokinase OS=Staphylococcus aureus (strain Mu3 / ATCC 700698) OX=418127 GN=araB PE=3 SV=1</t>
        </is>
      </c>
      <c r="M9703" t="n">
        <v>545</v>
      </c>
      <c r="N9703" t="inlineStr">
        <is>
          <t>Staphylococcus aureus (strain Mu3 / ATCC 700698)</t>
        </is>
      </c>
      <c r="O9703" t="inlineStr">
        <is>
          <t>Ribulokinase</t>
        </is>
      </c>
    </row>
    <row r="9704">
      <c r="A9704" t="inlineStr"/>
      <c r="B9704" t="inlineStr"/>
      <c r="C9704" t="inlineStr"/>
      <c r="D9704" t="inlineStr"/>
      <c r="E9704">
        <f>HYPERLINK("https://www.uniprot.org/uniprotkb/Q2YSA9/entry", "Q2YSA9")</f>
        <v/>
      </c>
      <c r="F9704" t="n">
        <v>28.6</v>
      </c>
      <c r="G9704" t="n">
        <v>210</v>
      </c>
      <c r="H9704" t="n">
        <v>1.15e-09</v>
      </c>
      <c r="I9704" t="inlineStr">
        <is>
          <t>Swiss-Prot</t>
        </is>
      </c>
      <c r="J9704" t="inlineStr">
        <is>
          <t>araB</t>
        </is>
      </c>
      <c r="K9704" t="inlineStr">
        <is>
          <t>ARAB_STAAB</t>
        </is>
      </c>
      <c r="L9704" t="inlineStr">
        <is>
          <t>sp|Q2YSA9|ARAB_STAAB Ribulokinase OS=Staphylococcus aureus (strain bovine RF122 / ET3-1) OX=273036 GN=araB PE=3 SV=1</t>
        </is>
      </c>
      <c r="M9704" t="n">
        <v>545</v>
      </c>
      <c r="N9704" t="inlineStr">
        <is>
          <t>Staphylococcus aureus (strain bovine RF122 / ET3-1)</t>
        </is>
      </c>
      <c r="O9704" t="inlineStr">
        <is>
          <t>Ribulokinase</t>
        </is>
      </c>
    </row>
    <row r="9705">
      <c r="A9705" t="inlineStr"/>
      <c r="B9705" t="inlineStr"/>
      <c r="C9705" t="inlineStr"/>
      <c r="D9705" t="inlineStr"/>
      <c r="E9705">
        <f>HYPERLINK("https://www.uniprot.org/uniprotkb/P63549/entry", "P63549")</f>
        <v/>
      </c>
      <c r="F9705" t="n">
        <v>28.6</v>
      </c>
      <c r="G9705" t="n">
        <v>210</v>
      </c>
      <c r="H9705" t="n">
        <v>1.15e-09</v>
      </c>
      <c r="I9705" t="inlineStr">
        <is>
          <t>Swiss-Prot</t>
        </is>
      </c>
      <c r="J9705" t="inlineStr">
        <is>
          <t>araB</t>
        </is>
      </c>
      <c r="K9705" t="inlineStr">
        <is>
          <t>ARAB_STAAM</t>
        </is>
      </c>
      <c r="L9705" t="inlineStr">
        <is>
          <t>sp|P63549|ARAB_STAAM Ribulokinase OS=Staphylococcus aureus (strain Mu50 / ATCC 700699) OX=158878 GN=araB PE=3 SV=1</t>
        </is>
      </c>
      <c r="M9705" t="n">
        <v>545</v>
      </c>
      <c r="N9705" t="inlineStr">
        <is>
          <t>Staphylococcus aureus (strain Mu50 / ATCC 700699)</t>
        </is>
      </c>
      <c r="O9705" t="inlineStr">
        <is>
          <t>Ribulokinase</t>
        </is>
      </c>
    </row>
    <row r="9706">
      <c r="A9706" t="inlineStr"/>
      <c r="B9706" t="inlineStr"/>
      <c r="C9706" t="inlineStr"/>
      <c r="D9706" t="inlineStr"/>
      <c r="E9706">
        <f>HYPERLINK("https://www.uniprot.org/uniprotkb/P63550/entry", "P63550")</f>
        <v/>
      </c>
      <c r="F9706" t="n">
        <v>28.6</v>
      </c>
      <c r="G9706" t="n">
        <v>210</v>
      </c>
      <c r="H9706" t="n">
        <v>1.15e-09</v>
      </c>
      <c r="I9706" t="inlineStr">
        <is>
          <t>Swiss-Prot</t>
        </is>
      </c>
      <c r="J9706" t="inlineStr">
        <is>
          <t>araB</t>
        </is>
      </c>
      <c r="K9706" t="inlineStr">
        <is>
          <t>ARAB_STAAN</t>
        </is>
      </c>
      <c r="L9706" t="inlineStr">
        <is>
          <t>sp|P63550|ARAB_STAAN Ribulokinase OS=Staphylococcus aureus (strain N315) OX=158879 GN=araB PE=3 SV=1</t>
        </is>
      </c>
      <c r="M9706" t="n">
        <v>545</v>
      </c>
      <c r="N9706" t="inlineStr">
        <is>
          <t>Staphylococcus aureus (strain N315)</t>
        </is>
      </c>
      <c r="O9706" t="inlineStr">
        <is>
          <t>Ribulokinase</t>
        </is>
      </c>
    </row>
    <row r="9707">
      <c r="A9707" t="inlineStr"/>
      <c r="B9707" t="inlineStr"/>
      <c r="C9707" t="inlineStr"/>
      <c r="D9707" t="inlineStr"/>
      <c r="E9707">
        <f>HYPERLINK("https://www.uniprot.org/uniprotkb/Q6GBT5/entry", "Q6GBT5")</f>
        <v/>
      </c>
      <c r="F9707" t="n">
        <v>28.6</v>
      </c>
      <c r="G9707" t="n">
        <v>210</v>
      </c>
      <c r="H9707" t="n">
        <v>1.15e-09</v>
      </c>
      <c r="I9707" t="inlineStr">
        <is>
          <t>Swiss-Prot</t>
        </is>
      </c>
      <c r="J9707" t="inlineStr">
        <is>
          <t>araB</t>
        </is>
      </c>
      <c r="K9707" t="inlineStr">
        <is>
          <t>ARAB_STAAS</t>
        </is>
      </c>
      <c r="L9707" t="inlineStr">
        <is>
          <t>sp|Q6GBT5|ARAB_STAAS Ribulokinase OS=Staphylococcus aureus (strain MSSA476) OX=282459 GN=araB PE=3 SV=1</t>
        </is>
      </c>
      <c r="M9707" t="n">
        <v>545</v>
      </c>
      <c r="N9707" t="inlineStr">
        <is>
          <t>Staphylococcus aureus (strain MSSA476)</t>
        </is>
      </c>
      <c r="O9707" t="inlineStr">
        <is>
          <t>Ribulokinase</t>
        </is>
      </c>
    </row>
    <row r="9708">
      <c r="A9708" t="inlineStr"/>
      <c r="B9708" t="inlineStr"/>
      <c r="C9708" t="inlineStr"/>
      <c r="D9708" t="inlineStr"/>
      <c r="E9708">
        <f>HYPERLINK("https://www.uniprot.org/uniprotkb/Q8NXY1/entry", "Q8NXY1")</f>
        <v/>
      </c>
      <c r="F9708" t="n">
        <v>28.6</v>
      </c>
      <c r="G9708" t="n">
        <v>210</v>
      </c>
      <c r="H9708" t="n">
        <v>1.15e-09</v>
      </c>
      <c r="I9708" t="inlineStr">
        <is>
          <t>Swiss-Prot</t>
        </is>
      </c>
      <c r="J9708" t="inlineStr">
        <is>
          <t>araB</t>
        </is>
      </c>
      <c r="K9708" t="inlineStr">
        <is>
          <t>ARAB_STAAW</t>
        </is>
      </c>
      <c r="L9708" t="inlineStr">
        <is>
          <t>sp|Q8NXY1|ARAB_STAAW Ribulokinase OS=Staphylococcus aureus (strain MW2) OX=196620 GN=araB PE=3 SV=1</t>
        </is>
      </c>
      <c r="M9708" t="n">
        <v>545</v>
      </c>
      <c r="N9708" t="inlineStr">
        <is>
          <t>Staphylococcus aureus (strain MW2)</t>
        </is>
      </c>
      <c r="O9708" t="inlineStr">
        <is>
          <t>Ribulokinase</t>
        </is>
      </c>
    </row>
    <row r="9709">
      <c r="A9709" t="inlineStr"/>
      <c r="B9709" t="inlineStr"/>
      <c r="C9709" t="inlineStr"/>
      <c r="D9709" t="inlineStr"/>
      <c r="E9709">
        <f>HYPERLINK("https://www.uniprot.org/uniprotkb/Q9KBQ3/entry", "Q9KBQ3")</f>
        <v/>
      </c>
      <c r="F9709" t="n">
        <v>28.3</v>
      </c>
      <c r="G9709" t="n">
        <v>247</v>
      </c>
      <c r="H9709" t="n">
        <v>1.17e-09</v>
      </c>
      <c r="I9709" t="inlineStr">
        <is>
          <t>Swiss-Prot</t>
        </is>
      </c>
      <c r="J9709" t="inlineStr">
        <is>
          <t>araB</t>
        </is>
      </c>
      <c r="K9709" t="inlineStr">
        <is>
          <t>ARAB_HALH5</t>
        </is>
      </c>
      <c r="L9709" t="inlineStr">
        <is>
          <t>sp|Q9KBQ3|ARAB_HALH5 Ribulokinase OS=Halalkalibacterium halodurans (strain ATCC BAA-125 / DSM 18197 / FERM 7344 / JCM 9153 / C-125) OX=272558 GN=araB PE=1 SV=1</t>
        </is>
      </c>
      <c r="M9709" t="n">
        <v>563</v>
      </c>
      <c r="N9709" t="inlineStr">
        <is>
          <t>Halalkalibacterium halodurans (strain ATCC BAA-125 / DSM 18197 / FERM 7344 / JCM 9153 / C-125)</t>
        </is>
      </c>
      <c r="O9709" t="inlineStr">
        <is>
          <t>Ribulokinase</t>
        </is>
      </c>
    </row>
    <row r="9710">
      <c r="A9710" t="inlineStr"/>
      <c r="B9710" t="inlineStr"/>
      <c r="C9710" t="inlineStr"/>
      <c r="D9710" t="inlineStr"/>
      <c r="E9710">
        <f>HYPERLINK("https://www.uniprot.org/uniprotkb/Q49V87/entry", "Q49V87")</f>
        <v/>
      </c>
      <c r="F9710" t="n">
        <v>27.6</v>
      </c>
      <c r="G9710" t="n">
        <v>203</v>
      </c>
      <c r="H9710" t="n">
        <v>2.82e-09</v>
      </c>
      <c r="I9710" t="inlineStr">
        <is>
          <t>Swiss-Prot</t>
        </is>
      </c>
      <c r="J9710" t="inlineStr">
        <is>
          <t>araB2</t>
        </is>
      </c>
      <c r="K9710" t="inlineStr">
        <is>
          <t>ARAB2_STAS1</t>
        </is>
      </c>
      <c r="L9710" t="inlineStr">
        <is>
          <t>sp|Q49V87|ARAB2_STAS1 Ribulokinase 2 OS=Staphylococcus saprophyticus subsp. saprophyticus (strain ATCC 15305 / DSM 20229 / NCIMB 8711 / NCTC 7292 / S-41) OX=342451 GN=araB2 PE=3 SV=1</t>
        </is>
      </c>
      <c r="M9710" t="n">
        <v>542</v>
      </c>
      <c r="N9710" t="inlineStr">
        <is>
          <t>Staphylococcus saprophyticus subsp. saprophyticus (strain ATCC 15305 / DSM 20229 / NCIMB 8711 / NCTC 7292 / S-41)</t>
        </is>
      </c>
      <c r="O9710" t="inlineStr">
        <is>
          <t>Ribulokinase 2</t>
        </is>
      </c>
    </row>
    <row r="9711">
      <c r="A9711" t="inlineStr"/>
      <c r="B9711" t="inlineStr"/>
      <c r="C9711" t="inlineStr"/>
      <c r="D9711" t="inlineStr"/>
      <c r="E9711">
        <f>HYPERLINK("https://www.uniprot.org/uniprotkb/Q5WL06/entry", "Q5WL06")</f>
        <v/>
      </c>
      <c r="F9711" t="n">
        <v>26.1</v>
      </c>
      <c r="G9711" t="n">
        <v>238</v>
      </c>
      <c r="H9711" t="n">
        <v>1.27e-08</v>
      </c>
      <c r="I9711" t="inlineStr">
        <is>
          <t>Swiss-Prot</t>
        </is>
      </c>
      <c r="J9711" t="inlineStr">
        <is>
          <t>araB</t>
        </is>
      </c>
      <c r="K9711" t="inlineStr">
        <is>
          <t>ARAB_ALKCK</t>
        </is>
      </c>
      <c r="L9711" t="inlineStr">
        <is>
          <t>sp|Q5WL06|ARAB_ALKCK Ribulokinase OS=Alkalihalobacillus clausii (strain KSM-K16) OX=66692 GN=araB PE=3 SV=1</t>
        </is>
      </c>
      <c r="M9711" t="n">
        <v>561</v>
      </c>
      <c r="N9711" t="inlineStr">
        <is>
          <t>Alkalihalobacillus clausii (strain KSM-K16)</t>
        </is>
      </c>
      <c r="O9711" t="inlineStr">
        <is>
          <t>Ribulokinase</t>
        </is>
      </c>
    </row>
    <row r="9712">
      <c r="A9712" t="inlineStr"/>
      <c r="B9712" t="inlineStr"/>
      <c r="C9712" t="inlineStr"/>
      <c r="D9712" t="inlineStr"/>
      <c r="E9712">
        <f>HYPERLINK("https://www.uniprot.org/uniprotkb/Q65GC1/entry", "Q65GC1")</f>
        <v/>
      </c>
      <c r="F9712" t="n">
        <v>25.2</v>
      </c>
      <c r="G9712" t="n">
        <v>266</v>
      </c>
      <c r="H9712" t="n">
        <v>2.28e-08</v>
      </c>
      <c r="I9712" t="inlineStr">
        <is>
          <t>Swiss-Prot</t>
        </is>
      </c>
      <c r="J9712" t="inlineStr">
        <is>
          <t>araB</t>
        </is>
      </c>
      <c r="K9712" t="inlineStr">
        <is>
          <t>ARAB_BACLD</t>
        </is>
      </c>
      <c r="L9712" t="inlineStr">
        <is>
          <t>sp|Q65GC1|ARAB_BACLD Ribulokinase OS=Bacillus licheniformis (strain ATCC 14580 / DSM 13 / JCM 2505 / CCUG 7422 / NBRC 12200 / NCIMB 9375 / NCTC 10341 / NRRL NRS-1264 / Gibson 46) OX=279010 GN=araB PE=3 SV=1</t>
        </is>
      </c>
      <c r="M9712" t="n">
        <v>552</v>
      </c>
      <c r="N9712" t="inlineStr">
        <is>
          <t>Bacillus licheniformis (strain ATCC 14580 / DSM 13 / JCM 2505 / CCUG 7422 / NBRC 12200 / NCIMB 9375 / NCTC 10341 / NRRL NRS-1264 / Gibson 46)</t>
        </is>
      </c>
      <c r="O9712" t="inlineStr">
        <is>
          <t>Ribulokinase</t>
        </is>
      </c>
    </row>
    <row r="9713">
      <c r="A9713" t="inlineStr"/>
      <c r="B9713" t="inlineStr"/>
      <c r="C9713" t="inlineStr"/>
      <c r="D9713" t="inlineStr"/>
      <c r="E9713">
        <f>HYPERLINK("https://www.uniprot.org/uniprotkb/P94524/entry", "P94524")</f>
        <v/>
      </c>
      <c r="F9713" t="n">
        <v>26</v>
      </c>
      <c r="G9713" t="n">
        <v>250</v>
      </c>
      <c r="H9713" t="n">
        <v>6e-07</v>
      </c>
      <c r="I9713" t="inlineStr">
        <is>
          <t>Swiss-Prot</t>
        </is>
      </c>
      <c r="J9713" t="inlineStr">
        <is>
          <t>araB</t>
        </is>
      </c>
      <c r="K9713" t="inlineStr">
        <is>
          <t>ARAB_BACSU</t>
        </is>
      </c>
      <c r="L9713" t="inlineStr">
        <is>
          <t>sp|P94524|ARAB_BACSU Ribulokinase OS=Bacillus subtilis (strain 168) OX=224308 GN=araB PE=2 SV=1</t>
        </is>
      </c>
      <c r="M9713" t="n">
        <v>560</v>
      </c>
      <c r="N9713" t="inlineStr">
        <is>
          <t>Bacillus subtilis (strain 168)</t>
        </is>
      </c>
      <c r="O9713" t="inlineStr">
        <is>
          <t>Ribulokinase</t>
        </is>
      </c>
    </row>
    <row r="9714">
      <c r="A9714" t="inlineStr"/>
      <c r="B9714" t="inlineStr"/>
      <c r="C9714" t="inlineStr"/>
      <c r="D9714" t="inlineStr"/>
      <c r="E9714">
        <f>HYPERLINK("https://www.uniprot.org/uniprotkb/Q5KYP6/entry", "Q5KYP6")</f>
        <v/>
      </c>
      <c r="F9714" t="n">
        <v>26.6</v>
      </c>
      <c r="G9714" t="n">
        <v>248</v>
      </c>
      <c r="H9714" t="n">
        <v>1.46e-06</v>
      </c>
      <c r="I9714" t="inlineStr">
        <is>
          <t>Swiss-Prot</t>
        </is>
      </c>
      <c r="J9714" t="inlineStr">
        <is>
          <t>araB</t>
        </is>
      </c>
      <c r="K9714" t="inlineStr">
        <is>
          <t>ARAB_GEOKA</t>
        </is>
      </c>
      <c r="L9714" t="inlineStr">
        <is>
          <t>sp|Q5KYP6|ARAB_GEOKA Ribulokinase OS=Geobacillus kaustophilus (strain HTA426) OX=235909 GN=araB PE=3 SV=1</t>
        </is>
      </c>
      <c r="M9714" t="n">
        <v>564</v>
      </c>
      <c r="N9714" t="inlineStr">
        <is>
          <t>Geobacillus kaustophilus (strain HTA426)</t>
        </is>
      </c>
      <c r="O9714" t="inlineStr">
        <is>
          <t>Ribulokinase</t>
        </is>
      </c>
    </row>
    <row r="9715">
      <c r="A9715" t="inlineStr"/>
      <c r="B9715" t="inlineStr"/>
      <c r="C9715" t="inlineStr"/>
      <c r="D9715" t="inlineStr"/>
      <c r="E9715">
        <f>HYPERLINK("https://www.uniprot.org/uniprotkb/A4IPA2/entry", "A4IPA2")</f>
        <v/>
      </c>
      <c r="F9715" t="n">
        <v>26.2</v>
      </c>
      <c r="G9715" t="n">
        <v>248</v>
      </c>
      <c r="H9715" t="n">
        <v>1.46e-06</v>
      </c>
      <c r="I9715" t="inlineStr">
        <is>
          <t>Swiss-Prot</t>
        </is>
      </c>
      <c r="J9715" t="inlineStr">
        <is>
          <t>araB</t>
        </is>
      </c>
      <c r="K9715" t="inlineStr">
        <is>
          <t>ARAB_GEOTN</t>
        </is>
      </c>
      <c r="L9715" t="inlineStr">
        <is>
          <t>sp|A4IPA2|ARAB_GEOTN Ribulokinase OS=Geobacillus thermodenitrificans (strain NG80-2) OX=420246 GN=araB PE=3 SV=1</t>
        </is>
      </c>
      <c r="M9715" t="n">
        <v>564</v>
      </c>
      <c r="N9715" t="inlineStr">
        <is>
          <t>Geobacillus thermodenitrificans (strain NG80-2)</t>
        </is>
      </c>
      <c r="O9715" t="inlineStr">
        <is>
          <t>Ribulokinase</t>
        </is>
      </c>
    </row>
    <row r="9716">
      <c r="A9716" t="inlineStr"/>
      <c r="B9716" t="inlineStr"/>
      <c r="C9716" t="inlineStr"/>
      <c r="D9716" t="inlineStr"/>
      <c r="E9716">
        <f>HYPERLINK("https://www.uniprot.org/uniprotkb/Q9S468/entry", "Q9S468")</f>
        <v/>
      </c>
      <c r="F9716" t="n">
        <v>26.2</v>
      </c>
      <c r="G9716" t="n">
        <v>248</v>
      </c>
      <c r="H9716" t="n">
        <v>1.96e-06</v>
      </c>
      <c r="I9716" t="inlineStr">
        <is>
          <t>Swiss-Prot</t>
        </is>
      </c>
      <c r="J9716" t="inlineStr">
        <is>
          <t>araB</t>
        </is>
      </c>
      <c r="K9716" t="inlineStr">
        <is>
          <t>ARAB_GEOSE</t>
        </is>
      </c>
      <c r="L9716" t="inlineStr">
        <is>
          <t>sp|Q9S468|ARAB_GEOSE Ribulokinase OS=Geobacillus stearothermophilus OX=1422 GN=araB PE=3 SV=1</t>
        </is>
      </c>
      <c r="M9716" t="n">
        <v>564</v>
      </c>
      <c r="N9716" t="inlineStr">
        <is>
          <t>Geobacillus stearothermophilus</t>
        </is>
      </c>
      <c r="O9716" t="inlineStr">
        <is>
          <t>Ribulokinase</t>
        </is>
      </c>
    </row>
    <row r="9717">
      <c r="A9717" t="inlineStr">
        <is>
          <t>NODE_8102_length_6707_cov_342.640813_g2904_i1</t>
        </is>
      </c>
      <c r="B9717" t="inlineStr">
        <is>
          <t>bombina_pachypus_blastx</t>
        </is>
      </c>
      <c r="C9717" t="n">
        <v>-4.80728685789001</v>
      </c>
      <c r="D9717" t="n">
        <v>2.67853778308077e-28</v>
      </c>
      <c r="E9717">
        <f>HYPERLINK("https://www.uniprot.org/uniprotkb/A0A8J0SZ51/entry", "A0A8J0SZ51")</f>
        <v/>
      </c>
      <c r="F9717" t="n">
        <v>56.9</v>
      </c>
      <c r="G9717" t="n">
        <v>422</v>
      </c>
      <c r="H9717" t="n">
        <v>2.85e-153</v>
      </c>
      <c r="I9717" t="inlineStr">
        <is>
          <t>TrEMBL</t>
        </is>
      </c>
      <c r="J9717" t="inlineStr">
        <is>
          <t>trim47</t>
        </is>
      </c>
      <c r="K9717" t="inlineStr">
        <is>
          <t>A0A8J0SZ51_XENTR</t>
        </is>
      </c>
      <c r="L9717" t="inlineStr">
        <is>
          <t>tr|A0A8J0SZ51|A0A8J0SZ51_XENTR tripartite motif-containing protein 47 isoform X1 OS=Xenopus tropicalis OX=8364 GN=trim47 PE=4 SV=1</t>
        </is>
      </c>
      <c r="M9717" t="n">
        <v>490</v>
      </c>
      <c r="N9717" t="inlineStr">
        <is>
          <t>Xenopus tropicalis</t>
        </is>
      </c>
      <c r="O9717" t="inlineStr">
        <is>
          <t>tripartite motif-containing protein 47 isoform X1</t>
        </is>
      </c>
    </row>
    <row r="9718">
      <c r="A9718" t="inlineStr"/>
      <c r="B9718" t="inlineStr"/>
      <c r="C9718" t="inlineStr"/>
      <c r="D9718" t="inlineStr"/>
      <c r="E9718">
        <f>HYPERLINK("https://www.ncbi.nlm.nih.gov/gene/?term=XP_012826964.2", "XP_012826964.2")</f>
        <v/>
      </c>
      <c r="F9718" t="n">
        <v>56.9</v>
      </c>
      <c r="G9718" t="n">
        <v>422</v>
      </c>
      <c r="H9718" t="n">
        <v>7.329999999999999e-153</v>
      </c>
      <c r="I9718" t="inlineStr">
        <is>
          <t>Nr</t>
        </is>
      </c>
      <c r="J9718" t="inlineStr"/>
      <c r="K9718" t="inlineStr"/>
      <c r="L9718" t="inlineStr">
        <is>
          <t>XP_012826964.2 tripartite motif-containing protein 47 isoform X1 [Xenopus tropicalis]</t>
        </is>
      </c>
      <c r="M9718" t="n">
        <v>490</v>
      </c>
      <c r="N9718" t="inlineStr">
        <is>
          <t>Xenopus tropicalis</t>
        </is>
      </c>
      <c r="O9718" t="inlineStr">
        <is>
          <t>tripartite motif-containing protein 47 isoform X1</t>
        </is>
      </c>
    </row>
    <row r="9719">
      <c r="A9719" t="inlineStr"/>
      <c r="B9719" t="inlineStr"/>
      <c r="C9719" t="inlineStr"/>
      <c r="D9719" t="inlineStr"/>
      <c r="E9719">
        <f>HYPERLINK("https://www.uniprot.org/uniprotkb/A0A6I8PZA0/entry", "A0A6I8PZA0")</f>
        <v/>
      </c>
      <c r="F9719" t="n">
        <v>56.3</v>
      </c>
      <c r="G9719" t="n">
        <v>419</v>
      </c>
      <c r="H9719" t="n">
        <v>9.8e-152</v>
      </c>
      <c r="I9719" t="inlineStr">
        <is>
          <t>TrEMBL</t>
        </is>
      </c>
      <c r="J9719" t="inlineStr">
        <is>
          <t>trim47</t>
        </is>
      </c>
      <c r="K9719" t="inlineStr">
        <is>
          <t>A0A6I8PZA0_XENTR</t>
        </is>
      </c>
      <c r="L9719" t="inlineStr">
        <is>
          <t>tr|A0A6I8PZA0|A0A6I8PZA0_XENTR Tripartite motif containing 47 OS=Xenopus tropicalis OX=8364 GN=trim47 PE=4 SV=2</t>
        </is>
      </c>
      <c r="M9719" t="n">
        <v>481</v>
      </c>
      <c r="N9719" t="inlineStr">
        <is>
          <t>Xenopus tropicalis</t>
        </is>
      </c>
      <c r="O9719" t="inlineStr">
        <is>
          <t>Tripartite motif containing 47</t>
        </is>
      </c>
    </row>
    <row r="9720">
      <c r="A9720" t="inlineStr"/>
      <c r="B9720" t="inlineStr"/>
      <c r="C9720" t="inlineStr"/>
      <c r="D9720" t="inlineStr"/>
      <c r="E9720">
        <f>HYPERLINK("https://www.uniprot.org/uniprotkb/A8E4W1/entry", "A8E4W1")</f>
        <v/>
      </c>
      <c r="F9720" t="n">
        <v>55.4</v>
      </c>
      <c r="G9720" t="n">
        <v>419</v>
      </c>
      <c r="H9720" t="n">
        <v>1.97e-151</v>
      </c>
      <c r="I9720" t="inlineStr">
        <is>
          <t>TrEMBL</t>
        </is>
      </c>
      <c r="J9720" t="inlineStr">
        <is>
          <t>trim47</t>
        </is>
      </c>
      <c r="K9720" t="inlineStr">
        <is>
          <t>A8E4W1_XENTR</t>
        </is>
      </c>
      <c r="L9720" t="inlineStr">
        <is>
          <t>tr|A8E4W1|A8E4W1_XENTR LOC100127579 protein OS=Xenopus tropicalis OX=8364 GN=trim47 PE=2 SV=1</t>
        </is>
      </c>
      <c r="M9720" t="n">
        <v>481</v>
      </c>
      <c r="N9720" t="inlineStr">
        <is>
          <t>Xenopus tropicalis</t>
        </is>
      </c>
      <c r="O9720" t="inlineStr">
        <is>
          <t>LOC100127579 protein</t>
        </is>
      </c>
    </row>
    <row r="9721">
      <c r="A9721" t="inlineStr"/>
      <c r="B9721" t="inlineStr"/>
      <c r="C9721" t="inlineStr"/>
      <c r="D9721" t="inlineStr"/>
      <c r="E9721">
        <f>HYPERLINK("https://www.ncbi.nlm.nih.gov/gene/?term=XP_031749814.1", "XP_031749814.1")</f>
        <v/>
      </c>
      <c r="F9721" t="n">
        <v>56.3</v>
      </c>
      <c r="G9721" t="n">
        <v>419</v>
      </c>
      <c r="H9721" t="n">
        <v>2.52e-151</v>
      </c>
      <c r="I9721" t="inlineStr">
        <is>
          <t>Nr</t>
        </is>
      </c>
      <c r="J9721" t="inlineStr"/>
      <c r="K9721" t="inlineStr"/>
      <c r="L9721" t="inlineStr">
        <is>
          <t>XP_031749814.1 tripartite motif-containing protein 47 isoform X2 [Xenopus tropicalis]</t>
        </is>
      </c>
      <c r="M9721" t="n">
        <v>481</v>
      </c>
      <c r="N9721" t="inlineStr">
        <is>
          <t>Xenopus tropicalis</t>
        </is>
      </c>
      <c r="O9721" t="inlineStr">
        <is>
          <t>tripartite motif-containing protein 47 isoform X2</t>
        </is>
      </c>
    </row>
    <row r="9722">
      <c r="A9722" t="inlineStr"/>
      <c r="B9722" t="inlineStr"/>
      <c r="C9722" t="inlineStr"/>
      <c r="D9722" t="inlineStr"/>
      <c r="E9722">
        <f>HYPERLINK("https://www.ncbi.nlm.nih.gov/gene/?term=NP_001106416.1", "NP_001106416.1")</f>
        <v/>
      </c>
      <c r="F9722" t="n">
        <v>55.4</v>
      </c>
      <c r="G9722" t="n">
        <v>419</v>
      </c>
      <c r="H9722" t="n">
        <v>5.06e-151</v>
      </c>
      <c r="I9722" t="inlineStr">
        <is>
          <t>Nr</t>
        </is>
      </c>
      <c r="J9722" t="inlineStr"/>
      <c r="K9722" t="inlineStr"/>
      <c r="L9722" t="inlineStr">
        <is>
          <t>NP_001106416.1 tripartite motif-containing protein 47 [Xenopus tropicalis]</t>
        </is>
      </c>
      <c r="M9722" t="n">
        <v>481</v>
      </c>
      <c r="N9722" t="inlineStr">
        <is>
          <t>Xenopus tropicalis</t>
        </is>
      </c>
      <c r="O9722" t="inlineStr">
        <is>
          <t>tripartite motif-containing protein 47</t>
        </is>
      </c>
    </row>
    <row r="9723">
      <c r="A9723" t="inlineStr"/>
      <c r="B9723" t="inlineStr"/>
      <c r="C9723" t="inlineStr"/>
      <c r="D9723" t="inlineStr"/>
      <c r="E9723">
        <f>HYPERLINK("https://www.ncbi.nlm.nih.gov/gene/?term=XP_053309714.1", "XP_053309714.1")</f>
        <v/>
      </c>
      <c r="F9723" t="n">
        <v>58.9</v>
      </c>
      <c r="G9723" t="n">
        <v>406</v>
      </c>
      <c r="H9723" t="n">
        <v>8.2e-150</v>
      </c>
      <c r="I9723" t="inlineStr">
        <is>
          <t>Nr</t>
        </is>
      </c>
      <c r="J9723" t="inlineStr"/>
      <c r="K9723" t="inlineStr"/>
      <c r="L9723" t="inlineStr">
        <is>
          <t>XP_053309714.1 E3 ubiquitin-protein ligase TRIM47 [Spea bombifrons]</t>
        </is>
      </c>
      <c r="M9723" t="n">
        <v>460</v>
      </c>
      <c r="N9723" t="inlineStr">
        <is>
          <t>Spea bombifrons</t>
        </is>
      </c>
      <c r="O9723" t="inlineStr">
        <is>
          <t>E3 ubiquitin-protein ligase TRIM47</t>
        </is>
      </c>
    </row>
    <row r="9724">
      <c r="A9724" t="inlineStr"/>
      <c r="B9724" t="inlineStr"/>
      <c r="C9724" t="inlineStr"/>
      <c r="D9724" t="inlineStr"/>
      <c r="E9724">
        <f>HYPERLINK("https://www.uniprot.org/uniprotkb/A0A8C5RAD2/entry", "A0A8C5RAD2")</f>
        <v/>
      </c>
      <c r="F9724" t="n">
        <v>57.4</v>
      </c>
      <c r="G9724" t="n">
        <v>413</v>
      </c>
      <c r="H9724" t="n">
        <v>6.3e-148</v>
      </c>
      <c r="I9724" t="inlineStr">
        <is>
          <t>TrEMBL</t>
        </is>
      </c>
      <c r="J9724" t="inlineStr"/>
      <c r="K9724" t="inlineStr">
        <is>
          <t>A0A8C5RAD2_9ANUR</t>
        </is>
      </c>
      <c r="L9724" t="inlineStr">
        <is>
          <t>tr|A0A8C5RAD2|A0A8C5RAD2_9ANUR Tripartite motif-containing protein 65 OS=Leptobrachium leishanense OX=445787 PE=4 SV=1</t>
        </is>
      </c>
      <c r="M9724" t="n">
        <v>472</v>
      </c>
      <c r="N9724" t="inlineStr">
        <is>
          <t>Leptobrachium leishanense</t>
        </is>
      </c>
      <c r="O9724" t="inlineStr">
        <is>
          <t>Tripartite motif-containing protein 65</t>
        </is>
      </c>
    </row>
    <row r="9725">
      <c r="A9725" t="inlineStr"/>
      <c r="B9725" t="inlineStr"/>
      <c r="C9725" t="inlineStr"/>
      <c r="D9725" t="inlineStr"/>
      <c r="E9725">
        <f>HYPERLINK("https://www.uniprot.org/uniprotkb/A0A8J6ERF5/entry", "A0A8J6ERF5")</f>
        <v/>
      </c>
      <c r="F9725" t="n">
        <v>63.4</v>
      </c>
      <c r="G9725" t="n">
        <v>344</v>
      </c>
      <c r="H9725" t="n">
        <v>1.73e-147</v>
      </c>
      <c r="I9725" t="inlineStr">
        <is>
          <t>TrEMBL</t>
        </is>
      </c>
      <c r="J9725" t="inlineStr">
        <is>
          <t>GDO78_004137</t>
        </is>
      </c>
      <c r="K9725" t="inlineStr">
        <is>
          <t>A0A8J6ERF5_ELECQ</t>
        </is>
      </c>
      <c r="L9725" t="inlineStr">
        <is>
          <t>tr|A0A8J6ERF5|A0A8J6ERF5_ELECQ Tripartite motif-containing protein 65 OS=Eleutherodactylus coqui OX=57060 GN=GDO78_004137 PE=4 SV=1</t>
        </is>
      </c>
      <c r="M9725" t="n">
        <v>471</v>
      </c>
      <c r="N9725" t="inlineStr">
        <is>
          <t>Eleutherodactylus coqui</t>
        </is>
      </c>
      <c r="O9725" t="inlineStr">
        <is>
          <t>Tripartite motif-containing protein 65</t>
        </is>
      </c>
    </row>
    <row r="9726">
      <c r="A9726" t="inlineStr"/>
      <c r="B9726" t="inlineStr"/>
      <c r="C9726" t="inlineStr"/>
      <c r="D9726" t="inlineStr"/>
      <c r="E9726">
        <f>HYPERLINK("https://www.ncbi.nlm.nih.gov/gene/?term=KAG9473671.1", "KAG9473671.1")</f>
        <v/>
      </c>
      <c r="F9726" t="n">
        <v>63.4</v>
      </c>
      <c r="G9726" t="n">
        <v>344</v>
      </c>
      <c r="H9726" t="n">
        <v>4.45e-147</v>
      </c>
      <c r="I9726" t="inlineStr">
        <is>
          <t>Nr</t>
        </is>
      </c>
      <c r="J9726" t="inlineStr"/>
      <c r="K9726" t="inlineStr"/>
      <c r="L9726" t="inlineStr">
        <is>
          <t>KAG9473671.1 hypothetical protein GDO78_004137 [Eleutherodactylus coqui]</t>
        </is>
      </c>
      <c r="M9726" t="n">
        <v>471</v>
      </c>
      <c r="N9726" t="inlineStr">
        <is>
          <t>Eleutherodactylus coqui</t>
        </is>
      </c>
      <c r="O9726" t="inlineStr">
        <is>
          <t>hypothetical protein GDO78_004137</t>
        </is>
      </c>
    </row>
    <row r="9727">
      <c r="A9727" t="inlineStr"/>
      <c r="B9727" t="inlineStr"/>
      <c r="C9727" t="inlineStr"/>
      <c r="D9727" t="inlineStr"/>
      <c r="E9727">
        <f>HYPERLINK("https://www.uniprot.org/uniprotkb/A0A1L8EUJ3/entry", "A0A1L8EUJ3")</f>
        <v/>
      </c>
      <c r="F9727" t="n">
        <v>58.8</v>
      </c>
      <c r="G9727" t="n">
        <v>369</v>
      </c>
      <c r="H9727" t="n">
        <v>5.539999999999999e-147</v>
      </c>
      <c r="I9727" t="inlineStr">
        <is>
          <t>TrEMBL</t>
        </is>
      </c>
      <c r="J9727" t="inlineStr">
        <is>
          <t>trim47.L</t>
        </is>
      </c>
      <c r="K9727" t="inlineStr">
        <is>
          <t>A0A1L8EUJ3_XENLA</t>
        </is>
      </c>
      <c r="L9727" t="inlineStr">
        <is>
          <t>tr|A0A1L8EUJ3|A0A1L8EUJ3_XENLA E3 ubiquitin/ISG15 ligase TRIM25 OS=Xenopus laevis OX=8355 GN=trim47.L PE=4 SV=1</t>
        </is>
      </c>
      <c r="M9727" t="n">
        <v>485</v>
      </c>
      <c r="N9727" t="inlineStr">
        <is>
          <t>Xenopus laevis</t>
        </is>
      </c>
      <c r="O9727" t="inlineStr">
        <is>
          <t>E3 ubiquitin/ISG15 ligase TRIM25</t>
        </is>
      </c>
    </row>
    <row r="9728">
      <c r="A9728" t="inlineStr"/>
      <c r="B9728" t="inlineStr"/>
      <c r="C9728" t="inlineStr"/>
      <c r="D9728" t="inlineStr"/>
      <c r="E9728">
        <f>HYPERLINK("https://www.ncbi.nlm.nih.gov/gene/?term=XP_018090826.1", "XP_018090826.1")</f>
        <v/>
      </c>
      <c r="F9728" t="n">
        <v>58.8</v>
      </c>
      <c r="G9728" t="n">
        <v>369</v>
      </c>
      <c r="H9728" t="n">
        <v>1.42e-146</v>
      </c>
      <c r="I9728" t="inlineStr">
        <is>
          <t>Nr</t>
        </is>
      </c>
      <c r="J9728" t="inlineStr"/>
      <c r="K9728" t="inlineStr"/>
      <c r="L9728" t="inlineStr">
        <is>
          <t>XP_018090826.1 E3 ubiquitin/ISG15 ligase TRIM25 [Xenopus laevis]</t>
        </is>
      </c>
      <c r="M9728" t="n">
        <v>485</v>
      </c>
      <c r="N9728" t="inlineStr">
        <is>
          <t>Xenopus laevis</t>
        </is>
      </c>
      <c r="O9728" t="inlineStr">
        <is>
          <t>E3 ubiquitin/ISG15 ligase TRIM25</t>
        </is>
      </c>
    </row>
    <row r="9729">
      <c r="A9729" t="inlineStr"/>
      <c r="B9729" t="inlineStr"/>
      <c r="C9729" t="inlineStr"/>
      <c r="D9729" t="inlineStr"/>
      <c r="E9729">
        <f>HYPERLINK("https://www.ncbi.nlm.nih.gov/gene/?term=XP_040294745.1", "XP_040294745.1")</f>
        <v/>
      </c>
      <c r="F9729" t="n">
        <v>62.1</v>
      </c>
      <c r="G9729" t="n">
        <v>351</v>
      </c>
      <c r="H9729" t="n">
        <v>2.23e-146</v>
      </c>
      <c r="I9729" t="inlineStr">
        <is>
          <t>Nr</t>
        </is>
      </c>
      <c r="J9729" t="inlineStr"/>
      <c r="K9729" t="inlineStr"/>
      <c r="L9729" t="inlineStr">
        <is>
          <t>XP_040294745.1 E3 ubiquitin/ISG15 ligase TRIM25-like [Bufo bufo]</t>
        </is>
      </c>
      <c r="M9729" t="n">
        <v>467</v>
      </c>
      <c r="N9729" t="inlineStr">
        <is>
          <t>Bufo bufo</t>
        </is>
      </c>
      <c r="O9729" t="inlineStr">
        <is>
          <t>E3 ubiquitin/ISG15 ligase TRIM25-like</t>
        </is>
      </c>
    </row>
    <row r="9730">
      <c r="A9730" t="inlineStr"/>
      <c r="B9730" t="inlineStr"/>
      <c r="C9730" t="inlineStr"/>
      <c r="D9730" t="inlineStr"/>
      <c r="E9730">
        <f>HYPERLINK("https://www.ncbi.nlm.nih.gov/gene/?term=XP_040185882.1", "XP_040185882.1")</f>
        <v/>
      </c>
      <c r="F9730" t="n">
        <v>56.4</v>
      </c>
      <c r="G9730" t="n">
        <v>413</v>
      </c>
      <c r="H9730" t="n">
        <v>2.79e-145</v>
      </c>
      <c r="I9730" t="inlineStr">
        <is>
          <t>Nr</t>
        </is>
      </c>
      <c r="J9730" t="inlineStr"/>
      <c r="K9730" t="inlineStr"/>
      <c r="L9730" t="inlineStr">
        <is>
          <t>XP_040185882.1 tripartite motif-containing protein 16-like [Rana temporaria]</t>
        </is>
      </c>
      <c r="M9730" t="n">
        <v>428</v>
      </c>
      <c r="N9730" t="inlineStr">
        <is>
          <t>Rana temporaria</t>
        </is>
      </c>
      <c r="O9730" t="inlineStr">
        <is>
          <t>tripartite motif-containing protein 16-like</t>
        </is>
      </c>
    </row>
    <row r="9731">
      <c r="A9731" t="inlineStr"/>
      <c r="B9731" t="inlineStr"/>
      <c r="C9731" t="inlineStr"/>
      <c r="D9731" t="inlineStr"/>
      <c r="E9731">
        <f>HYPERLINK("https://www.uniprot.org/uniprotkb/A0A8J6EQ15/entry", "A0A8J6EQ15")</f>
        <v/>
      </c>
      <c r="F9731" t="n">
        <v>62.5</v>
      </c>
      <c r="G9731" t="n">
        <v>341</v>
      </c>
      <c r="H9731" t="n">
        <v>9.69e-145</v>
      </c>
      <c r="I9731" t="inlineStr">
        <is>
          <t>TrEMBL</t>
        </is>
      </c>
      <c r="J9731" t="inlineStr">
        <is>
          <t>GDO78_004137</t>
        </is>
      </c>
      <c r="K9731" t="inlineStr">
        <is>
          <t>A0A8J6EQ15_ELECQ</t>
        </is>
      </c>
      <c r="L9731" t="inlineStr">
        <is>
          <t>tr|A0A8J6EQ15|A0A8J6EQ15_ELECQ Tripartite motif-containing protein 5 OS=Eleutherodactylus coqui OX=57060 GN=GDO78_004137 PE=4 SV=1</t>
        </is>
      </c>
      <c r="M9731" t="n">
        <v>462</v>
      </c>
      <c r="N9731" t="inlineStr">
        <is>
          <t>Eleutherodactylus coqui</t>
        </is>
      </c>
      <c r="O9731" t="inlineStr">
        <is>
          <t>Tripartite motif-containing protein 5</t>
        </is>
      </c>
    </row>
    <row r="9732">
      <c r="A9732" t="inlineStr"/>
      <c r="B9732" t="inlineStr"/>
      <c r="C9732" t="inlineStr"/>
      <c r="D9732" t="inlineStr"/>
      <c r="E9732">
        <f>HYPERLINK("https://www.ncbi.nlm.nih.gov/gene/?term=XP_040185785.1", "XP_040185785.1")</f>
        <v/>
      </c>
      <c r="F9732" t="n">
        <v>56.4</v>
      </c>
      <c r="G9732" t="n">
        <v>413</v>
      </c>
      <c r="H9732" t="n">
        <v>1.3e-144</v>
      </c>
      <c r="I9732" t="inlineStr">
        <is>
          <t>Nr</t>
        </is>
      </c>
      <c r="J9732" t="inlineStr"/>
      <c r="K9732" t="inlineStr"/>
      <c r="L9732" t="inlineStr">
        <is>
          <t>XP_040185785.1 E3 ubiquitin-protein ligase TRIM47 [Rana temporaria]</t>
        </is>
      </c>
      <c r="M9732" t="n">
        <v>474</v>
      </c>
      <c r="N9732" t="inlineStr">
        <is>
          <t>Rana temporaria</t>
        </is>
      </c>
      <c r="O9732" t="inlineStr">
        <is>
          <t>E3 ubiquitin-protein ligase TRIM47</t>
        </is>
      </c>
    </row>
    <row r="9733">
      <c r="A9733" t="inlineStr"/>
      <c r="B9733" t="inlineStr"/>
      <c r="C9733" t="inlineStr"/>
      <c r="D9733" t="inlineStr"/>
      <c r="E9733">
        <f>HYPERLINK("https://www.ncbi.nlm.nih.gov/gene/?term=KAG9473672.1", "KAG9473672.1")</f>
        <v/>
      </c>
      <c r="F9733" t="n">
        <v>62.5</v>
      </c>
      <c r="G9733" t="n">
        <v>341</v>
      </c>
      <c r="H9733" t="n">
        <v>2.49e-144</v>
      </c>
      <c r="I9733" t="inlineStr">
        <is>
          <t>Nr</t>
        </is>
      </c>
      <c r="J9733" t="inlineStr"/>
      <c r="K9733" t="inlineStr"/>
      <c r="L9733" t="inlineStr">
        <is>
          <t>KAG9473672.1 hypothetical protein GDO78_004137 [Eleutherodactylus coqui]</t>
        </is>
      </c>
      <c r="M9733" t="n">
        <v>462</v>
      </c>
      <c r="N9733" t="inlineStr">
        <is>
          <t>Eleutherodactylus coqui</t>
        </is>
      </c>
      <c r="O9733" t="inlineStr">
        <is>
          <t>hypothetical protein GDO78_004137</t>
        </is>
      </c>
    </row>
    <row r="9734">
      <c r="A9734" t="inlineStr"/>
      <c r="B9734" t="inlineStr"/>
      <c r="C9734" t="inlineStr"/>
      <c r="D9734" t="inlineStr"/>
      <c r="E9734">
        <f>HYPERLINK("https://www.ncbi.nlm.nih.gov/gene/?term=KAG8565703.1", "KAG8565703.1")</f>
        <v/>
      </c>
      <c r="F9734" t="n">
        <v>61.3</v>
      </c>
      <c r="G9734" t="n">
        <v>354</v>
      </c>
      <c r="H9734" t="n">
        <v>8.220000000000001e-144</v>
      </c>
      <c r="I9734" t="inlineStr">
        <is>
          <t>Nr</t>
        </is>
      </c>
      <c r="J9734" t="inlineStr"/>
      <c r="K9734" t="inlineStr"/>
      <c r="L9734" t="inlineStr">
        <is>
          <t>KAG8565703.1 hypothetical protein GDO81_012951 [Engystomops pustulosus]</t>
        </is>
      </c>
      <c r="M9734" t="n">
        <v>477</v>
      </c>
      <c r="N9734" t="inlineStr">
        <is>
          <t>Engystomops pustulosus</t>
        </is>
      </c>
      <c r="O9734" t="inlineStr">
        <is>
          <t>hypothetical protein GDO81_012951</t>
        </is>
      </c>
    </row>
    <row r="9735">
      <c r="A9735" t="inlineStr"/>
      <c r="B9735" t="inlineStr"/>
      <c r="C9735" t="inlineStr"/>
      <c r="D9735" t="inlineStr"/>
      <c r="E9735">
        <f>HYPERLINK("https://www.uniprot.org/uniprotkb/A0A2G9S236/entry", "A0A2G9S236")</f>
        <v/>
      </c>
      <c r="F9735" t="n">
        <v>61.7</v>
      </c>
      <c r="G9735" t="n">
        <v>339</v>
      </c>
      <c r="H9735" t="n">
        <v>1.4e-143</v>
      </c>
      <c r="I9735" t="inlineStr">
        <is>
          <t>TrEMBL</t>
        </is>
      </c>
      <c r="J9735" t="inlineStr">
        <is>
          <t>AB205_0079330</t>
        </is>
      </c>
      <c r="K9735" t="inlineStr">
        <is>
          <t>A0A2G9S236_LITCT</t>
        </is>
      </c>
      <c r="L9735" t="inlineStr">
        <is>
          <t>tr|A0A2G9S236|A0A2G9S236_LITCT B30.2/SPRY domain-containing protein (Fragment) OS=Lithobates catesbeianus OX=8400 GN=AB205_0079330 PE=4 SV=1</t>
        </is>
      </c>
      <c r="M9735" t="n">
        <v>336</v>
      </c>
      <c r="N9735" t="inlineStr">
        <is>
          <t>Lithobates catesbeianus</t>
        </is>
      </c>
      <c r="O9735" t="inlineStr">
        <is>
          <t>B30.2/SPRY domain-containing protein (Fragment)</t>
        </is>
      </c>
    </row>
    <row r="9736">
      <c r="A9736" t="inlineStr"/>
      <c r="B9736" t="inlineStr"/>
      <c r="C9736" t="inlineStr"/>
      <c r="D9736" t="inlineStr"/>
      <c r="E9736">
        <f>HYPERLINK("https://www.ncbi.nlm.nih.gov/gene/?term=PIO34170.1", "PIO34170.1")</f>
        <v/>
      </c>
      <c r="F9736" t="n">
        <v>61.7</v>
      </c>
      <c r="G9736" t="n">
        <v>339</v>
      </c>
      <c r="H9736" t="n">
        <v>3.6e-143</v>
      </c>
      <c r="I9736" t="inlineStr">
        <is>
          <t>Nr</t>
        </is>
      </c>
      <c r="J9736" t="inlineStr"/>
      <c r="K9736" t="inlineStr"/>
      <c r="L9736" t="inlineStr">
        <is>
          <t>PIO34170.1 hypothetical protein AB205_0079330, partial [Lithobates catesbeianus]</t>
        </is>
      </c>
      <c r="M9736" t="n">
        <v>336</v>
      </c>
      <c r="N9736" t="inlineStr">
        <is>
          <t>Lithobates catesbeianus</t>
        </is>
      </c>
      <c r="O9736" t="inlineStr">
        <is>
          <t>hypothetical protein AB205_0079330, partial</t>
        </is>
      </c>
    </row>
    <row r="9737">
      <c r="A9737" t="inlineStr"/>
      <c r="B9737" t="inlineStr"/>
      <c r="C9737" t="inlineStr"/>
      <c r="D9737" t="inlineStr"/>
      <c r="E9737">
        <f>HYPERLINK("https://www.ncbi.nlm.nih.gov/gene/?term=XP_044153357.1", "XP_044153357.1")</f>
        <v/>
      </c>
      <c r="F9737" t="n">
        <v>62.1</v>
      </c>
      <c r="G9737" t="n">
        <v>340</v>
      </c>
      <c r="H9737" t="n">
        <v>3.87e-141</v>
      </c>
      <c r="I9737" t="inlineStr">
        <is>
          <t>Nr</t>
        </is>
      </c>
      <c r="J9737" t="inlineStr"/>
      <c r="K9737" t="inlineStr"/>
      <c r="L9737" t="inlineStr">
        <is>
          <t>XP_044153357.1 E3 ubiquitin-protein ligase TRIM21-like [Bufo gargarizans]</t>
        </is>
      </c>
      <c r="M9737" t="n">
        <v>484</v>
      </c>
      <c r="N9737" t="inlineStr">
        <is>
          <t>Bufo gargarizans</t>
        </is>
      </c>
      <c r="O9737" t="inlineStr">
        <is>
          <t>E3 ubiquitin-protein ligase TRIM21-like</t>
        </is>
      </c>
    </row>
    <row r="9738">
      <c r="A9738" t="inlineStr"/>
      <c r="B9738" t="inlineStr"/>
      <c r="C9738" t="inlineStr"/>
      <c r="D9738" t="inlineStr"/>
      <c r="E9738">
        <f>HYPERLINK("https://www.uniprot.org/uniprotkb/A0A8J0TZP3/entry", "A0A8J0TZP3")</f>
        <v/>
      </c>
      <c r="F9738" t="n">
        <v>56.8</v>
      </c>
      <c r="G9738" t="n">
        <v>366</v>
      </c>
      <c r="H9738" t="n">
        <v>2.32e-140</v>
      </c>
      <c r="I9738" t="inlineStr">
        <is>
          <t>TrEMBL</t>
        </is>
      </c>
      <c r="J9738" t="inlineStr">
        <is>
          <t>LOC108702387</t>
        </is>
      </c>
      <c r="K9738" t="inlineStr">
        <is>
          <t>A0A8J0TZP3_XENLA</t>
        </is>
      </c>
      <c r="L9738" t="inlineStr">
        <is>
          <t>tr|A0A8J0TZP3|A0A8J0TZP3_XENLA LOW QUALITY PROTEIN: E3 ubiquitin/ISG15 ligase TRIM25 OS=Xenopus laevis OX=8355 GN=LOC108702387 PE=4 SV=1</t>
        </is>
      </c>
      <c r="M9738" t="n">
        <v>493</v>
      </c>
      <c r="N9738" t="inlineStr">
        <is>
          <t>Xenopus laevis</t>
        </is>
      </c>
      <c r="O9738" t="inlineStr">
        <is>
          <t>LOW QUALITY PROTEIN: E3 ubiquitin/ISG15 ligase TRIM25</t>
        </is>
      </c>
    </row>
    <row r="9739">
      <c r="A9739" t="inlineStr"/>
      <c r="B9739" t="inlineStr"/>
      <c r="C9739" t="inlineStr"/>
      <c r="D9739" t="inlineStr"/>
      <c r="E9739">
        <f>HYPERLINK("https://www.ncbi.nlm.nih.gov/gene/?term=XP_018093341.2", "XP_018093341.2")</f>
        <v/>
      </c>
      <c r="F9739" t="n">
        <v>56.8</v>
      </c>
      <c r="G9739" t="n">
        <v>366</v>
      </c>
      <c r="H9739" t="n">
        <v>5.95e-140</v>
      </c>
      <c r="I9739" t="inlineStr">
        <is>
          <t>Nr</t>
        </is>
      </c>
      <c r="J9739" t="inlineStr"/>
      <c r="K9739" t="inlineStr"/>
      <c r="L9739" t="inlineStr">
        <is>
          <t>XP_018093341.2 LOW QUALITY PROTEIN: E3 ubiquitin/ISG15 ligase TRIM25 [Xenopus laevis]</t>
        </is>
      </c>
      <c r="M9739" t="n">
        <v>493</v>
      </c>
      <c r="N9739" t="inlineStr">
        <is>
          <t>Xenopus laevis</t>
        </is>
      </c>
      <c r="O9739" t="inlineStr">
        <is>
          <t>LOW QUALITY PROTEIN: E3 ubiquitin/ISG15 ligase TRIM25</t>
        </is>
      </c>
    </row>
    <row r="9740">
      <c r="A9740" t="inlineStr"/>
      <c r="B9740" t="inlineStr"/>
      <c r="C9740" t="inlineStr"/>
      <c r="D9740" t="inlineStr"/>
      <c r="E9740">
        <f>HYPERLINK("https://www.ncbi.nlm.nih.gov/gene/?term=OCT60694.1", "OCT60694.1")</f>
        <v/>
      </c>
      <c r="F9740" t="n">
        <v>57.9</v>
      </c>
      <c r="G9740" t="n">
        <v>366</v>
      </c>
      <c r="H9740" t="n">
        <v>1.7e-138</v>
      </c>
      <c r="I9740" t="inlineStr">
        <is>
          <t>Nr</t>
        </is>
      </c>
      <c r="J9740" t="inlineStr"/>
      <c r="K9740" t="inlineStr"/>
      <c r="L9740" t="inlineStr">
        <is>
          <t>OCT60694.1 hypothetical protein XELAEV_18046715mg [Xenopus laevis]</t>
        </is>
      </c>
      <c r="M9740" t="n">
        <v>489</v>
      </c>
      <c r="N9740" t="inlineStr">
        <is>
          <t>Xenopus laevis</t>
        </is>
      </c>
      <c r="O9740" t="inlineStr">
        <is>
          <t>hypothetical protein XELAEV_18046715mg</t>
        </is>
      </c>
    </row>
    <row r="9741">
      <c r="A9741" t="inlineStr"/>
      <c r="B9741" t="inlineStr"/>
      <c r="C9741" t="inlineStr"/>
      <c r="D9741" t="inlineStr"/>
      <c r="E9741">
        <f>HYPERLINK("https://www.ncbi.nlm.nih.gov/gene/?term=XP_018417036.1", "XP_018417036.1")</f>
        <v/>
      </c>
      <c r="F9741" t="n">
        <v>59.2</v>
      </c>
      <c r="G9741" t="n">
        <v>341</v>
      </c>
      <c r="H9741" t="n">
        <v>2.98e-133</v>
      </c>
      <c r="I9741" t="inlineStr">
        <is>
          <t>Nr</t>
        </is>
      </c>
      <c r="J9741" t="inlineStr"/>
      <c r="K9741" t="inlineStr"/>
      <c r="L9741" t="inlineStr">
        <is>
          <t>XP_018417036.1 PREDICTED: tripartite motif-containing protein 47 [Nanorana parkeri]</t>
        </is>
      </c>
      <c r="M9741" t="n">
        <v>574</v>
      </c>
      <c r="N9741" t="inlineStr">
        <is>
          <t>Nanorana parkeri</t>
        </is>
      </c>
      <c r="O9741" t="inlineStr">
        <is>
          <t>PREDICTED: tripartite motif-containing protein 47</t>
        </is>
      </c>
    </row>
    <row r="9742">
      <c r="A9742" t="inlineStr"/>
      <c r="B9742" t="inlineStr"/>
      <c r="C9742" t="inlineStr"/>
      <c r="D9742" t="inlineStr"/>
      <c r="E9742">
        <f>HYPERLINK("https://www.ncbi.nlm.nih.gov/gene/?term=XP_029456345.1", "XP_029456345.1")</f>
        <v/>
      </c>
      <c r="F9742" t="n">
        <v>43.4</v>
      </c>
      <c r="G9742" t="n">
        <v>357</v>
      </c>
      <c r="H9742" t="n">
        <v>1.23e-91</v>
      </c>
      <c r="I9742" t="inlineStr">
        <is>
          <t>Nr</t>
        </is>
      </c>
      <c r="J9742" t="inlineStr"/>
      <c r="K9742" t="inlineStr"/>
      <c r="L9742" t="inlineStr">
        <is>
          <t>XP_029456345.1 tripartite motif-containing protein 16-like protein [Rhinatrema bivittatum]</t>
        </is>
      </c>
      <c r="M9742" t="n">
        <v>566</v>
      </c>
      <c r="N9742" t="inlineStr">
        <is>
          <t>Rhinatrema bivittatum</t>
        </is>
      </c>
      <c r="O9742" t="inlineStr">
        <is>
          <t>tripartite motif-containing protein 16-like protein</t>
        </is>
      </c>
    </row>
    <row r="9743">
      <c r="A9743" t="inlineStr"/>
      <c r="B9743" t="inlineStr"/>
      <c r="C9743" t="inlineStr"/>
      <c r="D9743" t="inlineStr"/>
      <c r="E9743">
        <f>HYPERLINK("https://www.uniprot.org/uniprotkb/A0A6P8SC89/entry", "A0A6P8SC89")</f>
        <v/>
      </c>
      <c r="F9743" t="n">
        <v>40</v>
      </c>
      <c r="G9743" t="n">
        <v>370</v>
      </c>
      <c r="H9743" t="n">
        <v>1.04e-88</v>
      </c>
      <c r="I9743" t="inlineStr">
        <is>
          <t>TrEMBL</t>
        </is>
      </c>
      <c r="J9743" t="inlineStr">
        <is>
          <t>LOC117367406</t>
        </is>
      </c>
      <c r="K9743" t="inlineStr">
        <is>
          <t>A0A6P8SC89_GEOSA</t>
        </is>
      </c>
      <c r="L9743" t="inlineStr">
        <is>
          <t>tr|A0A6P8SC89|A0A6P8SC89_GEOSA tripartite motif-containing protein 16-like protein isoform X2 OS=Geotrypetes seraphini OX=260995 GN=LOC117367406 PE=4 SV=1</t>
        </is>
      </c>
      <c r="M9743" t="n">
        <v>482</v>
      </c>
      <c r="N9743" t="inlineStr">
        <is>
          <t>Geotrypetes seraphini</t>
        </is>
      </c>
      <c r="O9743" t="inlineStr">
        <is>
          <t>tripartite motif-containing protein 16-like protein isoform X2</t>
        </is>
      </c>
    </row>
    <row r="9744">
      <c r="A9744" t="inlineStr"/>
      <c r="B9744" t="inlineStr"/>
      <c r="C9744" t="inlineStr"/>
      <c r="D9744" t="inlineStr"/>
      <c r="E9744">
        <f>HYPERLINK("https://www.ncbi.nlm.nih.gov/gene/?term=XP_033815797.1", "XP_033815797.1")</f>
        <v/>
      </c>
      <c r="F9744" t="n">
        <v>40</v>
      </c>
      <c r="G9744" t="n">
        <v>370</v>
      </c>
      <c r="H9744" t="n">
        <v>2.67e-88</v>
      </c>
      <c r="I9744" t="inlineStr">
        <is>
          <t>Nr</t>
        </is>
      </c>
      <c r="J9744" t="inlineStr"/>
      <c r="K9744" t="inlineStr"/>
      <c r="L9744" t="inlineStr">
        <is>
          <t>XP_033815797.1 tripartite motif-containing protein 16-like protein isoform X2 [Geotrypetes seraphini]</t>
        </is>
      </c>
      <c r="M9744" t="n">
        <v>482</v>
      </c>
      <c r="N9744" t="inlineStr">
        <is>
          <t>Geotrypetes seraphini</t>
        </is>
      </c>
      <c r="O9744" t="inlineStr">
        <is>
          <t>tripartite motif-containing protein 16-like protein isoform X2</t>
        </is>
      </c>
    </row>
    <row r="9745">
      <c r="A9745" t="inlineStr"/>
      <c r="B9745" t="inlineStr"/>
      <c r="C9745" t="inlineStr"/>
      <c r="D9745" t="inlineStr"/>
      <c r="E9745">
        <f>HYPERLINK("https://www.uniprot.org/uniprotkb/A0A6P7YIH3/entry", "A0A6P7YIH3")</f>
        <v/>
      </c>
      <c r="F9745" t="n">
        <v>42.9</v>
      </c>
      <c r="G9745" t="n">
        <v>364</v>
      </c>
      <c r="H9745" t="n">
        <v>2.67e-88</v>
      </c>
      <c r="I9745" t="inlineStr">
        <is>
          <t>TrEMBL</t>
        </is>
      </c>
      <c r="J9745" t="inlineStr">
        <is>
          <t>LOC115472659</t>
        </is>
      </c>
      <c r="K9745" t="inlineStr">
        <is>
          <t>A0A6P7YIH3_9AMPH</t>
        </is>
      </c>
      <c r="L9745" t="inlineStr">
        <is>
          <t>tr|A0A6P7YIH3|A0A6P7YIH3_9AMPH tripartite motif-containing protein 16-like protein OS=Microcaecilia unicolor OX=1415580 GN=LOC115472659 PE=4 SV=1</t>
        </is>
      </c>
      <c r="M9745" t="n">
        <v>568</v>
      </c>
      <c r="N9745" t="inlineStr">
        <is>
          <t>Microcaecilia unicolor</t>
        </is>
      </c>
      <c r="O9745" t="inlineStr">
        <is>
          <t>tripartite motif-containing protein 16-like protein</t>
        </is>
      </c>
    </row>
    <row r="9746">
      <c r="A9746" t="inlineStr"/>
      <c r="B9746" t="inlineStr"/>
      <c r="C9746" t="inlineStr"/>
      <c r="D9746" t="inlineStr"/>
      <c r="E9746">
        <f>HYPERLINK("https://www.ncbi.nlm.nih.gov/gene/?term=XP_030062855.1", "XP_030062855.1")</f>
        <v/>
      </c>
      <c r="F9746" t="n">
        <v>42.9</v>
      </c>
      <c r="G9746" t="n">
        <v>364</v>
      </c>
      <c r="H9746" t="n">
        <v>6.86e-88</v>
      </c>
      <c r="I9746" t="inlineStr">
        <is>
          <t>Nr</t>
        </is>
      </c>
      <c r="J9746" t="inlineStr"/>
      <c r="K9746" t="inlineStr"/>
      <c r="L9746" t="inlineStr">
        <is>
          <t>XP_030062855.1 tripartite motif-containing protein 16-like protein [Microcaecilia unicolor]</t>
        </is>
      </c>
      <c r="M9746" t="n">
        <v>568</v>
      </c>
      <c r="N9746" t="inlineStr">
        <is>
          <t>Microcaecilia unicolor</t>
        </is>
      </c>
      <c r="O9746" t="inlineStr">
        <is>
          <t>tripartite motif-containing protein 16-like protein</t>
        </is>
      </c>
    </row>
    <row r="9747">
      <c r="A9747" t="inlineStr"/>
      <c r="B9747" t="inlineStr"/>
      <c r="C9747" t="inlineStr"/>
      <c r="D9747" t="inlineStr"/>
      <c r="E9747">
        <f>HYPERLINK("https://www.uniprot.org/uniprotkb/A0A6P8SKR6/entry", "A0A6P8SKR6")</f>
        <v/>
      </c>
      <c r="F9747" t="n">
        <v>40</v>
      </c>
      <c r="G9747" t="n">
        <v>370</v>
      </c>
      <c r="H9747" t="n">
        <v>1.89e-87</v>
      </c>
      <c r="I9747" t="inlineStr">
        <is>
          <t>TrEMBL</t>
        </is>
      </c>
      <c r="J9747" t="inlineStr">
        <is>
          <t>LOC117367406</t>
        </is>
      </c>
      <c r="K9747" t="inlineStr">
        <is>
          <t>A0A6P8SKR6_GEOSA</t>
        </is>
      </c>
      <c r="L9747" t="inlineStr">
        <is>
          <t>tr|A0A6P8SKR6|A0A6P8SKR6_GEOSA E3 ubiquitin/ISG15 ligase TRIM25-like isoform X1 OS=Geotrypetes seraphini OX=260995 GN=LOC117367406 PE=4 SV=1</t>
        </is>
      </c>
      <c r="M9747" t="n">
        <v>591</v>
      </c>
      <c r="N9747" t="inlineStr">
        <is>
          <t>Geotrypetes seraphini</t>
        </is>
      </c>
      <c r="O9747" t="inlineStr">
        <is>
          <t>E3 ubiquitin/ISG15 ligase TRIM25-like isoform X1</t>
        </is>
      </c>
    </row>
    <row r="9748">
      <c r="A9748" t="inlineStr"/>
      <c r="B9748" t="inlineStr"/>
      <c r="C9748" t="inlineStr"/>
      <c r="D9748" t="inlineStr"/>
      <c r="E9748">
        <f>HYPERLINK("https://www.ncbi.nlm.nih.gov/gene/?term=XP_033815796.1", "XP_033815796.1")</f>
        <v/>
      </c>
      <c r="F9748" t="n">
        <v>40</v>
      </c>
      <c r="G9748" t="n">
        <v>370</v>
      </c>
      <c r="H9748" t="n">
        <v>4.85e-87</v>
      </c>
      <c r="I9748" t="inlineStr">
        <is>
          <t>Nr</t>
        </is>
      </c>
      <c r="J9748" t="inlineStr"/>
      <c r="K9748" t="inlineStr"/>
      <c r="L9748" t="inlineStr">
        <is>
          <t>XP_033815796.1 E3 ubiquitin/ISG15 ligase TRIM25-like isoform X1 [Geotrypetes seraphini]</t>
        </is>
      </c>
      <c r="M9748" t="n">
        <v>591</v>
      </c>
      <c r="N9748" t="inlineStr">
        <is>
          <t>Geotrypetes seraphini</t>
        </is>
      </c>
      <c r="O9748" t="inlineStr">
        <is>
          <t>E3 ubiquitin/ISG15 ligase TRIM25-like isoform X1</t>
        </is>
      </c>
    </row>
    <row r="9749">
      <c r="A9749" t="inlineStr"/>
      <c r="B9749" t="inlineStr"/>
      <c r="C9749" t="inlineStr"/>
      <c r="D9749" t="inlineStr"/>
      <c r="E9749">
        <f>HYPERLINK("https://www.ncbi.nlm.nih.gov/gene/?term=KAJ1130146.1", "KAJ1130146.1")</f>
        <v/>
      </c>
      <c r="F9749" t="n">
        <v>42.3</v>
      </c>
      <c r="G9749" t="n">
        <v>371</v>
      </c>
      <c r="H9749" t="n">
        <v>1.88e-86</v>
      </c>
      <c r="I9749" t="inlineStr">
        <is>
          <t>Nr</t>
        </is>
      </c>
      <c r="J9749" t="inlineStr"/>
      <c r="K9749" t="inlineStr"/>
      <c r="L9749" t="inlineStr">
        <is>
          <t>KAJ1130146.1 hypothetical protein NDU88_008502 [Pleurodeles waltl]</t>
        </is>
      </c>
      <c r="M9749" t="n">
        <v>577</v>
      </c>
      <c r="N9749" t="inlineStr">
        <is>
          <t>Pleurodeles waltl</t>
        </is>
      </c>
      <c r="O9749" t="inlineStr">
        <is>
          <t>hypothetical protein NDU88_008502</t>
        </is>
      </c>
    </row>
    <row r="9750">
      <c r="A9750" t="inlineStr"/>
      <c r="B9750" t="inlineStr"/>
      <c r="C9750" t="inlineStr"/>
      <c r="D9750" t="inlineStr"/>
      <c r="E9750">
        <f>HYPERLINK("https://www.ncbi.nlm.nih.gov/gene/?term=XP_034148032.1", "XP_034148032.1")</f>
        <v/>
      </c>
      <c r="F9750" t="n">
        <v>38</v>
      </c>
      <c r="G9750" t="n">
        <v>266</v>
      </c>
      <c r="H9750" t="n">
        <v>4.69e-48</v>
      </c>
      <c r="I9750" t="inlineStr">
        <is>
          <t>Nr</t>
        </is>
      </c>
      <c r="J9750" t="inlineStr"/>
      <c r="K9750" t="inlineStr"/>
      <c r="L9750" t="inlineStr">
        <is>
          <t>XP_034148032.1 tripartite motif-containing protein 16-like isoform X2 [Esox lucius]</t>
        </is>
      </c>
      <c r="M9750" t="n">
        <v>543</v>
      </c>
      <c r="N9750" t="inlineStr">
        <is>
          <t>Esox lucius</t>
        </is>
      </c>
      <c r="O9750" t="inlineStr">
        <is>
          <t>tripartite motif-containing protein 16-like isoform X2</t>
        </is>
      </c>
    </row>
    <row r="9751">
      <c r="A9751" t="inlineStr"/>
      <c r="B9751" t="inlineStr"/>
      <c r="C9751" t="inlineStr"/>
      <c r="D9751" t="inlineStr"/>
      <c r="E9751">
        <f>HYPERLINK("https://www.uniprot.org/uniprotkb/W5NKK9/entry", "W5NKK9")</f>
        <v/>
      </c>
      <c r="F9751" t="n">
        <v>43</v>
      </c>
      <c r="G9751" t="n">
        <v>207</v>
      </c>
      <c r="H9751" t="n">
        <v>9.68e-48</v>
      </c>
      <c r="I9751" t="inlineStr">
        <is>
          <t>TrEMBL</t>
        </is>
      </c>
      <c r="J9751" t="inlineStr"/>
      <c r="K9751" t="inlineStr">
        <is>
          <t>W5NKK9_LEPOC</t>
        </is>
      </c>
      <c r="L9751" t="inlineStr">
        <is>
          <t>tr|W5NKK9|W5NKK9_LEPOC Tripartite motif-containing protein 16-like OS=Lepisosteus oculatus OX=7918 PE=4 SV=1</t>
        </is>
      </c>
      <c r="M9751" t="n">
        <v>472</v>
      </c>
      <c r="N9751" t="inlineStr">
        <is>
          <t>Lepisosteus oculatus</t>
        </is>
      </c>
      <c r="O9751" t="inlineStr">
        <is>
          <t>Tripartite motif-containing protein 16-like</t>
        </is>
      </c>
    </row>
    <row r="9752">
      <c r="A9752" t="inlineStr"/>
      <c r="B9752" t="inlineStr"/>
      <c r="C9752" t="inlineStr"/>
      <c r="D9752" t="inlineStr"/>
      <c r="E9752">
        <f>HYPERLINK("https://www.ncbi.nlm.nih.gov/gene/?term=XP_034775805.1", "XP_034775805.1")</f>
        <v/>
      </c>
      <c r="F9752" t="n">
        <v>41.8</v>
      </c>
      <c r="G9752" t="n">
        <v>239</v>
      </c>
      <c r="H9752" t="n">
        <v>6.1e-47</v>
      </c>
      <c r="I9752" t="inlineStr">
        <is>
          <t>Nr</t>
        </is>
      </c>
      <c r="J9752" t="inlineStr"/>
      <c r="K9752" t="inlineStr"/>
      <c r="L9752" t="inlineStr">
        <is>
          <t>XP_034775805.1 tripartite motif-containing protein 16-like [Acipenser ruthenus]</t>
        </is>
      </c>
      <c r="M9752" t="n">
        <v>579</v>
      </c>
      <c r="N9752" t="inlineStr">
        <is>
          <t>Acipenser ruthenus</t>
        </is>
      </c>
      <c r="O9752" t="inlineStr">
        <is>
          <t>tripartite motif-containing protein 16-like</t>
        </is>
      </c>
    </row>
    <row r="9753">
      <c r="A9753" t="inlineStr"/>
      <c r="B9753" t="inlineStr"/>
      <c r="C9753" t="inlineStr"/>
      <c r="D9753" t="inlineStr"/>
      <c r="E9753">
        <f>HYPERLINK("https://www.ncbi.nlm.nih.gov/gene/?term=XP_034148008.1", "XP_034148008.1")</f>
        <v/>
      </c>
      <c r="F9753" t="n">
        <v>38</v>
      </c>
      <c r="G9753" t="n">
        <v>266</v>
      </c>
      <c r="H9753" t="n">
        <v>7.540000000000001e-47</v>
      </c>
      <c r="I9753" t="inlineStr">
        <is>
          <t>Nr</t>
        </is>
      </c>
      <c r="J9753" t="inlineStr"/>
      <c r="K9753" t="inlineStr"/>
      <c r="L9753" t="inlineStr">
        <is>
          <t>XP_034148008.1 E3 ubiquitin/ISG15 ligase TRIM25-like [Esox lucius]</t>
        </is>
      </c>
      <c r="M9753" t="n">
        <v>551</v>
      </c>
      <c r="N9753" t="inlineStr">
        <is>
          <t>Esox lucius</t>
        </is>
      </c>
      <c r="O9753" t="inlineStr">
        <is>
          <t>E3 ubiquitin/ISG15 ligase TRIM25-like</t>
        </is>
      </c>
    </row>
    <row r="9754">
      <c r="A9754" t="inlineStr"/>
      <c r="B9754" t="inlineStr"/>
      <c r="C9754" t="inlineStr"/>
      <c r="D9754" t="inlineStr"/>
      <c r="E9754">
        <f>HYPERLINK("https://www.uniprot.org/uniprotkb/A0A8X7XB93/entry", "A0A8X7XB93")</f>
        <v/>
      </c>
      <c r="F9754" t="n">
        <v>38.6</v>
      </c>
      <c r="G9754" t="n">
        <v>236</v>
      </c>
      <c r="H9754" t="n">
        <v>8.190000000000001e-47</v>
      </c>
      <c r="I9754" t="inlineStr">
        <is>
          <t>TrEMBL</t>
        </is>
      </c>
      <c r="J9754" t="inlineStr">
        <is>
          <t>Trim16_38</t>
        </is>
      </c>
      <c r="K9754" t="inlineStr">
        <is>
          <t>A0A8X7XB93_POLSE</t>
        </is>
      </c>
      <c r="L9754" t="inlineStr">
        <is>
          <t>tr|A0A8X7XB93|A0A8X7XB93_POLSE TRI16 protein (Fragment) OS=Polypterus senegalus OX=55291 GN=Trim16_38 PE=4 SV=1</t>
        </is>
      </c>
      <c r="M9754" t="n">
        <v>267</v>
      </c>
      <c r="N9754" t="inlineStr">
        <is>
          <t>Polypterus senegalus</t>
        </is>
      </c>
      <c r="O9754" t="inlineStr">
        <is>
          <t>TRI16 protein (Fragment)</t>
        </is>
      </c>
    </row>
    <row r="9755">
      <c r="A9755" t="inlineStr"/>
      <c r="B9755" t="inlineStr"/>
      <c r="C9755" t="inlineStr"/>
      <c r="D9755" t="inlineStr"/>
      <c r="E9755">
        <f>HYPERLINK("https://www.ncbi.nlm.nih.gov/gene/?term=KAG2464245.1", "KAG2464245.1")</f>
        <v/>
      </c>
      <c r="F9755" t="n">
        <v>38.6</v>
      </c>
      <c r="G9755" t="n">
        <v>236</v>
      </c>
      <c r="H9755" t="n">
        <v>2.1e-46</v>
      </c>
      <c r="I9755" t="inlineStr">
        <is>
          <t>Nr</t>
        </is>
      </c>
      <c r="J9755" t="inlineStr"/>
      <c r="K9755" t="inlineStr"/>
      <c r="L9755" t="inlineStr">
        <is>
          <t>KAG2464245.1 TRI16 protein, partial [Polypterus senegalus]</t>
        </is>
      </c>
      <c r="M9755" t="n">
        <v>267</v>
      </c>
      <c r="N9755" t="inlineStr">
        <is>
          <t>Polypterus senegalus</t>
        </is>
      </c>
      <c r="O9755" t="inlineStr">
        <is>
          <t>TRI16 protein, partial</t>
        </is>
      </c>
    </row>
    <row r="9756">
      <c r="A9756" t="inlineStr"/>
      <c r="B9756" t="inlineStr"/>
      <c r="C9756" t="inlineStr"/>
      <c r="D9756" t="inlineStr"/>
      <c r="E9756">
        <f>HYPERLINK("https://www.uniprot.org/uniprotkb/A0A8C4RHW2/entry", "A0A8C4RHW2")</f>
        <v/>
      </c>
      <c r="F9756" t="n">
        <v>43.2</v>
      </c>
      <c r="G9756" t="n">
        <v>185</v>
      </c>
      <c r="H9756" t="n">
        <v>3.91e-44</v>
      </c>
      <c r="I9756" t="inlineStr">
        <is>
          <t>TrEMBL</t>
        </is>
      </c>
      <c r="J9756" t="inlineStr">
        <is>
          <t>LOC114651544</t>
        </is>
      </c>
      <c r="K9756" t="inlineStr">
        <is>
          <t>A0A8C4RHW2_ERPCA</t>
        </is>
      </c>
      <c r="L9756" t="inlineStr">
        <is>
          <t>tr|A0A8C4RHW2|A0A8C4RHW2_ERPCA Tripartite motif-containing protein 16-like OS=Erpetoichthys calabaricus OX=27687 GN=LOC114651544 PE=4 SV=1</t>
        </is>
      </c>
      <c r="M9756" t="n">
        <v>528</v>
      </c>
      <c r="N9756" t="inlineStr">
        <is>
          <t>Erpetoichthys calabaricus</t>
        </is>
      </c>
      <c r="O9756" t="inlineStr">
        <is>
          <t>Tripartite motif-containing protein 16-like</t>
        </is>
      </c>
    </row>
    <row r="9757">
      <c r="A9757" t="inlineStr"/>
      <c r="B9757" t="inlineStr"/>
      <c r="C9757" t="inlineStr"/>
      <c r="D9757" t="inlineStr"/>
      <c r="E9757">
        <f>HYPERLINK("https://www.uniprot.org/uniprotkb/A0A8C4RHV2/entry", "A0A8C4RHV2")</f>
        <v/>
      </c>
      <c r="F9757" t="n">
        <v>43.2</v>
      </c>
      <c r="G9757" t="n">
        <v>185</v>
      </c>
      <c r="H9757" t="n">
        <v>6.43e-44</v>
      </c>
      <c r="I9757" t="inlineStr">
        <is>
          <t>TrEMBL</t>
        </is>
      </c>
      <c r="J9757" t="inlineStr">
        <is>
          <t>LOC114651544</t>
        </is>
      </c>
      <c r="K9757" t="inlineStr">
        <is>
          <t>A0A8C4RHV2_ERPCA</t>
        </is>
      </c>
      <c r="L9757" t="inlineStr">
        <is>
          <t>tr|A0A8C4RHV2|A0A8C4RHV2_ERPCA Tripartite motif-containing protein 16-like OS=Erpetoichthys calabaricus OX=27687 GN=LOC114651544 PE=4 SV=1</t>
        </is>
      </c>
      <c r="M9757" t="n">
        <v>560</v>
      </c>
      <c r="N9757" t="inlineStr">
        <is>
          <t>Erpetoichthys calabaricus</t>
        </is>
      </c>
      <c r="O9757" t="inlineStr">
        <is>
          <t>Tripartite motif-containing protein 16-like</t>
        </is>
      </c>
    </row>
    <row r="9758">
      <c r="A9758" t="inlineStr"/>
      <c r="B9758" t="inlineStr"/>
      <c r="C9758" t="inlineStr"/>
      <c r="D9758" t="inlineStr"/>
      <c r="E9758">
        <f>HYPERLINK("https://www.uniprot.org/uniprotkb/A0A2H4X1U8/entry", "A0A2H4X1U8")</f>
        <v/>
      </c>
      <c r="F9758" t="n">
        <v>38.2</v>
      </c>
      <c r="G9758" t="n">
        <v>238</v>
      </c>
      <c r="H9758" t="n">
        <v>1.71e-43</v>
      </c>
      <c r="I9758" t="inlineStr">
        <is>
          <t>TrEMBL</t>
        </is>
      </c>
      <c r="J9758" t="inlineStr"/>
      <c r="K9758" t="inlineStr">
        <is>
          <t>A0A2H4X1U8_ACIDA</t>
        </is>
      </c>
      <c r="L9758" t="inlineStr">
        <is>
          <t>tr|A0A2H4X1U8|A0A2H4X1U8_ACIDA TRIM protein 82 (Fragment) OS=Acipenser dabryanus OX=62061 PE=2 SV=1</t>
        </is>
      </c>
      <c r="M9758" t="n">
        <v>560</v>
      </c>
      <c r="N9758" t="inlineStr">
        <is>
          <t>Acipenser dabryanus</t>
        </is>
      </c>
      <c r="O9758" t="inlineStr">
        <is>
          <t>TRIM protein 82 (Fragment)</t>
        </is>
      </c>
    </row>
    <row r="9759">
      <c r="A9759" t="inlineStr"/>
      <c r="B9759" t="inlineStr"/>
      <c r="C9759" t="inlineStr"/>
      <c r="D9759" t="inlineStr"/>
      <c r="E9759">
        <f>HYPERLINK("https://www.uniprot.org/uniprotkb/A0A8C4TDM2/entry", "A0A8C4TDM2")</f>
        <v/>
      </c>
      <c r="F9759" t="n">
        <v>41.6</v>
      </c>
      <c r="G9759" t="n">
        <v>185</v>
      </c>
      <c r="H9759" t="n">
        <v>7.39e-43</v>
      </c>
      <c r="I9759" t="inlineStr">
        <is>
          <t>TrEMBL</t>
        </is>
      </c>
      <c r="J9759" t="inlineStr">
        <is>
          <t>LOC114644004</t>
        </is>
      </c>
      <c r="K9759" t="inlineStr">
        <is>
          <t>A0A8C4TDM2_ERPCA</t>
        </is>
      </c>
      <c r="L9759" t="inlineStr">
        <is>
          <t>tr|A0A8C4TDM2|A0A8C4TDM2_ERPCA Tripartite motif-containing protein 16-like OS=Erpetoichthys calabaricus OX=27687 GN=LOC114644004 PE=4 SV=1</t>
        </is>
      </c>
      <c r="M9759" t="n">
        <v>527</v>
      </c>
      <c r="N9759" t="inlineStr">
        <is>
          <t>Erpetoichthys calabaricus</t>
        </is>
      </c>
      <c r="O9759" t="inlineStr">
        <is>
          <t>Tripartite motif-containing protein 16-like</t>
        </is>
      </c>
    </row>
    <row r="9760">
      <c r="A9760" t="inlineStr"/>
      <c r="B9760" t="inlineStr"/>
      <c r="C9760" t="inlineStr"/>
      <c r="D9760" t="inlineStr"/>
      <c r="E9760">
        <f>HYPERLINK("https://www.uniprot.org/uniprotkb/A0A8C4RMS9/entry", "A0A8C4RMS9")</f>
        <v/>
      </c>
      <c r="F9760" t="n">
        <v>41.6</v>
      </c>
      <c r="G9760" t="n">
        <v>185</v>
      </c>
      <c r="H9760" t="n">
        <v>8.510000000000001e-43</v>
      </c>
      <c r="I9760" t="inlineStr">
        <is>
          <t>TrEMBL</t>
        </is>
      </c>
      <c r="J9760" t="inlineStr">
        <is>
          <t>LOC114652514</t>
        </is>
      </c>
      <c r="K9760" t="inlineStr">
        <is>
          <t>A0A8C4RMS9_ERPCA</t>
        </is>
      </c>
      <c r="L9760" t="inlineStr">
        <is>
          <t>tr|A0A8C4RMS9|A0A8C4RMS9_ERPCA E3 ubiquitin/ISG15 ligase TRIM25-like OS=Erpetoichthys calabaricus OX=27687 GN=LOC114652514 PE=4 SV=1</t>
        </is>
      </c>
      <c r="M9760" t="n">
        <v>558</v>
      </c>
      <c r="N9760" t="inlineStr">
        <is>
          <t>Erpetoichthys calabaricus</t>
        </is>
      </c>
      <c r="O9760" t="inlineStr">
        <is>
          <t>E3 ubiquitin/ISG15 ligase TRIM25-like</t>
        </is>
      </c>
    </row>
    <row r="9761">
      <c r="A9761" t="inlineStr"/>
      <c r="B9761" t="inlineStr"/>
      <c r="C9761" t="inlineStr"/>
      <c r="D9761" t="inlineStr"/>
      <c r="E9761">
        <f>HYPERLINK("https://www.uniprot.org/uniprotkb/A0A8C4XEU9/entry", "A0A8C4XEU9")</f>
        <v/>
      </c>
      <c r="F9761" t="n">
        <v>41.6</v>
      </c>
      <c r="G9761" t="n">
        <v>185</v>
      </c>
      <c r="H9761" t="n">
        <v>8.980000000000001e-43</v>
      </c>
      <c r="I9761" t="inlineStr">
        <is>
          <t>TrEMBL</t>
        </is>
      </c>
      <c r="J9761" t="inlineStr"/>
      <c r="K9761" t="inlineStr">
        <is>
          <t>A0A8C4XEU9_ERPCA</t>
        </is>
      </c>
      <c r="L9761" t="inlineStr">
        <is>
          <t>tr|A0A8C4XEU9|A0A8C4XEU9_ERPCA B30.2/SPRY domain-containing protein OS=Erpetoichthys calabaricus OX=27687 PE=4 SV=1</t>
        </is>
      </c>
      <c r="M9761" t="n">
        <v>396</v>
      </c>
      <c r="N9761" t="inlineStr">
        <is>
          <t>Erpetoichthys calabaricus</t>
        </is>
      </c>
      <c r="O9761" t="inlineStr">
        <is>
          <t>B30.2/SPRY domain-containing protein</t>
        </is>
      </c>
    </row>
    <row r="9762">
      <c r="A9762" t="inlineStr"/>
      <c r="B9762" t="inlineStr"/>
      <c r="C9762" t="inlineStr"/>
      <c r="D9762" t="inlineStr"/>
      <c r="E9762">
        <f>HYPERLINK("https://www.uniprot.org/uniprotkb/A0A6Q2X3Y8/entry", "A0A6Q2X3Y8")</f>
        <v/>
      </c>
      <c r="F9762" t="n">
        <v>36.4</v>
      </c>
      <c r="G9762" t="n">
        <v>258</v>
      </c>
      <c r="H9762" t="n">
        <v>2.05e-42</v>
      </c>
      <c r="I9762" t="inlineStr">
        <is>
          <t>TrEMBL</t>
        </is>
      </c>
      <c r="J9762" t="inlineStr"/>
      <c r="K9762" t="inlineStr">
        <is>
          <t>A0A6Q2X3Y8_ESOLU</t>
        </is>
      </c>
      <c r="L9762" t="inlineStr">
        <is>
          <t>tr|A0A6Q2X3Y8|A0A6Q2X3Y8_ESOLU Tripartite motif-containing protein 16-like OS=Esox lucius OX=8010 PE=4 SV=1</t>
        </is>
      </c>
      <c r="M9762" t="n">
        <v>551</v>
      </c>
      <c r="N9762" t="inlineStr">
        <is>
          <t>Esox lucius</t>
        </is>
      </c>
      <c r="O9762" t="inlineStr">
        <is>
          <t>Tripartite motif-containing protein 16-like</t>
        </is>
      </c>
    </row>
    <row r="9763">
      <c r="A9763" t="inlineStr"/>
      <c r="B9763" t="inlineStr"/>
      <c r="C9763" t="inlineStr"/>
      <c r="D9763" t="inlineStr"/>
      <c r="E9763">
        <f>HYPERLINK("https://www.uniprot.org/uniprotkb/A0A8T3E3W9/entry", "A0A8T3E3W9")</f>
        <v/>
      </c>
      <c r="F9763" t="n">
        <v>40.5</v>
      </c>
      <c r="G9763" t="n">
        <v>232</v>
      </c>
      <c r="H9763" t="n">
        <v>2.11e-42</v>
      </c>
      <c r="I9763" t="inlineStr">
        <is>
          <t>TrEMBL</t>
        </is>
      </c>
      <c r="J9763" t="inlineStr">
        <is>
          <t>AGOR_G00033040</t>
        </is>
      </c>
      <c r="K9763" t="inlineStr">
        <is>
          <t>A0A8T3E3W9_9TELE</t>
        </is>
      </c>
      <c r="L9763" t="inlineStr">
        <is>
          <t>tr|A0A8T3E3W9|A0A8T3E3W9_9TELE Tripartite motif-containing protein 16-like OS=Albula goreensis OX=1534307 GN=AGOR_G00033040 PE=4 SV=1</t>
        </is>
      </c>
      <c r="M9763" t="n">
        <v>553</v>
      </c>
      <c r="N9763" t="inlineStr">
        <is>
          <t>Albula goreensis</t>
        </is>
      </c>
      <c r="O9763" t="inlineStr">
        <is>
          <t>Tripartite motif-containing protein 16-like</t>
        </is>
      </c>
    </row>
    <row r="9764">
      <c r="A9764" t="inlineStr"/>
      <c r="B9764" t="inlineStr"/>
      <c r="C9764" t="inlineStr"/>
      <c r="D9764" t="inlineStr"/>
      <c r="E9764">
        <f>HYPERLINK("https://www.uniprot.org/uniprotkb/A0A6Q2XB48/entry", "A0A6Q2XB48")</f>
        <v/>
      </c>
      <c r="F9764" t="n">
        <v>36.4</v>
      </c>
      <c r="G9764" t="n">
        <v>258</v>
      </c>
      <c r="H9764" t="n">
        <v>2.84e-42</v>
      </c>
      <c r="I9764" t="inlineStr">
        <is>
          <t>TrEMBL</t>
        </is>
      </c>
      <c r="J9764" t="inlineStr"/>
      <c r="K9764" t="inlineStr">
        <is>
          <t>A0A6Q2XB48_ESOLU</t>
        </is>
      </c>
      <c r="L9764" t="inlineStr">
        <is>
          <t>tr|A0A6Q2XB48|A0A6Q2XB48_ESOLU Tripartite motif-containing protein 16-like OS=Esox lucius OX=8010 PE=4 SV=1</t>
        </is>
      </c>
      <c r="M9764" t="n">
        <v>551</v>
      </c>
      <c r="N9764" t="inlineStr">
        <is>
          <t>Esox lucius</t>
        </is>
      </c>
      <c r="O9764" t="inlineStr">
        <is>
          <t>Tripartite motif-containing protein 16-like</t>
        </is>
      </c>
    </row>
    <row r="9765">
      <c r="A9765" t="inlineStr"/>
      <c r="B9765" t="inlineStr"/>
      <c r="C9765" t="inlineStr"/>
      <c r="D9765" t="inlineStr"/>
      <c r="E9765">
        <f>HYPERLINK("https://www.uniprot.org/uniprotkb/A0A6Q2ZM47/entry", "A0A6Q2ZM47")</f>
        <v/>
      </c>
      <c r="F9765" t="n">
        <v>36.4</v>
      </c>
      <c r="G9765" t="n">
        <v>258</v>
      </c>
      <c r="H9765" t="n">
        <v>2.84e-42</v>
      </c>
      <c r="I9765" t="inlineStr">
        <is>
          <t>TrEMBL</t>
        </is>
      </c>
      <c r="J9765" t="inlineStr"/>
      <c r="K9765" t="inlineStr">
        <is>
          <t>A0A6Q2ZM47_ESOLU</t>
        </is>
      </c>
      <c r="L9765" t="inlineStr">
        <is>
          <t>tr|A0A6Q2ZM47|A0A6Q2ZM47_ESOLU Tripartite motif-containing protein 16-like OS=Esox lucius OX=8010 PE=4 SV=1</t>
        </is>
      </c>
      <c r="M9765" t="n">
        <v>551</v>
      </c>
      <c r="N9765" t="inlineStr">
        <is>
          <t>Esox lucius</t>
        </is>
      </c>
      <c r="O9765" t="inlineStr">
        <is>
          <t>Tripartite motif-containing protein 16-like</t>
        </is>
      </c>
    </row>
    <row r="9766">
      <c r="A9766" t="inlineStr"/>
      <c r="B9766" t="inlineStr"/>
      <c r="C9766" t="inlineStr"/>
      <c r="D9766" t="inlineStr"/>
      <c r="E9766">
        <f>HYPERLINK("https://www.uniprot.org/uniprotkb/A0A6Q2YU25/entry", "A0A6Q2YU25")</f>
        <v/>
      </c>
      <c r="F9766" t="n">
        <v>36.4</v>
      </c>
      <c r="G9766" t="n">
        <v>258</v>
      </c>
      <c r="H9766" t="n">
        <v>2.84e-42</v>
      </c>
      <c r="I9766" t="inlineStr">
        <is>
          <t>TrEMBL</t>
        </is>
      </c>
      <c r="J9766" t="inlineStr"/>
      <c r="K9766" t="inlineStr">
        <is>
          <t>A0A6Q2YU25_ESOLU</t>
        </is>
      </c>
      <c r="L9766" t="inlineStr">
        <is>
          <t>tr|A0A6Q2YU25|A0A6Q2YU25_ESOLU Tripartite motif-containing protein 16-like OS=Esox lucius OX=8010 PE=4 SV=1</t>
        </is>
      </c>
      <c r="M9766" t="n">
        <v>551</v>
      </c>
      <c r="N9766" t="inlineStr">
        <is>
          <t>Esox lucius</t>
        </is>
      </c>
      <c r="O9766" t="inlineStr">
        <is>
          <t>Tripartite motif-containing protein 16-like</t>
        </is>
      </c>
    </row>
    <row r="9767">
      <c r="A9767" t="inlineStr"/>
      <c r="B9767" t="inlineStr"/>
      <c r="C9767" t="inlineStr"/>
      <c r="D9767" t="inlineStr"/>
      <c r="E9767">
        <f>HYPERLINK("https://www.uniprot.org/uniprotkb/Q8BVW3/entry", "Q8BVW3")</f>
        <v/>
      </c>
      <c r="F9767" t="n">
        <v>38.1</v>
      </c>
      <c r="G9767" t="n">
        <v>181</v>
      </c>
      <c r="H9767" t="n">
        <v>2.94e-30</v>
      </c>
      <c r="I9767" t="inlineStr">
        <is>
          <t>Swiss-Prot</t>
        </is>
      </c>
      <c r="J9767" t="inlineStr">
        <is>
          <t>Trim14</t>
        </is>
      </c>
      <c r="K9767" t="inlineStr">
        <is>
          <t>TRI14_MOUSE</t>
        </is>
      </c>
      <c r="L9767" t="inlineStr">
        <is>
          <t>sp|Q8BVW3|TRI14_MOUSE Tripartite motif-containing protein 14 OS=Mus musculus OX=10090 GN=Trim14 PE=1 SV=2</t>
        </is>
      </c>
      <c r="M9767" t="n">
        <v>440</v>
      </c>
      <c r="N9767" t="inlineStr">
        <is>
          <t>Mus musculus</t>
        </is>
      </c>
      <c r="O9767" t="inlineStr">
        <is>
          <t>Tripartite motif-containing protein 14</t>
        </is>
      </c>
    </row>
    <row r="9768">
      <c r="A9768" t="inlineStr"/>
      <c r="B9768" t="inlineStr"/>
      <c r="C9768" t="inlineStr"/>
      <c r="D9768" t="inlineStr"/>
      <c r="E9768">
        <f>HYPERLINK("https://www.uniprot.org/uniprotkb/Q14142/entry", "Q14142")</f>
        <v/>
      </c>
      <c r="F9768" t="n">
        <v>38.7</v>
      </c>
      <c r="G9768" t="n">
        <v>181</v>
      </c>
      <c r="H9768" t="n">
        <v>7.82e-30</v>
      </c>
      <c r="I9768" t="inlineStr">
        <is>
          <t>Swiss-Prot</t>
        </is>
      </c>
      <c r="J9768" t="inlineStr">
        <is>
          <t>TRIM14</t>
        </is>
      </c>
      <c r="K9768" t="inlineStr">
        <is>
          <t>TRI14_HUMAN</t>
        </is>
      </c>
      <c r="L9768" t="inlineStr">
        <is>
          <t>sp|Q14142|TRI14_HUMAN Tripartite motif-containing protein 14 OS=Homo sapiens OX=9606 GN=TRIM14 PE=1 SV=2</t>
        </is>
      </c>
      <c r="M9768" t="n">
        <v>442</v>
      </c>
      <c r="N9768" t="inlineStr">
        <is>
          <t>Homo sapiens</t>
        </is>
      </c>
      <c r="O9768" t="inlineStr">
        <is>
          <t>Tripartite motif-containing protein 14</t>
        </is>
      </c>
    </row>
    <row r="9769">
      <c r="A9769" t="inlineStr"/>
      <c r="B9769" t="inlineStr"/>
      <c r="C9769" t="inlineStr"/>
      <c r="D9769" t="inlineStr"/>
      <c r="E9769">
        <f>HYPERLINK("https://www.uniprot.org/uniprotkb/Q99PP9/entry", "Q99PP9")</f>
        <v/>
      </c>
      <c r="F9769" t="n">
        <v>36</v>
      </c>
      <c r="G9769" t="n">
        <v>189</v>
      </c>
      <c r="H9769" t="n">
        <v>4.929999999999999e-28</v>
      </c>
      <c r="I9769" t="inlineStr">
        <is>
          <t>Swiss-Prot</t>
        </is>
      </c>
      <c r="J9769" t="inlineStr">
        <is>
          <t>Trim16</t>
        </is>
      </c>
      <c r="K9769" t="inlineStr">
        <is>
          <t>TRI16_MOUSE</t>
        </is>
      </c>
      <c r="L9769" t="inlineStr">
        <is>
          <t>sp|Q99PP9|TRI16_MOUSE Tripartite motif-containing protein 16 OS=Mus musculus OX=10090 GN=Trim16 PE=1 SV=2</t>
        </is>
      </c>
      <c r="M9769" t="n">
        <v>556</v>
      </c>
      <c r="N9769" t="inlineStr">
        <is>
          <t>Mus musculus</t>
        </is>
      </c>
      <c r="O9769" t="inlineStr">
        <is>
          <t>Tripartite motif-containing protein 16</t>
        </is>
      </c>
    </row>
    <row r="9770">
      <c r="A9770" t="inlineStr"/>
      <c r="B9770" t="inlineStr"/>
      <c r="C9770" t="inlineStr"/>
      <c r="D9770" t="inlineStr"/>
      <c r="E9770">
        <f>HYPERLINK("https://www.uniprot.org/uniprotkb/Q309B1/entry", "Q309B1")</f>
        <v/>
      </c>
      <c r="F9770" t="n">
        <v>34.7</v>
      </c>
      <c r="G9770" t="n">
        <v>190</v>
      </c>
      <c r="H9770" t="n">
        <v>2.91e-26</v>
      </c>
      <c r="I9770" t="inlineStr">
        <is>
          <t>Swiss-Prot</t>
        </is>
      </c>
      <c r="J9770" t="inlineStr">
        <is>
          <t>TRIM16L</t>
        </is>
      </c>
      <c r="K9770" t="inlineStr">
        <is>
          <t>TR16L_HUMAN</t>
        </is>
      </c>
      <c r="L9770" t="inlineStr">
        <is>
          <t>sp|Q309B1|TR16L_HUMAN Tripartite motif-containing protein 16-like protein OS=Homo sapiens OX=9606 GN=TRIM16L PE=1 SV=3</t>
        </is>
      </c>
      <c r="M9770" t="n">
        <v>348</v>
      </c>
      <c r="N9770" t="inlineStr">
        <is>
          <t>Homo sapiens</t>
        </is>
      </c>
      <c r="O9770" t="inlineStr">
        <is>
          <t>Tripartite motif-containing protein 16-like protein</t>
        </is>
      </c>
    </row>
    <row r="9771">
      <c r="A9771" t="inlineStr"/>
      <c r="B9771" t="inlineStr"/>
      <c r="C9771" t="inlineStr"/>
      <c r="D9771" t="inlineStr"/>
      <c r="E9771">
        <f>HYPERLINK("https://www.uniprot.org/uniprotkb/O95361/entry", "O95361")</f>
        <v/>
      </c>
      <c r="F9771" t="n">
        <v>33.9</v>
      </c>
      <c r="G9771" t="n">
        <v>189</v>
      </c>
      <c r="H9771" t="n">
        <v>4.97e-26</v>
      </c>
      <c r="I9771" t="inlineStr">
        <is>
          <t>Swiss-Prot</t>
        </is>
      </c>
      <c r="J9771" t="inlineStr">
        <is>
          <t>TRIM16</t>
        </is>
      </c>
      <c r="K9771" t="inlineStr">
        <is>
          <t>TRI16_HUMAN</t>
        </is>
      </c>
      <c r="L9771" t="inlineStr">
        <is>
          <t>sp|O95361|TRI16_HUMAN Tripartite motif-containing protein 16 OS=Homo sapiens OX=9606 GN=TRIM16 PE=1 SV=3</t>
        </is>
      </c>
      <c r="M9771" t="n">
        <v>564</v>
      </c>
      <c r="N9771" t="inlineStr">
        <is>
          <t>Homo sapiens</t>
        </is>
      </c>
      <c r="O9771" t="inlineStr">
        <is>
          <t>Tripartite motif-containing protein 16</t>
        </is>
      </c>
    </row>
    <row r="9772">
      <c r="A9772" t="inlineStr"/>
      <c r="B9772" t="inlineStr"/>
      <c r="C9772" t="inlineStr"/>
      <c r="D9772" t="inlineStr"/>
      <c r="E9772">
        <f>HYPERLINK("https://www.uniprot.org/uniprotkb/Q5R760/entry", "Q5R760")</f>
        <v/>
      </c>
      <c r="F9772" t="n">
        <v>33.9</v>
      </c>
      <c r="G9772" t="n">
        <v>189</v>
      </c>
      <c r="H9772" t="n">
        <v>4.97e-26</v>
      </c>
      <c r="I9772" t="inlineStr">
        <is>
          <t>Swiss-Prot</t>
        </is>
      </c>
      <c r="J9772" t="inlineStr">
        <is>
          <t>TRIM16</t>
        </is>
      </c>
      <c r="K9772" t="inlineStr">
        <is>
          <t>TRI16_PONAB</t>
        </is>
      </c>
      <c r="L9772" t="inlineStr">
        <is>
          <t>sp|Q5R760|TRI16_PONAB E3 ubiquitin-protein ligase TRIM16 OS=Pongo abelii OX=9601 GN=TRIM16 PE=2 SV=1</t>
        </is>
      </c>
      <c r="M9772" t="n">
        <v>564</v>
      </c>
      <c r="N9772" t="inlineStr">
        <is>
          <t>Pongo abelii</t>
        </is>
      </c>
      <c r="O9772" t="inlineStr">
        <is>
          <t>E3 ubiquitin-protein ligase TRIM16</t>
        </is>
      </c>
    </row>
    <row r="9773">
      <c r="A9773" t="inlineStr"/>
      <c r="B9773" t="inlineStr"/>
      <c r="C9773" t="inlineStr"/>
      <c r="D9773" t="inlineStr"/>
      <c r="E9773">
        <f>HYPERLINK("https://www.uniprot.org/uniprotkb/Q14258/entry", "Q14258")</f>
        <v/>
      </c>
      <c r="F9773" t="n">
        <v>32.6</v>
      </c>
      <c r="G9773" t="n">
        <v>175</v>
      </c>
      <c r="H9773" t="n">
        <v>2.07e-25</v>
      </c>
      <c r="I9773" t="inlineStr">
        <is>
          <t>Swiss-Prot</t>
        </is>
      </c>
      <c r="J9773" t="inlineStr">
        <is>
          <t>TRIM25</t>
        </is>
      </c>
      <c r="K9773" t="inlineStr">
        <is>
          <t>TRI25_HUMAN</t>
        </is>
      </c>
      <c r="L9773" t="inlineStr">
        <is>
          <t>sp|Q14258|TRI25_HUMAN E3 ubiquitin/ISG15 ligase TRIM25 OS=Homo sapiens OX=9606 GN=TRIM25 PE=1 SV=2</t>
        </is>
      </c>
      <c r="M9773" t="n">
        <v>630</v>
      </c>
      <c r="N9773" t="inlineStr">
        <is>
          <t>Homo sapiens</t>
        </is>
      </c>
      <c r="O9773" t="inlineStr">
        <is>
          <t>E3 ubiquitin/ISG15 ligase TRIM25</t>
        </is>
      </c>
    </row>
    <row r="9774">
      <c r="A9774" t="inlineStr"/>
      <c r="B9774" t="inlineStr"/>
      <c r="C9774" t="inlineStr"/>
      <c r="D9774" t="inlineStr"/>
      <c r="E9774">
        <f>HYPERLINK("https://www.uniprot.org/uniprotkb/Q91453/entry", "Q91453")</f>
        <v/>
      </c>
      <c r="F9774" t="n">
        <v>35.8</v>
      </c>
      <c r="G9774" t="n">
        <v>190</v>
      </c>
      <c r="H9774" t="n">
        <v>1.87e-24</v>
      </c>
      <c r="I9774" t="inlineStr">
        <is>
          <t>Swiss-Prot</t>
        </is>
      </c>
      <c r="J9774" t="inlineStr"/>
      <c r="K9774" t="inlineStr">
        <is>
          <t>STXB_SYNHO</t>
        </is>
      </c>
      <c r="L9774" t="inlineStr">
        <is>
          <t>sp|Q91453|STXB_SYNHO Stonustoxin subunit beta OS=Synanceia horrida OX=13279 PE=1 SV=3</t>
        </is>
      </c>
      <c r="M9774" t="n">
        <v>700</v>
      </c>
      <c r="N9774" t="inlineStr">
        <is>
          <t>Synanceia horrida</t>
        </is>
      </c>
      <c r="O9774" t="inlineStr">
        <is>
          <t>Stonustoxin subunit beta</t>
        </is>
      </c>
    </row>
    <row r="9775">
      <c r="A9775" t="inlineStr"/>
      <c r="B9775" t="inlineStr"/>
      <c r="C9775" t="inlineStr"/>
      <c r="D9775" t="inlineStr"/>
      <c r="E9775">
        <f>HYPERLINK("https://www.uniprot.org/uniprotkb/A0ZSK4/entry", "A0ZSK4")</f>
        <v/>
      </c>
      <c r="F9775" t="n">
        <v>35.3</v>
      </c>
      <c r="G9775" t="n">
        <v>190</v>
      </c>
      <c r="H9775" t="n">
        <v>6.14e-24</v>
      </c>
      <c r="I9775" t="inlineStr">
        <is>
          <t>Swiss-Prot</t>
        </is>
      </c>
      <c r="J9775" t="inlineStr"/>
      <c r="K9775" t="inlineStr">
        <is>
          <t>STXB_SYNVE</t>
        </is>
      </c>
      <c r="L9775" t="inlineStr">
        <is>
          <t>sp|A0ZSK4|STXB_SYNVE Neoverrucotoxin subunit beta OS=Synanceia verrucosa OX=51996 PE=1 SV=1</t>
        </is>
      </c>
      <c r="M9775" t="n">
        <v>700</v>
      </c>
      <c r="N9775" t="inlineStr">
        <is>
          <t>Synanceia verrucosa</t>
        </is>
      </c>
      <c r="O9775" t="inlineStr">
        <is>
          <t>Neoverrucotoxin subunit beta</t>
        </is>
      </c>
    </row>
    <row r="9776">
      <c r="A9776" t="inlineStr"/>
      <c r="B9776" t="inlineStr"/>
      <c r="C9776" t="inlineStr"/>
      <c r="D9776" t="inlineStr"/>
      <c r="E9776">
        <f>HYPERLINK("https://www.uniprot.org/uniprotkb/A0ZSK3/entry", "A0ZSK3")</f>
        <v/>
      </c>
      <c r="F9776" t="n">
        <v>35.1</v>
      </c>
      <c r="G9776" t="n">
        <v>188</v>
      </c>
      <c r="H9776" t="n">
        <v>3.85e-22</v>
      </c>
      <c r="I9776" t="inlineStr">
        <is>
          <t>Swiss-Prot</t>
        </is>
      </c>
      <c r="J9776" t="inlineStr"/>
      <c r="K9776" t="inlineStr">
        <is>
          <t>STXA_SYNVE</t>
        </is>
      </c>
      <c r="L9776" t="inlineStr">
        <is>
          <t>sp|A0ZSK3|STXA_SYNVE Neoverrucotoxin subunit alpha OS=Synanceia verrucosa OX=51996 PE=1 SV=1</t>
        </is>
      </c>
      <c r="M9776" t="n">
        <v>703</v>
      </c>
      <c r="N9776" t="inlineStr">
        <is>
          <t>Synanceia verrucosa</t>
        </is>
      </c>
      <c r="O9776" t="inlineStr">
        <is>
          <t>Neoverrucotoxin subunit alpha</t>
        </is>
      </c>
    </row>
    <row r="9777">
      <c r="A9777" t="inlineStr"/>
      <c r="B9777" t="inlineStr"/>
      <c r="C9777" t="inlineStr"/>
      <c r="D9777" t="inlineStr"/>
      <c r="E9777">
        <f>HYPERLINK("https://www.uniprot.org/uniprotkb/Q98989/entry", "Q98989")</f>
        <v/>
      </c>
      <c r="F9777" t="n">
        <v>34.9</v>
      </c>
      <c r="G9777" t="n">
        <v>186</v>
      </c>
      <c r="H9777" t="n">
        <v>6.95e-22</v>
      </c>
      <c r="I9777" t="inlineStr">
        <is>
          <t>Swiss-Prot</t>
        </is>
      </c>
      <c r="J9777" t="inlineStr"/>
      <c r="K9777" t="inlineStr">
        <is>
          <t>STXA_SYNHO</t>
        </is>
      </c>
      <c r="L9777" t="inlineStr">
        <is>
          <t>sp|Q98989|STXA_SYNHO Stonustoxin subunit alpha OS=Synanceia horrida OX=13279 PE=1 SV=3</t>
        </is>
      </c>
      <c r="M9777" t="n">
        <v>703</v>
      </c>
      <c r="N9777" t="inlineStr">
        <is>
          <t>Synanceia horrida</t>
        </is>
      </c>
      <c r="O9777" t="inlineStr">
        <is>
          <t>Stonustoxin subunit alpha</t>
        </is>
      </c>
    </row>
    <row r="9778">
      <c r="A9778" t="inlineStr"/>
      <c r="B9778" t="inlineStr"/>
      <c r="C9778" t="inlineStr"/>
      <c r="D9778" t="inlineStr"/>
      <c r="E9778">
        <f>HYPERLINK("https://www.uniprot.org/uniprotkb/Q61510/entry", "Q61510")</f>
        <v/>
      </c>
      <c r="F9778" t="n">
        <v>29.7</v>
      </c>
      <c r="G9778" t="n">
        <v>175</v>
      </c>
      <c r="H9778" t="n">
        <v>8.540000000000001e-22</v>
      </c>
      <c r="I9778" t="inlineStr">
        <is>
          <t>Swiss-Prot</t>
        </is>
      </c>
      <c r="J9778" t="inlineStr">
        <is>
          <t>Trim25</t>
        </is>
      </c>
      <c r="K9778" t="inlineStr">
        <is>
          <t>TRI25_MOUSE</t>
        </is>
      </c>
      <c r="L9778" t="inlineStr">
        <is>
          <t>sp|Q61510|TRI25_MOUSE E3 ubiquitin/ISG15 ligase TRIM25 OS=Mus musculus OX=10090 GN=Trim25 PE=1 SV=2</t>
        </is>
      </c>
      <c r="M9778" t="n">
        <v>634</v>
      </c>
      <c r="N9778" t="inlineStr">
        <is>
          <t>Mus musculus</t>
        </is>
      </c>
      <c r="O9778" t="inlineStr">
        <is>
          <t>E3 ubiquitin/ISG15 ligase TRIM25</t>
        </is>
      </c>
    </row>
    <row r="9779">
      <c r="A9779" t="inlineStr"/>
      <c r="B9779" t="inlineStr"/>
      <c r="C9779" t="inlineStr"/>
      <c r="D9779" t="inlineStr"/>
      <c r="E9779">
        <f>HYPERLINK("https://www.uniprot.org/uniprotkb/A4QPC6/entry", "A4QPC6")</f>
        <v/>
      </c>
      <c r="F9779" t="n">
        <v>32.7</v>
      </c>
      <c r="G9779" t="n">
        <v>165</v>
      </c>
      <c r="H9779" t="n">
        <v>6.740000000000001e-21</v>
      </c>
      <c r="I9779" t="inlineStr">
        <is>
          <t>Swiss-Prot</t>
        </is>
      </c>
      <c r="J9779" t="inlineStr">
        <is>
          <t>Btn2a2</t>
        </is>
      </c>
      <c r="K9779" t="inlineStr">
        <is>
          <t>BT2A2_MOUSE</t>
        </is>
      </c>
      <c r="L9779" t="inlineStr">
        <is>
          <t>sp|A4QPC6|BT2A2_MOUSE Butyrophilin subfamily 2 member A2 OS=Mus musculus OX=10090 GN=Btn2a2 PE=1 SV=1</t>
        </is>
      </c>
      <c r="M9779" t="n">
        <v>514</v>
      </c>
      <c r="N9779" t="inlineStr">
        <is>
          <t>Mus musculus</t>
        </is>
      </c>
      <c r="O9779" t="inlineStr">
        <is>
          <t>Butyrophilin subfamily 2 member A2</t>
        </is>
      </c>
    </row>
    <row r="9780">
      <c r="A9780" t="inlineStr"/>
      <c r="B9780" t="inlineStr"/>
      <c r="C9780" t="inlineStr"/>
      <c r="D9780" t="inlineStr"/>
      <c r="E9780">
        <f>HYPERLINK("https://www.uniprot.org/uniprotkb/A0A2P1BRP3/entry", "A0A2P1BRP3")</f>
        <v/>
      </c>
      <c r="F9780" t="n">
        <v>35.2</v>
      </c>
      <c r="G9780" t="n">
        <v>159</v>
      </c>
      <c r="H9780" t="n">
        <v>3.17e-20</v>
      </c>
      <c r="I9780" t="inlineStr">
        <is>
          <t>Swiss-Prot</t>
        </is>
      </c>
      <c r="J9780" t="inlineStr"/>
      <c r="K9780" t="inlineStr">
        <is>
          <t>CTXB_SCOPL</t>
        </is>
      </c>
      <c r="L9780" t="inlineStr">
        <is>
          <t>sp|A0A2P1BRP3|CTXB_SCOPL Cytolytic toxin-beta OS=Scorpaena plumieri OX=274700 PE=1 SV=1</t>
        </is>
      </c>
      <c r="M9780" t="n">
        <v>702</v>
      </c>
      <c r="N9780" t="inlineStr">
        <is>
          <t>Scorpaena plumieri</t>
        </is>
      </c>
      <c r="O9780" t="inlineStr">
        <is>
          <t>Cytolytic toxin-beta</t>
        </is>
      </c>
    </row>
    <row r="9781">
      <c r="A9781" t="inlineStr"/>
      <c r="B9781" t="inlineStr"/>
      <c r="C9781" t="inlineStr"/>
      <c r="D9781" t="inlineStr"/>
      <c r="E9781">
        <f>HYPERLINK("https://www.uniprot.org/uniprotkb/Q8WVV5/entry", "Q8WVV5")</f>
        <v/>
      </c>
      <c r="F9781" t="n">
        <v>33.9</v>
      </c>
      <c r="G9781" t="n">
        <v>171</v>
      </c>
      <c r="H9781" t="n">
        <v>1.01e-19</v>
      </c>
      <c r="I9781" t="inlineStr">
        <is>
          <t>Swiss-Prot</t>
        </is>
      </c>
      <c r="J9781" t="inlineStr">
        <is>
          <t>BTN2A2</t>
        </is>
      </c>
      <c r="K9781" t="inlineStr">
        <is>
          <t>BT2A2_HUMAN</t>
        </is>
      </c>
      <c r="L9781" t="inlineStr">
        <is>
          <t>sp|Q8WVV5|BT2A2_HUMAN Butyrophilin subfamily 2 member A2 OS=Homo sapiens OX=9606 GN=BTN2A2 PE=1 SV=2</t>
        </is>
      </c>
      <c r="M9781" t="n">
        <v>523</v>
      </c>
      <c r="N9781" t="inlineStr">
        <is>
          <t>Homo sapiens</t>
        </is>
      </c>
      <c r="O9781" t="inlineStr">
        <is>
          <t>Butyrophilin subfamily 2 member A2</t>
        </is>
      </c>
    </row>
    <row r="9782">
      <c r="A9782" t="inlineStr"/>
      <c r="B9782" t="inlineStr"/>
      <c r="C9782" t="inlineStr"/>
      <c r="D9782" t="inlineStr"/>
      <c r="E9782">
        <f>HYPERLINK("https://www.uniprot.org/uniprotkb/Q13410/entry", "Q13410")</f>
        <v/>
      </c>
      <c r="F9782" t="n">
        <v>34.1</v>
      </c>
      <c r="G9782" t="n">
        <v>167</v>
      </c>
      <c r="H9782" t="n">
        <v>1.37e-19</v>
      </c>
      <c r="I9782" t="inlineStr">
        <is>
          <t>Swiss-Prot</t>
        </is>
      </c>
      <c r="J9782" t="inlineStr">
        <is>
          <t>BTN1A1</t>
        </is>
      </c>
      <c r="K9782" t="inlineStr">
        <is>
          <t>BT1A1_HUMAN</t>
        </is>
      </c>
      <c r="L9782" t="inlineStr">
        <is>
          <t>sp|Q13410|BT1A1_HUMAN Butyrophilin subfamily 1 member A1 OS=Homo sapiens OX=9606 GN=BTN1A1 PE=1 SV=3</t>
        </is>
      </c>
      <c r="M9782" t="n">
        <v>526</v>
      </c>
      <c r="N9782" t="inlineStr">
        <is>
          <t>Homo sapiens</t>
        </is>
      </c>
      <c r="O9782" t="inlineStr">
        <is>
          <t>Butyrophilin subfamily 1 member A1</t>
        </is>
      </c>
    </row>
    <row r="9783">
      <c r="A9783" t="inlineStr"/>
      <c r="B9783" t="inlineStr"/>
      <c r="C9783" t="inlineStr"/>
      <c r="D9783" t="inlineStr"/>
      <c r="E9783">
        <f>HYPERLINK("https://www.uniprot.org/uniprotkb/Q8BFW4/entry", "Q8BFW4")</f>
        <v/>
      </c>
      <c r="F9783" t="n">
        <v>31.8</v>
      </c>
      <c r="G9783" t="n">
        <v>179</v>
      </c>
      <c r="H9783" t="n">
        <v>2.44e-19</v>
      </c>
      <c r="I9783" t="inlineStr">
        <is>
          <t>Swiss-Prot</t>
        </is>
      </c>
      <c r="J9783" t="inlineStr">
        <is>
          <t>Trim65</t>
        </is>
      </c>
      <c r="K9783" t="inlineStr">
        <is>
          <t>TRI65_MOUSE</t>
        </is>
      </c>
      <c r="L9783" t="inlineStr">
        <is>
          <t>sp|Q8BFW4|TRI65_MOUSE Tripartite motif-containing protein 65 OS=Mus musculus OX=10090 GN=Trim65 PE=1 SV=1</t>
        </is>
      </c>
      <c r="M9783" t="n">
        <v>522</v>
      </c>
      <c r="N9783" t="inlineStr">
        <is>
          <t>Mus musculus</t>
        </is>
      </c>
      <c r="O9783" t="inlineStr">
        <is>
          <t>Tripartite motif-containing protein 65</t>
        </is>
      </c>
    </row>
    <row r="9784">
      <c r="A9784" t="inlineStr"/>
      <c r="B9784" t="inlineStr"/>
      <c r="C9784" t="inlineStr"/>
      <c r="D9784" t="inlineStr"/>
      <c r="E9784">
        <f>HYPERLINK("https://www.uniprot.org/uniprotkb/Q62556/entry", "Q62556")</f>
        <v/>
      </c>
      <c r="F9784" t="n">
        <v>30.7</v>
      </c>
      <c r="G9784" t="n">
        <v>202</v>
      </c>
      <c r="H9784" t="n">
        <v>5.94e-19</v>
      </c>
      <c r="I9784" t="inlineStr">
        <is>
          <t>Swiss-Prot</t>
        </is>
      </c>
      <c r="J9784" t="inlineStr">
        <is>
          <t>Btn1a1</t>
        </is>
      </c>
      <c r="K9784" t="inlineStr">
        <is>
          <t>BT1A1_MOUSE</t>
        </is>
      </c>
      <c r="L9784" t="inlineStr">
        <is>
          <t>sp|Q62556|BT1A1_MOUSE Butyrophilin subfamily 1 member A1 OS=Mus musculus OX=10090 GN=Btn1a1 PE=1 SV=2</t>
        </is>
      </c>
      <c r="M9784" t="n">
        <v>524</v>
      </c>
      <c r="N9784" t="inlineStr">
        <is>
          <t>Mus musculus</t>
        </is>
      </c>
      <c r="O9784" t="inlineStr">
        <is>
          <t>Butyrophilin subfamily 1 member A1</t>
        </is>
      </c>
    </row>
    <row r="9785">
      <c r="A9785" t="inlineStr"/>
      <c r="B9785" t="inlineStr"/>
      <c r="C9785" t="inlineStr"/>
      <c r="D9785" t="inlineStr"/>
      <c r="E9785">
        <f>HYPERLINK("https://www.uniprot.org/uniprotkb/P18892/entry", "P18892")</f>
        <v/>
      </c>
      <c r="F9785" t="n">
        <v>33.7</v>
      </c>
      <c r="G9785" t="n">
        <v>166</v>
      </c>
      <c r="H9785" t="n">
        <v>1.08e-18</v>
      </c>
      <c r="I9785" t="inlineStr">
        <is>
          <t>Swiss-Prot</t>
        </is>
      </c>
      <c r="J9785" t="inlineStr">
        <is>
          <t>BTN1A1</t>
        </is>
      </c>
      <c r="K9785" t="inlineStr">
        <is>
          <t>BT1A1_BOVIN</t>
        </is>
      </c>
      <c r="L9785" t="inlineStr">
        <is>
          <t>sp|P18892|BT1A1_BOVIN Butyrophilin subfamily 1 member A1 OS=Bos taurus OX=9913 GN=BTN1A1 PE=1 SV=2</t>
        </is>
      </c>
      <c r="M9785" t="n">
        <v>526</v>
      </c>
      <c r="N9785" t="inlineStr">
        <is>
          <t>Bos taurus</t>
        </is>
      </c>
      <c r="O9785" t="inlineStr">
        <is>
          <t>Butyrophilin subfamily 1 member A1</t>
        </is>
      </c>
    </row>
    <row r="9786">
      <c r="A9786" t="inlineStr"/>
      <c r="B9786" t="inlineStr"/>
      <c r="C9786" t="inlineStr"/>
      <c r="D9786" t="inlineStr"/>
      <c r="E9786">
        <f>HYPERLINK("https://www.uniprot.org/uniprotkb/Q7KYR7/entry", "Q7KYR7")</f>
        <v/>
      </c>
      <c r="F9786" t="n">
        <v>33.3</v>
      </c>
      <c r="G9786" t="n">
        <v>174</v>
      </c>
      <c r="H9786" t="n">
        <v>1.45e-18</v>
      </c>
      <c r="I9786" t="inlineStr">
        <is>
          <t>Swiss-Prot</t>
        </is>
      </c>
      <c r="J9786" t="inlineStr">
        <is>
          <t>BTN2A1</t>
        </is>
      </c>
      <c r="K9786" t="inlineStr">
        <is>
          <t>BT2A1_HUMAN</t>
        </is>
      </c>
      <c r="L9786" t="inlineStr">
        <is>
          <t>sp|Q7KYR7|BT2A1_HUMAN Butyrophilin subfamily 2 member A1 OS=Homo sapiens OX=9606 GN=BTN2A1 PE=1 SV=3</t>
        </is>
      </c>
      <c r="M9786" t="n">
        <v>527</v>
      </c>
      <c r="N9786" t="inlineStr">
        <is>
          <t>Homo sapiens</t>
        </is>
      </c>
      <c r="O9786" t="inlineStr">
        <is>
          <t>Butyrophilin subfamily 2 member A1</t>
        </is>
      </c>
    </row>
    <row r="9787">
      <c r="A9787" t="inlineStr"/>
      <c r="B9787" t="inlineStr"/>
      <c r="C9787" t="inlineStr"/>
      <c r="D9787" t="inlineStr"/>
      <c r="E9787">
        <f>HYPERLINK("https://www.uniprot.org/uniprotkb/P19474/entry", "P19474")</f>
        <v/>
      </c>
      <c r="F9787" t="n">
        <v>33.9</v>
      </c>
      <c r="G9787" t="n">
        <v>174</v>
      </c>
      <c r="H9787" t="n">
        <v>2.19e-18</v>
      </c>
      <c r="I9787" t="inlineStr">
        <is>
          <t>Swiss-Prot</t>
        </is>
      </c>
      <c r="J9787" t="inlineStr">
        <is>
          <t>TRIM21</t>
        </is>
      </c>
      <c r="K9787" t="inlineStr">
        <is>
          <t>RO52_HUMAN</t>
        </is>
      </c>
      <c r="L9787" t="inlineStr">
        <is>
          <t>sp|P19474|RO52_HUMAN E3 ubiquitin-protein ligase TRIM21 OS=Homo sapiens OX=9606 GN=TRIM21 PE=1 SV=1</t>
        </is>
      </c>
      <c r="M9787" t="n">
        <v>475</v>
      </c>
      <c r="N9787" t="inlineStr">
        <is>
          <t>Homo sapiens</t>
        </is>
      </c>
      <c r="O9787" t="inlineStr">
        <is>
          <t>E3 ubiquitin-protein ligase TRIM21</t>
        </is>
      </c>
    </row>
    <row r="9788">
      <c r="A9788" t="inlineStr"/>
      <c r="B9788" t="inlineStr"/>
      <c r="C9788" t="inlineStr"/>
      <c r="D9788" t="inlineStr"/>
      <c r="E9788">
        <f>HYPERLINK("https://www.uniprot.org/uniprotkb/Q5R7W8/entry", "Q5R7W8")</f>
        <v/>
      </c>
      <c r="F9788" t="n">
        <v>31.8</v>
      </c>
      <c r="G9788" t="n">
        <v>176</v>
      </c>
      <c r="H9788" t="n">
        <v>1.13e-17</v>
      </c>
      <c r="I9788" t="inlineStr">
        <is>
          <t>Swiss-Prot</t>
        </is>
      </c>
      <c r="J9788" t="inlineStr">
        <is>
          <t>BTN2A2</t>
        </is>
      </c>
      <c r="K9788" t="inlineStr">
        <is>
          <t>BT2A2_PONAB</t>
        </is>
      </c>
      <c r="L9788" t="inlineStr">
        <is>
          <t>sp|Q5R7W8|BT2A2_PONAB Butyrophilin subfamily 2 member A2 OS=Pongo abelii OX=9601 GN=BTN2A2 PE=2 SV=1</t>
        </is>
      </c>
      <c r="M9788" t="n">
        <v>528</v>
      </c>
      <c r="N9788" t="inlineStr">
        <is>
          <t>Pongo abelii</t>
        </is>
      </c>
      <c r="O9788" t="inlineStr">
        <is>
          <t>Butyrophilin subfamily 2 member A2</t>
        </is>
      </c>
    </row>
    <row r="9789">
      <c r="A9789" t="inlineStr"/>
      <c r="B9789" t="inlineStr"/>
      <c r="C9789" t="inlineStr"/>
      <c r="D9789" t="inlineStr"/>
      <c r="E9789">
        <f>HYPERLINK("https://www.uniprot.org/uniprotkb/Q640S6/entry", "Q640S6")</f>
        <v/>
      </c>
      <c r="F9789" t="n">
        <v>32.5</v>
      </c>
      <c r="G9789" t="n">
        <v>169</v>
      </c>
      <c r="H9789" t="n">
        <v>3.14e-17</v>
      </c>
      <c r="I9789" t="inlineStr">
        <is>
          <t>Swiss-Prot</t>
        </is>
      </c>
      <c r="J9789" t="inlineStr">
        <is>
          <t>trim72</t>
        </is>
      </c>
      <c r="K9789" t="inlineStr">
        <is>
          <t>TRI72_XENTR</t>
        </is>
      </c>
      <c r="L9789" t="inlineStr">
        <is>
          <t>sp|Q640S6|TRI72_XENTR Tripartite motif-containing protein 72 OS=Xenopus tropicalis OX=8364 GN=trim72 PE=2 SV=1</t>
        </is>
      </c>
      <c r="M9789" t="n">
        <v>477</v>
      </c>
      <c r="N9789" t="inlineStr">
        <is>
          <t>Xenopus tropicalis</t>
        </is>
      </c>
      <c r="O9789" t="inlineStr">
        <is>
          <t>Tripartite motif-containing protein 72</t>
        </is>
      </c>
    </row>
    <row r="9790">
      <c r="A9790" t="inlineStr"/>
      <c r="B9790" t="inlineStr"/>
      <c r="C9790" t="inlineStr"/>
      <c r="D9790" t="inlineStr"/>
      <c r="E9790">
        <f>HYPERLINK("https://www.uniprot.org/uniprotkb/Q7YRV4/entry", "Q7YRV4")</f>
        <v/>
      </c>
      <c r="F9790" t="n">
        <v>31</v>
      </c>
      <c r="G9790" t="n">
        <v>174</v>
      </c>
      <c r="H9790" t="n">
        <v>5.75e-16</v>
      </c>
      <c r="I9790" t="inlineStr">
        <is>
          <t>Swiss-Prot</t>
        </is>
      </c>
      <c r="J9790" t="inlineStr">
        <is>
          <t>TRIM21</t>
        </is>
      </c>
      <c r="K9790" t="inlineStr">
        <is>
          <t>RO52_BOVIN</t>
        </is>
      </c>
      <c r="L9790" t="inlineStr">
        <is>
          <t>sp|Q7YRV4|RO52_BOVIN E3 ubiquitin-protein ligase TRIM21 OS=Bos taurus OX=9913 GN=TRIM21 PE=2 SV=1</t>
        </is>
      </c>
      <c r="M9790" t="n">
        <v>469</v>
      </c>
      <c r="N9790" t="inlineStr">
        <is>
          <t>Bos taurus</t>
        </is>
      </c>
      <c r="O9790" t="inlineStr">
        <is>
          <t>E3 ubiquitin-protein ligase TRIM21</t>
        </is>
      </c>
    </row>
    <row r="9791">
      <c r="A9791" t="inlineStr"/>
      <c r="B9791" t="inlineStr"/>
      <c r="C9791" t="inlineStr"/>
      <c r="D9791" t="inlineStr"/>
      <c r="E9791">
        <f>HYPERLINK("https://www.uniprot.org/uniprotkb/P14373/entry", "P14373")</f>
        <v/>
      </c>
      <c r="F9791" t="n">
        <v>31.2</v>
      </c>
      <c r="G9791" t="n">
        <v>170</v>
      </c>
      <c r="H9791" t="n">
        <v>6.5e-16</v>
      </c>
      <c r="I9791" t="inlineStr">
        <is>
          <t>Swiss-Prot</t>
        </is>
      </c>
      <c r="J9791" t="inlineStr">
        <is>
          <t>TRIM27</t>
        </is>
      </c>
      <c r="K9791" t="inlineStr">
        <is>
          <t>TRI27_HUMAN</t>
        </is>
      </c>
      <c r="L9791" t="inlineStr">
        <is>
          <t>sp|P14373|TRI27_HUMAN Zinc finger protein RFP OS=Homo sapiens OX=9606 GN=TRIM27 PE=1 SV=1</t>
        </is>
      </c>
      <c r="M9791" t="n">
        <v>513</v>
      </c>
      <c r="N9791" t="inlineStr">
        <is>
          <t>Homo sapiens</t>
        </is>
      </c>
      <c r="O9791" t="inlineStr">
        <is>
          <t>Zinc finger protein RFP</t>
        </is>
      </c>
    </row>
    <row r="9792">
      <c r="A9792" t="inlineStr">
        <is>
          <t>NODE_81247_length_2040_cov_7.525089_g29566_i0</t>
        </is>
      </c>
      <c r="B9792" t="inlineStr">
        <is>
          <t>bombina_pachypus_blastx</t>
        </is>
      </c>
      <c r="C9792" t="n">
        <v>4.98911760913081</v>
      </c>
      <c r="D9792" t="n">
        <v>0.0164578202122652</v>
      </c>
      <c r="E9792">
        <f>HYPERLINK("https://www.uniprot.org/uniprotkb/A0A8C4X9M9/entry", "A0A8C4X9M9")</f>
        <v/>
      </c>
      <c r="F9792" t="n">
        <v>46.6</v>
      </c>
      <c r="G9792" t="n">
        <v>178</v>
      </c>
      <c r="H9792" t="n">
        <v>4.029999999999999e-46</v>
      </c>
      <c r="I9792" t="inlineStr">
        <is>
          <t>TrEMBL</t>
        </is>
      </c>
      <c r="J9792" t="inlineStr"/>
      <c r="K9792" t="inlineStr">
        <is>
          <t>A0A8C4X9M9_ERPCA</t>
        </is>
      </c>
      <c r="L9792" t="inlineStr">
        <is>
          <t>tr|A0A8C4X9M9|A0A8C4X9M9_ERPCA Transposable element Tcb1 transposase OS=Erpetoichthys calabaricus OX=27687 PE=4 SV=1</t>
        </is>
      </c>
      <c r="M9792" t="n">
        <v>339</v>
      </c>
      <c r="N9792" t="inlineStr">
        <is>
          <t>Erpetoichthys calabaricus</t>
        </is>
      </c>
      <c r="O9792" t="inlineStr">
        <is>
          <t>Transposable element Tcb1 transposase</t>
        </is>
      </c>
    </row>
    <row r="9793">
      <c r="A9793" t="inlineStr"/>
      <c r="B9793" t="inlineStr"/>
      <c r="C9793" t="inlineStr"/>
      <c r="D9793" t="inlineStr"/>
      <c r="E9793">
        <f>HYPERLINK("https://www.ncbi.nlm.nih.gov/gene/?term=MBN3274473.1", "MBN3274473.1")</f>
        <v/>
      </c>
      <c r="F9793" t="n">
        <v>46</v>
      </c>
      <c r="G9793" t="n">
        <v>176</v>
      </c>
      <c r="H9793" t="n">
        <v>2.74e-44</v>
      </c>
      <c r="I9793" t="inlineStr">
        <is>
          <t>Nr</t>
        </is>
      </c>
      <c r="J9793" t="inlineStr"/>
      <c r="K9793" t="inlineStr"/>
      <c r="L9793" t="inlineStr">
        <is>
          <t>MBN3274473.1 TCB2 transposase [Polyodon spathula]</t>
        </is>
      </c>
      <c r="M9793" t="n">
        <v>307</v>
      </c>
      <c r="N9793" t="inlineStr">
        <is>
          <t>Polyodon spathula</t>
        </is>
      </c>
      <c r="O9793" t="inlineStr">
        <is>
          <t>TCB2 transposase</t>
        </is>
      </c>
    </row>
    <row r="9794">
      <c r="A9794" t="inlineStr"/>
      <c r="B9794" t="inlineStr"/>
      <c r="C9794" t="inlineStr"/>
      <c r="D9794" t="inlineStr"/>
      <c r="E9794">
        <f>HYPERLINK("https://www.uniprot.org/uniprotkb/A0A8C4T0Q5/entry", "A0A8C4T0Q5")</f>
        <v/>
      </c>
      <c r="F9794" t="n">
        <v>45.5</v>
      </c>
      <c r="G9794" t="n">
        <v>178</v>
      </c>
      <c r="H9794" t="n">
        <v>1.05e-43</v>
      </c>
      <c r="I9794" t="inlineStr">
        <is>
          <t>TrEMBL</t>
        </is>
      </c>
      <c r="J9794" t="inlineStr"/>
      <c r="K9794" t="inlineStr">
        <is>
          <t>A0A8C4T0Q5_ERPCA</t>
        </is>
      </c>
      <c r="L9794" t="inlineStr">
        <is>
          <t>tr|A0A8C4T0Q5|A0A8C4T0Q5_ERPCA Transposable element Tcb1 transposase OS=Erpetoichthys calabaricus OX=27687 PE=4 SV=1</t>
        </is>
      </c>
      <c r="M9794" t="n">
        <v>303</v>
      </c>
      <c r="N9794" t="inlineStr">
        <is>
          <t>Erpetoichthys calabaricus</t>
        </is>
      </c>
      <c r="O9794" t="inlineStr">
        <is>
          <t>Transposable element Tcb1 transposase</t>
        </is>
      </c>
    </row>
    <row r="9795">
      <c r="A9795" t="inlineStr"/>
      <c r="B9795" t="inlineStr"/>
      <c r="C9795" t="inlineStr"/>
      <c r="D9795" t="inlineStr"/>
      <c r="E9795">
        <f>HYPERLINK("https://www.ncbi.nlm.nih.gov/gene/?term=MBN3288383.1", "MBN3288383.1")</f>
        <v/>
      </c>
      <c r="F9795" t="n">
        <v>46</v>
      </c>
      <c r="G9795" t="n">
        <v>176</v>
      </c>
      <c r="H9795" t="n">
        <v>2.69e-43</v>
      </c>
      <c r="I9795" t="inlineStr">
        <is>
          <t>Nr</t>
        </is>
      </c>
      <c r="J9795" t="inlineStr"/>
      <c r="K9795" t="inlineStr"/>
      <c r="L9795" t="inlineStr">
        <is>
          <t>MBN3288383.1 TCB2 transposase [Polyodon spathula]</t>
        </is>
      </c>
      <c r="M9795" t="n">
        <v>303</v>
      </c>
      <c r="N9795" t="inlineStr">
        <is>
          <t>Polyodon spathula</t>
        </is>
      </c>
      <c r="O9795" t="inlineStr">
        <is>
          <t>TCB2 transposase</t>
        </is>
      </c>
    </row>
    <row r="9796">
      <c r="A9796" t="inlineStr"/>
      <c r="B9796" t="inlineStr"/>
      <c r="C9796" t="inlineStr"/>
      <c r="D9796" t="inlineStr"/>
      <c r="E9796">
        <f>HYPERLINK("https://www.ncbi.nlm.nih.gov/gene/?term=MBN3287760.1", "MBN3287760.1")</f>
        <v/>
      </c>
      <c r="F9796" t="n">
        <v>46</v>
      </c>
      <c r="G9796" t="n">
        <v>176</v>
      </c>
      <c r="H9796" t="n">
        <v>2.98e-43</v>
      </c>
      <c r="I9796" t="inlineStr">
        <is>
          <t>Nr</t>
        </is>
      </c>
      <c r="J9796" t="inlineStr"/>
      <c r="K9796" t="inlineStr"/>
      <c r="L9796" t="inlineStr">
        <is>
          <t>MBN3287760.1 TCB2 transposase [Polyodon spathula]</t>
        </is>
      </c>
      <c r="M9796" t="n">
        <v>307</v>
      </c>
      <c r="N9796" t="inlineStr">
        <is>
          <t>Polyodon spathula</t>
        </is>
      </c>
      <c r="O9796" t="inlineStr">
        <is>
          <t>TCB2 transposase</t>
        </is>
      </c>
    </row>
    <row r="9797">
      <c r="A9797" t="inlineStr"/>
      <c r="B9797" t="inlineStr"/>
      <c r="C9797" t="inlineStr"/>
      <c r="D9797" t="inlineStr"/>
      <c r="E9797">
        <f>HYPERLINK("https://www.ncbi.nlm.nih.gov/gene/?term=MBN3276574.1", "MBN3276574.1")</f>
        <v/>
      </c>
      <c r="F9797" t="n">
        <v>45.5</v>
      </c>
      <c r="G9797" t="n">
        <v>176</v>
      </c>
      <c r="H9797" t="n">
        <v>4.54e-42</v>
      </c>
      <c r="I9797" t="inlineStr">
        <is>
          <t>Nr</t>
        </is>
      </c>
      <c r="J9797" t="inlineStr"/>
      <c r="K9797" t="inlineStr"/>
      <c r="L9797" t="inlineStr">
        <is>
          <t>MBN3276574.1 TCB2 transposase [Polyodon spathula]</t>
        </is>
      </c>
      <c r="M9797" t="n">
        <v>307</v>
      </c>
      <c r="N9797" t="inlineStr">
        <is>
          <t>Polyodon spathula</t>
        </is>
      </c>
      <c r="O9797" t="inlineStr">
        <is>
          <t>TCB2 transposase</t>
        </is>
      </c>
    </row>
    <row r="9798">
      <c r="A9798" t="inlineStr"/>
      <c r="B9798" t="inlineStr"/>
      <c r="C9798" t="inlineStr"/>
      <c r="D9798" t="inlineStr"/>
      <c r="E9798">
        <f>HYPERLINK("https://www.uniprot.org/uniprotkb/A0A8C4X523/entry", "A0A8C4X523")</f>
        <v/>
      </c>
      <c r="F9798" t="n">
        <v>43.6</v>
      </c>
      <c r="G9798" t="n">
        <v>181</v>
      </c>
      <c r="H9798" t="n">
        <v>1.55e-41</v>
      </c>
      <c r="I9798" t="inlineStr">
        <is>
          <t>TrEMBL</t>
        </is>
      </c>
      <c r="J9798" t="inlineStr"/>
      <c r="K9798" t="inlineStr">
        <is>
          <t>A0A8C4X523_ERPCA</t>
        </is>
      </c>
      <c r="L9798" t="inlineStr">
        <is>
          <t>tr|A0A8C4X523|A0A8C4X523_ERPCA Transposable element Tcb1 transposase OS=Erpetoichthys calabaricus OX=27687 PE=4 SV=1</t>
        </is>
      </c>
      <c r="M9798" t="n">
        <v>326</v>
      </c>
      <c r="N9798" t="inlineStr">
        <is>
          <t>Erpetoichthys calabaricus</t>
        </is>
      </c>
      <c r="O9798" t="inlineStr">
        <is>
          <t>Transposable element Tcb1 transposase</t>
        </is>
      </c>
    </row>
    <row r="9799">
      <c r="A9799" t="inlineStr"/>
      <c r="B9799" t="inlineStr"/>
      <c r="C9799" t="inlineStr"/>
      <c r="D9799" t="inlineStr"/>
      <c r="E9799">
        <f>HYPERLINK("https://www.ncbi.nlm.nih.gov/gene/?term=MBN3272199.1", "MBN3272199.1")</f>
        <v/>
      </c>
      <c r="F9799" t="n">
        <v>44.9</v>
      </c>
      <c r="G9799" t="n">
        <v>176</v>
      </c>
      <c r="H9799" t="n">
        <v>2.89e-41</v>
      </c>
      <c r="I9799" t="inlineStr">
        <is>
          <t>Nr</t>
        </is>
      </c>
      <c r="J9799" t="inlineStr"/>
      <c r="K9799" t="inlineStr"/>
      <c r="L9799" t="inlineStr">
        <is>
          <t>MBN3272199.1 TCB2 transposase [Polyodon spathula]</t>
        </is>
      </c>
      <c r="M9799" t="n">
        <v>341</v>
      </c>
      <c r="N9799" t="inlineStr">
        <is>
          <t>Polyodon spathula</t>
        </is>
      </c>
      <c r="O9799" t="inlineStr">
        <is>
          <t>TCB2 transposase</t>
        </is>
      </c>
    </row>
    <row r="9800">
      <c r="A9800" t="inlineStr"/>
      <c r="B9800" t="inlineStr"/>
      <c r="C9800" t="inlineStr"/>
      <c r="D9800" t="inlineStr"/>
      <c r="E9800">
        <f>HYPERLINK("https://www.ncbi.nlm.nih.gov/gene/?term=MBN3285255.1", "MBN3285255.1")</f>
        <v/>
      </c>
      <c r="F9800" t="n">
        <v>44.3</v>
      </c>
      <c r="G9800" t="n">
        <v>176</v>
      </c>
      <c r="H9800" t="n">
        <v>2.69e-40</v>
      </c>
      <c r="I9800" t="inlineStr">
        <is>
          <t>Nr</t>
        </is>
      </c>
      <c r="J9800" t="inlineStr"/>
      <c r="K9800" t="inlineStr"/>
      <c r="L9800" t="inlineStr">
        <is>
          <t>MBN3285255.1 TCB2 transposase [Polyodon spathula]</t>
        </is>
      </c>
      <c r="M9800" t="n">
        <v>307</v>
      </c>
      <c r="N9800" t="inlineStr">
        <is>
          <t>Polyodon spathula</t>
        </is>
      </c>
      <c r="O9800" t="inlineStr">
        <is>
          <t>TCB2 transposase</t>
        </is>
      </c>
    </row>
    <row r="9801">
      <c r="A9801" t="inlineStr"/>
      <c r="B9801" t="inlineStr"/>
      <c r="C9801" t="inlineStr"/>
      <c r="D9801" t="inlineStr"/>
      <c r="E9801">
        <f>HYPERLINK("https://www.ncbi.nlm.nih.gov/gene/?term=MBN3283429.1", "MBN3283429.1")</f>
        <v/>
      </c>
      <c r="F9801" t="n">
        <v>44.8</v>
      </c>
      <c r="G9801" t="n">
        <v>174</v>
      </c>
      <c r="H9801" t="n">
        <v>3.09e-40</v>
      </c>
      <c r="I9801" t="inlineStr">
        <is>
          <t>Nr</t>
        </is>
      </c>
      <c r="J9801" t="inlineStr"/>
      <c r="K9801" t="inlineStr"/>
      <c r="L9801" t="inlineStr">
        <is>
          <t>MBN3283429.1 TCB2 transposase [Polyodon spathula]</t>
        </is>
      </c>
      <c r="M9801" t="n">
        <v>341</v>
      </c>
      <c r="N9801" t="inlineStr">
        <is>
          <t>Polyodon spathula</t>
        </is>
      </c>
      <c r="O9801" t="inlineStr">
        <is>
          <t>TCB2 transposase</t>
        </is>
      </c>
    </row>
    <row r="9802">
      <c r="A9802" t="inlineStr"/>
      <c r="B9802" t="inlineStr"/>
      <c r="C9802" t="inlineStr"/>
      <c r="D9802" t="inlineStr"/>
      <c r="E9802">
        <f>HYPERLINK("https://www.uniprot.org/uniprotkb/A0A8C4S3S5/entry", "A0A8C4S3S5")</f>
        <v/>
      </c>
      <c r="F9802" t="n">
        <v>43.3</v>
      </c>
      <c r="G9802" t="n">
        <v>178</v>
      </c>
      <c r="H9802" t="n">
        <v>3.31e-40</v>
      </c>
      <c r="I9802" t="inlineStr">
        <is>
          <t>TrEMBL</t>
        </is>
      </c>
      <c r="J9802" t="inlineStr"/>
      <c r="K9802" t="inlineStr">
        <is>
          <t>A0A8C4S3S5_ERPCA</t>
        </is>
      </c>
      <c r="L9802" t="inlineStr">
        <is>
          <t>tr|A0A8C4S3S5|A0A8C4S3S5_ERPCA Transposable element Tcb1 transposase OS=Erpetoichthys calabaricus OX=27687 PE=4 SV=1</t>
        </is>
      </c>
      <c r="M9802" t="n">
        <v>341</v>
      </c>
      <c r="N9802" t="inlineStr">
        <is>
          <t>Erpetoichthys calabaricus</t>
        </is>
      </c>
      <c r="O9802" t="inlineStr">
        <is>
          <t>Transposable element Tcb1 transposase</t>
        </is>
      </c>
    </row>
    <row r="9803">
      <c r="A9803" t="inlineStr"/>
      <c r="B9803" t="inlineStr"/>
      <c r="C9803" t="inlineStr"/>
      <c r="D9803" t="inlineStr"/>
      <c r="E9803">
        <f>HYPERLINK("https://www.ncbi.nlm.nih.gov/gene/?term=MBN3280205.1", "MBN3280205.1")</f>
        <v/>
      </c>
      <c r="F9803" t="n">
        <v>42.1</v>
      </c>
      <c r="G9803" t="n">
        <v>190</v>
      </c>
      <c r="H9803" t="n">
        <v>8.399999999999999e-40</v>
      </c>
      <c r="I9803" t="inlineStr">
        <is>
          <t>Nr</t>
        </is>
      </c>
      <c r="J9803" t="inlineStr"/>
      <c r="K9803" t="inlineStr"/>
      <c r="L9803" t="inlineStr">
        <is>
          <t>MBN3280205.1 TCB2 transposase [Polyodon spathula]</t>
        </is>
      </c>
      <c r="M9803" t="n">
        <v>326</v>
      </c>
      <c r="N9803" t="inlineStr">
        <is>
          <t>Polyodon spathula</t>
        </is>
      </c>
      <c r="O9803" t="inlineStr">
        <is>
          <t>TCB2 transposase</t>
        </is>
      </c>
    </row>
    <row r="9804">
      <c r="A9804" t="inlineStr"/>
      <c r="B9804" t="inlineStr"/>
      <c r="C9804" t="inlineStr"/>
      <c r="D9804" t="inlineStr"/>
      <c r="E9804">
        <f>HYPERLINK("https://www.ncbi.nlm.nih.gov/gene/?term=XP_030257505.1", "XP_030257505.1")</f>
        <v/>
      </c>
      <c r="F9804" t="n">
        <v>53.4</v>
      </c>
      <c r="G9804" t="n">
        <v>131</v>
      </c>
      <c r="H9804" t="n">
        <v>1.24e-36</v>
      </c>
      <c r="I9804" t="inlineStr">
        <is>
          <t>Nr</t>
        </is>
      </c>
      <c r="J9804" t="inlineStr"/>
      <c r="K9804" t="inlineStr"/>
      <c r="L9804" t="inlineStr">
        <is>
          <t>XP_030257505.1 extracellular calcium-sensing receptor-like [Sparus aurata]</t>
        </is>
      </c>
      <c r="M9804" t="n">
        <v>986</v>
      </c>
      <c r="N9804" t="inlineStr">
        <is>
          <t>Sparus aurata</t>
        </is>
      </c>
      <c r="O9804" t="inlineStr">
        <is>
          <t>extracellular calcium-sensing receptor-like</t>
        </is>
      </c>
    </row>
    <row r="9805">
      <c r="A9805" t="inlineStr"/>
      <c r="B9805" t="inlineStr"/>
      <c r="C9805" t="inlineStr"/>
      <c r="D9805" t="inlineStr"/>
      <c r="E9805">
        <f>HYPERLINK("https://www.uniprot.org/uniprotkb/A0A3Q0QR15/entry", "A0A3Q0QR15")</f>
        <v/>
      </c>
      <c r="F9805" t="n">
        <v>50</v>
      </c>
      <c r="G9805" t="n">
        <v>144</v>
      </c>
      <c r="H9805" t="n">
        <v>8.74e-36</v>
      </c>
      <c r="I9805" t="inlineStr">
        <is>
          <t>TrEMBL</t>
        </is>
      </c>
      <c r="J9805" t="inlineStr"/>
      <c r="K9805" t="inlineStr">
        <is>
          <t>A0A3Q0QR15_AMPCI</t>
        </is>
      </c>
      <c r="L9805" t="inlineStr">
        <is>
          <t>tr|A0A3Q0QR15|A0A3Q0QR15_AMPCI Transposable element Tcb1 transposase OS=Amphilophus citrinellus OX=61819 PE=4 SV=1</t>
        </is>
      </c>
      <c r="M9805" t="n">
        <v>329</v>
      </c>
      <c r="N9805" t="inlineStr">
        <is>
          <t>Amphilophus citrinellus</t>
        </is>
      </c>
      <c r="O9805" t="inlineStr">
        <is>
          <t>Transposable element Tcb1 transposase</t>
        </is>
      </c>
    </row>
    <row r="9806">
      <c r="A9806" t="inlineStr"/>
      <c r="B9806" t="inlineStr"/>
      <c r="C9806" t="inlineStr"/>
      <c r="D9806" t="inlineStr"/>
      <c r="E9806">
        <f>HYPERLINK("https://www.uniprot.org/uniprotkb/A0A667XEK6/entry", "A0A667XEK6")</f>
        <v/>
      </c>
      <c r="F9806" t="n">
        <v>39.3</v>
      </c>
      <c r="G9806" t="n">
        <v>183</v>
      </c>
      <c r="H9806" t="n">
        <v>1.35e-34</v>
      </c>
      <c r="I9806" t="inlineStr">
        <is>
          <t>TrEMBL</t>
        </is>
      </c>
      <c r="J9806" t="inlineStr"/>
      <c r="K9806" t="inlineStr">
        <is>
          <t>A0A667XEK6_9TELE</t>
        </is>
      </c>
      <c r="L9806" t="inlineStr">
        <is>
          <t>tr|A0A667XEK6|A0A667XEK6_9TELE Transposable element Tcb1 transposase OS=Myripristis murdjan OX=586833 PE=4 SV=1</t>
        </is>
      </c>
      <c r="M9806" t="n">
        <v>347</v>
      </c>
      <c r="N9806" t="inlineStr">
        <is>
          <t>Myripristis murdjan</t>
        </is>
      </c>
      <c r="O9806" t="inlineStr">
        <is>
          <t>Transposable element Tcb1 transposase</t>
        </is>
      </c>
    </row>
    <row r="9807">
      <c r="A9807" t="inlineStr"/>
      <c r="B9807" t="inlineStr"/>
      <c r="C9807" t="inlineStr"/>
      <c r="D9807" t="inlineStr"/>
      <c r="E9807">
        <f>HYPERLINK("https://www.uniprot.org/uniprotkb/A0A6A4TIP9/entry", "A0A6A4TIP9")</f>
        <v/>
      </c>
      <c r="F9807" t="n">
        <v>38.1</v>
      </c>
      <c r="G9807" t="n">
        <v>197</v>
      </c>
      <c r="H9807" t="n">
        <v>2.08e-33</v>
      </c>
      <c r="I9807" t="inlineStr">
        <is>
          <t>TrEMBL</t>
        </is>
      </c>
      <c r="J9807" t="inlineStr">
        <is>
          <t>F2P81_004927</t>
        </is>
      </c>
      <c r="K9807" t="inlineStr">
        <is>
          <t>A0A6A4TIP9_SCOMX</t>
        </is>
      </c>
      <c r="L9807" t="inlineStr">
        <is>
          <t>tr|A0A6A4TIP9|A0A6A4TIP9_SCOMX Paired domain-containing protein OS=Scophthalmus maximus OX=52904 GN=F2P81_004927 PE=4 SV=1</t>
        </is>
      </c>
      <c r="M9807" t="n">
        <v>350</v>
      </c>
      <c r="N9807" t="inlineStr">
        <is>
          <t>Scophthalmus maximus</t>
        </is>
      </c>
      <c r="O9807" t="inlineStr">
        <is>
          <t>Paired domain-containing protein</t>
        </is>
      </c>
    </row>
    <row r="9808">
      <c r="A9808" t="inlineStr"/>
      <c r="B9808" t="inlineStr"/>
      <c r="C9808" t="inlineStr"/>
      <c r="D9808" t="inlineStr"/>
      <c r="E9808">
        <f>HYPERLINK("https://www.uniprot.org/uniprotkb/A0A6A4SN39/entry", "A0A6A4SN39")</f>
        <v/>
      </c>
      <c r="F9808" t="n">
        <v>38.1</v>
      </c>
      <c r="G9808" t="n">
        <v>197</v>
      </c>
      <c r="H9808" t="n">
        <v>2.84e-33</v>
      </c>
      <c r="I9808" t="inlineStr">
        <is>
          <t>TrEMBL</t>
        </is>
      </c>
      <c r="J9808" t="inlineStr">
        <is>
          <t>F2P81_011888</t>
        </is>
      </c>
      <c r="K9808" t="inlineStr">
        <is>
          <t>A0A6A4SN39_SCOMX</t>
        </is>
      </c>
      <c r="L9808" t="inlineStr">
        <is>
          <t>tr|A0A6A4SN39|A0A6A4SN39_SCOMX Paired domain-containing protein OS=Scophthalmus maximus OX=52904 GN=F2P81_011888 PE=4 SV=1</t>
        </is>
      </c>
      <c r="M9808" t="n">
        <v>349</v>
      </c>
      <c r="N9808" t="inlineStr">
        <is>
          <t>Scophthalmus maximus</t>
        </is>
      </c>
      <c r="O9808" t="inlineStr">
        <is>
          <t>Paired domain-containing protein</t>
        </is>
      </c>
    </row>
    <row r="9809">
      <c r="A9809" t="inlineStr"/>
      <c r="B9809" t="inlineStr"/>
      <c r="C9809" t="inlineStr"/>
      <c r="D9809" t="inlineStr"/>
      <c r="E9809">
        <f>HYPERLINK("https://www.ncbi.nlm.nih.gov/gene/?term=MBN3280001.1", "MBN3280001.1")</f>
        <v/>
      </c>
      <c r="F9809" t="n">
        <v>40.9</v>
      </c>
      <c r="G9809" t="n">
        <v>176</v>
      </c>
      <c r="H9809" t="n">
        <v>3.17e-33</v>
      </c>
      <c r="I9809" t="inlineStr">
        <is>
          <t>Nr</t>
        </is>
      </c>
      <c r="J9809" t="inlineStr"/>
      <c r="K9809" t="inlineStr"/>
      <c r="L9809" t="inlineStr">
        <is>
          <t>MBN3280001.1 TCB1 transposase [Polyodon spathula]</t>
        </is>
      </c>
      <c r="M9809" t="n">
        <v>341</v>
      </c>
      <c r="N9809" t="inlineStr">
        <is>
          <t>Polyodon spathula</t>
        </is>
      </c>
      <c r="O9809" t="inlineStr">
        <is>
          <t>TCB1 transposase</t>
        </is>
      </c>
    </row>
    <row r="9810">
      <c r="A9810" t="inlineStr"/>
      <c r="B9810" t="inlineStr"/>
      <c r="C9810" t="inlineStr"/>
      <c r="D9810" t="inlineStr"/>
      <c r="E9810">
        <f>HYPERLINK("https://www.ncbi.nlm.nih.gov/gene/?term=KAF0043590.1", "KAF0043590.1")</f>
        <v/>
      </c>
      <c r="F9810" t="n">
        <v>38.1</v>
      </c>
      <c r="G9810" t="n">
        <v>197</v>
      </c>
      <c r="H9810" t="n">
        <v>5.33e-33</v>
      </c>
      <c r="I9810" t="inlineStr">
        <is>
          <t>Nr</t>
        </is>
      </c>
      <c r="J9810" t="inlineStr"/>
      <c r="K9810" t="inlineStr"/>
      <c r="L9810" t="inlineStr">
        <is>
          <t>KAF0043590.1 hypothetical protein F2P81_004927 [Scophthalmus maximus]</t>
        </is>
      </c>
      <c r="M9810" t="n">
        <v>350</v>
      </c>
      <c r="N9810" t="inlineStr">
        <is>
          <t>Scophthalmus maximus</t>
        </is>
      </c>
      <c r="O9810" t="inlineStr">
        <is>
          <t>hypothetical protein F2P81_004927</t>
        </is>
      </c>
    </row>
    <row r="9811">
      <c r="A9811" t="inlineStr"/>
      <c r="B9811" t="inlineStr"/>
      <c r="C9811" t="inlineStr"/>
      <c r="D9811" t="inlineStr"/>
      <c r="E9811">
        <f>HYPERLINK("https://www.ncbi.nlm.nih.gov/gene/?term=KAF0036576.1", "KAF0036576.1")</f>
        <v/>
      </c>
      <c r="F9811" t="n">
        <v>38.1</v>
      </c>
      <c r="G9811" t="n">
        <v>197</v>
      </c>
      <c r="H9811" t="n">
        <v>7.29e-33</v>
      </c>
      <c r="I9811" t="inlineStr">
        <is>
          <t>Nr</t>
        </is>
      </c>
      <c r="J9811" t="inlineStr"/>
      <c r="K9811" t="inlineStr"/>
      <c r="L9811" t="inlineStr">
        <is>
          <t>KAF0036576.1 hypothetical protein F2P81_011888 [Scophthalmus maximus]</t>
        </is>
      </c>
      <c r="M9811" t="n">
        <v>349</v>
      </c>
      <c r="N9811" t="inlineStr">
        <is>
          <t>Scophthalmus maximus</t>
        </is>
      </c>
      <c r="O9811" t="inlineStr">
        <is>
          <t>hypothetical protein F2P81_011888</t>
        </is>
      </c>
    </row>
    <row r="9812">
      <c r="A9812" t="inlineStr"/>
      <c r="B9812" t="inlineStr"/>
      <c r="C9812" t="inlineStr"/>
      <c r="D9812" t="inlineStr"/>
      <c r="E9812">
        <f>HYPERLINK("https://www.uniprot.org/uniprotkb/A0A7N6BJK7/entry", "A0A7N6BJK7")</f>
        <v/>
      </c>
      <c r="F9812" t="n">
        <v>37.6</v>
      </c>
      <c r="G9812" t="n">
        <v>197</v>
      </c>
      <c r="H9812" t="n">
        <v>2.03e-32</v>
      </c>
      <c r="I9812" t="inlineStr">
        <is>
          <t>TrEMBL</t>
        </is>
      </c>
      <c r="J9812" t="inlineStr"/>
      <c r="K9812" t="inlineStr">
        <is>
          <t>A0A7N6BJK7_ANATE</t>
        </is>
      </c>
      <c r="L9812" t="inlineStr">
        <is>
          <t>tr|A0A7N6BJK7|A0A7N6BJK7_ANATE Paired domain-containing protein OS=Anabas testudineus OX=64144 PE=4 SV=1</t>
        </is>
      </c>
      <c r="M9812" t="n">
        <v>331</v>
      </c>
      <c r="N9812" t="inlineStr">
        <is>
          <t>Anabas testudineus</t>
        </is>
      </c>
      <c r="O9812" t="inlineStr">
        <is>
          <t>Paired domain-containing protein</t>
        </is>
      </c>
    </row>
    <row r="9813">
      <c r="A9813" t="inlineStr"/>
      <c r="B9813" t="inlineStr"/>
      <c r="C9813" t="inlineStr"/>
      <c r="D9813" t="inlineStr"/>
      <c r="E9813">
        <f>HYPERLINK("https://www.uniprot.org/uniprotkb/A0A8D3DYT9/entry", "A0A8D3DYT9")</f>
        <v/>
      </c>
      <c r="F9813" t="n">
        <v>38.2</v>
      </c>
      <c r="G9813" t="n">
        <v>191</v>
      </c>
      <c r="H9813" t="n">
        <v>2.53e-32</v>
      </c>
      <c r="I9813" t="inlineStr">
        <is>
          <t>TrEMBL</t>
        </is>
      </c>
      <c r="J9813" t="inlineStr"/>
      <c r="K9813" t="inlineStr">
        <is>
          <t>A0A8D3DYT9_SCOMX</t>
        </is>
      </c>
      <c r="L9813" t="inlineStr">
        <is>
          <t>tr|A0A8D3DYT9|A0A8D3DYT9_SCOMX HTH_Tnp_Tc3_2 domain-containing protein OS=Scophthalmus maximus OX=52904 PE=4 SV=1</t>
        </is>
      </c>
      <c r="M9813" t="n">
        <v>310</v>
      </c>
      <c r="N9813" t="inlineStr">
        <is>
          <t>Scophthalmus maximus</t>
        </is>
      </c>
      <c r="O9813" t="inlineStr">
        <is>
          <t>HTH_Tnp_Tc3_2 domain-containing protein</t>
        </is>
      </c>
    </row>
    <row r="9814">
      <c r="A9814" t="inlineStr"/>
      <c r="B9814" t="inlineStr"/>
      <c r="C9814" t="inlineStr"/>
      <c r="D9814" t="inlineStr"/>
      <c r="E9814">
        <f>HYPERLINK("https://www.uniprot.org/uniprotkb/A0A8D3E171/entry", "A0A8D3E171")</f>
        <v/>
      </c>
      <c r="F9814" t="n">
        <v>37.1</v>
      </c>
      <c r="G9814" t="n">
        <v>197</v>
      </c>
      <c r="H9814" t="n">
        <v>4.08e-32</v>
      </c>
      <c r="I9814" t="inlineStr">
        <is>
          <t>TrEMBL</t>
        </is>
      </c>
      <c r="J9814" t="inlineStr"/>
      <c r="K9814" t="inlineStr">
        <is>
          <t>A0A8D3E171_SCOMX</t>
        </is>
      </c>
      <c r="L9814" t="inlineStr">
        <is>
          <t>tr|A0A8D3E171|A0A8D3E171_SCOMX Paired domain-containing protein OS=Scophthalmus maximus OX=52904 PE=4 SV=1</t>
        </is>
      </c>
      <c r="M9814" t="n">
        <v>349</v>
      </c>
      <c r="N9814" t="inlineStr">
        <is>
          <t>Scophthalmus maximus</t>
        </is>
      </c>
      <c r="O9814" t="inlineStr">
        <is>
          <t>Paired domain-containing protein</t>
        </is>
      </c>
    </row>
    <row r="9815">
      <c r="A9815" t="inlineStr"/>
      <c r="B9815" t="inlineStr"/>
      <c r="C9815" t="inlineStr"/>
      <c r="D9815" t="inlineStr"/>
      <c r="E9815">
        <f>HYPERLINK("https://www.uniprot.org/uniprotkb/A0A8D3D9Y7/entry", "A0A8D3D9Y7")</f>
        <v/>
      </c>
      <c r="F9815" t="n">
        <v>37.1</v>
      </c>
      <c r="G9815" t="n">
        <v>197</v>
      </c>
      <c r="H9815" t="n">
        <v>5.810000000000001e-32</v>
      </c>
      <c r="I9815" t="inlineStr">
        <is>
          <t>TrEMBL</t>
        </is>
      </c>
      <c r="J9815" t="inlineStr"/>
      <c r="K9815" t="inlineStr">
        <is>
          <t>A0A8D3D9Y7_SCOMX</t>
        </is>
      </c>
      <c r="L9815" t="inlineStr">
        <is>
          <t>tr|A0A8D3D9Y7|A0A8D3D9Y7_SCOMX Paired domain-containing protein OS=Scophthalmus maximus OX=52904 PE=4 SV=1</t>
        </is>
      </c>
      <c r="M9815" t="n">
        <v>350</v>
      </c>
      <c r="N9815" t="inlineStr">
        <is>
          <t>Scophthalmus maximus</t>
        </is>
      </c>
      <c r="O9815" t="inlineStr">
        <is>
          <t>Paired domain-containing protein</t>
        </is>
      </c>
    </row>
    <row r="9816">
      <c r="A9816" t="inlineStr"/>
      <c r="B9816" t="inlineStr"/>
      <c r="C9816" t="inlineStr"/>
      <c r="D9816" t="inlineStr"/>
      <c r="E9816">
        <f>HYPERLINK("https://www.uniprot.org/uniprotkb/A0A6A4RX38/entry", "A0A6A4RX38")</f>
        <v/>
      </c>
      <c r="F9816" t="n">
        <v>36.2</v>
      </c>
      <c r="G9816" t="n">
        <v>221</v>
      </c>
      <c r="H9816" t="n">
        <v>1.12e-31</v>
      </c>
      <c r="I9816" t="inlineStr">
        <is>
          <t>TrEMBL</t>
        </is>
      </c>
      <c r="J9816" t="inlineStr">
        <is>
          <t>F2P81_021770</t>
        </is>
      </c>
      <c r="K9816" t="inlineStr">
        <is>
          <t>A0A6A4RX38_SCOMX</t>
        </is>
      </c>
      <c r="L9816" t="inlineStr">
        <is>
          <t>tr|A0A6A4RX38|A0A6A4RX38_SCOMX HTH_Tnp_Tc3_2 domain-containing protein OS=Scophthalmus maximus OX=52904 GN=F2P81_021770 PE=4 SV=1</t>
        </is>
      </c>
      <c r="M9816" t="n">
        <v>333</v>
      </c>
      <c r="N9816" t="inlineStr">
        <is>
          <t>Scophthalmus maximus</t>
        </is>
      </c>
      <c r="O9816" t="inlineStr">
        <is>
          <t>HTH_Tnp_Tc3_2 domain-containing protein</t>
        </is>
      </c>
    </row>
    <row r="9817">
      <c r="A9817" t="inlineStr"/>
      <c r="B9817" t="inlineStr"/>
      <c r="C9817" t="inlineStr"/>
      <c r="D9817" t="inlineStr"/>
      <c r="E9817">
        <f>HYPERLINK("https://www.uniprot.org/uniprotkb/A0A8D3CVP6/entry", "A0A8D3CVP6")</f>
        <v/>
      </c>
      <c r="F9817" t="n">
        <v>38.1</v>
      </c>
      <c r="G9817" t="n">
        <v>197</v>
      </c>
      <c r="H9817" t="n">
        <v>2.19e-31</v>
      </c>
      <c r="I9817" t="inlineStr">
        <is>
          <t>TrEMBL</t>
        </is>
      </c>
      <c r="J9817" t="inlineStr"/>
      <c r="K9817" t="inlineStr">
        <is>
          <t>A0A8D3CVP6_SCOMX</t>
        </is>
      </c>
      <c r="L9817" t="inlineStr">
        <is>
          <t>tr|A0A8D3CVP6|A0A8D3CVP6_SCOMX HTH_Tnp_Tc3_2 domain-containing protein OS=Scophthalmus maximus OX=52904 PE=4 SV=1</t>
        </is>
      </c>
      <c r="M9817" t="n">
        <v>350</v>
      </c>
      <c r="N9817" t="inlineStr">
        <is>
          <t>Scophthalmus maximus</t>
        </is>
      </c>
      <c r="O9817" t="inlineStr">
        <is>
          <t>HTH_Tnp_Tc3_2 domain-containing protein</t>
        </is>
      </c>
    </row>
    <row r="9818">
      <c r="A9818" t="inlineStr"/>
      <c r="B9818" t="inlineStr"/>
      <c r="C9818" t="inlineStr"/>
      <c r="D9818" t="inlineStr"/>
      <c r="E9818">
        <f>HYPERLINK("https://www.ncbi.nlm.nih.gov/gene/?term=KAF0024889.1", "KAF0024889.1")</f>
        <v/>
      </c>
      <c r="F9818" t="n">
        <v>36.2</v>
      </c>
      <c r="G9818" t="n">
        <v>221</v>
      </c>
      <c r="H9818" t="n">
        <v>2.88e-31</v>
      </c>
      <c r="I9818" t="inlineStr">
        <is>
          <t>Nr</t>
        </is>
      </c>
      <c r="J9818" t="inlineStr"/>
      <c r="K9818" t="inlineStr"/>
      <c r="L9818" t="inlineStr">
        <is>
          <t>KAF0024889.1 hypothetical protein F2P81_021770 [Scophthalmus maximus]</t>
        </is>
      </c>
      <c r="M9818" t="n">
        <v>333</v>
      </c>
      <c r="N9818" t="inlineStr">
        <is>
          <t>Scophthalmus maximus</t>
        </is>
      </c>
      <c r="O9818" t="inlineStr">
        <is>
          <t>hypothetical protein F2P81_021770</t>
        </is>
      </c>
    </row>
    <row r="9819">
      <c r="A9819" t="inlineStr"/>
      <c r="B9819" t="inlineStr"/>
      <c r="C9819" t="inlineStr"/>
      <c r="D9819" t="inlineStr"/>
      <c r="E9819">
        <f>HYPERLINK("https://www.uniprot.org/uniprotkb/A0A3B3XZJ0/entry", "A0A3B3XZJ0")</f>
        <v/>
      </c>
      <c r="F9819" t="n">
        <v>38.4</v>
      </c>
      <c r="G9819" t="n">
        <v>190</v>
      </c>
      <c r="H9819" t="n">
        <v>5.25e-31</v>
      </c>
      <c r="I9819" t="inlineStr">
        <is>
          <t>TrEMBL</t>
        </is>
      </c>
      <c r="J9819" t="inlineStr"/>
      <c r="K9819" t="inlineStr">
        <is>
          <t>A0A3B3XZJ0_9TELE</t>
        </is>
      </c>
      <c r="L9819" t="inlineStr">
        <is>
          <t>tr|A0A3B3XZJ0|A0A3B3XZJ0_9TELE Paired domain-containing protein OS=Poecilia mexicana OX=48701 PE=4 SV=1</t>
        </is>
      </c>
      <c r="M9819" t="n">
        <v>311</v>
      </c>
      <c r="N9819" t="inlineStr">
        <is>
          <t>Poecilia mexicana</t>
        </is>
      </c>
      <c r="O9819" t="inlineStr">
        <is>
          <t>Paired domain-containing protein</t>
        </is>
      </c>
    </row>
    <row r="9820">
      <c r="A9820" t="inlineStr"/>
      <c r="B9820" t="inlineStr"/>
      <c r="C9820" t="inlineStr"/>
      <c r="D9820" t="inlineStr"/>
      <c r="E9820">
        <f>HYPERLINK("https://www.ncbi.nlm.nih.gov/gene/?term=KAJ0051138.1", "KAJ0051138.1")</f>
        <v/>
      </c>
      <c r="F9820" t="n">
        <v>38.6</v>
      </c>
      <c r="G9820" t="n">
        <v>176</v>
      </c>
      <c r="H9820" t="n">
        <v>5.31e-31</v>
      </c>
      <c r="I9820" t="inlineStr">
        <is>
          <t>Nr</t>
        </is>
      </c>
      <c r="J9820" t="inlineStr"/>
      <c r="K9820" t="inlineStr"/>
      <c r="L9820" t="inlineStr">
        <is>
          <t>KAJ0051138.1 hypothetical protein NL108_014587 [Boleophthalmus pectinirostris]</t>
        </is>
      </c>
      <c r="M9820" t="n">
        <v>216</v>
      </c>
      <c r="N9820" t="inlineStr">
        <is>
          <t>Boleophthalmus pectinirostris</t>
        </is>
      </c>
      <c r="O9820" t="inlineStr">
        <is>
          <t>hypothetical protein NL108_014587</t>
        </is>
      </c>
    </row>
    <row r="9821">
      <c r="A9821" t="inlineStr"/>
      <c r="B9821" t="inlineStr"/>
      <c r="C9821" t="inlineStr"/>
      <c r="D9821" t="inlineStr"/>
      <c r="E9821">
        <f>HYPERLINK("https://www.uniprot.org/uniprotkb/A0A3P9INM1/entry", "A0A3P9INM1")</f>
        <v/>
      </c>
      <c r="F9821" t="n">
        <v>38</v>
      </c>
      <c r="G9821" t="n">
        <v>187</v>
      </c>
      <c r="H9821" t="n">
        <v>5.440000000000001e-31</v>
      </c>
      <c r="I9821" t="inlineStr">
        <is>
          <t>TrEMBL</t>
        </is>
      </c>
      <c r="J9821" t="inlineStr"/>
      <c r="K9821" t="inlineStr">
        <is>
          <t>A0A3P9INM1_ORYLA</t>
        </is>
      </c>
      <c r="L9821" t="inlineStr">
        <is>
          <t>tr|A0A3P9INM1|A0A3P9INM1_ORYLA HTH_Tnp_Tc3_2 domain-containing protein OS=Oryzias latipes OX=8090 PE=4 SV=1</t>
        </is>
      </c>
      <c r="M9821" t="n">
        <v>363</v>
      </c>
      <c r="N9821" t="inlineStr">
        <is>
          <t>Oryzias latipes</t>
        </is>
      </c>
      <c r="O9821" t="inlineStr">
        <is>
          <t>HTH_Tnp_Tc3_2 domain-containing protein</t>
        </is>
      </c>
    </row>
    <row r="9822">
      <c r="A9822" t="inlineStr"/>
      <c r="B9822" t="inlineStr"/>
      <c r="C9822" t="inlineStr"/>
      <c r="D9822" t="inlineStr"/>
      <c r="E9822">
        <f>HYPERLINK("https://www.uniprot.org/uniprotkb/A0A3B1KH97/entry", "A0A3B1KH97")</f>
        <v/>
      </c>
      <c r="F9822" t="n">
        <v>43.7</v>
      </c>
      <c r="G9822" t="n">
        <v>151</v>
      </c>
      <c r="H9822" t="n">
        <v>5.61e-31</v>
      </c>
      <c r="I9822" t="inlineStr">
        <is>
          <t>TrEMBL</t>
        </is>
      </c>
      <c r="J9822" t="inlineStr"/>
      <c r="K9822" t="inlineStr">
        <is>
          <t>A0A3B1KH97_ASTMX</t>
        </is>
      </c>
      <c r="L9822" t="inlineStr">
        <is>
          <t>tr|A0A3B1KH97|A0A3B1KH97_ASTMX HTH_Tnp_Tc3_2 domain-containing protein OS=Astyanax mexicanus OX=7994 PE=4 SV=1</t>
        </is>
      </c>
      <c r="M9822" t="n">
        <v>347</v>
      </c>
      <c r="N9822" t="inlineStr">
        <is>
          <t>Astyanax mexicanus</t>
        </is>
      </c>
      <c r="O9822" t="inlineStr">
        <is>
          <t>HTH_Tnp_Tc3_2 domain-containing protein</t>
        </is>
      </c>
    </row>
    <row r="9823">
      <c r="A9823" t="inlineStr"/>
      <c r="B9823" t="inlineStr"/>
      <c r="C9823" t="inlineStr"/>
      <c r="D9823" t="inlineStr"/>
      <c r="E9823">
        <f>HYPERLINK("https://www.uniprot.org/uniprotkb/A0A3B1ILY8/entry", "A0A3B1ILY8")</f>
        <v/>
      </c>
      <c r="F9823" t="n">
        <v>42.4</v>
      </c>
      <c r="G9823" t="n">
        <v>151</v>
      </c>
      <c r="H9823" t="n">
        <v>6.28e-31</v>
      </c>
      <c r="I9823" t="inlineStr">
        <is>
          <t>TrEMBL</t>
        </is>
      </c>
      <c r="J9823" t="inlineStr"/>
      <c r="K9823" t="inlineStr">
        <is>
          <t>A0A3B1ILY8_ASTMX</t>
        </is>
      </c>
      <c r="L9823" t="inlineStr">
        <is>
          <t>tr|A0A3B1ILY8|A0A3B1ILY8_ASTMX HTH_Tnp_Tc3_2 domain-containing protein OS=Astyanax mexicanus OX=7994 PE=4 SV=1</t>
        </is>
      </c>
      <c r="M9823" t="n">
        <v>274</v>
      </c>
      <c r="N9823" t="inlineStr">
        <is>
          <t>Astyanax mexicanus</t>
        </is>
      </c>
      <c r="O9823" t="inlineStr">
        <is>
          <t>HTH_Tnp_Tc3_2 domain-containing protein</t>
        </is>
      </c>
    </row>
    <row r="9824">
      <c r="A9824" t="inlineStr"/>
      <c r="B9824" t="inlineStr"/>
      <c r="C9824" t="inlineStr"/>
      <c r="D9824" t="inlineStr"/>
      <c r="E9824">
        <f>HYPERLINK("https://www.uniprot.org/uniprotkb/A0A8C4S2L1/entry", "A0A8C4S2L1")</f>
        <v/>
      </c>
      <c r="F9824" t="n">
        <v>41.3</v>
      </c>
      <c r="G9824" t="n">
        <v>160</v>
      </c>
      <c r="H9824" t="n">
        <v>9.430000000000001e-31</v>
      </c>
      <c r="I9824" t="inlineStr">
        <is>
          <t>TrEMBL</t>
        </is>
      </c>
      <c r="J9824" t="inlineStr"/>
      <c r="K9824" t="inlineStr">
        <is>
          <t>A0A8C4S2L1_ERPCA</t>
        </is>
      </c>
      <c r="L9824" t="inlineStr">
        <is>
          <t>tr|A0A8C4S2L1|A0A8C4S2L1_ERPCA HTH_Tnp_Tc3_2 domain-containing protein OS=Erpetoichthys calabaricus OX=27687 PE=4 SV=1</t>
        </is>
      </c>
      <c r="M9824" t="n">
        <v>323</v>
      </c>
      <c r="N9824" t="inlineStr">
        <is>
          <t>Erpetoichthys calabaricus</t>
        </is>
      </c>
      <c r="O9824" t="inlineStr">
        <is>
          <t>HTH_Tnp_Tc3_2 domain-containing protein</t>
        </is>
      </c>
    </row>
    <row r="9825">
      <c r="A9825" t="inlineStr"/>
      <c r="B9825" t="inlineStr"/>
      <c r="C9825" t="inlineStr"/>
      <c r="D9825" t="inlineStr"/>
      <c r="E9825">
        <f>HYPERLINK("https://www.uniprot.org/uniprotkb/A0A8C4HPW5/entry", "A0A8C4HPW5")</f>
        <v/>
      </c>
      <c r="F9825" t="n">
        <v>44.3</v>
      </c>
      <c r="G9825" t="n">
        <v>149</v>
      </c>
      <c r="H9825" t="n">
        <v>2.11e-30</v>
      </c>
      <c r="I9825" t="inlineStr">
        <is>
          <t>TrEMBL</t>
        </is>
      </c>
      <c r="J9825" t="inlineStr"/>
      <c r="K9825" t="inlineStr">
        <is>
          <t>A0A8C4HPW5_DICLA</t>
        </is>
      </c>
      <c r="L9825" t="inlineStr">
        <is>
          <t>tr|A0A8C4HPW5|A0A8C4HPW5_DICLA HTH_Tnp_Tc3_2 domain-containing protein OS=Dicentrarchus labrax OX=13489 PE=4 SV=2</t>
        </is>
      </c>
      <c r="M9825" t="n">
        <v>347</v>
      </c>
      <c r="N9825" t="inlineStr">
        <is>
          <t>Dicentrarchus labrax</t>
        </is>
      </c>
      <c r="O9825" t="inlineStr">
        <is>
          <t>HTH_Tnp_Tc3_2 domain-containing protein</t>
        </is>
      </c>
    </row>
    <row r="9826">
      <c r="A9826" t="inlineStr"/>
      <c r="B9826" t="inlineStr"/>
      <c r="C9826" t="inlineStr"/>
      <c r="D9826" t="inlineStr"/>
      <c r="E9826">
        <f>HYPERLINK("https://www.uniprot.org/uniprotkb/A0A3B1IUE1/entry", "A0A3B1IUE1")</f>
        <v/>
      </c>
      <c r="F9826" t="n">
        <v>43.6</v>
      </c>
      <c r="G9826" t="n">
        <v>149</v>
      </c>
      <c r="H9826" t="n">
        <v>2.95e-30</v>
      </c>
      <c r="I9826" t="inlineStr">
        <is>
          <t>TrEMBL</t>
        </is>
      </c>
      <c r="J9826" t="inlineStr"/>
      <c r="K9826" t="inlineStr">
        <is>
          <t>A0A3B1IUE1_ASTMX</t>
        </is>
      </c>
      <c r="L9826" t="inlineStr">
        <is>
          <t>tr|A0A3B1IUE1|A0A3B1IUE1_ASTMX HTH_Tnp_Tc3_2 domain-containing protein OS=Astyanax mexicanus OX=7994 PE=4 SV=1</t>
        </is>
      </c>
      <c r="M9826" t="n">
        <v>347</v>
      </c>
      <c r="N9826" t="inlineStr">
        <is>
          <t>Astyanax mexicanus</t>
        </is>
      </c>
      <c r="O9826" t="inlineStr">
        <is>
          <t>HTH_Tnp_Tc3_2 domain-containing protein</t>
        </is>
      </c>
    </row>
    <row r="9827">
      <c r="A9827" t="inlineStr"/>
      <c r="B9827" t="inlineStr"/>
      <c r="C9827" t="inlineStr"/>
      <c r="D9827" t="inlineStr"/>
      <c r="E9827">
        <f>HYPERLINK("https://www.uniprot.org/uniprotkb/A0A3B3WEX0/entry", "A0A3B3WEX0")</f>
        <v/>
      </c>
      <c r="F9827" t="n">
        <v>37.6</v>
      </c>
      <c r="G9827" t="n">
        <v>197</v>
      </c>
      <c r="H9827" t="n">
        <v>3e-30</v>
      </c>
      <c r="I9827" t="inlineStr">
        <is>
          <t>TrEMBL</t>
        </is>
      </c>
      <c r="J9827" t="inlineStr"/>
      <c r="K9827" t="inlineStr">
        <is>
          <t>A0A3B3WEX0_9TELE</t>
        </is>
      </c>
      <c r="L9827" t="inlineStr">
        <is>
          <t>tr|A0A3B3WEX0|A0A3B3WEX0_9TELE Paired domain-containing protein OS=Poecilia mexicana OX=48701 PE=4 SV=1</t>
        </is>
      </c>
      <c r="M9827" t="n">
        <v>366</v>
      </c>
      <c r="N9827" t="inlineStr">
        <is>
          <t>Poecilia mexicana</t>
        </is>
      </c>
      <c r="O9827" t="inlineStr">
        <is>
          <t>Paired domain-containing protein</t>
        </is>
      </c>
    </row>
    <row r="9828">
      <c r="A9828" t="inlineStr"/>
      <c r="B9828" t="inlineStr"/>
      <c r="C9828" t="inlineStr"/>
      <c r="D9828" t="inlineStr"/>
      <c r="E9828">
        <f>HYPERLINK("https://www.uniprot.org/uniprotkb/A0A3Q3MWH6/entry", "A0A3Q3MWH6")</f>
        <v/>
      </c>
      <c r="F9828" t="n">
        <v>37.1</v>
      </c>
      <c r="G9828" t="n">
        <v>197</v>
      </c>
      <c r="H9828" t="n">
        <v>3.12e-30</v>
      </c>
      <c r="I9828" t="inlineStr">
        <is>
          <t>TrEMBL</t>
        </is>
      </c>
      <c r="J9828" t="inlineStr"/>
      <c r="K9828" t="inlineStr">
        <is>
          <t>A0A3Q3MWH6_9TELE</t>
        </is>
      </c>
      <c r="L9828" t="inlineStr">
        <is>
          <t>tr|A0A3Q3MWH6|A0A3Q3MWH6_9TELE Paired domain-containing protein OS=Mastacembelus armatus OX=205130 PE=4 SV=1</t>
        </is>
      </c>
      <c r="M9828" t="n">
        <v>350</v>
      </c>
      <c r="N9828" t="inlineStr">
        <is>
          <t>Mastacembelus armatus</t>
        </is>
      </c>
      <c r="O9828" t="inlineStr">
        <is>
          <t>Paired domain-containing protein</t>
        </is>
      </c>
    </row>
    <row r="9829">
      <c r="A9829" t="inlineStr"/>
      <c r="B9829" t="inlineStr"/>
      <c r="C9829" t="inlineStr"/>
      <c r="D9829" t="inlineStr"/>
      <c r="E9829">
        <f>HYPERLINK("https://www.uniprot.org/uniprotkb/A0A8B9K678/entry", "A0A8B9K678")</f>
        <v/>
      </c>
      <c r="F9829" t="n">
        <v>43.6</v>
      </c>
      <c r="G9829" t="n">
        <v>149</v>
      </c>
      <c r="H9829" t="n">
        <v>5.4e-30</v>
      </c>
      <c r="I9829" t="inlineStr">
        <is>
          <t>TrEMBL</t>
        </is>
      </c>
      <c r="J9829" t="inlineStr"/>
      <c r="K9829" t="inlineStr">
        <is>
          <t>A0A8B9K678_ASTMX</t>
        </is>
      </c>
      <c r="L9829" t="inlineStr">
        <is>
          <t>tr|A0A8B9K678|A0A8B9K678_ASTMX HTH_Tnp_Tc3_2 domain-containing protein OS=Astyanax mexicanus OX=7994 PE=4 SV=1</t>
        </is>
      </c>
      <c r="M9829" t="n">
        <v>344</v>
      </c>
      <c r="N9829" t="inlineStr">
        <is>
          <t>Astyanax mexicanus</t>
        </is>
      </c>
      <c r="O9829" t="inlineStr">
        <is>
          <t>HTH_Tnp_Tc3_2 domain-containing protein</t>
        </is>
      </c>
    </row>
    <row r="9830">
      <c r="A9830" t="inlineStr"/>
      <c r="B9830" t="inlineStr"/>
      <c r="C9830" t="inlineStr"/>
      <c r="D9830" t="inlineStr"/>
      <c r="E9830">
        <f>HYPERLINK("https://www.uniprot.org/uniprotkb/A0A4S2JFF6/entry", "A0A4S2JFF6")</f>
        <v/>
      </c>
      <c r="F9830" t="n">
        <v>35.8</v>
      </c>
      <c r="G9830" t="n">
        <v>204</v>
      </c>
      <c r="H9830" t="n">
        <v>8.98e-30</v>
      </c>
      <c r="I9830" t="inlineStr">
        <is>
          <t>TrEMBL</t>
        </is>
      </c>
      <c r="J9830" t="inlineStr">
        <is>
          <t>DBV15_11617</t>
        </is>
      </c>
      <c r="K9830" t="inlineStr">
        <is>
          <t>A0A4S2JFF6_9HYME</t>
        </is>
      </c>
      <c r="L9830" t="inlineStr">
        <is>
          <t>tr|A0A4S2JFF6|A0A4S2JFF6_9HYME HTH_Tnp_Tc3_2 domain-containing protein OS=Temnothorax longispinosus OX=300112 GN=DBV15_11617 PE=4 SV=1</t>
        </is>
      </c>
      <c r="M9830" t="n">
        <v>372</v>
      </c>
      <c r="N9830" t="inlineStr">
        <is>
          <t>Temnothorax longispinosus</t>
        </is>
      </c>
      <c r="O9830" t="inlineStr">
        <is>
          <t>HTH_Tnp_Tc3_2 domain-containing protein</t>
        </is>
      </c>
    </row>
    <row r="9831">
      <c r="A9831" t="inlineStr"/>
      <c r="B9831" t="inlineStr"/>
      <c r="C9831" t="inlineStr"/>
      <c r="D9831" t="inlineStr"/>
      <c r="E9831">
        <f>HYPERLINK("https://www.ncbi.nlm.nih.gov/gene/?term=TGZ34260.1", "TGZ34260.1")</f>
        <v/>
      </c>
      <c r="F9831" t="n">
        <v>35.8</v>
      </c>
      <c r="G9831" t="n">
        <v>204</v>
      </c>
      <c r="H9831" t="n">
        <v>2.31e-29</v>
      </c>
      <c r="I9831" t="inlineStr">
        <is>
          <t>Nr</t>
        </is>
      </c>
      <c r="J9831" t="inlineStr"/>
      <c r="K9831" t="inlineStr"/>
      <c r="L9831" t="inlineStr">
        <is>
          <t>TGZ34260.1 hypothetical protein DBV15_11617 [Temnothorax longispinosus]</t>
        </is>
      </c>
      <c r="M9831" t="n">
        <v>372</v>
      </c>
      <c r="N9831" t="inlineStr">
        <is>
          <t>Temnothorax longispinosus</t>
        </is>
      </c>
      <c r="O9831" t="inlineStr">
        <is>
          <t>hypothetical protein DBV15_11617</t>
        </is>
      </c>
    </row>
    <row r="9832">
      <c r="A9832" t="inlineStr"/>
      <c r="B9832" t="inlineStr"/>
      <c r="C9832" t="inlineStr"/>
      <c r="D9832" t="inlineStr"/>
      <c r="E9832">
        <f>HYPERLINK("https://www.ncbi.nlm.nih.gov/gene/?term=WP_187791319.1", "WP_187791319.1")</f>
        <v/>
      </c>
      <c r="F9832" t="n">
        <v>43.2</v>
      </c>
      <c r="G9832" t="n">
        <v>146</v>
      </c>
      <c r="H9832" t="n">
        <v>3.96e-29</v>
      </c>
      <c r="I9832" t="inlineStr">
        <is>
          <t>Nr</t>
        </is>
      </c>
      <c r="J9832" t="inlineStr"/>
      <c r="K9832" t="inlineStr"/>
      <c r="L9832" t="inlineStr">
        <is>
          <t>WP_187791319.1 transposase, partial [Salmonella sp. S090_02723]</t>
        </is>
      </c>
      <c r="M9832" t="n">
        <v>226</v>
      </c>
      <c r="N9832" t="inlineStr">
        <is>
          <t>Salmonella sp. S090_02723</t>
        </is>
      </c>
      <c r="O9832" t="inlineStr">
        <is>
          <t>transposase, partial</t>
        </is>
      </c>
    </row>
    <row r="9833">
      <c r="A9833" t="inlineStr"/>
      <c r="B9833" t="inlineStr"/>
      <c r="C9833" t="inlineStr"/>
      <c r="D9833" t="inlineStr"/>
      <c r="E9833">
        <f>HYPERLINK("https://www.ncbi.nlm.nih.gov/gene/?term=XP_049458792.1", "XP_049458792.1")</f>
        <v/>
      </c>
      <c r="F9833" t="n">
        <v>37.1</v>
      </c>
      <c r="G9833" t="n">
        <v>197</v>
      </c>
      <c r="H9833" t="n">
        <v>4.99e-29</v>
      </c>
      <c r="I9833" t="inlineStr">
        <is>
          <t>Nr</t>
        </is>
      </c>
      <c r="J9833" t="inlineStr"/>
      <c r="K9833" t="inlineStr"/>
      <c r="L9833" t="inlineStr">
        <is>
          <t>XP_049458792.1 aryl hydrocarbon receptor nuclear translocator 2 isoform X1 [Epinephelus fuscoguttatus]</t>
        </is>
      </c>
      <c r="M9833" t="n">
        <v>744</v>
      </c>
      <c r="N9833" t="inlineStr">
        <is>
          <t>Epinephelus fuscoguttatus</t>
        </is>
      </c>
      <c r="O9833" t="inlineStr">
        <is>
          <t>aryl hydrocarbon receptor nuclear translocator 2 isoform X1</t>
        </is>
      </c>
    </row>
    <row r="9834">
      <c r="A9834" t="inlineStr"/>
      <c r="B9834" t="inlineStr"/>
      <c r="C9834" t="inlineStr"/>
      <c r="D9834" t="inlineStr"/>
      <c r="E9834">
        <f>HYPERLINK("https://www.ncbi.nlm.nih.gov/gene/?term=KAI5109326.1", "KAI5109326.1")</f>
        <v/>
      </c>
      <c r="F9834" t="n">
        <v>36.5</v>
      </c>
      <c r="G9834" t="n">
        <v>197</v>
      </c>
      <c r="H9834" t="n">
        <v>7.26e-29</v>
      </c>
      <c r="I9834" t="inlineStr">
        <is>
          <t>Nr</t>
        </is>
      </c>
      <c r="J9834" t="inlineStr"/>
      <c r="K9834" t="inlineStr"/>
      <c r="L9834" t="inlineStr">
        <is>
          <t>KAI5109326.1 hypothetical protein C0J45_0723, partial [Silurus meridionalis]</t>
        </is>
      </c>
      <c r="M9834" t="n">
        <v>344</v>
      </c>
      <c r="N9834" t="inlineStr">
        <is>
          <t>Silurus meridionalis</t>
        </is>
      </c>
      <c r="O9834" t="inlineStr">
        <is>
          <t>hypothetical protein C0J45_0723, partial</t>
        </is>
      </c>
    </row>
    <row r="9835">
      <c r="A9835" t="inlineStr"/>
      <c r="B9835" t="inlineStr"/>
      <c r="C9835" t="inlineStr"/>
      <c r="D9835" t="inlineStr"/>
      <c r="E9835">
        <f>HYPERLINK("https://www.ncbi.nlm.nih.gov/gene/?term=KAF0046089.1", "KAF0046089.1")</f>
        <v/>
      </c>
      <c r="F9835" t="n">
        <v>36.9</v>
      </c>
      <c r="G9835" t="n">
        <v>206</v>
      </c>
      <c r="H9835" t="n">
        <v>1.14e-28</v>
      </c>
      <c r="I9835" t="inlineStr">
        <is>
          <t>Nr</t>
        </is>
      </c>
      <c r="J9835" t="inlineStr"/>
      <c r="K9835" t="inlineStr"/>
      <c r="L9835" t="inlineStr">
        <is>
          <t>KAF0046089.1 hypothetical protein F2P81_002618 [Scophthalmus maximus]</t>
        </is>
      </c>
      <c r="M9835" t="n">
        <v>433</v>
      </c>
      <c r="N9835" t="inlineStr">
        <is>
          <t>Scophthalmus maximus</t>
        </is>
      </c>
      <c r="O9835" t="inlineStr">
        <is>
          <t>hypothetical protein F2P81_002618</t>
        </is>
      </c>
    </row>
    <row r="9836">
      <c r="A9836" t="inlineStr"/>
      <c r="B9836" t="inlineStr"/>
      <c r="C9836" t="inlineStr"/>
      <c r="D9836" t="inlineStr"/>
      <c r="E9836">
        <f>HYPERLINK("https://www.ncbi.nlm.nih.gov/gene/?term=KAI5706979.1", "KAI5706979.1")</f>
        <v/>
      </c>
      <c r="F9836" t="n">
        <v>37.8</v>
      </c>
      <c r="G9836" t="n">
        <v>196</v>
      </c>
      <c r="H9836" t="n">
        <v>1.49e-28</v>
      </c>
      <c r="I9836" t="inlineStr">
        <is>
          <t>Nr</t>
        </is>
      </c>
      <c r="J9836" t="inlineStr"/>
      <c r="K9836" t="inlineStr"/>
      <c r="L9836" t="inlineStr">
        <is>
          <t>KAI5706979.1 hypothetical protein M8J75_013076 [Diaphorina citri]</t>
        </is>
      </c>
      <c r="M9836" t="n">
        <v>347</v>
      </c>
      <c r="N9836" t="inlineStr">
        <is>
          <t>Diaphorina citri</t>
        </is>
      </c>
      <c r="O9836" t="inlineStr">
        <is>
          <t>hypothetical protein M8J75_013076</t>
        </is>
      </c>
    </row>
    <row r="9837">
      <c r="A9837" t="inlineStr"/>
      <c r="B9837" t="inlineStr"/>
      <c r="C9837" t="inlineStr"/>
      <c r="D9837" t="inlineStr"/>
      <c r="E9837">
        <f>HYPERLINK("https://www.ncbi.nlm.nih.gov/gene/?term=KMQ83189.1", "KMQ83189.1")</f>
        <v/>
      </c>
      <c r="F9837" t="n">
        <v>36.9</v>
      </c>
      <c r="G9837" t="n">
        <v>179</v>
      </c>
      <c r="H9837" t="n">
        <v>5.77e-28</v>
      </c>
      <c r="I9837" t="inlineStr">
        <is>
          <t>Nr</t>
        </is>
      </c>
      <c r="J9837" t="inlineStr"/>
      <c r="K9837" t="inlineStr"/>
      <c r="L9837" t="inlineStr">
        <is>
          <t>KMQ83189.1 paired box protein and transposase domain containing protein [Lasius niger]</t>
        </is>
      </c>
      <c r="M9837" t="n">
        <v>349</v>
      </c>
      <c r="N9837" t="inlineStr">
        <is>
          <t>Lasius niger</t>
        </is>
      </c>
      <c r="O9837" t="inlineStr">
        <is>
          <t>paired box protein and transposase domain containing protein</t>
        </is>
      </c>
    </row>
    <row r="9838">
      <c r="A9838" t="inlineStr"/>
      <c r="B9838" t="inlineStr"/>
      <c r="C9838" t="inlineStr"/>
      <c r="D9838" t="inlineStr"/>
      <c r="E9838">
        <f>HYPERLINK("https://www.ncbi.nlm.nih.gov/gene/?term=KAI3361748.1", "KAI3361748.1")</f>
        <v/>
      </c>
      <c r="F9838" t="n">
        <v>53.6</v>
      </c>
      <c r="G9838" t="n">
        <v>112</v>
      </c>
      <c r="H9838" t="n">
        <v>1.1e-27</v>
      </c>
      <c r="I9838" t="inlineStr">
        <is>
          <t>Nr</t>
        </is>
      </c>
      <c r="J9838" t="inlineStr"/>
      <c r="K9838" t="inlineStr"/>
      <c r="L9838" t="inlineStr">
        <is>
          <t>KAI3361748.1 hypothetical protein L3Q82_001957 [Scortum barcoo]</t>
        </is>
      </c>
      <c r="M9838" t="n">
        <v>776</v>
      </c>
      <c r="N9838" t="inlineStr">
        <is>
          <t>Scortum barcoo</t>
        </is>
      </c>
      <c r="O9838" t="inlineStr">
        <is>
          <t>hypothetical protein L3Q82_001957</t>
        </is>
      </c>
    </row>
    <row r="9839">
      <c r="A9839" t="inlineStr"/>
      <c r="B9839" t="inlineStr"/>
      <c r="C9839" t="inlineStr"/>
      <c r="D9839" t="inlineStr"/>
      <c r="E9839">
        <f>HYPERLINK("https://www.ncbi.nlm.nih.gov/gene/?term=PIC37922.1", "PIC37922.1")</f>
        <v/>
      </c>
      <c r="F9839" t="n">
        <v>37.9</v>
      </c>
      <c r="G9839" t="n">
        <v>177</v>
      </c>
      <c r="H9839" t="n">
        <v>9.870000000000001e-27</v>
      </c>
      <c r="I9839" t="inlineStr">
        <is>
          <t>Nr</t>
        </is>
      </c>
      <c r="J9839" t="inlineStr"/>
      <c r="K9839" t="inlineStr"/>
      <c r="L9839" t="inlineStr">
        <is>
          <t>PIC37922.1 hypothetical protein B9Z55_010100 [Caenorhabditis nigoni]</t>
        </is>
      </c>
      <c r="M9839" t="n">
        <v>342</v>
      </c>
      <c r="N9839" t="inlineStr">
        <is>
          <t>Caenorhabditis nigoni</t>
        </is>
      </c>
      <c r="O9839" t="inlineStr">
        <is>
          <t>hypothetical protein B9Z55_010100</t>
        </is>
      </c>
    </row>
    <row r="9840">
      <c r="A9840" t="inlineStr"/>
      <c r="B9840" t="inlineStr"/>
      <c r="C9840" t="inlineStr"/>
      <c r="D9840" t="inlineStr"/>
      <c r="E9840">
        <f>HYPERLINK("https://www.ncbi.nlm.nih.gov/gene/?term=PIC37923.1", "PIC37923.1")</f>
        <v/>
      </c>
      <c r="F9840" t="n">
        <v>37.9</v>
      </c>
      <c r="G9840" t="n">
        <v>177</v>
      </c>
      <c r="H9840" t="n">
        <v>1.71e-26</v>
      </c>
      <c r="I9840" t="inlineStr">
        <is>
          <t>Nr</t>
        </is>
      </c>
      <c r="J9840" t="inlineStr"/>
      <c r="K9840" t="inlineStr"/>
      <c r="L9840" t="inlineStr">
        <is>
          <t>PIC37923.1 hypothetical protein B9Z55_010100 [Caenorhabditis nigoni]</t>
        </is>
      </c>
      <c r="M9840" t="n">
        <v>375</v>
      </c>
      <c r="N9840" t="inlineStr">
        <is>
          <t>Caenorhabditis nigoni</t>
        </is>
      </c>
      <c r="O9840" t="inlineStr">
        <is>
          <t>hypothetical protein B9Z55_010100</t>
        </is>
      </c>
    </row>
    <row r="9841">
      <c r="A9841" t="inlineStr"/>
      <c r="B9841" t="inlineStr"/>
      <c r="C9841" t="inlineStr"/>
      <c r="D9841" t="inlineStr"/>
      <c r="E9841">
        <f>HYPERLINK("https://www.ncbi.nlm.nih.gov/gene/?term=MBN3285256.1", "MBN3285256.1")</f>
        <v/>
      </c>
      <c r="F9841" t="n">
        <v>46.8</v>
      </c>
      <c r="G9841" t="n">
        <v>126</v>
      </c>
      <c r="H9841" t="n">
        <v>3.31e-26</v>
      </c>
      <c r="I9841" t="inlineStr">
        <is>
          <t>Nr</t>
        </is>
      </c>
      <c r="J9841" t="inlineStr"/>
      <c r="K9841" t="inlineStr"/>
      <c r="L9841" t="inlineStr">
        <is>
          <t>MBN3285256.1 TC1A transposase [Polyodon spathula]</t>
        </is>
      </c>
      <c r="M9841" t="n">
        <v>285</v>
      </c>
      <c r="N9841" t="inlineStr">
        <is>
          <t>Polyodon spathula</t>
        </is>
      </c>
      <c r="O9841" t="inlineStr">
        <is>
          <t>TC1A transposase</t>
        </is>
      </c>
    </row>
    <row r="9842">
      <c r="A9842" t="inlineStr"/>
      <c r="B9842" t="inlineStr"/>
      <c r="C9842" t="inlineStr"/>
      <c r="D9842" t="inlineStr"/>
      <c r="E9842">
        <f>HYPERLINK("https://www.uniprot.org/uniprotkb/P03934/entry", "P03934")</f>
        <v/>
      </c>
      <c r="F9842" t="n">
        <v>33.8</v>
      </c>
      <c r="G9842" t="n">
        <v>148</v>
      </c>
      <c r="H9842" t="n">
        <v>1.8e-21</v>
      </c>
      <c r="I9842" t="inlineStr">
        <is>
          <t>Swiss-Prot</t>
        </is>
      </c>
      <c r="J9842" t="inlineStr">
        <is>
          <t>tc1a</t>
        </is>
      </c>
      <c r="K9842" t="inlineStr">
        <is>
          <t>TC1A_CAEEL</t>
        </is>
      </c>
      <c r="L9842" t="inlineStr">
        <is>
          <t>sp|P03934|TC1A_CAEEL Transposable element Tc1 transposase OS=Caenorhabditis elegans OX=6239 GN=tc1a PE=3 SV=1</t>
        </is>
      </c>
      <c r="M9842" t="n">
        <v>273</v>
      </c>
      <c r="N9842" t="inlineStr">
        <is>
          <t>Caenorhabditis elegans</t>
        </is>
      </c>
      <c r="O9842" t="inlineStr">
        <is>
          <t>Transposable element Tc1 transposase</t>
        </is>
      </c>
    </row>
    <row r="9843">
      <c r="A9843" t="inlineStr"/>
      <c r="B9843" t="inlineStr"/>
      <c r="C9843" t="inlineStr"/>
      <c r="D9843" t="inlineStr"/>
      <c r="E9843">
        <f>HYPERLINK("https://www.uniprot.org/uniprotkb/P35072/entry", "P35072")</f>
        <v/>
      </c>
      <c r="F9843" t="n">
        <v>40.7</v>
      </c>
      <c r="G9843" t="n">
        <v>108</v>
      </c>
      <c r="H9843" t="n">
        <v>5.53e-18</v>
      </c>
      <c r="I9843" t="inlineStr">
        <is>
          <t>Swiss-Prot</t>
        </is>
      </c>
      <c r="J9843" t="inlineStr"/>
      <c r="K9843" t="inlineStr">
        <is>
          <t>TCB1_CAEBR</t>
        </is>
      </c>
      <c r="L9843" t="inlineStr">
        <is>
          <t>sp|P35072|TCB1_CAEBR Transposable element Tcb1 transposase OS=Caenorhabditis briggsae OX=6238 PE=3 SV=1</t>
        </is>
      </c>
      <c r="M9843" t="n">
        <v>273</v>
      </c>
      <c r="N9843" t="inlineStr">
        <is>
          <t>Caenorhabditis briggsae</t>
        </is>
      </c>
      <c r="O9843" t="inlineStr">
        <is>
          <t>Transposable element Tcb1 transposase</t>
        </is>
      </c>
    </row>
    <row r="9844">
      <c r="A9844" t="inlineStr"/>
      <c r="B9844" t="inlineStr"/>
      <c r="C9844" t="inlineStr"/>
      <c r="D9844" t="inlineStr"/>
      <c r="E9844">
        <f>HYPERLINK("https://www.uniprot.org/uniprotkb/Q04202/entry", "Q04202")</f>
        <v/>
      </c>
      <c r="F9844" t="n">
        <v>36.1</v>
      </c>
      <c r="G9844" t="n">
        <v>144</v>
      </c>
      <c r="H9844" t="n">
        <v>2.71e-17</v>
      </c>
      <c r="I9844" t="inlineStr">
        <is>
          <t>Swiss-Prot</t>
        </is>
      </c>
      <c r="J9844" t="inlineStr"/>
      <c r="K9844" t="inlineStr">
        <is>
          <t>TCB2_CAEBR</t>
        </is>
      </c>
      <c r="L9844" t="inlineStr">
        <is>
          <t>sp|Q04202|TCB2_CAEBR Transposable element Tcb2 transposase OS=Caenorhabditis briggsae OX=6238 PE=3 SV=1</t>
        </is>
      </c>
      <c r="M9844" t="n">
        <v>273</v>
      </c>
      <c r="N9844" t="inlineStr">
        <is>
          <t>Caenorhabditis briggsae</t>
        </is>
      </c>
      <c r="O9844" t="inlineStr">
        <is>
          <t>Transposable element Tcb2 transposase</t>
        </is>
      </c>
    </row>
    <row r="9845">
      <c r="A9845" t="inlineStr">
        <is>
          <t>NODE_89709_length_1861_cov_553.575808_g21032_i1</t>
        </is>
      </c>
      <c r="B9845" t="inlineStr">
        <is>
          <t>bombina_pachypus_blastx</t>
        </is>
      </c>
      <c r="C9845" t="n">
        <v>-9.303815000056099</v>
      </c>
      <c r="D9845" t="n">
        <v>0.0001474560222763</v>
      </c>
      <c r="E9845">
        <f>HYPERLINK("https://www.ncbi.nlm.nih.gov/gene/?term=XP_053325043.1", "XP_053325043.1")</f>
        <v/>
      </c>
      <c r="F9845" t="n">
        <v>75.5</v>
      </c>
      <c r="G9845" t="n">
        <v>204</v>
      </c>
      <c r="H9845" t="n">
        <v>1.67e-102</v>
      </c>
      <c r="I9845" t="inlineStr">
        <is>
          <t>Nr</t>
        </is>
      </c>
      <c r="J9845" t="inlineStr"/>
      <c r="K9845" t="inlineStr"/>
      <c r="L9845" t="inlineStr">
        <is>
          <t>XP_053325043.1 cytochrome P450 2D15-like [Spea bombifrons]</t>
        </is>
      </c>
      <c r="M9845" t="n">
        <v>509</v>
      </c>
      <c r="N9845" t="inlineStr">
        <is>
          <t>Spea bombifrons</t>
        </is>
      </c>
      <c r="O9845" t="inlineStr">
        <is>
          <t>cytochrome P450 2D15-like</t>
        </is>
      </c>
    </row>
    <row r="9846">
      <c r="A9846" t="inlineStr"/>
      <c r="B9846" t="inlineStr"/>
      <c r="C9846" t="inlineStr"/>
      <c r="D9846" t="inlineStr"/>
      <c r="E9846">
        <f>HYPERLINK("https://www.uniprot.org/uniprotkb/A0A8C5Q9W5/entry", "A0A8C5Q9W5")</f>
        <v/>
      </c>
      <c r="F9846" t="n">
        <v>70.7</v>
      </c>
      <c r="G9846" t="n">
        <v>208</v>
      </c>
      <c r="H9846" t="n">
        <v>1.58e-100</v>
      </c>
      <c r="I9846" t="inlineStr">
        <is>
          <t>TrEMBL</t>
        </is>
      </c>
      <c r="J9846" t="inlineStr"/>
      <c r="K9846" t="inlineStr">
        <is>
          <t>A0A8C5Q9W5_9ANUR</t>
        </is>
      </c>
      <c r="L9846" t="inlineStr">
        <is>
          <t>tr|A0A8C5Q9W5|A0A8C5Q9W5_9ANUR Cytochrome P450 OS=Leptobrachium leishanense OX=445787 PE=3 SV=1</t>
        </is>
      </c>
      <c r="M9846" t="n">
        <v>507</v>
      </c>
      <c r="N9846" t="inlineStr">
        <is>
          <t>Leptobrachium leishanense</t>
        </is>
      </c>
      <c r="O9846" t="inlineStr">
        <is>
          <t>Cytochrome P450</t>
        </is>
      </c>
    </row>
    <row r="9847">
      <c r="A9847" t="inlineStr"/>
      <c r="B9847" t="inlineStr"/>
      <c r="C9847" t="inlineStr"/>
      <c r="D9847" t="inlineStr"/>
      <c r="E9847">
        <f>HYPERLINK("https://www.ncbi.nlm.nih.gov/gene/?term=XP_053325042.1", "XP_053325042.1")</f>
        <v/>
      </c>
      <c r="F9847" t="n">
        <v>74.5</v>
      </c>
      <c r="G9847" t="n">
        <v>204</v>
      </c>
      <c r="H9847" t="n">
        <v>4.3e-100</v>
      </c>
      <c r="I9847" t="inlineStr">
        <is>
          <t>Nr</t>
        </is>
      </c>
      <c r="J9847" t="inlineStr"/>
      <c r="K9847" t="inlineStr"/>
      <c r="L9847" t="inlineStr">
        <is>
          <t>XP_053325042.1 cytochrome P450 2D15-like [Spea bombifrons]</t>
        </is>
      </c>
      <c r="M9847" t="n">
        <v>509</v>
      </c>
      <c r="N9847" t="inlineStr">
        <is>
          <t>Spea bombifrons</t>
        </is>
      </c>
      <c r="O9847" t="inlineStr">
        <is>
          <t>cytochrome P450 2D15-like</t>
        </is>
      </c>
    </row>
    <row r="9848">
      <c r="A9848" t="inlineStr"/>
      <c r="B9848" t="inlineStr"/>
      <c r="C9848" t="inlineStr"/>
      <c r="D9848" t="inlineStr"/>
      <c r="E9848">
        <f>HYPERLINK("https://www.uniprot.org/uniprotkb/A0A8C5QBF5/entry", "A0A8C5QBF5")</f>
        <v/>
      </c>
      <c r="F9848" t="n">
        <v>71.59999999999999</v>
      </c>
      <c r="G9848" t="n">
        <v>208</v>
      </c>
      <c r="H9848" t="n">
        <v>5.07e-99</v>
      </c>
      <c r="I9848" t="inlineStr">
        <is>
          <t>TrEMBL</t>
        </is>
      </c>
      <c r="J9848" t="inlineStr"/>
      <c r="K9848" t="inlineStr">
        <is>
          <t>A0A8C5QBF5_9ANUR</t>
        </is>
      </c>
      <c r="L9848" t="inlineStr">
        <is>
          <t>tr|A0A8C5QBF5|A0A8C5QBF5_9ANUR Cytochrome P450 OS=Leptobrachium leishanense OX=445787 PE=3 SV=1</t>
        </is>
      </c>
      <c r="M9848" t="n">
        <v>507</v>
      </c>
      <c r="N9848" t="inlineStr">
        <is>
          <t>Leptobrachium leishanense</t>
        </is>
      </c>
      <c r="O9848" t="inlineStr">
        <is>
          <t>Cytochrome P450</t>
        </is>
      </c>
    </row>
    <row r="9849">
      <c r="A9849" t="inlineStr"/>
      <c r="B9849" t="inlineStr"/>
      <c r="C9849" t="inlineStr"/>
      <c r="D9849" t="inlineStr"/>
      <c r="E9849">
        <f>HYPERLINK("https://www.uniprot.org/uniprotkb/A0A8C5Q9A6/entry", "A0A8C5Q9A6")</f>
        <v/>
      </c>
      <c r="F9849" t="n">
        <v>70.7</v>
      </c>
      <c r="G9849" t="n">
        <v>208</v>
      </c>
      <c r="H9849" t="n">
        <v>5.07e-99</v>
      </c>
      <c r="I9849" t="inlineStr">
        <is>
          <t>TrEMBL</t>
        </is>
      </c>
      <c r="J9849" t="inlineStr"/>
      <c r="K9849" t="inlineStr">
        <is>
          <t>A0A8C5Q9A6_9ANUR</t>
        </is>
      </c>
      <c r="L9849" t="inlineStr">
        <is>
          <t>tr|A0A8C5Q9A6|A0A8C5Q9A6_9ANUR Cytochrome P450 2J6-like OS=Leptobrachium leishanense OX=445787 PE=3 SV=1</t>
        </is>
      </c>
      <c r="M9849" t="n">
        <v>507</v>
      </c>
      <c r="N9849" t="inlineStr">
        <is>
          <t>Leptobrachium leishanense</t>
        </is>
      </c>
      <c r="O9849" t="inlineStr">
        <is>
          <t>Cytochrome P450 2J6-like</t>
        </is>
      </c>
    </row>
    <row r="9850">
      <c r="A9850" t="inlineStr"/>
      <c r="B9850" t="inlineStr"/>
      <c r="C9850" t="inlineStr"/>
      <c r="D9850" t="inlineStr"/>
      <c r="E9850">
        <f>HYPERLINK("https://www.uniprot.org/uniprotkb/A0A8C5Q9S5/entry", "A0A8C5Q9S5")</f>
        <v/>
      </c>
      <c r="F9850" t="n">
        <v>69.7</v>
      </c>
      <c r="G9850" t="n">
        <v>208</v>
      </c>
      <c r="H9850" t="n">
        <v>2.03e-98</v>
      </c>
      <c r="I9850" t="inlineStr">
        <is>
          <t>TrEMBL</t>
        </is>
      </c>
      <c r="J9850" t="inlineStr"/>
      <c r="K9850" t="inlineStr">
        <is>
          <t>A0A8C5Q9S5_9ANUR</t>
        </is>
      </c>
      <c r="L9850" t="inlineStr">
        <is>
          <t>tr|A0A8C5Q9S5|A0A8C5Q9S5_9ANUR Cytochrome P450 OS=Leptobrachium leishanense OX=445787 PE=3 SV=1</t>
        </is>
      </c>
      <c r="M9850" t="n">
        <v>507</v>
      </c>
      <c r="N9850" t="inlineStr">
        <is>
          <t>Leptobrachium leishanense</t>
        </is>
      </c>
      <c r="O9850" t="inlineStr">
        <is>
          <t>Cytochrome P450</t>
        </is>
      </c>
    </row>
    <row r="9851">
      <c r="A9851" t="inlineStr"/>
      <c r="B9851" t="inlineStr"/>
      <c r="C9851" t="inlineStr"/>
      <c r="D9851" t="inlineStr"/>
      <c r="E9851">
        <f>HYPERLINK("https://www.ncbi.nlm.nih.gov/gene/?term=XP_044157466.1", "XP_044157466.1")</f>
        <v/>
      </c>
      <c r="F9851" t="n">
        <v>70.7</v>
      </c>
      <c r="G9851" t="n">
        <v>208</v>
      </c>
      <c r="H9851" t="n">
        <v>4.4e-98</v>
      </c>
      <c r="I9851" t="inlineStr">
        <is>
          <t>Nr</t>
        </is>
      </c>
      <c r="J9851" t="inlineStr"/>
      <c r="K9851" t="inlineStr"/>
      <c r="L9851" t="inlineStr">
        <is>
          <t>XP_044157466.1 cytochrome P450 2D14 [Bufo gargarizans]</t>
        </is>
      </c>
      <c r="M9851" t="n">
        <v>501</v>
      </c>
      <c r="N9851" t="inlineStr">
        <is>
          <t>Bufo gargarizans</t>
        </is>
      </c>
      <c r="O9851" t="inlineStr">
        <is>
          <t>cytochrome P450 2D14</t>
        </is>
      </c>
    </row>
    <row r="9852">
      <c r="A9852" t="inlineStr"/>
      <c r="B9852" t="inlineStr"/>
      <c r="C9852" t="inlineStr"/>
      <c r="D9852" t="inlineStr"/>
      <c r="E9852">
        <f>HYPERLINK("https://www.uniprot.org/uniprotkb/A0A8J6K972/entry", "A0A8J6K972")</f>
        <v/>
      </c>
      <c r="F9852" t="n">
        <v>67.8</v>
      </c>
      <c r="G9852" t="n">
        <v>208</v>
      </c>
      <c r="H9852" t="n">
        <v>1.06e-97</v>
      </c>
      <c r="I9852" t="inlineStr">
        <is>
          <t>TrEMBL</t>
        </is>
      </c>
      <c r="J9852" t="inlineStr">
        <is>
          <t>GDO78_009615</t>
        </is>
      </c>
      <c r="K9852" t="inlineStr">
        <is>
          <t>A0A8J6K972_ELECQ</t>
        </is>
      </c>
      <c r="L9852" t="inlineStr">
        <is>
          <t>tr|A0A8J6K972|A0A8J6K972_ELECQ Cytochrome P450 2J6 OS=Eleutherodactylus coqui OX=57060 GN=GDO78_009615 PE=3 SV=1</t>
        </is>
      </c>
      <c r="M9852" t="n">
        <v>492</v>
      </c>
      <c r="N9852" t="inlineStr">
        <is>
          <t>Eleutherodactylus coqui</t>
        </is>
      </c>
      <c r="O9852" t="inlineStr">
        <is>
          <t>Cytochrome P450 2J6</t>
        </is>
      </c>
    </row>
    <row r="9853">
      <c r="A9853" t="inlineStr"/>
      <c r="B9853" t="inlineStr"/>
      <c r="C9853" t="inlineStr"/>
      <c r="D9853" t="inlineStr"/>
      <c r="E9853">
        <f>HYPERLINK("https://www.ncbi.nlm.nih.gov/gene/?term=KAG9483786.1", "KAG9483786.1")</f>
        <v/>
      </c>
      <c r="F9853" t="n">
        <v>67.8</v>
      </c>
      <c r="G9853" t="n">
        <v>208</v>
      </c>
      <c r="H9853" t="n">
        <v>2.73e-97</v>
      </c>
      <c r="I9853" t="inlineStr">
        <is>
          <t>Nr</t>
        </is>
      </c>
      <c r="J9853" t="inlineStr"/>
      <c r="K9853" t="inlineStr"/>
      <c r="L9853" t="inlineStr">
        <is>
          <t>KAG9483786.1 hypothetical protein GDO78_009615 [Eleutherodactylus coqui]</t>
        </is>
      </c>
      <c r="M9853" t="n">
        <v>492</v>
      </c>
      <c r="N9853" t="inlineStr">
        <is>
          <t>Eleutherodactylus coqui</t>
        </is>
      </c>
      <c r="O9853" t="inlineStr">
        <is>
          <t>hypothetical protein GDO78_009615</t>
        </is>
      </c>
    </row>
    <row r="9854">
      <c r="A9854" t="inlineStr"/>
      <c r="B9854" t="inlineStr"/>
      <c r="C9854" t="inlineStr"/>
      <c r="D9854" t="inlineStr"/>
      <c r="E9854">
        <f>HYPERLINK("https://www.ncbi.nlm.nih.gov/gene/?term=XP_040263277.1", "XP_040263277.1")</f>
        <v/>
      </c>
      <c r="F9854" t="n">
        <v>70.2</v>
      </c>
      <c r="G9854" t="n">
        <v>208</v>
      </c>
      <c r="H9854" t="n">
        <v>3.52e-97</v>
      </c>
      <c r="I9854" t="inlineStr">
        <is>
          <t>Nr</t>
        </is>
      </c>
      <c r="J9854" t="inlineStr"/>
      <c r="K9854" t="inlineStr"/>
      <c r="L9854" t="inlineStr">
        <is>
          <t>XP_040263277.1 cytochrome P450 2D14-like [Bufo bufo]</t>
        </is>
      </c>
      <c r="M9854" t="n">
        <v>501</v>
      </c>
      <c r="N9854" t="inlineStr">
        <is>
          <t>Bufo bufo</t>
        </is>
      </c>
      <c r="O9854" t="inlineStr">
        <is>
          <t>cytochrome P450 2D14-like</t>
        </is>
      </c>
    </row>
    <row r="9855">
      <c r="A9855" t="inlineStr"/>
      <c r="B9855" t="inlineStr"/>
      <c r="C9855" t="inlineStr"/>
      <c r="D9855" t="inlineStr"/>
      <c r="E9855">
        <f>HYPERLINK("https://www.ncbi.nlm.nih.gov/gene/?term=XP_040215561.1", "XP_040215561.1")</f>
        <v/>
      </c>
      <c r="F9855" t="n">
        <v>69.59999999999999</v>
      </c>
      <c r="G9855" t="n">
        <v>207</v>
      </c>
      <c r="H9855" t="n">
        <v>2.05e-96</v>
      </c>
      <c r="I9855" t="inlineStr">
        <is>
          <t>Nr</t>
        </is>
      </c>
      <c r="J9855" t="inlineStr"/>
      <c r="K9855" t="inlineStr"/>
      <c r="L9855" t="inlineStr">
        <is>
          <t>XP_040215561.1 cytochrome P450 2D6 [Rana temporaria]</t>
        </is>
      </c>
      <c r="M9855" t="n">
        <v>502</v>
      </c>
      <c r="N9855" t="inlineStr">
        <is>
          <t>Rana temporaria</t>
        </is>
      </c>
      <c r="O9855" t="inlineStr">
        <is>
          <t>cytochrome P450 2D6</t>
        </is>
      </c>
    </row>
    <row r="9856">
      <c r="A9856" t="inlineStr"/>
      <c r="B9856" t="inlineStr"/>
      <c r="C9856" t="inlineStr"/>
      <c r="D9856" t="inlineStr"/>
      <c r="E9856">
        <f>HYPERLINK("https://www.ncbi.nlm.nih.gov/gene/?term=KAG8556512.1", "KAG8556512.1")</f>
        <v/>
      </c>
      <c r="F9856" t="n">
        <v>67.3</v>
      </c>
      <c r="G9856" t="n">
        <v>208</v>
      </c>
      <c r="H9856" t="n">
        <v>8.6e-95</v>
      </c>
      <c r="I9856" t="inlineStr">
        <is>
          <t>Nr</t>
        </is>
      </c>
      <c r="J9856" t="inlineStr"/>
      <c r="K9856" t="inlineStr"/>
      <c r="L9856" t="inlineStr">
        <is>
          <t>KAG8556512.1 hypothetical protein GDO81_018102 [Engystomops pustulosus]</t>
        </is>
      </c>
      <c r="M9856" t="n">
        <v>487</v>
      </c>
      <c r="N9856" t="inlineStr">
        <is>
          <t>Engystomops pustulosus</t>
        </is>
      </c>
      <c r="O9856" t="inlineStr">
        <is>
          <t>hypothetical protein GDO81_018102</t>
        </is>
      </c>
    </row>
    <row r="9857">
      <c r="A9857" t="inlineStr"/>
      <c r="B9857" t="inlineStr"/>
      <c r="C9857" t="inlineStr"/>
      <c r="D9857" t="inlineStr"/>
      <c r="E9857">
        <f>HYPERLINK("https://www.ncbi.nlm.nih.gov/gene/?term=XP_029446140.1", "XP_029446140.1")</f>
        <v/>
      </c>
      <c r="F9857" t="n">
        <v>69.8</v>
      </c>
      <c r="G9857" t="n">
        <v>205</v>
      </c>
      <c r="H9857" t="n">
        <v>7.03e-94</v>
      </c>
      <c r="I9857" t="inlineStr">
        <is>
          <t>Nr</t>
        </is>
      </c>
      <c r="J9857" t="inlineStr"/>
      <c r="K9857" t="inlineStr"/>
      <c r="L9857" t="inlineStr">
        <is>
          <t>XP_029446140.1 cytochrome P450 2D15-like [Rhinatrema bivittatum]</t>
        </is>
      </c>
      <c r="M9857" t="n">
        <v>500</v>
      </c>
      <c r="N9857" t="inlineStr">
        <is>
          <t>Rhinatrema bivittatum</t>
        </is>
      </c>
      <c r="O9857" t="inlineStr">
        <is>
          <t>cytochrome P450 2D15-like</t>
        </is>
      </c>
    </row>
    <row r="9858">
      <c r="A9858" t="inlineStr"/>
      <c r="B9858" t="inlineStr"/>
      <c r="C9858" t="inlineStr"/>
      <c r="D9858" t="inlineStr"/>
      <c r="E9858">
        <f>HYPERLINK("https://www.uniprot.org/uniprotkb/A0A6I8RNC6/entry", "A0A6I8RNC6")</f>
        <v/>
      </c>
      <c r="F9858" t="n">
        <v>69</v>
      </c>
      <c r="G9858" t="n">
        <v>197</v>
      </c>
      <c r="H9858" t="n">
        <v>7.11e-93</v>
      </c>
      <c r="I9858" t="inlineStr">
        <is>
          <t>TrEMBL</t>
        </is>
      </c>
      <c r="J9858" t="inlineStr">
        <is>
          <t>cyp2d6</t>
        </is>
      </c>
      <c r="K9858" t="inlineStr">
        <is>
          <t>A0A6I8RNC6_XENTR</t>
        </is>
      </c>
      <c r="L9858" t="inlineStr">
        <is>
          <t>tr|A0A6I8RNC6|A0A6I8RNC6_XENTR Cytochrome P450 family 2 subfamily D member 6 OS=Xenopus tropicalis OX=8364 GN=cyp2d6 PE=3 SV=2</t>
        </is>
      </c>
      <c r="M9858" t="n">
        <v>505</v>
      </c>
      <c r="N9858" t="inlineStr">
        <is>
          <t>Xenopus tropicalis</t>
        </is>
      </c>
      <c r="O9858" t="inlineStr">
        <is>
          <t>Cytochrome P450 family 2 subfamily D member 6</t>
        </is>
      </c>
    </row>
    <row r="9859">
      <c r="A9859" t="inlineStr"/>
      <c r="B9859" t="inlineStr"/>
      <c r="C9859" t="inlineStr"/>
      <c r="D9859" t="inlineStr"/>
      <c r="E9859">
        <f>HYPERLINK("https://www.uniprot.org/uniprotkb/A0A6I8QXK1/entry", "A0A6I8QXK1")</f>
        <v/>
      </c>
      <c r="F9859" t="n">
        <v>69</v>
      </c>
      <c r="G9859" t="n">
        <v>197</v>
      </c>
      <c r="H9859" t="n">
        <v>7.11e-93</v>
      </c>
      <c r="I9859" t="inlineStr">
        <is>
          <t>TrEMBL</t>
        </is>
      </c>
      <c r="J9859" t="inlineStr">
        <is>
          <t>cyp2d6</t>
        </is>
      </c>
      <c r="K9859" t="inlineStr">
        <is>
          <t>A0A6I8QXK1_XENTR</t>
        </is>
      </c>
      <c r="L9859" t="inlineStr">
        <is>
          <t>tr|A0A6I8QXK1|A0A6I8QXK1_XENTR Cytochrome P450 family 2 subfamily D member 6 OS=Xenopus tropicalis OX=8364 GN=cyp2d6 PE=3 SV=2</t>
        </is>
      </c>
      <c r="M9859" t="n">
        <v>505</v>
      </c>
      <c r="N9859" t="inlineStr">
        <is>
          <t>Xenopus tropicalis</t>
        </is>
      </c>
      <c r="O9859" t="inlineStr">
        <is>
          <t>Cytochrome P450 family 2 subfamily D member 6</t>
        </is>
      </c>
    </row>
    <row r="9860">
      <c r="A9860" t="inlineStr"/>
      <c r="B9860" t="inlineStr"/>
      <c r="C9860" t="inlineStr"/>
      <c r="D9860" t="inlineStr"/>
      <c r="E9860">
        <f>HYPERLINK("https://www.ncbi.nlm.nih.gov/gene/?term=XP_018420812.1", "XP_018420812.1")</f>
        <v/>
      </c>
      <c r="F9860" t="n">
        <v>67.09999999999999</v>
      </c>
      <c r="G9860" t="n">
        <v>210</v>
      </c>
      <c r="H9860" t="n">
        <v>8.529999999999999e-93</v>
      </c>
      <c r="I9860" t="inlineStr">
        <is>
          <t>Nr</t>
        </is>
      </c>
      <c r="J9860" t="inlineStr"/>
      <c r="K9860" t="inlineStr"/>
      <c r="L9860" t="inlineStr">
        <is>
          <t>XP_018420812.1 PREDICTED: cytochrome P450 2D17-like [Nanorana parkeri]</t>
        </is>
      </c>
      <c r="M9860" t="n">
        <v>607</v>
      </c>
      <c r="N9860" t="inlineStr">
        <is>
          <t>Nanorana parkeri</t>
        </is>
      </c>
      <c r="O9860" t="inlineStr">
        <is>
          <t>PREDICTED: cytochrome P450 2D17-like</t>
        </is>
      </c>
    </row>
    <row r="9861">
      <c r="A9861" t="inlineStr"/>
      <c r="B9861" t="inlineStr"/>
      <c r="C9861" t="inlineStr"/>
      <c r="D9861" t="inlineStr"/>
      <c r="E9861">
        <f>HYPERLINK("https://www.uniprot.org/uniprotkb/A0A6I8Q8E1/entry", "A0A6I8Q8E1")</f>
        <v/>
      </c>
      <c r="F9861" t="n">
        <v>68.5</v>
      </c>
      <c r="G9861" t="n">
        <v>197</v>
      </c>
      <c r="H9861" t="n">
        <v>1.42e-92</v>
      </c>
      <c r="I9861" t="inlineStr">
        <is>
          <t>TrEMBL</t>
        </is>
      </c>
      <c r="J9861" t="inlineStr">
        <is>
          <t>cyp2d6</t>
        </is>
      </c>
      <c r="K9861" t="inlineStr">
        <is>
          <t>A0A6I8Q8E1_XENTR</t>
        </is>
      </c>
      <c r="L9861" t="inlineStr">
        <is>
          <t>tr|A0A6I8Q8E1|A0A6I8Q8E1_XENTR Cytochrome P450 family 2 subfamily D member 6 OS=Xenopus tropicalis OX=8364 GN=cyp2d6 PE=3 SV=2</t>
        </is>
      </c>
      <c r="M9861" t="n">
        <v>505</v>
      </c>
      <c r="N9861" t="inlineStr">
        <is>
          <t>Xenopus tropicalis</t>
        </is>
      </c>
      <c r="O9861" t="inlineStr">
        <is>
          <t>Cytochrome P450 family 2 subfamily D member 6</t>
        </is>
      </c>
    </row>
    <row r="9862">
      <c r="A9862" t="inlineStr"/>
      <c r="B9862" t="inlineStr"/>
      <c r="C9862" t="inlineStr"/>
      <c r="D9862" t="inlineStr"/>
      <c r="E9862">
        <f>HYPERLINK("https://www.ncbi.nlm.nih.gov/gene/?term=KAE8611432.1", "KAE8611432.1")</f>
        <v/>
      </c>
      <c r="F9862" t="n">
        <v>69</v>
      </c>
      <c r="G9862" t="n">
        <v>197</v>
      </c>
      <c r="H9862" t="n">
        <v>1.83e-92</v>
      </c>
      <c r="I9862" t="inlineStr">
        <is>
          <t>Nr</t>
        </is>
      </c>
      <c r="J9862" t="inlineStr"/>
      <c r="K9862" t="inlineStr"/>
      <c r="L9862" t="inlineStr">
        <is>
          <t>KAE8611432.1 hypothetical protein XENTR_v10012449 [Xenopus tropicalis]</t>
        </is>
      </c>
      <c r="M9862" t="n">
        <v>505</v>
      </c>
      <c r="N9862" t="inlineStr">
        <is>
          <t>Xenopus tropicalis</t>
        </is>
      </c>
      <c r="O9862" t="inlineStr">
        <is>
          <t>hypothetical protein XENTR_v10012449</t>
        </is>
      </c>
    </row>
    <row r="9863">
      <c r="A9863" t="inlineStr"/>
      <c r="B9863" t="inlineStr"/>
      <c r="C9863" t="inlineStr"/>
      <c r="D9863" t="inlineStr"/>
      <c r="E9863">
        <f>HYPERLINK("https://www.uniprot.org/uniprotkb/Q6DCR5/entry", "Q6DCR5")</f>
        <v/>
      </c>
      <c r="F9863" t="n">
        <v>69.5</v>
      </c>
      <c r="G9863" t="n">
        <v>197</v>
      </c>
      <c r="H9863" t="n">
        <v>5.67e-92</v>
      </c>
      <c r="I9863" t="inlineStr">
        <is>
          <t>TrEMBL</t>
        </is>
      </c>
      <c r="J9863" t="inlineStr">
        <is>
          <t>cyp2d6.S</t>
        </is>
      </c>
      <c r="K9863" t="inlineStr">
        <is>
          <t>Q6DCR5_XENLA</t>
        </is>
      </c>
      <c r="L9863" t="inlineStr">
        <is>
          <t>tr|Q6DCR5|Q6DCR5_XENLA Cyp2d6-A-prov protein OS=Xenopus laevis OX=8355 GN=cyp2d6.S PE=2 SV=1</t>
        </is>
      </c>
      <c r="M9863" t="n">
        <v>505</v>
      </c>
      <c r="N9863" t="inlineStr">
        <is>
          <t>Xenopus laevis</t>
        </is>
      </c>
      <c r="O9863" t="inlineStr">
        <is>
          <t>Cyp2d6-A-prov protein</t>
        </is>
      </c>
    </row>
    <row r="9864">
      <c r="A9864" t="inlineStr"/>
      <c r="B9864" t="inlineStr"/>
      <c r="C9864" t="inlineStr"/>
      <c r="D9864" t="inlineStr"/>
      <c r="E9864">
        <f>HYPERLINK("https://www.uniprot.org/uniprotkb/Q5FW30/entry", "Q5FW30")</f>
        <v/>
      </c>
      <c r="F9864" t="n">
        <v>68.5</v>
      </c>
      <c r="G9864" t="n">
        <v>197</v>
      </c>
      <c r="H9864" t="n">
        <v>5.67e-92</v>
      </c>
      <c r="I9864" t="inlineStr">
        <is>
          <t>TrEMBL</t>
        </is>
      </c>
      <c r="J9864" t="inlineStr">
        <is>
          <t>cyp2d6</t>
        </is>
      </c>
      <c r="K9864" t="inlineStr">
        <is>
          <t>Q5FW30_XENTR</t>
        </is>
      </c>
      <c r="L9864" t="inlineStr">
        <is>
          <t>tr|Q5FW30|Q5FW30_XENTR Cytochrome P450, family 2, subfamily D, polypeptide 6 OS=Xenopus tropicalis OX=8364 GN=cyp2d6 PE=2 SV=1</t>
        </is>
      </c>
      <c r="M9864" t="n">
        <v>505</v>
      </c>
      <c r="N9864" t="inlineStr">
        <is>
          <t>Xenopus tropicalis</t>
        </is>
      </c>
      <c r="O9864" t="inlineStr">
        <is>
          <t>Cytochrome P450, family 2, subfamily D, polypeptide 6</t>
        </is>
      </c>
    </row>
    <row r="9865">
      <c r="A9865" t="inlineStr"/>
      <c r="B9865" t="inlineStr"/>
      <c r="C9865" t="inlineStr"/>
      <c r="D9865" t="inlineStr"/>
      <c r="E9865">
        <f>HYPERLINK("https://www.ncbi.nlm.nih.gov/gene/?term=OCT83134.1", "OCT83134.1")</f>
        <v/>
      </c>
      <c r="F9865" t="n">
        <v>68</v>
      </c>
      <c r="G9865" t="n">
        <v>200</v>
      </c>
      <c r="H9865" t="n">
        <v>7.81e-92</v>
      </c>
      <c r="I9865" t="inlineStr">
        <is>
          <t>Nr</t>
        </is>
      </c>
      <c r="J9865" t="inlineStr"/>
      <c r="K9865" t="inlineStr"/>
      <c r="L9865" t="inlineStr">
        <is>
          <t>OCT83134.1 hypothetical protein XELAEV_18025673mg [Xenopus laevis]</t>
        </is>
      </c>
      <c r="M9865" t="n">
        <v>495</v>
      </c>
      <c r="N9865" t="inlineStr">
        <is>
          <t>Xenopus laevis</t>
        </is>
      </c>
      <c r="O9865" t="inlineStr">
        <is>
          <t>hypothetical protein XELAEV_18025673mg</t>
        </is>
      </c>
    </row>
    <row r="9866">
      <c r="A9866" t="inlineStr"/>
      <c r="B9866" t="inlineStr"/>
      <c r="C9866" t="inlineStr"/>
      <c r="D9866" t="inlineStr"/>
      <c r="E9866">
        <f>HYPERLINK("https://www.uniprot.org/uniprotkb/A0A6I8RTU7/entry", "A0A6I8RTU7")</f>
        <v/>
      </c>
      <c r="F9866" t="n">
        <v>69</v>
      </c>
      <c r="G9866" t="n">
        <v>197</v>
      </c>
      <c r="H9866" t="n">
        <v>1.13e-91</v>
      </c>
      <c r="I9866" t="inlineStr">
        <is>
          <t>TrEMBL</t>
        </is>
      </c>
      <c r="J9866" t="inlineStr">
        <is>
          <t>cyp2d6</t>
        </is>
      </c>
      <c r="K9866" t="inlineStr">
        <is>
          <t>A0A6I8RTU7_XENTR</t>
        </is>
      </c>
      <c r="L9866" t="inlineStr">
        <is>
          <t>tr|A0A6I8RTU7|A0A6I8RTU7_XENTR Cytochrome P450 family 2 subfamily D member 6 OS=Xenopus tropicalis OX=8364 GN=cyp2d6 PE=3 SV=2</t>
        </is>
      </c>
      <c r="M9866" t="n">
        <v>505</v>
      </c>
      <c r="N9866" t="inlineStr">
        <is>
          <t>Xenopus tropicalis</t>
        </is>
      </c>
      <c r="O9866" t="inlineStr">
        <is>
          <t>Cytochrome P450 family 2 subfamily D member 6</t>
        </is>
      </c>
    </row>
    <row r="9867">
      <c r="A9867" t="inlineStr"/>
      <c r="B9867" t="inlineStr"/>
      <c r="C9867" t="inlineStr"/>
      <c r="D9867" t="inlineStr"/>
      <c r="E9867">
        <f>HYPERLINK("https://www.ncbi.nlm.nih.gov/gene/?term=NP_001015719.1", "NP_001015719.1")</f>
        <v/>
      </c>
      <c r="F9867" t="n">
        <v>68.5</v>
      </c>
      <c r="G9867" t="n">
        <v>197</v>
      </c>
      <c r="H9867" t="n">
        <v>1.46e-91</v>
      </c>
      <c r="I9867" t="inlineStr">
        <is>
          <t>Nr</t>
        </is>
      </c>
      <c r="J9867" t="inlineStr"/>
      <c r="K9867" t="inlineStr"/>
      <c r="L9867" t="inlineStr">
        <is>
          <t>NP_001015719.1 cytochrome P450 family 2 subfamily D member 6 [Xenopus tropicalis]</t>
        </is>
      </c>
      <c r="M9867" t="n">
        <v>505</v>
      </c>
      <c r="N9867" t="inlineStr">
        <is>
          <t>Xenopus tropicalis</t>
        </is>
      </c>
      <c r="O9867" t="inlineStr">
        <is>
          <t>cytochrome P450 family 2 subfamily D member 6</t>
        </is>
      </c>
    </row>
    <row r="9868">
      <c r="A9868" t="inlineStr"/>
      <c r="B9868" t="inlineStr"/>
      <c r="C9868" t="inlineStr"/>
      <c r="D9868" t="inlineStr"/>
      <c r="E9868">
        <f>HYPERLINK("https://www.ncbi.nlm.nih.gov/gene/?term=NP_001087043.1", "NP_001087043.1")</f>
        <v/>
      </c>
      <c r="F9868" t="n">
        <v>69.5</v>
      </c>
      <c r="G9868" t="n">
        <v>197</v>
      </c>
      <c r="H9868" t="n">
        <v>1.46e-91</v>
      </c>
      <c r="I9868" t="inlineStr">
        <is>
          <t>Nr</t>
        </is>
      </c>
      <c r="J9868" t="inlineStr"/>
      <c r="K9868" t="inlineStr"/>
      <c r="L9868" t="inlineStr">
        <is>
          <t>NP_001087043.1 cytochrome P450 family 2 subfamily D member 6 S homeolog [Xenopus laevis]</t>
        </is>
      </c>
      <c r="M9868" t="n">
        <v>505</v>
      </c>
      <c r="N9868" t="inlineStr">
        <is>
          <t>Xenopus laevis</t>
        </is>
      </c>
      <c r="O9868" t="inlineStr">
        <is>
          <t>cytochrome P450 family 2 subfamily D member 6 S homeolog</t>
        </is>
      </c>
    </row>
    <row r="9869">
      <c r="A9869" t="inlineStr"/>
      <c r="B9869" t="inlineStr"/>
      <c r="C9869" t="inlineStr"/>
      <c r="D9869" t="inlineStr"/>
      <c r="E9869">
        <f>HYPERLINK("https://www.ncbi.nlm.nih.gov/gene/?term=KAG8556419.1", "KAG8556419.1")</f>
        <v/>
      </c>
      <c r="F9869" t="n">
        <v>66.5</v>
      </c>
      <c r="G9869" t="n">
        <v>206</v>
      </c>
      <c r="H9869" t="n">
        <v>2.12e-91</v>
      </c>
      <c r="I9869" t="inlineStr">
        <is>
          <t>Nr</t>
        </is>
      </c>
      <c r="J9869" t="inlineStr"/>
      <c r="K9869" t="inlineStr"/>
      <c r="L9869" t="inlineStr">
        <is>
          <t>KAG8556419.1 hypothetical protein GDO81_018068 [Engystomops pustulosus]</t>
        </is>
      </c>
      <c r="M9869" t="n">
        <v>506</v>
      </c>
      <c r="N9869" t="inlineStr">
        <is>
          <t>Engystomops pustulosus</t>
        </is>
      </c>
      <c r="O9869" t="inlineStr">
        <is>
          <t>hypothetical protein GDO81_018068</t>
        </is>
      </c>
    </row>
    <row r="9870">
      <c r="A9870" t="inlineStr"/>
      <c r="B9870" t="inlineStr"/>
      <c r="C9870" t="inlineStr"/>
      <c r="D9870" t="inlineStr"/>
      <c r="E9870">
        <f>HYPERLINK("https://www.ncbi.nlm.nih.gov/gene/?term=XP_004913819.2", "XP_004913819.2")</f>
        <v/>
      </c>
      <c r="F9870" t="n">
        <v>69</v>
      </c>
      <c r="G9870" t="n">
        <v>197</v>
      </c>
      <c r="H9870" t="n">
        <v>2.91e-91</v>
      </c>
      <c r="I9870" t="inlineStr">
        <is>
          <t>Nr</t>
        </is>
      </c>
      <c r="J9870" t="inlineStr"/>
      <c r="K9870" t="inlineStr"/>
      <c r="L9870" t="inlineStr">
        <is>
          <t>XP_004913819.2 cytochrome P450 2D6 isoform X1 [Xenopus tropicalis]</t>
        </is>
      </c>
      <c r="M9870" t="n">
        <v>505</v>
      </c>
      <c r="N9870" t="inlineStr">
        <is>
          <t>Xenopus tropicalis</t>
        </is>
      </c>
      <c r="O9870" t="inlineStr">
        <is>
          <t>cytochrome P450 2D6 isoform X1</t>
        </is>
      </c>
    </row>
    <row r="9871">
      <c r="A9871" t="inlineStr"/>
      <c r="B9871" t="inlineStr"/>
      <c r="C9871" t="inlineStr"/>
      <c r="D9871" t="inlineStr"/>
      <c r="E9871">
        <f>HYPERLINK("https://www.uniprot.org/uniprotkb/F6VCB3/entry", "F6VCB3")</f>
        <v/>
      </c>
      <c r="F9871" t="n">
        <v>67.5</v>
      </c>
      <c r="G9871" t="n">
        <v>197</v>
      </c>
      <c r="H9871" t="n">
        <v>4.53e-91</v>
      </c>
      <c r="I9871" t="inlineStr">
        <is>
          <t>TrEMBL</t>
        </is>
      </c>
      <c r="J9871" t="inlineStr">
        <is>
          <t>cyp2d6</t>
        </is>
      </c>
      <c r="K9871" t="inlineStr">
        <is>
          <t>F6VCB3_XENTR</t>
        </is>
      </c>
      <c r="L9871" t="inlineStr">
        <is>
          <t>tr|F6VCB3|F6VCB3_XENTR Cytochrome P450 family 2 subfamily D member 6 OS=Xenopus tropicalis OX=8364 GN=cyp2d6 PE=3 SV=4</t>
        </is>
      </c>
      <c r="M9871" t="n">
        <v>505</v>
      </c>
      <c r="N9871" t="inlineStr">
        <is>
          <t>Xenopus tropicalis</t>
        </is>
      </c>
      <c r="O9871" t="inlineStr">
        <is>
          <t>Cytochrome P450 family 2 subfamily D member 6</t>
        </is>
      </c>
    </row>
    <row r="9872">
      <c r="A9872" t="inlineStr"/>
      <c r="B9872" t="inlineStr"/>
      <c r="C9872" t="inlineStr"/>
      <c r="D9872" t="inlineStr"/>
      <c r="E9872">
        <f>HYPERLINK("https://www.ncbi.nlm.nih.gov/gene/?term=KAE8611431.1", "KAE8611431.1")</f>
        <v/>
      </c>
      <c r="F9872" t="n">
        <v>70.8</v>
      </c>
      <c r="G9872" t="n">
        <v>192</v>
      </c>
      <c r="H9872" t="n">
        <v>1.1e-90</v>
      </c>
      <c r="I9872" t="inlineStr">
        <is>
          <t>Nr</t>
        </is>
      </c>
      <c r="J9872" t="inlineStr"/>
      <c r="K9872" t="inlineStr"/>
      <c r="L9872" t="inlineStr">
        <is>
          <t>KAE8611431.1 hypothetical protein XENTR_v10012448 [Xenopus tropicalis]</t>
        </is>
      </c>
      <c r="M9872" t="n">
        <v>466</v>
      </c>
      <c r="N9872" t="inlineStr">
        <is>
          <t>Xenopus tropicalis</t>
        </is>
      </c>
      <c r="O9872" t="inlineStr">
        <is>
          <t>hypothetical protein XENTR_v10012448</t>
        </is>
      </c>
    </row>
    <row r="9873">
      <c r="A9873" t="inlineStr"/>
      <c r="B9873" t="inlineStr"/>
      <c r="C9873" t="inlineStr"/>
      <c r="D9873" t="inlineStr"/>
      <c r="E9873">
        <f>HYPERLINK("https://www.ncbi.nlm.nih.gov/gene/?term=KAG8556420.1", "KAG8556420.1")</f>
        <v/>
      </c>
      <c r="F9873" t="n">
        <v>65.40000000000001</v>
      </c>
      <c r="G9873" t="n">
        <v>205</v>
      </c>
      <c r="H9873" t="n">
        <v>1.44e-90</v>
      </c>
      <c r="I9873" t="inlineStr">
        <is>
          <t>Nr</t>
        </is>
      </c>
      <c r="J9873" t="inlineStr"/>
      <c r="K9873" t="inlineStr"/>
      <c r="L9873" t="inlineStr">
        <is>
          <t>KAG8556420.1 hypothetical protein GDO81_018068 [Engystomops pustulosus]</t>
        </is>
      </c>
      <c r="M9873" t="n">
        <v>451</v>
      </c>
      <c r="N9873" t="inlineStr">
        <is>
          <t>Engystomops pustulosus</t>
        </is>
      </c>
      <c r="O9873" t="inlineStr">
        <is>
          <t>hypothetical protein GDO81_018068</t>
        </is>
      </c>
    </row>
    <row r="9874">
      <c r="A9874" t="inlineStr"/>
      <c r="B9874" t="inlineStr"/>
      <c r="C9874" t="inlineStr"/>
      <c r="D9874" t="inlineStr"/>
      <c r="E9874">
        <f>HYPERLINK("https://www.uniprot.org/uniprotkb/A0A6P8P7K9/entry", "A0A6P8P7K9")</f>
        <v/>
      </c>
      <c r="F9874" t="n">
        <v>68.59999999999999</v>
      </c>
      <c r="G9874" t="n">
        <v>204</v>
      </c>
      <c r="H9874" t="n">
        <v>1.58e-90</v>
      </c>
      <c r="I9874" t="inlineStr">
        <is>
          <t>TrEMBL</t>
        </is>
      </c>
      <c r="J9874" t="inlineStr">
        <is>
          <t>LOC117353427</t>
        </is>
      </c>
      <c r="K9874" t="inlineStr">
        <is>
          <t>A0A6P8P7K9_GEOSA</t>
        </is>
      </c>
      <c r="L9874" t="inlineStr">
        <is>
          <t>tr|A0A6P8P7K9|A0A6P8P7K9_GEOSA cytochrome P450 2D15-like OS=Geotrypetes seraphini OX=260995 GN=LOC117353427 PE=3 SV=1</t>
        </is>
      </c>
      <c r="M9874" t="n">
        <v>500</v>
      </c>
      <c r="N9874" t="inlineStr">
        <is>
          <t>Geotrypetes seraphini</t>
        </is>
      </c>
      <c r="O9874" t="inlineStr">
        <is>
          <t>cytochrome P450 2D15-like</t>
        </is>
      </c>
    </row>
    <row r="9875">
      <c r="A9875" t="inlineStr"/>
      <c r="B9875" t="inlineStr"/>
      <c r="C9875" t="inlineStr"/>
      <c r="D9875" t="inlineStr"/>
      <c r="E9875">
        <f>HYPERLINK("https://www.uniprot.org/uniprotkb/A0A6I8QSC6/entry", "A0A6I8QSC6")</f>
        <v/>
      </c>
      <c r="F9875" t="n">
        <v>69.09999999999999</v>
      </c>
      <c r="G9875" t="n">
        <v>194</v>
      </c>
      <c r="H9875" t="n">
        <v>1.81e-90</v>
      </c>
      <c r="I9875" t="inlineStr">
        <is>
          <t>TrEMBL</t>
        </is>
      </c>
      <c r="J9875" t="inlineStr">
        <is>
          <t>cyp2d6</t>
        </is>
      </c>
      <c r="K9875" t="inlineStr">
        <is>
          <t>A0A6I8QSC6_XENTR</t>
        </is>
      </c>
      <c r="L9875" t="inlineStr">
        <is>
          <t>tr|A0A6I8QSC6|A0A6I8QSC6_XENTR Cytochrome P450 family 2 subfamily D member 6 OS=Xenopus tropicalis OX=8364 GN=cyp2d6 PE=3 SV=2</t>
        </is>
      </c>
      <c r="M9875" t="n">
        <v>505</v>
      </c>
      <c r="N9875" t="inlineStr">
        <is>
          <t>Xenopus tropicalis</t>
        </is>
      </c>
      <c r="O9875" t="inlineStr">
        <is>
          <t>Cytochrome P450 family 2 subfamily D member 6</t>
        </is>
      </c>
    </row>
    <row r="9876">
      <c r="A9876" t="inlineStr"/>
      <c r="B9876" t="inlineStr"/>
      <c r="C9876" t="inlineStr"/>
      <c r="D9876" t="inlineStr"/>
      <c r="E9876">
        <f>HYPERLINK("https://www.uniprot.org/uniprotkb/A0A6I8RSX0/entry", "A0A6I8RSX0")</f>
        <v/>
      </c>
      <c r="F9876" t="n">
        <v>69.09999999999999</v>
      </c>
      <c r="G9876" t="n">
        <v>194</v>
      </c>
      <c r="H9876" t="n">
        <v>1.81e-90</v>
      </c>
      <c r="I9876" t="inlineStr">
        <is>
          <t>TrEMBL</t>
        </is>
      </c>
      <c r="J9876" t="inlineStr">
        <is>
          <t>cyp2d6</t>
        </is>
      </c>
      <c r="K9876" t="inlineStr">
        <is>
          <t>A0A6I8RSX0_XENTR</t>
        </is>
      </c>
      <c r="L9876" t="inlineStr">
        <is>
          <t>tr|A0A6I8RSX0|A0A6I8RSX0_XENTR Cytochrome P450 family 2 subfamily D member 6 OS=Xenopus tropicalis OX=8364 GN=cyp2d6 PE=3 SV=2</t>
        </is>
      </c>
      <c r="M9876" t="n">
        <v>505</v>
      </c>
      <c r="N9876" t="inlineStr">
        <is>
          <t>Xenopus tropicalis</t>
        </is>
      </c>
      <c r="O9876" t="inlineStr">
        <is>
          <t>Cytochrome P450 family 2 subfamily D member 6</t>
        </is>
      </c>
    </row>
    <row r="9877">
      <c r="A9877" t="inlineStr"/>
      <c r="B9877" t="inlineStr"/>
      <c r="C9877" t="inlineStr"/>
      <c r="D9877" t="inlineStr"/>
      <c r="E9877">
        <f>HYPERLINK("https://www.uniprot.org/uniprotkb/A0A6I8SR55/entry", "A0A6I8SR55")</f>
        <v/>
      </c>
      <c r="F9877" t="n">
        <v>69.09999999999999</v>
      </c>
      <c r="G9877" t="n">
        <v>194</v>
      </c>
      <c r="H9877" t="n">
        <v>1.81e-90</v>
      </c>
      <c r="I9877" t="inlineStr">
        <is>
          <t>TrEMBL</t>
        </is>
      </c>
      <c r="J9877" t="inlineStr">
        <is>
          <t>cyp2d6</t>
        </is>
      </c>
      <c r="K9877" t="inlineStr">
        <is>
          <t>A0A6I8SR55_XENTR</t>
        </is>
      </c>
      <c r="L9877" t="inlineStr">
        <is>
          <t>tr|A0A6I8SR55|A0A6I8SR55_XENTR Cytochrome P450 family 2 subfamily D member 6 OS=Xenopus tropicalis OX=8364 GN=cyp2d6 PE=3 SV=2</t>
        </is>
      </c>
      <c r="M9877" t="n">
        <v>505</v>
      </c>
      <c r="N9877" t="inlineStr">
        <is>
          <t>Xenopus tropicalis</t>
        </is>
      </c>
      <c r="O9877" t="inlineStr">
        <is>
          <t>Cytochrome P450 family 2 subfamily D member 6</t>
        </is>
      </c>
    </row>
    <row r="9878">
      <c r="A9878" t="inlineStr"/>
      <c r="B9878" t="inlineStr"/>
      <c r="C9878" t="inlineStr"/>
      <c r="D9878" t="inlineStr"/>
      <c r="E9878">
        <f>HYPERLINK("https://www.ncbi.nlm.nih.gov/gene/?term=KAG8556511.1", "KAG8556511.1")</f>
        <v/>
      </c>
      <c r="F9878" t="n">
        <v>62.2</v>
      </c>
      <c r="G9878" t="n">
        <v>225</v>
      </c>
      <c r="H9878" t="n">
        <v>2.26e-90</v>
      </c>
      <c r="I9878" t="inlineStr">
        <is>
          <t>Nr</t>
        </is>
      </c>
      <c r="J9878" t="inlineStr"/>
      <c r="K9878" t="inlineStr"/>
      <c r="L9878" t="inlineStr">
        <is>
          <t>KAG8556511.1 hypothetical protein GDO81_018102 [Engystomops pustulosus]</t>
        </is>
      </c>
      <c r="M9878" t="n">
        <v>504</v>
      </c>
      <c r="N9878" t="inlineStr">
        <is>
          <t>Engystomops pustulosus</t>
        </is>
      </c>
      <c r="O9878" t="inlineStr">
        <is>
          <t>hypothetical protein GDO81_018102</t>
        </is>
      </c>
    </row>
    <row r="9879">
      <c r="A9879" t="inlineStr"/>
      <c r="B9879" t="inlineStr"/>
      <c r="C9879" t="inlineStr"/>
      <c r="D9879" t="inlineStr"/>
      <c r="E9879">
        <f>HYPERLINK("https://www.uniprot.org/uniprotkb/A0A7D9NK76/entry", "A0A7D9NK76")</f>
        <v/>
      </c>
      <c r="F9879" t="n">
        <v>67.5</v>
      </c>
      <c r="G9879" t="n">
        <v>197</v>
      </c>
      <c r="H9879" t="n">
        <v>2.56e-90</v>
      </c>
      <c r="I9879" t="inlineStr">
        <is>
          <t>TrEMBL</t>
        </is>
      </c>
      <c r="J9879" t="inlineStr">
        <is>
          <t>cyp2d6</t>
        </is>
      </c>
      <c r="K9879" t="inlineStr">
        <is>
          <t>A0A7D9NK76_XENTR</t>
        </is>
      </c>
      <c r="L9879" t="inlineStr">
        <is>
          <t>tr|A0A7D9NK76|A0A7D9NK76_XENTR Cytochrome P450 family 2 subfamily D member 6 OS=Xenopus tropicalis OX=8364 GN=cyp2d6 PE=3 SV=2</t>
        </is>
      </c>
      <c r="M9879" t="n">
        <v>505</v>
      </c>
      <c r="N9879" t="inlineStr">
        <is>
          <t>Xenopus tropicalis</t>
        </is>
      </c>
      <c r="O9879" t="inlineStr">
        <is>
          <t>Cytochrome P450 family 2 subfamily D member 6</t>
        </is>
      </c>
    </row>
    <row r="9880">
      <c r="A9880" t="inlineStr"/>
      <c r="B9880" t="inlineStr"/>
      <c r="C9880" t="inlineStr"/>
      <c r="D9880" t="inlineStr"/>
      <c r="E9880">
        <f>HYPERLINK("https://www.ncbi.nlm.nih.gov/gene/?term=XP_033785237.1", "XP_033785237.1")</f>
        <v/>
      </c>
      <c r="F9880" t="n">
        <v>68.59999999999999</v>
      </c>
      <c r="G9880" t="n">
        <v>204</v>
      </c>
      <c r="H9880" t="n">
        <v>4.05e-90</v>
      </c>
      <c r="I9880" t="inlineStr">
        <is>
          <t>Nr</t>
        </is>
      </c>
      <c r="J9880" t="inlineStr"/>
      <c r="K9880" t="inlineStr"/>
      <c r="L9880" t="inlineStr">
        <is>
          <t>XP_033785237.1 cytochrome P450 2D15-like [Geotrypetes seraphini]</t>
        </is>
      </c>
      <c r="M9880" t="n">
        <v>500</v>
      </c>
      <c r="N9880" t="inlineStr">
        <is>
          <t>Geotrypetes seraphini</t>
        </is>
      </c>
      <c r="O9880" t="inlineStr">
        <is>
          <t>cytochrome P450 2D15-like</t>
        </is>
      </c>
    </row>
    <row r="9881">
      <c r="A9881" t="inlineStr"/>
      <c r="B9881" t="inlineStr"/>
      <c r="C9881" t="inlineStr"/>
      <c r="D9881" t="inlineStr"/>
      <c r="E9881">
        <f>HYPERLINK("https://www.ncbi.nlm.nih.gov/gene/?term=XP_002933809.3", "XP_002933809.3")</f>
        <v/>
      </c>
      <c r="F9881" t="n">
        <v>69.09999999999999</v>
      </c>
      <c r="G9881" t="n">
        <v>194</v>
      </c>
      <c r="H9881" t="n">
        <v>4.64e-90</v>
      </c>
      <c r="I9881" t="inlineStr">
        <is>
          <t>Nr</t>
        </is>
      </c>
      <c r="J9881" t="inlineStr"/>
      <c r="K9881" t="inlineStr"/>
      <c r="L9881" t="inlineStr">
        <is>
          <t>XP_002933809.3 cytochrome P450 2D17 [Xenopus tropicalis]</t>
        </is>
      </c>
      <c r="M9881" t="n">
        <v>505</v>
      </c>
      <c r="N9881" t="inlineStr">
        <is>
          <t>Xenopus tropicalis</t>
        </is>
      </c>
      <c r="O9881" t="inlineStr">
        <is>
          <t>cytochrome P450 2D17</t>
        </is>
      </c>
    </row>
    <row r="9882">
      <c r="A9882" t="inlineStr"/>
      <c r="B9882" t="inlineStr"/>
      <c r="C9882" t="inlineStr"/>
      <c r="D9882" t="inlineStr"/>
      <c r="E9882">
        <f>HYPERLINK("https://www.uniprot.org/uniprotkb/A0A1L8GH18/entry", "A0A1L8GH18")</f>
        <v/>
      </c>
      <c r="F9882" t="n">
        <v>68</v>
      </c>
      <c r="G9882" t="n">
        <v>197</v>
      </c>
      <c r="H9882" t="n">
        <v>5.1e-90</v>
      </c>
      <c r="I9882" t="inlineStr">
        <is>
          <t>TrEMBL</t>
        </is>
      </c>
      <c r="J9882" t="inlineStr">
        <is>
          <t>LOC108715778</t>
        </is>
      </c>
      <c r="K9882" t="inlineStr">
        <is>
          <t>A0A1L8GH18_XENLA</t>
        </is>
      </c>
      <c r="L9882" t="inlineStr">
        <is>
          <t>tr|A0A1L8GH18|A0A1L8GH18_XENLA cytochrome P450 2D17 OS=Xenopus laevis OX=8355 GN=LOC108715778 PE=3 SV=1</t>
        </is>
      </c>
      <c r="M9882" t="n">
        <v>505</v>
      </c>
      <c r="N9882" t="inlineStr">
        <is>
          <t>Xenopus laevis</t>
        </is>
      </c>
      <c r="O9882" t="inlineStr">
        <is>
          <t>cytochrome P450 2D17</t>
        </is>
      </c>
    </row>
    <row r="9883">
      <c r="A9883" t="inlineStr"/>
      <c r="B9883" t="inlineStr"/>
      <c r="C9883" t="inlineStr"/>
      <c r="D9883" t="inlineStr"/>
      <c r="E9883">
        <f>HYPERLINK("https://www.ncbi.nlm.nih.gov/gene/?term=XP_018116724.1", "XP_018116724.1")</f>
        <v/>
      </c>
      <c r="F9883" t="n">
        <v>68</v>
      </c>
      <c r="G9883" t="n">
        <v>197</v>
      </c>
      <c r="H9883" t="n">
        <v>1.31e-89</v>
      </c>
      <c r="I9883" t="inlineStr">
        <is>
          <t>Nr</t>
        </is>
      </c>
      <c r="J9883" t="inlineStr"/>
      <c r="K9883" t="inlineStr"/>
      <c r="L9883" t="inlineStr">
        <is>
          <t>XP_018116724.1 cytochrome P450 2D17 [Xenopus laevis]</t>
        </is>
      </c>
      <c r="M9883" t="n">
        <v>505</v>
      </c>
      <c r="N9883" t="inlineStr">
        <is>
          <t>Xenopus laevis</t>
        </is>
      </c>
      <c r="O9883" t="inlineStr">
        <is>
          <t>cytochrome P450 2D17</t>
        </is>
      </c>
    </row>
    <row r="9884">
      <c r="A9884" t="inlineStr"/>
      <c r="B9884" t="inlineStr"/>
      <c r="C9884" t="inlineStr"/>
      <c r="D9884" t="inlineStr"/>
      <c r="E9884">
        <f>HYPERLINK("https://www.uniprot.org/uniprotkb/A0A6P7YKD1/entry", "A0A6P7YKD1")</f>
        <v/>
      </c>
      <c r="F9884" t="n">
        <v>68.7</v>
      </c>
      <c r="G9884" t="n">
        <v>198</v>
      </c>
      <c r="H9884" t="n">
        <v>1.52e-89</v>
      </c>
      <c r="I9884" t="inlineStr">
        <is>
          <t>TrEMBL</t>
        </is>
      </c>
      <c r="J9884" t="inlineStr">
        <is>
          <t>LOC115473053</t>
        </is>
      </c>
      <c r="K9884" t="inlineStr">
        <is>
          <t>A0A6P7YKD1_9AMPH</t>
        </is>
      </c>
      <c r="L9884" t="inlineStr">
        <is>
          <t>tr|A0A6P7YKD1|A0A6P7YKD1_9AMPH cytochrome P450 2D15-like OS=Microcaecilia unicolor OX=1415580 GN=LOC115473053 PE=3 SV=1</t>
        </is>
      </c>
      <c r="M9884" t="n">
        <v>507</v>
      </c>
      <c r="N9884" t="inlineStr">
        <is>
          <t>Microcaecilia unicolor</t>
        </is>
      </c>
      <c r="O9884" t="inlineStr">
        <is>
          <t>cytochrome P450 2D15-like</t>
        </is>
      </c>
    </row>
    <row r="9885">
      <c r="A9885" t="inlineStr"/>
      <c r="B9885" t="inlineStr"/>
      <c r="C9885" t="inlineStr"/>
      <c r="D9885" t="inlineStr"/>
      <c r="E9885">
        <f>HYPERLINK("https://www.ncbi.nlm.nih.gov/gene/?term=KAG8556417.1", "KAG8556417.1")</f>
        <v/>
      </c>
      <c r="F9885" t="n">
        <v>65.5</v>
      </c>
      <c r="G9885" t="n">
        <v>206</v>
      </c>
      <c r="H9885" t="n">
        <v>2.83e-89</v>
      </c>
      <c r="I9885" t="inlineStr">
        <is>
          <t>Nr</t>
        </is>
      </c>
      <c r="J9885" t="inlineStr"/>
      <c r="K9885" t="inlineStr"/>
      <c r="L9885" t="inlineStr">
        <is>
          <t>KAG8556417.1 hypothetical protein GDO81_018066 [Engystomops pustulosus]</t>
        </is>
      </c>
      <c r="M9885" t="n">
        <v>277</v>
      </c>
      <c r="N9885" t="inlineStr">
        <is>
          <t>Engystomops pustulosus</t>
        </is>
      </c>
      <c r="O9885" t="inlineStr">
        <is>
          <t>hypothetical protein GDO81_018066</t>
        </is>
      </c>
    </row>
    <row r="9886">
      <c r="A9886" t="inlineStr"/>
      <c r="B9886" t="inlineStr"/>
      <c r="C9886" t="inlineStr"/>
      <c r="D9886" t="inlineStr"/>
      <c r="E9886">
        <f>HYPERLINK("https://www.uniprot.org/uniprotkb/A0A8J0V259/entry", "A0A8J0V259")</f>
        <v/>
      </c>
      <c r="F9886" t="n">
        <v>66.3</v>
      </c>
      <c r="G9886" t="n">
        <v>205</v>
      </c>
      <c r="H9886" t="n">
        <v>3.809999999999999e-89</v>
      </c>
      <c r="I9886" t="inlineStr">
        <is>
          <t>TrEMBL</t>
        </is>
      </c>
      <c r="J9886" t="inlineStr">
        <is>
          <t>LOC108714516</t>
        </is>
      </c>
      <c r="K9886" t="inlineStr">
        <is>
          <t>A0A8J0V259_XENLA</t>
        </is>
      </c>
      <c r="L9886" t="inlineStr">
        <is>
          <t>tr|A0A8J0V259|A0A8J0V259_XENLA cytochrome P450 2D15-like OS=Xenopus laevis OX=8355 GN=LOC108714516 PE=3 SV=1</t>
        </is>
      </c>
      <c r="M9886" t="n">
        <v>490</v>
      </c>
      <c r="N9886" t="inlineStr">
        <is>
          <t>Xenopus laevis</t>
        </is>
      </c>
      <c r="O9886" t="inlineStr">
        <is>
          <t>cytochrome P450 2D15-like</t>
        </is>
      </c>
    </row>
    <row r="9887">
      <c r="A9887" t="inlineStr"/>
      <c r="B9887" t="inlineStr"/>
      <c r="C9887" t="inlineStr"/>
      <c r="D9887" t="inlineStr"/>
      <c r="E9887">
        <f>HYPERLINK("https://www.ncbi.nlm.nih.gov/gene/?term=XP_030063540.1", "XP_030063540.1")</f>
        <v/>
      </c>
      <c r="F9887" t="n">
        <v>68.7</v>
      </c>
      <c r="G9887" t="n">
        <v>198</v>
      </c>
      <c r="H9887" t="n">
        <v>3.91e-89</v>
      </c>
      <c r="I9887" t="inlineStr">
        <is>
          <t>Nr</t>
        </is>
      </c>
      <c r="J9887" t="inlineStr"/>
      <c r="K9887" t="inlineStr"/>
      <c r="L9887" t="inlineStr">
        <is>
          <t>XP_030063540.1 cytochrome P450 2D15-like [Microcaecilia unicolor]</t>
        </is>
      </c>
      <c r="M9887" t="n">
        <v>507</v>
      </c>
      <c r="N9887" t="inlineStr">
        <is>
          <t>Microcaecilia unicolor</t>
        </is>
      </c>
      <c r="O9887" t="inlineStr">
        <is>
          <t>cytochrome P450 2D15-like</t>
        </is>
      </c>
    </row>
    <row r="9888">
      <c r="A9888" t="inlineStr"/>
      <c r="B9888" t="inlineStr"/>
      <c r="C9888" t="inlineStr"/>
      <c r="D9888" t="inlineStr"/>
      <c r="E9888">
        <f>HYPERLINK("https://www.ncbi.nlm.nih.gov/gene/?term=KAH1187719.1", "KAH1187719.1")</f>
        <v/>
      </c>
      <c r="F9888" t="n">
        <v>64.90000000000001</v>
      </c>
      <c r="G9888" t="n">
        <v>205</v>
      </c>
      <c r="H9888" t="n">
        <v>4.84e-89</v>
      </c>
      <c r="I9888" t="inlineStr">
        <is>
          <t>Nr</t>
        </is>
      </c>
      <c r="J9888" t="inlineStr"/>
      <c r="K9888" t="inlineStr"/>
      <c r="L9888" t="inlineStr">
        <is>
          <t>KAH1187719.1 hypothetical protein KIL84_020468 [Mauremys mutica]</t>
        </is>
      </c>
      <c r="M9888" t="n">
        <v>337</v>
      </c>
      <c r="N9888" t="inlineStr">
        <is>
          <t>Mauremys mutica</t>
        </is>
      </c>
      <c r="O9888" t="inlineStr">
        <is>
          <t>hypothetical protein KIL84_020468</t>
        </is>
      </c>
    </row>
    <row r="9889">
      <c r="A9889" t="inlineStr"/>
      <c r="B9889" t="inlineStr"/>
      <c r="C9889" t="inlineStr"/>
      <c r="D9889" t="inlineStr"/>
      <c r="E9889">
        <f>HYPERLINK("https://www.uniprot.org/uniprotkb/A0A4D9E9N2/entry", "A0A4D9E9N2")</f>
        <v/>
      </c>
      <c r="F9889" t="n">
        <v>66.2</v>
      </c>
      <c r="G9889" t="n">
        <v>204</v>
      </c>
      <c r="H9889" t="n">
        <v>5.679999999999999e-89</v>
      </c>
      <c r="I9889" t="inlineStr">
        <is>
          <t>TrEMBL</t>
        </is>
      </c>
      <c r="J9889" t="inlineStr">
        <is>
          <t>DR999_PMT09908</t>
        </is>
      </c>
      <c r="K9889" t="inlineStr">
        <is>
          <t>A0A4D9E9N2_9SAUR</t>
        </is>
      </c>
      <c r="L9889" t="inlineStr">
        <is>
          <t>tr|A0A4D9E9N2|A0A4D9E9N2_9SAUR Serine/threonine-protein kinase STK11 OS=Platysternon megacephalum OX=55544 GN=DR999_PMT09908 PE=3 SV=1</t>
        </is>
      </c>
      <c r="M9889" t="n">
        <v>467</v>
      </c>
      <c r="N9889" t="inlineStr">
        <is>
          <t>Platysternon megacephalum</t>
        </is>
      </c>
      <c r="O9889" t="inlineStr">
        <is>
          <t>Serine/threonine-protein kinase STK11</t>
        </is>
      </c>
    </row>
    <row r="9890">
      <c r="A9890" t="inlineStr"/>
      <c r="B9890" t="inlineStr"/>
      <c r="C9890" t="inlineStr"/>
      <c r="D9890" t="inlineStr"/>
      <c r="E9890">
        <f>HYPERLINK("https://www.uniprot.org/uniprotkb/A0A7L3CQ80/entry", "A0A7L3CQ80")</f>
        <v/>
      </c>
      <c r="F9890" t="n">
        <v>65.40000000000001</v>
      </c>
      <c r="G9890" t="n">
        <v>205</v>
      </c>
      <c r="H9890" t="n">
        <v>6.82e-89</v>
      </c>
      <c r="I9890" t="inlineStr">
        <is>
          <t>TrEMBL</t>
        </is>
      </c>
      <c r="J9890" t="inlineStr">
        <is>
          <t>Cyp2d17</t>
        </is>
      </c>
      <c r="K9890" t="inlineStr">
        <is>
          <t>A0A7L3CQ80_PLUSO</t>
        </is>
      </c>
      <c r="L9890" t="inlineStr">
        <is>
          <t>tr|A0A7L3CQ80|A0A7L3CQ80_PLUSO CP2DH protein (Fragment) OS=Pluvianellus socialis OX=227228 GN=Cyp2d17 PE=3 SV=1</t>
        </is>
      </c>
      <c r="M9890" t="n">
        <v>437</v>
      </c>
      <c r="N9890" t="inlineStr">
        <is>
          <t>Pluvianellus socialis</t>
        </is>
      </c>
      <c r="O9890" t="inlineStr">
        <is>
          <t>CP2DH protein (Fragment)</t>
        </is>
      </c>
    </row>
    <row r="9891">
      <c r="A9891" t="inlineStr"/>
      <c r="B9891" t="inlineStr"/>
      <c r="C9891" t="inlineStr"/>
      <c r="D9891" t="inlineStr"/>
      <c r="E9891">
        <f>HYPERLINK("https://www.uniprot.org/uniprotkb/A0A7K7FB30/entry", "A0A7K7FB30")</f>
        <v/>
      </c>
      <c r="F9891" t="n">
        <v>65.90000000000001</v>
      </c>
      <c r="G9891" t="n">
        <v>205</v>
      </c>
      <c r="H9891" t="n">
        <v>7.009999999999999e-89</v>
      </c>
      <c r="I9891" t="inlineStr">
        <is>
          <t>TrEMBL</t>
        </is>
      </c>
      <c r="J9891" t="inlineStr">
        <is>
          <t>Cyp2d17</t>
        </is>
      </c>
      <c r="K9891" t="inlineStr">
        <is>
          <t>A0A7K7FB30_CHIMN</t>
        </is>
      </c>
      <c r="L9891" t="inlineStr">
        <is>
          <t>tr|A0A7K7FB30|A0A7K7FB30_CHIMN CP2DH protein (Fragment) OS=Chionis minor OX=227182 GN=Cyp2d17 PE=3 SV=1</t>
        </is>
      </c>
      <c r="M9891" t="n">
        <v>450</v>
      </c>
      <c r="N9891" t="inlineStr">
        <is>
          <t>Chionis minor</t>
        </is>
      </c>
      <c r="O9891" t="inlineStr">
        <is>
          <t>CP2DH protein (Fragment)</t>
        </is>
      </c>
    </row>
    <row r="9892">
      <c r="A9892" t="inlineStr"/>
      <c r="B9892" t="inlineStr"/>
      <c r="C9892" t="inlineStr"/>
      <c r="D9892" t="inlineStr"/>
      <c r="E9892">
        <f>HYPERLINK("https://www.uniprot.org/uniprotkb/A0A8C0G7U3/entry", "A0A8C0G7U3")</f>
        <v/>
      </c>
      <c r="F9892" t="n">
        <v>64.7</v>
      </c>
      <c r="G9892" t="n">
        <v>204</v>
      </c>
      <c r="H9892" t="n">
        <v>9.179999999999999e-89</v>
      </c>
      <c r="I9892" t="inlineStr">
        <is>
          <t>TrEMBL</t>
        </is>
      </c>
      <c r="J9892" t="inlineStr"/>
      <c r="K9892" t="inlineStr">
        <is>
          <t>A0A8C0G7U3_CHEAB</t>
        </is>
      </c>
      <c r="L9892" t="inlineStr">
        <is>
          <t>tr|A0A8C0G7U3|A0A8C0G7U3_CHEAB CP2DE protein OS=Chelonoidis abingdonii OX=106734 PE=3 SV=1</t>
        </is>
      </c>
      <c r="M9892" t="n">
        <v>310</v>
      </c>
      <c r="N9892" t="inlineStr">
        <is>
          <t>Chelonoidis abingdonii</t>
        </is>
      </c>
      <c r="O9892" t="inlineStr">
        <is>
          <t>CP2DE protein</t>
        </is>
      </c>
    </row>
    <row r="9893">
      <c r="A9893" t="inlineStr"/>
      <c r="B9893" t="inlineStr"/>
      <c r="C9893" t="inlineStr"/>
      <c r="D9893" t="inlineStr"/>
      <c r="E9893">
        <f>HYPERLINK("https://www.ncbi.nlm.nih.gov/gene/?term=XP_018114301.1", "XP_018114301.1")</f>
        <v/>
      </c>
      <c r="F9893" t="n">
        <v>66.3</v>
      </c>
      <c r="G9893" t="n">
        <v>205</v>
      </c>
      <c r="H9893" t="n">
        <v>9.799999999999999e-89</v>
      </c>
      <c r="I9893" t="inlineStr">
        <is>
          <t>Nr</t>
        </is>
      </c>
      <c r="J9893" t="inlineStr"/>
      <c r="K9893" t="inlineStr"/>
      <c r="L9893" t="inlineStr">
        <is>
          <t>XP_018114301.1 cytochrome P450 2D15-like [Xenopus laevis]</t>
        </is>
      </c>
      <c r="M9893" t="n">
        <v>490</v>
      </c>
      <c r="N9893" t="inlineStr">
        <is>
          <t>Xenopus laevis</t>
        </is>
      </c>
      <c r="O9893" t="inlineStr">
        <is>
          <t>cytochrome P450 2D15-like</t>
        </is>
      </c>
    </row>
    <row r="9894">
      <c r="A9894" t="inlineStr"/>
      <c r="B9894" t="inlineStr"/>
      <c r="C9894" t="inlineStr"/>
      <c r="D9894" t="inlineStr"/>
      <c r="E9894">
        <f>HYPERLINK("https://www.uniprot.org/uniprotkb/A0A6I8STN8/entry", "A0A6I8STN8")</f>
        <v/>
      </c>
      <c r="F9894" t="n">
        <v>67.7</v>
      </c>
      <c r="G9894" t="n">
        <v>192</v>
      </c>
      <c r="H9894" t="n">
        <v>1.28e-88</v>
      </c>
      <c r="I9894" t="inlineStr">
        <is>
          <t>TrEMBL</t>
        </is>
      </c>
      <c r="J9894" t="inlineStr">
        <is>
          <t>cyp2d6</t>
        </is>
      </c>
      <c r="K9894" t="inlineStr">
        <is>
          <t>A0A6I8STN8_XENTR</t>
        </is>
      </c>
      <c r="L9894" t="inlineStr">
        <is>
          <t>tr|A0A6I8STN8|A0A6I8STN8_XENTR Cytochrome P450 family 2 subfamily D member 6 OS=Xenopus tropicalis OX=8364 GN=cyp2d6 PE=3 SV=2</t>
        </is>
      </c>
      <c r="M9894" t="n">
        <v>509</v>
      </c>
      <c r="N9894" t="inlineStr">
        <is>
          <t>Xenopus tropicalis</t>
        </is>
      </c>
      <c r="O9894" t="inlineStr">
        <is>
          <t>Cytochrome P450 family 2 subfamily D member 6</t>
        </is>
      </c>
    </row>
    <row r="9895">
      <c r="A9895" t="inlineStr"/>
      <c r="B9895" t="inlineStr"/>
      <c r="C9895" t="inlineStr"/>
      <c r="D9895" t="inlineStr"/>
      <c r="E9895">
        <f>HYPERLINK("https://www.uniprot.org/uniprotkb/Q29488/entry", "Q29488")</f>
        <v/>
      </c>
      <c r="F9895" t="n">
        <v>57.4</v>
      </c>
      <c r="G9895" t="n">
        <v>209</v>
      </c>
      <c r="H9895" t="n">
        <v>1e-74</v>
      </c>
      <c r="I9895" t="inlineStr">
        <is>
          <t>Swiss-Prot</t>
        </is>
      </c>
      <c r="J9895" t="inlineStr">
        <is>
          <t>CYP2D17</t>
        </is>
      </c>
      <c r="K9895" t="inlineStr">
        <is>
          <t>CP2DH_MACFA</t>
        </is>
      </c>
      <c r="L9895" t="inlineStr">
        <is>
          <t>sp|Q29488|CP2DH_MACFA Cytochrome P450 2D17 OS=Macaca fascicularis OX=9541 GN=CYP2D17 PE=2 SV=1</t>
        </is>
      </c>
      <c r="M9895" t="n">
        <v>497</v>
      </c>
      <c r="N9895" t="inlineStr">
        <is>
          <t>Macaca fascicularis</t>
        </is>
      </c>
      <c r="O9895" t="inlineStr">
        <is>
          <t>Cytochrome P450 2D17</t>
        </is>
      </c>
    </row>
    <row r="9896">
      <c r="A9896" t="inlineStr"/>
      <c r="B9896" t="inlineStr"/>
      <c r="C9896" t="inlineStr"/>
      <c r="D9896" t="inlineStr"/>
      <c r="E9896">
        <f>HYPERLINK("https://www.uniprot.org/uniprotkb/P10635/entry", "P10635")</f>
        <v/>
      </c>
      <c r="F9896" t="n">
        <v>57.4</v>
      </c>
      <c r="G9896" t="n">
        <v>209</v>
      </c>
      <c r="H9896" t="n">
        <v>1.42e-74</v>
      </c>
      <c r="I9896" t="inlineStr">
        <is>
          <t>Swiss-Prot</t>
        </is>
      </c>
      <c r="J9896" t="inlineStr">
        <is>
          <t>CYP2D6</t>
        </is>
      </c>
      <c r="K9896" t="inlineStr">
        <is>
          <t>CP2D6_HUMAN</t>
        </is>
      </c>
      <c r="L9896" t="inlineStr">
        <is>
          <t>sp|P10635|CP2D6_HUMAN Cytochrome P450 2D6 OS=Homo sapiens OX=9606 GN=CYP2D6 PE=1 SV=2</t>
        </is>
      </c>
      <c r="M9896" t="n">
        <v>497</v>
      </c>
      <c r="N9896" t="inlineStr">
        <is>
          <t>Homo sapiens</t>
        </is>
      </c>
      <c r="O9896" t="inlineStr">
        <is>
          <t>Cytochrome P450 2D6</t>
        </is>
      </c>
    </row>
    <row r="9897">
      <c r="A9897" t="inlineStr"/>
      <c r="B9897" t="inlineStr"/>
      <c r="C9897" t="inlineStr"/>
      <c r="D9897" t="inlineStr"/>
      <c r="E9897">
        <f>HYPERLINK("https://www.uniprot.org/uniprotkb/P12938/entry", "P12938")</f>
        <v/>
      </c>
      <c r="F9897" t="n">
        <v>57.4</v>
      </c>
      <c r="G9897" t="n">
        <v>209</v>
      </c>
      <c r="H9897" t="n">
        <v>1.52e-74</v>
      </c>
      <c r="I9897" t="inlineStr">
        <is>
          <t>Swiss-Prot</t>
        </is>
      </c>
      <c r="J9897" t="inlineStr">
        <is>
          <t>Cyp2d3</t>
        </is>
      </c>
      <c r="K9897" t="inlineStr">
        <is>
          <t>CP2D3_RAT</t>
        </is>
      </c>
      <c r="L9897" t="inlineStr">
        <is>
          <t>sp|P12938|CP2D3_RAT Cytochrome P450 2D3 OS=Rattus norvegicus OX=10116 GN=Cyp2d3 PE=2 SV=2</t>
        </is>
      </c>
      <c r="M9897" t="n">
        <v>500</v>
      </c>
      <c r="N9897" t="inlineStr">
        <is>
          <t>Rattus norvegicus</t>
        </is>
      </c>
      <c r="O9897" t="inlineStr">
        <is>
          <t>Cytochrome P450 2D3</t>
        </is>
      </c>
    </row>
    <row r="9898">
      <c r="A9898" t="inlineStr"/>
      <c r="B9898" t="inlineStr"/>
      <c r="C9898" t="inlineStr"/>
      <c r="D9898" t="inlineStr"/>
      <c r="E9898">
        <f>HYPERLINK("https://www.uniprot.org/uniprotkb/P10634/entry", "P10634")</f>
        <v/>
      </c>
      <c r="F9898" t="n">
        <v>58.7</v>
      </c>
      <c r="G9898" t="n">
        <v>206</v>
      </c>
      <c r="H9898" t="n">
        <v>3.03e-74</v>
      </c>
      <c r="I9898" t="inlineStr">
        <is>
          <t>Swiss-Prot</t>
        </is>
      </c>
      <c r="J9898" t="inlineStr">
        <is>
          <t>Cyp2d26</t>
        </is>
      </c>
      <c r="K9898" t="inlineStr">
        <is>
          <t>CP2DQ_RAT</t>
        </is>
      </c>
      <c r="L9898" t="inlineStr">
        <is>
          <t>sp|P10634|CP2DQ_RAT Cytochrome P450 2D26 OS=Rattus norvegicus OX=10116 GN=Cyp2d26 PE=1 SV=2</t>
        </is>
      </c>
      <c r="M9898" t="n">
        <v>500</v>
      </c>
      <c r="N9898" t="inlineStr">
        <is>
          <t>Rattus norvegicus</t>
        </is>
      </c>
      <c r="O9898" t="inlineStr">
        <is>
          <t>Cytochrome P450 2D26</t>
        </is>
      </c>
    </row>
    <row r="9899">
      <c r="A9899" t="inlineStr"/>
      <c r="B9899" t="inlineStr"/>
      <c r="C9899" t="inlineStr"/>
      <c r="D9899" t="inlineStr"/>
      <c r="E9899">
        <f>HYPERLINK("https://www.uniprot.org/uniprotkb/Q2XNC9/entry", "Q2XNC9")</f>
        <v/>
      </c>
      <c r="F9899" t="n">
        <v>56.9</v>
      </c>
      <c r="G9899" t="n">
        <v>209</v>
      </c>
      <c r="H9899" t="n">
        <v>5.6e-74</v>
      </c>
      <c r="I9899" t="inlineStr">
        <is>
          <t>Swiss-Prot</t>
        </is>
      </c>
      <c r="J9899" t="inlineStr">
        <is>
          <t>CYP2D6</t>
        </is>
      </c>
      <c r="K9899" t="inlineStr">
        <is>
          <t>CP2D6_PANPA</t>
        </is>
      </c>
      <c r="L9899" t="inlineStr">
        <is>
          <t>sp|Q2XNC9|CP2D6_PANPA Cytochrome P450 2D6 OS=Pan paniscus OX=9597 GN=CYP2D6 PE=3 SV=1</t>
        </is>
      </c>
      <c r="M9899" t="n">
        <v>497</v>
      </c>
      <c r="N9899" t="inlineStr">
        <is>
          <t>Pan paniscus</t>
        </is>
      </c>
      <c r="O9899" t="inlineStr">
        <is>
          <t>Cytochrome P450 2D6</t>
        </is>
      </c>
    </row>
    <row r="9900">
      <c r="A9900" t="inlineStr"/>
      <c r="B9900" t="inlineStr"/>
      <c r="C9900" t="inlineStr"/>
      <c r="D9900" t="inlineStr"/>
      <c r="E9900">
        <f>HYPERLINK("https://www.uniprot.org/uniprotkb/Q2XNC8/entry", "Q2XNC8")</f>
        <v/>
      </c>
      <c r="F9900" t="n">
        <v>56.5</v>
      </c>
      <c r="G9900" t="n">
        <v>209</v>
      </c>
      <c r="H9900" t="n">
        <v>2.21e-73</v>
      </c>
      <c r="I9900" t="inlineStr">
        <is>
          <t>Swiss-Prot</t>
        </is>
      </c>
      <c r="J9900" t="inlineStr">
        <is>
          <t>CYP2D6</t>
        </is>
      </c>
      <c r="K9900" t="inlineStr">
        <is>
          <t>CP2D6_PANTR</t>
        </is>
      </c>
      <c r="L9900" t="inlineStr">
        <is>
          <t>sp|Q2XNC8|CP2D6_PANTR Cytochrome P450 2D6 OS=Pan troglodytes OX=9598 GN=CYP2D6 PE=3 SV=1</t>
        </is>
      </c>
      <c r="M9900" t="n">
        <v>497</v>
      </c>
      <c r="N9900" t="inlineStr">
        <is>
          <t>Pan troglodytes</t>
        </is>
      </c>
      <c r="O9900" t="inlineStr">
        <is>
          <t>Cytochrome P450 2D6</t>
        </is>
      </c>
    </row>
    <row r="9901">
      <c r="A9901" t="inlineStr"/>
      <c r="B9901" t="inlineStr"/>
      <c r="C9901" t="inlineStr"/>
      <c r="D9901" t="inlineStr"/>
      <c r="E9901">
        <f>HYPERLINK("https://www.uniprot.org/uniprotkb/Q64680/entry", "Q64680")</f>
        <v/>
      </c>
      <c r="F9901" t="n">
        <v>57.8</v>
      </c>
      <c r="G9901" t="n">
        <v>206</v>
      </c>
      <c r="H9901" t="n">
        <v>3.36e-73</v>
      </c>
      <c r="I9901" t="inlineStr">
        <is>
          <t>Swiss-Prot</t>
        </is>
      </c>
      <c r="J9901" t="inlineStr">
        <is>
          <t>Cyp2d4</t>
        </is>
      </c>
      <c r="K9901" t="inlineStr">
        <is>
          <t>CP2D4_RAT</t>
        </is>
      </c>
      <c r="L9901" t="inlineStr">
        <is>
          <t>sp|Q64680|CP2D4_RAT Cytochrome P450 2D4 OS=Rattus norvegicus OX=10116 GN=Cyp2d4 PE=2 SV=1</t>
        </is>
      </c>
      <c r="M9901" t="n">
        <v>500</v>
      </c>
      <c r="N9901" t="inlineStr">
        <is>
          <t>Rattus norvegicus</t>
        </is>
      </c>
      <c r="O9901" t="inlineStr">
        <is>
          <t>Cytochrome P450 2D4</t>
        </is>
      </c>
    </row>
    <row r="9902">
      <c r="A9902" t="inlineStr"/>
      <c r="B9902" t="inlineStr"/>
      <c r="C9902" t="inlineStr"/>
      <c r="D9902" t="inlineStr"/>
      <c r="E9902">
        <f>HYPERLINK("https://www.uniprot.org/uniprotkb/Q29473/entry", "Q29473")</f>
        <v/>
      </c>
      <c r="F9902" t="n">
        <v>57.4</v>
      </c>
      <c r="G9902" t="n">
        <v>209</v>
      </c>
      <c r="H9902" t="n">
        <v>6.67e-73</v>
      </c>
      <c r="I9902" t="inlineStr">
        <is>
          <t>Swiss-Prot</t>
        </is>
      </c>
      <c r="J9902" t="inlineStr">
        <is>
          <t>CYP2D15</t>
        </is>
      </c>
      <c r="K9902" t="inlineStr">
        <is>
          <t>CP2DF_CANLF</t>
        </is>
      </c>
      <c r="L9902" t="inlineStr">
        <is>
          <t>sp|Q29473|CP2DF_CANLF Cytochrome P450 2D15 OS=Canis lupus familiaris OX=9615 GN=CYP2D15 PE=1 SV=3</t>
        </is>
      </c>
      <c r="M9902" t="n">
        <v>500</v>
      </c>
      <c r="N9902" t="inlineStr">
        <is>
          <t>Canis lupus familiaris</t>
        </is>
      </c>
      <c r="O9902" t="inlineStr">
        <is>
          <t>Cytochrome P450 2D15</t>
        </is>
      </c>
    </row>
    <row r="9903">
      <c r="A9903" t="inlineStr"/>
      <c r="B9903" t="inlineStr"/>
      <c r="C9903" t="inlineStr"/>
      <c r="D9903" t="inlineStr"/>
      <c r="E9903">
        <f>HYPERLINK("https://www.uniprot.org/uniprotkb/Q8CIM7/entry", "Q8CIM7")</f>
        <v/>
      </c>
      <c r="F9903" t="n">
        <v>57.9</v>
      </c>
      <c r="G9903" t="n">
        <v>209</v>
      </c>
      <c r="H9903" t="n">
        <v>6.67e-73</v>
      </c>
      <c r="I9903" t="inlineStr">
        <is>
          <t>Swiss-Prot</t>
        </is>
      </c>
      <c r="J9903" t="inlineStr">
        <is>
          <t>Cyp2d26</t>
        </is>
      </c>
      <c r="K9903" t="inlineStr">
        <is>
          <t>CP2DQ_MOUSE</t>
        </is>
      </c>
      <c r="L9903" t="inlineStr">
        <is>
          <t>sp|Q8CIM7|CP2DQ_MOUSE Cytochrome P450 2D26 OS=Mus musculus OX=10090 GN=Cyp2d26 PE=1 SV=1</t>
        </is>
      </c>
      <c r="M9903" t="n">
        <v>500</v>
      </c>
      <c r="N9903" t="inlineStr">
        <is>
          <t>Mus musculus</t>
        </is>
      </c>
      <c r="O9903" t="inlineStr">
        <is>
          <t>Cytochrome P450 2D26</t>
        </is>
      </c>
    </row>
    <row r="9904">
      <c r="A9904" t="inlineStr"/>
      <c r="B9904" t="inlineStr"/>
      <c r="C9904" t="inlineStr"/>
      <c r="D9904" t="inlineStr"/>
      <c r="E9904">
        <f>HYPERLINK("https://www.uniprot.org/uniprotkb/O18992/entry", "O18992")</f>
        <v/>
      </c>
      <c r="F9904" t="n">
        <v>56.5</v>
      </c>
      <c r="G9904" t="n">
        <v>209</v>
      </c>
      <c r="H9904" t="n">
        <v>1.23e-72</v>
      </c>
      <c r="I9904" t="inlineStr">
        <is>
          <t>Swiss-Prot</t>
        </is>
      </c>
      <c r="J9904" t="inlineStr">
        <is>
          <t>CYP2D19</t>
        </is>
      </c>
      <c r="K9904" t="inlineStr">
        <is>
          <t>CP2DJ_CALJA</t>
        </is>
      </c>
      <c r="L9904" t="inlineStr">
        <is>
          <t>sp|O18992|CP2DJ_CALJA Cytochrome P450 2D19 OS=Callithrix jacchus OX=9483 GN=CYP2D19 PE=2 SV=1</t>
        </is>
      </c>
      <c r="M9904" t="n">
        <v>497</v>
      </c>
      <c r="N9904" t="inlineStr">
        <is>
          <t>Callithrix jacchus</t>
        </is>
      </c>
      <c r="O9904" t="inlineStr">
        <is>
          <t>Cytochrome P450 2D19</t>
        </is>
      </c>
    </row>
    <row r="9905">
      <c r="A9905" t="inlineStr"/>
      <c r="B9905" t="inlineStr"/>
      <c r="C9905" t="inlineStr"/>
      <c r="D9905" t="inlineStr"/>
      <c r="E9905">
        <f>HYPERLINK("https://www.uniprot.org/uniprotkb/P11714/entry", "P11714")</f>
        <v/>
      </c>
      <c r="F9905" t="n">
        <v>55</v>
      </c>
      <c r="G9905" t="n">
        <v>209</v>
      </c>
      <c r="H9905" t="n">
        <v>2.06e-72</v>
      </c>
      <c r="I9905" t="inlineStr">
        <is>
          <t>Swiss-Prot</t>
        </is>
      </c>
      <c r="J9905" t="inlineStr">
        <is>
          <t>Cyp2d9</t>
        </is>
      </c>
      <c r="K9905" t="inlineStr">
        <is>
          <t>CP2D9_MOUSE</t>
        </is>
      </c>
      <c r="L9905" t="inlineStr">
        <is>
          <t>sp|P11714|CP2D9_MOUSE Cytochrome P450 2D9 OS=Mus musculus OX=10090 GN=Cyp2d9 PE=1 SV=2</t>
        </is>
      </c>
      <c r="M9905" t="n">
        <v>504</v>
      </c>
      <c r="N9905" t="inlineStr">
        <is>
          <t>Mus musculus</t>
        </is>
      </c>
      <c r="O9905" t="inlineStr">
        <is>
          <t>Cytochrome P450 2D9</t>
        </is>
      </c>
    </row>
    <row r="9906">
      <c r="A9906" t="inlineStr"/>
      <c r="B9906" t="inlineStr"/>
      <c r="C9906" t="inlineStr"/>
      <c r="D9906" t="inlineStr"/>
      <c r="E9906">
        <f>HYPERLINK("https://www.uniprot.org/uniprotkb/P12939/entry", "P12939")</f>
        <v/>
      </c>
      <c r="F9906" t="n">
        <v>56.9</v>
      </c>
      <c r="G9906" t="n">
        <v>209</v>
      </c>
      <c r="H9906" t="n">
        <v>4.08e-72</v>
      </c>
      <c r="I9906" t="inlineStr">
        <is>
          <t>Swiss-Prot</t>
        </is>
      </c>
      <c r="J9906" t="inlineStr">
        <is>
          <t>Cyp2d10</t>
        </is>
      </c>
      <c r="K9906" t="inlineStr">
        <is>
          <t>CP2DA_RAT</t>
        </is>
      </c>
      <c r="L9906" t="inlineStr">
        <is>
          <t>sp|P12939|CP2DA_RAT Cytochrome P450 2D10 OS=Rattus norvegicus OX=10116 GN=Cyp2d10 PE=1 SV=1</t>
        </is>
      </c>
      <c r="M9906" t="n">
        <v>504</v>
      </c>
      <c r="N9906" t="inlineStr">
        <is>
          <t>Rattus norvegicus</t>
        </is>
      </c>
      <c r="O9906" t="inlineStr">
        <is>
          <t>Cytochrome P450 2D10</t>
        </is>
      </c>
    </row>
    <row r="9907">
      <c r="A9907" t="inlineStr"/>
      <c r="B9907" t="inlineStr"/>
      <c r="C9907" t="inlineStr"/>
      <c r="D9907" t="inlineStr"/>
      <c r="E9907">
        <f>HYPERLINK("https://www.uniprot.org/uniprotkb/Q9QYG5/entry", "Q9QYG5")</f>
        <v/>
      </c>
      <c r="F9907" t="n">
        <v>59.5</v>
      </c>
      <c r="G9907" t="n">
        <v>200</v>
      </c>
      <c r="H9907" t="n">
        <v>5.230000000000001e-72</v>
      </c>
      <c r="I9907" t="inlineStr">
        <is>
          <t>Swiss-Prot</t>
        </is>
      </c>
      <c r="J9907" t="inlineStr">
        <is>
          <t>CYP2D20</t>
        </is>
      </c>
      <c r="K9907" t="inlineStr">
        <is>
          <t>CP2DK_MESAU</t>
        </is>
      </c>
      <c r="L9907" t="inlineStr">
        <is>
          <t>sp|Q9QYG5|CP2DK_MESAU Cytochrome P450 2D20 OS=Mesocricetus auratus OX=10036 GN=CYP2D20 PE=2 SV=1</t>
        </is>
      </c>
      <c r="M9907" t="n">
        <v>500</v>
      </c>
      <c r="N9907" t="inlineStr">
        <is>
          <t>Mesocricetus auratus</t>
        </is>
      </c>
      <c r="O9907" t="inlineStr">
        <is>
          <t>Cytochrome P450 2D20</t>
        </is>
      </c>
    </row>
    <row r="9908">
      <c r="A9908" t="inlineStr"/>
      <c r="B9908" t="inlineStr"/>
      <c r="C9908" t="inlineStr"/>
      <c r="D9908" t="inlineStr"/>
      <c r="E9908">
        <f>HYPERLINK("https://www.uniprot.org/uniprotkb/P24456/entry", "P24456")</f>
        <v/>
      </c>
      <c r="F9908" t="n">
        <v>55.8</v>
      </c>
      <c r="G9908" t="n">
        <v>206</v>
      </c>
      <c r="H9908" t="n">
        <v>1.61e-71</v>
      </c>
      <c r="I9908" t="inlineStr">
        <is>
          <t>Swiss-Prot</t>
        </is>
      </c>
      <c r="J9908" t="inlineStr">
        <is>
          <t>Cyp2d10</t>
        </is>
      </c>
      <c r="K9908" t="inlineStr">
        <is>
          <t>CP2DA_MOUSE</t>
        </is>
      </c>
      <c r="L9908" t="inlineStr">
        <is>
          <t>sp|P24456|CP2DA_MOUSE Cytochrome P450 2D10 OS=Mus musculus OX=10090 GN=Cyp2d10 PE=1 SV=2</t>
        </is>
      </c>
      <c r="M9908" t="n">
        <v>504</v>
      </c>
      <c r="N9908" t="inlineStr">
        <is>
          <t>Mus musculus</t>
        </is>
      </c>
      <c r="O9908" t="inlineStr">
        <is>
          <t>Cytochrome P450 2D10</t>
        </is>
      </c>
    </row>
    <row r="9909">
      <c r="A9909" t="inlineStr"/>
      <c r="B9909" t="inlineStr"/>
      <c r="C9909" t="inlineStr"/>
      <c r="D9909" t="inlineStr"/>
      <c r="E9909">
        <f>HYPERLINK("https://www.uniprot.org/uniprotkb/Q9QUJ1/entry", "Q9QUJ1")</f>
        <v/>
      </c>
      <c r="F9909" t="n">
        <v>56.5</v>
      </c>
      <c r="G9909" t="n">
        <v>207</v>
      </c>
      <c r="H9909" t="n">
        <v>2.06e-71</v>
      </c>
      <c r="I9909" t="inlineStr">
        <is>
          <t>Swiss-Prot</t>
        </is>
      </c>
      <c r="J9909" t="inlineStr">
        <is>
          <t>CYP2D28A</t>
        </is>
      </c>
      <c r="K9909" t="inlineStr">
        <is>
          <t>CP2DS_MESAU</t>
        </is>
      </c>
      <c r="L9909" t="inlineStr">
        <is>
          <t>sp|Q9QUJ1|CP2DS_MESAU Cytochrome P450 2D28 OS=Mesocricetus auratus OX=10036 GN=CYP2D28A PE=2 SV=1</t>
        </is>
      </c>
      <c r="M9909" t="n">
        <v>500</v>
      </c>
      <c r="N9909" t="inlineStr">
        <is>
          <t>Mesocricetus auratus</t>
        </is>
      </c>
      <c r="O9909" t="inlineStr">
        <is>
          <t>Cytochrome P450 2D28</t>
        </is>
      </c>
    </row>
    <row r="9910">
      <c r="A9910" t="inlineStr"/>
      <c r="B9910" t="inlineStr"/>
      <c r="C9910" t="inlineStr"/>
      <c r="D9910" t="inlineStr"/>
      <c r="E9910">
        <f>HYPERLINK("https://www.uniprot.org/uniprotkb/Q9QYG6/entry", "Q9QYG6")</f>
        <v/>
      </c>
      <c r="F9910" t="n">
        <v>58.5</v>
      </c>
      <c r="G9910" t="n">
        <v>200</v>
      </c>
      <c r="H9910" t="n">
        <v>2.91e-71</v>
      </c>
      <c r="I9910" t="inlineStr">
        <is>
          <t>Swiss-Prot</t>
        </is>
      </c>
      <c r="J9910" t="inlineStr">
        <is>
          <t>CYP2D27</t>
        </is>
      </c>
      <c r="K9910" t="inlineStr">
        <is>
          <t>CP2DR_MESAU</t>
        </is>
      </c>
      <c r="L9910" t="inlineStr">
        <is>
          <t>sp|Q9QYG6|CP2DR_MESAU Cytochrome P450 2D27 OS=Mesocricetus auratus OX=10036 GN=CYP2D27 PE=1 SV=1</t>
        </is>
      </c>
      <c r="M9910" t="n">
        <v>500</v>
      </c>
      <c r="N9910" t="inlineStr">
        <is>
          <t>Mesocricetus auratus</t>
        </is>
      </c>
      <c r="O9910" t="inlineStr">
        <is>
          <t>Cytochrome P450 2D27</t>
        </is>
      </c>
    </row>
    <row r="9911">
      <c r="A9911" t="inlineStr"/>
      <c r="B9911" t="inlineStr"/>
      <c r="C9911" t="inlineStr"/>
      <c r="D9911" t="inlineStr"/>
      <c r="E9911">
        <f>HYPERLINK("https://www.uniprot.org/uniprotkb/P10633/entry", "P10633")</f>
        <v/>
      </c>
      <c r="F9911" t="n">
        <v>56</v>
      </c>
      <c r="G9911" t="n">
        <v>209</v>
      </c>
      <c r="H9911" t="n">
        <v>4.96e-70</v>
      </c>
      <c r="I9911" t="inlineStr">
        <is>
          <t>Swiss-Prot</t>
        </is>
      </c>
      <c r="J9911" t="inlineStr">
        <is>
          <t>Cyp2d1</t>
        </is>
      </c>
      <c r="K9911" t="inlineStr">
        <is>
          <t>CP2D1_RAT</t>
        </is>
      </c>
      <c r="L9911" t="inlineStr">
        <is>
          <t>sp|P10633|CP2D1_RAT Cytochrome P450 2D1 OS=Rattus norvegicus OX=10116 GN=Cyp2d1 PE=2 SV=1</t>
        </is>
      </c>
      <c r="M9911" t="n">
        <v>504</v>
      </c>
      <c r="N9911" t="inlineStr">
        <is>
          <t>Rattus norvegicus</t>
        </is>
      </c>
      <c r="O9911" t="inlineStr">
        <is>
          <t>Cytochrome P450 2D1</t>
        </is>
      </c>
    </row>
    <row r="9912">
      <c r="A9912" t="inlineStr"/>
      <c r="B9912" t="inlineStr"/>
      <c r="C9912" t="inlineStr"/>
      <c r="D9912" t="inlineStr"/>
      <c r="E9912">
        <f>HYPERLINK("https://www.uniprot.org/uniprotkb/Q64403/entry", "Q64403")</f>
        <v/>
      </c>
      <c r="F9912" t="n">
        <v>56.3</v>
      </c>
      <c r="G9912" t="n">
        <v>206</v>
      </c>
      <c r="H9912" t="n">
        <v>6.36e-70</v>
      </c>
      <c r="I9912" t="inlineStr">
        <is>
          <t>Swiss-Prot</t>
        </is>
      </c>
      <c r="J9912" t="inlineStr">
        <is>
          <t>CYP2D16</t>
        </is>
      </c>
      <c r="K9912" t="inlineStr">
        <is>
          <t>CP2DG_CAVPO</t>
        </is>
      </c>
      <c r="L9912" t="inlineStr">
        <is>
          <t>sp|Q64403|CP2DG_CAVPO Cytochrome P450 2D16 OS=Cavia porcellus OX=10141 GN=CYP2D16 PE=1 SV=1</t>
        </is>
      </c>
      <c r="M9912" t="n">
        <v>500</v>
      </c>
      <c r="N9912" t="inlineStr">
        <is>
          <t>Cavia porcellus</t>
        </is>
      </c>
      <c r="O9912" t="inlineStr">
        <is>
          <t>Cytochrome P450 2D16</t>
        </is>
      </c>
    </row>
    <row r="9913">
      <c r="A9913" t="inlineStr"/>
      <c r="B9913" t="inlineStr"/>
      <c r="C9913" t="inlineStr"/>
      <c r="D9913" t="inlineStr"/>
      <c r="E9913">
        <f>HYPERLINK("https://www.uniprot.org/uniprotkb/P24457/entry", "P24457")</f>
        <v/>
      </c>
      <c r="F9913" t="n">
        <v>54.1</v>
      </c>
      <c r="G9913" t="n">
        <v>209</v>
      </c>
      <c r="H9913" t="n">
        <v>3.87e-69</v>
      </c>
      <c r="I9913" t="inlineStr">
        <is>
          <t>Swiss-Prot</t>
        </is>
      </c>
      <c r="J9913" t="inlineStr">
        <is>
          <t>Cyp2d11</t>
        </is>
      </c>
      <c r="K9913" t="inlineStr">
        <is>
          <t>CP2DB_MOUSE</t>
        </is>
      </c>
      <c r="L9913" t="inlineStr">
        <is>
          <t>sp|P24457|CP2DB_MOUSE Cytochrome P450 2D11 OS=Mus musculus OX=10090 GN=Cyp2d11 PE=2 SV=2</t>
        </is>
      </c>
      <c r="M9913" t="n">
        <v>504</v>
      </c>
      <c r="N9913" t="inlineStr">
        <is>
          <t>Mus musculus</t>
        </is>
      </c>
      <c r="O9913" t="inlineStr">
        <is>
          <t>Cytochrome P450 2D11</t>
        </is>
      </c>
    </row>
    <row r="9914">
      <c r="A9914" t="inlineStr"/>
      <c r="B9914" t="inlineStr"/>
      <c r="C9914" t="inlineStr"/>
      <c r="D9914" t="inlineStr"/>
      <c r="E9914">
        <f>HYPERLINK("https://www.uniprot.org/uniprotkb/Q01361/entry", "Q01361")</f>
        <v/>
      </c>
      <c r="F9914" t="n">
        <v>55</v>
      </c>
      <c r="G9914" t="n">
        <v>209</v>
      </c>
      <c r="H9914" t="n">
        <v>4.97e-69</v>
      </c>
      <c r="I9914" t="inlineStr">
        <is>
          <t>Swiss-Prot</t>
        </is>
      </c>
      <c r="J9914" t="inlineStr">
        <is>
          <t>CYP2D14</t>
        </is>
      </c>
      <c r="K9914" t="inlineStr">
        <is>
          <t>CP2DE_BOVIN</t>
        </is>
      </c>
      <c r="L9914" t="inlineStr">
        <is>
          <t>sp|Q01361|CP2DE_BOVIN Cytochrome P450 2D14 OS=Bos taurus OX=9913 GN=CYP2D14 PE=2 SV=2</t>
        </is>
      </c>
      <c r="M9914" t="n">
        <v>500</v>
      </c>
      <c r="N9914" t="inlineStr">
        <is>
          <t>Bos taurus</t>
        </is>
      </c>
      <c r="O9914" t="inlineStr">
        <is>
          <t>Cytochrome P450 2D14</t>
        </is>
      </c>
    </row>
    <row r="9915">
      <c r="A9915" t="inlineStr"/>
      <c r="B9915" t="inlineStr"/>
      <c r="C9915" t="inlineStr"/>
      <c r="D9915" t="inlineStr"/>
      <c r="E9915">
        <f>HYPERLINK("https://www.uniprot.org/uniprotkb/P51590/entry", "P51590")</f>
        <v/>
      </c>
      <c r="F9915" t="n">
        <v>58.2</v>
      </c>
      <c r="G9915" t="n">
        <v>194</v>
      </c>
      <c r="H9915" t="n">
        <v>2.89e-68</v>
      </c>
      <c r="I9915" t="inlineStr">
        <is>
          <t>Swiss-Prot</t>
        </is>
      </c>
      <c r="J9915" t="inlineStr">
        <is>
          <t>Cyp2j3</t>
        </is>
      </c>
      <c r="K9915" t="inlineStr">
        <is>
          <t>CP2J3_RAT</t>
        </is>
      </c>
      <c r="L9915" t="inlineStr">
        <is>
          <t>sp|P51590|CP2J3_RAT Cytochrome P450 2J3 OS=Rattus norvegicus OX=10116 GN=Cyp2j3 PE=2 SV=1</t>
        </is>
      </c>
      <c r="M9915" t="n">
        <v>502</v>
      </c>
      <c r="N9915" t="inlineStr">
        <is>
          <t>Rattus norvegicus</t>
        </is>
      </c>
      <c r="O9915" t="inlineStr">
        <is>
          <t>Cytochrome P450 2J3</t>
        </is>
      </c>
    </row>
    <row r="9916">
      <c r="A9916" t="inlineStr"/>
      <c r="B9916" t="inlineStr"/>
      <c r="C9916" t="inlineStr"/>
      <c r="D9916" t="inlineStr"/>
      <c r="E9916">
        <f>HYPERLINK("https://www.uniprot.org/uniprotkb/Q9QXF7/entry", "Q9QXF7")</f>
        <v/>
      </c>
      <c r="F9916" t="n">
        <v>56.5</v>
      </c>
      <c r="G9916" t="n">
        <v>193</v>
      </c>
      <c r="H9916" t="n">
        <v>3.97e-68</v>
      </c>
      <c r="I9916" t="inlineStr">
        <is>
          <t>Swiss-Prot</t>
        </is>
      </c>
      <c r="J9916" t="inlineStr">
        <is>
          <t>CYP2J4</t>
        </is>
      </c>
      <c r="K9916" t="inlineStr">
        <is>
          <t>CP2J4_RAT</t>
        </is>
      </c>
      <c r="L9916" t="inlineStr">
        <is>
          <t>sp|Q9QXF7|CP2J4_RAT Cytochrome P450 2J4 OS=Rattus norvegicus OX=10116 GN=CYP2J4 PE=1 SV=1</t>
        </is>
      </c>
      <c r="M9916" t="n">
        <v>501</v>
      </c>
      <c r="N9916" t="inlineStr">
        <is>
          <t>Rattus norvegicus</t>
        </is>
      </c>
      <c r="O9916" t="inlineStr">
        <is>
          <t>Cytochrome P450 2J4</t>
        </is>
      </c>
    </row>
    <row r="9917">
      <c r="A9917" t="inlineStr"/>
      <c r="B9917" t="inlineStr"/>
      <c r="C9917" t="inlineStr"/>
      <c r="D9917" t="inlineStr"/>
      <c r="E9917">
        <f>HYPERLINK("https://www.uniprot.org/uniprotkb/O54750/entry", "O54750")</f>
        <v/>
      </c>
      <c r="F9917" t="n">
        <v>56.5</v>
      </c>
      <c r="G9917" t="n">
        <v>193</v>
      </c>
      <c r="H9917" t="n">
        <v>1.56e-67</v>
      </c>
      <c r="I9917" t="inlineStr">
        <is>
          <t>Swiss-Prot</t>
        </is>
      </c>
      <c r="J9917" t="inlineStr">
        <is>
          <t>Cyp2j6</t>
        </is>
      </c>
      <c r="K9917" t="inlineStr">
        <is>
          <t>CP2J6_MOUSE</t>
        </is>
      </c>
      <c r="L9917" t="inlineStr">
        <is>
          <t>sp|O54750|CP2J6_MOUSE Cytochrome P450 2J6 OS=Mus musculus OX=10090 GN=Cyp2j6 PE=2 SV=2</t>
        </is>
      </c>
      <c r="M9917" t="n">
        <v>501</v>
      </c>
      <c r="N9917" t="inlineStr">
        <is>
          <t>Mus musculus</t>
        </is>
      </c>
      <c r="O9917" t="inlineStr">
        <is>
          <t>Cytochrome P450 2J6</t>
        </is>
      </c>
    </row>
    <row r="9918">
      <c r="A9918" t="inlineStr"/>
      <c r="B9918" t="inlineStr"/>
      <c r="C9918" t="inlineStr"/>
      <c r="D9918" t="inlineStr"/>
      <c r="E9918">
        <f>HYPERLINK("https://www.uniprot.org/uniprotkb/P51589/entry", "P51589")</f>
        <v/>
      </c>
      <c r="F9918" t="n">
        <v>57.7</v>
      </c>
      <c r="G9918" t="n">
        <v>194</v>
      </c>
      <c r="H9918" t="n">
        <v>8.839999999999999e-67</v>
      </c>
      <c r="I9918" t="inlineStr">
        <is>
          <t>Swiss-Prot</t>
        </is>
      </c>
      <c r="J9918" t="inlineStr">
        <is>
          <t>CYP2J2</t>
        </is>
      </c>
      <c r="K9918" t="inlineStr">
        <is>
          <t>CP2J2_HUMAN</t>
        </is>
      </c>
      <c r="L9918" t="inlineStr">
        <is>
          <t>sp|P51589|CP2J2_HUMAN Cytochrome P450 2J2 OS=Homo sapiens OX=9606 GN=CYP2J2 PE=1 SV=2</t>
        </is>
      </c>
      <c r="M9918" t="n">
        <v>502</v>
      </c>
      <c r="N9918" t="inlineStr">
        <is>
          <t>Homo sapiens</t>
        </is>
      </c>
      <c r="O9918" t="inlineStr">
        <is>
          <t>Cytochrome P450 2J2</t>
        </is>
      </c>
    </row>
    <row r="9919">
      <c r="A9919" t="inlineStr"/>
      <c r="B9919" t="inlineStr"/>
      <c r="C9919" t="inlineStr"/>
      <c r="D9919" t="inlineStr"/>
      <c r="E9919">
        <f>HYPERLINK("https://www.uniprot.org/uniprotkb/O54749/entry", "O54749")</f>
        <v/>
      </c>
      <c r="F9919" t="n">
        <v>54.9</v>
      </c>
      <c r="G9919" t="n">
        <v>193</v>
      </c>
      <c r="H9919" t="n">
        <v>1.45e-64</v>
      </c>
      <c r="I9919" t="inlineStr">
        <is>
          <t>Swiss-Prot</t>
        </is>
      </c>
      <c r="J9919" t="inlineStr">
        <is>
          <t>Cyp2j5</t>
        </is>
      </c>
      <c r="K9919" t="inlineStr">
        <is>
          <t>CP2J5_MOUSE</t>
        </is>
      </c>
      <c r="L9919" t="inlineStr">
        <is>
          <t>sp|O54749|CP2J5_MOUSE Cytochrome P450 2J5 OS=Mus musculus OX=10090 GN=Cyp2j5 PE=1 SV=1</t>
        </is>
      </c>
      <c r="M9919" t="n">
        <v>501</v>
      </c>
      <c r="N9919" t="inlineStr">
        <is>
          <t>Mus musculus</t>
        </is>
      </c>
      <c r="O9919" t="inlineStr">
        <is>
          <t>Cytochrome P450 2J5</t>
        </is>
      </c>
    </row>
    <row r="9920">
      <c r="A9920" t="inlineStr">
        <is>
          <t>NODE_91168_length_1832_cov_115.401700_g820_i9</t>
        </is>
      </c>
      <c r="B9920" t="inlineStr">
        <is>
          <t>bombina_pachypus_blastx</t>
        </is>
      </c>
      <c r="C9920" t="n">
        <v>3.52906060778311</v>
      </c>
      <c r="D9920" t="n">
        <v>0.0258307959168254</v>
      </c>
      <c r="E9920">
        <f>HYPERLINK("https://www.uniprot.org/uniprotkb/A0A8J1MVR7/entry", "A0A8J1MVR7")</f>
        <v/>
      </c>
      <c r="F9920" t="n">
        <v>70.40000000000001</v>
      </c>
      <c r="G9920" t="n">
        <v>206</v>
      </c>
      <c r="H9920" t="n">
        <v>6.38e-73</v>
      </c>
      <c r="I9920" t="inlineStr">
        <is>
          <t>TrEMBL</t>
        </is>
      </c>
      <c r="J9920" t="inlineStr">
        <is>
          <t>LOC108713950</t>
        </is>
      </c>
      <c r="K9920" t="inlineStr">
        <is>
          <t>A0A8J1MVR7_XENLA</t>
        </is>
      </c>
      <c r="L9920" t="inlineStr">
        <is>
          <t>tr|A0A8J1MVR7|A0A8J1MVR7_XENLA ras and Rab interactor 1 OS=Xenopus laevis OX=8355 GN=LOC108713950 PE=3 SV=1</t>
        </is>
      </c>
      <c r="M9920" t="n">
        <v>787</v>
      </c>
      <c r="N9920" t="inlineStr">
        <is>
          <t>Xenopus laevis</t>
        </is>
      </c>
      <c r="O9920" t="inlineStr">
        <is>
          <t>ras and Rab interactor 1</t>
        </is>
      </c>
    </row>
    <row r="9921">
      <c r="A9921" t="inlineStr"/>
      <c r="B9921" t="inlineStr"/>
      <c r="C9921" t="inlineStr"/>
      <c r="D9921" t="inlineStr"/>
      <c r="E9921">
        <f>HYPERLINK("https://www.ncbi.nlm.nih.gov/gene/?term=XP_018113189.1", "XP_018113189.1")</f>
        <v/>
      </c>
      <c r="F9921" t="n">
        <v>70.40000000000001</v>
      </c>
      <c r="G9921" t="n">
        <v>206</v>
      </c>
      <c r="H9921" t="n">
        <v>1.64e-72</v>
      </c>
      <c r="I9921" t="inlineStr">
        <is>
          <t>Nr</t>
        </is>
      </c>
      <c r="J9921" t="inlineStr"/>
      <c r="K9921" t="inlineStr"/>
      <c r="L9921" t="inlineStr">
        <is>
          <t>XP_018113189.1 ras and Rab interactor 1 [Xenopus laevis]</t>
        </is>
      </c>
      <c r="M9921" t="n">
        <v>787</v>
      </c>
      <c r="N9921" t="inlineStr">
        <is>
          <t>Xenopus laevis</t>
        </is>
      </c>
      <c r="O9921" t="inlineStr">
        <is>
          <t>ras and Rab interactor 1</t>
        </is>
      </c>
    </row>
    <row r="9922">
      <c r="A9922" t="inlineStr"/>
      <c r="B9922" t="inlineStr"/>
      <c r="C9922" t="inlineStr"/>
      <c r="D9922" t="inlineStr"/>
      <c r="E9922">
        <f>HYPERLINK("https://www.ncbi.nlm.nih.gov/gene/?term=OCT84154.1", "OCT84154.1")</f>
        <v/>
      </c>
      <c r="F9922" t="n">
        <v>70.40000000000001</v>
      </c>
      <c r="G9922" t="n">
        <v>206</v>
      </c>
      <c r="H9922" t="n">
        <v>2.22e-72</v>
      </c>
      <c r="I9922" t="inlineStr">
        <is>
          <t>Nr</t>
        </is>
      </c>
      <c r="J9922" t="inlineStr"/>
      <c r="K9922" t="inlineStr"/>
      <c r="L9922" t="inlineStr">
        <is>
          <t>OCT84154.1 hypothetical protein XELAEV_18022296mg [Xenopus laevis]</t>
        </is>
      </c>
      <c r="M9922" t="n">
        <v>807</v>
      </c>
      <c r="N9922" t="inlineStr">
        <is>
          <t>Xenopus laevis</t>
        </is>
      </c>
      <c r="O9922" t="inlineStr">
        <is>
          <t>hypothetical protein XELAEV_18022296mg</t>
        </is>
      </c>
    </row>
    <row r="9923">
      <c r="A9923" t="inlineStr"/>
      <c r="B9923" t="inlineStr"/>
      <c r="C9923" t="inlineStr"/>
      <c r="D9923" t="inlineStr"/>
      <c r="E9923">
        <f>HYPERLINK("https://www.ncbi.nlm.nih.gov/gene/?term=KAE8607724.1", "KAE8607724.1")</f>
        <v/>
      </c>
      <c r="F9923" t="n">
        <v>68.59999999999999</v>
      </c>
      <c r="G9923" t="n">
        <v>207</v>
      </c>
      <c r="H9923" t="n">
        <v>1.95e-71</v>
      </c>
      <c r="I9923" t="inlineStr">
        <is>
          <t>Nr</t>
        </is>
      </c>
      <c r="J9923" t="inlineStr"/>
      <c r="K9923" t="inlineStr"/>
      <c r="L9923" t="inlineStr">
        <is>
          <t>KAE8607724.1 hypothetical protein XENTR_v10011262 [Xenopus tropicalis]</t>
        </is>
      </c>
      <c r="M9923" t="n">
        <v>796</v>
      </c>
      <c r="N9923" t="inlineStr">
        <is>
          <t>Xenopus tropicalis</t>
        </is>
      </c>
      <c r="O9923" t="inlineStr">
        <is>
          <t>hypothetical protein XENTR_v10011262</t>
        </is>
      </c>
    </row>
    <row r="9924">
      <c r="A9924" t="inlineStr"/>
      <c r="B9924" t="inlineStr"/>
      <c r="C9924" t="inlineStr"/>
      <c r="D9924" t="inlineStr"/>
      <c r="E9924">
        <f>HYPERLINK("https://www.uniprot.org/uniprotkb/A0A7D9NK16/entry", "A0A7D9NK16")</f>
        <v/>
      </c>
      <c r="F9924" t="n">
        <v>68.59999999999999</v>
      </c>
      <c r="G9924" t="n">
        <v>207</v>
      </c>
      <c r="H9924" t="n">
        <v>2.53e-71</v>
      </c>
      <c r="I9924" t="inlineStr">
        <is>
          <t>TrEMBL</t>
        </is>
      </c>
      <c r="J9924" t="inlineStr">
        <is>
          <t>rin1</t>
        </is>
      </c>
      <c r="K9924" t="inlineStr">
        <is>
          <t>A0A7D9NK16_XENTR</t>
        </is>
      </c>
      <c r="L9924" t="inlineStr">
        <is>
          <t>tr|A0A7D9NK16|A0A7D9NK16_XENTR Ras and Rab interactor 1 OS=Xenopus tropicalis OX=8364 GN=rin1 PE=3 SV=2</t>
        </is>
      </c>
      <c r="M9924" t="n">
        <v>886</v>
      </c>
      <c r="N9924" t="inlineStr">
        <is>
          <t>Xenopus tropicalis</t>
        </is>
      </c>
      <c r="O9924" t="inlineStr">
        <is>
          <t>Ras and Rab interactor 1</t>
        </is>
      </c>
    </row>
    <row r="9925">
      <c r="A9925" t="inlineStr"/>
      <c r="B9925" t="inlineStr"/>
      <c r="C9925" t="inlineStr"/>
      <c r="D9925" t="inlineStr"/>
      <c r="E9925">
        <f>HYPERLINK("https://www.ncbi.nlm.nih.gov/gene/?term=XP_031756551.1", "XP_031756551.1")</f>
        <v/>
      </c>
      <c r="F9925" t="n">
        <v>68.59999999999999</v>
      </c>
      <c r="G9925" t="n">
        <v>207</v>
      </c>
      <c r="H9925" t="n">
        <v>6.49e-71</v>
      </c>
      <c r="I9925" t="inlineStr">
        <is>
          <t>Nr</t>
        </is>
      </c>
      <c r="J9925" t="inlineStr"/>
      <c r="K9925" t="inlineStr"/>
      <c r="L9925" t="inlineStr">
        <is>
          <t>XP_031756551.1 ras and Rab interactor 1 [Xenopus tropicalis]</t>
        </is>
      </c>
      <c r="M9925" t="n">
        <v>886</v>
      </c>
      <c r="N9925" t="inlineStr">
        <is>
          <t>Xenopus tropicalis</t>
        </is>
      </c>
      <c r="O9925" t="inlineStr">
        <is>
          <t>ras and Rab interactor 1</t>
        </is>
      </c>
    </row>
    <row r="9926">
      <c r="A9926" t="inlineStr"/>
      <c r="B9926" t="inlineStr"/>
      <c r="C9926" t="inlineStr"/>
      <c r="D9926" t="inlineStr"/>
      <c r="E9926">
        <f>HYPERLINK("https://www.uniprot.org/uniprotkb/A0A8J1KGU1/entry", "A0A8J1KGU1")</f>
        <v/>
      </c>
      <c r="F9926" t="n">
        <v>68.40000000000001</v>
      </c>
      <c r="G9926" t="n">
        <v>206</v>
      </c>
      <c r="H9926" t="n">
        <v>7.64e-70</v>
      </c>
      <c r="I9926" t="inlineStr">
        <is>
          <t>TrEMBL</t>
        </is>
      </c>
      <c r="J9926" t="inlineStr">
        <is>
          <t>rin1.S</t>
        </is>
      </c>
      <c r="K9926" t="inlineStr">
        <is>
          <t>A0A8J1KGU1_XENLA</t>
        </is>
      </c>
      <c r="L9926" t="inlineStr">
        <is>
          <t>tr|A0A8J1KGU1|A0A8J1KGU1_XENLA ras and Rab interactor 1 isoform X2 OS=Xenopus laevis OX=8355 GN=rin1.S PE=3 SV=1</t>
        </is>
      </c>
      <c r="M9926" t="n">
        <v>770</v>
      </c>
      <c r="N9926" t="inlineStr">
        <is>
          <t>Xenopus laevis</t>
        </is>
      </c>
      <c r="O9926" t="inlineStr">
        <is>
          <t>ras and Rab interactor 1 isoform X2</t>
        </is>
      </c>
    </row>
    <row r="9927">
      <c r="A9927" t="inlineStr"/>
      <c r="B9927" t="inlineStr"/>
      <c r="C9927" t="inlineStr"/>
      <c r="D9927" t="inlineStr"/>
      <c r="E9927">
        <f>HYPERLINK("https://www.uniprot.org/uniprotkb/A0A1L8GD82/entry", "A0A1L8GD82")</f>
        <v/>
      </c>
      <c r="F9927" t="n">
        <v>68.40000000000001</v>
      </c>
      <c r="G9927" t="n">
        <v>206</v>
      </c>
      <c r="H9927" t="n">
        <v>1.1e-69</v>
      </c>
      <c r="I9927" t="inlineStr">
        <is>
          <t>TrEMBL</t>
        </is>
      </c>
      <c r="J9927" t="inlineStr">
        <is>
          <t>rin1.S</t>
        </is>
      </c>
      <c r="K9927" t="inlineStr">
        <is>
          <t>A0A1L8GD82_XENLA</t>
        </is>
      </c>
      <c r="L9927" t="inlineStr">
        <is>
          <t>tr|A0A1L8GD82|A0A1L8GD82_XENLA ras and Rab interactor 1 isoform X1 OS=Xenopus laevis OX=8355 GN=rin1.S PE=3 SV=1</t>
        </is>
      </c>
      <c r="M9927" t="n">
        <v>795</v>
      </c>
      <c r="N9927" t="inlineStr">
        <is>
          <t>Xenopus laevis</t>
        </is>
      </c>
      <c r="O9927" t="inlineStr">
        <is>
          <t>ras and Rab interactor 1 isoform X1</t>
        </is>
      </c>
    </row>
    <row r="9928">
      <c r="A9928" t="inlineStr"/>
      <c r="B9928" t="inlineStr"/>
      <c r="C9928" t="inlineStr"/>
      <c r="D9928" t="inlineStr"/>
      <c r="E9928">
        <f>HYPERLINK("https://www.ncbi.nlm.nih.gov/gene/?term=XP_041416607.1", "XP_041416607.1")</f>
        <v/>
      </c>
      <c r="F9928" t="n">
        <v>68.40000000000001</v>
      </c>
      <c r="G9928" t="n">
        <v>206</v>
      </c>
      <c r="H9928" t="n">
        <v>1.96e-69</v>
      </c>
      <c r="I9928" t="inlineStr">
        <is>
          <t>Nr</t>
        </is>
      </c>
      <c r="J9928" t="inlineStr"/>
      <c r="K9928" t="inlineStr"/>
      <c r="L9928" t="inlineStr">
        <is>
          <t>XP_041416607.1 ras and Rab interactor 1 isoform X2 [Xenopus laevis]</t>
        </is>
      </c>
      <c r="M9928" t="n">
        <v>770</v>
      </c>
      <c r="N9928" t="inlineStr">
        <is>
          <t>Xenopus laevis</t>
        </is>
      </c>
      <c r="O9928" t="inlineStr">
        <is>
          <t>ras and Rab interactor 1 isoform X2</t>
        </is>
      </c>
    </row>
    <row r="9929">
      <c r="A9929" t="inlineStr"/>
      <c r="B9929" t="inlineStr"/>
      <c r="C9929" t="inlineStr"/>
      <c r="D9929" t="inlineStr"/>
      <c r="E9929">
        <f>HYPERLINK("https://www.ncbi.nlm.nih.gov/gene/?term=XP_041416604.1", "XP_041416604.1")</f>
        <v/>
      </c>
      <c r="F9929" t="n">
        <v>68.40000000000001</v>
      </c>
      <c r="G9929" t="n">
        <v>206</v>
      </c>
      <c r="H9929" t="n">
        <v>2.83e-69</v>
      </c>
      <c r="I9929" t="inlineStr">
        <is>
          <t>Nr</t>
        </is>
      </c>
      <c r="J9929" t="inlineStr"/>
      <c r="K9929" t="inlineStr"/>
      <c r="L9929" t="inlineStr">
        <is>
          <t>XP_041416604.1 ras and Rab interactor 1 isoform X1 [Xenopus laevis]</t>
        </is>
      </c>
      <c r="M9929" t="n">
        <v>795</v>
      </c>
      <c r="N9929" t="inlineStr">
        <is>
          <t>Xenopus laevis</t>
        </is>
      </c>
      <c r="O9929" t="inlineStr">
        <is>
          <t>ras and Rab interactor 1 isoform X1</t>
        </is>
      </c>
    </row>
    <row r="9930">
      <c r="A9930" t="inlineStr"/>
      <c r="B9930" t="inlineStr"/>
      <c r="C9930" t="inlineStr"/>
      <c r="D9930" t="inlineStr"/>
      <c r="E9930">
        <f>HYPERLINK("https://www.uniprot.org/uniprotkb/A0A822HIQ7/entry", "A0A822HIQ7")</f>
        <v/>
      </c>
      <c r="F9930" t="n">
        <v>63.5</v>
      </c>
      <c r="G9930" t="n">
        <v>208</v>
      </c>
      <c r="H9930" t="n">
        <v>1.39e-67</v>
      </c>
      <c r="I9930" t="inlineStr">
        <is>
          <t>TrEMBL</t>
        </is>
      </c>
      <c r="J9930" t="inlineStr">
        <is>
          <t>RIMITATOR_LOCUS12932205</t>
        </is>
      </c>
      <c r="K9930" t="inlineStr">
        <is>
          <t>A0A822HIQ7_9NEOB</t>
        </is>
      </c>
      <c r="L9930" t="inlineStr">
        <is>
          <t>tr|A0A822HIQ7|A0A822HIQ7_9NEOB (mimic poison frog) hypothetical protein OS=Ranitomeya imitator OX=111125 GN=RIMITATOR_LOCUS12932205 PE=3 SV=1</t>
        </is>
      </c>
      <c r="M9930" t="n">
        <v>809</v>
      </c>
      <c r="N9930" t="inlineStr">
        <is>
          <t>Ranitomeya imitator</t>
        </is>
      </c>
      <c r="O9930" t="inlineStr">
        <is>
          <t>(mimic poison frog) hypothetical protein</t>
        </is>
      </c>
    </row>
    <row r="9931">
      <c r="A9931" t="inlineStr"/>
      <c r="B9931" t="inlineStr"/>
      <c r="C9931" t="inlineStr"/>
      <c r="D9931" t="inlineStr"/>
      <c r="E9931">
        <f>HYPERLINK("https://www.uniprot.org/uniprotkb/A0A8C5MRF8/entry", "A0A8C5MRF8")</f>
        <v/>
      </c>
      <c r="F9931" t="n">
        <v>64.7</v>
      </c>
      <c r="G9931" t="n">
        <v>207</v>
      </c>
      <c r="H9931" t="n">
        <v>3.4e-66</v>
      </c>
      <c r="I9931" t="inlineStr">
        <is>
          <t>TrEMBL</t>
        </is>
      </c>
      <c r="J9931" t="inlineStr">
        <is>
          <t>RIN1</t>
        </is>
      </c>
      <c r="K9931" t="inlineStr">
        <is>
          <t>A0A8C5MRF8_9ANUR</t>
        </is>
      </c>
      <c r="L9931" t="inlineStr">
        <is>
          <t>tr|A0A8C5MRF8|A0A8C5MRF8_9ANUR Ras and Rab interactor 1 OS=Leptobrachium leishanense OX=445787 GN=RIN1 PE=3 SV=1</t>
        </is>
      </c>
      <c r="M9931" t="n">
        <v>800</v>
      </c>
      <c r="N9931" t="inlineStr">
        <is>
          <t>Leptobrachium leishanense</t>
        </is>
      </c>
      <c r="O9931" t="inlineStr">
        <is>
          <t>Ras and Rab interactor 1</t>
        </is>
      </c>
    </row>
    <row r="9932">
      <c r="A9932" t="inlineStr"/>
      <c r="B9932" t="inlineStr"/>
      <c r="C9932" t="inlineStr"/>
      <c r="D9932" t="inlineStr"/>
      <c r="E9932">
        <f>HYPERLINK("https://www.ncbi.nlm.nih.gov/gene/?term=KAG8563598.1", "KAG8563598.1")</f>
        <v/>
      </c>
      <c r="F9932" t="n">
        <v>63</v>
      </c>
      <c r="G9932" t="n">
        <v>208</v>
      </c>
      <c r="H9932" t="n">
        <v>2.99e-65</v>
      </c>
      <c r="I9932" t="inlineStr">
        <is>
          <t>Nr</t>
        </is>
      </c>
      <c r="J9932" t="inlineStr"/>
      <c r="K9932" t="inlineStr"/>
      <c r="L9932" t="inlineStr">
        <is>
          <t>KAG8563598.1 hypothetical protein GDO81_016149 [Engystomops pustulosus]</t>
        </is>
      </c>
      <c r="M9932" t="n">
        <v>793</v>
      </c>
      <c r="N9932" t="inlineStr">
        <is>
          <t>Engystomops pustulosus</t>
        </is>
      </c>
      <c r="O9932" t="inlineStr">
        <is>
          <t>hypothetical protein GDO81_016149</t>
        </is>
      </c>
    </row>
    <row r="9933">
      <c r="A9933" t="inlineStr"/>
      <c r="B9933" t="inlineStr"/>
      <c r="C9933" t="inlineStr"/>
      <c r="D9933" t="inlineStr"/>
      <c r="E9933">
        <f>HYPERLINK("https://www.ncbi.nlm.nih.gov/gene/?term=XP_053304353.1", "XP_053304353.1")</f>
        <v/>
      </c>
      <c r="F9933" t="n">
        <v>63.6</v>
      </c>
      <c r="G9933" t="n">
        <v>209</v>
      </c>
      <c r="H9933" t="n">
        <v>1.71e-64</v>
      </c>
      <c r="I9933" t="inlineStr">
        <is>
          <t>Nr</t>
        </is>
      </c>
      <c r="J9933" t="inlineStr"/>
      <c r="K9933" t="inlineStr"/>
      <c r="L9933" t="inlineStr">
        <is>
          <t>XP_053304353.1 ras and Rab interactor 1 [Spea bombifrons]</t>
        </is>
      </c>
      <c r="M9933" t="n">
        <v>800</v>
      </c>
      <c r="N9933" t="inlineStr">
        <is>
          <t>Spea bombifrons</t>
        </is>
      </c>
      <c r="O9933" t="inlineStr">
        <is>
          <t>ras and Rab interactor 1</t>
        </is>
      </c>
    </row>
    <row r="9934">
      <c r="A9934" t="inlineStr"/>
      <c r="B9934" t="inlineStr"/>
      <c r="C9934" t="inlineStr"/>
      <c r="D9934" t="inlineStr"/>
      <c r="E9934">
        <f>HYPERLINK("https://www.ncbi.nlm.nih.gov/gene/?term=XP_040184810.1", "XP_040184810.1")</f>
        <v/>
      </c>
      <c r="F9934" t="n">
        <v>60.8</v>
      </c>
      <c r="G9934" t="n">
        <v>209</v>
      </c>
      <c r="H9934" t="n">
        <v>4.61e-64</v>
      </c>
      <c r="I9934" t="inlineStr">
        <is>
          <t>Nr</t>
        </is>
      </c>
      <c r="J9934" t="inlineStr"/>
      <c r="K9934" t="inlineStr"/>
      <c r="L9934" t="inlineStr">
        <is>
          <t>XP_040184810.1 ras and Rab interactor 1 isoform X2 [Rana temporaria]</t>
        </is>
      </c>
      <c r="M9934" t="n">
        <v>750</v>
      </c>
      <c r="N9934" t="inlineStr">
        <is>
          <t>Rana temporaria</t>
        </is>
      </c>
      <c r="O9934" t="inlineStr">
        <is>
          <t>ras and Rab interactor 1 isoform X2</t>
        </is>
      </c>
    </row>
    <row r="9935">
      <c r="A9935" t="inlineStr"/>
      <c r="B9935" t="inlineStr"/>
      <c r="C9935" t="inlineStr"/>
      <c r="D9935" t="inlineStr"/>
      <c r="E9935">
        <f>HYPERLINK("https://www.ncbi.nlm.nih.gov/gene/?term=XP_040184808.1", "XP_040184808.1")</f>
        <v/>
      </c>
      <c r="F9935" t="n">
        <v>60.8</v>
      </c>
      <c r="G9935" t="n">
        <v>209</v>
      </c>
      <c r="H9935" t="n">
        <v>9.25e-64</v>
      </c>
      <c r="I9935" t="inlineStr">
        <is>
          <t>Nr</t>
        </is>
      </c>
      <c r="J9935" t="inlineStr"/>
      <c r="K9935" t="inlineStr"/>
      <c r="L9935" t="inlineStr">
        <is>
          <t>XP_040184808.1 ras and Rab interactor 1 isoform X1 [Rana temporaria]</t>
        </is>
      </c>
      <c r="M9935" t="n">
        <v>803</v>
      </c>
      <c r="N9935" t="inlineStr">
        <is>
          <t>Rana temporaria</t>
        </is>
      </c>
      <c r="O9935" t="inlineStr">
        <is>
          <t>ras and Rab interactor 1 isoform X1</t>
        </is>
      </c>
    </row>
    <row r="9936">
      <c r="A9936" t="inlineStr"/>
      <c r="B9936" t="inlineStr"/>
      <c r="C9936" t="inlineStr"/>
      <c r="D9936" t="inlineStr"/>
      <c r="E9936">
        <f>HYPERLINK("https://www.uniprot.org/uniprotkb/A0A8J6K1D6/entry", "A0A8J6K1D6")</f>
        <v/>
      </c>
      <c r="F9936" t="n">
        <v>63.9</v>
      </c>
      <c r="G9936" t="n">
        <v>202</v>
      </c>
      <c r="H9936" t="n">
        <v>3.02e-63</v>
      </c>
      <c r="I9936" t="inlineStr">
        <is>
          <t>TrEMBL</t>
        </is>
      </c>
      <c r="J9936" t="inlineStr">
        <is>
          <t>GDO78_003618</t>
        </is>
      </c>
      <c r="K9936" t="inlineStr">
        <is>
          <t>A0A8J6K1D6_ELECQ</t>
        </is>
      </c>
      <c r="L9936" t="inlineStr">
        <is>
          <t>tr|A0A8J6K1D6|A0A8J6K1D6_ELECQ Ras and Rab interactor 2 OS=Eleutherodactylus coqui OX=57060 GN=GDO78_003618 PE=3 SV=1</t>
        </is>
      </c>
      <c r="M9936" t="n">
        <v>715</v>
      </c>
      <c r="N9936" t="inlineStr">
        <is>
          <t>Eleutherodactylus coqui</t>
        </is>
      </c>
      <c r="O9936" t="inlineStr">
        <is>
          <t>Ras and Rab interactor 2</t>
        </is>
      </c>
    </row>
    <row r="9937">
      <c r="A9937" t="inlineStr"/>
      <c r="B9937" t="inlineStr"/>
      <c r="C9937" t="inlineStr"/>
      <c r="D9937" t="inlineStr"/>
      <c r="E9937">
        <f>HYPERLINK("https://www.uniprot.org/uniprotkb/A0A8J6K4Q9/entry", "A0A8J6K4Q9")</f>
        <v/>
      </c>
      <c r="F9937" t="n">
        <v>63.9</v>
      </c>
      <c r="G9937" t="n">
        <v>202</v>
      </c>
      <c r="H9937" t="n">
        <v>3.06e-63</v>
      </c>
      <c r="I9937" t="inlineStr">
        <is>
          <t>TrEMBL</t>
        </is>
      </c>
      <c r="J9937" t="inlineStr">
        <is>
          <t>GDO78_003618</t>
        </is>
      </c>
      <c r="K9937" t="inlineStr">
        <is>
          <t>A0A8J6K4Q9_ELECQ</t>
        </is>
      </c>
      <c r="L9937" t="inlineStr">
        <is>
          <t>tr|A0A8J6K4Q9|A0A8J6K4Q9_ELECQ Ras and Rab interactor 2 OS=Eleutherodactylus coqui OX=57060 GN=GDO78_003618 PE=3 SV=1</t>
        </is>
      </c>
      <c r="M9937" t="n">
        <v>716</v>
      </c>
      <c r="N9937" t="inlineStr">
        <is>
          <t>Eleutherodactylus coqui</t>
        </is>
      </c>
      <c r="O9937" t="inlineStr">
        <is>
          <t>Ras and Rab interactor 2</t>
        </is>
      </c>
    </row>
    <row r="9938">
      <c r="A9938" t="inlineStr"/>
      <c r="B9938" t="inlineStr"/>
      <c r="C9938" t="inlineStr"/>
      <c r="D9938" t="inlineStr"/>
      <c r="E9938">
        <f>HYPERLINK("https://www.ncbi.nlm.nih.gov/gene/?term=KAG9475265.1", "KAG9475265.1")</f>
        <v/>
      </c>
      <c r="F9938" t="n">
        <v>63.9</v>
      </c>
      <c r="G9938" t="n">
        <v>202</v>
      </c>
      <c r="H9938" t="n">
        <v>7.75e-63</v>
      </c>
      <c r="I9938" t="inlineStr">
        <is>
          <t>Nr</t>
        </is>
      </c>
      <c r="J9938" t="inlineStr"/>
      <c r="K9938" t="inlineStr"/>
      <c r="L9938" t="inlineStr">
        <is>
          <t>KAG9475265.1 hypothetical protein GDO78_003618 [Eleutherodactylus coqui]</t>
        </is>
      </c>
      <c r="M9938" t="n">
        <v>715</v>
      </c>
      <c r="N9938" t="inlineStr">
        <is>
          <t>Eleutherodactylus coqui</t>
        </is>
      </c>
      <c r="O9938" t="inlineStr">
        <is>
          <t>hypothetical protein GDO78_003618</t>
        </is>
      </c>
    </row>
    <row r="9939">
      <c r="A9939" t="inlineStr"/>
      <c r="B9939" t="inlineStr"/>
      <c r="C9939" t="inlineStr"/>
      <c r="D9939" t="inlineStr"/>
      <c r="E9939">
        <f>HYPERLINK("https://www.ncbi.nlm.nih.gov/gene/?term=KAG9475264.1", "KAG9475264.1")</f>
        <v/>
      </c>
      <c r="F9939" t="n">
        <v>63.9</v>
      </c>
      <c r="G9939" t="n">
        <v>202</v>
      </c>
      <c r="H9939" t="n">
        <v>7.86e-63</v>
      </c>
      <c r="I9939" t="inlineStr">
        <is>
          <t>Nr</t>
        </is>
      </c>
      <c r="J9939" t="inlineStr"/>
      <c r="K9939" t="inlineStr"/>
      <c r="L9939" t="inlineStr">
        <is>
          <t>KAG9475264.1 hypothetical protein GDO78_003618 [Eleutherodactylus coqui]</t>
        </is>
      </c>
      <c r="M9939" t="n">
        <v>716</v>
      </c>
      <c r="N9939" t="inlineStr">
        <is>
          <t>Eleutherodactylus coqui</t>
        </is>
      </c>
      <c r="O9939" t="inlineStr">
        <is>
          <t>hypothetical protein GDO78_003618</t>
        </is>
      </c>
    </row>
    <row r="9940">
      <c r="A9940" t="inlineStr"/>
      <c r="B9940" t="inlineStr"/>
      <c r="C9940" t="inlineStr"/>
      <c r="D9940" t="inlineStr"/>
      <c r="E9940">
        <f>HYPERLINK("https://www.ncbi.nlm.nih.gov/gene/?term=XP_018408375.1", "XP_018408375.1")</f>
        <v/>
      </c>
      <c r="F9940" t="n">
        <v>60.8</v>
      </c>
      <c r="G9940" t="n">
        <v>209</v>
      </c>
      <c r="H9940" t="n">
        <v>8.97e-63</v>
      </c>
      <c r="I9940" t="inlineStr">
        <is>
          <t>Nr</t>
        </is>
      </c>
      <c r="J9940" t="inlineStr"/>
      <c r="K9940" t="inlineStr"/>
      <c r="L9940" t="inlineStr">
        <is>
          <t>XP_018408375.1 PREDICTED: ras and Rab interactor 1 [Nanorana parkeri]</t>
        </is>
      </c>
      <c r="M9940" t="n">
        <v>800</v>
      </c>
      <c r="N9940" t="inlineStr">
        <is>
          <t>Nanorana parkeri</t>
        </is>
      </c>
      <c r="O9940" t="inlineStr">
        <is>
          <t>PREDICTED: ras and Rab interactor 1</t>
        </is>
      </c>
    </row>
    <row r="9941">
      <c r="A9941" t="inlineStr"/>
      <c r="B9941" t="inlineStr"/>
      <c r="C9941" t="inlineStr"/>
      <c r="D9941" t="inlineStr"/>
      <c r="E9941">
        <f>HYPERLINK("https://www.uniprot.org/uniprotkb/A0A8T2J649/entry", "A0A8T2J649")</f>
        <v/>
      </c>
      <c r="F9941" t="n">
        <v>61.5</v>
      </c>
      <c r="G9941" t="n">
        <v>205</v>
      </c>
      <c r="H9941" t="n">
        <v>1.74e-58</v>
      </c>
      <c r="I9941" t="inlineStr">
        <is>
          <t>TrEMBL</t>
        </is>
      </c>
      <c r="J9941" t="inlineStr">
        <is>
          <t>GDO86_008532</t>
        </is>
      </c>
      <c r="K9941" t="inlineStr">
        <is>
          <t>A0A8T2J649_9PIPI</t>
        </is>
      </c>
      <c r="L9941" t="inlineStr">
        <is>
          <t>tr|A0A8T2J649|A0A8T2J649_9PIPI Ras and Rab interactor 1 OS=Hymenochirus boettgeri OX=247094 GN=GDO86_008532 PE=3 SV=1</t>
        </is>
      </c>
      <c r="M9941" t="n">
        <v>798</v>
      </c>
      <c r="N9941" t="inlineStr">
        <is>
          <t>Hymenochirus boettgeri</t>
        </is>
      </c>
      <c r="O9941" t="inlineStr">
        <is>
          <t>Ras and Rab interactor 1</t>
        </is>
      </c>
    </row>
    <row r="9942">
      <c r="A9942" t="inlineStr"/>
      <c r="B9942" t="inlineStr"/>
      <c r="C9942" t="inlineStr"/>
      <c r="D9942" t="inlineStr"/>
      <c r="E9942">
        <f>HYPERLINK("https://www.ncbi.nlm.nih.gov/gene/?term=KAG8437866.1", "KAG8437866.1")</f>
        <v/>
      </c>
      <c r="F9942" t="n">
        <v>61.5</v>
      </c>
      <c r="G9942" t="n">
        <v>205</v>
      </c>
      <c r="H9942" t="n">
        <v>4.460000000000001e-58</v>
      </c>
      <c r="I9942" t="inlineStr">
        <is>
          <t>Nr</t>
        </is>
      </c>
      <c r="J9942" t="inlineStr"/>
      <c r="K9942" t="inlineStr"/>
      <c r="L9942" t="inlineStr">
        <is>
          <t>KAG8437866.1 hypothetical protein GDO86_008532 [Hymenochirus boettgeri]</t>
        </is>
      </c>
      <c r="M9942" t="n">
        <v>798</v>
      </c>
      <c r="N9942" t="inlineStr">
        <is>
          <t>Hymenochirus boettgeri</t>
        </is>
      </c>
      <c r="O9942" t="inlineStr">
        <is>
          <t>hypothetical protein GDO86_008532</t>
        </is>
      </c>
    </row>
    <row r="9943">
      <c r="A9943" t="inlineStr"/>
      <c r="B9943" t="inlineStr"/>
      <c r="C9943" t="inlineStr"/>
      <c r="D9943" t="inlineStr"/>
      <c r="E9943">
        <f>HYPERLINK("https://www.ncbi.nlm.nih.gov/gene/?term=KAJ1105987.1", "KAJ1105987.1")</f>
        <v/>
      </c>
      <c r="F9943" t="n">
        <v>35.1</v>
      </c>
      <c r="G9943" t="n">
        <v>231</v>
      </c>
      <c r="H9943" t="n">
        <v>3.01e-13</v>
      </c>
      <c r="I9943" t="inlineStr">
        <is>
          <t>Nr</t>
        </is>
      </c>
      <c r="J9943" t="inlineStr"/>
      <c r="K9943" t="inlineStr"/>
      <c r="L9943" t="inlineStr">
        <is>
          <t>KAJ1105987.1 hypothetical protein NDU88_003390 [Pleurodeles waltl]</t>
        </is>
      </c>
      <c r="M9943" t="n">
        <v>872</v>
      </c>
      <c r="N9943" t="inlineStr">
        <is>
          <t>Pleurodeles waltl</t>
        </is>
      </c>
      <c r="O9943" t="inlineStr">
        <is>
          <t>hypothetical protein NDU88_003390</t>
        </is>
      </c>
    </row>
    <row r="9944">
      <c r="A9944" t="inlineStr"/>
      <c r="B9944" t="inlineStr"/>
      <c r="C9944" t="inlineStr"/>
      <c r="D9944" t="inlineStr"/>
      <c r="E9944">
        <f>HYPERLINK("https://www.uniprot.org/uniprotkb/A0A6P7Z6S4/entry", "A0A6P7Z6S4")</f>
        <v/>
      </c>
      <c r="F9944" t="n">
        <v>34.9</v>
      </c>
      <c r="G9944" t="n">
        <v>215</v>
      </c>
      <c r="H9944" t="n">
        <v>4.57e-12</v>
      </c>
      <c r="I9944" t="inlineStr">
        <is>
          <t>TrEMBL</t>
        </is>
      </c>
      <c r="J9944" t="inlineStr">
        <is>
          <t>RIN1</t>
        </is>
      </c>
      <c r="K9944" t="inlineStr">
        <is>
          <t>A0A6P7Z6S4_9AMPH</t>
        </is>
      </c>
      <c r="L9944" t="inlineStr">
        <is>
          <t>tr|A0A6P7Z6S4|A0A6P7Z6S4_9AMPH ras and Rab interactor 1 isoform X2 OS=Microcaecilia unicolor OX=1415580 GN=RIN1 PE=3 SV=1</t>
        </is>
      </c>
      <c r="M9944" t="n">
        <v>909</v>
      </c>
      <c r="N9944" t="inlineStr">
        <is>
          <t>Microcaecilia unicolor</t>
        </is>
      </c>
      <c r="O9944" t="inlineStr">
        <is>
          <t>ras and Rab interactor 1 isoform X2</t>
        </is>
      </c>
    </row>
    <row r="9945">
      <c r="A9945" t="inlineStr"/>
      <c r="B9945" t="inlineStr"/>
      <c r="C9945" t="inlineStr"/>
      <c r="D9945" t="inlineStr"/>
      <c r="E9945">
        <f>HYPERLINK("https://www.uniprot.org/uniprotkb/A0A6P7ZF43/entry", "A0A6P7ZF43")</f>
        <v/>
      </c>
      <c r="F9945" t="n">
        <v>34.9</v>
      </c>
      <c r="G9945" t="n">
        <v>215</v>
      </c>
      <c r="H9945" t="n">
        <v>4.57e-12</v>
      </c>
      <c r="I9945" t="inlineStr">
        <is>
          <t>TrEMBL</t>
        </is>
      </c>
      <c r="J9945" t="inlineStr">
        <is>
          <t>RIN1</t>
        </is>
      </c>
      <c r="K9945" t="inlineStr">
        <is>
          <t>A0A6P7ZF43_9AMPH</t>
        </is>
      </c>
      <c r="L9945" t="inlineStr">
        <is>
          <t>tr|A0A6P7ZF43|A0A6P7ZF43_9AMPH ras and Rab interactor 1 isoform X1 OS=Microcaecilia unicolor OX=1415580 GN=RIN1 PE=3 SV=1</t>
        </is>
      </c>
      <c r="M9945" t="n">
        <v>911</v>
      </c>
      <c r="N9945" t="inlineStr">
        <is>
          <t>Microcaecilia unicolor</t>
        </is>
      </c>
      <c r="O9945" t="inlineStr">
        <is>
          <t>ras and Rab interactor 1 isoform X1</t>
        </is>
      </c>
    </row>
    <row r="9946">
      <c r="A9946" t="inlineStr"/>
      <c r="B9946" t="inlineStr"/>
      <c r="C9946" t="inlineStr"/>
      <c r="D9946" t="inlineStr"/>
      <c r="E9946">
        <f>HYPERLINK("https://www.ncbi.nlm.nih.gov/gene/?term=XP_030075052.1", "XP_030075052.1")</f>
        <v/>
      </c>
      <c r="F9946" t="n">
        <v>34.9</v>
      </c>
      <c r="G9946" t="n">
        <v>215</v>
      </c>
      <c r="H9946" t="n">
        <v>1.17e-11</v>
      </c>
      <c r="I9946" t="inlineStr">
        <is>
          <t>Nr</t>
        </is>
      </c>
      <c r="J9946" t="inlineStr"/>
      <c r="K9946" t="inlineStr"/>
      <c r="L9946" t="inlineStr">
        <is>
          <t>XP_030075052.1 ras and Rab interactor 1 isoform X2 [Microcaecilia unicolor]</t>
        </is>
      </c>
      <c r="M9946" t="n">
        <v>909</v>
      </c>
      <c r="N9946" t="inlineStr">
        <is>
          <t>Microcaecilia unicolor</t>
        </is>
      </c>
      <c r="O9946" t="inlineStr">
        <is>
          <t>ras and Rab interactor 1 isoform X2</t>
        </is>
      </c>
    </row>
    <row r="9947">
      <c r="A9947" t="inlineStr"/>
      <c r="B9947" t="inlineStr"/>
      <c r="C9947" t="inlineStr"/>
      <c r="D9947" t="inlineStr"/>
      <c r="E9947">
        <f>HYPERLINK("https://www.ncbi.nlm.nih.gov/gene/?term=XP_030075051.1", "XP_030075051.1")</f>
        <v/>
      </c>
      <c r="F9947" t="n">
        <v>34.9</v>
      </c>
      <c r="G9947" t="n">
        <v>215</v>
      </c>
      <c r="H9947" t="n">
        <v>1.17e-11</v>
      </c>
      <c r="I9947" t="inlineStr">
        <is>
          <t>Nr</t>
        </is>
      </c>
      <c r="J9947" t="inlineStr"/>
      <c r="K9947" t="inlineStr"/>
      <c r="L9947" t="inlineStr">
        <is>
          <t>XP_030075051.1 ras and Rab interactor 1 isoform X1 [Microcaecilia unicolor]</t>
        </is>
      </c>
      <c r="M9947" t="n">
        <v>911</v>
      </c>
      <c r="N9947" t="inlineStr">
        <is>
          <t>Microcaecilia unicolor</t>
        </is>
      </c>
      <c r="O9947" t="inlineStr">
        <is>
          <t>ras and Rab interactor 1 isoform X1</t>
        </is>
      </c>
    </row>
    <row r="9948">
      <c r="A9948" t="inlineStr"/>
      <c r="B9948" t="inlineStr"/>
      <c r="C9948" t="inlineStr"/>
      <c r="D9948" t="inlineStr"/>
      <c r="E9948">
        <f>HYPERLINK("https://www.uniprot.org/uniprotkb/H3AVG2/entry", "H3AVG2")</f>
        <v/>
      </c>
      <c r="F9948" t="n">
        <v>39.8</v>
      </c>
      <c r="G9948" t="n">
        <v>133</v>
      </c>
      <c r="H9948" t="n">
        <v>2.15e-10</v>
      </c>
      <c r="I9948" t="inlineStr">
        <is>
          <t>TrEMBL</t>
        </is>
      </c>
      <c r="J9948" t="inlineStr">
        <is>
          <t>RIN1</t>
        </is>
      </c>
      <c r="K9948" t="inlineStr">
        <is>
          <t>H3AVG2_LATCH</t>
        </is>
      </c>
      <c r="L9948" t="inlineStr">
        <is>
          <t>tr|H3AVG2|H3AVG2_LATCH Ras and Rab interactor 1 OS=Latimeria chalumnae OX=7897 GN=RIN1 PE=4 SV=1</t>
        </is>
      </c>
      <c r="M9948" t="n">
        <v>592</v>
      </c>
      <c r="N9948" t="inlineStr">
        <is>
          <t>Latimeria chalumnae</t>
        </is>
      </c>
      <c r="O9948" t="inlineStr">
        <is>
          <t>Ras and Rab interactor 1</t>
        </is>
      </c>
    </row>
    <row r="9949">
      <c r="A9949" t="inlineStr"/>
      <c r="B9949" t="inlineStr"/>
      <c r="C9949" t="inlineStr"/>
      <c r="D9949" t="inlineStr"/>
      <c r="E9949">
        <f>HYPERLINK("https://www.ncbi.nlm.nih.gov/gene/?term=XP_006002526.1", "XP_006002526.1")</f>
        <v/>
      </c>
      <c r="F9949" t="n">
        <v>39.8</v>
      </c>
      <c r="G9949" t="n">
        <v>133</v>
      </c>
      <c r="H9949" t="n">
        <v>5.61e-10</v>
      </c>
      <c r="I9949" t="inlineStr">
        <is>
          <t>Nr</t>
        </is>
      </c>
      <c r="J9949" t="inlineStr"/>
      <c r="K9949" t="inlineStr"/>
      <c r="L9949" t="inlineStr">
        <is>
          <t>XP_006002526.1 PREDICTED: ras and Rab interactor 1 [Latimeria chalumnae]</t>
        </is>
      </c>
      <c r="M9949" t="n">
        <v>624</v>
      </c>
      <c r="N9949" t="inlineStr">
        <is>
          <t>Latimeria chalumnae</t>
        </is>
      </c>
      <c r="O9949" t="inlineStr">
        <is>
          <t>PREDICTED: ras and Rab interactor 1</t>
        </is>
      </c>
    </row>
    <row r="9950">
      <c r="A9950" t="inlineStr"/>
      <c r="B9950" t="inlineStr"/>
      <c r="C9950" t="inlineStr"/>
      <c r="D9950" t="inlineStr"/>
      <c r="E9950">
        <f>HYPERLINK("https://www.ncbi.nlm.nih.gov/gene/?term=XP_029468875.1", "XP_029468875.1")</f>
        <v/>
      </c>
      <c r="F9950" t="n">
        <v>32.2</v>
      </c>
      <c r="G9950" t="n">
        <v>233</v>
      </c>
      <c r="H9950" t="n">
        <v>1.06e-09</v>
      </c>
      <c r="I9950" t="inlineStr">
        <is>
          <t>Nr</t>
        </is>
      </c>
      <c r="J9950" t="inlineStr"/>
      <c r="K9950" t="inlineStr"/>
      <c r="L9950" t="inlineStr">
        <is>
          <t>XP_029468875.1 ras and Rab interactor 1 isoform X3 [Rhinatrema bivittatum]</t>
        </is>
      </c>
      <c r="M9950" t="n">
        <v>706</v>
      </c>
      <c r="N9950" t="inlineStr">
        <is>
          <t>Rhinatrema bivittatum</t>
        </is>
      </c>
      <c r="O9950" t="inlineStr">
        <is>
          <t>ras and Rab interactor 1 isoform X3</t>
        </is>
      </c>
    </row>
    <row r="9951">
      <c r="A9951" t="inlineStr"/>
      <c r="B9951" t="inlineStr"/>
      <c r="C9951" t="inlineStr"/>
      <c r="D9951" t="inlineStr"/>
      <c r="E9951">
        <f>HYPERLINK("https://www.ncbi.nlm.nih.gov/gene/?term=XP_029468874.1", "XP_029468874.1")</f>
        <v/>
      </c>
      <c r="F9951" t="n">
        <v>32.2</v>
      </c>
      <c r="G9951" t="n">
        <v>233</v>
      </c>
      <c r="H9951" t="n">
        <v>1.09e-09</v>
      </c>
      <c r="I9951" t="inlineStr">
        <is>
          <t>Nr</t>
        </is>
      </c>
      <c r="J9951" t="inlineStr"/>
      <c r="K9951" t="inlineStr"/>
      <c r="L9951" t="inlineStr">
        <is>
          <t>XP_029468874.1 ras and Rab interactor 1 isoform X2 [Rhinatrema bivittatum]</t>
        </is>
      </c>
      <c r="M9951" t="n">
        <v>777</v>
      </c>
      <c r="N9951" t="inlineStr">
        <is>
          <t>Rhinatrema bivittatum</t>
        </is>
      </c>
      <c r="O9951" t="inlineStr">
        <is>
          <t>ras and Rab interactor 1 isoform X2</t>
        </is>
      </c>
    </row>
    <row r="9952">
      <c r="A9952" t="inlineStr"/>
      <c r="B9952" t="inlineStr"/>
      <c r="C9952" t="inlineStr"/>
      <c r="D9952" t="inlineStr"/>
      <c r="E9952">
        <f>HYPERLINK("https://www.ncbi.nlm.nih.gov/gene/?term=XP_029468873.1", "XP_029468873.1")</f>
        <v/>
      </c>
      <c r="F9952" t="n">
        <v>32.2</v>
      </c>
      <c r="G9952" t="n">
        <v>233</v>
      </c>
      <c r="H9952" t="n">
        <v>1.11e-09</v>
      </c>
      <c r="I9952" t="inlineStr">
        <is>
          <t>Nr</t>
        </is>
      </c>
      <c r="J9952" t="inlineStr"/>
      <c r="K9952" t="inlineStr"/>
      <c r="L9952" t="inlineStr">
        <is>
          <t>XP_029468873.1 ras and Rab interactor 1 isoform X1 [Rhinatrema bivittatum]</t>
        </is>
      </c>
      <c r="M9952" t="n">
        <v>862</v>
      </c>
      <c r="N9952" t="inlineStr">
        <is>
          <t>Rhinatrema bivittatum</t>
        </is>
      </c>
      <c r="O9952" t="inlineStr">
        <is>
          <t>ras and Rab interactor 1 isoform X1</t>
        </is>
      </c>
    </row>
    <row r="9953">
      <c r="A9953" t="inlineStr"/>
      <c r="B9953" t="inlineStr"/>
      <c r="C9953" t="inlineStr"/>
      <c r="D9953" t="inlineStr"/>
      <c r="E9953">
        <f>HYPERLINK("https://www.uniprot.org/uniprotkb/A0A6P8S9S9/entry", "A0A6P8S9S9")</f>
        <v/>
      </c>
      <c r="F9953" t="n">
        <v>32.4</v>
      </c>
      <c r="G9953" t="n">
        <v>222</v>
      </c>
      <c r="H9953" t="n">
        <v>2.2e-08</v>
      </c>
      <c r="I9953" t="inlineStr">
        <is>
          <t>TrEMBL</t>
        </is>
      </c>
      <c r="J9953" t="inlineStr">
        <is>
          <t>RIN1</t>
        </is>
      </c>
      <c r="K9953" t="inlineStr">
        <is>
          <t>A0A6P8S9S9_GEOSA</t>
        </is>
      </c>
      <c r="L9953" t="inlineStr">
        <is>
          <t>tr|A0A6P8S9S9|A0A6P8S9S9_GEOSA ras and Rab interactor 1 isoform X3 OS=Geotrypetes seraphini OX=260995 GN=RIN1 PE=3 SV=1</t>
        </is>
      </c>
      <c r="M9953" t="n">
        <v>840</v>
      </c>
      <c r="N9953" t="inlineStr">
        <is>
          <t>Geotrypetes seraphini</t>
        </is>
      </c>
      <c r="O9953" t="inlineStr">
        <is>
          <t>ras and Rab interactor 1 isoform X3</t>
        </is>
      </c>
    </row>
    <row r="9954">
      <c r="A9954" t="inlineStr"/>
      <c r="B9954" t="inlineStr"/>
      <c r="C9954" t="inlineStr"/>
      <c r="D9954" t="inlineStr"/>
      <c r="E9954">
        <f>HYPERLINK("https://www.uniprot.org/uniprotkb/A0A6P8S4K3/entry", "A0A6P8S4K3")</f>
        <v/>
      </c>
      <c r="F9954" t="n">
        <v>32.4</v>
      </c>
      <c r="G9954" t="n">
        <v>222</v>
      </c>
      <c r="H9954" t="n">
        <v>2.23e-08</v>
      </c>
      <c r="I9954" t="inlineStr">
        <is>
          <t>TrEMBL</t>
        </is>
      </c>
      <c r="J9954" t="inlineStr">
        <is>
          <t>RIN1</t>
        </is>
      </c>
      <c r="K9954" t="inlineStr">
        <is>
          <t>A0A6P8S4K3_GEOSA</t>
        </is>
      </c>
      <c r="L9954" t="inlineStr">
        <is>
          <t>tr|A0A6P8S4K3|A0A6P8S4K3_GEOSA ras and Rab interactor 1 isoform X2 OS=Geotrypetes seraphini OX=260995 GN=RIN1 PE=3 SV=1</t>
        </is>
      </c>
      <c r="M9954" t="n">
        <v>903</v>
      </c>
      <c r="N9954" t="inlineStr">
        <is>
          <t>Geotrypetes seraphini</t>
        </is>
      </c>
      <c r="O9954" t="inlineStr">
        <is>
          <t>ras and Rab interactor 1 isoform X2</t>
        </is>
      </c>
    </row>
    <row r="9955">
      <c r="A9955" t="inlineStr"/>
      <c r="B9955" t="inlineStr"/>
      <c r="C9955" t="inlineStr"/>
      <c r="D9955" t="inlineStr"/>
      <c r="E9955">
        <f>HYPERLINK("https://www.uniprot.org/uniprotkb/A0A6P8S539/entry", "A0A6P8S539")</f>
        <v/>
      </c>
      <c r="F9955" t="n">
        <v>32.4</v>
      </c>
      <c r="G9955" t="n">
        <v>222</v>
      </c>
      <c r="H9955" t="n">
        <v>2.23e-08</v>
      </c>
      <c r="I9955" t="inlineStr">
        <is>
          <t>TrEMBL</t>
        </is>
      </c>
      <c r="J9955" t="inlineStr">
        <is>
          <t>RIN1</t>
        </is>
      </c>
      <c r="K9955" t="inlineStr">
        <is>
          <t>A0A6P8S539_GEOSA</t>
        </is>
      </c>
      <c r="L9955" t="inlineStr">
        <is>
          <t>tr|A0A6P8S539|A0A6P8S539_GEOSA ras and Rab interactor 1 isoform X1 OS=Geotrypetes seraphini OX=260995 GN=RIN1 PE=3 SV=1</t>
        </is>
      </c>
      <c r="M9955" t="n">
        <v>905</v>
      </c>
      <c r="N9955" t="inlineStr">
        <is>
          <t>Geotrypetes seraphini</t>
        </is>
      </c>
      <c r="O9955" t="inlineStr">
        <is>
          <t>ras and Rab interactor 1 isoform X1</t>
        </is>
      </c>
    </row>
    <row r="9956">
      <c r="A9956" t="inlineStr"/>
      <c r="B9956" t="inlineStr"/>
      <c r="C9956" t="inlineStr"/>
      <c r="D9956" t="inlineStr"/>
      <c r="E9956">
        <f>HYPERLINK("https://www.ncbi.nlm.nih.gov/gene/?term=XP_033813136.1", "XP_033813136.1")</f>
        <v/>
      </c>
      <c r="F9956" t="n">
        <v>32.4</v>
      </c>
      <c r="G9956" t="n">
        <v>222</v>
      </c>
      <c r="H9956" t="n">
        <v>5.65e-08</v>
      </c>
      <c r="I9956" t="inlineStr">
        <is>
          <t>Nr</t>
        </is>
      </c>
      <c r="J9956" t="inlineStr"/>
      <c r="K9956" t="inlineStr"/>
      <c r="L9956" t="inlineStr">
        <is>
          <t>XP_033813136.1 ras and Rab interactor 1 isoform X3 [Geotrypetes seraphini]</t>
        </is>
      </c>
      <c r="M9956" t="n">
        <v>840</v>
      </c>
      <c r="N9956" t="inlineStr">
        <is>
          <t>Geotrypetes seraphini</t>
        </is>
      </c>
      <c r="O9956" t="inlineStr">
        <is>
          <t>ras and Rab interactor 1 isoform X3</t>
        </is>
      </c>
    </row>
    <row r="9957">
      <c r="A9957" t="inlineStr"/>
      <c r="B9957" t="inlineStr"/>
      <c r="C9957" t="inlineStr"/>
      <c r="D9957" t="inlineStr"/>
      <c r="E9957">
        <f>HYPERLINK("https://www.ncbi.nlm.nih.gov/gene/?term=XP_033813135.1", "XP_033813135.1")</f>
        <v/>
      </c>
      <c r="F9957" t="n">
        <v>32.4</v>
      </c>
      <c r="G9957" t="n">
        <v>222</v>
      </c>
      <c r="H9957" t="n">
        <v>5.73e-08</v>
      </c>
      <c r="I9957" t="inlineStr">
        <is>
          <t>Nr</t>
        </is>
      </c>
      <c r="J9957" t="inlineStr"/>
      <c r="K9957" t="inlineStr"/>
      <c r="L9957" t="inlineStr">
        <is>
          <t>XP_033813135.1 ras and Rab interactor 1 isoform X2 [Geotrypetes seraphini]</t>
        </is>
      </c>
      <c r="M9957" t="n">
        <v>903</v>
      </c>
      <c r="N9957" t="inlineStr">
        <is>
          <t>Geotrypetes seraphini</t>
        </is>
      </c>
      <c r="O9957" t="inlineStr">
        <is>
          <t>ras and Rab interactor 1 isoform X2</t>
        </is>
      </c>
    </row>
    <row r="9958">
      <c r="A9958" t="inlineStr"/>
      <c r="B9958" t="inlineStr"/>
      <c r="C9958" t="inlineStr"/>
      <c r="D9958" t="inlineStr"/>
      <c r="E9958">
        <f>HYPERLINK("https://www.ncbi.nlm.nih.gov/gene/?term=XP_033813134.1", "XP_033813134.1")</f>
        <v/>
      </c>
      <c r="F9958" t="n">
        <v>32.4</v>
      </c>
      <c r="G9958" t="n">
        <v>222</v>
      </c>
      <c r="H9958" t="n">
        <v>5.73e-08</v>
      </c>
      <c r="I9958" t="inlineStr">
        <is>
          <t>Nr</t>
        </is>
      </c>
      <c r="J9958" t="inlineStr"/>
      <c r="K9958" t="inlineStr"/>
      <c r="L9958" t="inlineStr">
        <is>
          <t>XP_033813134.1 ras and Rab interactor 1 isoform X1 [Geotrypetes seraphini]</t>
        </is>
      </c>
      <c r="M9958" t="n">
        <v>905</v>
      </c>
      <c r="N9958" t="inlineStr">
        <is>
          <t>Geotrypetes seraphini</t>
        </is>
      </c>
      <c r="O9958" t="inlineStr">
        <is>
          <t>ras and Rab interactor 1 isoform X1</t>
        </is>
      </c>
    </row>
    <row r="9959">
      <c r="A9959" t="inlineStr"/>
      <c r="B9959" t="inlineStr"/>
      <c r="C9959" t="inlineStr"/>
      <c r="D9959" t="inlineStr"/>
      <c r="E9959">
        <f>HYPERLINK("https://www.uniprot.org/uniprotkb/A0A1A7Y0K1/entry", "A0A1A7Y0K1")</f>
        <v/>
      </c>
      <c r="F9959" t="n">
        <v>33.3</v>
      </c>
      <c r="G9959" t="n">
        <v>93</v>
      </c>
      <c r="H9959" t="n">
        <v>2.49e-06</v>
      </c>
      <c r="I9959" t="inlineStr">
        <is>
          <t>TrEMBL</t>
        </is>
      </c>
      <c r="J9959" t="inlineStr">
        <is>
          <t>RIN2</t>
        </is>
      </c>
      <c r="K9959" t="inlineStr">
        <is>
          <t>A0A1A7Y0K1_9TELE</t>
        </is>
      </c>
      <c r="L9959" t="inlineStr">
        <is>
          <t>tr|A0A1A7Y0K1|A0A1A7Y0K1_9TELE Ras and Rab interactor 2 OS=Iconisemion striatum OX=60296 GN=RIN2 PE=4 SV=1</t>
        </is>
      </c>
      <c r="M9959" t="n">
        <v>570</v>
      </c>
      <c r="N9959" t="inlineStr">
        <is>
          <t>Iconisemion striatum</t>
        </is>
      </c>
      <c r="O9959" t="inlineStr">
        <is>
          <t>Ras and Rab interactor 2</t>
        </is>
      </c>
    </row>
    <row r="9960">
      <c r="A9960" t="inlineStr"/>
      <c r="B9960" t="inlineStr"/>
      <c r="C9960" t="inlineStr"/>
      <c r="D9960" t="inlineStr"/>
      <c r="E9960">
        <f>HYPERLINK("https://www.ncbi.nlm.nih.gov/gene/?term=XP_043931614.1", "XP_043931614.1")</f>
        <v/>
      </c>
      <c r="F9960" t="n">
        <v>35.6</v>
      </c>
      <c r="G9960" t="n">
        <v>132</v>
      </c>
      <c r="H9960" t="n">
        <v>9.500000000000001e-06</v>
      </c>
      <c r="I9960" t="inlineStr">
        <is>
          <t>Nr</t>
        </is>
      </c>
      <c r="J9960" t="inlineStr"/>
      <c r="K9960" t="inlineStr"/>
      <c r="L9960" t="inlineStr">
        <is>
          <t>XP_043931614.1 ras and Rab interactor 2-like [Protopterus annectens]</t>
        </is>
      </c>
      <c r="M9960" t="n">
        <v>850</v>
      </c>
      <c r="N9960" t="inlineStr">
        <is>
          <t>Protopterus annectens</t>
        </is>
      </c>
      <c r="O9960" t="inlineStr">
        <is>
          <t>ras and Rab interactor 2-like</t>
        </is>
      </c>
    </row>
    <row r="9961">
      <c r="A9961" t="inlineStr"/>
      <c r="B9961" t="inlineStr"/>
      <c r="C9961" t="inlineStr"/>
      <c r="D9961" t="inlineStr"/>
      <c r="E9961">
        <f>HYPERLINK("https://www.uniprot.org/uniprotkb/A0A1A8GFJ3/entry", "A0A1A8GFJ3")</f>
        <v/>
      </c>
      <c r="F9961" t="n">
        <v>30.4</v>
      </c>
      <c r="G9961" t="n">
        <v>92</v>
      </c>
      <c r="H9961" t="n">
        <v>0.000313</v>
      </c>
      <c r="I9961" t="inlineStr">
        <is>
          <t>TrEMBL</t>
        </is>
      </c>
      <c r="J9961" t="inlineStr">
        <is>
          <t>RIN2</t>
        </is>
      </c>
      <c r="K9961" t="inlineStr">
        <is>
          <t>A0A1A8GFJ3_9TELE</t>
        </is>
      </c>
      <c r="L9961" t="inlineStr">
        <is>
          <t>tr|A0A1A8GFJ3|A0A1A8GFJ3_9TELE Ras and Rab interactor 2 (Fragment) OS=Nothobranchius korthausae OX=1143690 GN=RIN2 PE=4 SV=1</t>
        </is>
      </c>
      <c r="M9961" t="n">
        <v>658</v>
      </c>
      <c r="N9961" t="inlineStr">
        <is>
          <t>Nothobranchius korthausae</t>
        </is>
      </c>
      <c r="O9961" t="inlineStr">
        <is>
          <t>Ras and Rab interactor 2 (Fragment)</t>
        </is>
      </c>
    </row>
    <row r="9962">
      <c r="A9962" t="inlineStr"/>
      <c r="B9962" t="inlineStr"/>
      <c r="C9962" t="inlineStr"/>
      <c r="D9962" t="inlineStr"/>
      <c r="E9962">
        <f>HYPERLINK("https://www.uniprot.org/uniprotkb/A0A1A8G194/entry", "A0A1A8G194")</f>
        <v/>
      </c>
      <c r="F9962" t="n">
        <v>30.4</v>
      </c>
      <c r="G9962" t="n">
        <v>92</v>
      </c>
      <c r="H9962" t="n">
        <v>0.000314</v>
      </c>
      <c r="I9962" t="inlineStr">
        <is>
          <t>TrEMBL</t>
        </is>
      </c>
      <c r="J9962" t="inlineStr">
        <is>
          <t>RIN2</t>
        </is>
      </c>
      <c r="K9962" t="inlineStr">
        <is>
          <t>A0A1A8G194_9TELE</t>
        </is>
      </c>
      <c r="L9962" t="inlineStr">
        <is>
          <t>tr|A0A1A8G194|A0A1A8G194_9TELE Ras and Rab interactor 2 (Fragment) OS=Nothobranchius korthausae OX=1143690 GN=RIN2 PE=4 SV=1</t>
        </is>
      </c>
      <c r="M9962" t="n">
        <v>669</v>
      </c>
      <c r="N9962" t="inlineStr">
        <is>
          <t>Nothobranchius korthausae</t>
        </is>
      </c>
      <c r="O9962" t="inlineStr">
        <is>
          <t>Ras and Rab interactor 2 (Fragment)</t>
        </is>
      </c>
    </row>
    <row r="9963">
      <c r="A9963" t="inlineStr">
        <is>
          <t>NODE_91440_length_1827_cov_15.744318_g34386_i0</t>
        </is>
      </c>
      <c r="B9963" t="inlineStr">
        <is>
          <t>bombina_pachypus_blastx</t>
        </is>
      </c>
      <c r="C9963" t="n">
        <v>8.360214237709419</v>
      </c>
      <c r="D9963" t="n">
        <v>1.74385592736888e-06</v>
      </c>
      <c r="E9963">
        <f>HYPERLINK("https://www.ncbi.nlm.nih.gov/gene/?term=XP_053315779.1", "XP_053315779.1")</f>
        <v/>
      </c>
      <c r="F9963" t="n">
        <v>33.2</v>
      </c>
      <c r="G9963" t="n">
        <v>271</v>
      </c>
      <c r="H9963" t="n">
        <v>2.61e-42</v>
      </c>
      <c r="I9963" t="inlineStr">
        <is>
          <t>Nr</t>
        </is>
      </c>
      <c r="J9963" t="inlineStr"/>
      <c r="K9963" t="inlineStr"/>
      <c r="L9963" t="inlineStr">
        <is>
          <t>XP_053315779.1 izumo sperm-egg fusion protein 1-like [Spea bombifrons]</t>
        </is>
      </c>
      <c r="M9963" t="n">
        <v>366</v>
      </c>
      <c r="N9963" t="inlineStr">
        <is>
          <t>Spea bombifrons</t>
        </is>
      </c>
      <c r="O9963" t="inlineStr">
        <is>
          <t>izumo sperm-egg fusion protein 1-like</t>
        </is>
      </c>
    </row>
    <row r="9964">
      <c r="A9964" t="inlineStr"/>
      <c r="B9964" t="inlineStr"/>
      <c r="C9964" t="inlineStr"/>
      <c r="D9964" t="inlineStr"/>
      <c r="E9964">
        <f>HYPERLINK("https://www.uniprot.org/uniprotkb/A0A8C5PXC9/entry", "A0A8C5PXC9")</f>
        <v/>
      </c>
      <c r="F9964" t="n">
        <v>32.2</v>
      </c>
      <c r="G9964" t="n">
        <v>270</v>
      </c>
      <c r="H9964" t="n">
        <v>1.9e-41</v>
      </c>
      <c r="I9964" t="inlineStr">
        <is>
          <t>TrEMBL</t>
        </is>
      </c>
      <c r="J9964" t="inlineStr"/>
      <c r="K9964" t="inlineStr">
        <is>
          <t>A0A8C5PXC9_9ANUR</t>
        </is>
      </c>
      <c r="L9964" t="inlineStr">
        <is>
          <t>tr|A0A8C5PXC9|A0A8C5PXC9_9ANUR Ig-like domain-containing protein OS=Leptobrachium leishanense OX=445787 PE=3 SV=1</t>
        </is>
      </c>
      <c r="M9964" t="n">
        <v>460</v>
      </c>
      <c r="N9964" t="inlineStr">
        <is>
          <t>Leptobrachium leishanense</t>
        </is>
      </c>
      <c r="O9964" t="inlineStr">
        <is>
          <t>Ig-like domain-containing protein</t>
        </is>
      </c>
    </row>
    <row r="9965">
      <c r="A9965" t="inlineStr"/>
      <c r="B9965" t="inlineStr"/>
      <c r="C9965" t="inlineStr"/>
      <c r="D9965" t="inlineStr"/>
      <c r="E9965">
        <f>HYPERLINK("https://www.uniprot.org/uniprotkb/A0A8C5PXX0/entry", "A0A8C5PXX0")</f>
        <v/>
      </c>
      <c r="F9965" t="n">
        <v>29.6</v>
      </c>
      <c r="G9965" t="n">
        <v>270</v>
      </c>
      <c r="H9965" t="n">
        <v>1.7e-32</v>
      </c>
      <c r="I9965" t="inlineStr">
        <is>
          <t>TrEMBL</t>
        </is>
      </c>
      <c r="J9965" t="inlineStr"/>
      <c r="K9965" t="inlineStr">
        <is>
          <t>A0A8C5PXX0_9ANUR</t>
        </is>
      </c>
      <c r="L9965" t="inlineStr">
        <is>
          <t>tr|A0A8C5PXX0|A0A8C5PXX0_9ANUR Ig-like domain-containing protein OS=Leptobrachium leishanense OX=445787 PE=4 SV=1</t>
        </is>
      </c>
      <c r="M9965" t="n">
        <v>431</v>
      </c>
      <c r="N9965" t="inlineStr">
        <is>
          <t>Leptobrachium leishanense</t>
        </is>
      </c>
      <c r="O9965" t="inlineStr">
        <is>
          <t>Ig-like domain-containing protein</t>
        </is>
      </c>
    </row>
    <row r="9966">
      <c r="A9966" t="inlineStr"/>
      <c r="B9966" t="inlineStr"/>
      <c r="C9966" t="inlineStr"/>
      <c r="D9966" t="inlineStr"/>
      <c r="E9966">
        <f>HYPERLINK("https://www.ncbi.nlm.nih.gov/gene/?term=XP_053308431.1", "XP_053308431.1")</f>
        <v/>
      </c>
      <c r="F9966" t="n">
        <v>29.9</v>
      </c>
      <c r="G9966" t="n">
        <v>264</v>
      </c>
      <c r="H9966" t="n">
        <v>5.84e-31</v>
      </c>
      <c r="I9966" t="inlineStr">
        <is>
          <t>Nr</t>
        </is>
      </c>
      <c r="J9966" t="inlineStr"/>
      <c r="K9966" t="inlineStr"/>
      <c r="L9966" t="inlineStr">
        <is>
          <t>XP_053308431.1 izumo sperm-egg fusion protein 1-like [Spea bombifrons]</t>
        </is>
      </c>
      <c r="M9966" t="n">
        <v>371</v>
      </c>
      <c r="N9966" t="inlineStr">
        <is>
          <t>Spea bombifrons</t>
        </is>
      </c>
      <c r="O9966" t="inlineStr">
        <is>
          <t>izumo sperm-egg fusion protein 1-like</t>
        </is>
      </c>
    </row>
    <row r="9967">
      <c r="A9967" t="inlineStr"/>
      <c r="B9967" t="inlineStr"/>
      <c r="C9967" t="inlineStr"/>
      <c r="D9967" t="inlineStr"/>
      <c r="E9967">
        <f>HYPERLINK("https://www.ncbi.nlm.nih.gov/gene/?term=XP_044149197.1", "XP_044149197.1")</f>
        <v/>
      </c>
      <c r="F9967" t="n">
        <v>32.4</v>
      </c>
      <c r="G9967" t="n">
        <v>244</v>
      </c>
      <c r="H9967" t="n">
        <v>1.24e-25</v>
      </c>
      <c r="I9967" t="inlineStr">
        <is>
          <t>Nr</t>
        </is>
      </c>
      <c r="J9967" t="inlineStr"/>
      <c r="K9967" t="inlineStr"/>
      <c r="L9967" t="inlineStr">
        <is>
          <t>XP_044149197.1 izumo sperm-egg fusion protein 1-like [Bufo gargarizans]</t>
        </is>
      </c>
      <c r="M9967" t="n">
        <v>342</v>
      </c>
      <c r="N9967" t="inlineStr">
        <is>
          <t>Bufo gargarizans</t>
        </is>
      </c>
      <c r="O9967" t="inlineStr">
        <is>
          <t>izumo sperm-egg fusion protein 1-like</t>
        </is>
      </c>
    </row>
    <row r="9968">
      <c r="A9968" t="inlineStr"/>
      <c r="B9968" t="inlineStr"/>
      <c r="C9968" t="inlineStr"/>
      <c r="D9968" t="inlineStr"/>
      <c r="E9968">
        <f>HYPERLINK("https://www.ncbi.nlm.nih.gov/gene/?term=XP_044132534.1", "XP_044132534.1")</f>
        <v/>
      </c>
      <c r="F9968" t="n">
        <v>32</v>
      </c>
      <c r="G9968" t="n">
        <v>244</v>
      </c>
      <c r="H9968" t="n">
        <v>3.31e-25</v>
      </c>
      <c r="I9968" t="inlineStr">
        <is>
          <t>Nr</t>
        </is>
      </c>
      <c r="J9968" t="inlineStr"/>
      <c r="K9968" t="inlineStr"/>
      <c r="L9968" t="inlineStr">
        <is>
          <t>XP_044132534.1 izumo sperm-egg fusion protein 1-like [Bufo gargarizans]</t>
        </is>
      </c>
      <c r="M9968" t="n">
        <v>342</v>
      </c>
      <c r="N9968" t="inlineStr">
        <is>
          <t>Bufo gargarizans</t>
        </is>
      </c>
      <c r="O9968" t="inlineStr">
        <is>
          <t>izumo sperm-egg fusion protein 1-like</t>
        </is>
      </c>
    </row>
    <row r="9969">
      <c r="A9969" t="inlineStr"/>
      <c r="B9969" t="inlineStr"/>
      <c r="C9969" t="inlineStr"/>
      <c r="D9969" t="inlineStr"/>
      <c r="E9969">
        <f>HYPERLINK("https://www.ncbi.nlm.nih.gov/gene/?term=XP_040275867.1", "XP_040275867.1")</f>
        <v/>
      </c>
      <c r="F9969" t="n">
        <v>32.4</v>
      </c>
      <c r="G9969" t="n">
        <v>244</v>
      </c>
      <c r="H9969" t="n">
        <v>3.31e-25</v>
      </c>
      <c r="I9969" t="inlineStr">
        <is>
          <t>Nr</t>
        </is>
      </c>
      <c r="J9969" t="inlineStr"/>
      <c r="K9969" t="inlineStr"/>
      <c r="L9969" t="inlineStr">
        <is>
          <t>XP_040275867.1 izumo sperm-egg fusion protein 1-like [Bufo bufo]</t>
        </is>
      </c>
      <c r="M9969" t="n">
        <v>342</v>
      </c>
      <c r="N9969" t="inlineStr">
        <is>
          <t>Bufo bufo</t>
        </is>
      </c>
      <c r="O9969" t="inlineStr">
        <is>
          <t>izumo sperm-egg fusion protein 1-like</t>
        </is>
      </c>
    </row>
    <row r="9970">
      <c r="A9970" t="inlineStr"/>
      <c r="B9970" t="inlineStr"/>
      <c r="C9970" t="inlineStr"/>
      <c r="D9970" t="inlineStr"/>
      <c r="E9970">
        <f>HYPERLINK("https://www.ncbi.nlm.nih.gov/gene/?term=XP_040276483.1", "XP_040276483.1")</f>
        <v/>
      </c>
      <c r="F9970" t="n">
        <v>32.4</v>
      </c>
      <c r="G9970" t="n">
        <v>244</v>
      </c>
      <c r="H9970" t="n">
        <v>3.31e-25</v>
      </c>
      <c r="I9970" t="inlineStr">
        <is>
          <t>Nr</t>
        </is>
      </c>
      <c r="J9970" t="inlineStr"/>
      <c r="K9970" t="inlineStr"/>
      <c r="L9970" t="inlineStr">
        <is>
          <t>XP_040276483.1 izumo sperm-egg fusion protein 1-like [Bufo bufo]</t>
        </is>
      </c>
      <c r="M9970" t="n">
        <v>342</v>
      </c>
      <c r="N9970" t="inlineStr">
        <is>
          <t>Bufo bufo</t>
        </is>
      </c>
      <c r="O9970" t="inlineStr">
        <is>
          <t>izumo sperm-egg fusion protein 1-like</t>
        </is>
      </c>
    </row>
    <row r="9971">
      <c r="A9971" t="inlineStr"/>
      <c r="B9971" t="inlineStr"/>
      <c r="C9971" t="inlineStr"/>
      <c r="D9971" t="inlineStr"/>
      <c r="E9971">
        <f>HYPERLINK("https://www.ncbi.nlm.nih.gov/gene/?term=XP_040275869.1", "XP_040275869.1")</f>
        <v/>
      </c>
      <c r="F9971" t="n">
        <v>32.4</v>
      </c>
      <c r="G9971" t="n">
        <v>244</v>
      </c>
      <c r="H9971" t="n">
        <v>3.31e-25</v>
      </c>
      <c r="I9971" t="inlineStr">
        <is>
          <t>Nr</t>
        </is>
      </c>
      <c r="J9971" t="inlineStr"/>
      <c r="K9971" t="inlineStr"/>
      <c r="L9971" t="inlineStr">
        <is>
          <t>XP_040275869.1 izumo sperm-egg fusion protein 1-like [Bufo bufo]</t>
        </is>
      </c>
      <c r="M9971" t="n">
        <v>342</v>
      </c>
      <c r="N9971" t="inlineStr">
        <is>
          <t>Bufo bufo</t>
        </is>
      </c>
      <c r="O9971" t="inlineStr">
        <is>
          <t>izumo sperm-egg fusion protein 1-like</t>
        </is>
      </c>
    </row>
    <row r="9972">
      <c r="A9972" t="inlineStr"/>
      <c r="B9972" t="inlineStr"/>
      <c r="C9972" t="inlineStr"/>
      <c r="D9972" t="inlineStr"/>
      <c r="E9972">
        <f>HYPERLINK("https://www.ncbi.nlm.nih.gov/gene/?term=XP_044132571.1", "XP_044132571.1")</f>
        <v/>
      </c>
      <c r="F9972" t="n">
        <v>30.5</v>
      </c>
      <c r="G9972" t="n">
        <v>269</v>
      </c>
      <c r="H9972" t="n">
        <v>4.58e-25</v>
      </c>
      <c r="I9972" t="inlineStr">
        <is>
          <t>Nr</t>
        </is>
      </c>
      <c r="J9972" t="inlineStr"/>
      <c r="K9972" t="inlineStr"/>
      <c r="L9972" t="inlineStr">
        <is>
          <t>XP_044132571.1 izumo sperm-egg fusion protein 1-like [Bufo gargarizans]</t>
        </is>
      </c>
      <c r="M9972" t="n">
        <v>342</v>
      </c>
      <c r="N9972" t="inlineStr">
        <is>
          <t>Bufo gargarizans</t>
        </is>
      </c>
      <c r="O9972" t="inlineStr">
        <is>
          <t>izumo sperm-egg fusion protein 1-like</t>
        </is>
      </c>
    </row>
    <row r="9973">
      <c r="A9973" t="inlineStr"/>
      <c r="B9973" t="inlineStr"/>
      <c r="C9973" t="inlineStr"/>
      <c r="D9973" t="inlineStr"/>
      <c r="E9973">
        <f>HYPERLINK("https://www.ncbi.nlm.nih.gov/gene/?term=XP_040275546.1", "XP_040275546.1")</f>
        <v/>
      </c>
      <c r="F9973" t="n">
        <v>32.4</v>
      </c>
      <c r="G9973" t="n">
        <v>244</v>
      </c>
      <c r="H9973" t="n">
        <v>4.58e-25</v>
      </c>
      <c r="I9973" t="inlineStr">
        <is>
          <t>Nr</t>
        </is>
      </c>
      <c r="J9973" t="inlineStr"/>
      <c r="K9973" t="inlineStr"/>
      <c r="L9973" t="inlineStr">
        <is>
          <t>XP_040275546.1 izumo sperm-egg fusion protein 1-like [Bufo bufo]</t>
        </is>
      </c>
      <c r="M9973" t="n">
        <v>342</v>
      </c>
      <c r="N9973" t="inlineStr">
        <is>
          <t>Bufo bufo</t>
        </is>
      </c>
      <c r="O9973" t="inlineStr">
        <is>
          <t>izumo sperm-egg fusion protein 1-like</t>
        </is>
      </c>
    </row>
    <row r="9974">
      <c r="A9974" t="inlineStr"/>
      <c r="B9974" t="inlineStr"/>
      <c r="C9974" t="inlineStr"/>
      <c r="D9974" t="inlineStr"/>
      <c r="E9974">
        <f>HYPERLINK("https://www.ncbi.nlm.nih.gov/gene/?term=XP_040294197.1", "XP_040294197.1")</f>
        <v/>
      </c>
      <c r="F9974" t="n">
        <v>32.4</v>
      </c>
      <c r="G9974" t="n">
        <v>244</v>
      </c>
      <c r="H9974" t="n">
        <v>4.58e-25</v>
      </c>
      <c r="I9974" t="inlineStr">
        <is>
          <t>Nr</t>
        </is>
      </c>
      <c r="J9974" t="inlineStr"/>
      <c r="K9974" t="inlineStr"/>
      <c r="L9974" t="inlineStr">
        <is>
          <t>XP_040294197.1 izumo sperm-egg fusion protein 1-like [Bufo bufo]</t>
        </is>
      </c>
      <c r="M9974" t="n">
        <v>342</v>
      </c>
      <c r="N9974" t="inlineStr">
        <is>
          <t>Bufo bufo</t>
        </is>
      </c>
      <c r="O9974" t="inlineStr">
        <is>
          <t>izumo sperm-egg fusion protein 1-like</t>
        </is>
      </c>
    </row>
    <row r="9975">
      <c r="A9975" t="inlineStr"/>
      <c r="B9975" t="inlineStr"/>
      <c r="C9975" t="inlineStr"/>
      <c r="D9975" t="inlineStr"/>
      <c r="E9975">
        <f>HYPERLINK("https://www.ncbi.nlm.nih.gov/gene/?term=XP_040275223.1", "XP_040275223.1")</f>
        <v/>
      </c>
      <c r="F9975" t="n">
        <v>32.4</v>
      </c>
      <c r="G9975" t="n">
        <v>244</v>
      </c>
      <c r="H9975" t="n">
        <v>4.58e-25</v>
      </c>
      <c r="I9975" t="inlineStr">
        <is>
          <t>Nr</t>
        </is>
      </c>
      <c r="J9975" t="inlineStr"/>
      <c r="K9975" t="inlineStr"/>
      <c r="L9975" t="inlineStr">
        <is>
          <t>XP_040275223.1 izumo sperm-egg fusion protein 1-like [Bufo bufo]</t>
        </is>
      </c>
      <c r="M9975" t="n">
        <v>342</v>
      </c>
      <c r="N9975" t="inlineStr">
        <is>
          <t>Bufo bufo</t>
        </is>
      </c>
      <c r="O9975" t="inlineStr">
        <is>
          <t>izumo sperm-egg fusion protein 1-like</t>
        </is>
      </c>
    </row>
    <row r="9976">
      <c r="A9976" t="inlineStr"/>
      <c r="B9976" t="inlineStr"/>
      <c r="C9976" t="inlineStr"/>
      <c r="D9976" t="inlineStr"/>
      <c r="E9976">
        <f>HYPERLINK("https://www.ncbi.nlm.nih.gov/gene/?term=XP_040275854.1", "XP_040275854.1")</f>
        <v/>
      </c>
      <c r="F9976" t="n">
        <v>32.4</v>
      </c>
      <c r="G9976" t="n">
        <v>244</v>
      </c>
      <c r="H9976" t="n">
        <v>4.58e-25</v>
      </c>
      <c r="I9976" t="inlineStr">
        <is>
          <t>Nr</t>
        </is>
      </c>
      <c r="J9976" t="inlineStr"/>
      <c r="K9976" t="inlineStr"/>
      <c r="L9976" t="inlineStr">
        <is>
          <t>XP_040275854.1 izumo sperm-egg fusion protein 1-like [Bufo bufo]</t>
        </is>
      </c>
      <c r="M9976" t="n">
        <v>342</v>
      </c>
      <c r="N9976" t="inlineStr">
        <is>
          <t>Bufo bufo</t>
        </is>
      </c>
      <c r="O9976" t="inlineStr">
        <is>
          <t>izumo sperm-egg fusion protein 1-like</t>
        </is>
      </c>
    </row>
    <row r="9977">
      <c r="A9977" t="inlineStr"/>
      <c r="B9977" t="inlineStr"/>
      <c r="C9977" t="inlineStr"/>
      <c r="D9977" t="inlineStr"/>
      <c r="E9977">
        <f>HYPERLINK("https://www.ncbi.nlm.nih.gov/gene/?term=XP_040271871.1", "XP_040271871.1")</f>
        <v/>
      </c>
      <c r="F9977" t="n">
        <v>32.4</v>
      </c>
      <c r="G9977" t="n">
        <v>244</v>
      </c>
      <c r="H9977" t="n">
        <v>4.58e-25</v>
      </c>
      <c r="I9977" t="inlineStr">
        <is>
          <t>Nr</t>
        </is>
      </c>
      <c r="J9977" t="inlineStr"/>
      <c r="K9977" t="inlineStr"/>
      <c r="L9977" t="inlineStr">
        <is>
          <t>XP_040271871.1 izumo sperm-egg fusion protein 1-like [Bufo bufo]</t>
        </is>
      </c>
      <c r="M9977" t="n">
        <v>342</v>
      </c>
      <c r="N9977" t="inlineStr">
        <is>
          <t>Bufo bufo</t>
        </is>
      </c>
      <c r="O9977" t="inlineStr">
        <is>
          <t>izumo sperm-egg fusion protein 1-like</t>
        </is>
      </c>
    </row>
    <row r="9978">
      <c r="A9978" t="inlineStr"/>
      <c r="B9978" t="inlineStr"/>
      <c r="C9978" t="inlineStr"/>
      <c r="D9978" t="inlineStr"/>
      <c r="E9978">
        <f>HYPERLINK("https://www.ncbi.nlm.nih.gov/gene/?term=XP_040271872.1", "XP_040271872.1")</f>
        <v/>
      </c>
      <c r="F9978" t="n">
        <v>32.4</v>
      </c>
      <c r="G9978" t="n">
        <v>244</v>
      </c>
      <c r="H9978" t="n">
        <v>4.58e-25</v>
      </c>
      <c r="I9978" t="inlineStr">
        <is>
          <t>Nr</t>
        </is>
      </c>
      <c r="J9978" t="inlineStr"/>
      <c r="K9978" t="inlineStr"/>
      <c r="L9978" t="inlineStr">
        <is>
          <t>XP_040271872.1 uncharacterized protein LOC120988421 [Bufo bufo]</t>
        </is>
      </c>
      <c r="M9978" t="n">
        <v>342</v>
      </c>
      <c r="N9978" t="inlineStr">
        <is>
          <t>Bufo bufo</t>
        </is>
      </c>
      <c r="O9978" t="inlineStr">
        <is>
          <t>uncharacterized protein LOC120988421</t>
        </is>
      </c>
    </row>
    <row r="9979">
      <c r="A9979" t="inlineStr"/>
      <c r="B9979" t="inlineStr"/>
      <c r="C9979" t="inlineStr"/>
      <c r="D9979" t="inlineStr"/>
      <c r="E9979">
        <f>HYPERLINK("https://www.ncbi.nlm.nih.gov/gene/?term=XP_040271141.1", "XP_040271141.1")</f>
        <v/>
      </c>
      <c r="F9979" t="n">
        <v>32.4</v>
      </c>
      <c r="G9979" t="n">
        <v>244</v>
      </c>
      <c r="H9979" t="n">
        <v>4.58e-25</v>
      </c>
      <c r="I9979" t="inlineStr">
        <is>
          <t>Nr</t>
        </is>
      </c>
      <c r="J9979" t="inlineStr"/>
      <c r="K9979" t="inlineStr"/>
      <c r="L9979" t="inlineStr">
        <is>
          <t>XP_040271141.1 izumo sperm-egg fusion protein 1-like [Bufo bufo]</t>
        </is>
      </c>
      <c r="M9979" t="n">
        <v>342</v>
      </c>
      <c r="N9979" t="inlineStr">
        <is>
          <t>Bufo bufo</t>
        </is>
      </c>
      <c r="O9979" t="inlineStr">
        <is>
          <t>izumo sperm-egg fusion protein 1-like</t>
        </is>
      </c>
    </row>
    <row r="9980">
      <c r="A9980" t="inlineStr"/>
      <c r="B9980" t="inlineStr"/>
      <c r="C9980" t="inlineStr"/>
      <c r="D9980" t="inlineStr"/>
      <c r="E9980">
        <f>HYPERLINK("https://www.ncbi.nlm.nih.gov/gene/?term=XP_040271152.1", "XP_040271152.1")</f>
        <v/>
      </c>
      <c r="F9980" t="n">
        <v>32.4</v>
      </c>
      <c r="G9980" t="n">
        <v>244</v>
      </c>
      <c r="H9980" t="n">
        <v>4.58e-25</v>
      </c>
      <c r="I9980" t="inlineStr">
        <is>
          <t>Nr</t>
        </is>
      </c>
      <c r="J9980" t="inlineStr"/>
      <c r="K9980" t="inlineStr"/>
      <c r="L9980" t="inlineStr">
        <is>
          <t>XP_040271152.1 izumo sperm-egg fusion protein 1-like [Bufo bufo]</t>
        </is>
      </c>
      <c r="M9980" t="n">
        <v>342</v>
      </c>
      <c r="N9980" t="inlineStr">
        <is>
          <t>Bufo bufo</t>
        </is>
      </c>
      <c r="O9980" t="inlineStr">
        <is>
          <t>izumo sperm-egg fusion protein 1-like</t>
        </is>
      </c>
    </row>
    <row r="9981">
      <c r="A9981" t="inlineStr"/>
      <c r="B9981" t="inlineStr"/>
      <c r="C9981" t="inlineStr"/>
      <c r="D9981" t="inlineStr"/>
      <c r="E9981">
        <f>HYPERLINK("https://www.ncbi.nlm.nih.gov/gene/?term=XP_040275863.1", "XP_040275863.1")</f>
        <v/>
      </c>
      <c r="F9981" t="n">
        <v>32.4</v>
      </c>
      <c r="G9981" t="n">
        <v>244</v>
      </c>
      <c r="H9981" t="n">
        <v>4.58e-25</v>
      </c>
      <c r="I9981" t="inlineStr">
        <is>
          <t>Nr</t>
        </is>
      </c>
      <c r="J9981" t="inlineStr"/>
      <c r="K9981" t="inlineStr"/>
      <c r="L9981" t="inlineStr">
        <is>
          <t>XP_040275863.1 izumo sperm-egg fusion protein 1-like [Bufo bufo]</t>
        </is>
      </c>
      <c r="M9981" t="n">
        <v>342</v>
      </c>
      <c r="N9981" t="inlineStr">
        <is>
          <t>Bufo bufo</t>
        </is>
      </c>
      <c r="O9981" t="inlineStr">
        <is>
          <t>izumo sperm-egg fusion protein 1-like</t>
        </is>
      </c>
    </row>
    <row r="9982">
      <c r="A9982" t="inlineStr"/>
      <c r="B9982" t="inlineStr"/>
      <c r="C9982" t="inlineStr"/>
      <c r="D9982" t="inlineStr"/>
      <c r="E9982">
        <f>HYPERLINK("https://www.ncbi.nlm.nih.gov/gene/?term=XP_044132604.1", "XP_044132604.1")</f>
        <v/>
      </c>
      <c r="F9982" t="n">
        <v>32</v>
      </c>
      <c r="G9982" t="n">
        <v>244</v>
      </c>
      <c r="H9982" t="n">
        <v>6.53e-25</v>
      </c>
      <c r="I9982" t="inlineStr">
        <is>
          <t>Nr</t>
        </is>
      </c>
      <c r="J9982" t="inlineStr"/>
      <c r="K9982" t="inlineStr"/>
      <c r="L9982" t="inlineStr">
        <is>
          <t>XP_044132604.1 uncharacterized protein LOC122925138 [Bufo gargarizans]</t>
        </is>
      </c>
      <c r="M9982" t="n">
        <v>325</v>
      </c>
      <c r="N9982" t="inlineStr">
        <is>
          <t>Bufo gargarizans</t>
        </is>
      </c>
      <c r="O9982" t="inlineStr">
        <is>
          <t>uncharacterized protein LOC122925138</t>
        </is>
      </c>
    </row>
    <row r="9983">
      <c r="A9983" t="inlineStr"/>
      <c r="B9983" t="inlineStr"/>
      <c r="C9983" t="inlineStr"/>
      <c r="D9983" t="inlineStr"/>
      <c r="E9983">
        <f>HYPERLINK("https://www.ncbi.nlm.nih.gov/gene/?term=XP_044131995.1", "XP_044131995.1")</f>
        <v/>
      </c>
      <c r="F9983" t="n">
        <v>32</v>
      </c>
      <c r="G9983" t="n">
        <v>244</v>
      </c>
      <c r="H9983" t="n">
        <v>8.779999999999999e-25</v>
      </c>
      <c r="I9983" t="inlineStr">
        <is>
          <t>Nr</t>
        </is>
      </c>
      <c r="J9983" t="inlineStr"/>
      <c r="K9983" t="inlineStr"/>
      <c r="L9983" t="inlineStr">
        <is>
          <t>XP_044131995.1 izumo sperm-egg fusion protein 1-like [Bufo gargarizans]</t>
        </is>
      </c>
      <c r="M9983" t="n">
        <v>342</v>
      </c>
      <c r="N9983" t="inlineStr">
        <is>
          <t>Bufo gargarizans</t>
        </is>
      </c>
      <c r="O9983" t="inlineStr">
        <is>
          <t>izumo sperm-egg fusion protein 1-like</t>
        </is>
      </c>
    </row>
    <row r="9984">
      <c r="A9984" t="inlineStr"/>
      <c r="B9984" t="inlineStr"/>
      <c r="C9984" t="inlineStr"/>
      <c r="D9984" t="inlineStr"/>
      <c r="E9984">
        <f>HYPERLINK("https://www.ncbi.nlm.nih.gov/gene/?term=XP_044132539.1", "XP_044132539.1")</f>
        <v/>
      </c>
      <c r="F9984" t="n">
        <v>32</v>
      </c>
      <c r="G9984" t="n">
        <v>244</v>
      </c>
      <c r="H9984" t="n">
        <v>8.779999999999999e-25</v>
      </c>
      <c r="I9984" t="inlineStr">
        <is>
          <t>Nr</t>
        </is>
      </c>
      <c r="J9984" t="inlineStr"/>
      <c r="K9984" t="inlineStr"/>
      <c r="L9984" t="inlineStr">
        <is>
          <t>XP_044132539.1 izumo sperm-egg fusion protein 1-like [Bufo gargarizans]</t>
        </is>
      </c>
      <c r="M9984" t="n">
        <v>342</v>
      </c>
      <c r="N9984" t="inlineStr">
        <is>
          <t>Bufo gargarizans</t>
        </is>
      </c>
      <c r="O9984" t="inlineStr">
        <is>
          <t>izumo sperm-egg fusion protein 1-like</t>
        </is>
      </c>
    </row>
    <row r="9985">
      <c r="A9985" t="inlineStr"/>
      <c r="B9985" t="inlineStr"/>
      <c r="C9985" t="inlineStr"/>
      <c r="D9985" t="inlineStr"/>
      <c r="E9985">
        <f>HYPERLINK("https://www.ncbi.nlm.nih.gov/gene/?term=XP_044132595.1", "XP_044132595.1")</f>
        <v/>
      </c>
      <c r="F9985" t="n">
        <v>32</v>
      </c>
      <c r="G9985" t="n">
        <v>244</v>
      </c>
      <c r="H9985" t="n">
        <v>8.779999999999999e-25</v>
      </c>
      <c r="I9985" t="inlineStr">
        <is>
          <t>Nr</t>
        </is>
      </c>
      <c r="J9985" t="inlineStr"/>
      <c r="K9985" t="inlineStr"/>
      <c r="L9985" t="inlineStr">
        <is>
          <t>XP_044132595.1 izumo sperm-egg fusion protein 1-like [Bufo gargarizans]</t>
        </is>
      </c>
      <c r="M9985" t="n">
        <v>342</v>
      </c>
      <c r="N9985" t="inlineStr">
        <is>
          <t>Bufo gargarizans</t>
        </is>
      </c>
      <c r="O9985" t="inlineStr">
        <is>
          <t>izumo sperm-egg fusion protein 1-like</t>
        </is>
      </c>
    </row>
    <row r="9986">
      <c r="A9986" t="inlineStr"/>
      <c r="B9986" t="inlineStr"/>
      <c r="C9986" t="inlineStr"/>
      <c r="D9986" t="inlineStr"/>
      <c r="E9986">
        <f>HYPERLINK("https://www.ncbi.nlm.nih.gov/gene/?term=XP_044132584.1", "XP_044132584.1")</f>
        <v/>
      </c>
      <c r="F9986" t="n">
        <v>32</v>
      </c>
      <c r="G9986" t="n">
        <v>244</v>
      </c>
      <c r="H9986" t="n">
        <v>1.22e-24</v>
      </c>
      <c r="I9986" t="inlineStr">
        <is>
          <t>Nr</t>
        </is>
      </c>
      <c r="J9986" t="inlineStr"/>
      <c r="K9986" t="inlineStr"/>
      <c r="L9986" t="inlineStr">
        <is>
          <t>XP_044132584.1 izumo sperm-egg fusion protein 1-like [Bufo gargarizans]</t>
        </is>
      </c>
      <c r="M9986" t="n">
        <v>342</v>
      </c>
      <c r="N9986" t="inlineStr">
        <is>
          <t>Bufo gargarizans</t>
        </is>
      </c>
      <c r="O9986" t="inlineStr">
        <is>
          <t>izumo sperm-egg fusion protein 1-like</t>
        </is>
      </c>
    </row>
    <row r="9987">
      <c r="A9987" t="inlineStr"/>
      <c r="B9987" t="inlineStr"/>
      <c r="C9987" t="inlineStr"/>
      <c r="D9987" t="inlineStr"/>
      <c r="E9987">
        <f>HYPERLINK("https://www.ncbi.nlm.nih.gov/gene/?term=XP_040271129.1", "XP_040271129.1")</f>
        <v/>
      </c>
      <c r="F9987" t="n">
        <v>32</v>
      </c>
      <c r="G9987" t="n">
        <v>244</v>
      </c>
      <c r="H9987" t="n">
        <v>4.45e-24</v>
      </c>
      <c r="I9987" t="inlineStr">
        <is>
          <t>Nr</t>
        </is>
      </c>
      <c r="J9987" t="inlineStr"/>
      <c r="K9987" t="inlineStr"/>
      <c r="L9987" t="inlineStr">
        <is>
          <t>XP_040271129.1 izumo sperm-egg fusion protein 1-like [Bufo bufo]</t>
        </is>
      </c>
      <c r="M9987" t="n">
        <v>342</v>
      </c>
      <c r="N9987" t="inlineStr">
        <is>
          <t>Bufo bufo</t>
        </is>
      </c>
      <c r="O9987" t="inlineStr">
        <is>
          <t>izumo sperm-egg fusion protein 1-like</t>
        </is>
      </c>
    </row>
    <row r="9988">
      <c r="A9988" t="inlineStr"/>
      <c r="B9988" t="inlineStr"/>
      <c r="C9988" t="inlineStr"/>
      <c r="D9988" t="inlineStr"/>
      <c r="E9988">
        <f>HYPERLINK("https://www.ncbi.nlm.nih.gov/gene/?term=XP_053308427.1", "XP_053308427.1")</f>
        <v/>
      </c>
      <c r="F9988" t="n">
        <v>28</v>
      </c>
      <c r="G9988" t="n">
        <v>264</v>
      </c>
      <c r="H9988" t="n">
        <v>5.86e-24</v>
      </c>
      <c r="I9988" t="inlineStr">
        <is>
          <t>Nr</t>
        </is>
      </c>
      <c r="J9988" t="inlineStr"/>
      <c r="K9988" t="inlineStr"/>
      <c r="L9988" t="inlineStr">
        <is>
          <t>XP_053308427.1 izumo sperm-egg fusion protein 1-like [Spea bombifrons]</t>
        </is>
      </c>
      <c r="M9988" t="n">
        <v>339</v>
      </c>
      <c r="N9988" t="inlineStr">
        <is>
          <t>Spea bombifrons</t>
        </is>
      </c>
      <c r="O9988" t="inlineStr">
        <is>
          <t>izumo sperm-egg fusion protein 1-like</t>
        </is>
      </c>
    </row>
    <row r="9989">
      <c r="A9989" t="inlineStr"/>
      <c r="B9989" t="inlineStr"/>
      <c r="C9989" t="inlineStr"/>
      <c r="D9989" t="inlineStr"/>
      <c r="E9989">
        <f>HYPERLINK("https://www.ncbi.nlm.nih.gov/gene/?term=XP_044132546.1", "XP_044132546.1")</f>
        <v/>
      </c>
      <c r="F9989" t="n">
        <v>31.6</v>
      </c>
      <c r="G9989" t="n">
        <v>244</v>
      </c>
      <c r="H9989" t="n">
        <v>6.159999999999999e-24</v>
      </c>
      <c r="I9989" t="inlineStr">
        <is>
          <t>Nr</t>
        </is>
      </c>
      <c r="J9989" t="inlineStr"/>
      <c r="K9989" t="inlineStr"/>
      <c r="L9989" t="inlineStr">
        <is>
          <t>XP_044132546.1 izumo sperm-egg fusion protein 1-like [Bufo gargarizans]</t>
        </is>
      </c>
      <c r="M9989" t="n">
        <v>342</v>
      </c>
      <c r="N9989" t="inlineStr">
        <is>
          <t>Bufo gargarizans</t>
        </is>
      </c>
      <c r="O9989" t="inlineStr">
        <is>
          <t>izumo sperm-egg fusion protein 1-like</t>
        </is>
      </c>
    </row>
    <row r="9990">
      <c r="A9990" t="inlineStr"/>
      <c r="B9990" t="inlineStr"/>
      <c r="C9990" t="inlineStr"/>
      <c r="D9990" t="inlineStr"/>
      <c r="E9990">
        <f>HYPERLINK("https://www.uniprot.org/uniprotkb/A0A8J0T5Q2/entry", "A0A8J0T5Q2")</f>
        <v/>
      </c>
      <c r="F9990" t="n">
        <v>27.6</v>
      </c>
      <c r="G9990" t="n">
        <v>246</v>
      </c>
      <c r="H9990" t="n">
        <v>7.799999999999999e-23</v>
      </c>
      <c r="I9990" t="inlineStr">
        <is>
          <t>TrEMBL</t>
        </is>
      </c>
      <c r="J9990" t="inlineStr">
        <is>
          <t>LOC101731115</t>
        </is>
      </c>
      <c r="K9990" t="inlineStr">
        <is>
          <t>A0A8J0T5Q2_XENTR</t>
        </is>
      </c>
      <c r="L9990" t="inlineStr">
        <is>
          <t>tr|A0A8J0T5Q2|A0A8J0T5Q2_XENTR uncharacterized protein LOC101731115 OS=Xenopus tropicalis OX=8364 GN=LOC101731115 PE=3 SV=1</t>
        </is>
      </c>
      <c r="M9990" t="n">
        <v>408</v>
      </c>
      <c r="N9990" t="inlineStr">
        <is>
          <t>Xenopus tropicalis</t>
        </is>
      </c>
      <c r="O9990" t="inlineStr">
        <is>
          <t>uncharacterized protein LOC101731115</t>
        </is>
      </c>
    </row>
    <row r="9991">
      <c r="A9991" t="inlineStr"/>
      <c r="B9991" t="inlineStr"/>
      <c r="C9991" t="inlineStr"/>
      <c r="D9991" t="inlineStr"/>
      <c r="E9991">
        <f>HYPERLINK("https://www.uniprot.org/uniprotkb/A0A8J1JYT4/entry", "A0A8J1JYT4")</f>
        <v/>
      </c>
      <c r="F9991" t="n">
        <v>27.6</v>
      </c>
      <c r="G9991" t="n">
        <v>246</v>
      </c>
      <c r="H9991" t="n">
        <v>2.76e-22</v>
      </c>
      <c r="I9991" t="inlineStr">
        <is>
          <t>TrEMBL</t>
        </is>
      </c>
      <c r="J9991" t="inlineStr">
        <is>
          <t>LOC101731078</t>
        </is>
      </c>
      <c r="K9991" t="inlineStr">
        <is>
          <t>A0A8J1JYT4_XENTR</t>
        </is>
      </c>
      <c r="L9991" t="inlineStr">
        <is>
          <t>tr|A0A8J1JYT4|A0A8J1JYT4_XENTR uncharacterized protein LOC101731078 OS=Xenopus tropicalis OX=8364 GN=LOC101731078 PE=3 SV=1</t>
        </is>
      </c>
      <c r="M9991" t="n">
        <v>408</v>
      </c>
      <c r="N9991" t="inlineStr">
        <is>
          <t>Xenopus tropicalis</t>
        </is>
      </c>
      <c r="O9991" t="inlineStr">
        <is>
          <t>uncharacterized protein LOC101731078</t>
        </is>
      </c>
    </row>
    <row r="9992">
      <c r="A9992" t="inlineStr"/>
      <c r="B9992" t="inlineStr"/>
      <c r="C9992" t="inlineStr"/>
      <c r="D9992" t="inlineStr"/>
      <c r="E9992">
        <f>HYPERLINK("https://www.uniprot.org/uniprotkb/A0A8J0STE6/entry", "A0A8J0STE6")</f>
        <v/>
      </c>
      <c r="F9992" t="n">
        <v>28</v>
      </c>
      <c r="G9992" t="n">
        <v>246</v>
      </c>
      <c r="H9992" t="n">
        <v>3.79e-22</v>
      </c>
      <c r="I9992" t="inlineStr">
        <is>
          <t>TrEMBL</t>
        </is>
      </c>
      <c r="J9992" t="inlineStr">
        <is>
          <t>LOC105945156</t>
        </is>
      </c>
      <c r="K9992" t="inlineStr">
        <is>
          <t>A0A8J0STE6_XENTR</t>
        </is>
      </c>
      <c r="L9992" t="inlineStr">
        <is>
          <t>tr|A0A8J0STE6|A0A8J0STE6_XENTR uncharacterized protein LOC105945156 OS=Xenopus tropicalis OX=8364 GN=LOC105945156 PE=3 SV=1</t>
        </is>
      </c>
      <c r="M9992" t="n">
        <v>408</v>
      </c>
      <c r="N9992" t="inlineStr">
        <is>
          <t>Xenopus tropicalis</t>
        </is>
      </c>
      <c r="O9992" t="inlineStr">
        <is>
          <t>uncharacterized protein LOC105945156</t>
        </is>
      </c>
    </row>
    <row r="9993">
      <c r="A9993" t="inlineStr"/>
      <c r="B9993" t="inlineStr"/>
      <c r="C9993" t="inlineStr"/>
      <c r="D9993" t="inlineStr"/>
      <c r="E9993">
        <f>HYPERLINK("https://www.uniprot.org/uniprotkb/A0A8J0SUA6/entry", "A0A8J0SUA6")</f>
        <v/>
      </c>
      <c r="F9993" t="n">
        <v>28</v>
      </c>
      <c r="G9993" t="n">
        <v>246</v>
      </c>
      <c r="H9993" t="n">
        <v>3.79e-22</v>
      </c>
      <c r="I9993" t="inlineStr">
        <is>
          <t>TrEMBL</t>
        </is>
      </c>
      <c r="J9993" t="inlineStr">
        <is>
          <t>LOC101733917</t>
        </is>
      </c>
      <c r="K9993" t="inlineStr">
        <is>
          <t>A0A8J0SUA6_XENTR</t>
        </is>
      </c>
      <c r="L9993" t="inlineStr">
        <is>
          <t>tr|A0A8J0SUA6|A0A8J0SUA6_XENTR uncharacterized protein LOC101733917 isoform X1 OS=Xenopus tropicalis OX=8364 GN=LOC101733917 PE=3 SV=1</t>
        </is>
      </c>
      <c r="M9993" t="n">
        <v>408</v>
      </c>
      <c r="N9993" t="inlineStr">
        <is>
          <t>Xenopus tropicalis</t>
        </is>
      </c>
      <c r="O9993" t="inlineStr">
        <is>
          <t>uncharacterized protein LOC101733917 isoform X1</t>
        </is>
      </c>
    </row>
    <row r="9994">
      <c r="A9994" t="inlineStr"/>
      <c r="B9994" t="inlineStr"/>
      <c r="C9994" t="inlineStr"/>
      <c r="D9994" t="inlineStr"/>
      <c r="E9994">
        <f>HYPERLINK("https://www.uniprot.org/uniprotkb/A0A8J1JVG6/entry", "A0A8J1JVG6")</f>
        <v/>
      </c>
      <c r="F9994" t="n">
        <v>27.7</v>
      </c>
      <c r="G9994" t="n">
        <v>267</v>
      </c>
      <c r="H9994" t="n">
        <v>6.14e-22</v>
      </c>
      <c r="I9994" t="inlineStr">
        <is>
          <t>TrEMBL</t>
        </is>
      </c>
      <c r="J9994" t="inlineStr">
        <is>
          <t>LOC116412245</t>
        </is>
      </c>
      <c r="K9994" t="inlineStr">
        <is>
          <t>A0A8J1JVG6_XENTR</t>
        </is>
      </c>
      <c r="L9994" t="inlineStr">
        <is>
          <t>tr|A0A8J1JVG6|A0A8J1JVG6_XENTR uncharacterized protein LOC116412245 OS=Xenopus tropicalis OX=8364 GN=LOC116412245 PE=3 SV=1</t>
        </is>
      </c>
      <c r="M9994" t="n">
        <v>424</v>
      </c>
      <c r="N9994" t="inlineStr">
        <is>
          <t>Xenopus tropicalis</t>
        </is>
      </c>
      <c r="O9994" t="inlineStr">
        <is>
          <t>uncharacterized protein LOC116412245</t>
        </is>
      </c>
    </row>
    <row r="9995">
      <c r="A9995" t="inlineStr"/>
      <c r="B9995" t="inlineStr"/>
      <c r="C9995" t="inlineStr"/>
      <c r="D9995" t="inlineStr"/>
      <c r="E9995">
        <f>HYPERLINK("https://www.uniprot.org/uniprotkb/A0A8J1JVH5/entry", "A0A8J1JVH5")</f>
        <v/>
      </c>
      <c r="F9995" t="n">
        <v>27.6</v>
      </c>
      <c r="G9995" t="n">
        <v>246</v>
      </c>
      <c r="H9995" t="n">
        <v>5.32e-21</v>
      </c>
      <c r="I9995" t="inlineStr">
        <is>
          <t>TrEMBL</t>
        </is>
      </c>
      <c r="J9995" t="inlineStr">
        <is>
          <t>LOC108648055</t>
        </is>
      </c>
      <c r="K9995" t="inlineStr">
        <is>
          <t>A0A8J1JVH5_XENTR</t>
        </is>
      </c>
      <c r="L9995" t="inlineStr">
        <is>
          <t>tr|A0A8J1JVH5|A0A8J1JVH5_XENTR uncharacterized protein LOC108648055 isoform X2 OS=Xenopus tropicalis OX=8364 GN=LOC108648055 PE=3 SV=1</t>
        </is>
      </c>
      <c r="M9995" t="n">
        <v>364</v>
      </c>
      <c r="N9995" t="inlineStr">
        <is>
          <t>Xenopus tropicalis</t>
        </is>
      </c>
      <c r="O9995" t="inlineStr">
        <is>
          <t>uncharacterized protein LOC108648055 isoform X2</t>
        </is>
      </c>
    </row>
    <row r="9996">
      <c r="A9996" t="inlineStr"/>
      <c r="B9996" t="inlineStr"/>
      <c r="C9996" t="inlineStr"/>
      <c r="D9996" t="inlineStr"/>
      <c r="E9996">
        <f>HYPERLINK("https://www.uniprot.org/uniprotkb/A0A8J0T3H3/entry", "A0A8J0T3H3")</f>
        <v/>
      </c>
      <c r="F9996" t="n">
        <v>28.2</v>
      </c>
      <c r="G9996" t="n">
        <v>255</v>
      </c>
      <c r="H9996" t="n">
        <v>2.87e-19</v>
      </c>
      <c r="I9996" t="inlineStr">
        <is>
          <t>TrEMBL</t>
        </is>
      </c>
      <c r="J9996" t="inlineStr">
        <is>
          <t>LOC108696753</t>
        </is>
      </c>
      <c r="K9996" t="inlineStr">
        <is>
          <t>A0A8J0T3H3_XENLA</t>
        </is>
      </c>
      <c r="L9996" t="inlineStr">
        <is>
          <t>tr|A0A8J0T3H3|A0A8J0T3H3_XENLA uncharacterized protein LOC108696753 isoform X1 OS=Xenopus laevis OX=8355 GN=LOC108696753 PE=3 SV=1</t>
        </is>
      </c>
      <c r="M9996" t="n">
        <v>413</v>
      </c>
      <c r="N9996" t="inlineStr">
        <is>
          <t>Xenopus laevis</t>
        </is>
      </c>
      <c r="O9996" t="inlineStr">
        <is>
          <t>uncharacterized protein LOC108696753 isoform X1</t>
        </is>
      </c>
    </row>
    <row r="9997">
      <c r="A9997" t="inlineStr"/>
      <c r="B9997" t="inlineStr"/>
      <c r="C9997" t="inlineStr"/>
      <c r="D9997" t="inlineStr"/>
      <c r="E9997">
        <f>HYPERLINK("https://www.uniprot.org/uniprotkb/A0A8J0T5N2/entry", "A0A8J0T5N2")</f>
        <v/>
      </c>
      <c r="F9997" t="n">
        <v>31.2</v>
      </c>
      <c r="G9997" t="n">
        <v>218</v>
      </c>
      <c r="H9997" t="n">
        <v>3.35e-19</v>
      </c>
      <c r="I9997" t="inlineStr">
        <is>
          <t>TrEMBL</t>
        </is>
      </c>
      <c r="J9997" t="inlineStr">
        <is>
          <t>LOC105947920</t>
        </is>
      </c>
      <c r="K9997" t="inlineStr">
        <is>
          <t>A0A8J0T5N2_XENTR</t>
        </is>
      </c>
      <c r="L9997" t="inlineStr">
        <is>
          <t>tr|A0A8J0T5N2|A0A8J0T5N2_XENTR uncharacterized protein LOC105947920 OS=Xenopus tropicalis OX=8364 GN=LOC105947920 PE=3 SV=1</t>
        </is>
      </c>
      <c r="M9997" t="n">
        <v>298</v>
      </c>
      <c r="N9997" t="inlineStr">
        <is>
          <t>Xenopus tropicalis</t>
        </is>
      </c>
      <c r="O9997" t="inlineStr">
        <is>
          <t>uncharacterized protein LOC105947920</t>
        </is>
      </c>
    </row>
    <row r="9998">
      <c r="A9998" t="inlineStr"/>
      <c r="B9998" t="inlineStr"/>
      <c r="C9998" t="inlineStr"/>
      <c r="D9998" t="inlineStr"/>
      <c r="E9998">
        <f>HYPERLINK("https://www.uniprot.org/uniprotkb/A0A8J1L9A9/entry", "A0A8J1L9A9")</f>
        <v/>
      </c>
      <c r="F9998" t="n">
        <v>28.5</v>
      </c>
      <c r="G9998" t="n">
        <v>242</v>
      </c>
      <c r="H9998" t="n">
        <v>1.6e-18</v>
      </c>
      <c r="I9998" t="inlineStr">
        <is>
          <t>TrEMBL</t>
        </is>
      </c>
      <c r="J9998" t="inlineStr">
        <is>
          <t>LOC108696753</t>
        </is>
      </c>
      <c r="K9998" t="inlineStr">
        <is>
          <t>A0A8J1L9A9_XENLA</t>
        </is>
      </c>
      <c r="L9998" t="inlineStr">
        <is>
          <t>tr|A0A8J1L9A9|A0A8J1L9A9_XENLA uncharacterized protein LOC108696753 isoform X3 OS=Xenopus laevis OX=8355 GN=LOC108696753 PE=4 SV=1</t>
        </is>
      </c>
      <c r="M9998" t="n">
        <v>340</v>
      </c>
      <c r="N9998" t="inlineStr">
        <is>
          <t>Xenopus laevis</t>
        </is>
      </c>
      <c r="O9998" t="inlineStr">
        <is>
          <t>uncharacterized protein LOC108696753 isoform X3</t>
        </is>
      </c>
    </row>
    <row r="9999">
      <c r="A9999" t="inlineStr"/>
      <c r="B9999" t="inlineStr"/>
      <c r="C9999" t="inlineStr"/>
      <c r="D9999" t="inlineStr"/>
      <c r="E9999">
        <f>HYPERLINK("https://www.uniprot.org/uniprotkb/A0A8J1IT41/entry", "A0A8J1IT41")</f>
        <v/>
      </c>
      <c r="F9999" t="n">
        <v>27.5</v>
      </c>
      <c r="G9999" t="n">
        <v>247</v>
      </c>
      <c r="H9999" t="n">
        <v>4.65e-18</v>
      </c>
      <c r="I9999" t="inlineStr">
        <is>
          <t>TrEMBL</t>
        </is>
      </c>
      <c r="J9999" t="inlineStr">
        <is>
          <t>LOC116407527</t>
        </is>
      </c>
      <c r="K9999" t="inlineStr">
        <is>
          <t>A0A8J1IT41_XENTR</t>
        </is>
      </c>
      <c r="L9999" t="inlineStr">
        <is>
          <t>tr|A0A8J1IT41|A0A8J1IT41_XENTR uncharacterized protein LOC116407527 OS=Xenopus tropicalis OX=8364 GN=LOC116407527 PE=3 SV=1</t>
        </is>
      </c>
      <c r="M9999" t="n">
        <v>413</v>
      </c>
      <c r="N9999" t="inlineStr">
        <is>
          <t>Xenopus tropicalis</t>
        </is>
      </c>
      <c r="O9999" t="inlineStr">
        <is>
          <t>uncharacterized protein LOC116407527</t>
        </is>
      </c>
    </row>
    <row r="10000">
      <c r="A10000" t="inlineStr"/>
      <c r="B10000" t="inlineStr"/>
      <c r="C10000" t="inlineStr"/>
      <c r="D10000" t="inlineStr"/>
      <c r="E10000">
        <f>HYPERLINK("https://www.uniprot.org/uniprotkb/A0A8J1L7P0/entry", "A0A8J1L7P0")</f>
        <v/>
      </c>
      <c r="F10000" t="n">
        <v>28.9</v>
      </c>
      <c r="G10000" t="n">
        <v>239</v>
      </c>
      <c r="H10000" t="n">
        <v>6e-18</v>
      </c>
      <c r="I10000" t="inlineStr">
        <is>
          <t>TrEMBL</t>
        </is>
      </c>
      <c r="J10000" t="inlineStr">
        <is>
          <t>LOC108696753</t>
        </is>
      </c>
      <c r="K10000" t="inlineStr">
        <is>
          <t>A0A8J1L7P0_XENLA</t>
        </is>
      </c>
      <c r="L10000" t="inlineStr">
        <is>
          <t>tr|A0A8J1L7P0|A0A8J1L7P0_XENLA uncharacterized protein LOC108696753 isoform X2 OS=Xenopus laevis OX=8355 GN=LOC108696753 PE=3 SV=1</t>
        </is>
      </c>
      <c r="M10000" t="n">
        <v>345</v>
      </c>
      <c r="N10000" t="inlineStr">
        <is>
          <t>Xenopus laevis</t>
        </is>
      </c>
      <c r="O10000" t="inlineStr">
        <is>
          <t>uncharacterized protein LOC108696753 isoform X2</t>
        </is>
      </c>
    </row>
    <row r="10001">
      <c r="A10001" t="inlineStr"/>
      <c r="B10001" t="inlineStr"/>
      <c r="C10001" t="inlineStr"/>
      <c r="D10001" t="inlineStr"/>
      <c r="E10001">
        <f>HYPERLINK("https://www.uniprot.org/uniprotkb/A0A6P8SUL3/entry", "A0A6P8SUL3")</f>
        <v/>
      </c>
      <c r="F10001" t="n">
        <v>24.6</v>
      </c>
      <c r="G10001" t="n">
        <v>252</v>
      </c>
      <c r="H10001" t="n">
        <v>1.21e-17</v>
      </c>
      <c r="I10001" t="inlineStr">
        <is>
          <t>TrEMBL</t>
        </is>
      </c>
      <c r="J10001" t="inlineStr">
        <is>
          <t>IZUMO1</t>
        </is>
      </c>
      <c r="K10001" t="inlineStr">
        <is>
          <t>A0A6P8SUL3_GEOSA</t>
        </is>
      </c>
      <c r="L10001" t="inlineStr">
        <is>
          <t>tr|A0A6P8SUL3|A0A6P8SUL3_GEOSA izumo sperm-egg fusion protein 1 OS=Geotrypetes seraphini OX=260995 GN=IZUMO1 PE=3 SV=1</t>
        </is>
      </c>
      <c r="M10001" t="n">
        <v>303</v>
      </c>
      <c r="N10001" t="inlineStr">
        <is>
          <t>Geotrypetes seraphini</t>
        </is>
      </c>
      <c r="O10001" t="inlineStr">
        <is>
          <t>izumo sperm-egg fusion protein 1</t>
        </is>
      </c>
    </row>
    <row r="10002">
      <c r="A10002" t="inlineStr"/>
      <c r="B10002" t="inlineStr"/>
      <c r="C10002" t="inlineStr"/>
      <c r="D10002" t="inlineStr"/>
      <c r="E10002">
        <f>HYPERLINK("https://www.uniprot.org/uniprotkb/A0A8J1K189/entry", "A0A8J1K189")</f>
        <v/>
      </c>
      <c r="F10002" t="n">
        <v>28.8</v>
      </c>
      <c r="G10002" t="n">
        <v>219</v>
      </c>
      <c r="H10002" t="n">
        <v>1.24e-17</v>
      </c>
      <c r="I10002" t="inlineStr">
        <is>
          <t>TrEMBL</t>
        </is>
      </c>
      <c r="J10002" t="inlineStr">
        <is>
          <t>LOC101733917</t>
        </is>
      </c>
      <c r="K10002" t="inlineStr">
        <is>
          <t>A0A8J1K189_XENTR</t>
        </is>
      </c>
      <c r="L10002" t="inlineStr">
        <is>
          <t>tr|A0A8J1K189|A0A8J1K189_XENTR uncharacterized protein LOC101733917 isoform X2 OS=Xenopus tropicalis OX=8364 GN=LOC101733917 PE=3 SV=1</t>
        </is>
      </c>
      <c r="M10002" t="n">
        <v>305</v>
      </c>
      <c r="N10002" t="inlineStr">
        <is>
          <t>Xenopus tropicalis</t>
        </is>
      </c>
      <c r="O10002" t="inlineStr">
        <is>
          <t>uncharacterized protein LOC101733917 isoform X2</t>
        </is>
      </c>
    </row>
    <row r="10003">
      <c r="A10003" t="inlineStr"/>
      <c r="B10003" t="inlineStr"/>
      <c r="C10003" t="inlineStr"/>
      <c r="D10003" t="inlineStr"/>
      <c r="E10003">
        <f>HYPERLINK("https://www.uniprot.org/uniprotkb/A0A8J1JL23/entry", "A0A8J1JL23")</f>
        <v/>
      </c>
      <c r="F10003" t="n">
        <v>25.6</v>
      </c>
      <c r="G10003" t="n">
        <v>254</v>
      </c>
      <c r="H10003" t="n">
        <v>1.56e-17</v>
      </c>
      <c r="I10003" t="inlineStr">
        <is>
          <t>TrEMBL</t>
        </is>
      </c>
      <c r="J10003" t="inlineStr">
        <is>
          <t>LOC116410796</t>
        </is>
      </c>
      <c r="K10003" t="inlineStr">
        <is>
          <t>A0A8J1JL23_XENTR</t>
        </is>
      </c>
      <c r="L10003" t="inlineStr">
        <is>
          <t>tr|A0A8J1JL23|A0A8J1JL23_XENTR uncharacterized protein LOC116410796 OS=Xenopus tropicalis OX=8364 GN=LOC116410796 PE=3 SV=1</t>
        </is>
      </c>
      <c r="M10003" t="n">
        <v>410</v>
      </c>
      <c r="N10003" t="inlineStr">
        <is>
          <t>Xenopus tropicalis</t>
        </is>
      </c>
      <c r="O10003" t="inlineStr">
        <is>
          <t>uncharacterized protein LOC116410796</t>
        </is>
      </c>
    </row>
    <row r="10004">
      <c r="A10004" t="inlineStr"/>
      <c r="B10004" t="inlineStr"/>
      <c r="C10004" t="inlineStr"/>
      <c r="D10004" t="inlineStr"/>
      <c r="E10004">
        <f>HYPERLINK("https://www.uniprot.org/uniprotkb/A0A8J0T5I9/entry", "A0A8J0T5I9")</f>
        <v/>
      </c>
      <c r="F10004" t="n">
        <v>28.7</v>
      </c>
      <c r="G10004" t="n">
        <v>209</v>
      </c>
      <c r="H10004" t="n">
        <v>1.68e-17</v>
      </c>
      <c r="I10004" t="inlineStr">
        <is>
          <t>TrEMBL</t>
        </is>
      </c>
      <c r="J10004" t="inlineStr">
        <is>
          <t>LOC105947944</t>
        </is>
      </c>
      <c r="K10004" t="inlineStr">
        <is>
          <t>A0A8J0T5I9_XENTR</t>
        </is>
      </c>
      <c r="L10004" t="inlineStr">
        <is>
          <t>tr|A0A8J0T5I9|A0A8J0T5I9_XENTR uncharacterized protein LOC105947944 OS=Xenopus tropicalis OX=8364 GN=LOC105947944 PE=3 SV=1</t>
        </is>
      </c>
      <c r="M10004" t="n">
        <v>304</v>
      </c>
      <c r="N10004" t="inlineStr">
        <is>
          <t>Xenopus tropicalis</t>
        </is>
      </c>
      <c r="O10004" t="inlineStr">
        <is>
          <t>uncharacterized protein LOC105947944</t>
        </is>
      </c>
    </row>
    <row r="10005">
      <c r="A10005" t="inlineStr"/>
      <c r="B10005" t="inlineStr"/>
      <c r="C10005" t="inlineStr"/>
      <c r="D10005" t="inlineStr"/>
      <c r="E10005">
        <f>HYPERLINK("https://www.uniprot.org/uniprotkb/A0A8J0T130/entry", "A0A8J0T130")</f>
        <v/>
      </c>
      <c r="F10005" t="n">
        <v>26.2</v>
      </c>
      <c r="G10005" t="n">
        <v>244</v>
      </c>
      <c r="H10005" t="n">
        <v>1.4e-16</v>
      </c>
      <c r="I10005" t="inlineStr">
        <is>
          <t>TrEMBL</t>
        </is>
      </c>
      <c r="J10005" t="inlineStr">
        <is>
          <t>LOC100489674</t>
        </is>
      </c>
      <c r="K10005" t="inlineStr">
        <is>
          <t>A0A8J0T130_XENTR</t>
        </is>
      </c>
      <c r="L10005" t="inlineStr">
        <is>
          <t>tr|A0A8J0T130|A0A8J0T130_XENTR uncharacterized protein LOC100489674 OS=Xenopus tropicalis OX=8364 GN=LOC100489674 PE=4 SV=1</t>
        </is>
      </c>
      <c r="M10005" t="n">
        <v>417</v>
      </c>
      <c r="N10005" t="inlineStr">
        <is>
          <t>Xenopus tropicalis</t>
        </is>
      </c>
      <c r="O10005" t="inlineStr">
        <is>
          <t>uncharacterized protein LOC100489674</t>
        </is>
      </c>
    </row>
    <row r="10006">
      <c r="A10006" t="inlineStr"/>
      <c r="B10006" t="inlineStr"/>
      <c r="C10006" t="inlineStr"/>
      <c r="D10006" t="inlineStr"/>
      <c r="E10006">
        <f>HYPERLINK("https://www.uniprot.org/uniprotkb/A0A5F8GDG0/entry", "A0A5F8GDG0")</f>
        <v/>
      </c>
      <c r="F10006" t="n">
        <v>29.7</v>
      </c>
      <c r="G10006" t="n">
        <v>212</v>
      </c>
      <c r="H10006" t="n">
        <v>1.96e-16</v>
      </c>
      <c r="I10006" t="inlineStr">
        <is>
          <t>TrEMBL</t>
        </is>
      </c>
      <c r="J10006" t="inlineStr">
        <is>
          <t>LOC100015787</t>
        </is>
      </c>
      <c r="K10006" t="inlineStr">
        <is>
          <t>A0A5F8GDG0_MONDO</t>
        </is>
      </c>
      <c r="L10006" t="inlineStr">
        <is>
          <t>tr|A0A5F8GDG0|A0A5F8GDG0_MONDO Izumo sperm-egg fusion protein 1-like OS=Monodelphis domestica OX=13616 GN=LOC100015787 PE=3 SV=1</t>
        </is>
      </c>
      <c r="M10006" t="n">
        <v>483</v>
      </c>
      <c r="N10006" t="inlineStr">
        <is>
          <t>Monodelphis domestica</t>
        </is>
      </c>
      <c r="O10006" t="inlineStr">
        <is>
          <t>Izumo sperm-egg fusion protein 1-like</t>
        </is>
      </c>
    </row>
    <row r="10007">
      <c r="A10007" t="inlineStr"/>
      <c r="B10007" t="inlineStr"/>
      <c r="C10007" t="inlineStr"/>
      <c r="D10007" t="inlineStr"/>
      <c r="E10007">
        <f>HYPERLINK("https://www.uniprot.org/uniprotkb/A0A5F8GJG2/entry", "A0A5F8GJG2")</f>
        <v/>
      </c>
      <c r="F10007" t="n">
        <v>29.2</v>
      </c>
      <c r="G10007" t="n">
        <v>212</v>
      </c>
      <c r="H10007" t="n">
        <v>1.96e-16</v>
      </c>
      <c r="I10007" t="inlineStr">
        <is>
          <t>TrEMBL</t>
        </is>
      </c>
      <c r="J10007" t="inlineStr">
        <is>
          <t>LOC100015787</t>
        </is>
      </c>
      <c r="K10007" t="inlineStr">
        <is>
          <t>A0A5F8GJG2_MONDO</t>
        </is>
      </c>
      <c r="L10007" t="inlineStr">
        <is>
          <t>tr|A0A5F8GJG2|A0A5F8GJG2_MONDO Izumo sperm-egg fusion protein 1-like OS=Monodelphis domestica OX=13616 GN=LOC100015787 PE=3 SV=1</t>
        </is>
      </c>
      <c r="M10007" t="n">
        <v>483</v>
      </c>
      <c r="N10007" t="inlineStr">
        <is>
          <t>Monodelphis domestica</t>
        </is>
      </c>
      <c r="O10007" t="inlineStr">
        <is>
          <t>Izumo sperm-egg fusion protein 1-like</t>
        </is>
      </c>
    </row>
    <row r="10008">
      <c r="A10008" t="inlineStr"/>
      <c r="B10008" t="inlineStr"/>
      <c r="C10008" t="inlineStr"/>
      <c r="D10008" t="inlineStr"/>
      <c r="E10008">
        <f>HYPERLINK("https://www.uniprot.org/uniprotkb/A0A5F8GFN4/entry", "A0A5F8GFN4")</f>
        <v/>
      </c>
      <c r="F10008" t="n">
        <v>29.2</v>
      </c>
      <c r="G10008" t="n">
        <v>212</v>
      </c>
      <c r="H10008" t="n">
        <v>1.96e-16</v>
      </c>
      <c r="I10008" t="inlineStr">
        <is>
          <t>TrEMBL</t>
        </is>
      </c>
      <c r="J10008" t="inlineStr">
        <is>
          <t>LOC100015787</t>
        </is>
      </c>
      <c r="K10008" t="inlineStr">
        <is>
          <t>A0A5F8GFN4_MONDO</t>
        </is>
      </c>
      <c r="L10008" t="inlineStr">
        <is>
          <t>tr|A0A5F8GFN4|A0A5F8GFN4_MONDO Izumo sperm-egg fusion protein 1-like OS=Monodelphis domestica OX=13616 GN=LOC100015787 PE=3 SV=1</t>
        </is>
      </c>
      <c r="M10008" t="n">
        <v>483</v>
      </c>
      <c r="N10008" t="inlineStr">
        <is>
          <t>Monodelphis domestica</t>
        </is>
      </c>
      <c r="O10008" t="inlineStr">
        <is>
          <t>Izumo sperm-egg fusion protein 1-like</t>
        </is>
      </c>
    </row>
    <row r="10009">
      <c r="A10009" t="inlineStr"/>
      <c r="B10009" t="inlineStr"/>
      <c r="C10009" t="inlineStr"/>
      <c r="D10009" t="inlineStr"/>
      <c r="E10009">
        <f>HYPERLINK("https://www.uniprot.org/uniprotkb/K7DZS4/entry", "K7DZS4")</f>
        <v/>
      </c>
      <c r="F10009" t="n">
        <v>29.7</v>
      </c>
      <c r="G10009" t="n">
        <v>212</v>
      </c>
      <c r="H10009" t="n">
        <v>2.97e-16</v>
      </c>
      <c r="I10009" t="inlineStr">
        <is>
          <t>TrEMBL</t>
        </is>
      </c>
      <c r="J10009" t="inlineStr">
        <is>
          <t>LOC100015787</t>
        </is>
      </c>
      <c r="K10009" t="inlineStr">
        <is>
          <t>K7DZS4_MONDO</t>
        </is>
      </c>
      <c r="L10009" t="inlineStr">
        <is>
          <t>tr|K7DZS4|K7DZS4_MONDO Izumo sperm-egg fusion protein 1-like OS=Monodelphis domestica OX=13616 GN=LOC100015787 PE=3 SV=2</t>
        </is>
      </c>
      <c r="M10009" t="n">
        <v>441</v>
      </c>
      <c r="N10009" t="inlineStr">
        <is>
          <t>Monodelphis domestica</t>
        </is>
      </c>
      <c r="O10009" t="inlineStr">
        <is>
          <t>Izumo sperm-egg fusion protein 1-like</t>
        </is>
      </c>
    </row>
    <row r="10010">
      <c r="A10010" t="inlineStr"/>
      <c r="B10010" t="inlineStr"/>
      <c r="C10010" t="inlineStr"/>
      <c r="D10010" t="inlineStr"/>
      <c r="E10010">
        <f>HYPERLINK("https://www.uniprot.org/uniprotkb/A0A8J1L9T2/entry", "A0A8J1L9T2")</f>
        <v/>
      </c>
      <c r="F10010" t="n">
        <v>26</v>
      </c>
      <c r="G10010" t="n">
        <v>242</v>
      </c>
      <c r="H10010" t="n">
        <v>4.58e-16</v>
      </c>
      <c r="I10010" t="inlineStr">
        <is>
          <t>TrEMBL</t>
        </is>
      </c>
      <c r="J10010" t="inlineStr">
        <is>
          <t>LOC108696643</t>
        </is>
      </c>
      <c r="K10010" t="inlineStr">
        <is>
          <t>A0A8J1L9T2_XENLA</t>
        </is>
      </c>
      <c r="L10010" t="inlineStr">
        <is>
          <t>tr|A0A8J1L9T2|A0A8J1L9T2_XENLA uncharacterized protein LOC108696643 isoform X1 OS=Xenopus laevis OX=8355 GN=LOC108696643 PE=3 SV=1</t>
        </is>
      </c>
      <c r="M10010" t="n">
        <v>412</v>
      </c>
      <c r="N10010" t="inlineStr">
        <is>
          <t>Xenopus laevis</t>
        </is>
      </c>
      <c r="O10010" t="inlineStr">
        <is>
          <t>uncharacterized protein LOC108696643 isoform X1</t>
        </is>
      </c>
    </row>
    <row r="10011">
      <c r="A10011" t="inlineStr"/>
      <c r="B10011" t="inlineStr"/>
      <c r="C10011" t="inlineStr"/>
      <c r="D10011" t="inlineStr"/>
      <c r="E10011">
        <f>HYPERLINK("https://www.uniprot.org/uniprotkb/A0A8J1JP82/entry", "A0A8J1JP82")</f>
        <v/>
      </c>
      <c r="F10011" t="n">
        <v>25.5</v>
      </c>
      <c r="G10011" t="n">
        <v>247</v>
      </c>
      <c r="H10011" t="n">
        <v>8.75e-16</v>
      </c>
      <c r="I10011" t="inlineStr">
        <is>
          <t>TrEMBL</t>
        </is>
      </c>
      <c r="J10011" t="inlineStr">
        <is>
          <t>LOC116411086</t>
        </is>
      </c>
      <c r="K10011" t="inlineStr">
        <is>
          <t>A0A8J1JP82_XENTR</t>
        </is>
      </c>
      <c r="L10011" t="inlineStr">
        <is>
          <t>tr|A0A8J1JP82|A0A8J1JP82_XENTR uncharacterized protein LOC116411086 OS=Xenopus tropicalis OX=8364 GN=LOC116411086 PE=4 SV=1</t>
        </is>
      </c>
      <c r="M10011" t="n">
        <v>317</v>
      </c>
      <c r="N10011" t="inlineStr">
        <is>
          <t>Xenopus tropicalis</t>
        </is>
      </c>
      <c r="O10011" t="inlineStr">
        <is>
          <t>uncharacterized protein LOC116411086</t>
        </is>
      </c>
    </row>
    <row r="10012">
      <c r="A10012" t="inlineStr"/>
      <c r="B10012" t="inlineStr"/>
      <c r="C10012" t="inlineStr"/>
      <c r="D10012" t="inlineStr"/>
      <c r="E10012">
        <f>HYPERLINK("https://www.uniprot.org/uniprotkb/A0A8J0T2E9/entry", "A0A8J0T2E9")</f>
        <v/>
      </c>
      <c r="F10012" t="n">
        <v>31</v>
      </c>
      <c r="G10012" t="n">
        <v>158</v>
      </c>
      <c r="H10012" t="n">
        <v>9.659999999999999e-16</v>
      </c>
      <c r="I10012" t="inlineStr">
        <is>
          <t>TrEMBL</t>
        </is>
      </c>
      <c r="J10012" t="inlineStr">
        <is>
          <t>LOC100487642</t>
        </is>
      </c>
      <c r="K10012" t="inlineStr">
        <is>
          <t>A0A8J0T2E9_XENTR</t>
        </is>
      </c>
      <c r="L10012" t="inlineStr">
        <is>
          <t>tr|A0A8J0T2E9|A0A8J0T2E9_XENTR uncharacterized protein LOC100487642 OS=Xenopus tropicalis OX=8364 GN=LOC100487642 PE=3 SV=1</t>
        </is>
      </c>
      <c r="M10012" t="n">
        <v>241</v>
      </c>
      <c r="N10012" t="inlineStr">
        <is>
          <t>Xenopus tropicalis</t>
        </is>
      </c>
      <c r="O10012" t="inlineStr">
        <is>
          <t>uncharacterized protein LOC100487642</t>
        </is>
      </c>
    </row>
    <row r="10013">
      <c r="A10013" t="inlineStr"/>
      <c r="B10013" t="inlineStr"/>
      <c r="C10013" t="inlineStr"/>
      <c r="D10013" t="inlineStr"/>
      <c r="E10013">
        <f>HYPERLINK("https://www.uniprot.org/uniprotkb/Q9D9J7/entry", "Q9D9J7")</f>
        <v/>
      </c>
      <c r="F10013" t="n">
        <v>25.3</v>
      </c>
      <c r="G10013" t="n">
        <v>229</v>
      </c>
      <c r="H10013" t="n">
        <v>6.7e-15</v>
      </c>
      <c r="I10013" t="inlineStr">
        <is>
          <t>Swiss-Prot</t>
        </is>
      </c>
      <c r="J10013" t="inlineStr">
        <is>
          <t>Izumo1</t>
        </is>
      </c>
      <c r="K10013" t="inlineStr">
        <is>
          <t>IZUM1_MOUSE</t>
        </is>
      </c>
      <c r="L10013" t="inlineStr">
        <is>
          <t>sp|Q9D9J7|IZUM1_MOUSE Izumo sperm-egg fusion protein 1 OS=Mus musculus OX=10090 GN=Izumo1 PE=1 SV=1</t>
        </is>
      </c>
      <c r="M10013" t="n">
        <v>397</v>
      </c>
      <c r="N10013" t="inlineStr">
        <is>
          <t>Mus musculus</t>
        </is>
      </c>
      <c r="O10013" t="inlineStr">
        <is>
          <t>Izumo sperm-egg fusion protein 1</t>
        </is>
      </c>
    </row>
    <row r="10014">
      <c r="A10014" t="inlineStr"/>
      <c r="B10014" t="inlineStr"/>
      <c r="C10014" t="inlineStr"/>
      <c r="D10014" t="inlineStr"/>
      <c r="E10014">
        <f>HYPERLINK("https://www.uniprot.org/uniprotkb/Q8IYV9/entry", "Q8IYV9")</f>
        <v/>
      </c>
      <c r="F10014" t="n">
        <v>24.8</v>
      </c>
      <c r="G10014" t="n">
        <v>230</v>
      </c>
      <c r="H10014" t="n">
        <v>2.25e-14</v>
      </c>
      <c r="I10014" t="inlineStr">
        <is>
          <t>Swiss-Prot</t>
        </is>
      </c>
      <c r="J10014" t="inlineStr">
        <is>
          <t>IZUMO1</t>
        </is>
      </c>
      <c r="K10014" t="inlineStr">
        <is>
          <t>IZUM1_HUMAN</t>
        </is>
      </c>
      <c r="L10014" t="inlineStr">
        <is>
          <t>sp|Q8IYV9|IZUM1_HUMAN Izumo sperm-egg fusion protein 1 OS=Homo sapiens OX=9606 GN=IZUMO1 PE=1 SV=2</t>
        </is>
      </c>
      <c r="M10014" t="n">
        <v>350</v>
      </c>
      <c r="N10014" t="inlineStr">
        <is>
          <t>Homo sapiens</t>
        </is>
      </c>
      <c r="O10014" t="inlineStr">
        <is>
          <t>Izumo sperm-egg fusion protein 1</t>
        </is>
      </c>
    </row>
    <row r="10015">
      <c r="A10015" t="inlineStr"/>
      <c r="B10015" t="inlineStr"/>
      <c r="C10015" t="inlineStr"/>
      <c r="D10015" t="inlineStr"/>
      <c r="E10015">
        <f>HYPERLINK("https://www.uniprot.org/uniprotkb/Q6AY06/entry", "Q6AY06")</f>
        <v/>
      </c>
      <c r="F10015" t="n">
        <v>26.5</v>
      </c>
      <c r="G10015" t="n">
        <v>230</v>
      </c>
      <c r="H10015" t="n">
        <v>5.02e-14</v>
      </c>
      <c r="I10015" t="inlineStr">
        <is>
          <t>Swiss-Prot</t>
        </is>
      </c>
      <c r="J10015" t="inlineStr">
        <is>
          <t>Izumo1</t>
        </is>
      </c>
      <c r="K10015" t="inlineStr">
        <is>
          <t>IZUM1_RAT</t>
        </is>
      </c>
      <c r="L10015" t="inlineStr">
        <is>
          <t>sp|Q6AY06|IZUM1_RAT Izumo sperm-egg fusion protein 1 OS=Rattus norvegicus OX=10116 GN=Izumo1 PE=1 SV=1</t>
        </is>
      </c>
      <c r="M10015" t="n">
        <v>383</v>
      </c>
      <c r="N10015" t="inlineStr">
        <is>
          <t>Rattus norvegicus</t>
        </is>
      </c>
      <c r="O10015" t="inlineStr">
        <is>
          <t>Izumo sperm-egg fusion protein 1</t>
        </is>
      </c>
    </row>
    <row r="10016">
      <c r="A10016" t="inlineStr">
        <is>
          <t>NODE_92684_length_1803_cov_273.114055_g156_i68</t>
        </is>
      </c>
      <c r="B10016" t="inlineStr">
        <is>
          <t>bombina_pachypus_blastx</t>
        </is>
      </c>
      <c r="C10016" t="n">
        <v>4.67439931406016</v>
      </c>
      <c r="D10016" t="n">
        <v>0.004256156979282</v>
      </c>
      <c r="E10016">
        <f>HYPERLINK("https://www.uniprot.org/uniprotkb/A0A1L8GLV5/entry", "A0A1L8GLV5")</f>
        <v/>
      </c>
      <c r="F10016" t="n">
        <v>54.5</v>
      </c>
      <c r="G10016" t="n">
        <v>156</v>
      </c>
      <c r="H10016" t="n">
        <v>6.320000000000001e-37</v>
      </c>
      <c r="I10016" t="inlineStr">
        <is>
          <t>TrEMBL</t>
        </is>
      </c>
      <c r="J10016" t="inlineStr">
        <is>
          <t>raver2.L</t>
        </is>
      </c>
      <c r="K10016" t="inlineStr">
        <is>
          <t>A0A1L8GLV5_XENLA</t>
        </is>
      </c>
      <c r="L10016" t="inlineStr">
        <is>
          <t>tr|A0A1L8GLV5|A0A1L8GLV5_XENLA ribonucleoprotein PTB-binding 2 isoform X2 OS=Xenopus laevis OX=8355 GN=raver2.L PE=4 SV=1</t>
        </is>
      </c>
      <c r="M10016" t="n">
        <v>733</v>
      </c>
      <c r="N10016" t="inlineStr">
        <is>
          <t>Xenopus laevis</t>
        </is>
      </c>
      <c r="O10016" t="inlineStr">
        <is>
          <t>ribonucleoprotein PTB-binding 2 isoform X2</t>
        </is>
      </c>
    </row>
    <row r="10017">
      <c r="A10017" t="inlineStr"/>
      <c r="B10017" t="inlineStr"/>
      <c r="C10017" t="inlineStr"/>
      <c r="D10017" t="inlineStr"/>
      <c r="E10017">
        <f>HYPERLINK("https://www.ncbi.nlm.nih.gov/gene/?term=XP_018113723.1", "XP_018113723.1")</f>
        <v/>
      </c>
      <c r="F10017" t="n">
        <v>54.5</v>
      </c>
      <c r="G10017" t="n">
        <v>156</v>
      </c>
      <c r="H10017" t="n">
        <v>1.62e-36</v>
      </c>
      <c r="I10017" t="inlineStr">
        <is>
          <t>Nr</t>
        </is>
      </c>
      <c r="J10017" t="inlineStr"/>
      <c r="K10017" t="inlineStr"/>
      <c r="L10017" t="inlineStr">
        <is>
          <t>XP_018113723.1 ribonucleoprotein PTB-binding 2 isoform X2 [Xenopus laevis]</t>
        </is>
      </c>
      <c r="M10017" t="n">
        <v>733</v>
      </c>
      <c r="N10017" t="inlineStr">
        <is>
          <t>Xenopus laevis</t>
        </is>
      </c>
      <c r="O10017" t="inlineStr">
        <is>
          <t>ribonucleoprotein PTB-binding 2 isoform X2</t>
        </is>
      </c>
    </row>
    <row r="10018">
      <c r="A10018" t="inlineStr"/>
      <c r="B10018" t="inlineStr"/>
      <c r="C10018" t="inlineStr"/>
      <c r="D10018" t="inlineStr"/>
      <c r="E10018">
        <f>HYPERLINK("https://www.uniprot.org/uniprotkb/Q0IHY7/entry", "Q0IHY7")</f>
        <v/>
      </c>
      <c r="F10018" t="n">
        <v>51.6</v>
      </c>
      <c r="G10018" t="n">
        <v>155</v>
      </c>
      <c r="H10018" t="n">
        <v>1.79e-34</v>
      </c>
      <c r="I10018" t="inlineStr">
        <is>
          <t>TrEMBL</t>
        </is>
      </c>
      <c r="J10018" t="inlineStr">
        <is>
          <t>raver2</t>
        </is>
      </c>
      <c r="K10018" t="inlineStr">
        <is>
          <t>Q0IHY7_XENTR</t>
        </is>
      </c>
      <c r="L10018" t="inlineStr">
        <is>
          <t>tr|Q0IHY7|Q0IHY7_XENTR Ribonucleoprotein, PTB-binding 2 OS=Xenopus tropicalis OX=8364 GN=raver2 PE=2 SV=1</t>
        </is>
      </c>
      <c r="M10018" t="n">
        <v>640</v>
      </c>
      <c r="N10018" t="inlineStr">
        <is>
          <t>Xenopus tropicalis</t>
        </is>
      </c>
      <c r="O10018" t="inlineStr">
        <is>
          <t>Ribonucleoprotein, PTB-binding 2</t>
        </is>
      </c>
    </row>
    <row r="10019">
      <c r="A10019" t="inlineStr"/>
      <c r="B10019" t="inlineStr"/>
      <c r="C10019" t="inlineStr"/>
      <c r="D10019" t="inlineStr"/>
      <c r="E10019">
        <f>HYPERLINK("https://www.uniprot.org/uniprotkb/A0A8J0V0Y0/entry", "A0A8J0V0Y0")</f>
        <v/>
      </c>
      <c r="F10019" t="n">
        <v>52.1</v>
      </c>
      <c r="G10019" t="n">
        <v>163</v>
      </c>
      <c r="H10019" t="n">
        <v>1.88e-34</v>
      </c>
      <c r="I10019" t="inlineStr">
        <is>
          <t>TrEMBL</t>
        </is>
      </c>
      <c r="J10019" t="inlineStr">
        <is>
          <t>raver2.L</t>
        </is>
      </c>
      <c r="K10019" t="inlineStr">
        <is>
          <t>A0A8J0V0Y0_XENLA</t>
        </is>
      </c>
      <c r="L10019" t="inlineStr">
        <is>
          <t>tr|A0A8J0V0Y0|A0A8J0V0Y0_XENLA ribonucleoprotein PTB-binding 2 isoform X1 OS=Xenopus laevis OX=8355 GN=raver2.L PE=4 SV=1</t>
        </is>
      </c>
      <c r="M10019" t="n">
        <v>743</v>
      </c>
      <c r="N10019" t="inlineStr">
        <is>
          <t>Xenopus laevis</t>
        </is>
      </c>
      <c r="O10019" t="inlineStr">
        <is>
          <t>ribonucleoprotein PTB-binding 2 isoform X1</t>
        </is>
      </c>
    </row>
    <row r="10020">
      <c r="A10020" t="inlineStr"/>
      <c r="B10020" t="inlineStr"/>
      <c r="C10020" t="inlineStr"/>
      <c r="D10020" t="inlineStr"/>
      <c r="E10020">
        <f>HYPERLINK("https://www.uniprot.org/uniprotkb/A0A6I8R4J4/entry", "A0A6I8R4J4")</f>
        <v/>
      </c>
      <c r="F10020" t="n">
        <v>51.6</v>
      </c>
      <c r="G10020" t="n">
        <v>155</v>
      </c>
      <c r="H10020" t="n">
        <v>1.91e-34</v>
      </c>
      <c r="I10020" t="inlineStr">
        <is>
          <t>TrEMBL</t>
        </is>
      </c>
      <c r="J10020" t="inlineStr">
        <is>
          <t>raver2</t>
        </is>
      </c>
      <c r="K10020" t="inlineStr">
        <is>
          <t>A0A6I8R4J4_XENTR</t>
        </is>
      </c>
      <c r="L10020" t="inlineStr">
        <is>
          <t>tr|A0A6I8R4J4|A0A6I8R4J4_XENTR Ribonucleoprotein, PTB binding 2 OS=Xenopus tropicalis OX=8364 GN=raver2 PE=4 SV=2</t>
        </is>
      </c>
      <c r="M10020" t="n">
        <v>653</v>
      </c>
      <c r="N10020" t="inlineStr">
        <is>
          <t>Xenopus tropicalis</t>
        </is>
      </c>
      <c r="O10020" t="inlineStr">
        <is>
          <t>Ribonucleoprotein, PTB binding 2</t>
        </is>
      </c>
    </row>
    <row r="10021">
      <c r="A10021" t="inlineStr"/>
      <c r="B10021" t="inlineStr"/>
      <c r="C10021" t="inlineStr"/>
      <c r="D10021" t="inlineStr"/>
      <c r="E10021">
        <f>HYPERLINK("https://www.uniprot.org/uniprotkb/A0A803KCN8/entry", "A0A803KCN8")</f>
        <v/>
      </c>
      <c r="F10021" t="n">
        <v>51.6</v>
      </c>
      <c r="G10021" t="n">
        <v>155</v>
      </c>
      <c r="H10021" t="n">
        <v>2.29e-34</v>
      </c>
      <c r="I10021" t="inlineStr">
        <is>
          <t>TrEMBL</t>
        </is>
      </c>
      <c r="J10021" t="inlineStr">
        <is>
          <t>raver2</t>
        </is>
      </c>
      <c r="K10021" t="inlineStr">
        <is>
          <t>A0A803KCN8_XENTR</t>
        </is>
      </c>
      <c r="L10021" t="inlineStr">
        <is>
          <t>tr|A0A803KCN8|A0A803KCN8_XENTR Ribonucleoprotein, PTB-binding 2 OS=Xenopus tropicalis OX=8364 GN=raver2 PE=4 SV=1</t>
        </is>
      </c>
      <c r="M10021" t="n">
        <v>699</v>
      </c>
      <c r="N10021" t="inlineStr">
        <is>
          <t>Xenopus tropicalis</t>
        </is>
      </c>
      <c r="O10021" t="inlineStr">
        <is>
          <t>Ribonucleoprotein, PTB-binding 2</t>
        </is>
      </c>
    </row>
    <row r="10022">
      <c r="A10022" t="inlineStr"/>
      <c r="B10022" t="inlineStr"/>
      <c r="C10022" t="inlineStr"/>
      <c r="D10022" t="inlineStr"/>
      <c r="E10022">
        <f>HYPERLINK("https://www.uniprot.org/uniprotkb/F7DFU7/entry", "F7DFU7")</f>
        <v/>
      </c>
      <c r="F10022" t="n">
        <v>51.6</v>
      </c>
      <c r="G10022" t="n">
        <v>155</v>
      </c>
      <c r="H10022" t="n">
        <v>2.52e-34</v>
      </c>
      <c r="I10022" t="inlineStr">
        <is>
          <t>TrEMBL</t>
        </is>
      </c>
      <c r="J10022" t="inlineStr">
        <is>
          <t>mmaa</t>
        </is>
      </c>
      <c r="K10022" t="inlineStr">
        <is>
          <t>F7DFU7_XENTR</t>
        </is>
      </c>
      <c r="L10022" t="inlineStr">
        <is>
          <t>tr|F7DFU7|F7DFU7_XENTR Ribonucleoprotein, PTB binding 2 OS=Xenopus tropicalis OX=8364 GN=mmaa PE=4 SV=4</t>
        </is>
      </c>
      <c r="M10022" t="n">
        <v>733</v>
      </c>
      <c r="N10022" t="inlineStr">
        <is>
          <t>Xenopus tropicalis</t>
        </is>
      </c>
      <c r="O10022" t="inlineStr">
        <is>
          <t>Ribonucleoprotein, PTB binding 2</t>
        </is>
      </c>
    </row>
    <row r="10023">
      <c r="A10023" t="inlineStr"/>
      <c r="B10023" t="inlineStr"/>
      <c r="C10023" t="inlineStr"/>
      <c r="D10023" t="inlineStr"/>
      <c r="E10023">
        <f>HYPERLINK("https://www.uniprot.org/uniprotkb/A0A803K4Y4/entry", "A0A803K4Y4")</f>
        <v/>
      </c>
      <c r="F10023" t="n">
        <v>51.6</v>
      </c>
      <c r="G10023" t="n">
        <v>155</v>
      </c>
      <c r="H10023" t="n">
        <v>2.6e-34</v>
      </c>
      <c r="I10023" t="inlineStr">
        <is>
          <t>TrEMBL</t>
        </is>
      </c>
      <c r="J10023" t="inlineStr">
        <is>
          <t>raver2</t>
        </is>
      </c>
      <c r="K10023" t="inlineStr">
        <is>
          <t>A0A803K4Y4_XENTR</t>
        </is>
      </c>
      <c r="L10023" t="inlineStr">
        <is>
          <t>tr|A0A803K4Y4|A0A803K4Y4_XENTR Ribonucleoprotein, PTB-binding 2 OS=Xenopus tropicalis OX=8364 GN=raver2 PE=4 SV=1</t>
        </is>
      </c>
      <c r="M10023" t="n">
        <v>749</v>
      </c>
      <c r="N10023" t="inlineStr">
        <is>
          <t>Xenopus tropicalis</t>
        </is>
      </c>
      <c r="O10023" t="inlineStr">
        <is>
          <t>Ribonucleoprotein, PTB-binding 2</t>
        </is>
      </c>
    </row>
    <row r="10024">
      <c r="A10024" t="inlineStr"/>
      <c r="B10024" t="inlineStr"/>
      <c r="C10024" t="inlineStr"/>
      <c r="D10024" t="inlineStr"/>
      <c r="E10024">
        <f>HYPERLINK("https://www.ncbi.nlm.nih.gov/gene/?term=XP_040216703.1", "XP_040216703.1")</f>
        <v/>
      </c>
      <c r="F10024" t="n">
        <v>52.9</v>
      </c>
      <c r="G10024" t="n">
        <v>153</v>
      </c>
      <c r="H10024" t="n">
        <v>2.72e-34</v>
      </c>
      <c r="I10024" t="inlineStr">
        <is>
          <t>Nr</t>
        </is>
      </c>
      <c r="J10024" t="inlineStr"/>
      <c r="K10024" t="inlineStr"/>
      <c r="L10024" t="inlineStr">
        <is>
          <t>XP_040216703.1 ribonucleoprotein PTB-binding 2 isoform X2 [Rana temporaria]</t>
        </is>
      </c>
      <c r="M10024" t="n">
        <v>663</v>
      </c>
      <c r="N10024" t="inlineStr">
        <is>
          <t>Rana temporaria</t>
        </is>
      </c>
      <c r="O10024" t="inlineStr">
        <is>
          <t>ribonucleoprotein PTB-binding 2 isoform X2</t>
        </is>
      </c>
    </row>
    <row r="10025">
      <c r="A10025" t="inlineStr"/>
      <c r="B10025" t="inlineStr"/>
      <c r="C10025" t="inlineStr"/>
      <c r="D10025" t="inlineStr"/>
      <c r="E10025">
        <f>HYPERLINK("https://www.ncbi.nlm.nih.gov/gene/?term=XP_040216702.1", "XP_040216702.1")</f>
        <v/>
      </c>
      <c r="F10025" t="n">
        <v>52.9</v>
      </c>
      <c r="G10025" t="n">
        <v>153</v>
      </c>
      <c r="H10025" t="n">
        <v>2.73e-34</v>
      </c>
      <c r="I10025" t="inlineStr">
        <is>
          <t>Nr</t>
        </is>
      </c>
      <c r="J10025" t="inlineStr"/>
      <c r="K10025" t="inlineStr"/>
      <c r="L10025" t="inlineStr">
        <is>
          <t>XP_040216702.1 ribonucleoprotein PTB-binding 2 isoform X1 [Rana temporaria]</t>
        </is>
      </c>
      <c r="M10025" t="n">
        <v>664</v>
      </c>
      <c r="N10025" t="inlineStr">
        <is>
          <t>Rana temporaria</t>
        </is>
      </c>
      <c r="O10025" t="inlineStr">
        <is>
          <t>ribonucleoprotein PTB-binding 2 isoform X1</t>
        </is>
      </c>
    </row>
    <row r="10026">
      <c r="A10026" t="inlineStr"/>
      <c r="B10026" t="inlineStr"/>
      <c r="C10026" t="inlineStr"/>
      <c r="D10026" t="inlineStr"/>
      <c r="E10026">
        <f>HYPERLINK("https://www.ncbi.nlm.nih.gov/gene/?term=NP_001072850.1", "NP_001072850.1")</f>
        <v/>
      </c>
      <c r="F10026" t="n">
        <v>51.6</v>
      </c>
      <c r="G10026" t="n">
        <v>155</v>
      </c>
      <c r="H10026" t="n">
        <v>4.6e-34</v>
      </c>
      <c r="I10026" t="inlineStr">
        <is>
          <t>Nr</t>
        </is>
      </c>
      <c r="J10026" t="inlineStr"/>
      <c r="K10026" t="inlineStr"/>
      <c r="L10026" t="inlineStr">
        <is>
          <t>NP_001072850.1 ribonucleoprotein PTB-binding 2 [Xenopus tropicalis]</t>
        </is>
      </c>
      <c r="M10026" t="n">
        <v>640</v>
      </c>
      <c r="N10026" t="inlineStr">
        <is>
          <t>Xenopus tropicalis</t>
        </is>
      </c>
      <c r="O10026" t="inlineStr">
        <is>
          <t>ribonucleoprotein PTB-binding 2</t>
        </is>
      </c>
    </row>
    <row r="10027">
      <c r="A10027" t="inlineStr"/>
      <c r="B10027" t="inlineStr"/>
      <c r="C10027" t="inlineStr"/>
      <c r="D10027" t="inlineStr"/>
      <c r="E10027">
        <f>HYPERLINK("https://www.ncbi.nlm.nih.gov/gene/?term=XP_018113721.1", "XP_018113721.1")</f>
        <v/>
      </c>
      <c r="F10027" t="n">
        <v>52.1</v>
      </c>
      <c r="G10027" t="n">
        <v>163</v>
      </c>
      <c r="H10027" t="n">
        <v>4.83e-34</v>
      </c>
      <c r="I10027" t="inlineStr">
        <is>
          <t>Nr</t>
        </is>
      </c>
      <c r="J10027" t="inlineStr"/>
      <c r="K10027" t="inlineStr"/>
      <c r="L10027" t="inlineStr">
        <is>
          <t>XP_018113721.1 ribonucleoprotein PTB-binding 2 isoform X1 [Xenopus laevis]</t>
        </is>
      </c>
      <c r="M10027" t="n">
        <v>743</v>
      </c>
      <c r="N10027" t="inlineStr">
        <is>
          <t>Xenopus laevis</t>
        </is>
      </c>
      <c r="O10027" t="inlineStr">
        <is>
          <t>ribonucleoprotein PTB-binding 2 isoform X1</t>
        </is>
      </c>
    </row>
    <row r="10028">
      <c r="A10028" t="inlineStr"/>
      <c r="B10028" t="inlineStr"/>
      <c r="C10028" t="inlineStr"/>
      <c r="D10028" t="inlineStr"/>
      <c r="E10028">
        <f>HYPERLINK("https://www.ncbi.nlm.nih.gov/gene/?term=XP_012816869.2", "XP_012816869.2")</f>
        <v/>
      </c>
      <c r="F10028" t="n">
        <v>51.6</v>
      </c>
      <c r="G10028" t="n">
        <v>155</v>
      </c>
      <c r="H10028" t="n">
        <v>6.47e-34</v>
      </c>
      <c r="I10028" t="inlineStr">
        <is>
          <t>Nr</t>
        </is>
      </c>
      <c r="J10028" t="inlineStr"/>
      <c r="K10028" t="inlineStr"/>
      <c r="L10028" t="inlineStr">
        <is>
          <t>XP_012816869.2 ribonucleoprotein PTB-binding 2 isoform X1 [Xenopus tropicalis]</t>
        </is>
      </c>
      <c r="M10028" t="n">
        <v>733</v>
      </c>
      <c r="N10028" t="inlineStr">
        <is>
          <t>Xenopus tropicalis</t>
        </is>
      </c>
      <c r="O10028" t="inlineStr">
        <is>
          <t>ribonucleoprotein PTB-binding 2 isoform X1</t>
        </is>
      </c>
    </row>
    <row r="10029">
      <c r="A10029" t="inlineStr"/>
      <c r="B10029" t="inlineStr"/>
      <c r="C10029" t="inlineStr"/>
      <c r="D10029" t="inlineStr"/>
      <c r="E10029">
        <f>HYPERLINK("https://www.ncbi.nlm.nih.gov/gene/?term=XP_040216704.1", "XP_040216704.1")</f>
        <v/>
      </c>
      <c r="F10029" t="n">
        <v>51</v>
      </c>
      <c r="G10029" t="n">
        <v>153</v>
      </c>
      <c r="H10029" t="n">
        <v>9.71e-34</v>
      </c>
      <c r="I10029" t="inlineStr">
        <is>
          <t>Nr</t>
        </is>
      </c>
      <c r="J10029" t="inlineStr"/>
      <c r="K10029" t="inlineStr"/>
      <c r="L10029" t="inlineStr">
        <is>
          <t>XP_040216704.1 ribonucleoprotein PTB-binding 2 isoform X3 [Rana temporaria]</t>
        </is>
      </c>
      <c r="M10029" t="n">
        <v>663</v>
      </c>
      <c r="N10029" t="inlineStr">
        <is>
          <t>Rana temporaria</t>
        </is>
      </c>
      <c r="O10029" t="inlineStr">
        <is>
          <t>ribonucleoprotein PTB-binding 2 isoform X3</t>
        </is>
      </c>
    </row>
    <row r="10030">
      <c r="A10030" t="inlineStr"/>
      <c r="B10030" t="inlineStr"/>
      <c r="C10030" t="inlineStr"/>
      <c r="D10030" t="inlineStr"/>
      <c r="E10030">
        <f>HYPERLINK("https://www.uniprot.org/uniprotkb/A0A8J1JE38/entry", "A0A8J1JE38")</f>
        <v/>
      </c>
      <c r="F10030" t="n">
        <v>51.6</v>
      </c>
      <c r="G10030" t="n">
        <v>155</v>
      </c>
      <c r="H10030" t="n">
        <v>2.26e-33</v>
      </c>
      <c r="I10030" t="inlineStr">
        <is>
          <t>TrEMBL</t>
        </is>
      </c>
      <c r="J10030" t="inlineStr">
        <is>
          <t>raver2</t>
        </is>
      </c>
      <c r="K10030" t="inlineStr">
        <is>
          <t>A0A8J1JE38_XENTR</t>
        </is>
      </c>
      <c r="L10030" t="inlineStr">
        <is>
          <t>tr|A0A8J1JE38|A0A8J1JE38_XENTR ribonucleoprotein PTB-binding 2 isoform X2 OS=Xenopus tropicalis OX=8364 GN=raver2 PE=4 SV=1</t>
        </is>
      </c>
      <c r="M10030" t="n">
        <v>731</v>
      </c>
      <c r="N10030" t="inlineStr">
        <is>
          <t>Xenopus tropicalis</t>
        </is>
      </c>
      <c r="O10030" t="inlineStr">
        <is>
          <t>ribonucleoprotein PTB-binding 2 isoform X2</t>
        </is>
      </c>
    </row>
    <row r="10031">
      <c r="A10031" t="inlineStr"/>
      <c r="B10031" t="inlineStr"/>
      <c r="C10031" t="inlineStr"/>
      <c r="D10031" t="inlineStr"/>
      <c r="E10031">
        <f>HYPERLINK("https://www.ncbi.nlm.nih.gov/gene/?term=XP_031756139.1", "XP_031756139.1")</f>
        <v/>
      </c>
      <c r="F10031" t="n">
        <v>51.6</v>
      </c>
      <c r="G10031" t="n">
        <v>155</v>
      </c>
      <c r="H10031" t="n">
        <v>5.8e-33</v>
      </c>
      <c r="I10031" t="inlineStr">
        <is>
          <t>Nr</t>
        </is>
      </c>
      <c r="J10031" t="inlineStr"/>
      <c r="K10031" t="inlineStr"/>
      <c r="L10031" t="inlineStr">
        <is>
          <t>XP_031756139.1 ribonucleoprotein PTB-binding 2 isoform X2 [Xenopus tropicalis]</t>
        </is>
      </c>
      <c r="M10031" t="n">
        <v>731</v>
      </c>
      <c r="N10031" t="inlineStr">
        <is>
          <t>Xenopus tropicalis</t>
        </is>
      </c>
      <c r="O10031" t="inlineStr">
        <is>
          <t>ribonucleoprotein PTB-binding 2 isoform X2</t>
        </is>
      </c>
    </row>
    <row r="10032">
      <c r="A10032" t="inlineStr"/>
      <c r="B10032" t="inlineStr"/>
      <c r="C10032" t="inlineStr"/>
      <c r="D10032" t="inlineStr"/>
      <c r="E10032">
        <f>HYPERLINK("https://www.uniprot.org/uniprotkb/A0A8J0V1S8/entry", "A0A8J0V1S8")</f>
        <v/>
      </c>
      <c r="F10032" t="n">
        <v>50.3</v>
      </c>
      <c r="G10032" t="n">
        <v>153</v>
      </c>
      <c r="H10032" t="n">
        <v>5.489999999999999e-30</v>
      </c>
      <c r="I10032" t="inlineStr">
        <is>
          <t>TrEMBL</t>
        </is>
      </c>
      <c r="J10032" t="inlineStr">
        <is>
          <t>raver2.L</t>
        </is>
      </c>
      <c r="K10032" t="inlineStr">
        <is>
          <t>A0A8J0V1S8_XENLA</t>
        </is>
      </c>
      <c r="L10032" t="inlineStr">
        <is>
          <t>tr|A0A8J0V1S8|A0A8J0V1S8_XENLA ribonucleoprotein PTB-binding 2 isoform X3 OS=Xenopus laevis OX=8355 GN=raver2.L PE=4 SV=1</t>
        </is>
      </c>
      <c r="M10032" t="n">
        <v>715</v>
      </c>
      <c r="N10032" t="inlineStr">
        <is>
          <t>Xenopus laevis</t>
        </is>
      </c>
      <c r="O10032" t="inlineStr">
        <is>
          <t>ribonucleoprotein PTB-binding 2 isoform X3</t>
        </is>
      </c>
    </row>
    <row r="10033">
      <c r="A10033" t="inlineStr"/>
      <c r="B10033" t="inlineStr"/>
      <c r="C10033" t="inlineStr"/>
      <c r="D10033" t="inlineStr"/>
      <c r="E10033">
        <f>HYPERLINK("https://www.ncbi.nlm.nih.gov/gene/?term=XP_018113724.1", "XP_018113724.1")</f>
        <v/>
      </c>
      <c r="F10033" t="n">
        <v>50.3</v>
      </c>
      <c r="G10033" t="n">
        <v>153</v>
      </c>
      <c r="H10033" t="n">
        <v>1.41e-29</v>
      </c>
      <c r="I10033" t="inlineStr">
        <is>
          <t>Nr</t>
        </is>
      </c>
      <c r="J10033" t="inlineStr"/>
      <c r="K10033" t="inlineStr"/>
      <c r="L10033" t="inlineStr">
        <is>
          <t>XP_018113724.1 ribonucleoprotein PTB-binding 2 isoform X3 [Xenopus laevis]</t>
        </is>
      </c>
      <c r="M10033" t="n">
        <v>715</v>
      </c>
      <c r="N10033" t="inlineStr">
        <is>
          <t>Xenopus laevis</t>
        </is>
      </c>
      <c r="O10033" t="inlineStr">
        <is>
          <t>ribonucleoprotein PTB-binding 2 isoform X3</t>
        </is>
      </c>
    </row>
    <row r="10034">
      <c r="A10034" t="inlineStr"/>
      <c r="B10034" t="inlineStr"/>
      <c r="C10034" t="inlineStr"/>
      <c r="D10034" t="inlineStr"/>
      <c r="E10034">
        <f>HYPERLINK("https://www.uniprot.org/uniprotkb/F7BQP7/entry", "F7BQP7")</f>
        <v/>
      </c>
      <c r="F10034" t="n">
        <v>47.4</v>
      </c>
      <c r="G10034" t="n">
        <v>152</v>
      </c>
      <c r="H10034" t="n">
        <v>2.46e-26</v>
      </c>
      <c r="I10034" t="inlineStr">
        <is>
          <t>TrEMBL</t>
        </is>
      </c>
      <c r="J10034" t="inlineStr">
        <is>
          <t>raver2</t>
        </is>
      </c>
      <c r="K10034" t="inlineStr">
        <is>
          <t>F7BQP7_XENTR</t>
        </is>
      </c>
      <c r="L10034" t="inlineStr">
        <is>
          <t>tr|F7BQP7|F7BQP7_XENTR Ribonucleoprotein, PTB binding 2 OS=Xenopus tropicalis OX=8364 GN=raver2 PE=4 SV=4</t>
        </is>
      </c>
      <c r="M10034" t="n">
        <v>715</v>
      </c>
      <c r="N10034" t="inlineStr">
        <is>
          <t>Xenopus tropicalis</t>
        </is>
      </c>
      <c r="O10034" t="inlineStr">
        <is>
          <t>Ribonucleoprotein, PTB binding 2</t>
        </is>
      </c>
    </row>
    <row r="10035">
      <c r="A10035" t="inlineStr"/>
      <c r="B10035" t="inlineStr"/>
      <c r="C10035" t="inlineStr"/>
      <c r="D10035" t="inlineStr"/>
      <c r="E10035">
        <f>HYPERLINK("https://www.uniprot.org/uniprotkb/A0A8C5PZQ0/entry", "A0A8C5PZQ0")</f>
        <v/>
      </c>
      <c r="F10035" t="n">
        <v>48.7</v>
      </c>
      <c r="G10035" t="n">
        <v>158</v>
      </c>
      <c r="H10035" t="n">
        <v>4.25e-26</v>
      </c>
      <c r="I10035" t="inlineStr">
        <is>
          <t>TrEMBL</t>
        </is>
      </c>
      <c r="J10035" t="inlineStr">
        <is>
          <t>RAVER2</t>
        </is>
      </c>
      <c r="K10035" t="inlineStr">
        <is>
          <t>A0A8C5PZQ0_9ANUR</t>
        </is>
      </c>
      <c r="L10035" t="inlineStr">
        <is>
          <t>tr|A0A8C5PZQ0|A0A8C5PZQ0_9ANUR Ribonucleoprotein, PTB binding 2 OS=Leptobrachium leishanense OX=445787 GN=RAVER2 PE=4 SV=1</t>
        </is>
      </c>
      <c r="M10035" t="n">
        <v>643</v>
      </c>
      <c r="N10035" t="inlineStr">
        <is>
          <t>Leptobrachium leishanense</t>
        </is>
      </c>
      <c r="O10035" t="inlineStr">
        <is>
          <t>Ribonucleoprotein, PTB binding 2</t>
        </is>
      </c>
    </row>
    <row r="10036">
      <c r="A10036" t="inlineStr"/>
      <c r="B10036" t="inlineStr"/>
      <c r="C10036" t="inlineStr"/>
      <c r="D10036" t="inlineStr"/>
      <c r="E10036">
        <f>HYPERLINK("https://www.ncbi.nlm.nih.gov/gene/?term=XP_053325999.1", "XP_053325999.1")</f>
        <v/>
      </c>
      <c r="F10036" t="n">
        <v>51</v>
      </c>
      <c r="G10036" t="n">
        <v>155</v>
      </c>
      <c r="H10036" t="n">
        <v>4.52e-26</v>
      </c>
      <c r="I10036" t="inlineStr">
        <is>
          <t>Nr</t>
        </is>
      </c>
      <c r="J10036" t="inlineStr"/>
      <c r="K10036" t="inlineStr"/>
      <c r="L10036" t="inlineStr">
        <is>
          <t>XP_053325999.1 ribonucleoprotein PTB-binding 2 isoform X2 [Spea bombifrons]</t>
        </is>
      </c>
      <c r="M10036" t="n">
        <v>686</v>
      </c>
      <c r="N10036" t="inlineStr">
        <is>
          <t>Spea bombifrons</t>
        </is>
      </c>
      <c r="O10036" t="inlineStr">
        <is>
          <t>ribonucleoprotein PTB-binding 2 isoform X2</t>
        </is>
      </c>
    </row>
    <row r="10037">
      <c r="A10037" t="inlineStr"/>
      <c r="B10037" t="inlineStr"/>
      <c r="C10037" t="inlineStr"/>
      <c r="D10037" t="inlineStr"/>
      <c r="E10037">
        <f>HYPERLINK("https://www.ncbi.nlm.nih.gov/gene/?term=XP_053325998.1", "XP_053325998.1")</f>
        <v/>
      </c>
      <c r="F10037" t="n">
        <v>51</v>
      </c>
      <c r="G10037" t="n">
        <v>155</v>
      </c>
      <c r="H10037" t="n">
        <v>4.53e-26</v>
      </c>
      <c r="I10037" t="inlineStr">
        <is>
          <t>Nr</t>
        </is>
      </c>
      <c r="J10037" t="inlineStr"/>
      <c r="K10037" t="inlineStr"/>
      <c r="L10037" t="inlineStr">
        <is>
          <t>XP_053325998.1 ribonucleoprotein PTB-binding 2 isoform X1 [Spea bombifrons]</t>
        </is>
      </c>
      <c r="M10037" t="n">
        <v>687</v>
      </c>
      <c r="N10037" t="inlineStr">
        <is>
          <t>Spea bombifrons</t>
        </is>
      </c>
      <c r="O10037" t="inlineStr">
        <is>
          <t>ribonucleoprotein PTB-binding 2 isoform X1</t>
        </is>
      </c>
    </row>
    <row r="10038">
      <c r="A10038" t="inlineStr"/>
      <c r="B10038" t="inlineStr"/>
      <c r="C10038" t="inlineStr"/>
      <c r="D10038" t="inlineStr"/>
      <c r="E10038">
        <f>HYPERLINK("https://www.uniprot.org/uniprotkb/A0A8C5PY71/entry", "A0A8C5PY71")</f>
        <v/>
      </c>
      <c r="F10038" t="n">
        <v>48.7</v>
      </c>
      <c r="G10038" t="n">
        <v>158</v>
      </c>
      <c r="H10038" t="n">
        <v>4.69e-26</v>
      </c>
      <c r="I10038" t="inlineStr">
        <is>
          <t>TrEMBL</t>
        </is>
      </c>
      <c r="J10038" t="inlineStr">
        <is>
          <t>RAVER2</t>
        </is>
      </c>
      <c r="K10038" t="inlineStr">
        <is>
          <t>A0A8C5PY71_9ANUR</t>
        </is>
      </c>
      <c r="L10038" t="inlineStr">
        <is>
          <t>tr|A0A8C5PY71|A0A8C5PY71_9ANUR Ribonucleoprotein, PTB binding 2 OS=Leptobrachium leishanense OX=445787 GN=RAVER2 PE=4 SV=1</t>
        </is>
      </c>
      <c r="M10038" t="n">
        <v>774</v>
      </c>
      <c r="N10038" t="inlineStr">
        <is>
          <t>Leptobrachium leishanense</t>
        </is>
      </c>
      <c r="O10038" t="inlineStr">
        <is>
          <t>Ribonucleoprotein, PTB binding 2</t>
        </is>
      </c>
    </row>
    <row r="10039">
      <c r="A10039" t="inlineStr"/>
      <c r="B10039" t="inlineStr"/>
      <c r="C10039" t="inlineStr"/>
      <c r="D10039" t="inlineStr"/>
      <c r="E10039">
        <f>HYPERLINK("https://www.ncbi.nlm.nih.gov/gene/?term=XP_012816870.2", "XP_012816870.2")</f>
        <v/>
      </c>
      <c r="F10039" t="n">
        <v>47.4</v>
      </c>
      <c r="G10039" t="n">
        <v>152</v>
      </c>
      <c r="H10039" t="n">
        <v>6.32e-26</v>
      </c>
      <c r="I10039" t="inlineStr">
        <is>
          <t>Nr</t>
        </is>
      </c>
      <c r="J10039" t="inlineStr"/>
      <c r="K10039" t="inlineStr"/>
      <c r="L10039" t="inlineStr">
        <is>
          <t>XP_012816870.2 ribonucleoprotein PTB-binding 2 isoform X3 [Xenopus tropicalis]</t>
        </is>
      </c>
      <c r="M10039" t="n">
        <v>715</v>
      </c>
      <c r="N10039" t="inlineStr">
        <is>
          <t>Xenopus tropicalis</t>
        </is>
      </c>
      <c r="O10039" t="inlineStr">
        <is>
          <t>ribonucleoprotein PTB-binding 2 isoform X3</t>
        </is>
      </c>
    </row>
    <row r="10040">
      <c r="A10040" t="inlineStr"/>
      <c r="B10040" t="inlineStr"/>
      <c r="C10040" t="inlineStr"/>
      <c r="D10040" t="inlineStr"/>
      <c r="E10040">
        <f>HYPERLINK("https://www.uniprot.org/uniprotkb/A0A1L8GFF5/entry", "A0A1L8GFF5")</f>
        <v/>
      </c>
      <c r="F10040" t="n">
        <v>47.4</v>
      </c>
      <c r="G10040" t="n">
        <v>152</v>
      </c>
      <c r="H10040" t="n">
        <v>7.94e-26</v>
      </c>
      <c r="I10040" t="inlineStr">
        <is>
          <t>TrEMBL</t>
        </is>
      </c>
      <c r="J10040" t="inlineStr">
        <is>
          <t>raver2.S</t>
        </is>
      </c>
      <c r="K10040" t="inlineStr">
        <is>
          <t>A0A1L8GFF5_XENLA</t>
        </is>
      </c>
      <c r="L10040" t="inlineStr">
        <is>
          <t>tr|A0A1L8GFF5|A0A1L8GFF5_XENLA ribonucleoprotein PTB-binding 2 isoform X3 OS=Xenopus laevis OX=8355 GN=raver2.S PE=4 SV=1</t>
        </is>
      </c>
      <c r="M10040" t="n">
        <v>643</v>
      </c>
      <c r="N10040" t="inlineStr">
        <is>
          <t>Xenopus laevis</t>
        </is>
      </c>
      <c r="O10040" t="inlineStr">
        <is>
          <t>ribonucleoprotein PTB-binding 2 isoform X3</t>
        </is>
      </c>
    </row>
    <row r="10041">
      <c r="A10041" t="inlineStr"/>
      <c r="B10041" t="inlineStr"/>
      <c r="C10041" t="inlineStr"/>
      <c r="D10041" t="inlineStr"/>
      <c r="E10041">
        <f>HYPERLINK("https://www.uniprot.org/uniprotkb/A0A8J0V2C6/entry", "A0A8J0V2C6")</f>
        <v/>
      </c>
      <c r="F10041" t="n">
        <v>47.4</v>
      </c>
      <c r="G10041" t="n">
        <v>152</v>
      </c>
      <c r="H10041" t="n">
        <v>8.52e-26</v>
      </c>
      <c r="I10041" t="inlineStr">
        <is>
          <t>TrEMBL</t>
        </is>
      </c>
      <c r="J10041" t="inlineStr">
        <is>
          <t>raver2.S</t>
        </is>
      </c>
      <c r="K10041" t="inlineStr">
        <is>
          <t>A0A8J0V2C6_XENLA</t>
        </is>
      </c>
      <c r="L10041" t="inlineStr">
        <is>
          <t>tr|A0A8J0V2C6|A0A8J0V2C6_XENLA ribonucleoprotein PTB-binding 2 isoform X1 OS=Xenopus laevis OX=8355 GN=raver2.S PE=4 SV=1</t>
        </is>
      </c>
      <c r="M10041" t="n">
        <v>716</v>
      </c>
      <c r="N10041" t="inlineStr">
        <is>
          <t>Xenopus laevis</t>
        </is>
      </c>
      <c r="O10041" t="inlineStr">
        <is>
          <t>ribonucleoprotein PTB-binding 2 isoform X1</t>
        </is>
      </c>
    </row>
    <row r="10042">
      <c r="A10042" t="inlineStr"/>
      <c r="B10042" t="inlineStr"/>
      <c r="C10042" t="inlineStr"/>
      <c r="D10042" t="inlineStr"/>
      <c r="E10042">
        <f>HYPERLINK("https://www.ncbi.nlm.nih.gov/gene/?term=XP_018116251.1", "XP_018116251.1")</f>
        <v/>
      </c>
      <c r="F10042" t="n">
        <v>47.4</v>
      </c>
      <c r="G10042" t="n">
        <v>152</v>
      </c>
      <c r="H10042" t="n">
        <v>2.04e-25</v>
      </c>
      <c r="I10042" t="inlineStr">
        <is>
          <t>Nr</t>
        </is>
      </c>
      <c r="J10042" t="inlineStr"/>
      <c r="K10042" t="inlineStr"/>
      <c r="L10042" t="inlineStr">
        <is>
          <t>XP_018116251.1 ribonucleoprotein PTB-binding 2 isoform X3 [Xenopus laevis]</t>
        </is>
      </c>
      <c r="M10042" t="n">
        <v>643</v>
      </c>
      <c r="N10042" t="inlineStr">
        <is>
          <t>Xenopus laevis</t>
        </is>
      </c>
      <c r="O10042" t="inlineStr">
        <is>
          <t>ribonucleoprotein PTB-binding 2 isoform X3</t>
        </is>
      </c>
    </row>
    <row r="10043">
      <c r="A10043" t="inlineStr"/>
      <c r="B10043" t="inlineStr"/>
      <c r="C10043" t="inlineStr"/>
      <c r="D10043" t="inlineStr"/>
      <c r="E10043">
        <f>HYPERLINK("https://www.ncbi.nlm.nih.gov/gene/?term=XP_018116249.1", "XP_018116249.1")</f>
        <v/>
      </c>
      <c r="F10043" t="n">
        <v>47.4</v>
      </c>
      <c r="G10043" t="n">
        <v>152</v>
      </c>
      <c r="H10043" t="n">
        <v>2.19e-25</v>
      </c>
      <c r="I10043" t="inlineStr">
        <is>
          <t>Nr</t>
        </is>
      </c>
      <c r="J10043" t="inlineStr"/>
      <c r="K10043" t="inlineStr"/>
      <c r="L10043" t="inlineStr">
        <is>
          <t>XP_018116249.1 ribonucleoprotein PTB-binding 2 isoform X1 [Xenopus laevis]</t>
        </is>
      </c>
      <c r="M10043" t="n">
        <v>716</v>
      </c>
      <c r="N10043" t="inlineStr">
        <is>
          <t>Xenopus laevis</t>
        </is>
      </c>
      <c r="O10043" t="inlineStr">
        <is>
          <t>ribonucleoprotein PTB-binding 2 isoform X1</t>
        </is>
      </c>
    </row>
    <row r="10044">
      <c r="A10044" t="inlineStr"/>
      <c r="B10044" t="inlineStr"/>
      <c r="C10044" t="inlineStr"/>
      <c r="D10044" t="inlineStr"/>
      <c r="E10044">
        <f>HYPERLINK("https://www.ncbi.nlm.nih.gov/gene/?term=XP_040263465.1", "XP_040263465.1")</f>
        <v/>
      </c>
      <c r="F10044" t="n">
        <v>49</v>
      </c>
      <c r="G10044" t="n">
        <v>153</v>
      </c>
      <c r="H10044" t="n">
        <v>5.72e-23</v>
      </c>
      <c r="I10044" t="inlineStr">
        <is>
          <t>Nr</t>
        </is>
      </c>
      <c r="J10044" t="inlineStr"/>
      <c r="K10044" t="inlineStr"/>
      <c r="L10044" t="inlineStr">
        <is>
          <t>XP_040263465.1 ribonucleoprotein PTB-binding 2 isoform X2 [Bufo bufo]</t>
        </is>
      </c>
      <c r="M10044" t="n">
        <v>679</v>
      </c>
      <c r="N10044" t="inlineStr">
        <is>
          <t>Bufo bufo</t>
        </is>
      </c>
      <c r="O10044" t="inlineStr">
        <is>
          <t>ribonucleoprotein PTB-binding 2 isoform X2</t>
        </is>
      </c>
    </row>
    <row r="10045">
      <c r="A10045" t="inlineStr"/>
      <c r="B10045" t="inlineStr"/>
      <c r="C10045" t="inlineStr"/>
      <c r="D10045" t="inlineStr"/>
      <c r="E10045">
        <f>HYPERLINK("https://www.ncbi.nlm.nih.gov/gene/?term=XP_040263464.1", "XP_040263464.1")</f>
        <v/>
      </c>
      <c r="F10045" t="n">
        <v>49</v>
      </c>
      <c r="G10045" t="n">
        <v>153</v>
      </c>
      <c r="H10045" t="n">
        <v>5.729999999999999e-23</v>
      </c>
      <c r="I10045" t="inlineStr">
        <is>
          <t>Nr</t>
        </is>
      </c>
      <c r="J10045" t="inlineStr"/>
      <c r="K10045" t="inlineStr"/>
      <c r="L10045" t="inlineStr">
        <is>
          <t>XP_040263464.1 ribonucleoprotein PTB-binding 2 isoform X1 [Bufo bufo]</t>
        </is>
      </c>
      <c r="M10045" t="n">
        <v>680</v>
      </c>
      <c r="N10045" t="inlineStr">
        <is>
          <t>Bufo bufo</t>
        </is>
      </c>
      <c r="O10045" t="inlineStr">
        <is>
          <t>ribonucleoprotein PTB-binding 2 isoform X1</t>
        </is>
      </c>
    </row>
    <row r="10046">
      <c r="A10046" t="inlineStr"/>
      <c r="B10046" t="inlineStr"/>
      <c r="C10046" t="inlineStr"/>
      <c r="D10046" t="inlineStr"/>
      <c r="E10046">
        <f>HYPERLINK("https://www.uniprot.org/uniprotkb/A0A822DGK5/entry", "A0A822DGK5")</f>
        <v/>
      </c>
      <c r="F10046" t="n">
        <v>48.7</v>
      </c>
      <c r="G10046" t="n">
        <v>154</v>
      </c>
      <c r="H10046" t="n">
        <v>6.44e-23</v>
      </c>
      <c r="I10046" t="inlineStr">
        <is>
          <t>TrEMBL</t>
        </is>
      </c>
      <c r="J10046" t="inlineStr">
        <is>
          <t>RIMITATOR_LOCUS8448497</t>
        </is>
      </c>
      <c r="K10046" t="inlineStr">
        <is>
          <t>A0A822DGK5_9NEOB</t>
        </is>
      </c>
      <c r="L10046" t="inlineStr">
        <is>
          <t>tr|A0A822DGK5|A0A822DGK5_9NEOB (mimic poison frog) hypothetical protein OS=Ranitomeya imitator OX=111125 GN=RIMITATOR_LOCUS8448497 PE=4 SV=1</t>
        </is>
      </c>
      <c r="M10046" t="n">
        <v>342</v>
      </c>
      <c r="N10046" t="inlineStr">
        <is>
          <t>Ranitomeya imitator</t>
        </is>
      </c>
      <c r="O10046" t="inlineStr">
        <is>
          <t>(mimic poison frog) hypothetical protein</t>
        </is>
      </c>
    </row>
    <row r="10047">
      <c r="A10047" t="inlineStr"/>
      <c r="B10047" t="inlineStr"/>
      <c r="C10047" t="inlineStr"/>
      <c r="D10047" t="inlineStr"/>
      <c r="E10047">
        <f>HYPERLINK("https://www.uniprot.org/uniprotkb/A0A6I8SZU4/entry", "A0A6I8SZU4")</f>
        <v/>
      </c>
      <c r="F10047" t="n">
        <v>42.6</v>
      </c>
      <c r="G10047" t="n">
        <v>155</v>
      </c>
      <c r="H10047" t="n">
        <v>9.289999999999999e-22</v>
      </c>
      <c r="I10047" t="inlineStr">
        <is>
          <t>TrEMBL</t>
        </is>
      </c>
      <c r="J10047" t="inlineStr">
        <is>
          <t>raver2</t>
        </is>
      </c>
      <c r="K10047" t="inlineStr">
        <is>
          <t>A0A6I8SZU4_XENTR</t>
        </is>
      </c>
      <c r="L10047" t="inlineStr">
        <is>
          <t>tr|A0A6I8SZU4|A0A6I8SZU4_XENTR Ribonucleoprotein, PTB-binding 2 OS=Xenopus tropicalis OX=8364 GN=raver2 PE=4 SV=2</t>
        </is>
      </c>
      <c r="M10047" t="n">
        <v>706</v>
      </c>
      <c r="N10047" t="inlineStr">
        <is>
          <t>Xenopus tropicalis</t>
        </is>
      </c>
      <c r="O10047" t="inlineStr">
        <is>
          <t>Ribonucleoprotein, PTB-binding 2</t>
        </is>
      </c>
    </row>
    <row r="10048">
      <c r="A10048" t="inlineStr"/>
      <c r="B10048" t="inlineStr"/>
      <c r="C10048" t="inlineStr"/>
      <c r="D10048" t="inlineStr"/>
      <c r="E10048">
        <f>HYPERLINK("https://www.ncbi.nlm.nih.gov/gene/?term=XP_044157339.1", "XP_044157339.1")</f>
        <v/>
      </c>
      <c r="F10048" t="n">
        <v>47.7</v>
      </c>
      <c r="G10048" t="n">
        <v>153</v>
      </c>
      <c r="H10048" t="n">
        <v>9.33e-22</v>
      </c>
      <c r="I10048" t="inlineStr">
        <is>
          <t>Nr</t>
        </is>
      </c>
      <c r="J10048" t="inlineStr"/>
      <c r="K10048" t="inlineStr"/>
      <c r="L10048" t="inlineStr">
        <is>
          <t>XP_044157339.1 ribonucleoprotein PTB-binding 2 isoform X2 [Bufo gargarizans]</t>
        </is>
      </c>
      <c r="M10048" t="n">
        <v>679</v>
      </c>
      <c r="N10048" t="inlineStr">
        <is>
          <t>Bufo gargarizans</t>
        </is>
      </c>
      <c r="O10048" t="inlineStr">
        <is>
          <t>ribonucleoprotein PTB-binding 2 isoform X2</t>
        </is>
      </c>
    </row>
    <row r="10049">
      <c r="A10049" t="inlineStr"/>
      <c r="B10049" t="inlineStr"/>
      <c r="C10049" t="inlineStr"/>
      <c r="D10049" t="inlineStr"/>
      <c r="E10049">
        <f>HYPERLINK("https://www.ncbi.nlm.nih.gov/gene/?term=XP_044157338.1", "XP_044157338.1")</f>
        <v/>
      </c>
      <c r="F10049" t="n">
        <v>47.7</v>
      </c>
      <c r="G10049" t="n">
        <v>153</v>
      </c>
      <c r="H10049" t="n">
        <v>9.340000000000001e-22</v>
      </c>
      <c r="I10049" t="inlineStr">
        <is>
          <t>Nr</t>
        </is>
      </c>
      <c r="J10049" t="inlineStr"/>
      <c r="K10049" t="inlineStr"/>
      <c r="L10049" t="inlineStr">
        <is>
          <t>XP_044157338.1 ribonucleoprotein PTB-binding 2 isoform X1 [Bufo gargarizans]</t>
        </is>
      </c>
      <c r="M10049" t="n">
        <v>680</v>
      </c>
      <c r="N10049" t="inlineStr">
        <is>
          <t>Bufo gargarizans</t>
        </is>
      </c>
      <c r="O10049" t="inlineStr">
        <is>
          <t>ribonucleoprotein PTB-binding 2 isoform X1</t>
        </is>
      </c>
    </row>
    <row r="10050">
      <c r="A10050" t="inlineStr"/>
      <c r="B10050" t="inlineStr"/>
      <c r="C10050" t="inlineStr"/>
      <c r="D10050" t="inlineStr"/>
      <c r="E10050">
        <f>HYPERLINK("https://www.ncbi.nlm.nih.gov/gene/?term=XP_012816871.2", "XP_012816871.2")</f>
        <v/>
      </c>
      <c r="F10050" t="n">
        <v>42.6</v>
      </c>
      <c r="G10050" t="n">
        <v>155</v>
      </c>
      <c r="H10050" t="n">
        <v>2.39e-21</v>
      </c>
      <c r="I10050" t="inlineStr">
        <is>
          <t>Nr</t>
        </is>
      </c>
      <c r="J10050" t="inlineStr"/>
      <c r="K10050" t="inlineStr"/>
      <c r="L10050" t="inlineStr">
        <is>
          <t>XP_012816871.2 ribonucleoprotein PTB-binding 2 isoform X4 [Xenopus tropicalis]</t>
        </is>
      </c>
      <c r="M10050" t="n">
        <v>706</v>
      </c>
      <c r="N10050" t="inlineStr">
        <is>
          <t>Xenopus tropicalis</t>
        </is>
      </c>
      <c r="O10050" t="inlineStr">
        <is>
          <t>ribonucleoprotein PTB-binding 2 isoform X4</t>
        </is>
      </c>
    </row>
    <row r="10051">
      <c r="A10051" t="inlineStr"/>
      <c r="B10051" t="inlineStr"/>
      <c r="C10051" t="inlineStr"/>
      <c r="D10051" t="inlineStr"/>
      <c r="E10051">
        <f>HYPERLINK("https://www.ncbi.nlm.nih.gov/gene/?term=UKB39184.1", "UKB39184.1")</f>
        <v/>
      </c>
      <c r="F10051" t="n">
        <v>41.9</v>
      </c>
      <c r="G10051" t="n">
        <v>155</v>
      </c>
      <c r="H10051" t="n">
        <v>1.12e-20</v>
      </c>
      <c r="I10051" t="inlineStr">
        <is>
          <t>Nr</t>
        </is>
      </c>
      <c r="J10051" t="inlineStr"/>
      <c r="K10051" t="inlineStr"/>
      <c r="L10051" t="inlineStr">
        <is>
          <t>UKB39184.1 ribonucleoprotein, PTB binding 2 protein, partial [synthetic construct]</t>
        </is>
      </c>
      <c r="M10051" t="n">
        <v>706</v>
      </c>
      <c r="N10051" t="inlineStr">
        <is>
          <t>synthetic construct</t>
        </is>
      </c>
      <c r="O10051" t="inlineStr">
        <is>
          <t>ribonucleoprotein, PTB binding 2 protein, partial</t>
        </is>
      </c>
    </row>
    <row r="10052">
      <c r="A10052" t="inlineStr"/>
      <c r="B10052" t="inlineStr"/>
      <c r="C10052" t="inlineStr"/>
      <c r="D10052" t="inlineStr"/>
      <c r="E10052">
        <f>HYPERLINK("https://www.uniprot.org/uniprotkb/A0A4D9EVX8/entry", "A0A4D9EVX8")</f>
        <v/>
      </c>
      <c r="F10052" t="n">
        <v>41.1</v>
      </c>
      <c r="G10052" t="n">
        <v>163</v>
      </c>
      <c r="H10052" t="n">
        <v>7.23e-20</v>
      </c>
      <c r="I10052" t="inlineStr">
        <is>
          <t>TrEMBL</t>
        </is>
      </c>
      <c r="J10052" t="inlineStr">
        <is>
          <t>DR999_PMT06785</t>
        </is>
      </c>
      <c r="K10052" t="inlineStr">
        <is>
          <t>A0A4D9EVX8_9SAUR</t>
        </is>
      </c>
      <c r="L10052" t="inlineStr">
        <is>
          <t>tr|A0A4D9EVX8|A0A4D9EVX8_9SAUR Gem-associated protein 5 OS=Platysternon megacephalum OX=55544 GN=DR999_PMT06785 PE=4 SV=1</t>
        </is>
      </c>
      <c r="M10052" t="n">
        <v>812</v>
      </c>
      <c r="N10052" t="inlineStr">
        <is>
          <t>Platysternon megacephalum</t>
        </is>
      </c>
      <c r="O10052" t="inlineStr">
        <is>
          <t>Gem-associated protein 5</t>
        </is>
      </c>
    </row>
    <row r="10053">
      <c r="A10053" t="inlineStr"/>
      <c r="B10053" t="inlineStr"/>
      <c r="C10053" t="inlineStr"/>
      <c r="D10053" t="inlineStr"/>
      <c r="E10053">
        <f>HYPERLINK("https://www.ncbi.nlm.nih.gov/gene/?term=XP_044882760.1", "XP_044882760.1")</f>
        <v/>
      </c>
      <c r="F10053" t="n">
        <v>41.1</v>
      </c>
      <c r="G10053" t="n">
        <v>163</v>
      </c>
      <c r="H10053" t="n">
        <v>1.35e-19</v>
      </c>
      <c r="I10053" t="inlineStr">
        <is>
          <t>Nr</t>
        </is>
      </c>
      <c r="J10053" t="inlineStr"/>
      <c r="K10053" t="inlineStr"/>
      <c r="L10053" t="inlineStr">
        <is>
          <t>XP_044882760.1 ribonucleoprotein PTB-binding 2 isoform X4 [Mauremys mutica]</t>
        </is>
      </c>
      <c r="M10053" t="n">
        <v>748</v>
      </c>
      <c r="N10053" t="inlineStr">
        <is>
          <t>Mauremys mutica</t>
        </is>
      </c>
      <c r="O10053" t="inlineStr">
        <is>
          <t>ribonucleoprotein PTB-binding 2 isoform X4</t>
        </is>
      </c>
    </row>
    <row r="10054">
      <c r="A10054" t="inlineStr"/>
      <c r="B10054" t="inlineStr"/>
      <c r="C10054" t="inlineStr"/>
      <c r="D10054" t="inlineStr"/>
      <c r="E10054">
        <f>HYPERLINK("https://www.ncbi.nlm.nih.gov/gene/?term=XP_044882758.1", "XP_044882758.1")</f>
        <v/>
      </c>
      <c r="F10054" t="n">
        <v>41.1</v>
      </c>
      <c r="G10054" t="n">
        <v>163</v>
      </c>
      <c r="H10054" t="n">
        <v>1.36e-19</v>
      </c>
      <c r="I10054" t="inlineStr">
        <is>
          <t>Nr</t>
        </is>
      </c>
      <c r="J10054" t="inlineStr"/>
      <c r="K10054" t="inlineStr"/>
      <c r="L10054" t="inlineStr">
        <is>
          <t>XP_044882758.1 ribonucleoprotein PTB-binding 2 isoform X2 [Mauremys mutica]</t>
        </is>
      </c>
      <c r="M10054" t="n">
        <v>805</v>
      </c>
      <c r="N10054" t="inlineStr">
        <is>
          <t>Mauremys mutica</t>
        </is>
      </c>
      <c r="O10054" t="inlineStr">
        <is>
          <t>ribonucleoprotein PTB-binding 2 isoform X2</t>
        </is>
      </c>
    </row>
    <row r="10055">
      <c r="A10055" t="inlineStr"/>
      <c r="B10055" t="inlineStr"/>
      <c r="C10055" t="inlineStr"/>
      <c r="D10055" t="inlineStr"/>
      <c r="E10055">
        <f>HYPERLINK("https://www.ncbi.nlm.nih.gov/gene/?term=XP_044882757.1", "XP_044882757.1")</f>
        <v/>
      </c>
      <c r="F10055" t="n">
        <v>41.1</v>
      </c>
      <c r="G10055" t="n">
        <v>163</v>
      </c>
      <c r="H10055" t="n">
        <v>1.36e-19</v>
      </c>
      <c r="I10055" t="inlineStr">
        <is>
          <t>Nr</t>
        </is>
      </c>
      <c r="J10055" t="inlineStr"/>
      <c r="K10055" t="inlineStr"/>
      <c r="L10055" t="inlineStr">
        <is>
          <t>XP_044882757.1 ribonucleoprotein PTB-binding 2 isoform X1 [Mauremys mutica]</t>
        </is>
      </c>
      <c r="M10055" t="n">
        <v>813</v>
      </c>
      <c r="N10055" t="inlineStr">
        <is>
          <t>Mauremys mutica</t>
        </is>
      </c>
      <c r="O10055" t="inlineStr">
        <is>
          <t>ribonucleoprotein PTB-binding 2 isoform X1</t>
        </is>
      </c>
    </row>
    <row r="10056">
      <c r="A10056" t="inlineStr"/>
      <c r="B10056" t="inlineStr"/>
      <c r="C10056" t="inlineStr"/>
      <c r="D10056" t="inlineStr"/>
      <c r="E10056">
        <f>HYPERLINK("https://www.ncbi.nlm.nih.gov/gene/?term=XP_032635504.1", "XP_032635504.1")</f>
        <v/>
      </c>
      <c r="F10056" t="n">
        <v>41.1</v>
      </c>
      <c r="G10056" t="n">
        <v>163</v>
      </c>
      <c r="H10056" t="n">
        <v>1.61e-19</v>
      </c>
      <c r="I10056" t="inlineStr">
        <is>
          <t>Nr</t>
        </is>
      </c>
      <c r="J10056" t="inlineStr"/>
      <c r="K10056" t="inlineStr"/>
      <c r="L10056" t="inlineStr">
        <is>
          <t>XP_032635504.1 ribonucleoprotein PTB-binding 2 isoform X4 [Chelonoidis abingdonii]</t>
        </is>
      </c>
      <c r="M10056" t="n">
        <v>541</v>
      </c>
      <c r="N10056" t="inlineStr">
        <is>
          <t>Chelonoidis abingdonii</t>
        </is>
      </c>
      <c r="O10056" t="inlineStr">
        <is>
          <t>ribonucleoprotein PTB-binding 2 isoform X4</t>
        </is>
      </c>
    </row>
    <row r="10057">
      <c r="A10057" t="inlineStr"/>
      <c r="B10057" t="inlineStr"/>
      <c r="C10057" t="inlineStr"/>
      <c r="D10057" t="inlineStr"/>
      <c r="E10057">
        <f>HYPERLINK("https://www.ncbi.nlm.nih.gov/gene/?term=XP_032635503.1", "XP_032635503.1")</f>
        <v/>
      </c>
      <c r="F10057" t="n">
        <v>41.1</v>
      </c>
      <c r="G10057" t="n">
        <v>163</v>
      </c>
      <c r="H10057" t="n">
        <v>1.78e-19</v>
      </c>
      <c r="I10057" t="inlineStr">
        <is>
          <t>Nr</t>
        </is>
      </c>
      <c r="J10057" t="inlineStr"/>
      <c r="K10057" t="inlineStr"/>
      <c r="L10057" t="inlineStr">
        <is>
          <t>XP_032635503.1 ribonucleoprotein PTB-binding 2 isoform X3 [Chelonoidis abingdonii]</t>
        </is>
      </c>
      <c r="M10057" t="n">
        <v>643</v>
      </c>
      <c r="N10057" t="inlineStr">
        <is>
          <t>Chelonoidis abingdonii</t>
        </is>
      </c>
      <c r="O10057" t="inlineStr">
        <is>
          <t>ribonucleoprotein PTB-binding 2 isoform X3</t>
        </is>
      </c>
    </row>
    <row r="10058">
      <c r="A10058" t="inlineStr"/>
      <c r="B10058" t="inlineStr"/>
      <c r="C10058" t="inlineStr"/>
      <c r="D10058" t="inlineStr"/>
      <c r="E10058">
        <f>HYPERLINK("https://www.uniprot.org/uniprotkb/A0A8T1SQ75/entry", "A0A8T1SQ75")</f>
        <v/>
      </c>
      <c r="F10058" t="n">
        <v>40.5</v>
      </c>
      <c r="G10058" t="n">
        <v>163</v>
      </c>
      <c r="H10058" t="n">
        <v>8.41e-19</v>
      </c>
      <c r="I10058" t="inlineStr">
        <is>
          <t>TrEMBL</t>
        </is>
      </c>
      <c r="J10058" t="inlineStr">
        <is>
          <t>RAVER2</t>
        </is>
      </c>
      <c r="K10058" t="inlineStr">
        <is>
          <t>A0A8T1SQ75_CHESE</t>
        </is>
      </c>
      <c r="L10058" t="inlineStr">
        <is>
          <t>tr|A0A8T1SQ75|A0A8T1SQ75_CHESE Ribonucleoprotein, PTB binding 2 OS=Chelydra serpentina OX=8475 GN=RAVER2 PE=4 SV=1</t>
        </is>
      </c>
      <c r="M10058" t="n">
        <v>700</v>
      </c>
      <c r="N10058" t="inlineStr">
        <is>
          <t>Chelydra serpentina</t>
        </is>
      </c>
      <c r="O10058" t="inlineStr">
        <is>
          <t>Ribonucleoprotein, PTB binding 2</t>
        </is>
      </c>
    </row>
    <row r="10059">
      <c r="A10059" t="inlineStr"/>
      <c r="B10059" t="inlineStr"/>
      <c r="C10059" t="inlineStr"/>
      <c r="D10059" t="inlineStr"/>
      <c r="E10059">
        <f>HYPERLINK("https://www.uniprot.org/uniprotkb/A0A8J6JPT5/entry", "A0A8J6JPT5")</f>
        <v/>
      </c>
      <c r="F10059" t="n">
        <v>41.8</v>
      </c>
      <c r="G10059" t="n">
        <v>153</v>
      </c>
      <c r="H10059" t="n">
        <v>2.14e-18</v>
      </c>
      <c r="I10059" t="inlineStr">
        <is>
          <t>TrEMBL</t>
        </is>
      </c>
      <c r="J10059" t="inlineStr">
        <is>
          <t>GDO78_020065</t>
        </is>
      </c>
      <c r="K10059" t="inlineStr">
        <is>
          <t>A0A8J6JPT5_ELECQ</t>
        </is>
      </c>
      <c r="L10059" t="inlineStr">
        <is>
          <t>tr|A0A8J6JPT5|A0A8J6JPT5_ELECQ Ribonucleoprotein PTB-binding 2 OS=Eleutherodactylus coqui OX=57060 GN=GDO78_020065 PE=4 SV=1</t>
        </is>
      </c>
      <c r="M10059" t="n">
        <v>279</v>
      </c>
      <c r="N10059" t="inlineStr">
        <is>
          <t>Eleutherodactylus coqui</t>
        </is>
      </c>
      <c r="O10059" t="inlineStr">
        <is>
          <t>Ribonucleoprotein PTB-binding 2</t>
        </is>
      </c>
    </row>
    <row r="10060">
      <c r="A10060" t="inlineStr"/>
      <c r="B10060" t="inlineStr"/>
      <c r="C10060" t="inlineStr"/>
      <c r="D10060" t="inlineStr"/>
      <c r="E10060">
        <f>HYPERLINK("https://www.uniprot.org/uniprotkb/A0A674JQ37/entry", "A0A674JQ37")</f>
        <v/>
      </c>
      <c r="F10060" t="n">
        <v>39.9</v>
      </c>
      <c r="G10060" t="n">
        <v>163</v>
      </c>
      <c r="H10060" t="n">
        <v>2.15e-18</v>
      </c>
      <c r="I10060" t="inlineStr">
        <is>
          <t>TrEMBL</t>
        </is>
      </c>
      <c r="J10060" t="inlineStr">
        <is>
          <t>LOC112115950</t>
        </is>
      </c>
      <c r="K10060" t="inlineStr">
        <is>
          <t>A0A674JQ37_TERCA</t>
        </is>
      </c>
      <c r="L10060" t="inlineStr">
        <is>
          <t>tr|A0A674JQ37|A0A674JQ37_TERCA Ribonucleoprotein PTB-binding 2 OS=Terrapene carolina triunguis OX=2587831 GN=LOC112115950 PE=4 SV=1</t>
        </is>
      </c>
      <c r="M10060" t="n">
        <v>748</v>
      </c>
      <c r="N10060" t="inlineStr">
        <is>
          <t>Terrapene carolina triunguis</t>
        </is>
      </c>
      <c r="O10060" t="inlineStr">
        <is>
          <t>Ribonucleoprotein PTB-binding 2</t>
        </is>
      </c>
    </row>
    <row r="10061">
      <c r="A10061" t="inlineStr"/>
      <c r="B10061" t="inlineStr"/>
      <c r="C10061" t="inlineStr"/>
      <c r="D10061" t="inlineStr"/>
      <c r="E10061">
        <f>HYPERLINK("https://www.uniprot.org/uniprotkb/A0A8J6EIJ9/entry", "A0A8J6EIJ9")</f>
        <v/>
      </c>
      <c r="F10061" t="n">
        <v>41.8</v>
      </c>
      <c r="G10061" t="n">
        <v>153</v>
      </c>
      <c r="H10061" t="n">
        <v>4.43e-18</v>
      </c>
      <c r="I10061" t="inlineStr">
        <is>
          <t>TrEMBL</t>
        </is>
      </c>
      <c r="J10061" t="inlineStr">
        <is>
          <t>GDO78_020065</t>
        </is>
      </c>
      <c r="K10061" t="inlineStr">
        <is>
          <t>A0A8J6EIJ9_ELECQ</t>
        </is>
      </c>
      <c r="L10061" t="inlineStr">
        <is>
          <t>tr|A0A8J6EIJ9|A0A8J6EIJ9_ELECQ Ribonucleoprotein PTB-binding 2 OS=Eleutherodactylus coqui OX=57060 GN=GDO78_020065 PE=4 SV=1</t>
        </is>
      </c>
      <c r="M10061" t="n">
        <v>334</v>
      </c>
      <c r="N10061" t="inlineStr">
        <is>
          <t>Eleutherodactylus coqui</t>
        </is>
      </c>
      <c r="O10061" t="inlineStr">
        <is>
          <t>Ribonucleoprotein PTB-binding 2</t>
        </is>
      </c>
    </row>
    <row r="10062">
      <c r="A10062" t="inlineStr"/>
      <c r="B10062" t="inlineStr"/>
      <c r="C10062" t="inlineStr"/>
      <c r="D10062" t="inlineStr"/>
      <c r="E10062">
        <f>HYPERLINK("https://www.uniprot.org/uniprotkb/A0A8J6EIN9/entry", "A0A8J6EIN9")</f>
        <v/>
      </c>
      <c r="F10062" t="n">
        <v>41.8</v>
      </c>
      <c r="G10062" t="n">
        <v>153</v>
      </c>
      <c r="H10062" t="n">
        <v>5.03e-18</v>
      </c>
      <c r="I10062" t="inlineStr">
        <is>
          <t>TrEMBL</t>
        </is>
      </c>
      <c r="J10062" t="inlineStr">
        <is>
          <t>GDO78_020065</t>
        </is>
      </c>
      <c r="K10062" t="inlineStr">
        <is>
          <t>A0A8J6EIN9_ELECQ</t>
        </is>
      </c>
      <c r="L10062" t="inlineStr">
        <is>
          <t>tr|A0A8J6EIN9|A0A8J6EIN9_ELECQ Ribonucleoprotein PTB-binding 2 OS=Eleutherodactylus coqui OX=57060 GN=GDO78_020065 PE=4 SV=1</t>
        </is>
      </c>
      <c r="M10062" t="n">
        <v>346</v>
      </c>
      <c r="N10062" t="inlineStr">
        <is>
          <t>Eleutherodactylus coqui</t>
        </is>
      </c>
      <c r="O10062" t="inlineStr">
        <is>
          <t>Ribonucleoprotein PTB-binding 2</t>
        </is>
      </c>
    </row>
    <row r="10063">
      <c r="A10063" t="inlineStr"/>
      <c r="B10063" t="inlineStr"/>
      <c r="C10063" t="inlineStr"/>
      <c r="D10063" t="inlineStr"/>
      <c r="E10063">
        <f>HYPERLINK("https://www.uniprot.org/uniprotkb/A0A8J6EI88/entry", "A0A8J6EI88")</f>
        <v/>
      </c>
      <c r="F10063" t="n">
        <v>41.8</v>
      </c>
      <c r="G10063" t="n">
        <v>153</v>
      </c>
      <c r="H10063" t="n">
        <v>6.35e-18</v>
      </c>
      <c r="I10063" t="inlineStr">
        <is>
          <t>TrEMBL</t>
        </is>
      </c>
      <c r="J10063" t="inlineStr">
        <is>
          <t>GDO78_020065</t>
        </is>
      </c>
      <c r="K10063" t="inlineStr">
        <is>
          <t>A0A8J6EI88_ELECQ</t>
        </is>
      </c>
      <c r="L10063" t="inlineStr">
        <is>
          <t>tr|A0A8J6EI88|A0A8J6EI88_ELECQ Ribonucleoprotein PTB-binding 2 OS=Eleutherodactylus coqui OX=57060 GN=GDO78_020065 PE=4 SV=1</t>
        </is>
      </c>
      <c r="M10063" t="n">
        <v>371</v>
      </c>
      <c r="N10063" t="inlineStr">
        <is>
          <t>Eleutherodactylus coqui</t>
        </is>
      </c>
      <c r="O10063" t="inlineStr">
        <is>
          <t>Ribonucleoprotein PTB-binding 2</t>
        </is>
      </c>
    </row>
    <row r="10064">
      <c r="A10064" t="inlineStr"/>
      <c r="B10064" t="inlineStr"/>
      <c r="C10064" t="inlineStr"/>
      <c r="D10064" t="inlineStr"/>
      <c r="E10064">
        <f>HYPERLINK("https://www.uniprot.org/uniprotkb/A0A8J1MWS1/entry", "A0A8J1MWS1")</f>
        <v/>
      </c>
      <c r="F10064" t="n">
        <v>39.9</v>
      </c>
      <c r="G10064" t="n">
        <v>153</v>
      </c>
      <c r="H10064" t="n">
        <v>9.959999999999999e-18</v>
      </c>
      <c r="I10064" t="inlineStr">
        <is>
          <t>TrEMBL</t>
        </is>
      </c>
      <c r="J10064" t="inlineStr">
        <is>
          <t>raver2.L</t>
        </is>
      </c>
      <c r="K10064" t="inlineStr">
        <is>
          <t>A0A8J1MWS1_XENLA</t>
        </is>
      </c>
      <c r="L10064" t="inlineStr">
        <is>
          <t>tr|A0A8J1MWS1|A0A8J1MWS1_XENLA ribonucleoprotein PTB-binding 2 isoform X4 OS=Xenopus laevis OX=8355 GN=raver2.L PE=4 SV=1</t>
        </is>
      </c>
      <c r="M10064" t="n">
        <v>688</v>
      </c>
      <c r="N10064" t="inlineStr">
        <is>
          <t>Xenopus laevis</t>
        </is>
      </c>
      <c r="O10064" t="inlineStr">
        <is>
          <t>ribonucleoprotein PTB-binding 2 isoform X4</t>
        </is>
      </c>
    </row>
    <row r="10065">
      <c r="A10065" t="inlineStr"/>
      <c r="B10065" t="inlineStr"/>
      <c r="C10065" t="inlineStr"/>
      <c r="D10065" t="inlineStr"/>
      <c r="E10065">
        <f>HYPERLINK("https://www.uniprot.org/uniprotkb/A0A8C3F1P0/entry", "A0A8C3F1P0")</f>
        <v/>
      </c>
      <c r="F10065" t="n">
        <v>38.8</v>
      </c>
      <c r="G10065" t="n">
        <v>160</v>
      </c>
      <c r="H10065" t="n">
        <v>4.74e-17</v>
      </c>
      <c r="I10065" t="inlineStr">
        <is>
          <t>TrEMBL</t>
        </is>
      </c>
      <c r="J10065" t="inlineStr">
        <is>
          <t>RAVER2</t>
        </is>
      </c>
      <c r="K10065" t="inlineStr">
        <is>
          <t>A0A8C3F1P0_CHRPI</t>
        </is>
      </c>
      <c r="L10065" t="inlineStr">
        <is>
          <t>tr|A0A8C3F1P0|A0A8C3F1P0_CHRPI Ribonucleoprotein, PTB binding 2 OS=Chrysemys picta bellii OX=8478 GN=RAVER2 PE=4 SV=1</t>
        </is>
      </c>
      <c r="M10065" t="n">
        <v>755</v>
      </c>
      <c r="N10065" t="inlineStr">
        <is>
          <t>Chrysemys picta bellii</t>
        </is>
      </c>
      <c r="O10065" t="inlineStr">
        <is>
          <t>Ribonucleoprotein, PTB binding 2</t>
        </is>
      </c>
    </row>
    <row r="10066">
      <c r="A10066" t="inlineStr">
        <is>
          <t>NODE_93076_length_1795_cov_1652.802083_g24587_i1</t>
        </is>
      </c>
      <c r="B10066" t="inlineStr">
        <is>
          <t>bombina_pachypus_blastx</t>
        </is>
      </c>
      <c r="C10066" t="n">
        <v>-2.56473337424308</v>
      </c>
      <c r="D10066" t="n">
        <v>0.001964415050907</v>
      </c>
      <c r="E10066">
        <f>HYPERLINK("https://www.uniprot.org/uniprotkb/A0A8J6EYG6/entry", "A0A8J6EYG6")</f>
        <v/>
      </c>
      <c r="F10066" t="n">
        <v>63.6</v>
      </c>
      <c r="G10066" t="n">
        <v>357</v>
      </c>
      <c r="H10066" t="n">
        <v>8.33e-145</v>
      </c>
      <c r="I10066" t="inlineStr">
        <is>
          <t>TrEMBL</t>
        </is>
      </c>
      <c r="J10066" t="inlineStr">
        <is>
          <t>GDO78_002612</t>
        </is>
      </c>
      <c r="K10066" t="inlineStr">
        <is>
          <t>A0A8J6EYG6_ELECQ</t>
        </is>
      </c>
      <c r="L10066" t="inlineStr">
        <is>
          <t>tr|A0A8J6EYG6|A0A8J6EYG6_ELECQ GORS2 protein OS=Eleutherodactylus coqui OX=57060 GN=GDO78_002612 PE=3 SV=1</t>
        </is>
      </c>
      <c r="M10066" t="n">
        <v>357</v>
      </c>
      <c r="N10066" t="inlineStr">
        <is>
          <t>Eleutherodactylus coqui</t>
        </is>
      </c>
      <c r="O10066" t="inlineStr">
        <is>
          <t>GORS2 protein</t>
        </is>
      </c>
    </row>
    <row r="10067">
      <c r="A10067" t="inlineStr"/>
      <c r="B10067" t="inlineStr"/>
      <c r="C10067" t="inlineStr"/>
      <c r="D10067" t="inlineStr"/>
      <c r="E10067">
        <f>HYPERLINK("https://www.uniprot.org/uniprotkb/A0A8J0U0Y5/entry", "A0A8J0U0Y5")</f>
        <v/>
      </c>
      <c r="F10067" t="n">
        <v>69.40000000000001</v>
      </c>
      <c r="G10067" t="n">
        <v>320</v>
      </c>
      <c r="H10067" t="n">
        <v>1.09e-144</v>
      </c>
      <c r="I10067" t="inlineStr">
        <is>
          <t>TrEMBL</t>
        </is>
      </c>
      <c r="J10067" t="inlineStr">
        <is>
          <t>gorasp2.S</t>
        </is>
      </c>
      <c r="K10067" t="inlineStr">
        <is>
          <t>A0A8J0U0Y5_XENLA</t>
        </is>
      </c>
      <c r="L10067" t="inlineStr">
        <is>
          <t>tr|A0A8J0U0Y5|A0A8J0U0Y5_XENLA uncharacterized protein LOC734511 isoform X1 OS=Xenopus laevis OX=8355 GN=gorasp2.S PE=3 SV=1</t>
        </is>
      </c>
      <c r="M10067" t="n">
        <v>385</v>
      </c>
      <c r="N10067" t="inlineStr">
        <is>
          <t>Xenopus laevis</t>
        </is>
      </c>
      <c r="O10067" t="inlineStr">
        <is>
          <t>uncharacterized protein LOC734511 isoform X1</t>
        </is>
      </c>
    </row>
    <row r="10068">
      <c r="A10068" t="inlineStr"/>
      <c r="B10068" t="inlineStr"/>
      <c r="C10068" t="inlineStr"/>
      <c r="D10068" t="inlineStr"/>
      <c r="E10068">
        <f>HYPERLINK("https://www.ncbi.nlm.nih.gov/gene/?term=KAG9477310.1", "KAG9477310.1")</f>
        <v/>
      </c>
      <c r="F10068" t="n">
        <v>63.6</v>
      </c>
      <c r="G10068" t="n">
        <v>357</v>
      </c>
      <c r="H10068" t="n">
        <v>2.14e-144</v>
      </c>
      <c r="I10068" t="inlineStr">
        <is>
          <t>Nr</t>
        </is>
      </c>
      <c r="J10068" t="inlineStr"/>
      <c r="K10068" t="inlineStr"/>
      <c r="L10068" t="inlineStr">
        <is>
          <t>KAG9477310.1 hypothetical protein GDO78_002612 [Eleutherodactylus coqui]</t>
        </is>
      </c>
      <c r="M10068" t="n">
        <v>357</v>
      </c>
      <c r="N10068" t="inlineStr">
        <is>
          <t>Eleutherodactylus coqui</t>
        </is>
      </c>
      <c r="O10068" t="inlineStr">
        <is>
          <t>hypothetical protein GDO78_002612</t>
        </is>
      </c>
    </row>
    <row r="10069">
      <c r="A10069" t="inlineStr"/>
      <c r="B10069" t="inlineStr"/>
      <c r="C10069" t="inlineStr"/>
      <c r="D10069" t="inlineStr"/>
      <c r="E10069">
        <f>HYPERLINK("https://www.ncbi.nlm.nih.gov/gene/?term=XP_018093079.1", "XP_018093079.1")</f>
        <v/>
      </c>
      <c r="F10069" t="n">
        <v>69.40000000000001</v>
      </c>
      <c r="G10069" t="n">
        <v>320</v>
      </c>
      <c r="H10069" t="n">
        <v>2.8e-144</v>
      </c>
      <c r="I10069" t="inlineStr">
        <is>
          <t>Nr</t>
        </is>
      </c>
      <c r="J10069" t="inlineStr"/>
      <c r="K10069" t="inlineStr"/>
      <c r="L10069" t="inlineStr">
        <is>
          <t>XP_018093079.1 uncharacterized protein LOC734511 isoform X1 [Xenopus laevis]</t>
        </is>
      </c>
      <c r="M10069" t="n">
        <v>385</v>
      </c>
      <c r="N10069" t="inlineStr">
        <is>
          <t>Xenopus laevis</t>
        </is>
      </c>
      <c r="O10069" t="inlineStr">
        <is>
          <t>uncharacterized protein LOC734511 isoform X1</t>
        </is>
      </c>
    </row>
    <row r="10070">
      <c r="A10070" t="inlineStr"/>
      <c r="B10070" t="inlineStr"/>
      <c r="C10070" t="inlineStr"/>
      <c r="D10070" t="inlineStr"/>
      <c r="E10070">
        <f>HYPERLINK("https://www.uniprot.org/uniprotkb/A0A8J6EWJ3/entry", "A0A8J6EWJ3")</f>
        <v/>
      </c>
      <c r="F10070" t="n">
        <v>63.6</v>
      </c>
      <c r="G10070" t="n">
        <v>357</v>
      </c>
      <c r="H10070" t="n">
        <v>8.57e-144</v>
      </c>
      <c r="I10070" t="inlineStr">
        <is>
          <t>TrEMBL</t>
        </is>
      </c>
      <c r="J10070" t="inlineStr">
        <is>
          <t>GDO78_002612</t>
        </is>
      </c>
      <c r="K10070" t="inlineStr">
        <is>
          <t>A0A8J6EWJ3_ELECQ</t>
        </is>
      </c>
      <c r="L10070" t="inlineStr">
        <is>
          <t>tr|A0A8J6EWJ3|A0A8J6EWJ3_ELECQ GORS2 protein OS=Eleutherodactylus coqui OX=57060 GN=GDO78_002612 PE=3 SV=1</t>
        </is>
      </c>
      <c r="M10070" t="n">
        <v>425</v>
      </c>
      <c r="N10070" t="inlineStr">
        <is>
          <t>Eleutherodactylus coqui</t>
        </is>
      </c>
      <c r="O10070" t="inlineStr">
        <is>
          <t>GORS2 protein</t>
        </is>
      </c>
    </row>
    <row r="10071">
      <c r="A10071" t="inlineStr"/>
      <c r="B10071" t="inlineStr"/>
      <c r="C10071" t="inlineStr"/>
      <c r="D10071" t="inlineStr"/>
      <c r="E10071">
        <f>HYPERLINK("https://www.uniprot.org/uniprotkb/Q7ZYD0/entry", "Q7ZYD0")</f>
        <v/>
      </c>
      <c r="F10071" t="n">
        <v>65.8</v>
      </c>
      <c r="G10071" t="n">
        <v>360</v>
      </c>
      <c r="H10071" t="n">
        <v>1.72e-143</v>
      </c>
      <c r="I10071" t="inlineStr">
        <is>
          <t>TrEMBL</t>
        </is>
      </c>
      <c r="J10071" t="inlineStr">
        <is>
          <t>gorasp2.L</t>
        </is>
      </c>
      <c r="K10071" t="inlineStr">
        <is>
          <t>Q7ZYD0_XENLA</t>
        </is>
      </c>
      <c r="L10071" t="inlineStr">
        <is>
          <t>tr|Q7ZYD0|Q7ZYD0_XENLA Gorasp2 protein OS=Xenopus laevis OX=8355 GN=gorasp2.L PE=2 SV=1</t>
        </is>
      </c>
      <c r="M10071" t="n">
        <v>425</v>
      </c>
      <c r="N10071" t="inlineStr">
        <is>
          <t>Xenopus laevis</t>
        </is>
      </c>
      <c r="O10071" t="inlineStr">
        <is>
          <t>Gorasp2 protein</t>
        </is>
      </c>
    </row>
    <row r="10072">
      <c r="A10072" t="inlineStr"/>
      <c r="B10072" t="inlineStr"/>
      <c r="C10072" t="inlineStr"/>
      <c r="D10072" t="inlineStr"/>
      <c r="E10072">
        <f>HYPERLINK("https://www.ncbi.nlm.nih.gov/gene/?term=KAG9477308.1", "KAG9477308.1")</f>
        <v/>
      </c>
      <c r="F10072" t="n">
        <v>63.6</v>
      </c>
      <c r="G10072" t="n">
        <v>357</v>
      </c>
      <c r="H10072" t="n">
        <v>2.2e-143</v>
      </c>
      <c r="I10072" t="inlineStr">
        <is>
          <t>Nr</t>
        </is>
      </c>
      <c r="J10072" t="inlineStr"/>
      <c r="K10072" t="inlineStr"/>
      <c r="L10072" t="inlineStr">
        <is>
          <t>KAG9477308.1 hypothetical protein GDO78_002612 [Eleutherodactylus coqui]</t>
        </is>
      </c>
      <c r="M10072" t="n">
        <v>425</v>
      </c>
      <c r="N10072" t="inlineStr">
        <is>
          <t>Eleutherodactylus coqui</t>
        </is>
      </c>
      <c r="O10072" t="inlineStr">
        <is>
          <t>hypothetical protein GDO78_002612</t>
        </is>
      </c>
    </row>
    <row r="10073">
      <c r="A10073" t="inlineStr"/>
      <c r="B10073" t="inlineStr"/>
      <c r="C10073" t="inlineStr"/>
      <c r="D10073" t="inlineStr"/>
      <c r="E10073">
        <f>HYPERLINK("https://www.ncbi.nlm.nih.gov/gene/?term=NP_001080519.1", "NP_001080519.1")</f>
        <v/>
      </c>
      <c r="F10073" t="n">
        <v>65.8</v>
      </c>
      <c r="G10073" t="n">
        <v>360</v>
      </c>
      <c r="H10073" t="n">
        <v>4.43e-143</v>
      </c>
      <c r="I10073" t="inlineStr">
        <is>
          <t>Nr</t>
        </is>
      </c>
      <c r="J10073" t="inlineStr"/>
      <c r="K10073" t="inlineStr"/>
      <c r="L10073" t="inlineStr">
        <is>
          <t>NP_001080519.1 golgi reassembly stacking protein 2 L homeolog [Xenopus laevis]</t>
        </is>
      </c>
      <c r="M10073" t="n">
        <v>425</v>
      </c>
      <c r="N10073" t="inlineStr">
        <is>
          <t>Xenopus laevis</t>
        </is>
      </c>
      <c r="O10073" t="inlineStr">
        <is>
          <t>golgi reassembly stacking protein 2 L homeolog</t>
        </is>
      </c>
    </row>
    <row r="10074">
      <c r="A10074" t="inlineStr"/>
      <c r="B10074" t="inlineStr"/>
      <c r="C10074" t="inlineStr"/>
      <c r="D10074" t="inlineStr"/>
      <c r="E10074">
        <f>HYPERLINK("https://www.ncbi.nlm.nih.gov/gene/?term=XP_053328287.1", "XP_053328287.1")</f>
        <v/>
      </c>
      <c r="F10074" t="n">
        <v>66.90000000000001</v>
      </c>
      <c r="G10074" t="n">
        <v>341</v>
      </c>
      <c r="H10074" t="n">
        <v>1.04e-142</v>
      </c>
      <c r="I10074" t="inlineStr">
        <is>
          <t>Nr</t>
        </is>
      </c>
      <c r="J10074" t="inlineStr"/>
      <c r="K10074" t="inlineStr"/>
      <c r="L10074" t="inlineStr">
        <is>
          <t>XP_053328287.1 Golgi reassembly-stacking protein 2 [Spea bombifrons]</t>
        </is>
      </c>
      <c r="M10074" t="n">
        <v>409</v>
      </c>
      <c r="N10074" t="inlineStr">
        <is>
          <t>Spea bombifrons</t>
        </is>
      </c>
      <c r="O10074" t="inlineStr">
        <is>
          <t>Golgi reassembly-stacking protein 2</t>
        </is>
      </c>
    </row>
    <row r="10075">
      <c r="A10075" t="inlineStr"/>
      <c r="B10075" t="inlineStr"/>
      <c r="C10075" t="inlineStr"/>
      <c r="D10075" t="inlineStr"/>
      <c r="E10075">
        <f>HYPERLINK("https://www.ncbi.nlm.nih.gov/gene/?term=XP_044160747.1", "XP_044160747.1")</f>
        <v/>
      </c>
      <c r="F10075" t="n">
        <v>64.09999999999999</v>
      </c>
      <c r="G10075" t="n">
        <v>357</v>
      </c>
      <c r="H10075" t="n">
        <v>3.76e-141</v>
      </c>
      <c r="I10075" t="inlineStr">
        <is>
          <t>Nr</t>
        </is>
      </c>
      <c r="J10075" t="inlineStr"/>
      <c r="K10075" t="inlineStr"/>
      <c r="L10075" t="inlineStr">
        <is>
          <t>XP_044160747.1 Golgi reassembly-stacking protein 2 isoform X1 [Bufo gargarizans]</t>
        </is>
      </c>
      <c r="M10075" t="n">
        <v>422</v>
      </c>
      <c r="N10075" t="inlineStr">
        <is>
          <t>Bufo gargarizans</t>
        </is>
      </c>
      <c r="O10075" t="inlineStr">
        <is>
          <t>Golgi reassembly-stacking protein 2 isoform X1</t>
        </is>
      </c>
    </row>
    <row r="10076">
      <c r="A10076" t="inlineStr"/>
      <c r="B10076" t="inlineStr"/>
      <c r="C10076" t="inlineStr"/>
      <c r="D10076" t="inlineStr"/>
      <c r="E10076">
        <f>HYPERLINK("https://www.ncbi.nlm.nih.gov/gene/?term=XP_018425083.1", "XP_018425083.1")</f>
        <v/>
      </c>
      <c r="F10076" t="n">
        <v>63.1</v>
      </c>
      <c r="G10076" t="n">
        <v>358</v>
      </c>
      <c r="H10076" t="n">
        <v>2.47e-140</v>
      </c>
      <c r="I10076" t="inlineStr">
        <is>
          <t>Nr</t>
        </is>
      </c>
      <c r="J10076" t="inlineStr"/>
      <c r="K10076" t="inlineStr"/>
      <c r="L10076" t="inlineStr">
        <is>
          <t>XP_018425083.1 PREDICTED: Golgi reassembly-stacking protein 2 [Nanorana parkeri]</t>
        </is>
      </c>
      <c r="M10076" t="n">
        <v>426</v>
      </c>
      <c r="N10076" t="inlineStr">
        <is>
          <t>Nanorana parkeri</t>
        </is>
      </c>
      <c r="O10076" t="inlineStr">
        <is>
          <t>PREDICTED: Golgi reassembly-stacking protein 2</t>
        </is>
      </c>
    </row>
    <row r="10077">
      <c r="A10077" t="inlineStr"/>
      <c r="B10077" t="inlineStr"/>
      <c r="C10077" t="inlineStr"/>
      <c r="D10077" t="inlineStr"/>
      <c r="E10077">
        <f>HYPERLINK("https://www.uniprot.org/uniprotkb/F6T9T0/entry", "F6T9T0")</f>
        <v/>
      </c>
      <c r="F10077" t="n">
        <v>62.2</v>
      </c>
      <c r="G10077" t="n">
        <v>357</v>
      </c>
      <c r="H10077" t="n">
        <v>4.36e-138</v>
      </c>
      <c r="I10077" t="inlineStr">
        <is>
          <t>TrEMBL</t>
        </is>
      </c>
      <c r="J10077" t="inlineStr">
        <is>
          <t>gorasp2</t>
        </is>
      </c>
      <c r="K10077" t="inlineStr">
        <is>
          <t>F6T9T0_XENTR</t>
        </is>
      </c>
      <c r="L10077" t="inlineStr">
        <is>
          <t>tr|F6T9T0|F6T9T0_XENTR Golgi reassembly stacking protein 2 OS=Xenopus tropicalis OX=8364 GN=gorasp2 PE=3 SV=4</t>
        </is>
      </c>
      <c r="M10077" t="n">
        <v>421</v>
      </c>
      <c r="N10077" t="inlineStr">
        <is>
          <t>Xenopus tropicalis</t>
        </is>
      </c>
      <c r="O10077" t="inlineStr">
        <is>
          <t>Golgi reassembly stacking protein 2</t>
        </is>
      </c>
    </row>
    <row r="10078">
      <c r="A10078" t="inlineStr"/>
      <c r="B10078" t="inlineStr"/>
      <c r="C10078" t="inlineStr"/>
      <c r="D10078" t="inlineStr"/>
      <c r="E10078">
        <f>HYPERLINK("https://www.uniprot.org/uniprotkb/Q4V819/entry", "Q4V819")</f>
        <v/>
      </c>
      <c r="F10078" t="n">
        <v>63.9</v>
      </c>
      <c r="G10078" t="n">
        <v>360</v>
      </c>
      <c r="H10078" t="n">
        <v>4.989999999999999e-138</v>
      </c>
      <c r="I10078" t="inlineStr">
        <is>
          <t>TrEMBL</t>
        </is>
      </c>
      <c r="J10078" t="inlineStr">
        <is>
          <t>gorasp2.S</t>
        </is>
      </c>
      <c r="K10078" t="inlineStr">
        <is>
          <t>Q4V819_XENLA</t>
        </is>
      </c>
      <c r="L10078" t="inlineStr">
        <is>
          <t>tr|Q4V819|Q4V819_XENLA MGC114834 protein OS=Xenopus laevis OX=8355 GN=gorasp2.S PE=2 SV=1</t>
        </is>
      </c>
      <c r="M10078" t="n">
        <v>425</v>
      </c>
      <c r="N10078" t="inlineStr">
        <is>
          <t>Xenopus laevis</t>
        </is>
      </c>
      <c r="O10078" t="inlineStr">
        <is>
          <t>MGC114834 protein</t>
        </is>
      </c>
    </row>
    <row r="10079">
      <c r="A10079" t="inlineStr"/>
      <c r="B10079" t="inlineStr"/>
      <c r="C10079" t="inlineStr"/>
      <c r="D10079" t="inlineStr"/>
      <c r="E10079">
        <f>HYPERLINK("https://www.uniprot.org/uniprotkb/A0A6I8QQW3/entry", "A0A6I8QQW3")</f>
        <v/>
      </c>
      <c r="F10079" t="n">
        <v>61.8</v>
      </c>
      <c r="G10079" t="n">
        <v>359</v>
      </c>
      <c r="H10079" t="n">
        <v>6.27e-138</v>
      </c>
      <c r="I10079" t="inlineStr">
        <is>
          <t>TrEMBL</t>
        </is>
      </c>
      <c r="J10079" t="inlineStr">
        <is>
          <t>gorasp2</t>
        </is>
      </c>
      <c r="K10079" t="inlineStr">
        <is>
          <t>A0A6I8QQW3_XENTR</t>
        </is>
      </c>
      <c r="L10079" t="inlineStr">
        <is>
          <t>tr|A0A6I8QQW3|A0A6I8QQW3_XENTR Golgi reassembly stacking protein 2 OS=Xenopus tropicalis OX=8364 GN=gorasp2 PE=3 SV=1</t>
        </is>
      </c>
      <c r="M10079" t="n">
        <v>411</v>
      </c>
      <c r="N10079" t="inlineStr">
        <is>
          <t>Xenopus tropicalis</t>
        </is>
      </c>
      <c r="O10079" t="inlineStr">
        <is>
          <t>Golgi reassembly stacking protein 2</t>
        </is>
      </c>
    </row>
    <row r="10080">
      <c r="A10080" t="inlineStr"/>
      <c r="B10080" t="inlineStr"/>
      <c r="C10080" t="inlineStr"/>
      <c r="D10080" t="inlineStr"/>
      <c r="E10080">
        <f>HYPERLINK("https://www.uniprot.org/uniprotkb/Q6GLF2/entry", "Q6GLF2")</f>
        <v/>
      </c>
      <c r="F10080" t="n">
        <v>61.8</v>
      </c>
      <c r="G10080" t="n">
        <v>359</v>
      </c>
      <c r="H10080" t="n">
        <v>9.379999999999999e-138</v>
      </c>
      <c r="I10080" t="inlineStr">
        <is>
          <t>TrEMBL</t>
        </is>
      </c>
      <c r="J10080" t="inlineStr">
        <is>
          <t>gorasp2</t>
        </is>
      </c>
      <c r="K10080" t="inlineStr">
        <is>
          <t>Q6GLF2_XENTR</t>
        </is>
      </c>
      <c r="L10080" t="inlineStr">
        <is>
          <t>tr|Q6GLF2|Q6GLF2_XENTR Golgi reassembly stacking protein 2, 55kDa OS=Xenopus tropicalis OX=8364 GN=gorasp2 PE=2 SV=1</t>
        </is>
      </c>
      <c r="M10080" t="n">
        <v>423</v>
      </c>
      <c r="N10080" t="inlineStr">
        <is>
          <t>Xenopus tropicalis</t>
        </is>
      </c>
      <c r="O10080" t="inlineStr">
        <is>
          <t>Golgi reassembly stacking protein 2, 55kDa</t>
        </is>
      </c>
    </row>
    <row r="10081">
      <c r="A10081" t="inlineStr"/>
      <c r="B10081" t="inlineStr"/>
      <c r="C10081" t="inlineStr"/>
      <c r="D10081" t="inlineStr"/>
      <c r="E10081">
        <f>HYPERLINK("https://www.ncbi.nlm.nih.gov/gene/?term=NP_001089461.1", "NP_001089461.1")</f>
        <v/>
      </c>
      <c r="F10081" t="n">
        <v>63.9</v>
      </c>
      <c r="G10081" t="n">
        <v>360</v>
      </c>
      <c r="H10081" t="n">
        <v>1.28e-137</v>
      </c>
      <c r="I10081" t="inlineStr">
        <is>
          <t>Nr</t>
        </is>
      </c>
      <c r="J10081" t="inlineStr"/>
      <c r="K10081" t="inlineStr"/>
      <c r="L10081" t="inlineStr">
        <is>
          <t>NP_001089461.1 uncharacterized protein LOC734511 [Xenopus laevis]</t>
        </is>
      </c>
      <c r="M10081" t="n">
        <v>425</v>
      </c>
      <c r="N10081" t="inlineStr">
        <is>
          <t>Xenopus laevis</t>
        </is>
      </c>
      <c r="O10081" t="inlineStr">
        <is>
          <t>uncharacterized protein LOC734511</t>
        </is>
      </c>
    </row>
    <row r="10082">
      <c r="A10082" t="inlineStr"/>
      <c r="B10082" t="inlineStr"/>
      <c r="C10082" t="inlineStr"/>
      <c r="D10082" t="inlineStr"/>
      <c r="E10082">
        <f>HYPERLINK("https://www.ncbi.nlm.nih.gov/gene/?term=NP_001004798.1", "NP_001004798.1")</f>
        <v/>
      </c>
      <c r="F10082" t="n">
        <v>61.8</v>
      </c>
      <c r="G10082" t="n">
        <v>359</v>
      </c>
      <c r="H10082" t="n">
        <v>2.41e-137</v>
      </c>
      <c r="I10082" t="inlineStr">
        <is>
          <t>Nr</t>
        </is>
      </c>
      <c r="J10082" t="inlineStr"/>
      <c r="K10082" t="inlineStr"/>
      <c r="L10082" t="inlineStr">
        <is>
          <t>NP_001004798.1 Golgi reassembly-stacking protein 2 [Xenopus tropicalis]</t>
        </is>
      </c>
      <c r="M10082" t="n">
        <v>423</v>
      </c>
      <c r="N10082" t="inlineStr">
        <is>
          <t>Xenopus tropicalis</t>
        </is>
      </c>
      <c r="O10082" t="inlineStr">
        <is>
          <t>Golgi reassembly-stacking protein 2</t>
        </is>
      </c>
    </row>
    <row r="10083">
      <c r="A10083" t="inlineStr"/>
      <c r="B10083" t="inlineStr"/>
      <c r="C10083" t="inlineStr"/>
      <c r="D10083" t="inlineStr"/>
      <c r="E10083">
        <f>HYPERLINK("https://www.uniprot.org/uniprotkb/A0A8C5RAN1/entry", "A0A8C5RAN1")</f>
        <v/>
      </c>
      <c r="F10083" t="n">
        <v>61.7</v>
      </c>
      <c r="G10083" t="n">
        <v>360</v>
      </c>
      <c r="H10083" t="n">
        <v>4.36e-137</v>
      </c>
      <c r="I10083" t="inlineStr">
        <is>
          <t>TrEMBL</t>
        </is>
      </c>
      <c r="J10083" t="inlineStr"/>
      <c r="K10083" t="inlineStr">
        <is>
          <t>A0A8C5RAN1_9ANUR</t>
        </is>
      </c>
      <c r="L10083" t="inlineStr">
        <is>
          <t>tr|A0A8C5RAN1|A0A8C5RAN1_9ANUR Golgi reassembly stacking protein 2 OS=Leptobrachium leishanense OX=445787 PE=3 SV=1</t>
        </is>
      </c>
      <c r="M10083" t="n">
        <v>396</v>
      </c>
      <c r="N10083" t="inlineStr">
        <is>
          <t>Leptobrachium leishanense</t>
        </is>
      </c>
      <c r="O10083" t="inlineStr">
        <is>
          <t>Golgi reassembly stacking protein 2</t>
        </is>
      </c>
    </row>
    <row r="10084">
      <c r="A10084" t="inlineStr"/>
      <c r="B10084" t="inlineStr"/>
      <c r="C10084" t="inlineStr"/>
      <c r="D10084" t="inlineStr"/>
      <c r="E10084">
        <f>HYPERLINK("https://www.uniprot.org/uniprotkb/A0A8C5RBR0/entry", "A0A8C5RBR0")</f>
        <v/>
      </c>
      <c r="F10084" t="n">
        <v>66</v>
      </c>
      <c r="G10084" t="n">
        <v>332</v>
      </c>
      <c r="H10084" t="n">
        <v>5.98e-137</v>
      </c>
      <c r="I10084" t="inlineStr">
        <is>
          <t>TrEMBL</t>
        </is>
      </c>
      <c r="J10084" t="inlineStr"/>
      <c r="K10084" t="inlineStr">
        <is>
          <t>A0A8C5RBR0_9ANUR</t>
        </is>
      </c>
      <c r="L10084" t="inlineStr">
        <is>
          <t>tr|A0A8C5RBR0|A0A8C5RBR0_9ANUR Golgi reassembly stacking protein 2 OS=Leptobrachium leishanense OX=445787 PE=3 SV=1</t>
        </is>
      </c>
      <c r="M10084" t="n">
        <v>395</v>
      </c>
      <c r="N10084" t="inlineStr">
        <is>
          <t>Leptobrachium leishanense</t>
        </is>
      </c>
      <c r="O10084" t="inlineStr">
        <is>
          <t>Golgi reassembly stacking protein 2</t>
        </is>
      </c>
    </row>
    <row r="10085">
      <c r="A10085" t="inlineStr"/>
      <c r="B10085" t="inlineStr"/>
      <c r="C10085" t="inlineStr"/>
      <c r="D10085" t="inlineStr"/>
      <c r="E10085">
        <f>HYPERLINK("https://www.ncbi.nlm.nih.gov/gene/?term=XP_040213704.1", "XP_040213704.1")</f>
        <v/>
      </c>
      <c r="F10085" t="n">
        <v>62.5</v>
      </c>
      <c r="G10085" t="n">
        <v>357</v>
      </c>
      <c r="H10085" t="n">
        <v>7.34e-137</v>
      </c>
      <c r="I10085" t="inlineStr">
        <is>
          <t>Nr</t>
        </is>
      </c>
      <c r="J10085" t="inlineStr"/>
      <c r="K10085" t="inlineStr"/>
      <c r="L10085" t="inlineStr">
        <is>
          <t>XP_040213704.1 Golgi reassembly-stacking protein 2 [Rana temporaria]</t>
        </is>
      </c>
      <c r="M10085" t="n">
        <v>425</v>
      </c>
      <c r="N10085" t="inlineStr">
        <is>
          <t>Rana temporaria</t>
        </is>
      </c>
      <c r="O10085" t="inlineStr">
        <is>
          <t>Golgi reassembly-stacking protein 2</t>
        </is>
      </c>
    </row>
    <row r="10086">
      <c r="A10086" t="inlineStr"/>
      <c r="B10086" t="inlineStr"/>
      <c r="C10086" t="inlineStr"/>
      <c r="D10086" t="inlineStr"/>
      <c r="E10086">
        <f>HYPERLINK("https://www.uniprot.org/uniprotkb/A0A8C5RDW2/entry", "A0A8C5RDW2")</f>
        <v/>
      </c>
      <c r="F10086" t="n">
        <v>61.7</v>
      </c>
      <c r="G10086" t="n">
        <v>360</v>
      </c>
      <c r="H10086" t="n">
        <v>1.08e-136</v>
      </c>
      <c r="I10086" t="inlineStr">
        <is>
          <t>TrEMBL</t>
        </is>
      </c>
      <c r="J10086" t="inlineStr"/>
      <c r="K10086" t="inlineStr">
        <is>
          <t>A0A8C5RDW2_9ANUR</t>
        </is>
      </c>
      <c r="L10086" t="inlineStr">
        <is>
          <t>tr|A0A8C5RDW2|A0A8C5RDW2_9ANUR Golgi reassembly stacking protein 2 OS=Leptobrachium leishanense OX=445787 PE=3 SV=1</t>
        </is>
      </c>
      <c r="M10086" t="n">
        <v>423</v>
      </c>
      <c r="N10086" t="inlineStr">
        <is>
          <t>Leptobrachium leishanense</t>
        </is>
      </c>
      <c r="O10086" t="inlineStr">
        <is>
          <t>Golgi reassembly stacking protein 2</t>
        </is>
      </c>
    </row>
    <row r="10087">
      <c r="A10087" t="inlineStr"/>
      <c r="B10087" t="inlineStr"/>
      <c r="C10087" t="inlineStr"/>
      <c r="D10087" t="inlineStr"/>
      <c r="E10087">
        <f>HYPERLINK("https://www.uniprot.org/uniprotkb/A0A8C5RB29/entry", "A0A8C5RB29")</f>
        <v/>
      </c>
      <c r="F10087" t="n">
        <v>61.7</v>
      </c>
      <c r="G10087" t="n">
        <v>360</v>
      </c>
      <c r="H10087" t="n">
        <v>1.08e-136</v>
      </c>
      <c r="I10087" t="inlineStr">
        <is>
          <t>TrEMBL</t>
        </is>
      </c>
      <c r="J10087" t="inlineStr"/>
      <c r="K10087" t="inlineStr">
        <is>
          <t>A0A8C5RB29_9ANUR</t>
        </is>
      </c>
      <c r="L10087" t="inlineStr">
        <is>
          <t>tr|A0A8C5RB29|A0A8C5RB29_9ANUR Golgi reassembly stacking protein 2 OS=Leptobrachium leishanense OX=445787 PE=3 SV=1</t>
        </is>
      </c>
      <c r="M10087" t="n">
        <v>423</v>
      </c>
      <c r="N10087" t="inlineStr">
        <is>
          <t>Leptobrachium leishanense</t>
        </is>
      </c>
      <c r="O10087" t="inlineStr">
        <is>
          <t>Golgi reassembly stacking protein 2</t>
        </is>
      </c>
    </row>
    <row r="10088">
      <c r="A10088" t="inlineStr"/>
      <c r="B10088" t="inlineStr"/>
      <c r="C10088" t="inlineStr"/>
      <c r="D10088" t="inlineStr"/>
      <c r="E10088">
        <f>HYPERLINK("https://www.ncbi.nlm.nih.gov/gene/?term=XP_040296403.1", "XP_040296403.1")</f>
        <v/>
      </c>
      <c r="F10088" t="n">
        <v>64.5</v>
      </c>
      <c r="G10088" t="n">
        <v>363</v>
      </c>
      <c r="H10088" t="n">
        <v>1.88e-135</v>
      </c>
      <c r="I10088" t="inlineStr">
        <is>
          <t>Nr</t>
        </is>
      </c>
      <c r="J10088" t="inlineStr"/>
      <c r="K10088" t="inlineStr"/>
      <c r="L10088" t="inlineStr">
        <is>
          <t>XP_040296403.1 Golgi reassembly-stacking protein 2 isoform X1 [Bufo bufo]</t>
        </is>
      </c>
      <c r="M10088" t="n">
        <v>428</v>
      </c>
      <c r="N10088" t="inlineStr">
        <is>
          <t>Bufo bufo</t>
        </is>
      </c>
      <c r="O10088" t="inlineStr">
        <is>
          <t>Golgi reassembly-stacking protein 2 isoform X1</t>
        </is>
      </c>
    </row>
    <row r="10089">
      <c r="A10089" t="inlineStr"/>
      <c r="B10089" t="inlineStr"/>
      <c r="C10089" t="inlineStr"/>
      <c r="D10089" t="inlineStr"/>
      <c r="E10089">
        <f>HYPERLINK("https://www.uniprot.org/uniprotkb/Q28J72/entry", "Q28J72")</f>
        <v/>
      </c>
      <c r="F10089" t="n">
        <v>60.7</v>
      </c>
      <c r="G10089" t="n">
        <v>359</v>
      </c>
      <c r="H10089" t="n">
        <v>2.59e-135</v>
      </c>
      <c r="I10089" t="inlineStr">
        <is>
          <t>TrEMBL</t>
        </is>
      </c>
      <c r="J10089" t="inlineStr">
        <is>
          <t>gorasp2</t>
        </is>
      </c>
      <c r="K10089" t="inlineStr">
        <is>
          <t>Q28J72_XENTR</t>
        </is>
      </c>
      <c r="L10089" t="inlineStr">
        <is>
          <t>tr|Q28J72|Q28J72_XENTR Golgi reassembly stacking protein 2 OS=Xenopus tropicalis OX=8364 GN=gorasp2 PE=2 SV=1</t>
        </is>
      </c>
      <c r="M10089" t="n">
        <v>424</v>
      </c>
      <c r="N10089" t="inlineStr">
        <is>
          <t>Xenopus tropicalis</t>
        </is>
      </c>
      <c r="O10089" t="inlineStr">
        <is>
          <t>Golgi reassembly stacking protein 2</t>
        </is>
      </c>
    </row>
    <row r="10090">
      <c r="A10090" t="inlineStr"/>
      <c r="B10090" t="inlineStr"/>
      <c r="C10090" t="inlineStr"/>
      <c r="D10090" t="inlineStr"/>
      <c r="E10090">
        <f>HYPERLINK("https://www.uniprot.org/uniprotkb/A0A8T2IMZ7/entry", "A0A8T2IMZ7")</f>
        <v/>
      </c>
      <c r="F10090" t="n">
        <v>67.2</v>
      </c>
      <c r="G10090" t="n">
        <v>320</v>
      </c>
      <c r="H10090" t="n">
        <v>6.07e-135</v>
      </c>
      <c r="I10090" t="inlineStr">
        <is>
          <t>TrEMBL</t>
        </is>
      </c>
      <c r="J10090" t="inlineStr">
        <is>
          <t>GDO86_016901</t>
        </is>
      </c>
      <c r="K10090" t="inlineStr">
        <is>
          <t>A0A8T2IMZ7_9PIPI</t>
        </is>
      </c>
      <c r="L10090" t="inlineStr">
        <is>
          <t>tr|A0A8T2IMZ7|A0A8T2IMZ7_9PIPI Golgi reassembly stacking protein 2 OS=Hymenochirus boettgeri OX=247094 GN=GDO86_016901 PE=3 SV=1</t>
        </is>
      </c>
      <c r="M10090" t="n">
        <v>387</v>
      </c>
      <c r="N10090" t="inlineStr">
        <is>
          <t>Hymenochirus boettgeri</t>
        </is>
      </c>
      <c r="O10090" t="inlineStr">
        <is>
          <t>Golgi reassembly stacking protein 2</t>
        </is>
      </c>
    </row>
    <row r="10091">
      <c r="A10091" t="inlineStr"/>
      <c r="B10091" t="inlineStr"/>
      <c r="C10091" t="inlineStr"/>
      <c r="D10091" t="inlineStr"/>
      <c r="E10091">
        <f>HYPERLINK("https://www.ncbi.nlm.nih.gov/gene/?term=CAJ82834.1", "CAJ82834.1")</f>
        <v/>
      </c>
      <c r="F10091" t="n">
        <v>60.7</v>
      </c>
      <c r="G10091" t="n">
        <v>359</v>
      </c>
      <c r="H10091" t="n">
        <v>6.65e-135</v>
      </c>
      <c r="I10091" t="inlineStr">
        <is>
          <t>Nr</t>
        </is>
      </c>
      <c r="J10091" t="inlineStr"/>
      <c r="K10091" t="inlineStr"/>
      <c r="L10091" t="inlineStr">
        <is>
          <t>CAJ82834.1 golgi reassembly stacking protein 2 [Xenopus tropicalis]</t>
        </is>
      </c>
      <c r="M10091" t="n">
        <v>424</v>
      </c>
      <c r="N10091" t="inlineStr">
        <is>
          <t>Xenopus tropicalis</t>
        </is>
      </c>
      <c r="O10091" t="inlineStr">
        <is>
          <t>golgi reassembly stacking protein 2</t>
        </is>
      </c>
    </row>
    <row r="10092">
      <c r="A10092" t="inlineStr"/>
      <c r="B10092" t="inlineStr"/>
      <c r="C10092" t="inlineStr"/>
      <c r="D10092" t="inlineStr"/>
      <c r="E10092">
        <f>HYPERLINK("https://www.ncbi.nlm.nih.gov/gene/?term=KAG8432424.1", "KAG8432424.1")</f>
        <v/>
      </c>
      <c r="F10092" t="n">
        <v>67.2</v>
      </c>
      <c r="G10092" t="n">
        <v>320</v>
      </c>
      <c r="H10092" t="n">
        <v>1.56e-134</v>
      </c>
      <c r="I10092" t="inlineStr">
        <is>
          <t>Nr</t>
        </is>
      </c>
      <c r="J10092" t="inlineStr"/>
      <c r="K10092" t="inlineStr"/>
      <c r="L10092" t="inlineStr">
        <is>
          <t>KAG8432424.1 hypothetical protein GDO86_016901 [Hymenochirus boettgeri]</t>
        </is>
      </c>
      <c r="M10092" t="n">
        <v>387</v>
      </c>
      <c r="N10092" t="inlineStr">
        <is>
          <t>Hymenochirus boettgeri</t>
        </is>
      </c>
      <c r="O10092" t="inlineStr">
        <is>
          <t>hypothetical protein GDO86_016901</t>
        </is>
      </c>
    </row>
    <row r="10093">
      <c r="A10093" t="inlineStr"/>
      <c r="B10093" t="inlineStr"/>
      <c r="C10093" t="inlineStr"/>
      <c r="D10093" t="inlineStr"/>
      <c r="E10093">
        <f>HYPERLINK("https://www.ncbi.nlm.nih.gov/gene/?term=KAG8559667.1", "KAG8559667.1")</f>
        <v/>
      </c>
      <c r="F10093" t="n">
        <v>61.1</v>
      </c>
      <c r="G10093" t="n">
        <v>357</v>
      </c>
      <c r="H10093" t="n">
        <v>1.96e-134</v>
      </c>
      <c r="I10093" t="inlineStr">
        <is>
          <t>Nr</t>
        </is>
      </c>
      <c r="J10093" t="inlineStr"/>
      <c r="K10093" t="inlineStr"/>
      <c r="L10093" t="inlineStr">
        <is>
          <t>KAG8559667.1 hypothetical protein GDO81_017408 [Engystomops pustulosus]</t>
        </is>
      </c>
      <c r="M10093" t="n">
        <v>425</v>
      </c>
      <c r="N10093" t="inlineStr">
        <is>
          <t>Engystomops pustulosus</t>
        </is>
      </c>
      <c r="O10093" t="inlineStr">
        <is>
          <t>hypothetical protein GDO81_017408</t>
        </is>
      </c>
    </row>
    <row r="10094">
      <c r="A10094" t="inlineStr"/>
      <c r="B10094" t="inlineStr"/>
      <c r="C10094" t="inlineStr"/>
      <c r="D10094" t="inlineStr"/>
      <c r="E10094">
        <f>HYPERLINK("https://www.uniprot.org/uniprotkb/A0A8J6EZ61/entry", "A0A8J6EZ61")</f>
        <v/>
      </c>
      <c r="F10094" t="n">
        <v>61.1</v>
      </c>
      <c r="G10094" t="n">
        <v>357</v>
      </c>
      <c r="H10094" t="n">
        <v>3.59e-134</v>
      </c>
      <c r="I10094" t="inlineStr">
        <is>
          <t>TrEMBL</t>
        </is>
      </c>
      <c r="J10094" t="inlineStr">
        <is>
          <t>GDO78_002612</t>
        </is>
      </c>
      <c r="K10094" t="inlineStr">
        <is>
          <t>A0A8J6EZ61_ELECQ</t>
        </is>
      </c>
      <c r="L10094" t="inlineStr">
        <is>
          <t>tr|A0A8J6EZ61|A0A8J6EZ61_ELECQ GORS2 protein OS=Eleutherodactylus coqui OX=57060 GN=GDO78_002612 PE=3 SV=1</t>
        </is>
      </c>
      <c r="M10094" t="n">
        <v>347</v>
      </c>
      <c r="N10094" t="inlineStr">
        <is>
          <t>Eleutherodactylus coqui</t>
        </is>
      </c>
      <c r="O10094" t="inlineStr">
        <is>
          <t>GORS2 protein</t>
        </is>
      </c>
    </row>
    <row r="10095">
      <c r="A10095" t="inlineStr"/>
      <c r="B10095" t="inlineStr"/>
      <c r="C10095" t="inlineStr"/>
      <c r="D10095" t="inlineStr"/>
      <c r="E10095">
        <f>HYPERLINK("https://www.ncbi.nlm.nih.gov/gene/?term=KAG9477311.1", "KAG9477311.1")</f>
        <v/>
      </c>
      <c r="F10095" t="n">
        <v>61.1</v>
      </c>
      <c r="G10095" t="n">
        <v>357</v>
      </c>
      <c r="H10095" t="n">
        <v>9.23e-134</v>
      </c>
      <c r="I10095" t="inlineStr">
        <is>
          <t>Nr</t>
        </is>
      </c>
      <c r="J10095" t="inlineStr"/>
      <c r="K10095" t="inlineStr"/>
      <c r="L10095" t="inlineStr">
        <is>
          <t>KAG9477311.1 hypothetical protein GDO78_002612 [Eleutherodactylus coqui]</t>
        </is>
      </c>
      <c r="M10095" t="n">
        <v>347</v>
      </c>
      <c r="N10095" t="inlineStr">
        <is>
          <t>Eleutherodactylus coqui</t>
        </is>
      </c>
      <c r="O10095" t="inlineStr">
        <is>
          <t>hypothetical protein GDO78_002612</t>
        </is>
      </c>
    </row>
    <row r="10096">
      <c r="A10096" t="inlineStr"/>
      <c r="B10096" t="inlineStr"/>
      <c r="C10096" t="inlineStr"/>
      <c r="D10096" t="inlineStr"/>
      <c r="E10096">
        <f>HYPERLINK("https://www.uniprot.org/uniprotkb/A0A8J6EXQ1/entry", "A0A8J6EXQ1")</f>
        <v/>
      </c>
      <c r="F10096" t="n">
        <v>61.1</v>
      </c>
      <c r="G10096" t="n">
        <v>357</v>
      </c>
      <c r="H10096" t="n">
        <v>3.61e-133</v>
      </c>
      <c r="I10096" t="inlineStr">
        <is>
          <t>TrEMBL</t>
        </is>
      </c>
      <c r="J10096" t="inlineStr">
        <is>
          <t>GDO78_002612</t>
        </is>
      </c>
      <c r="K10096" t="inlineStr">
        <is>
          <t>A0A8J6EXQ1_ELECQ</t>
        </is>
      </c>
      <c r="L10096" t="inlineStr">
        <is>
          <t>tr|A0A8J6EXQ1|A0A8J6EXQ1_ELECQ GORS2 protein OS=Eleutherodactylus coqui OX=57060 GN=GDO78_002612 PE=3 SV=1</t>
        </is>
      </c>
      <c r="M10096" t="n">
        <v>415</v>
      </c>
      <c r="N10096" t="inlineStr">
        <is>
          <t>Eleutherodactylus coqui</t>
        </is>
      </c>
      <c r="O10096" t="inlineStr">
        <is>
          <t>GORS2 protein</t>
        </is>
      </c>
    </row>
    <row r="10097">
      <c r="A10097" t="inlineStr"/>
      <c r="B10097" t="inlineStr"/>
      <c r="C10097" t="inlineStr"/>
      <c r="D10097" t="inlineStr"/>
      <c r="E10097">
        <f>HYPERLINK("https://www.ncbi.nlm.nih.gov/gene/?term=KAG9477309.1", "KAG9477309.1")</f>
        <v/>
      </c>
      <c r="F10097" t="n">
        <v>61.1</v>
      </c>
      <c r="G10097" t="n">
        <v>357</v>
      </c>
      <c r="H10097" t="n">
        <v>9.27e-133</v>
      </c>
      <c r="I10097" t="inlineStr">
        <is>
          <t>Nr</t>
        </is>
      </c>
      <c r="J10097" t="inlineStr"/>
      <c r="K10097" t="inlineStr"/>
      <c r="L10097" t="inlineStr">
        <is>
          <t>KAG9477309.1 hypothetical protein GDO78_002612 [Eleutherodactylus coqui]</t>
        </is>
      </c>
      <c r="M10097" t="n">
        <v>415</v>
      </c>
      <c r="N10097" t="inlineStr">
        <is>
          <t>Eleutherodactylus coqui</t>
        </is>
      </c>
      <c r="O10097" t="inlineStr">
        <is>
          <t>hypothetical protein GDO78_002612</t>
        </is>
      </c>
    </row>
    <row r="10098">
      <c r="A10098" t="inlineStr"/>
      <c r="B10098" t="inlineStr"/>
      <c r="C10098" t="inlineStr"/>
      <c r="D10098" t="inlineStr"/>
      <c r="E10098">
        <f>HYPERLINK("https://www.ncbi.nlm.nih.gov/gene/?term=XP_044160748.1", "XP_044160748.1")</f>
        <v/>
      </c>
      <c r="F10098" t="n">
        <v>61.6</v>
      </c>
      <c r="G10098" t="n">
        <v>357</v>
      </c>
      <c r="H10098" t="n">
        <v>1.58e-130</v>
      </c>
      <c r="I10098" t="inlineStr">
        <is>
          <t>Nr</t>
        </is>
      </c>
      <c r="J10098" t="inlineStr"/>
      <c r="K10098" t="inlineStr"/>
      <c r="L10098" t="inlineStr">
        <is>
          <t>XP_044160748.1 Golgi reassembly-stacking protein 2 isoform X2 [Bufo gargarizans]</t>
        </is>
      </c>
      <c r="M10098" t="n">
        <v>412</v>
      </c>
      <c r="N10098" t="inlineStr">
        <is>
          <t>Bufo gargarizans</t>
        </is>
      </c>
      <c r="O10098" t="inlineStr">
        <is>
          <t>Golgi reassembly-stacking protein 2 isoform X2</t>
        </is>
      </c>
    </row>
    <row r="10099">
      <c r="A10099" t="inlineStr"/>
      <c r="B10099" t="inlineStr"/>
      <c r="C10099" t="inlineStr"/>
      <c r="D10099" t="inlineStr"/>
      <c r="E10099">
        <f>HYPERLINK("https://www.uniprot.org/uniprotkb/A0A8C6RXW9/entry", "A0A8C6RXW9")</f>
        <v/>
      </c>
      <c r="F10099" t="n">
        <v>86</v>
      </c>
      <c r="G10099" t="n">
        <v>214</v>
      </c>
      <c r="H10099" t="n">
        <v>9.330000000000001e-129</v>
      </c>
      <c r="I10099" t="inlineStr">
        <is>
          <t>TrEMBL</t>
        </is>
      </c>
      <c r="J10099" t="inlineStr">
        <is>
          <t>Gorasp2</t>
        </is>
      </c>
      <c r="K10099" t="inlineStr">
        <is>
          <t>A0A8C6RXW9_NANGA</t>
        </is>
      </c>
      <c r="L10099" t="inlineStr">
        <is>
          <t>tr|A0A8C6RXW9|A0A8C6RXW9_NANGA Golgi reassembly stacking protein 2 OS=Nannospalax galili OX=1026970 GN=Gorasp2 PE=3 SV=1</t>
        </is>
      </c>
      <c r="M10099" t="n">
        <v>303</v>
      </c>
      <c r="N10099" t="inlineStr">
        <is>
          <t>Nannospalax galili</t>
        </is>
      </c>
      <c r="O10099" t="inlineStr">
        <is>
          <t>Golgi reassembly stacking protein 2</t>
        </is>
      </c>
    </row>
    <row r="10100">
      <c r="A10100" t="inlineStr"/>
      <c r="B10100" t="inlineStr"/>
      <c r="C10100" t="inlineStr"/>
      <c r="D10100" t="inlineStr"/>
      <c r="E10100">
        <f>HYPERLINK("https://www.uniprot.org/uniprotkb/A0A1U7SN18/entry", "A0A1U7SN18")</f>
        <v/>
      </c>
      <c r="F10100" t="n">
        <v>86</v>
      </c>
      <c r="G10100" t="n">
        <v>214</v>
      </c>
      <c r="H10100" t="n">
        <v>9.540000000000001e-129</v>
      </c>
      <c r="I10100" t="inlineStr">
        <is>
          <t>TrEMBL</t>
        </is>
      </c>
      <c r="J10100" t="inlineStr">
        <is>
          <t>GORASP2</t>
        </is>
      </c>
      <c r="K10100" t="inlineStr">
        <is>
          <t>A0A1U7SN18_ALLSI</t>
        </is>
      </c>
      <c r="L10100" t="inlineStr">
        <is>
          <t>tr|A0A1U7SN18|A0A1U7SN18_ALLSI Golgi reassembly-stacking protein 2 isoform X1 OS=Alligator sinensis OX=38654 GN=GORASP2 PE=3 SV=1</t>
        </is>
      </c>
      <c r="M10100" t="n">
        <v>375</v>
      </c>
      <c r="N10100" t="inlineStr">
        <is>
          <t>Alligator sinensis</t>
        </is>
      </c>
      <c r="O10100" t="inlineStr">
        <is>
          <t>Golgi reassembly-stacking protein 2 isoform X1</t>
        </is>
      </c>
    </row>
    <row r="10101">
      <c r="A10101" t="inlineStr"/>
      <c r="B10101" t="inlineStr"/>
      <c r="C10101" t="inlineStr"/>
      <c r="D10101" t="inlineStr"/>
      <c r="E10101">
        <f>HYPERLINK("https://www.uniprot.org/uniprotkb/A0A8C4KSI4/entry", "A0A8C4KSI4")</f>
        <v/>
      </c>
      <c r="F10101" t="n">
        <v>87.40000000000001</v>
      </c>
      <c r="G10101" t="n">
        <v>214</v>
      </c>
      <c r="H10101" t="n">
        <v>2.12e-128</v>
      </c>
      <c r="I10101" t="inlineStr">
        <is>
          <t>TrEMBL</t>
        </is>
      </c>
      <c r="J10101" t="inlineStr">
        <is>
          <t>GORASP2</t>
        </is>
      </c>
      <c r="K10101" t="inlineStr">
        <is>
          <t>A0A8C4KSI4_DRONO</t>
        </is>
      </c>
      <c r="L10101" t="inlineStr">
        <is>
          <t>tr|A0A8C4KSI4|A0A8C4KSI4_DRONO Golgi reassembly stacking protein 2 OS=Dromaius novaehollandiae OX=8790 GN=GORASP2 PE=3 SV=1</t>
        </is>
      </c>
      <c r="M10101" t="n">
        <v>378</v>
      </c>
      <c r="N10101" t="inlineStr">
        <is>
          <t>Dromaius novaehollandiae</t>
        </is>
      </c>
      <c r="O10101" t="inlineStr">
        <is>
          <t>Golgi reassembly stacking protein 2</t>
        </is>
      </c>
    </row>
    <row r="10102">
      <c r="A10102" t="inlineStr"/>
      <c r="B10102" t="inlineStr"/>
      <c r="C10102" t="inlineStr"/>
      <c r="D10102" t="inlineStr"/>
      <c r="E10102">
        <f>HYPERLINK("https://www.ncbi.nlm.nih.gov/gene/?term=XP_006038775.1", "XP_006038775.1")</f>
        <v/>
      </c>
      <c r="F10102" t="n">
        <v>86</v>
      </c>
      <c r="G10102" t="n">
        <v>214</v>
      </c>
      <c r="H10102" t="n">
        <v>2.45e-128</v>
      </c>
      <c r="I10102" t="inlineStr">
        <is>
          <t>Nr</t>
        </is>
      </c>
      <c r="J10102" t="inlineStr"/>
      <c r="K10102" t="inlineStr"/>
      <c r="L10102" t="inlineStr">
        <is>
          <t>XP_006038775.1 Golgi reassembly-stacking protein 2 isoform X1 [Alligator sinensis]</t>
        </is>
      </c>
      <c r="M10102" t="n">
        <v>375</v>
      </c>
      <c r="N10102" t="inlineStr">
        <is>
          <t>Alligator sinensis</t>
        </is>
      </c>
      <c r="O10102" t="inlineStr">
        <is>
          <t>Golgi reassembly-stacking protein 2 isoform X1</t>
        </is>
      </c>
    </row>
    <row r="10103">
      <c r="A10103" t="inlineStr"/>
      <c r="B10103" t="inlineStr"/>
      <c r="C10103" t="inlineStr"/>
      <c r="D10103" t="inlineStr"/>
      <c r="E10103">
        <f>HYPERLINK("https://www.uniprot.org/uniprotkb/A0A8T2IKS9/entry", "A0A8T2IKS9")</f>
        <v/>
      </c>
      <c r="F10103" t="n">
        <v>58.6</v>
      </c>
      <c r="G10103" t="n">
        <v>360</v>
      </c>
      <c r="H10103" t="n">
        <v>2.68e-128</v>
      </c>
      <c r="I10103" t="inlineStr">
        <is>
          <t>TrEMBL</t>
        </is>
      </c>
      <c r="J10103" t="inlineStr">
        <is>
          <t>GDO86_016901</t>
        </is>
      </c>
      <c r="K10103" t="inlineStr">
        <is>
          <t>A0A8T2IKS9_9PIPI</t>
        </is>
      </c>
      <c r="L10103" t="inlineStr">
        <is>
          <t>tr|A0A8T2IKS9|A0A8T2IKS9_9PIPI Golgi reassembly stacking protein 2 OS=Hymenochirus boettgeri OX=247094 GN=GDO86_016901 PE=3 SV=1</t>
        </is>
      </c>
      <c r="M10103" t="n">
        <v>427</v>
      </c>
      <c r="N10103" t="inlineStr">
        <is>
          <t>Hymenochirus boettgeri</t>
        </is>
      </c>
      <c r="O10103" t="inlineStr">
        <is>
          <t>Golgi reassembly stacking protein 2</t>
        </is>
      </c>
    </row>
    <row r="10104">
      <c r="A10104" t="inlineStr"/>
      <c r="B10104" t="inlineStr"/>
      <c r="C10104" t="inlineStr"/>
      <c r="D10104" t="inlineStr"/>
      <c r="E10104">
        <f>HYPERLINK("https://www.uniprot.org/uniprotkb/A0A151M032/entry", "A0A151M032")</f>
        <v/>
      </c>
      <c r="F10104" t="n">
        <v>86</v>
      </c>
      <c r="G10104" t="n">
        <v>214</v>
      </c>
      <c r="H10104" t="n">
        <v>2.69e-128</v>
      </c>
      <c r="I10104" t="inlineStr">
        <is>
          <t>TrEMBL</t>
        </is>
      </c>
      <c r="J10104" t="inlineStr">
        <is>
          <t>GORASP2</t>
        </is>
      </c>
      <c r="K10104" t="inlineStr">
        <is>
          <t>A0A151M032_ALLMI</t>
        </is>
      </c>
      <c r="L10104" t="inlineStr">
        <is>
          <t>tr|A0A151M032|A0A151M032_ALLMI Golgi reassembly-stacking protein 2 OS=Alligator mississippiensis OX=8496 GN=GORASP2 PE=3 SV=1</t>
        </is>
      </c>
      <c r="M10104" t="n">
        <v>406</v>
      </c>
      <c r="N10104" t="inlineStr">
        <is>
          <t>Alligator mississippiensis</t>
        </is>
      </c>
      <c r="O10104" t="inlineStr">
        <is>
          <t>Golgi reassembly-stacking protein 2</t>
        </is>
      </c>
    </row>
    <row r="10105">
      <c r="A10105" t="inlineStr"/>
      <c r="B10105" t="inlineStr"/>
      <c r="C10105" t="inlineStr"/>
      <c r="D10105" t="inlineStr"/>
      <c r="E10105">
        <f>HYPERLINK("https://www.uniprot.org/uniprotkb/Q9H8Y8/entry", "Q9H8Y8")</f>
        <v/>
      </c>
      <c r="F10105" t="n">
        <v>85</v>
      </c>
      <c r="G10105" t="n">
        <v>214</v>
      </c>
      <c r="H10105" t="n">
        <v>2.87e-128</v>
      </c>
      <c r="I10105" t="inlineStr">
        <is>
          <t>Swiss-Prot</t>
        </is>
      </c>
      <c r="J10105" t="inlineStr">
        <is>
          <t>GORASP2</t>
        </is>
      </c>
      <c r="K10105" t="inlineStr">
        <is>
          <t>GORS2_HUMAN</t>
        </is>
      </c>
      <c r="L10105" t="inlineStr">
        <is>
          <t>sp|Q9H8Y8|GORS2_HUMAN Golgi reassembly-stacking protein 2 OS=Homo sapiens OX=9606 GN=GORASP2 PE=1 SV=3</t>
        </is>
      </c>
      <c r="M10105" t="n">
        <v>452</v>
      </c>
      <c r="N10105" t="inlineStr">
        <is>
          <t>Homo sapiens</t>
        </is>
      </c>
      <c r="O10105" t="inlineStr">
        <is>
          <t>Golgi reassembly-stacking protein 2</t>
        </is>
      </c>
    </row>
    <row r="10106">
      <c r="A10106" t="inlineStr"/>
      <c r="B10106" t="inlineStr"/>
      <c r="C10106" t="inlineStr"/>
      <c r="D10106" t="inlineStr"/>
      <c r="E10106">
        <f>HYPERLINK("https://www.uniprot.org/uniprotkb/A0A7L3ZX68/entry", "A0A7L3ZX68")</f>
        <v/>
      </c>
      <c r="F10106" t="n">
        <v>87.40000000000001</v>
      </c>
      <c r="G10106" t="n">
        <v>214</v>
      </c>
      <c r="H10106" t="n">
        <v>3.51e-128</v>
      </c>
      <c r="I10106" t="inlineStr">
        <is>
          <t>TrEMBL</t>
        </is>
      </c>
      <c r="J10106" t="inlineStr">
        <is>
          <t>Gorasp2</t>
        </is>
      </c>
      <c r="K10106" t="inlineStr">
        <is>
          <t>A0A7L3ZX68_9AVES</t>
        </is>
      </c>
      <c r="L10106" t="inlineStr">
        <is>
          <t>tr|A0A7L3ZX68|A0A7L3ZX68_9AVES GORS2 protein (Fragment) OS=Circaetus pectoralis OX=321084 GN=Gorasp2 PE=3 SV=1</t>
        </is>
      </c>
      <c r="M10106" t="n">
        <v>393</v>
      </c>
      <c r="N10106" t="inlineStr">
        <is>
          <t>Circaetus pectoralis</t>
        </is>
      </c>
      <c r="O10106" t="inlineStr">
        <is>
          <t>GORS2 protein (Fragment)</t>
        </is>
      </c>
    </row>
    <row r="10107">
      <c r="A10107" t="inlineStr"/>
      <c r="B10107" t="inlineStr"/>
      <c r="C10107" t="inlineStr"/>
      <c r="D10107" t="inlineStr"/>
      <c r="E10107">
        <f>HYPERLINK("https://www.ncbi.nlm.nih.gov/gene/?term=XP_042716680.1", "XP_042716680.1")</f>
        <v/>
      </c>
      <c r="F10107" t="n">
        <v>86.40000000000001</v>
      </c>
      <c r="G10107" t="n">
        <v>214</v>
      </c>
      <c r="H10107" t="n">
        <v>3.64e-128</v>
      </c>
      <c r="I10107" t="inlineStr">
        <is>
          <t>Nr</t>
        </is>
      </c>
      <c r="J10107" t="inlineStr"/>
      <c r="K10107" t="inlineStr"/>
      <c r="L10107" t="inlineStr">
        <is>
          <t>XP_042716680.1 Golgi reassembly-stacking protein 2 [Chrysemys picta bellii]</t>
        </is>
      </c>
      <c r="M10107" t="n">
        <v>305</v>
      </c>
      <c r="N10107" t="inlineStr">
        <is>
          <t>Chrysemys picta bellii</t>
        </is>
      </c>
      <c r="O10107" t="inlineStr">
        <is>
          <t>Golgi reassembly-stacking protein 2</t>
        </is>
      </c>
    </row>
    <row r="10108">
      <c r="A10108" t="inlineStr"/>
      <c r="B10108" t="inlineStr"/>
      <c r="C10108" t="inlineStr"/>
      <c r="D10108" t="inlineStr"/>
      <c r="E10108">
        <f>HYPERLINK("https://www.ncbi.nlm.nih.gov/gene/?term=XP_038277514.1", "XP_038277514.1")</f>
        <v/>
      </c>
      <c r="F10108" t="n">
        <v>86.90000000000001</v>
      </c>
      <c r="G10108" t="n">
        <v>214</v>
      </c>
      <c r="H10108" t="n">
        <v>4.02e-128</v>
      </c>
      <c r="I10108" t="inlineStr">
        <is>
          <t>Nr</t>
        </is>
      </c>
      <c r="J10108" t="inlineStr"/>
      <c r="K10108" t="inlineStr"/>
      <c r="L10108" t="inlineStr">
        <is>
          <t>XP_038277514.1 Golgi reassembly-stacking protein 2 isoform X2 [Dermochelys coriacea]</t>
        </is>
      </c>
      <c r="M10108" t="n">
        <v>369</v>
      </c>
      <c r="N10108" t="inlineStr">
        <is>
          <t>Dermochelys coriacea</t>
        </is>
      </c>
      <c r="O10108" t="inlineStr">
        <is>
          <t>Golgi reassembly-stacking protein 2 isoform X2</t>
        </is>
      </c>
    </row>
    <row r="10109">
      <c r="A10109" t="inlineStr"/>
      <c r="B10109" t="inlineStr"/>
      <c r="C10109" t="inlineStr"/>
      <c r="D10109" t="inlineStr"/>
      <c r="E10109">
        <f>HYPERLINK("https://www.uniprot.org/uniprotkb/A0A8B9NZ16/entry", "A0A8B9NZ16")</f>
        <v/>
      </c>
      <c r="F10109" t="n">
        <v>87.40000000000001</v>
      </c>
      <c r="G10109" t="n">
        <v>214</v>
      </c>
      <c r="H10109" t="n">
        <v>4.27e-128</v>
      </c>
      <c r="I10109" t="inlineStr">
        <is>
          <t>TrEMBL</t>
        </is>
      </c>
      <c r="J10109" t="inlineStr"/>
      <c r="K10109" t="inlineStr">
        <is>
          <t>A0A8B9NZ16_APTOW</t>
        </is>
      </c>
      <c r="L10109" t="inlineStr">
        <is>
          <t>tr|A0A8B9NZ16|A0A8B9NZ16_APTOW Golgi reassembly stacking protein 2 OS=Apteryx owenii OX=8824 PE=3 SV=1</t>
        </is>
      </c>
      <c r="M10109" t="n">
        <v>378</v>
      </c>
      <c r="N10109" t="inlineStr">
        <is>
          <t>Apteryx owenii</t>
        </is>
      </c>
      <c r="O10109" t="inlineStr">
        <is>
          <t>Golgi reassembly stacking protein 2</t>
        </is>
      </c>
    </row>
    <row r="10110">
      <c r="A10110" t="inlineStr"/>
      <c r="B10110" t="inlineStr"/>
      <c r="C10110" t="inlineStr"/>
      <c r="D10110" t="inlineStr"/>
      <c r="E10110">
        <f>HYPERLINK("https://www.uniprot.org/uniprotkb/A0A8B7JYS8/entry", "A0A8B7JYS8")</f>
        <v/>
      </c>
      <c r="F10110" t="n">
        <v>87.40000000000001</v>
      </c>
      <c r="G10110" t="n">
        <v>214</v>
      </c>
      <c r="H10110" t="n">
        <v>4.27e-128</v>
      </c>
      <c r="I10110" t="inlineStr">
        <is>
          <t>TrEMBL</t>
        </is>
      </c>
      <c r="J10110" t="inlineStr">
        <is>
          <t>GORASP2</t>
        </is>
      </c>
      <c r="K10110" t="inlineStr">
        <is>
          <t>A0A8B7JYS8_9AVES</t>
        </is>
      </c>
      <c r="L10110" t="inlineStr">
        <is>
          <t>tr|A0A8B7JYS8|A0A8B7JYS8_9AVES Golgi reassembly-stacking protein 2 OS=Apteryx mantelli mantelli OX=202946 GN=GORASP2 PE=3 SV=1</t>
        </is>
      </c>
      <c r="M10110" t="n">
        <v>378</v>
      </c>
      <c r="N10110" t="inlineStr">
        <is>
          <t>Apteryx mantelli mantelli</t>
        </is>
      </c>
      <c r="O10110" t="inlineStr">
        <is>
          <t>Golgi reassembly-stacking protein 2</t>
        </is>
      </c>
    </row>
    <row r="10111">
      <c r="A10111" t="inlineStr"/>
      <c r="B10111" t="inlineStr"/>
      <c r="C10111" t="inlineStr"/>
      <c r="D10111" t="inlineStr"/>
      <c r="E10111">
        <f>HYPERLINK("https://www.ncbi.nlm.nih.gov/gene/?term=XP_025949164.1", "XP_025949164.1")</f>
        <v/>
      </c>
      <c r="F10111" t="n">
        <v>87.40000000000001</v>
      </c>
      <c r="G10111" t="n">
        <v>214</v>
      </c>
      <c r="H10111" t="n">
        <v>5.45e-128</v>
      </c>
      <c r="I10111" t="inlineStr">
        <is>
          <t>Nr</t>
        </is>
      </c>
      <c r="J10111" t="inlineStr"/>
      <c r="K10111" t="inlineStr"/>
      <c r="L10111" t="inlineStr">
        <is>
          <t>XP_025949164.1 Golgi reassembly-stacking protein 2 [Dromaius novaehollandiae]</t>
        </is>
      </c>
      <c r="M10111" t="n">
        <v>378</v>
      </c>
      <c r="N10111" t="inlineStr">
        <is>
          <t>Dromaius novaehollandiae</t>
        </is>
      </c>
      <c r="O10111" t="inlineStr">
        <is>
          <t>Golgi reassembly-stacking protein 2</t>
        </is>
      </c>
    </row>
    <row r="10112">
      <c r="A10112" t="inlineStr"/>
      <c r="B10112" t="inlineStr"/>
      <c r="C10112" t="inlineStr"/>
      <c r="D10112" t="inlineStr"/>
      <c r="E10112">
        <f>HYPERLINK("https://www.ncbi.nlm.nih.gov/gene/?term=XP_029461610.1", "XP_029461610.1")</f>
        <v/>
      </c>
      <c r="F10112" t="n">
        <v>86</v>
      </c>
      <c r="G10112" t="n">
        <v>214</v>
      </c>
      <c r="H10112" t="n">
        <v>6.239999999999999e-128</v>
      </c>
      <c r="I10112" t="inlineStr">
        <is>
          <t>Nr</t>
        </is>
      </c>
      <c r="J10112" t="inlineStr"/>
      <c r="K10112" t="inlineStr"/>
      <c r="L10112" t="inlineStr">
        <is>
          <t>XP_029461610.1 Golgi reassembly-stacking protein 2 isoform X4 [Rhinatrema bivittatum]</t>
        </is>
      </c>
      <c r="M10112" t="n">
        <v>382</v>
      </c>
      <c r="N10112" t="inlineStr">
        <is>
          <t>Rhinatrema bivittatum</t>
        </is>
      </c>
      <c r="O10112" t="inlineStr">
        <is>
          <t>Golgi reassembly-stacking protein 2 isoform X4</t>
        </is>
      </c>
    </row>
    <row r="10113">
      <c r="A10113" t="inlineStr"/>
      <c r="B10113" t="inlineStr"/>
      <c r="C10113" t="inlineStr"/>
      <c r="D10113" t="inlineStr"/>
      <c r="E10113">
        <f>HYPERLINK("https://www.ncbi.nlm.nih.gov/gene/?term=KAG8432423.1", "KAG8432423.1")</f>
        <v/>
      </c>
      <c r="F10113" t="n">
        <v>58.6</v>
      </c>
      <c r="G10113" t="n">
        <v>360</v>
      </c>
      <c r="H10113" t="n">
        <v>6.889999999999999e-128</v>
      </c>
      <c r="I10113" t="inlineStr">
        <is>
          <t>Nr</t>
        </is>
      </c>
      <c r="J10113" t="inlineStr"/>
      <c r="K10113" t="inlineStr"/>
      <c r="L10113" t="inlineStr">
        <is>
          <t>KAG8432423.1 hypothetical protein GDO86_016901 [Hymenochirus boettgeri]</t>
        </is>
      </c>
      <c r="M10113" t="n">
        <v>427</v>
      </c>
      <c r="N10113" t="inlineStr">
        <is>
          <t>Hymenochirus boettgeri</t>
        </is>
      </c>
      <c r="O10113" t="inlineStr">
        <is>
          <t>hypothetical protein GDO86_016901</t>
        </is>
      </c>
    </row>
    <row r="10114">
      <c r="A10114" t="inlineStr"/>
      <c r="B10114" t="inlineStr"/>
      <c r="C10114" t="inlineStr"/>
      <c r="D10114" t="inlineStr"/>
      <c r="E10114">
        <f>HYPERLINK("https://www.ncbi.nlm.nih.gov/gene/?term=KYO17863.1", "KYO17863.1")</f>
        <v/>
      </c>
      <c r="F10114" t="n">
        <v>86</v>
      </c>
      <c r="G10114" t="n">
        <v>214</v>
      </c>
      <c r="H10114" t="n">
        <v>6.92e-128</v>
      </c>
      <c r="I10114" t="inlineStr">
        <is>
          <t>Nr</t>
        </is>
      </c>
      <c r="J10114" t="inlineStr"/>
      <c r="K10114" t="inlineStr"/>
      <c r="L10114" t="inlineStr">
        <is>
          <t>KYO17863.1 Golgi reassembly-stacking protein 2 [Alligator mississippiensis]</t>
        </is>
      </c>
      <c r="M10114" t="n">
        <v>406</v>
      </c>
      <c r="N10114" t="inlineStr">
        <is>
          <t>Alligator mississippiensis</t>
        </is>
      </c>
      <c r="O10114" t="inlineStr">
        <is>
          <t>Golgi reassembly-stacking protein 2</t>
        </is>
      </c>
    </row>
    <row r="10115">
      <c r="A10115" t="inlineStr"/>
      <c r="B10115" t="inlineStr"/>
      <c r="C10115" t="inlineStr"/>
      <c r="D10115" t="inlineStr"/>
      <c r="E10115">
        <f>HYPERLINK("https://www.uniprot.org/uniprotkb/A0A852JJY2/entry", "A0A852JJY2")</f>
        <v/>
      </c>
      <c r="F10115" t="n">
        <v>86.90000000000001</v>
      </c>
      <c r="G10115" t="n">
        <v>214</v>
      </c>
      <c r="H10115" t="n">
        <v>7.619999999999999e-128</v>
      </c>
      <c r="I10115" t="inlineStr">
        <is>
          <t>TrEMBL</t>
        </is>
      </c>
      <c r="J10115" t="inlineStr">
        <is>
          <t>Gorasp2</t>
        </is>
      </c>
      <c r="K10115" t="inlineStr">
        <is>
          <t>A0A852JJY2_SPIPA</t>
        </is>
      </c>
      <c r="L10115" t="inlineStr">
        <is>
          <t>tr|A0A852JJY2|A0A852JJY2_SPIPA GORS2 protein (Fragment) OS=Spizella passerina OX=40210 GN=Gorasp2 PE=3 SV=1</t>
        </is>
      </c>
      <c r="M10115" t="n">
        <v>283</v>
      </c>
      <c r="N10115" t="inlineStr">
        <is>
          <t>Spizella passerina</t>
        </is>
      </c>
      <c r="O10115" t="inlineStr">
        <is>
          <t>GORS2 protein (Fragment)</t>
        </is>
      </c>
    </row>
    <row r="10116">
      <c r="A10116" t="inlineStr"/>
      <c r="B10116" t="inlineStr"/>
      <c r="C10116" t="inlineStr"/>
      <c r="D10116" t="inlineStr"/>
      <c r="E10116">
        <f>HYPERLINK("https://www.ncbi.nlm.nih.gov/gene/?term=XP_032626930.1", "XP_032626930.1")</f>
        <v/>
      </c>
      <c r="F10116" t="n">
        <v>86.90000000000001</v>
      </c>
      <c r="G10116" t="n">
        <v>214</v>
      </c>
      <c r="H10116" t="n">
        <v>8.089999999999999e-128</v>
      </c>
      <c r="I10116" t="inlineStr">
        <is>
          <t>Nr</t>
        </is>
      </c>
      <c r="J10116" t="inlineStr"/>
      <c r="K10116" t="inlineStr"/>
      <c r="L10116" t="inlineStr">
        <is>
          <t>XP_032626930.1 Golgi reassembly-stacking protein 2 isoform X2 [Chelonoidis abingdonii]</t>
        </is>
      </c>
      <c r="M10116" t="n">
        <v>369</v>
      </c>
      <c r="N10116" t="inlineStr">
        <is>
          <t>Chelonoidis abingdonii</t>
        </is>
      </c>
      <c r="O10116" t="inlineStr">
        <is>
          <t>Golgi reassembly-stacking protein 2 isoform X2</t>
        </is>
      </c>
    </row>
    <row r="10117">
      <c r="A10117" t="inlineStr"/>
      <c r="B10117" t="inlineStr"/>
      <c r="C10117" t="inlineStr"/>
      <c r="D10117" t="inlineStr"/>
      <c r="E10117">
        <f>HYPERLINK("https://www.uniprot.org/uniprotkb/Q99JX3/entry", "Q99JX3")</f>
        <v/>
      </c>
      <c r="F10117" t="n">
        <v>83.59999999999999</v>
      </c>
      <c r="G10117" t="n">
        <v>214</v>
      </c>
      <c r="H10117" t="n">
        <v>2.58e-126</v>
      </c>
      <c r="I10117" t="inlineStr">
        <is>
          <t>Swiss-Prot</t>
        </is>
      </c>
      <c r="J10117" t="inlineStr">
        <is>
          <t>Gorasp2</t>
        </is>
      </c>
      <c r="K10117" t="inlineStr">
        <is>
          <t>GORS2_MOUSE</t>
        </is>
      </c>
      <c r="L10117" t="inlineStr">
        <is>
          <t>sp|Q99JX3|GORS2_MOUSE Golgi reassembly-stacking protein 2 OS=Mus musculus OX=10090 GN=Gorasp2 PE=1 SV=3</t>
        </is>
      </c>
      <c r="M10117" t="n">
        <v>451</v>
      </c>
      <c r="N10117" t="inlineStr">
        <is>
          <t>Mus musculus</t>
        </is>
      </c>
      <c r="O10117" t="inlineStr">
        <is>
          <t>Golgi reassembly-stacking protein 2</t>
        </is>
      </c>
    </row>
    <row r="10118">
      <c r="A10118" t="inlineStr"/>
      <c r="B10118" t="inlineStr"/>
      <c r="C10118" t="inlineStr"/>
      <c r="D10118" t="inlineStr"/>
      <c r="E10118">
        <f>HYPERLINK("https://www.uniprot.org/uniprotkb/Q9R064/entry", "Q9R064")</f>
        <v/>
      </c>
      <c r="F10118" t="n">
        <v>82.7</v>
      </c>
      <c r="G10118" t="n">
        <v>214</v>
      </c>
      <c r="H10118" t="n">
        <v>4.62e-125</v>
      </c>
      <c r="I10118" t="inlineStr">
        <is>
          <t>Swiss-Prot</t>
        </is>
      </c>
      <c r="J10118" t="inlineStr">
        <is>
          <t>Gorasp2</t>
        </is>
      </c>
      <c r="K10118" t="inlineStr">
        <is>
          <t>GORS2_RAT</t>
        </is>
      </c>
      <c r="L10118" t="inlineStr">
        <is>
          <t>sp|Q9R064|GORS2_RAT Golgi reassembly-stacking protein 2 OS=Rattus norvegicus OX=10116 GN=Gorasp2 PE=1 SV=3</t>
        </is>
      </c>
      <c r="M10118" t="n">
        <v>454</v>
      </c>
      <c r="N10118" t="inlineStr">
        <is>
          <t>Rattus norvegicus</t>
        </is>
      </c>
      <c r="O10118" t="inlineStr">
        <is>
          <t>Golgi reassembly-stacking protein 2</t>
        </is>
      </c>
    </row>
    <row r="10119">
      <c r="A10119" t="inlineStr"/>
      <c r="B10119" t="inlineStr"/>
      <c r="C10119" t="inlineStr"/>
      <c r="D10119" t="inlineStr"/>
      <c r="E10119">
        <f>HYPERLINK("https://www.uniprot.org/uniprotkb/O35254/entry", "O35254")</f>
        <v/>
      </c>
      <c r="F10119" t="n">
        <v>67.3</v>
      </c>
      <c r="G10119" t="n">
        <v>150</v>
      </c>
      <c r="H10119" t="n">
        <v>3.93e-68</v>
      </c>
      <c r="I10119" t="inlineStr">
        <is>
          <t>Swiss-Prot</t>
        </is>
      </c>
      <c r="J10119" t="inlineStr">
        <is>
          <t>Gorasp1</t>
        </is>
      </c>
      <c r="K10119" t="inlineStr">
        <is>
          <t>GORS1_RAT</t>
        </is>
      </c>
      <c r="L10119" t="inlineStr">
        <is>
          <t>sp|O35254|GORS1_RAT Golgi reassembly-stacking protein 1 OS=Rattus norvegicus OX=10116 GN=Gorasp1 PE=1 SV=4</t>
        </is>
      </c>
      <c r="M10119" t="n">
        <v>451</v>
      </c>
      <c r="N10119" t="inlineStr">
        <is>
          <t>Rattus norvegicus</t>
        </is>
      </c>
      <c r="O10119" t="inlineStr">
        <is>
          <t>Golgi reassembly-stacking protein 1</t>
        </is>
      </c>
    </row>
    <row r="10120">
      <c r="A10120" t="inlineStr"/>
      <c r="B10120" t="inlineStr"/>
      <c r="C10120" t="inlineStr"/>
      <c r="D10120" t="inlineStr"/>
      <c r="E10120">
        <f>HYPERLINK("https://www.uniprot.org/uniprotkb/Q91X51/entry", "Q91X51")</f>
        <v/>
      </c>
      <c r="F10120" t="n">
        <v>59</v>
      </c>
      <c r="G10120" t="n">
        <v>178</v>
      </c>
      <c r="H10120" t="n">
        <v>9.67e-68</v>
      </c>
      <c r="I10120" t="inlineStr">
        <is>
          <t>Swiss-Prot</t>
        </is>
      </c>
      <c r="J10120" t="inlineStr">
        <is>
          <t>Gorasp1</t>
        </is>
      </c>
      <c r="K10120" t="inlineStr">
        <is>
          <t>GORS1_MOUSE</t>
        </is>
      </c>
      <c r="L10120" t="inlineStr">
        <is>
          <t>sp|Q91X51|GORS1_MOUSE Golgi reassembly-stacking protein 1 OS=Mus musculus OX=10090 GN=Gorasp1 PE=1 SV=3</t>
        </is>
      </c>
      <c r="M10120" t="n">
        <v>446</v>
      </c>
      <c r="N10120" t="inlineStr">
        <is>
          <t>Mus musculus</t>
        </is>
      </c>
      <c r="O10120" t="inlineStr">
        <is>
          <t>Golgi reassembly-stacking protein 1</t>
        </is>
      </c>
    </row>
    <row r="10121">
      <c r="A10121" t="inlineStr"/>
      <c r="B10121" t="inlineStr"/>
      <c r="C10121" t="inlineStr"/>
      <c r="D10121" t="inlineStr"/>
      <c r="E10121">
        <f>HYPERLINK("https://www.uniprot.org/uniprotkb/Q9BQQ3/entry", "Q9BQQ3")</f>
        <v/>
      </c>
      <c r="F10121" t="n">
        <v>68.3</v>
      </c>
      <c r="G10121" t="n">
        <v>142</v>
      </c>
      <c r="H10121" t="n">
        <v>1.29e-66</v>
      </c>
      <c r="I10121" t="inlineStr">
        <is>
          <t>Swiss-Prot</t>
        </is>
      </c>
      <c r="J10121" t="inlineStr">
        <is>
          <t>GORASP1</t>
        </is>
      </c>
      <c r="K10121" t="inlineStr">
        <is>
          <t>GORS1_HUMAN</t>
        </is>
      </c>
      <c r="L10121" t="inlineStr">
        <is>
          <t>sp|Q9BQQ3|GORS1_HUMAN Golgi reassembly-stacking protein 1 OS=Homo sapiens OX=9606 GN=GORASP1 PE=1 SV=3</t>
        </is>
      </c>
      <c r="M10121" t="n">
        <v>440</v>
      </c>
      <c r="N10121" t="inlineStr">
        <is>
          <t>Homo sapiens</t>
        </is>
      </c>
      <c r="O10121" t="inlineStr">
        <is>
          <t>Golgi reassembly-stacking protein 1</t>
        </is>
      </c>
    </row>
    <row r="10122">
      <c r="A10122" t="inlineStr"/>
      <c r="B10122" t="inlineStr"/>
      <c r="C10122" t="inlineStr"/>
      <c r="D10122" t="inlineStr"/>
      <c r="E10122">
        <f>HYPERLINK("https://www.uniprot.org/uniprotkb/Q10149/entry", "Q10149")</f>
        <v/>
      </c>
      <c r="F10122" t="n">
        <v>41.8</v>
      </c>
      <c r="G10122" t="n">
        <v>110</v>
      </c>
      <c r="H10122" t="n">
        <v>8.689999999999999e-24</v>
      </c>
      <c r="I10122" t="inlineStr">
        <is>
          <t>Swiss-Prot</t>
        </is>
      </c>
      <c r="J10122" t="inlineStr">
        <is>
          <t>SPAC1D4.02c</t>
        </is>
      </c>
      <c r="K10122" t="inlineStr">
        <is>
          <t>YAT2_SCHPO</t>
        </is>
      </c>
      <c r="L10122" t="inlineStr">
        <is>
          <t>sp|Q10149|YAT2_SCHPO Uncharacterized protein C1D4.02c OS=Schizosaccharomyces pombe (strain 972 / ATCC 24843) OX=284812 GN=SPAC1D4.02c PE=3 SV=2</t>
        </is>
      </c>
      <c r="M10122" t="n">
        <v>345</v>
      </c>
      <c r="N10122" t="inlineStr">
        <is>
          <t>Schizosaccharomyces pombe (strain 972 / ATCC 24843)</t>
        </is>
      </c>
      <c r="O10122" t="inlineStr">
        <is>
          <t>Uncharacterized protein C1D4.02c</t>
        </is>
      </c>
    </row>
    <row r="10123">
      <c r="A10123" t="inlineStr"/>
      <c r="B10123" t="inlineStr"/>
      <c r="C10123" t="inlineStr"/>
      <c r="D10123" t="inlineStr"/>
      <c r="E10123">
        <f>HYPERLINK("https://www.uniprot.org/uniprotkb/Q04410/entry", "Q04410")</f>
        <v/>
      </c>
      <c r="F10123" t="n">
        <v>37.6</v>
      </c>
      <c r="G10123" t="n">
        <v>101</v>
      </c>
      <c r="H10123" t="n">
        <v>4.81e-09</v>
      </c>
      <c r="I10123" t="inlineStr">
        <is>
          <t>Swiss-Prot</t>
        </is>
      </c>
      <c r="J10123" t="inlineStr">
        <is>
          <t>GRH1</t>
        </is>
      </c>
      <c r="K10123" t="inlineStr">
        <is>
          <t>GRH1_YEAST</t>
        </is>
      </c>
      <c r="L10123" t="inlineStr">
        <is>
          <t>sp|Q04410|GRH1_YEAST GRASP65 homolog protein 1 OS=Saccharomyces cerevisiae (strain ATCC 204508 / S288c) OX=559292 GN=GRH1 PE=1 SV=1</t>
        </is>
      </c>
      <c r="M10123" t="n">
        <v>372</v>
      </c>
      <c r="N10123" t="inlineStr">
        <is>
          <t>Saccharomyces cerevisiae (strain ATCC 204508 / S288c)</t>
        </is>
      </c>
      <c r="O10123" t="inlineStr">
        <is>
          <t>GRASP65 homolog protein 1</t>
        </is>
      </c>
    </row>
    <row r="10124">
      <c r="A10124" t="inlineStr">
        <is>
          <t>NODE_9418_length_6380_cov_30.440995_g3446_i0</t>
        </is>
      </c>
      <c r="B10124" t="inlineStr">
        <is>
          <t>bombina_pachypus_blastx</t>
        </is>
      </c>
      <c r="C10124" t="n">
        <v>-6.89391458562546</v>
      </c>
      <c r="D10124" t="n">
        <v>0.003960360267992</v>
      </c>
      <c r="E10124">
        <f>HYPERLINK("https://www.ncbi.nlm.nih.gov/gene/?term=XP_017945715.2", "XP_017945715.2")</f>
        <v/>
      </c>
      <c r="F10124" t="n">
        <v>57.8</v>
      </c>
      <c r="G10124" t="n">
        <v>1392</v>
      </c>
      <c r="H10124" t="n">
        <v>0</v>
      </c>
      <c r="I10124" t="inlineStr">
        <is>
          <t>Nr</t>
        </is>
      </c>
      <c r="J10124" t="inlineStr"/>
      <c r="K10124" t="inlineStr"/>
      <c r="L10124" t="inlineStr">
        <is>
          <t>XP_017945715.2 thyroid adenoma-associated protein homolog [Xenopus tropicalis]</t>
        </is>
      </c>
      <c r="M10124" t="n">
        <v>1843</v>
      </c>
      <c r="N10124" t="inlineStr">
        <is>
          <t>Xenopus tropicalis</t>
        </is>
      </c>
      <c r="O10124" t="inlineStr">
        <is>
          <t>thyroid adenoma-associated protein homolog</t>
        </is>
      </c>
    </row>
    <row r="10125">
      <c r="A10125" t="inlineStr"/>
      <c r="B10125" t="inlineStr"/>
      <c r="C10125" t="inlineStr"/>
      <c r="D10125" t="inlineStr"/>
      <c r="E10125">
        <f>HYPERLINK("https://www.ncbi.nlm.nih.gov/gene/?term=XP_018117503.1", "XP_018117503.1")</f>
        <v/>
      </c>
      <c r="F10125" t="n">
        <v>56.6</v>
      </c>
      <c r="G10125" t="n">
        <v>1414</v>
      </c>
      <c r="H10125" t="n">
        <v>0</v>
      </c>
      <c r="I10125" t="inlineStr">
        <is>
          <t>Nr</t>
        </is>
      </c>
      <c r="J10125" t="inlineStr"/>
      <c r="K10125" t="inlineStr"/>
      <c r="L10125" t="inlineStr">
        <is>
          <t>XP_018117503.1 thyroid adenoma-associated protein homolog isoform X1 [Xenopus laevis]</t>
        </is>
      </c>
      <c r="M10125" t="n">
        <v>1830</v>
      </c>
      <c r="N10125" t="inlineStr">
        <is>
          <t>Xenopus laevis</t>
        </is>
      </c>
      <c r="O10125" t="inlineStr">
        <is>
          <t>thyroid adenoma-associated protein homolog isoform X1</t>
        </is>
      </c>
    </row>
    <row r="10126">
      <c r="A10126" t="inlineStr"/>
      <c r="B10126" t="inlineStr"/>
      <c r="C10126" t="inlineStr"/>
      <c r="D10126" t="inlineStr"/>
      <c r="E10126">
        <f>HYPERLINK("https://www.ncbi.nlm.nih.gov/gene/?term=XP_044131476.1", "XP_044131476.1")</f>
        <v/>
      </c>
      <c r="F10126" t="n">
        <v>57.2</v>
      </c>
      <c r="G10126" t="n">
        <v>1394</v>
      </c>
      <c r="H10126" t="n">
        <v>0</v>
      </c>
      <c r="I10126" t="inlineStr">
        <is>
          <t>Nr</t>
        </is>
      </c>
      <c r="J10126" t="inlineStr"/>
      <c r="K10126" t="inlineStr"/>
      <c r="L10126" t="inlineStr">
        <is>
          <t>XP_044131476.1 thyroid adenoma-associated protein homolog [Bufo gargarizans]</t>
        </is>
      </c>
      <c r="M10126" t="n">
        <v>1840</v>
      </c>
      <c r="N10126" t="inlineStr">
        <is>
          <t>Bufo gargarizans</t>
        </is>
      </c>
      <c r="O10126" t="inlineStr">
        <is>
          <t>thyroid adenoma-associated protein homolog</t>
        </is>
      </c>
    </row>
    <row r="10127">
      <c r="A10127" t="inlineStr"/>
      <c r="B10127" t="inlineStr"/>
      <c r="C10127" t="inlineStr"/>
      <c r="D10127" t="inlineStr"/>
      <c r="E10127">
        <f>HYPERLINK("https://www.ncbi.nlm.nih.gov/gene/?term=XP_018424157.1", "XP_018424157.1")</f>
        <v/>
      </c>
      <c r="F10127" t="n">
        <v>57.6</v>
      </c>
      <c r="G10127" t="n">
        <v>1380</v>
      </c>
      <c r="H10127" t="n">
        <v>0</v>
      </c>
      <c r="I10127" t="inlineStr">
        <is>
          <t>Nr</t>
        </is>
      </c>
      <c r="J10127" t="inlineStr"/>
      <c r="K10127" t="inlineStr"/>
      <c r="L10127" t="inlineStr">
        <is>
          <t>XP_018424157.1 PREDICTED: thyroid adenoma-associated protein homolog [Nanorana parkeri]</t>
        </is>
      </c>
      <c r="M10127" t="n">
        <v>1822</v>
      </c>
      <c r="N10127" t="inlineStr">
        <is>
          <t>Nanorana parkeri</t>
        </is>
      </c>
      <c r="O10127" t="inlineStr">
        <is>
          <t>PREDICTED: thyroid adenoma-associated protein homolog</t>
        </is>
      </c>
    </row>
    <row r="10128">
      <c r="A10128" t="inlineStr"/>
      <c r="B10128" t="inlineStr"/>
      <c r="C10128" t="inlineStr"/>
      <c r="D10128" t="inlineStr"/>
      <c r="E10128">
        <f>HYPERLINK("https://www.ncbi.nlm.nih.gov/gene/?term=XP_040272303.1", "XP_040272303.1")</f>
        <v/>
      </c>
      <c r="F10128" t="n">
        <v>57.1</v>
      </c>
      <c r="G10128" t="n">
        <v>1394</v>
      </c>
      <c r="H10128" t="n">
        <v>0</v>
      </c>
      <c r="I10128" t="inlineStr">
        <is>
          <t>Nr</t>
        </is>
      </c>
      <c r="J10128" t="inlineStr"/>
      <c r="K10128" t="inlineStr"/>
      <c r="L10128" t="inlineStr">
        <is>
          <t>XP_040272303.1 thyroid adenoma-associated protein homolog isoform X1 [Bufo bufo]</t>
        </is>
      </c>
      <c r="M10128" t="n">
        <v>1842</v>
      </c>
      <c r="N10128" t="inlineStr">
        <is>
          <t>Bufo bufo</t>
        </is>
      </c>
      <c r="O10128" t="inlineStr">
        <is>
          <t>thyroid adenoma-associated protein homolog isoform X1</t>
        </is>
      </c>
    </row>
    <row r="10129">
      <c r="A10129" t="inlineStr"/>
      <c r="B10129" t="inlineStr"/>
      <c r="C10129" t="inlineStr"/>
      <c r="D10129" t="inlineStr"/>
      <c r="E10129">
        <f>HYPERLINK("https://www.ncbi.nlm.nih.gov/gene/?term=XP_044137709.1", "XP_044137709.1")</f>
        <v/>
      </c>
      <c r="F10129" t="n">
        <v>57.2</v>
      </c>
      <c r="G10129" t="n">
        <v>1394</v>
      </c>
      <c r="H10129" t="n">
        <v>0</v>
      </c>
      <c r="I10129" t="inlineStr">
        <is>
          <t>Nr</t>
        </is>
      </c>
      <c r="J10129" t="inlineStr"/>
      <c r="K10129" t="inlineStr"/>
      <c r="L10129" t="inlineStr">
        <is>
          <t>XP_044137709.1 thyroid adenoma-associated protein homolog [Bufo gargarizans]</t>
        </is>
      </c>
      <c r="M10129" t="n">
        <v>1740</v>
      </c>
      <c r="N10129" t="inlineStr">
        <is>
          <t>Bufo gargarizans</t>
        </is>
      </c>
      <c r="O10129" t="inlineStr">
        <is>
          <t>thyroid adenoma-associated protein homolog</t>
        </is>
      </c>
    </row>
    <row r="10130">
      <c r="A10130" t="inlineStr"/>
      <c r="B10130" t="inlineStr"/>
      <c r="C10130" t="inlineStr"/>
      <c r="D10130" t="inlineStr"/>
      <c r="E10130">
        <f>HYPERLINK("https://www.ncbi.nlm.nih.gov/gene/?term=KAE8634672.1", "KAE8634672.1")</f>
        <v/>
      </c>
      <c r="F10130" t="n">
        <v>58.3</v>
      </c>
      <c r="G10130" t="n">
        <v>1331</v>
      </c>
      <c r="H10130" t="n">
        <v>0</v>
      </c>
      <c r="I10130" t="inlineStr">
        <is>
          <t>Nr</t>
        </is>
      </c>
      <c r="J10130" t="inlineStr"/>
      <c r="K10130" t="inlineStr"/>
      <c r="L10130" t="inlineStr">
        <is>
          <t>KAE8634672.1 hypothetical protein XENTR_v10002401 [Xenopus tropicalis]</t>
        </is>
      </c>
      <c r="M10130" t="n">
        <v>1349</v>
      </c>
      <c r="N10130" t="inlineStr">
        <is>
          <t>Xenopus tropicalis</t>
        </is>
      </c>
      <c r="O10130" t="inlineStr">
        <is>
          <t>hypothetical protein XENTR_v10002401</t>
        </is>
      </c>
    </row>
    <row r="10131">
      <c r="A10131" t="inlineStr"/>
      <c r="B10131" t="inlineStr"/>
      <c r="C10131" t="inlineStr"/>
      <c r="D10131" t="inlineStr"/>
      <c r="E10131">
        <f>HYPERLINK("https://www.ncbi.nlm.nih.gov/gene/?term=XP_040204525.1", "XP_040204525.1")</f>
        <v/>
      </c>
      <c r="F10131" t="n">
        <v>56.9</v>
      </c>
      <c r="G10131" t="n">
        <v>1396</v>
      </c>
      <c r="H10131" t="n">
        <v>0</v>
      </c>
      <c r="I10131" t="inlineStr">
        <is>
          <t>Nr</t>
        </is>
      </c>
      <c r="J10131" t="inlineStr"/>
      <c r="K10131" t="inlineStr"/>
      <c r="L10131" t="inlineStr">
        <is>
          <t>XP_040204525.1 thyroid adenoma-associated protein homolog isoform X3 [Rana temporaria]</t>
        </is>
      </c>
      <c r="M10131" t="n">
        <v>1453</v>
      </c>
      <c r="N10131" t="inlineStr">
        <is>
          <t>Rana temporaria</t>
        </is>
      </c>
      <c r="O10131" t="inlineStr">
        <is>
          <t>thyroid adenoma-associated protein homolog isoform X3</t>
        </is>
      </c>
    </row>
    <row r="10132">
      <c r="A10132" t="inlineStr"/>
      <c r="B10132" t="inlineStr"/>
      <c r="C10132" t="inlineStr"/>
      <c r="D10132" t="inlineStr"/>
      <c r="E10132">
        <f>HYPERLINK("https://www.ncbi.nlm.nih.gov/gene/?term=XP_040204510.1", "XP_040204510.1")</f>
        <v/>
      </c>
      <c r="F10132" t="n">
        <v>56.9</v>
      </c>
      <c r="G10132" t="n">
        <v>1396</v>
      </c>
      <c r="H10132" t="n">
        <v>0</v>
      </c>
      <c r="I10132" t="inlineStr">
        <is>
          <t>Nr</t>
        </is>
      </c>
      <c r="J10132" t="inlineStr"/>
      <c r="K10132" t="inlineStr"/>
      <c r="L10132" t="inlineStr">
        <is>
          <t>XP_040204510.1 thyroid adenoma-associated protein homolog isoform X1 [Rana temporaria]</t>
        </is>
      </c>
      <c r="M10132" t="n">
        <v>1814</v>
      </c>
      <c r="N10132" t="inlineStr">
        <is>
          <t>Rana temporaria</t>
        </is>
      </c>
      <c r="O10132" t="inlineStr">
        <is>
          <t>thyroid adenoma-associated protein homolog isoform X1</t>
        </is>
      </c>
    </row>
    <row r="10133">
      <c r="A10133" t="inlineStr"/>
      <c r="B10133" t="inlineStr"/>
      <c r="C10133" t="inlineStr"/>
      <c r="D10133" t="inlineStr"/>
      <c r="E10133">
        <f>HYPERLINK("https://www.ncbi.nlm.nih.gov/gene/?term=KAG8455899.1", "KAG8455899.1")</f>
        <v/>
      </c>
      <c r="F10133" t="n">
        <v>57.1</v>
      </c>
      <c r="G10133" t="n">
        <v>1407</v>
      </c>
      <c r="H10133" t="n">
        <v>0</v>
      </c>
      <c r="I10133" t="inlineStr">
        <is>
          <t>Nr</t>
        </is>
      </c>
      <c r="J10133" t="inlineStr"/>
      <c r="K10133" t="inlineStr"/>
      <c r="L10133" t="inlineStr">
        <is>
          <t>KAG8455899.1 hypothetical protein GDO86_001915 [Hymenochirus boettgeri]</t>
        </is>
      </c>
      <c r="M10133" t="n">
        <v>1854</v>
      </c>
      <c r="N10133" t="inlineStr">
        <is>
          <t>Hymenochirus boettgeri</t>
        </is>
      </c>
      <c r="O10133" t="inlineStr">
        <is>
          <t>hypothetical protein GDO86_001915</t>
        </is>
      </c>
    </row>
    <row r="10134">
      <c r="A10134" t="inlineStr"/>
      <c r="B10134" t="inlineStr"/>
      <c r="C10134" t="inlineStr"/>
      <c r="D10134" t="inlineStr"/>
      <c r="E10134">
        <f>HYPERLINK("https://www.ncbi.nlm.nih.gov/gene/?term=XP_040272304.1", "XP_040272304.1")</f>
        <v/>
      </c>
      <c r="F10134" t="n">
        <v>55.7</v>
      </c>
      <c r="G10134" t="n">
        <v>1394</v>
      </c>
      <c r="H10134" t="n">
        <v>0</v>
      </c>
      <c r="I10134" t="inlineStr">
        <is>
          <t>Nr</t>
        </is>
      </c>
      <c r="J10134" t="inlineStr"/>
      <c r="K10134" t="inlineStr"/>
      <c r="L10134" t="inlineStr">
        <is>
          <t>XP_040272304.1 thyroid adenoma-associated protein homolog isoform X2 [Bufo bufo]</t>
        </is>
      </c>
      <c r="M10134" t="n">
        <v>1801</v>
      </c>
      <c r="N10134" t="inlineStr">
        <is>
          <t>Bufo bufo</t>
        </is>
      </c>
      <c r="O10134" t="inlineStr">
        <is>
          <t>thyroid adenoma-associated protein homolog isoform X2</t>
        </is>
      </c>
    </row>
    <row r="10135">
      <c r="A10135" t="inlineStr"/>
      <c r="B10135" t="inlineStr"/>
      <c r="C10135" t="inlineStr"/>
      <c r="D10135" t="inlineStr"/>
      <c r="E10135">
        <f>HYPERLINK("https://www.ncbi.nlm.nih.gov/gene/?term=XP_041422958.1", "XP_041422958.1")</f>
        <v/>
      </c>
      <c r="F10135" t="n">
        <v>57.7</v>
      </c>
      <c r="G10135" t="n">
        <v>1312</v>
      </c>
      <c r="H10135" t="n">
        <v>0</v>
      </c>
      <c r="I10135" t="inlineStr">
        <is>
          <t>Nr</t>
        </is>
      </c>
      <c r="J10135" t="inlineStr"/>
      <c r="K10135" t="inlineStr"/>
      <c r="L10135" t="inlineStr">
        <is>
          <t>XP_041422958.1 thyroid adenoma-associated protein homolog isoform X2 [Xenopus laevis]</t>
        </is>
      </c>
      <c r="M10135" t="n">
        <v>1728</v>
      </c>
      <c r="N10135" t="inlineStr">
        <is>
          <t>Xenopus laevis</t>
        </is>
      </c>
      <c r="O10135" t="inlineStr">
        <is>
          <t>thyroid adenoma-associated protein homolog isoform X2</t>
        </is>
      </c>
    </row>
    <row r="10136">
      <c r="A10136" t="inlineStr"/>
      <c r="B10136" t="inlineStr"/>
      <c r="C10136" t="inlineStr"/>
      <c r="D10136" t="inlineStr"/>
      <c r="E10136">
        <f>HYPERLINK("https://www.ncbi.nlm.nih.gov/gene/?term=KAG8597246.1", "KAG8597246.1")</f>
        <v/>
      </c>
      <c r="F10136" t="n">
        <v>55.3</v>
      </c>
      <c r="G10136" t="n">
        <v>1398</v>
      </c>
      <c r="H10136" t="n">
        <v>0</v>
      </c>
      <c r="I10136" t="inlineStr">
        <is>
          <t>Nr</t>
        </is>
      </c>
      <c r="J10136" t="inlineStr"/>
      <c r="K10136" t="inlineStr"/>
      <c r="L10136" t="inlineStr">
        <is>
          <t>KAG8597246.1 hypothetical protein GDO81_002221 [Engystomops pustulosus]</t>
        </is>
      </c>
      <c r="M10136" t="n">
        <v>1823</v>
      </c>
      <c r="N10136" t="inlineStr">
        <is>
          <t>Engystomops pustulosus</t>
        </is>
      </c>
      <c r="O10136" t="inlineStr">
        <is>
          <t>hypothetical protein GDO81_002221</t>
        </is>
      </c>
    </row>
    <row r="10137">
      <c r="A10137" t="inlineStr"/>
      <c r="B10137" t="inlineStr"/>
      <c r="C10137" t="inlineStr"/>
      <c r="D10137" t="inlineStr"/>
      <c r="E10137">
        <f>HYPERLINK("https://www.ncbi.nlm.nih.gov/gene/?term=XP_040204518.1", "XP_040204518.1")</f>
        <v/>
      </c>
      <c r="F10137" t="n">
        <v>58.1</v>
      </c>
      <c r="G10137" t="n">
        <v>1264</v>
      </c>
      <c r="H10137" t="n">
        <v>0</v>
      </c>
      <c r="I10137" t="inlineStr">
        <is>
          <t>Nr</t>
        </is>
      </c>
      <c r="J10137" t="inlineStr"/>
      <c r="K10137" t="inlineStr"/>
      <c r="L10137" t="inlineStr">
        <is>
          <t>XP_040204518.1 thyroid adenoma-associated protein homolog isoform X2 [Rana temporaria]</t>
        </is>
      </c>
      <c r="M10137" t="n">
        <v>1681</v>
      </c>
      <c r="N10137" t="inlineStr">
        <is>
          <t>Rana temporaria</t>
        </is>
      </c>
      <c r="O10137" t="inlineStr">
        <is>
          <t>thyroid adenoma-associated protein homolog isoform X2</t>
        </is>
      </c>
    </row>
    <row r="10138">
      <c r="A10138" t="inlineStr"/>
      <c r="B10138" t="inlineStr"/>
      <c r="C10138" t="inlineStr"/>
      <c r="D10138" t="inlineStr"/>
      <c r="E10138">
        <f>HYPERLINK("https://www.ncbi.nlm.nih.gov/gene/?term=XP_053313334.1", "XP_053313334.1")</f>
        <v/>
      </c>
      <c r="F10138" t="n">
        <v>64.09999999999999</v>
      </c>
      <c r="G10138" t="n">
        <v>1071</v>
      </c>
      <c r="H10138" t="n">
        <v>0</v>
      </c>
      <c r="I10138" t="inlineStr">
        <is>
          <t>Nr</t>
        </is>
      </c>
      <c r="J10138" t="inlineStr"/>
      <c r="K10138" t="inlineStr"/>
      <c r="L10138" t="inlineStr">
        <is>
          <t>XP_053313334.1 thyroid adenoma-associated protein homolog [Spea bombifrons]</t>
        </is>
      </c>
      <c r="M10138" t="n">
        <v>1503</v>
      </c>
      <c r="N10138" t="inlineStr">
        <is>
          <t>Spea bombifrons</t>
        </is>
      </c>
      <c r="O10138" t="inlineStr">
        <is>
          <t>thyroid adenoma-associated protein homolog</t>
        </is>
      </c>
    </row>
    <row r="10139">
      <c r="A10139" t="inlineStr"/>
      <c r="B10139" t="inlineStr"/>
      <c r="C10139" t="inlineStr"/>
      <c r="D10139" t="inlineStr"/>
      <c r="E10139">
        <f>HYPERLINK("https://www.ncbi.nlm.nih.gov/gene/?term=KAG8597247.1", "KAG8597247.1")</f>
        <v/>
      </c>
      <c r="F10139" t="n">
        <v>58.4</v>
      </c>
      <c r="G10139" t="n">
        <v>1191</v>
      </c>
      <c r="H10139" t="n">
        <v>0</v>
      </c>
      <c r="I10139" t="inlineStr">
        <is>
          <t>Nr</t>
        </is>
      </c>
      <c r="J10139" t="inlineStr"/>
      <c r="K10139" t="inlineStr"/>
      <c r="L10139" t="inlineStr">
        <is>
          <t>KAG8597247.1 hypothetical protein GDO81_002221 [Engystomops pustulosus]</t>
        </is>
      </c>
      <c r="M10139" t="n">
        <v>1623</v>
      </c>
      <c r="N10139" t="inlineStr">
        <is>
          <t>Engystomops pustulosus</t>
        </is>
      </c>
      <c r="O10139" t="inlineStr">
        <is>
          <t>hypothetical protein GDO81_002221</t>
        </is>
      </c>
    </row>
    <row r="10140">
      <c r="A10140" t="inlineStr"/>
      <c r="B10140" t="inlineStr"/>
      <c r="C10140" t="inlineStr"/>
      <c r="D10140" t="inlineStr"/>
      <c r="E10140">
        <f>HYPERLINK("https://www.ncbi.nlm.nih.gov/gene/?term=XP_050779936.1", "XP_050779936.1")</f>
        <v/>
      </c>
      <c r="F10140" t="n">
        <v>46.2</v>
      </c>
      <c r="G10140" t="n">
        <v>1425</v>
      </c>
      <c r="H10140" t="n">
        <v>0</v>
      </c>
      <c r="I10140" t="inlineStr">
        <is>
          <t>Nr</t>
        </is>
      </c>
      <c r="J10140" t="inlineStr"/>
      <c r="K10140" t="inlineStr"/>
      <c r="L10140" t="inlineStr">
        <is>
          <t>XP_050779936.1 thyroid adenoma-associated protein homolog isoform X1 [Gopherus flavomarginatus]</t>
        </is>
      </c>
      <c r="M10140" t="n">
        <v>1941</v>
      </c>
      <c r="N10140" t="inlineStr">
        <is>
          <t>Gopherus flavomarginatus</t>
        </is>
      </c>
      <c r="O10140" t="inlineStr">
        <is>
          <t>thyroid adenoma-associated protein homolog isoform X1</t>
        </is>
      </c>
    </row>
    <row r="10141">
      <c r="A10141" t="inlineStr"/>
      <c r="B10141" t="inlineStr"/>
      <c r="C10141" t="inlineStr"/>
      <c r="D10141" t="inlineStr"/>
      <c r="E10141">
        <f>HYPERLINK("https://www.ncbi.nlm.nih.gov/gene/?term=XP_037735202.1", "XP_037735202.1")</f>
        <v/>
      </c>
      <c r="F10141" t="n">
        <v>45.5</v>
      </c>
      <c r="G10141" t="n">
        <v>1430</v>
      </c>
      <c r="H10141" t="n">
        <v>0</v>
      </c>
      <c r="I10141" t="inlineStr">
        <is>
          <t>Nr</t>
        </is>
      </c>
      <c r="J10141" t="inlineStr"/>
      <c r="K10141" t="inlineStr"/>
      <c r="L10141" t="inlineStr">
        <is>
          <t>XP_037735202.1 thyroid adenoma-associated protein homolog isoform X2 [Chelonia mydas]</t>
        </is>
      </c>
      <c r="M10141" t="n">
        <v>1900</v>
      </c>
      <c r="N10141" t="inlineStr">
        <is>
          <t>Chelonia mydas</t>
        </is>
      </c>
      <c r="O10141" t="inlineStr">
        <is>
          <t>thyroid adenoma-associated protein homolog isoform X2</t>
        </is>
      </c>
    </row>
    <row r="10142">
      <c r="A10142" t="inlineStr"/>
      <c r="B10142" t="inlineStr"/>
      <c r="C10142" t="inlineStr"/>
      <c r="D10142" t="inlineStr"/>
      <c r="E10142">
        <f>HYPERLINK("https://www.ncbi.nlm.nih.gov/gene/?term=XP_037735205.1", "XP_037735205.1")</f>
        <v/>
      </c>
      <c r="F10142" t="n">
        <v>45.5</v>
      </c>
      <c r="G10142" t="n">
        <v>1430</v>
      </c>
      <c r="H10142" t="n">
        <v>0</v>
      </c>
      <c r="I10142" t="inlineStr">
        <is>
          <t>Nr</t>
        </is>
      </c>
      <c r="J10142" t="inlineStr"/>
      <c r="K10142" t="inlineStr"/>
      <c r="L10142" t="inlineStr">
        <is>
          <t>XP_037735205.1 thyroid adenoma-associated protein homolog isoform X3 [Chelonia mydas]</t>
        </is>
      </c>
      <c r="M10142" t="n">
        <v>1768</v>
      </c>
      <c r="N10142" t="inlineStr">
        <is>
          <t>Chelonia mydas</t>
        </is>
      </c>
      <c r="O10142" t="inlineStr">
        <is>
          <t>thyroid adenoma-associated protein homolog isoform X3</t>
        </is>
      </c>
    </row>
    <row r="10143">
      <c r="A10143" t="inlineStr"/>
      <c r="B10143" t="inlineStr"/>
      <c r="C10143" t="inlineStr"/>
      <c r="D10143" t="inlineStr"/>
      <c r="E10143">
        <f>HYPERLINK("https://www.ncbi.nlm.nih.gov/gene/?term=XP_039360754.1", "XP_039360754.1")</f>
        <v/>
      </c>
      <c r="F10143" t="n">
        <v>46</v>
      </c>
      <c r="G10143" t="n">
        <v>1425</v>
      </c>
      <c r="H10143" t="n">
        <v>0</v>
      </c>
      <c r="I10143" t="inlineStr">
        <is>
          <t>Nr</t>
        </is>
      </c>
      <c r="J10143" t="inlineStr"/>
      <c r="K10143" t="inlineStr"/>
      <c r="L10143" t="inlineStr">
        <is>
          <t>XP_039360754.1 thyroid adenoma-associated protein homolog isoform X2 [Mauremys reevesii]</t>
        </is>
      </c>
      <c r="M10143" t="n">
        <v>1881</v>
      </c>
      <c r="N10143" t="inlineStr">
        <is>
          <t>Mauremys reevesii</t>
        </is>
      </c>
      <c r="O10143" t="inlineStr">
        <is>
          <t>thyroid adenoma-associated protein homolog isoform X2</t>
        </is>
      </c>
    </row>
    <row r="10144">
      <c r="A10144" t="inlineStr"/>
      <c r="B10144" t="inlineStr"/>
      <c r="C10144" t="inlineStr"/>
      <c r="D10144" t="inlineStr"/>
      <c r="E10144">
        <f>HYPERLINK("https://www.ncbi.nlm.nih.gov/gene/?term=XP_039360756.1", "XP_039360756.1")</f>
        <v/>
      </c>
      <c r="F10144" t="n">
        <v>46</v>
      </c>
      <c r="G10144" t="n">
        <v>1425</v>
      </c>
      <c r="H10144" t="n">
        <v>0</v>
      </c>
      <c r="I10144" t="inlineStr">
        <is>
          <t>Nr</t>
        </is>
      </c>
      <c r="J10144" t="inlineStr"/>
      <c r="K10144" t="inlineStr"/>
      <c r="L10144" t="inlineStr">
        <is>
          <t>XP_039360756.1 thyroid adenoma-associated protein homolog isoform X4 [Mauremys reevesii]</t>
        </is>
      </c>
      <c r="M10144" t="n">
        <v>1768</v>
      </c>
      <c r="N10144" t="inlineStr">
        <is>
          <t>Mauremys reevesii</t>
        </is>
      </c>
      <c r="O10144" t="inlineStr">
        <is>
          <t>thyroid adenoma-associated protein homolog isoform X4</t>
        </is>
      </c>
    </row>
    <row r="10145">
      <c r="A10145" t="inlineStr"/>
      <c r="B10145" t="inlineStr"/>
      <c r="C10145" t="inlineStr"/>
      <c r="D10145" t="inlineStr"/>
      <c r="E10145">
        <f>HYPERLINK("https://www.ncbi.nlm.nih.gov/gene/?term=XP_039360753.1", "XP_039360753.1")</f>
        <v/>
      </c>
      <c r="F10145" t="n">
        <v>46</v>
      </c>
      <c r="G10145" t="n">
        <v>1425</v>
      </c>
      <c r="H10145" t="n">
        <v>0</v>
      </c>
      <c r="I10145" t="inlineStr">
        <is>
          <t>Nr</t>
        </is>
      </c>
      <c r="J10145" t="inlineStr"/>
      <c r="K10145" t="inlineStr"/>
      <c r="L10145" t="inlineStr">
        <is>
          <t>XP_039360753.1 thyroid adenoma-associated protein homolog isoform X1 [Mauremys reevesii]</t>
        </is>
      </c>
      <c r="M10145" t="n">
        <v>1900</v>
      </c>
      <c r="N10145" t="inlineStr">
        <is>
          <t>Mauremys reevesii</t>
        </is>
      </c>
      <c r="O10145" t="inlineStr">
        <is>
          <t>thyroid adenoma-associated protein homolog isoform X1</t>
        </is>
      </c>
    </row>
    <row r="10146">
      <c r="A10146" t="inlineStr"/>
      <c r="B10146" t="inlineStr"/>
      <c r="C10146" t="inlineStr"/>
      <c r="D10146" t="inlineStr"/>
      <c r="E10146">
        <f>HYPERLINK("https://www.ncbi.nlm.nih.gov/gene/?term=XP_048676979.1", "XP_048676979.1")</f>
        <v/>
      </c>
      <c r="F10146" t="n">
        <v>45.5</v>
      </c>
      <c r="G10146" t="n">
        <v>1430</v>
      </c>
      <c r="H10146" t="n">
        <v>0</v>
      </c>
      <c r="I10146" t="inlineStr">
        <is>
          <t>Nr</t>
        </is>
      </c>
      <c r="J10146" t="inlineStr"/>
      <c r="K10146" t="inlineStr"/>
      <c r="L10146" t="inlineStr">
        <is>
          <t>XP_048676979.1 thyroid adenoma-associated protein homolog [Caretta caretta]</t>
        </is>
      </c>
      <c r="M10146" t="n">
        <v>1900</v>
      </c>
      <c r="N10146" t="inlineStr">
        <is>
          <t>Caretta caretta</t>
        </is>
      </c>
      <c r="O10146" t="inlineStr">
        <is>
          <t>thyroid adenoma-associated protein homolog</t>
        </is>
      </c>
    </row>
    <row r="10147">
      <c r="A10147" t="inlineStr"/>
      <c r="B10147" t="inlineStr"/>
      <c r="C10147" t="inlineStr"/>
      <c r="D10147" t="inlineStr"/>
      <c r="E10147">
        <f>HYPERLINK("https://www.ncbi.nlm.nih.gov/gene/?term=XP_030439014.1", "XP_030439014.1")</f>
        <v/>
      </c>
      <c r="F10147" t="n">
        <v>46.1</v>
      </c>
      <c r="G10147" t="n">
        <v>1425</v>
      </c>
      <c r="H10147" t="n">
        <v>0</v>
      </c>
      <c r="I10147" t="inlineStr">
        <is>
          <t>Nr</t>
        </is>
      </c>
      <c r="J10147" t="inlineStr"/>
      <c r="K10147" t="inlineStr"/>
      <c r="L10147" t="inlineStr">
        <is>
          <t>XP_030439014.1 thyroid adenoma-associated protein homolog isoform X1 [Gopherus evgoodei]</t>
        </is>
      </c>
      <c r="M10147" t="n">
        <v>1941</v>
      </c>
      <c r="N10147" t="inlineStr">
        <is>
          <t>Gopherus evgoodei</t>
        </is>
      </c>
      <c r="O10147" t="inlineStr">
        <is>
          <t>thyroid adenoma-associated protein homolog isoform X1</t>
        </is>
      </c>
    </row>
    <row r="10148">
      <c r="A10148" t="inlineStr"/>
      <c r="B10148" t="inlineStr"/>
      <c r="C10148" t="inlineStr"/>
      <c r="D10148" t="inlineStr"/>
      <c r="E10148">
        <f>HYPERLINK("https://www.ncbi.nlm.nih.gov/gene/?term=XP_044845698.1", "XP_044845698.1")</f>
        <v/>
      </c>
      <c r="F10148" t="n">
        <v>45.8</v>
      </c>
      <c r="G10148" t="n">
        <v>1423</v>
      </c>
      <c r="H10148" t="n">
        <v>0</v>
      </c>
      <c r="I10148" t="inlineStr">
        <is>
          <t>Nr</t>
        </is>
      </c>
      <c r="J10148" t="inlineStr"/>
      <c r="K10148" t="inlineStr"/>
      <c r="L10148" t="inlineStr">
        <is>
          <t>XP_044845698.1 thyroid adenoma-associated protein homolog isoform X2 [Mauremys mutica]</t>
        </is>
      </c>
      <c r="M10148" t="n">
        <v>1899</v>
      </c>
      <c r="N10148" t="inlineStr">
        <is>
          <t>Mauremys mutica</t>
        </is>
      </c>
      <c r="O10148" t="inlineStr">
        <is>
          <t>thyroid adenoma-associated protein homolog isoform X2</t>
        </is>
      </c>
    </row>
    <row r="10149">
      <c r="A10149" t="inlineStr"/>
      <c r="B10149" t="inlineStr"/>
      <c r="C10149" t="inlineStr"/>
      <c r="D10149" t="inlineStr"/>
      <c r="E10149">
        <f>HYPERLINK("https://www.uniprot.org/uniprotkb/A0A6I8R3A6/entry", "A0A6I8R3A6")</f>
        <v/>
      </c>
      <c r="F10149" t="n">
        <v>57.8</v>
      </c>
      <c r="G10149" t="n">
        <v>1392</v>
      </c>
      <c r="H10149" t="n">
        <v>0</v>
      </c>
      <c r="I10149" t="inlineStr">
        <is>
          <t>TrEMBL</t>
        </is>
      </c>
      <c r="J10149" t="inlineStr">
        <is>
          <t>LOC100492758</t>
        </is>
      </c>
      <c r="K10149" t="inlineStr">
        <is>
          <t>A0A6I8R3A6_XENTR</t>
        </is>
      </c>
      <c r="L10149" t="inlineStr">
        <is>
          <t>tr|A0A6I8R3A6|A0A6I8R3A6_XENTR Thyroid adenoma-associated protein homolog OS=Xenopus tropicalis OX=8364 GN=LOC100492758 PE=3 SV=2</t>
        </is>
      </c>
      <c r="M10149" t="n">
        <v>1843</v>
      </c>
      <c r="N10149" t="inlineStr">
        <is>
          <t>Xenopus tropicalis</t>
        </is>
      </c>
      <c r="O10149" t="inlineStr">
        <is>
          <t>Thyroid adenoma-associated protein homolog</t>
        </is>
      </c>
    </row>
    <row r="10150">
      <c r="A10150" t="inlineStr"/>
      <c r="B10150" t="inlineStr"/>
      <c r="C10150" t="inlineStr"/>
      <c r="D10150" t="inlineStr"/>
      <c r="E10150">
        <f>HYPERLINK("https://www.uniprot.org/uniprotkb/A0A1L8I0M1/entry", "A0A1L8I0M1")</f>
        <v/>
      </c>
      <c r="F10150" t="n">
        <v>56.6</v>
      </c>
      <c r="G10150" t="n">
        <v>1414</v>
      </c>
      <c r="H10150" t="n">
        <v>0</v>
      </c>
      <c r="I10150" t="inlineStr">
        <is>
          <t>TrEMBL</t>
        </is>
      </c>
      <c r="J10150" t="inlineStr">
        <is>
          <t>LOC108716045</t>
        </is>
      </c>
      <c r="K10150" t="inlineStr">
        <is>
          <t>A0A1L8I0M1_XENLA</t>
        </is>
      </c>
      <c r="L10150" t="inlineStr">
        <is>
          <t>tr|A0A1L8I0M1|A0A1L8I0M1_XENLA thyroid adenoma-associated protein homolog isoform X1 OS=Xenopus laevis OX=8355 GN=LOC108716045 PE=3 SV=1</t>
        </is>
      </c>
      <c r="M10150" t="n">
        <v>1830</v>
      </c>
      <c r="N10150" t="inlineStr">
        <is>
          <t>Xenopus laevis</t>
        </is>
      </c>
      <c r="O10150" t="inlineStr">
        <is>
          <t>thyroid adenoma-associated protein homolog isoform X1</t>
        </is>
      </c>
    </row>
    <row r="10151">
      <c r="A10151" t="inlineStr"/>
      <c r="B10151" t="inlineStr"/>
      <c r="C10151" t="inlineStr"/>
      <c r="D10151" t="inlineStr"/>
      <c r="E10151">
        <f>HYPERLINK("https://www.uniprot.org/uniprotkb/A0A8C5N3E3/entry", "A0A8C5N3E3")</f>
        <v/>
      </c>
      <c r="F10151" t="n">
        <v>56.9</v>
      </c>
      <c r="G10151" t="n">
        <v>1408</v>
      </c>
      <c r="H10151" t="n">
        <v>0</v>
      </c>
      <c r="I10151" t="inlineStr">
        <is>
          <t>TrEMBL</t>
        </is>
      </c>
      <c r="J10151" t="inlineStr"/>
      <c r="K10151" t="inlineStr">
        <is>
          <t>A0A8C5N3E3_9ANUR</t>
        </is>
      </c>
      <c r="L10151" t="inlineStr">
        <is>
          <t>tr|A0A8C5N3E3|A0A8C5N3E3_9ANUR DUF2428 domain-containing protein OS=Leptobrachium leishanense OX=445787 PE=3 SV=1</t>
        </is>
      </c>
      <c r="M10151" t="n">
        <v>1866</v>
      </c>
      <c r="N10151" t="inlineStr">
        <is>
          <t>Leptobrachium leishanense</t>
        </is>
      </c>
      <c r="O10151" t="inlineStr">
        <is>
          <t>DUF2428 domain-containing protein</t>
        </is>
      </c>
    </row>
    <row r="10152">
      <c r="A10152" t="inlineStr"/>
      <c r="B10152" t="inlineStr"/>
      <c r="C10152" t="inlineStr"/>
      <c r="D10152" t="inlineStr"/>
      <c r="E10152">
        <f>HYPERLINK("https://www.uniprot.org/uniprotkb/A0A8T2KFP0/entry", "A0A8T2KFP0")</f>
        <v/>
      </c>
      <c r="F10152" t="n">
        <v>57.1</v>
      </c>
      <c r="G10152" t="n">
        <v>1407</v>
      </c>
      <c r="H10152" t="n">
        <v>0</v>
      </c>
      <c r="I10152" t="inlineStr">
        <is>
          <t>TrEMBL</t>
        </is>
      </c>
      <c r="J10152" t="inlineStr">
        <is>
          <t>GDO86_001915</t>
        </is>
      </c>
      <c r="K10152" t="inlineStr">
        <is>
          <t>A0A8T2KFP0_9PIPI</t>
        </is>
      </c>
      <c r="L10152" t="inlineStr">
        <is>
          <t>tr|A0A8T2KFP0|A0A8T2KFP0_9PIPI DUF2428 domain-containing protein OS=Hymenochirus boettgeri OX=247094 GN=GDO86_001915 PE=3 SV=1</t>
        </is>
      </c>
      <c r="M10152" t="n">
        <v>1854</v>
      </c>
      <c r="N10152" t="inlineStr">
        <is>
          <t>Hymenochirus boettgeri</t>
        </is>
      </c>
      <c r="O10152" t="inlineStr">
        <is>
          <t>DUF2428 domain-containing protein</t>
        </is>
      </c>
    </row>
    <row r="10153">
      <c r="A10153" t="inlineStr"/>
      <c r="B10153" t="inlineStr"/>
      <c r="C10153" t="inlineStr"/>
      <c r="D10153" t="inlineStr"/>
      <c r="E10153">
        <f>HYPERLINK("https://www.uniprot.org/uniprotkb/A0A8J1L1S5/entry", "A0A8J1L1S5")</f>
        <v/>
      </c>
      <c r="F10153" t="n">
        <v>57.7</v>
      </c>
      <c r="G10153" t="n">
        <v>1312</v>
      </c>
      <c r="H10153" t="n">
        <v>0</v>
      </c>
      <c r="I10153" t="inlineStr">
        <is>
          <t>TrEMBL</t>
        </is>
      </c>
      <c r="J10153" t="inlineStr">
        <is>
          <t>LOC108716045</t>
        </is>
      </c>
      <c r="K10153" t="inlineStr">
        <is>
          <t>A0A8J1L1S5_XENLA</t>
        </is>
      </c>
      <c r="L10153" t="inlineStr">
        <is>
          <t>tr|A0A8J1L1S5|A0A8J1L1S5_XENLA thyroid adenoma-associated protein homolog isoform X2 OS=Xenopus laevis OX=8355 GN=LOC108716045 PE=3 SV=1</t>
        </is>
      </c>
      <c r="M10153" t="n">
        <v>1728</v>
      </c>
      <c r="N10153" t="inlineStr">
        <is>
          <t>Xenopus laevis</t>
        </is>
      </c>
      <c r="O10153" t="inlineStr">
        <is>
          <t>thyroid adenoma-associated protein homolog isoform X2</t>
        </is>
      </c>
    </row>
    <row r="10154">
      <c r="A10154" t="inlineStr"/>
      <c r="B10154" t="inlineStr"/>
      <c r="C10154" t="inlineStr"/>
      <c r="D10154" t="inlineStr"/>
      <c r="E10154">
        <f>HYPERLINK("https://www.uniprot.org/uniprotkb/A0A8C5N3X0/entry", "A0A8C5N3X0")</f>
        <v/>
      </c>
      <c r="F10154" t="n">
        <v>55.2</v>
      </c>
      <c r="G10154" t="n">
        <v>1408</v>
      </c>
      <c r="H10154" t="n">
        <v>0</v>
      </c>
      <c r="I10154" t="inlineStr">
        <is>
          <t>TrEMBL</t>
        </is>
      </c>
      <c r="J10154" t="inlineStr"/>
      <c r="K10154" t="inlineStr">
        <is>
          <t>A0A8C5N3X0_9ANUR</t>
        </is>
      </c>
      <c r="L10154" t="inlineStr">
        <is>
          <t>tr|A0A8C5N3X0|A0A8C5N3X0_9ANUR THADA armadillo repeat containing OS=Leptobrachium leishanense OX=445787 PE=3 SV=1</t>
        </is>
      </c>
      <c r="M10154" t="n">
        <v>1831</v>
      </c>
      <c r="N10154" t="inlineStr">
        <is>
          <t>Leptobrachium leishanense</t>
        </is>
      </c>
      <c r="O10154" t="inlineStr">
        <is>
          <t>THADA armadillo repeat containing</t>
        </is>
      </c>
    </row>
    <row r="10155">
      <c r="A10155" t="inlineStr"/>
      <c r="B10155" t="inlineStr"/>
      <c r="C10155" t="inlineStr"/>
      <c r="D10155" t="inlineStr"/>
      <c r="E10155">
        <f>HYPERLINK("https://www.uniprot.org/uniprotkb/A0A8C4WJJ1/entry", "A0A8C4WJJ1")</f>
        <v/>
      </c>
      <c r="F10155" t="n">
        <v>46.1</v>
      </c>
      <c r="G10155" t="n">
        <v>1425</v>
      </c>
      <c r="H10155" t="n">
        <v>0</v>
      </c>
      <c r="I10155" t="inlineStr">
        <is>
          <t>TrEMBL</t>
        </is>
      </c>
      <c r="J10155" t="inlineStr">
        <is>
          <t>LOC115661031</t>
        </is>
      </c>
      <c r="K10155" t="inlineStr">
        <is>
          <t>A0A8C4WJJ1_9SAUR</t>
        </is>
      </c>
      <c r="L10155" t="inlineStr">
        <is>
          <t>tr|A0A8C4WJJ1|A0A8C4WJJ1_9SAUR Thyroid adenoma-associated protein homolog OS=Gopherus evgoodei OX=1825980 GN=LOC115661031 PE=3 SV=1</t>
        </is>
      </c>
      <c r="M10155" t="n">
        <v>1872</v>
      </c>
      <c r="N10155" t="inlineStr">
        <is>
          <t>Gopherus evgoodei</t>
        </is>
      </c>
      <c r="O10155" t="inlineStr">
        <is>
          <t>Thyroid adenoma-associated protein homolog</t>
        </is>
      </c>
    </row>
    <row r="10156">
      <c r="A10156" t="inlineStr"/>
      <c r="B10156" t="inlineStr"/>
      <c r="C10156" t="inlineStr"/>
      <c r="D10156" t="inlineStr"/>
      <c r="E10156">
        <f>HYPERLINK("https://www.uniprot.org/uniprotkb/A0A8C4WIB9/entry", "A0A8C4WIB9")</f>
        <v/>
      </c>
      <c r="F10156" t="n">
        <v>46.1</v>
      </c>
      <c r="G10156" t="n">
        <v>1425</v>
      </c>
      <c r="H10156" t="n">
        <v>0</v>
      </c>
      <c r="I10156" t="inlineStr">
        <is>
          <t>TrEMBL</t>
        </is>
      </c>
      <c r="J10156" t="inlineStr">
        <is>
          <t>LOC115661031</t>
        </is>
      </c>
      <c r="K10156" t="inlineStr">
        <is>
          <t>A0A8C4WIB9_9SAUR</t>
        </is>
      </c>
      <c r="L10156" t="inlineStr">
        <is>
          <t>tr|A0A8C4WIB9|A0A8C4WIB9_9SAUR Thyroid adenoma-associated protein homolog OS=Gopherus evgoodei OX=1825980 GN=LOC115661031 PE=3 SV=1</t>
        </is>
      </c>
      <c r="M10156" t="n">
        <v>1811</v>
      </c>
      <c r="N10156" t="inlineStr">
        <is>
          <t>Gopherus evgoodei</t>
        </is>
      </c>
      <c r="O10156" t="inlineStr">
        <is>
          <t>Thyroid adenoma-associated protein homolog</t>
        </is>
      </c>
    </row>
    <row r="10157">
      <c r="A10157" t="inlineStr"/>
      <c r="B10157" t="inlineStr"/>
      <c r="C10157" t="inlineStr"/>
      <c r="D10157" t="inlineStr"/>
      <c r="E10157">
        <f>HYPERLINK("https://www.uniprot.org/uniprotkb/A0A8C4WDH8/entry", "A0A8C4WDH8")</f>
        <v/>
      </c>
      <c r="F10157" t="n">
        <v>46.1</v>
      </c>
      <c r="G10157" t="n">
        <v>1425</v>
      </c>
      <c r="H10157" t="n">
        <v>0</v>
      </c>
      <c r="I10157" t="inlineStr">
        <is>
          <t>TrEMBL</t>
        </is>
      </c>
      <c r="J10157" t="inlineStr">
        <is>
          <t>LOC115661031</t>
        </is>
      </c>
      <c r="K10157" t="inlineStr">
        <is>
          <t>A0A8C4WDH8_9SAUR</t>
        </is>
      </c>
      <c r="L10157" t="inlineStr">
        <is>
          <t>tr|A0A8C4WDH8|A0A8C4WDH8_9SAUR Thyroid adenoma-associated protein homolog OS=Gopherus evgoodei OX=1825980 GN=LOC115661031 PE=3 SV=1</t>
        </is>
      </c>
      <c r="M10157" t="n">
        <v>1900</v>
      </c>
      <c r="N10157" t="inlineStr">
        <is>
          <t>Gopherus evgoodei</t>
        </is>
      </c>
      <c r="O10157" t="inlineStr">
        <is>
          <t>Thyroid adenoma-associated protein homolog</t>
        </is>
      </c>
    </row>
    <row r="10158">
      <c r="A10158" t="inlineStr"/>
      <c r="B10158" t="inlineStr"/>
      <c r="C10158" t="inlineStr"/>
      <c r="D10158" t="inlineStr"/>
      <c r="E10158">
        <f>HYPERLINK("https://www.uniprot.org/uniprotkb/A0A4D9EY07/entry", "A0A4D9EY07")</f>
        <v/>
      </c>
      <c r="F10158" t="n">
        <v>45.7</v>
      </c>
      <c r="G10158" t="n">
        <v>1425</v>
      </c>
      <c r="H10158" t="n">
        <v>0</v>
      </c>
      <c r="I10158" t="inlineStr">
        <is>
          <t>TrEMBL</t>
        </is>
      </c>
      <c r="J10158" t="inlineStr">
        <is>
          <t>DR999_PMT02621</t>
        </is>
      </c>
      <c r="K10158" t="inlineStr">
        <is>
          <t>A0A4D9EY07_9SAUR</t>
        </is>
      </c>
      <c r="L10158" t="inlineStr">
        <is>
          <t>tr|A0A4D9EY07|A0A4D9EY07_9SAUR Thyroid adenoma-associated protein-like protein OS=Platysternon megacephalum OX=55544 GN=DR999_PMT02621 PE=3 SV=1</t>
        </is>
      </c>
      <c r="M10158" t="n">
        <v>1812</v>
      </c>
      <c r="N10158" t="inlineStr">
        <is>
          <t>Platysternon megacephalum</t>
        </is>
      </c>
      <c r="O10158" t="inlineStr">
        <is>
          <t>Thyroid adenoma-associated protein-like protein</t>
        </is>
      </c>
    </row>
    <row r="10159">
      <c r="A10159" t="inlineStr"/>
      <c r="B10159" t="inlineStr"/>
      <c r="C10159" t="inlineStr"/>
      <c r="D10159" t="inlineStr"/>
      <c r="E10159">
        <f>HYPERLINK("https://www.uniprot.org/uniprotkb/A0A8C3FY24/entry", "A0A8C3FY24")</f>
        <v/>
      </c>
      <c r="F10159" t="n">
        <v>45.4</v>
      </c>
      <c r="G10159" t="n">
        <v>1425</v>
      </c>
      <c r="H10159" t="n">
        <v>0</v>
      </c>
      <c r="I10159" t="inlineStr">
        <is>
          <t>TrEMBL</t>
        </is>
      </c>
      <c r="J10159" t="inlineStr"/>
      <c r="K10159" t="inlineStr">
        <is>
          <t>A0A8C3FY24_CHRPI</t>
        </is>
      </c>
      <c r="L10159" t="inlineStr">
        <is>
          <t>tr|A0A8C3FY24|A0A8C3FY24_CHRPI DUF2428 domain-containing protein OS=Chrysemys picta bellii OX=8478 PE=3 SV=1</t>
        </is>
      </c>
      <c r="M10159" t="n">
        <v>1900</v>
      </c>
      <c r="N10159" t="inlineStr">
        <is>
          <t>Chrysemys picta bellii</t>
        </is>
      </c>
      <c r="O10159" t="inlineStr">
        <is>
          <t>DUF2428 domain-containing protein</t>
        </is>
      </c>
    </row>
    <row r="10160">
      <c r="A10160" t="inlineStr"/>
      <c r="B10160" t="inlineStr"/>
      <c r="C10160" t="inlineStr"/>
      <c r="D10160" t="inlineStr"/>
      <c r="E10160">
        <f>HYPERLINK("https://www.uniprot.org/uniprotkb/A0A8C3FTC1/entry", "A0A8C3FTC1")</f>
        <v/>
      </c>
      <c r="F10160" t="n">
        <v>45.4</v>
      </c>
      <c r="G10160" t="n">
        <v>1425</v>
      </c>
      <c r="H10160" t="n">
        <v>0</v>
      </c>
      <c r="I10160" t="inlineStr">
        <is>
          <t>TrEMBL</t>
        </is>
      </c>
      <c r="J10160" t="inlineStr"/>
      <c r="K10160" t="inlineStr">
        <is>
          <t>A0A8C3FTC1_CHRPI</t>
        </is>
      </c>
      <c r="L10160" t="inlineStr">
        <is>
          <t>tr|A0A8C3FTC1|A0A8C3FTC1_CHRPI DUF2428 domain-containing protein OS=Chrysemys picta bellii OX=8478 PE=3 SV=1</t>
        </is>
      </c>
      <c r="M10160" t="n">
        <v>1839</v>
      </c>
      <c r="N10160" t="inlineStr">
        <is>
          <t>Chrysemys picta bellii</t>
        </is>
      </c>
      <c r="O10160" t="inlineStr">
        <is>
          <t>DUF2428 domain-containing protein</t>
        </is>
      </c>
    </row>
    <row r="10161">
      <c r="A10161" t="inlineStr"/>
      <c r="B10161" t="inlineStr"/>
      <c r="C10161" t="inlineStr"/>
      <c r="D10161" t="inlineStr"/>
      <c r="E10161">
        <f>HYPERLINK("https://www.uniprot.org/uniprotkb/A0A8T1SIU4/entry", "A0A8T1SIU4")</f>
        <v/>
      </c>
      <c r="F10161" t="n">
        <v>45.3</v>
      </c>
      <c r="G10161" t="n">
        <v>1430</v>
      </c>
      <c r="H10161" t="n">
        <v>0</v>
      </c>
      <c r="I10161" t="inlineStr">
        <is>
          <t>TrEMBL</t>
        </is>
      </c>
      <c r="J10161" t="inlineStr">
        <is>
          <t>G0U57_008051</t>
        </is>
      </c>
      <c r="K10161" t="inlineStr">
        <is>
          <t>A0A8T1SIU4_CHESE</t>
        </is>
      </c>
      <c r="L10161" t="inlineStr">
        <is>
          <t>tr|A0A8T1SIU4|A0A8T1SIU4_CHESE Thyroid adenoma-associated protein -like protein OS=Chelydra serpentina OX=8475 GN=G0U57_008051 PE=3 SV=1</t>
        </is>
      </c>
      <c r="M10161" t="n">
        <v>1894</v>
      </c>
      <c r="N10161" t="inlineStr">
        <is>
          <t>Chelydra serpentina</t>
        </is>
      </c>
      <c r="O10161" t="inlineStr">
        <is>
          <t>Thyroid adenoma-associated protein -like protein</t>
        </is>
      </c>
    </row>
    <row r="10162">
      <c r="A10162" t="inlineStr"/>
      <c r="B10162" t="inlineStr"/>
      <c r="C10162" t="inlineStr"/>
      <c r="D10162" t="inlineStr"/>
      <c r="E10162">
        <f>HYPERLINK("https://www.uniprot.org/uniprotkb/A0A674INM9/entry", "A0A674INM9")</f>
        <v/>
      </c>
      <c r="F10162" t="n">
        <v>45.5</v>
      </c>
      <c r="G10162" t="n">
        <v>1425</v>
      </c>
      <c r="H10162" t="n">
        <v>0</v>
      </c>
      <c r="I10162" t="inlineStr">
        <is>
          <t>TrEMBL</t>
        </is>
      </c>
      <c r="J10162" t="inlineStr">
        <is>
          <t>LOC112120414</t>
        </is>
      </c>
      <c r="K10162" t="inlineStr">
        <is>
          <t>A0A674INM9_TERCA</t>
        </is>
      </c>
      <c r="L10162" t="inlineStr">
        <is>
          <t>tr|A0A674INM9|A0A674INM9_TERCA Thyroid adenoma-associated protein homolog OS=Terrapene carolina triunguis OX=2587831 GN=LOC112120414 PE=3 SV=1</t>
        </is>
      </c>
      <c r="M10162" t="n">
        <v>1900</v>
      </c>
      <c r="N10162" t="inlineStr">
        <is>
          <t>Terrapene carolina triunguis</t>
        </is>
      </c>
      <c r="O10162" t="inlineStr">
        <is>
          <t>Thyroid adenoma-associated protein homolog</t>
        </is>
      </c>
    </row>
    <row r="10163">
      <c r="A10163" t="inlineStr"/>
      <c r="B10163" t="inlineStr"/>
      <c r="C10163" t="inlineStr"/>
      <c r="D10163" t="inlineStr"/>
      <c r="E10163">
        <f>HYPERLINK("https://www.uniprot.org/uniprotkb/A0A674INW6/entry", "A0A674INW6")</f>
        <v/>
      </c>
      <c r="F10163" t="n">
        <v>45.5</v>
      </c>
      <c r="G10163" t="n">
        <v>1425</v>
      </c>
      <c r="H10163" t="n">
        <v>0</v>
      </c>
      <c r="I10163" t="inlineStr">
        <is>
          <t>TrEMBL</t>
        </is>
      </c>
      <c r="J10163" t="inlineStr">
        <is>
          <t>LOC112120414</t>
        </is>
      </c>
      <c r="K10163" t="inlineStr">
        <is>
          <t>A0A674INW6_TERCA</t>
        </is>
      </c>
      <c r="L10163" t="inlineStr">
        <is>
          <t>tr|A0A674INW6|A0A674INW6_TERCA Thyroid adenoma-associated protein homolog OS=Terrapene carolina triunguis OX=2587831 GN=LOC112120414 PE=3 SV=1</t>
        </is>
      </c>
      <c r="M10163" t="n">
        <v>1839</v>
      </c>
      <c r="N10163" t="inlineStr">
        <is>
          <t>Terrapene carolina triunguis</t>
        </is>
      </c>
      <c r="O10163" t="inlineStr">
        <is>
          <t>Thyroid adenoma-associated protein homolog</t>
        </is>
      </c>
    </row>
    <row r="10164">
      <c r="A10164" t="inlineStr"/>
      <c r="B10164" t="inlineStr"/>
      <c r="C10164" t="inlineStr"/>
      <c r="D10164" t="inlineStr"/>
      <c r="E10164">
        <f>HYPERLINK("https://www.uniprot.org/uniprotkb/A0A8C3S1Z9/entry", "A0A8C3S1Z9")</f>
        <v/>
      </c>
      <c r="F10164" t="n">
        <v>45.2</v>
      </c>
      <c r="G10164" t="n">
        <v>1430</v>
      </c>
      <c r="H10164" t="n">
        <v>0</v>
      </c>
      <c r="I10164" t="inlineStr">
        <is>
          <t>TrEMBL</t>
        </is>
      </c>
      <c r="J10164" t="inlineStr"/>
      <c r="K10164" t="inlineStr">
        <is>
          <t>A0A8C3S1Z9_CHESE</t>
        </is>
      </c>
      <c r="L10164" t="inlineStr">
        <is>
          <t>tr|A0A8C3S1Z9|A0A8C3S1Z9_CHESE DUF2428 domain-containing protein OS=Chelydra serpentina OX=8475 PE=3 SV=1</t>
        </is>
      </c>
      <c r="M10164" t="n">
        <v>1894</v>
      </c>
      <c r="N10164" t="inlineStr">
        <is>
          <t>Chelydra serpentina</t>
        </is>
      </c>
      <c r="O10164" t="inlineStr">
        <is>
          <t>DUF2428 domain-containing protein</t>
        </is>
      </c>
    </row>
    <row r="10165">
      <c r="A10165" t="inlineStr"/>
      <c r="B10165" t="inlineStr"/>
      <c r="C10165" t="inlineStr"/>
      <c r="D10165" t="inlineStr"/>
      <c r="E10165">
        <f>HYPERLINK("https://www.uniprot.org/uniprotkb/A0A8C8SWJ4/entry", "A0A8C8SWJ4")</f>
        <v/>
      </c>
      <c r="F10165" t="n">
        <v>44.7</v>
      </c>
      <c r="G10165" t="n">
        <v>1426</v>
      </c>
      <c r="H10165" t="n">
        <v>0</v>
      </c>
      <c r="I10165" t="inlineStr">
        <is>
          <t>TrEMBL</t>
        </is>
      </c>
      <c r="J10165" t="inlineStr"/>
      <c r="K10165" t="inlineStr">
        <is>
          <t>A0A8C8SWJ4_9SAUR</t>
        </is>
      </c>
      <c r="L10165" t="inlineStr">
        <is>
          <t>tr|A0A8C8SWJ4|A0A8C8SWJ4_9SAUR DUF2428 domain-containing protein OS=Pelusios castaneus OX=367368 PE=3 SV=1</t>
        </is>
      </c>
      <c r="M10165" t="n">
        <v>1910</v>
      </c>
      <c r="N10165" t="inlineStr">
        <is>
          <t>Pelusios castaneus</t>
        </is>
      </c>
      <c r="O10165" t="inlineStr">
        <is>
          <t>DUF2428 domain-containing protein</t>
        </is>
      </c>
    </row>
    <row r="10166">
      <c r="A10166" t="inlineStr"/>
      <c r="B10166" t="inlineStr"/>
      <c r="C10166" t="inlineStr"/>
      <c r="D10166" t="inlineStr"/>
      <c r="E10166">
        <f>HYPERLINK("https://www.uniprot.org/uniprotkb/A0A6J2G4U8/entry", "A0A6J2G4U8")</f>
        <v/>
      </c>
      <c r="F10166" t="n">
        <v>45.9</v>
      </c>
      <c r="G10166" t="n">
        <v>1411</v>
      </c>
      <c r="H10166" t="n">
        <v>0</v>
      </c>
      <c r="I10166" t="inlineStr">
        <is>
          <t>TrEMBL</t>
        </is>
      </c>
      <c r="J10166" t="inlineStr">
        <is>
          <t>LOC113984367</t>
        </is>
      </c>
      <c r="K10166" t="inlineStr">
        <is>
          <t>A0A6J2G4U8_9PASS</t>
        </is>
      </c>
      <c r="L10166" t="inlineStr">
        <is>
          <t>tr|A0A6J2G4U8|A0A6J2G4U8_9PASS thyroid adenoma-associated protein homolog OS=Pipra filicauda OX=649802 GN=LOC113984367 PE=3 SV=1</t>
        </is>
      </c>
      <c r="M10166" t="n">
        <v>1887</v>
      </c>
      <c r="N10166" t="inlineStr">
        <is>
          <t>Pipra filicauda</t>
        </is>
      </c>
      <c r="O10166" t="inlineStr">
        <is>
          <t>thyroid adenoma-associated protein homolog</t>
        </is>
      </c>
    </row>
    <row r="10167">
      <c r="A10167" t="inlineStr"/>
      <c r="B10167" t="inlineStr"/>
      <c r="C10167" t="inlineStr"/>
      <c r="D10167" t="inlineStr"/>
      <c r="E10167">
        <f>HYPERLINK("https://www.uniprot.org/uniprotkb/A0A6J0H5E7/entry", "A0A6J0H5E7")</f>
        <v/>
      </c>
      <c r="F10167" t="n">
        <v>46</v>
      </c>
      <c r="G10167" t="n">
        <v>1412</v>
      </c>
      <c r="H10167" t="n">
        <v>0</v>
      </c>
      <c r="I10167" t="inlineStr">
        <is>
          <t>TrEMBL</t>
        </is>
      </c>
      <c r="J10167" t="inlineStr">
        <is>
          <t>LOC108496906</t>
        </is>
      </c>
      <c r="K10167" t="inlineStr">
        <is>
          <t>A0A6J0H5E7_9PASS</t>
        </is>
      </c>
      <c r="L10167" t="inlineStr">
        <is>
          <t>tr|A0A6J0H5E7|A0A6J0H5E7_9PASS thyroid adenoma-associated protein homolog OS=Lepidothrix coronata OX=321398 GN=LOC108496906 PE=3 SV=1</t>
        </is>
      </c>
      <c r="M10167" t="n">
        <v>1887</v>
      </c>
      <c r="N10167" t="inlineStr">
        <is>
          <t>Lepidothrix coronata</t>
        </is>
      </c>
      <c r="O10167" t="inlineStr">
        <is>
          <t>thyroid adenoma-associated protein homolog</t>
        </is>
      </c>
    </row>
    <row r="10168">
      <c r="A10168" t="inlineStr"/>
      <c r="B10168" t="inlineStr"/>
      <c r="C10168" t="inlineStr"/>
      <c r="D10168" t="inlineStr"/>
      <c r="E10168">
        <f>HYPERLINK("https://www.uniprot.org/uniprotkb/A0A8C3RZS2/entry", "A0A8C3RZS2")</f>
        <v/>
      </c>
      <c r="F10168" t="n">
        <v>45.8</v>
      </c>
      <c r="G10168" t="n">
        <v>1365</v>
      </c>
      <c r="H10168" t="n">
        <v>0</v>
      </c>
      <c r="I10168" t="inlineStr">
        <is>
          <t>TrEMBL</t>
        </is>
      </c>
      <c r="J10168" t="inlineStr"/>
      <c r="K10168" t="inlineStr">
        <is>
          <t>A0A8C3RZS2_CHESE</t>
        </is>
      </c>
      <c r="L10168" t="inlineStr">
        <is>
          <t>tr|A0A8C3RZS2|A0A8C3RZS2_CHESE DUF2428 domain-containing protein OS=Chelydra serpentina OX=8475 PE=3 SV=1</t>
        </is>
      </c>
      <c r="M10168" t="n">
        <v>1832</v>
      </c>
      <c r="N10168" t="inlineStr">
        <is>
          <t>Chelydra serpentina</t>
        </is>
      </c>
      <c r="O10168" t="inlineStr">
        <is>
          <t>DUF2428 domain-containing protein</t>
        </is>
      </c>
    </row>
    <row r="10169">
      <c r="A10169" t="inlineStr"/>
      <c r="B10169" t="inlineStr"/>
      <c r="C10169" t="inlineStr"/>
      <c r="D10169" t="inlineStr"/>
      <c r="E10169">
        <f>HYPERLINK("https://www.uniprot.org/uniprotkb/A0A8C0HHZ8/entry", "A0A8C0HHZ8")</f>
        <v/>
      </c>
      <c r="F10169" t="n">
        <v>46.6</v>
      </c>
      <c r="G10169" t="n">
        <v>1341</v>
      </c>
      <c r="H10169" t="n">
        <v>0</v>
      </c>
      <c r="I10169" t="inlineStr">
        <is>
          <t>TrEMBL</t>
        </is>
      </c>
      <c r="J10169" t="inlineStr"/>
      <c r="K10169" t="inlineStr">
        <is>
          <t>A0A8C0HHZ8_CHEAB</t>
        </is>
      </c>
      <c r="L10169" t="inlineStr">
        <is>
          <t>tr|A0A8C0HHZ8|A0A8C0HHZ8_CHEAB DUF2428 domain-containing protein OS=Chelonoidis abingdonii OX=106734 PE=3 SV=1</t>
        </is>
      </c>
      <c r="M10169" t="n">
        <v>1786</v>
      </c>
      <c r="N10169" t="inlineStr">
        <is>
          <t>Chelonoidis abingdonii</t>
        </is>
      </c>
      <c r="O10169" t="inlineStr">
        <is>
          <t>DUF2428 domain-containing protein</t>
        </is>
      </c>
    </row>
    <row r="10170">
      <c r="A10170" t="inlineStr"/>
      <c r="B10170" t="inlineStr"/>
      <c r="C10170" t="inlineStr"/>
      <c r="D10170" t="inlineStr"/>
      <c r="E10170">
        <f>HYPERLINK("https://www.uniprot.org/uniprotkb/A0A1U8CZG0/entry", "A0A1U8CZG0")</f>
        <v/>
      </c>
      <c r="F10170" t="n">
        <v>46.6</v>
      </c>
      <c r="G10170" t="n">
        <v>1350</v>
      </c>
      <c r="H10170" t="n">
        <v>0</v>
      </c>
      <c r="I10170" t="inlineStr">
        <is>
          <t>TrEMBL</t>
        </is>
      </c>
      <c r="J10170" t="inlineStr">
        <is>
          <t>LOC102375691</t>
        </is>
      </c>
      <c r="K10170" t="inlineStr">
        <is>
          <t>A0A1U8CZG0_ALLSI</t>
        </is>
      </c>
      <c r="L10170" t="inlineStr">
        <is>
          <t>tr|A0A1U8CZG0|A0A1U8CZG0_ALLSI thyroid adenoma-associated protein homolog OS=Alligator sinensis OX=38654 GN=LOC102375691 PE=3 SV=1</t>
        </is>
      </c>
      <c r="M10170" t="n">
        <v>1809</v>
      </c>
      <c r="N10170" t="inlineStr">
        <is>
          <t>Alligator sinensis</t>
        </is>
      </c>
      <c r="O10170" t="inlineStr">
        <is>
          <t>thyroid adenoma-associated protein homolog</t>
        </is>
      </c>
    </row>
    <row r="10171">
      <c r="A10171" t="inlineStr"/>
      <c r="B10171" t="inlineStr"/>
      <c r="C10171" t="inlineStr"/>
      <c r="D10171" t="inlineStr"/>
      <c r="E10171">
        <f>HYPERLINK("https://www.uniprot.org/uniprotkb/A0A151MLP9/entry", "A0A151MLP9")</f>
        <v/>
      </c>
      <c r="F10171" t="n">
        <v>46.9</v>
      </c>
      <c r="G10171" t="n">
        <v>1340</v>
      </c>
      <c r="H10171" t="n">
        <v>0</v>
      </c>
      <c r="I10171" t="inlineStr">
        <is>
          <t>TrEMBL</t>
        </is>
      </c>
      <c r="J10171" t="inlineStr">
        <is>
          <t>Y1Q_0000143</t>
        </is>
      </c>
      <c r="K10171" t="inlineStr">
        <is>
          <t>A0A151MLP9_ALLMI</t>
        </is>
      </c>
      <c r="L10171" t="inlineStr">
        <is>
          <t>tr|A0A151MLP9|A0A151MLP9_ALLMI Thyroid adenoma-associated protein-like protein OS=Alligator mississippiensis OX=8496 GN=Y1Q_0000143 PE=3 SV=1</t>
        </is>
      </c>
      <c r="M10171" t="n">
        <v>1809</v>
      </c>
      <c r="N10171" t="inlineStr">
        <is>
          <t>Alligator mississippiensis</t>
        </is>
      </c>
      <c r="O10171" t="inlineStr">
        <is>
          <t>Thyroid adenoma-associated protein-like protein</t>
        </is>
      </c>
    </row>
    <row r="10172">
      <c r="A10172" t="inlineStr"/>
      <c r="B10172" t="inlineStr"/>
      <c r="C10172" t="inlineStr"/>
      <c r="D10172" t="inlineStr"/>
      <c r="E10172">
        <f>HYPERLINK("https://www.uniprot.org/uniprotkb/A0A8C3QAW8/entry", "A0A8C3QAW8")</f>
        <v/>
      </c>
      <c r="F10172" t="n">
        <v>45.1</v>
      </c>
      <c r="G10172" t="n">
        <v>1421</v>
      </c>
      <c r="H10172" t="n">
        <v>0</v>
      </c>
      <c r="I10172" t="inlineStr">
        <is>
          <t>TrEMBL</t>
        </is>
      </c>
      <c r="J10172" t="inlineStr">
        <is>
          <t>LOC115909426</t>
        </is>
      </c>
      <c r="K10172" t="inlineStr">
        <is>
          <t>A0A8C3QAW8_GEOPR</t>
        </is>
      </c>
      <c r="L10172" t="inlineStr">
        <is>
          <t>tr|A0A8C3QAW8|A0A8C3QAW8_GEOPR Thyroid adenoma-associated protein homolog OS=Geospiza parvula OX=87175 GN=LOC115909426 PE=3 SV=1</t>
        </is>
      </c>
      <c r="M10172" t="n">
        <v>1834</v>
      </c>
      <c r="N10172" t="inlineStr">
        <is>
          <t>Geospiza parvula</t>
        </is>
      </c>
      <c r="O10172" t="inlineStr">
        <is>
          <t>Thyroid adenoma-associated protein homolog</t>
        </is>
      </c>
    </row>
    <row r="10173">
      <c r="A10173" t="inlineStr"/>
      <c r="B10173" t="inlineStr"/>
      <c r="C10173" t="inlineStr"/>
      <c r="D10173" t="inlineStr"/>
      <c r="E10173">
        <f>HYPERLINK("https://www.uniprot.org/uniprotkb/A0A8C3QAV4/entry", "A0A8C3QAV4")</f>
        <v/>
      </c>
      <c r="F10173" t="n">
        <v>45.1</v>
      </c>
      <c r="G10173" t="n">
        <v>1421</v>
      </c>
      <c r="H10173" t="n">
        <v>0</v>
      </c>
      <c r="I10173" t="inlineStr">
        <is>
          <t>TrEMBL</t>
        </is>
      </c>
      <c r="J10173" t="inlineStr">
        <is>
          <t>LOC115909426</t>
        </is>
      </c>
      <c r="K10173" t="inlineStr">
        <is>
          <t>A0A8C3QAV4_GEOPR</t>
        </is>
      </c>
      <c r="L10173" t="inlineStr">
        <is>
          <t>tr|A0A8C3QAV4|A0A8C3QAV4_GEOPR Thyroid adenoma-associated protein homolog OS=Geospiza parvula OX=87175 GN=LOC115909426 PE=3 SV=1</t>
        </is>
      </c>
      <c r="M10173" t="n">
        <v>1967</v>
      </c>
      <c r="N10173" t="inlineStr">
        <is>
          <t>Geospiza parvula</t>
        </is>
      </c>
      <c r="O10173" t="inlineStr">
        <is>
          <t>Thyroid adenoma-associated protein homolog</t>
        </is>
      </c>
    </row>
    <row r="10174">
      <c r="A10174" t="inlineStr"/>
      <c r="B10174" t="inlineStr"/>
      <c r="C10174" t="inlineStr"/>
      <c r="D10174" t="inlineStr"/>
      <c r="E10174">
        <f>HYPERLINK("https://www.ncbi.nlm.nih.gov/gene/?term=XP_053313334.1", "XP_053313334.1")</f>
        <v/>
      </c>
      <c r="F10174" t="n">
        <v>52.5</v>
      </c>
      <c r="G10174" t="n">
        <v>400</v>
      </c>
      <c r="H10174" t="n">
        <v>2.54e-110</v>
      </c>
      <c r="I10174" t="inlineStr">
        <is>
          <t>Nr</t>
        </is>
      </c>
      <c r="J10174" t="inlineStr"/>
      <c r="K10174" t="inlineStr"/>
      <c r="L10174" t="inlineStr">
        <is>
          <t>XP_053313334.1 thyroid adenoma-associated protein homolog [Spea bombifrons]</t>
        </is>
      </c>
      <c r="M10174" t="n">
        <v>1503</v>
      </c>
      <c r="N10174" t="inlineStr">
        <is>
          <t>Spea bombifrons</t>
        </is>
      </c>
      <c r="O10174" t="inlineStr">
        <is>
          <t>thyroid adenoma-associated protein homolog</t>
        </is>
      </c>
    </row>
    <row r="10175">
      <c r="A10175" t="inlineStr"/>
      <c r="B10175" t="inlineStr"/>
      <c r="C10175" t="inlineStr"/>
      <c r="D10175" t="inlineStr"/>
      <c r="E10175">
        <f>HYPERLINK("https://www.uniprot.org/uniprotkb/A0A8C5N3X0/entry", "A0A8C5N3X0")</f>
        <v/>
      </c>
      <c r="F10175" t="n">
        <v>48</v>
      </c>
      <c r="G10175" t="n">
        <v>398</v>
      </c>
      <c r="H10175" t="n">
        <v>1.05e-99</v>
      </c>
      <c r="I10175" t="inlineStr">
        <is>
          <t>TrEMBL</t>
        </is>
      </c>
      <c r="J10175" t="inlineStr"/>
      <c r="K10175" t="inlineStr">
        <is>
          <t>A0A8C5N3X0_9ANUR</t>
        </is>
      </c>
      <c r="L10175" t="inlineStr">
        <is>
          <t>tr|A0A8C5N3X0|A0A8C5N3X0_9ANUR THADA armadillo repeat containing OS=Leptobrachium leishanense OX=445787 PE=3 SV=1</t>
        </is>
      </c>
      <c r="M10175" t="n">
        <v>1831</v>
      </c>
      <c r="N10175" t="inlineStr">
        <is>
          <t>Leptobrachium leishanense</t>
        </is>
      </c>
      <c r="O10175" t="inlineStr">
        <is>
          <t>THADA armadillo repeat containing</t>
        </is>
      </c>
    </row>
    <row r="10176">
      <c r="A10176" t="inlineStr"/>
      <c r="B10176" t="inlineStr"/>
      <c r="C10176" t="inlineStr"/>
      <c r="D10176" t="inlineStr"/>
      <c r="E10176">
        <f>HYPERLINK("https://www.uniprot.org/uniprotkb/A0A8C5N3E3/entry", "A0A8C5N3E3")</f>
        <v/>
      </c>
      <c r="F10176" t="n">
        <v>48</v>
      </c>
      <c r="G10176" t="n">
        <v>398</v>
      </c>
      <c r="H10176" t="n">
        <v>1.09e-99</v>
      </c>
      <c r="I10176" t="inlineStr">
        <is>
          <t>TrEMBL</t>
        </is>
      </c>
      <c r="J10176" t="inlineStr"/>
      <c r="K10176" t="inlineStr">
        <is>
          <t>A0A8C5N3E3_9ANUR</t>
        </is>
      </c>
      <c r="L10176" t="inlineStr">
        <is>
          <t>tr|A0A8C5N3E3|A0A8C5N3E3_9ANUR DUF2428 domain-containing protein OS=Leptobrachium leishanense OX=445787 PE=3 SV=1</t>
        </is>
      </c>
      <c r="M10176" t="n">
        <v>1866</v>
      </c>
      <c r="N10176" t="inlineStr">
        <is>
          <t>Leptobrachium leishanense</t>
        </is>
      </c>
      <c r="O10176" t="inlineStr">
        <is>
          <t>DUF2428 domain-containing protein</t>
        </is>
      </c>
    </row>
    <row r="10177">
      <c r="A10177" t="inlineStr"/>
      <c r="B10177" t="inlineStr"/>
      <c r="C10177" t="inlineStr"/>
      <c r="D10177" t="inlineStr"/>
      <c r="E10177">
        <f>HYPERLINK("https://www.ncbi.nlm.nih.gov/gene/?term=XP_040272304.1", "XP_040272304.1")</f>
        <v/>
      </c>
      <c r="F10177" t="n">
        <v>49.4</v>
      </c>
      <c r="G10177" t="n">
        <v>397</v>
      </c>
      <c r="H10177" t="n">
        <v>1.91e-99</v>
      </c>
      <c r="I10177" t="inlineStr">
        <is>
          <t>Nr</t>
        </is>
      </c>
      <c r="J10177" t="inlineStr"/>
      <c r="K10177" t="inlineStr"/>
      <c r="L10177" t="inlineStr">
        <is>
          <t>XP_040272304.1 thyroid adenoma-associated protein homolog isoform X2 [Bufo bufo]</t>
        </is>
      </c>
      <c r="M10177" t="n">
        <v>1801</v>
      </c>
      <c r="N10177" t="inlineStr">
        <is>
          <t>Bufo bufo</t>
        </is>
      </c>
      <c r="O10177" t="inlineStr">
        <is>
          <t>thyroid adenoma-associated protein homolog isoform X2</t>
        </is>
      </c>
    </row>
    <row r="10178">
      <c r="A10178" t="inlineStr"/>
      <c r="B10178" t="inlineStr"/>
      <c r="C10178" t="inlineStr"/>
      <c r="D10178" t="inlineStr"/>
      <c r="E10178">
        <f>HYPERLINK("https://www.ncbi.nlm.nih.gov/gene/?term=XP_040272303.1", "XP_040272303.1")</f>
        <v/>
      </c>
      <c r="F10178" t="n">
        <v>49.4</v>
      </c>
      <c r="G10178" t="n">
        <v>397</v>
      </c>
      <c r="H10178" t="n">
        <v>2.01e-99</v>
      </c>
      <c r="I10178" t="inlineStr">
        <is>
          <t>Nr</t>
        </is>
      </c>
      <c r="J10178" t="inlineStr"/>
      <c r="K10178" t="inlineStr"/>
      <c r="L10178" t="inlineStr">
        <is>
          <t>XP_040272303.1 thyroid adenoma-associated protein homolog isoform X1 [Bufo bufo]</t>
        </is>
      </c>
      <c r="M10178" t="n">
        <v>1842</v>
      </c>
      <c r="N10178" t="inlineStr">
        <is>
          <t>Bufo bufo</t>
        </is>
      </c>
      <c r="O10178" t="inlineStr">
        <is>
          <t>thyroid adenoma-associated protein homolog isoform X1</t>
        </is>
      </c>
    </row>
    <row r="10179">
      <c r="A10179" t="inlineStr"/>
      <c r="B10179" t="inlineStr"/>
      <c r="C10179" t="inlineStr"/>
      <c r="D10179" t="inlineStr"/>
      <c r="E10179">
        <f>HYPERLINK("https://www.ncbi.nlm.nih.gov/gene/?term=XP_040204518.1", "XP_040204518.1")</f>
        <v/>
      </c>
      <c r="F10179" t="n">
        <v>50.4</v>
      </c>
      <c r="G10179" t="n">
        <v>397</v>
      </c>
      <c r="H10179" t="n">
        <v>2.05e-99</v>
      </c>
      <c r="I10179" t="inlineStr">
        <is>
          <t>Nr</t>
        </is>
      </c>
      <c r="J10179" t="inlineStr"/>
      <c r="K10179" t="inlineStr"/>
      <c r="L10179" t="inlineStr">
        <is>
          <t>XP_040204518.1 thyroid adenoma-associated protein homolog isoform X2 [Rana temporaria]</t>
        </is>
      </c>
      <c r="M10179" t="n">
        <v>1681</v>
      </c>
      <c r="N10179" t="inlineStr">
        <is>
          <t>Rana temporaria</t>
        </is>
      </c>
      <c r="O10179" t="inlineStr">
        <is>
          <t>thyroid adenoma-associated protein homolog isoform X2</t>
        </is>
      </c>
    </row>
    <row r="10180">
      <c r="A10180" t="inlineStr"/>
      <c r="B10180" t="inlineStr"/>
      <c r="C10180" t="inlineStr"/>
      <c r="D10180" t="inlineStr"/>
      <c r="E10180">
        <f>HYPERLINK("https://www.ncbi.nlm.nih.gov/gene/?term=XP_040204510.1", "XP_040204510.1")</f>
        <v/>
      </c>
      <c r="F10180" t="n">
        <v>50.4</v>
      </c>
      <c r="G10180" t="n">
        <v>397</v>
      </c>
      <c r="H10180" t="n">
        <v>2.65e-99</v>
      </c>
      <c r="I10180" t="inlineStr">
        <is>
          <t>Nr</t>
        </is>
      </c>
      <c r="J10180" t="inlineStr"/>
      <c r="K10180" t="inlineStr"/>
      <c r="L10180" t="inlineStr">
        <is>
          <t>XP_040204510.1 thyroid adenoma-associated protein homolog isoform X1 [Rana temporaria]</t>
        </is>
      </c>
      <c r="M10180" t="n">
        <v>1814</v>
      </c>
      <c r="N10180" t="inlineStr">
        <is>
          <t>Rana temporaria</t>
        </is>
      </c>
      <c r="O10180" t="inlineStr">
        <is>
          <t>thyroid adenoma-associated protein homolog isoform X1</t>
        </is>
      </c>
    </row>
    <row r="10181">
      <c r="A10181" t="inlineStr"/>
      <c r="B10181" t="inlineStr"/>
      <c r="C10181" t="inlineStr"/>
      <c r="D10181" t="inlineStr"/>
      <c r="E10181">
        <f>HYPERLINK("https://www.uniprot.org/uniprotkb/A0A8J6KFV5/entry", "A0A8J6KFV5")</f>
        <v/>
      </c>
      <c r="F10181" t="n">
        <v>48.6</v>
      </c>
      <c r="G10181" t="n">
        <v>395</v>
      </c>
      <c r="H10181" t="n">
        <v>1.55e-97</v>
      </c>
      <c r="I10181" t="inlineStr">
        <is>
          <t>TrEMBL</t>
        </is>
      </c>
      <c r="J10181" t="inlineStr">
        <is>
          <t>GDO78_007361</t>
        </is>
      </c>
      <c r="K10181" t="inlineStr">
        <is>
          <t>A0A8J6KFV5_ELECQ</t>
        </is>
      </c>
      <c r="L10181" t="inlineStr">
        <is>
          <t>tr|A0A8J6KFV5|A0A8J6KFV5_ELECQ DUF2428 domain-containing protein OS=Eleutherodactylus coqui OX=57060 GN=GDO78_007361 PE=3 SV=1</t>
        </is>
      </c>
      <c r="M10181" t="n">
        <v>1317</v>
      </c>
      <c r="N10181" t="inlineStr">
        <is>
          <t>Eleutherodactylus coqui</t>
        </is>
      </c>
      <c r="O10181" t="inlineStr">
        <is>
          <t>DUF2428 domain-containing protein</t>
        </is>
      </c>
    </row>
    <row r="10182">
      <c r="A10182" t="inlineStr"/>
      <c r="B10182" t="inlineStr"/>
      <c r="C10182" t="inlineStr"/>
      <c r="D10182" t="inlineStr"/>
      <c r="E10182">
        <f>HYPERLINK("https://www.ncbi.nlm.nih.gov/gene/?term=KAG9487459.1", "KAG9487459.1")</f>
        <v/>
      </c>
      <c r="F10182" t="n">
        <v>48.6</v>
      </c>
      <c r="G10182" t="n">
        <v>395</v>
      </c>
      <c r="H10182" t="n">
        <v>3.99e-97</v>
      </c>
      <c r="I10182" t="inlineStr">
        <is>
          <t>Nr</t>
        </is>
      </c>
      <c r="J10182" t="inlineStr"/>
      <c r="K10182" t="inlineStr"/>
      <c r="L10182" t="inlineStr">
        <is>
          <t>KAG9487459.1 hypothetical protein GDO78_007361 [Eleutherodactylus coqui]</t>
        </is>
      </c>
      <c r="M10182" t="n">
        <v>1317</v>
      </c>
      <c r="N10182" t="inlineStr">
        <is>
          <t>Eleutherodactylus coqui</t>
        </is>
      </c>
      <c r="O10182" t="inlineStr">
        <is>
          <t>hypothetical protein GDO78_007361</t>
        </is>
      </c>
    </row>
    <row r="10183">
      <c r="A10183" t="inlineStr"/>
      <c r="B10183" t="inlineStr"/>
      <c r="C10183" t="inlineStr"/>
      <c r="D10183" t="inlineStr"/>
      <c r="E10183">
        <f>HYPERLINK("https://www.uniprot.org/uniprotkb/A0A8J1L1S5/entry", "A0A8J1L1S5")</f>
        <v/>
      </c>
      <c r="F10183" t="n">
        <v>46.7</v>
      </c>
      <c r="G10183" t="n">
        <v>411</v>
      </c>
      <c r="H10183" t="n">
        <v>2.94e-96</v>
      </c>
      <c r="I10183" t="inlineStr">
        <is>
          <t>TrEMBL</t>
        </is>
      </c>
      <c r="J10183" t="inlineStr">
        <is>
          <t>LOC108716045</t>
        </is>
      </c>
      <c r="K10183" t="inlineStr">
        <is>
          <t>A0A8J1L1S5_XENLA</t>
        </is>
      </c>
      <c r="L10183" t="inlineStr">
        <is>
          <t>tr|A0A8J1L1S5|A0A8J1L1S5_XENLA thyroid adenoma-associated protein homolog isoform X2 OS=Xenopus laevis OX=8355 GN=LOC108716045 PE=3 SV=1</t>
        </is>
      </c>
      <c r="M10183" t="n">
        <v>1728</v>
      </c>
      <c r="N10183" t="inlineStr">
        <is>
          <t>Xenopus laevis</t>
        </is>
      </c>
      <c r="O10183" t="inlineStr">
        <is>
          <t>thyroid adenoma-associated protein homolog isoform X2</t>
        </is>
      </c>
    </row>
    <row r="10184">
      <c r="A10184" t="inlineStr"/>
      <c r="B10184" t="inlineStr"/>
      <c r="C10184" t="inlineStr"/>
      <c r="D10184" t="inlineStr"/>
      <c r="E10184">
        <f>HYPERLINK("https://www.uniprot.org/uniprotkb/A0A1L8I0M1/entry", "A0A1L8I0M1")</f>
        <v/>
      </c>
      <c r="F10184" t="n">
        <v>46.7</v>
      </c>
      <c r="G10184" t="n">
        <v>411</v>
      </c>
      <c r="H10184" t="n">
        <v>3.3e-96</v>
      </c>
      <c r="I10184" t="inlineStr">
        <is>
          <t>TrEMBL</t>
        </is>
      </c>
      <c r="J10184" t="inlineStr">
        <is>
          <t>LOC108716045</t>
        </is>
      </c>
      <c r="K10184" t="inlineStr">
        <is>
          <t>A0A1L8I0M1_XENLA</t>
        </is>
      </c>
      <c r="L10184" t="inlineStr">
        <is>
          <t>tr|A0A1L8I0M1|A0A1L8I0M1_XENLA thyroid adenoma-associated protein homolog isoform X1 OS=Xenopus laevis OX=8355 GN=LOC108716045 PE=3 SV=1</t>
        </is>
      </c>
      <c r="M10184" t="n">
        <v>1830</v>
      </c>
      <c r="N10184" t="inlineStr">
        <is>
          <t>Xenopus laevis</t>
        </is>
      </c>
      <c r="O10184" t="inlineStr">
        <is>
          <t>thyroid adenoma-associated protein homolog isoform X1</t>
        </is>
      </c>
    </row>
    <row r="10185">
      <c r="A10185" t="inlineStr"/>
      <c r="B10185" t="inlineStr"/>
      <c r="C10185" t="inlineStr"/>
      <c r="D10185" t="inlineStr"/>
      <c r="E10185">
        <f>HYPERLINK("https://www.ncbi.nlm.nih.gov/gene/?term=XP_041422958.1", "XP_041422958.1")</f>
        <v/>
      </c>
      <c r="F10185" t="n">
        <v>46.7</v>
      </c>
      <c r="G10185" t="n">
        <v>411</v>
      </c>
      <c r="H10185" t="n">
        <v>7.55e-96</v>
      </c>
      <c r="I10185" t="inlineStr">
        <is>
          <t>Nr</t>
        </is>
      </c>
      <c r="J10185" t="inlineStr"/>
      <c r="K10185" t="inlineStr"/>
      <c r="L10185" t="inlineStr">
        <is>
          <t>XP_041422958.1 thyroid adenoma-associated protein homolog isoform X2 [Xenopus laevis]</t>
        </is>
      </c>
      <c r="M10185" t="n">
        <v>1728</v>
      </c>
      <c r="N10185" t="inlineStr">
        <is>
          <t>Xenopus laevis</t>
        </is>
      </c>
      <c r="O10185" t="inlineStr">
        <is>
          <t>thyroid adenoma-associated protein homolog isoform X2</t>
        </is>
      </c>
    </row>
    <row r="10186">
      <c r="A10186" t="inlineStr"/>
      <c r="B10186" t="inlineStr"/>
      <c r="C10186" t="inlineStr"/>
      <c r="D10186" t="inlineStr"/>
      <c r="E10186">
        <f>HYPERLINK("https://www.ncbi.nlm.nih.gov/gene/?term=XP_018117503.1", "XP_018117503.1")</f>
        <v/>
      </c>
      <c r="F10186" t="n">
        <v>46.7</v>
      </c>
      <c r="G10186" t="n">
        <v>411</v>
      </c>
      <c r="H10186" t="n">
        <v>8.47e-96</v>
      </c>
      <c r="I10186" t="inlineStr">
        <is>
          <t>Nr</t>
        </is>
      </c>
      <c r="J10186" t="inlineStr"/>
      <c r="K10186" t="inlineStr"/>
      <c r="L10186" t="inlineStr">
        <is>
          <t>XP_018117503.1 thyroid adenoma-associated protein homolog isoform X1 [Xenopus laevis]</t>
        </is>
      </c>
      <c r="M10186" t="n">
        <v>1830</v>
      </c>
      <c r="N10186" t="inlineStr">
        <is>
          <t>Xenopus laevis</t>
        </is>
      </c>
      <c r="O10186" t="inlineStr">
        <is>
          <t>thyroid adenoma-associated protein homolog isoform X1</t>
        </is>
      </c>
    </row>
    <row r="10187">
      <c r="A10187" t="inlineStr"/>
      <c r="B10187" t="inlineStr"/>
      <c r="C10187" t="inlineStr"/>
      <c r="D10187" t="inlineStr"/>
      <c r="E10187">
        <f>HYPERLINK("https://www.ncbi.nlm.nih.gov/gene/?term=XP_044131476.1", "XP_044131476.1")</f>
        <v/>
      </c>
      <c r="F10187" t="n">
        <v>48.4</v>
      </c>
      <c r="G10187" t="n">
        <v>397</v>
      </c>
      <c r="H10187" t="n">
        <v>8.53e-96</v>
      </c>
      <c r="I10187" t="inlineStr">
        <is>
          <t>Nr</t>
        </is>
      </c>
      <c r="J10187" t="inlineStr"/>
      <c r="K10187" t="inlineStr"/>
      <c r="L10187" t="inlineStr">
        <is>
          <t>XP_044131476.1 thyroid adenoma-associated protein homolog [Bufo gargarizans]</t>
        </is>
      </c>
      <c r="M10187" t="n">
        <v>1840</v>
      </c>
      <c r="N10187" t="inlineStr">
        <is>
          <t>Bufo gargarizans</t>
        </is>
      </c>
      <c r="O10187" t="inlineStr">
        <is>
          <t>thyroid adenoma-associated protein homolog</t>
        </is>
      </c>
    </row>
    <row r="10188">
      <c r="A10188" t="inlineStr"/>
      <c r="B10188" t="inlineStr"/>
      <c r="C10188" t="inlineStr"/>
      <c r="D10188" t="inlineStr"/>
      <c r="E10188">
        <f>HYPERLINK("https://www.uniprot.org/uniprotkb/A0A8T2KFP0/entry", "A0A8T2KFP0")</f>
        <v/>
      </c>
      <c r="F10188" t="n">
        <v>48.8</v>
      </c>
      <c r="G10188" t="n">
        <v>402</v>
      </c>
      <c r="H10188" t="n">
        <v>1.15e-95</v>
      </c>
      <c r="I10188" t="inlineStr">
        <is>
          <t>TrEMBL</t>
        </is>
      </c>
      <c r="J10188" t="inlineStr">
        <is>
          <t>GDO86_001915</t>
        </is>
      </c>
      <c r="K10188" t="inlineStr">
        <is>
          <t>A0A8T2KFP0_9PIPI</t>
        </is>
      </c>
      <c r="L10188" t="inlineStr">
        <is>
          <t>tr|A0A8T2KFP0|A0A8T2KFP0_9PIPI DUF2428 domain-containing protein OS=Hymenochirus boettgeri OX=247094 GN=GDO86_001915 PE=3 SV=1</t>
        </is>
      </c>
      <c r="M10188" t="n">
        <v>1854</v>
      </c>
      <c r="N10188" t="inlineStr">
        <is>
          <t>Hymenochirus boettgeri</t>
        </is>
      </c>
      <c r="O10188" t="inlineStr">
        <is>
          <t>DUF2428 domain-containing protein</t>
        </is>
      </c>
    </row>
    <row r="10189">
      <c r="A10189" t="inlineStr"/>
      <c r="B10189" t="inlineStr"/>
      <c r="C10189" t="inlineStr"/>
      <c r="D10189" t="inlineStr"/>
      <c r="E10189">
        <f>HYPERLINK("https://www.ncbi.nlm.nih.gov/gene/?term=KAG8455899.1", "KAG8455899.1")</f>
        <v/>
      </c>
      <c r="F10189" t="n">
        <v>48.8</v>
      </c>
      <c r="G10189" t="n">
        <v>402</v>
      </c>
      <c r="H10189" t="n">
        <v>2.96e-95</v>
      </c>
      <c r="I10189" t="inlineStr">
        <is>
          <t>Nr</t>
        </is>
      </c>
      <c r="J10189" t="inlineStr"/>
      <c r="K10189" t="inlineStr"/>
      <c r="L10189" t="inlineStr">
        <is>
          <t>KAG8455899.1 hypothetical protein GDO86_001915 [Hymenochirus boettgeri]</t>
        </is>
      </c>
      <c r="M10189" t="n">
        <v>1854</v>
      </c>
      <c r="N10189" t="inlineStr">
        <is>
          <t>Hymenochirus boettgeri</t>
        </is>
      </c>
      <c r="O10189" t="inlineStr">
        <is>
          <t>hypothetical protein GDO86_001915</t>
        </is>
      </c>
    </row>
    <row r="10190">
      <c r="A10190" t="inlineStr"/>
      <c r="B10190" t="inlineStr"/>
      <c r="C10190" t="inlineStr"/>
      <c r="D10190" t="inlineStr"/>
      <c r="E10190">
        <f>HYPERLINK("https://www.ncbi.nlm.nih.gov/gene/?term=XP_018424157.1", "XP_018424157.1")</f>
        <v/>
      </c>
      <c r="F10190" t="n">
        <v>47.2</v>
      </c>
      <c r="G10190" t="n">
        <v>396</v>
      </c>
      <c r="H10190" t="n">
        <v>1.21e-91</v>
      </c>
      <c r="I10190" t="inlineStr">
        <is>
          <t>Nr</t>
        </is>
      </c>
      <c r="J10190" t="inlineStr"/>
      <c r="K10190" t="inlineStr"/>
      <c r="L10190" t="inlineStr">
        <is>
          <t>XP_018424157.1 PREDICTED: thyroid adenoma-associated protein homolog [Nanorana parkeri]</t>
        </is>
      </c>
      <c r="M10190" t="n">
        <v>1822</v>
      </c>
      <c r="N10190" t="inlineStr">
        <is>
          <t>Nanorana parkeri</t>
        </is>
      </c>
      <c r="O10190" t="inlineStr">
        <is>
          <t>PREDICTED: thyroid adenoma-associated protein homolog</t>
        </is>
      </c>
    </row>
    <row r="10191">
      <c r="A10191" t="inlineStr"/>
      <c r="B10191" t="inlineStr"/>
      <c r="C10191" t="inlineStr"/>
      <c r="D10191" t="inlineStr"/>
      <c r="E10191">
        <f>HYPERLINK("https://www.uniprot.org/uniprotkb/A0A5S6M2D3/entry", "A0A5S6M2D3")</f>
        <v/>
      </c>
      <c r="F10191" t="n">
        <v>45.5</v>
      </c>
      <c r="G10191" t="n">
        <v>396</v>
      </c>
      <c r="H10191" t="n">
        <v>9.769999999999999e-91</v>
      </c>
      <c r="I10191" t="inlineStr">
        <is>
          <t>TrEMBL</t>
        </is>
      </c>
      <c r="J10191" t="inlineStr">
        <is>
          <t>asf1b</t>
        </is>
      </c>
      <c r="K10191" t="inlineStr">
        <is>
          <t>A0A5S6M2D3_XENTR</t>
        </is>
      </c>
      <c r="L10191" t="inlineStr">
        <is>
          <t>tr|A0A5S6M2D3|A0A5S6M2D3_XENTR Histone chaperone asf1b OS=Xenopus tropicalis OX=8364 GN=asf1b PE=3 SV=1</t>
        </is>
      </c>
      <c r="M10191" t="n">
        <v>1345</v>
      </c>
      <c r="N10191" t="inlineStr">
        <is>
          <t>Xenopus tropicalis</t>
        </is>
      </c>
      <c r="O10191" t="inlineStr">
        <is>
          <t>Histone chaperone asf1b</t>
        </is>
      </c>
    </row>
    <row r="10192">
      <c r="A10192" t="inlineStr"/>
      <c r="B10192" t="inlineStr"/>
      <c r="C10192" t="inlineStr"/>
      <c r="D10192" t="inlineStr"/>
      <c r="E10192">
        <f>HYPERLINK("https://www.ncbi.nlm.nih.gov/gene/?term=KAE8634673.1", "KAE8634673.1")</f>
        <v/>
      </c>
      <c r="F10192" t="n">
        <v>45.5</v>
      </c>
      <c r="G10192" t="n">
        <v>396</v>
      </c>
      <c r="H10192" t="n">
        <v>1.95e-90</v>
      </c>
      <c r="I10192" t="inlineStr">
        <is>
          <t>Nr</t>
        </is>
      </c>
      <c r="J10192" t="inlineStr"/>
      <c r="K10192" t="inlineStr"/>
      <c r="L10192" t="inlineStr">
        <is>
          <t>KAE8634673.1 hypothetical protein XENTR_v10002401 [Xenopus tropicalis]</t>
        </is>
      </c>
      <c r="M10192" t="n">
        <v>1309</v>
      </c>
      <c r="N10192" t="inlineStr">
        <is>
          <t>Xenopus tropicalis</t>
        </is>
      </c>
      <c r="O10192" t="inlineStr">
        <is>
          <t>hypothetical protein XENTR_v10002401</t>
        </is>
      </c>
    </row>
    <row r="10193">
      <c r="A10193" t="inlineStr"/>
      <c r="B10193" t="inlineStr"/>
      <c r="C10193" t="inlineStr"/>
      <c r="D10193" t="inlineStr"/>
      <c r="E10193">
        <f>HYPERLINK("https://www.uniprot.org/uniprotkb/A0A6I8R3A6/entry", "A0A6I8R3A6")</f>
        <v/>
      </c>
      <c r="F10193" t="n">
        <v>45.5</v>
      </c>
      <c r="G10193" t="n">
        <v>396</v>
      </c>
      <c r="H10193" t="n">
        <v>3.58e-90</v>
      </c>
      <c r="I10193" t="inlineStr">
        <is>
          <t>TrEMBL</t>
        </is>
      </c>
      <c r="J10193" t="inlineStr">
        <is>
          <t>LOC100492758</t>
        </is>
      </c>
      <c r="K10193" t="inlineStr">
        <is>
          <t>A0A6I8R3A6_XENTR</t>
        </is>
      </c>
      <c r="L10193" t="inlineStr">
        <is>
          <t>tr|A0A6I8R3A6|A0A6I8R3A6_XENTR Thyroid adenoma-associated protein homolog OS=Xenopus tropicalis OX=8364 GN=LOC100492758 PE=3 SV=2</t>
        </is>
      </c>
      <c r="M10193" t="n">
        <v>1843</v>
      </c>
      <c r="N10193" t="inlineStr">
        <is>
          <t>Xenopus tropicalis</t>
        </is>
      </c>
      <c r="O10193" t="inlineStr">
        <is>
          <t>Thyroid adenoma-associated protein homolog</t>
        </is>
      </c>
    </row>
    <row r="10194">
      <c r="A10194" t="inlineStr"/>
      <c r="B10194" t="inlineStr"/>
      <c r="C10194" t="inlineStr"/>
      <c r="D10194" t="inlineStr"/>
      <c r="E10194">
        <f>HYPERLINK("https://www.ncbi.nlm.nih.gov/gene/?term=XP_017945715.2", "XP_017945715.2")</f>
        <v/>
      </c>
      <c r="F10194" t="n">
        <v>45.5</v>
      </c>
      <c r="G10194" t="n">
        <v>396</v>
      </c>
      <c r="H10194" t="n">
        <v>9.189999999999999e-90</v>
      </c>
      <c r="I10194" t="inlineStr">
        <is>
          <t>Nr</t>
        </is>
      </c>
      <c r="J10194" t="inlineStr"/>
      <c r="K10194" t="inlineStr"/>
      <c r="L10194" t="inlineStr">
        <is>
          <t>XP_017945715.2 thyroid adenoma-associated protein homolog [Xenopus tropicalis]</t>
        </is>
      </c>
      <c r="M10194" t="n">
        <v>1843</v>
      </c>
      <c r="N10194" t="inlineStr">
        <is>
          <t>Xenopus tropicalis</t>
        </is>
      </c>
      <c r="O10194" t="inlineStr">
        <is>
          <t>thyroid adenoma-associated protein homolog</t>
        </is>
      </c>
    </row>
    <row r="10195">
      <c r="A10195" t="inlineStr"/>
      <c r="B10195" t="inlineStr"/>
      <c r="C10195" t="inlineStr"/>
      <c r="D10195" t="inlineStr"/>
      <c r="E10195">
        <f>HYPERLINK("https://www.ncbi.nlm.nih.gov/gene/?term=KAG8597247.1", "KAG8597247.1")</f>
        <v/>
      </c>
      <c r="F10195" t="n">
        <v>46.9</v>
      </c>
      <c r="G10195" t="n">
        <v>399</v>
      </c>
      <c r="H10195" t="n">
        <v>2.76e-87</v>
      </c>
      <c r="I10195" t="inlineStr">
        <is>
          <t>Nr</t>
        </is>
      </c>
      <c r="J10195" t="inlineStr"/>
      <c r="K10195" t="inlineStr"/>
      <c r="L10195" t="inlineStr">
        <is>
          <t>KAG8597247.1 hypothetical protein GDO81_002221 [Engystomops pustulosus]</t>
        </is>
      </c>
      <c r="M10195" t="n">
        <v>1623</v>
      </c>
      <c r="N10195" t="inlineStr">
        <is>
          <t>Engystomops pustulosus</t>
        </is>
      </c>
      <c r="O10195" t="inlineStr">
        <is>
          <t>hypothetical protein GDO81_002221</t>
        </is>
      </c>
    </row>
    <row r="10196">
      <c r="A10196" t="inlineStr"/>
      <c r="B10196" t="inlineStr"/>
      <c r="C10196" t="inlineStr"/>
      <c r="D10196" t="inlineStr"/>
      <c r="E10196">
        <f>HYPERLINK("https://www.ncbi.nlm.nih.gov/gene/?term=KAG8597246.1", "KAG8597246.1")</f>
        <v/>
      </c>
      <c r="F10196" t="n">
        <v>46.9</v>
      </c>
      <c r="G10196" t="n">
        <v>399</v>
      </c>
      <c r="H10196" t="n">
        <v>3.18e-87</v>
      </c>
      <c r="I10196" t="inlineStr">
        <is>
          <t>Nr</t>
        </is>
      </c>
      <c r="J10196" t="inlineStr"/>
      <c r="K10196" t="inlineStr"/>
      <c r="L10196" t="inlineStr">
        <is>
          <t>KAG8597246.1 hypothetical protein GDO81_002221 [Engystomops pustulosus]</t>
        </is>
      </c>
      <c r="M10196" t="n">
        <v>1823</v>
      </c>
      <c r="N10196" t="inlineStr">
        <is>
          <t>Engystomops pustulosus</t>
        </is>
      </c>
      <c r="O10196" t="inlineStr">
        <is>
          <t>hypothetical protein GDO81_002221</t>
        </is>
      </c>
    </row>
    <row r="10197">
      <c r="A10197" t="inlineStr"/>
      <c r="B10197" t="inlineStr"/>
      <c r="C10197" t="inlineStr"/>
      <c r="D10197" t="inlineStr"/>
      <c r="E10197">
        <f>HYPERLINK("https://www.uniprot.org/uniprotkb/A0A8J6KCQ1/entry", "A0A8J6KCQ1")</f>
        <v/>
      </c>
      <c r="F10197" t="n">
        <v>49.2</v>
      </c>
      <c r="G10197" t="n">
        <v>329</v>
      </c>
      <c r="H10197" t="n">
        <v>1.12e-80</v>
      </c>
      <c r="I10197" t="inlineStr">
        <is>
          <t>TrEMBL</t>
        </is>
      </c>
      <c r="J10197" t="inlineStr">
        <is>
          <t>GDO78_007361</t>
        </is>
      </c>
      <c r="K10197" t="inlineStr">
        <is>
          <t>A0A8J6KCQ1_ELECQ</t>
        </is>
      </c>
      <c r="L10197" t="inlineStr">
        <is>
          <t>tr|A0A8J6KCQ1|A0A8J6KCQ1_ELECQ DUF2428 domain-containing protein OS=Eleutherodactylus coqui OX=57060 GN=GDO78_007361 PE=3 SV=1</t>
        </is>
      </c>
      <c r="M10197" t="n">
        <v>1227</v>
      </c>
      <c r="N10197" t="inlineStr">
        <is>
          <t>Eleutherodactylus coqui</t>
        </is>
      </c>
      <c r="O10197" t="inlineStr">
        <is>
          <t>DUF2428 domain-containing protein</t>
        </is>
      </c>
    </row>
    <row r="10198">
      <c r="A10198" t="inlineStr"/>
      <c r="B10198" t="inlineStr"/>
      <c r="C10198" t="inlineStr"/>
      <c r="D10198" t="inlineStr"/>
      <c r="E10198">
        <f>HYPERLINK("https://www.ncbi.nlm.nih.gov/gene/?term=KAG9487461.1", "KAG9487461.1")</f>
        <v/>
      </c>
      <c r="F10198" t="n">
        <v>49.2</v>
      </c>
      <c r="G10198" t="n">
        <v>329</v>
      </c>
      <c r="H10198" t="n">
        <v>2.89e-80</v>
      </c>
      <c r="I10198" t="inlineStr">
        <is>
          <t>Nr</t>
        </is>
      </c>
      <c r="J10198" t="inlineStr"/>
      <c r="K10198" t="inlineStr"/>
      <c r="L10198" t="inlineStr">
        <is>
          <t>KAG9487461.1 hypothetical protein GDO78_007361 [Eleutherodactylus coqui]</t>
        </is>
      </c>
      <c r="M10198" t="n">
        <v>1227</v>
      </c>
      <c r="N10198" t="inlineStr">
        <is>
          <t>Eleutherodactylus coqui</t>
        </is>
      </c>
      <c r="O10198" t="inlineStr">
        <is>
          <t>hypothetical protein GDO78_007361</t>
        </is>
      </c>
    </row>
    <row r="10199">
      <c r="A10199" t="inlineStr"/>
      <c r="B10199" t="inlineStr"/>
      <c r="C10199" t="inlineStr"/>
      <c r="D10199" t="inlineStr"/>
      <c r="E10199">
        <f>HYPERLINK("https://www.uniprot.org/uniprotkb/A0A821KK94/entry", "A0A821KK94")</f>
        <v/>
      </c>
      <c r="F10199" t="n">
        <v>50.2</v>
      </c>
      <c r="G10199" t="n">
        <v>283</v>
      </c>
      <c r="H10199" t="n">
        <v>4.32e-78</v>
      </c>
      <c r="I10199" t="inlineStr">
        <is>
          <t>TrEMBL</t>
        </is>
      </c>
      <c r="J10199" t="inlineStr">
        <is>
          <t>RIMITATOR_LOCUS2261850</t>
        </is>
      </c>
      <c r="K10199" t="inlineStr">
        <is>
          <t>A0A821KK94_9NEOB</t>
        </is>
      </c>
      <c r="L10199" t="inlineStr">
        <is>
          <t>tr|A0A821KK94|A0A821KK94_9NEOB (mimic poison frog) hypothetical protein OS=Ranitomeya imitator OX=111125 GN=RIMITATOR_LOCUS2261850 PE=4 SV=1</t>
        </is>
      </c>
      <c r="M10199" t="n">
        <v>305</v>
      </c>
      <c r="N10199" t="inlineStr">
        <is>
          <t>Ranitomeya imitator</t>
        </is>
      </c>
      <c r="O10199" t="inlineStr">
        <is>
          <t>(mimic poison frog) hypothetical protein</t>
        </is>
      </c>
    </row>
    <row r="10200">
      <c r="A10200" t="inlineStr"/>
      <c r="B10200" t="inlineStr"/>
      <c r="C10200" t="inlineStr"/>
      <c r="D10200" t="inlineStr"/>
      <c r="E10200">
        <f>HYPERLINK("https://www.uniprot.org/uniprotkb/A0A8J6KDA0/entry", "A0A8J6KDA0")</f>
        <v/>
      </c>
      <c r="F10200" t="n">
        <v>45.8</v>
      </c>
      <c r="G10200" t="n">
        <v>354</v>
      </c>
      <c r="H10200" t="n">
        <v>1.17e-75</v>
      </c>
      <c r="I10200" t="inlineStr">
        <is>
          <t>TrEMBL</t>
        </is>
      </c>
      <c r="J10200" t="inlineStr">
        <is>
          <t>GDO78_007361</t>
        </is>
      </c>
      <c r="K10200" t="inlineStr">
        <is>
          <t>A0A8J6KDA0_ELECQ</t>
        </is>
      </c>
      <c r="L10200" t="inlineStr">
        <is>
          <t>tr|A0A8J6KDA0|A0A8J6KDA0_ELECQ DUF2428 domain-containing protein OS=Eleutherodactylus coqui OX=57060 GN=GDO78_007361 PE=3 SV=1</t>
        </is>
      </c>
      <c r="M10200" t="n">
        <v>1252</v>
      </c>
      <c r="N10200" t="inlineStr">
        <is>
          <t>Eleutherodactylus coqui</t>
        </is>
      </c>
      <c r="O10200" t="inlineStr">
        <is>
          <t>DUF2428 domain-containing protein</t>
        </is>
      </c>
    </row>
    <row r="10201">
      <c r="A10201" t="inlineStr"/>
      <c r="B10201" t="inlineStr"/>
      <c r="C10201" t="inlineStr"/>
      <c r="D10201" t="inlineStr"/>
      <c r="E10201">
        <f>HYPERLINK("https://www.ncbi.nlm.nih.gov/gene/?term=KAG9487460.1", "KAG9487460.1")</f>
        <v/>
      </c>
      <c r="F10201" t="n">
        <v>45.8</v>
      </c>
      <c r="G10201" t="n">
        <v>354</v>
      </c>
      <c r="H10201" t="n">
        <v>3.01e-75</v>
      </c>
      <c r="I10201" t="inlineStr">
        <is>
          <t>Nr</t>
        </is>
      </c>
      <c r="J10201" t="inlineStr"/>
      <c r="K10201" t="inlineStr"/>
      <c r="L10201" t="inlineStr">
        <is>
          <t>KAG9487460.1 hypothetical protein GDO78_007361 [Eleutherodactylus coqui]</t>
        </is>
      </c>
      <c r="M10201" t="n">
        <v>1252</v>
      </c>
      <c r="N10201" t="inlineStr">
        <is>
          <t>Eleutherodactylus coqui</t>
        </is>
      </c>
      <c r="O10201" t="inlineStr">
        <is>
          <t>hypothetical protein GDO78_007361</t>
        </is>
      </c>
    </row>
    <row r="10202">
      <c r="A10202" t="inlineStr"/>
      <c r="B10202" t="inlineStr"/>
      <c r="C10202" t="inlineStr"/>
      <c r="D10202" t="inlineStr"/>
      <c r="E10202">
        <f>HYPERLINK("https://www.ncbi.nlm.nih.gov/gene/?term=XP_044137709.1", "XP_044137709.1")</f>
        <v/>
      </c>
      <c r="F10202" t="n">
        <v>48</v>
      </c>
      <c r="G10202" t="n">
        <v>271</v>
      </c>
      <c r="H10202" t="n">
        <v>4.75e-56</v>
      </c>
      <c r="I10202" t="inlineStr">
        <is>
          <t>Nr</t>
        </is>
      </c>
      <c r="J10202" t="inlineStr"/>
      <c r="K10202" t="inlineStr"/>
      <c r="L10202" t="inlineStr">
        <is>
          <t>XP_044137709.1 thyroid adenoma-associated protein homolog [Bufo gargarizans]</t>
        </is>
      </c>
      <c r="M10202" t="n">
        <v>1740</v>
      </c>
      <c r="N10202" t="inlineStr">
        <is>
          <t>Bufo gargarizans</t>
        </is>
      </c>
      <c r="O10202" t="inlineStr">
        <is>
          <t>thyroid adenoma-associated protein homolog</t>
        </is>
      </c>
    </row>
    <row r="10203">
      <c r="A10203" t="inlineStr"/>
      <c r="B10203" t="inlineStr"/>
      <c r="C10203" t="inlineStr"/>
      <c r="D10203" t="inlineStr"/>
      <c r="E10203">
        <f>HYPERLINK("https://www.uniprot.org/uniprotkb/A0A8C3FY54/entry", "A0A8C3FY54")</f>
        <v/>
      </c>
      <c r="F10203" t="n">
        <v>35.8</v>
      </c>
      <c r="G10203" t="n">
        <v>405</v>
      </c>
      <c r="H10203" t="n">
        <v>2.9e-55</v>
      </c>
      <c r="I10203" t="inlineStr">
        <is>
          <t>TrEMBL</t>
        </is>
      </c>
      <c r="J10203" t="inlineStr"/>
      <c r="K10203" t="inlineStr">
        <is>
          <t>A0A8C3FY54_CHRPI</t>
        </is>
      </c>
      <c r="L10203" t="inlineStr">
        <is>
          <t>tr|A0A8C3FY54|A0A8C3FY54_CHRPI DUF2428 domain-containing protein OS=Chrysemys picta bellii OX=8478 PE=3 SV=1</t>
        </is>
      </c>
      <c r="M10203" t="n">
        <v>1779</v>
      </c>
      <c r="N10203" t="inlineStr">
        <is>
          <t>Chrysemys picta bellii</t>
        </is>
      </c>
      <c r="O10203" t="inlineStr">
        <is>
          <t>DUF2428 domain-containing protein</t>
        </is>
      </c>
    </row>
    <row r="10204">
      <c r="A10204" t="inlineStr"/>
      <c r="B10204" t="inlineStr"/>
      <c r="C10204" t="inlineStr"/>
      <c r="D10204" t="inlineStr"/>
      <c r="E10204">
        <f>HYPERLINK("https://www.uniprot.org/uniprotkb/A0A8C3FY24/entry", "A0A8C3FY24")</f>
        <v/>
      </c>
      <c r="F10204" t="n">
        <v>35.8</v>
      </c>
      <c r="G10204" t="n">
        <v>405</v>
      </c>
      <c r="H10204" t="n">
        <v>2.94e-55</v>
      </c>
      <c r="I10204" t="inlineStr">
        <is>
          <t>TrEMBL</t>
        </is>
      </c>
      <c r="J10204" t="inlineStr"/>
      <c r="K10204" t="inlineStr">
        <is>
          <t>A0A8C3FY24_CHRPI</t>
        </is>
      </c>
      <c r="L10204" t="inlineStr">
        <is>
          <t>tr|A0A8C3FY24|A0A8C3FY24_CHRPI DUF2428 domain-containing protein OS=Chrysemys picta bellii OX=8478 PE=3 SV=1</t>
        </is>
      </c>
      <c r="M10204" t="n">
        <v>1900</v>
      </c>
      <c r="N10204" t="inlineStr">
        <is>
          <t>Chrysemys picta bellii</t>
        </is>
      </c>
      <c r="O10204" t="inlineStr">
        <is>
          <t>DUF2428 domain-containing protein</t>
        </is>
      </c>
    </row>
    <row r="10205">
      <c r="A10205" t="inlineStr"/>
      <c r="B10205" t="inlineStr"/>
      <c r="C10205" t="inlineStr"/>
      <c r="D10205" t="inlineStr"/>
      <c r="E10205">
        <f>HYPERLINK("https://www.uniprot.org/uniprotkb/A8C754/entry", "A8C754")</f>
        <v/>
      </c>
      <c r="F10205" t="n">
        <v>24.5</v>
      </c>
      <c r="G10205" t="n">
        <v>1103</v>
      </c>
      <c r="H10205" t="n">
        <v>6.45e-55</v>
      </c>
      <c r="I10205" t="inlineStr">
        <is>
          <t>Swiss-Prot</t>
        </is>
      </c>
      <c r="J10205" t="inlineStr">
        <is>
          <t>THADA</t>
        </is>
      </c>
      <c r="K10205" t="inlineStr">
        <is>
          <t>THADA_CHICK</t>
        </is>
      </c>
      <c r="L10205" t="inlineStr">
        <is>
          <t>sp|A8C754|THADA_CHICK Thyroid adenoma-associated protein homolog OS=Gallus gallus OX=9031 GN=THADA PE=2 SV=1</t>
        </is>
      </c>
      <c r="M10205" t="n">
        <v>1930</v>
      </c>
      <c r="N10205" t="inlineStr">
        <is>
          <t>Gallus gallus</t>
        </is>
      </c>
      <c r="O10205" t="inlineStr">
        <is>
          <t>Thyroid adenoma-associated protein homolog</t>
        </is>
      </c>
    </row>
    <row r="10206">
      <c r="A10206" t="inlineStr"/>
      <c r="B10206" t="inlineStr"/>
      <c r="C10206" t="inlineStr"/>
      <c r="D10206" t="inlineStr"/>
      <c r="E10206">
        <f>HYPERLINK("https://www.ncbi.nlm.nih.gov/gene/?term=XP_042697505.1", "XP_042697505.1")</f>
        <v/>
      </c>
      <c r="F10206" t="n">
        <v>35.8</v>
      </c>
      <c r="G10206" t="n">
        <v>405</v>
      </c>
      <c r="H10206" t="n">
        <v>7.229999999999999e-55</v>
      </c>
      <c r="I10206" t="inlineStr">
        <is>
          <t>Nr</t>
        </is>
      </c>
      <c r="J10206" t="inlineStr"/>
      <c r="K10206" t="inlineStr"/>
      <c r="L10206" t="inlineStr">
        <is>
          <t>XP_042697505.1 thyroid adenoma-associated protein homolog isoform X6 [Chrysemys picta bellii]</t>
        </is>
      </c>
      <c r="M10206" t="n">
        <v>1563</v>
      </c>
      <c r="N10206" t="inlineStr">
        <is>
          <t>Chrysemys picta bellii</t>
        </is>
      </c>
      <c r="O10206" t="inlineStr">
        <is>
          <t>thyroid adenoma-associated protein homolog isoform X6</t>
        </is>
      </c>
    </row>
    <row r="10207">
      <c r="A10207" t="inlineStr"/>
      <c r="B10207" t="inlineStr"/>
      <c r="C10207" t="inlineStr"/>
      <c r="D10207" t="inlineStr"/>
      <c r="E10207">
        <f>HYPERLINK("https://www.ncbi.nlm.nih.gov/gene/?term=XP_042697504.1", "XP_042697504.1")</f>
        <v/>
      </c>
      <c r="F10207" t="n">
        <v>35.8</v>
      </c>
      <c r="G10207" t="n">
        <v>405</v>
      </c>
      <c r="H10207" t="n">
        <v>7.52e-55</v>
      </c>
      <c r="I10207" t="inlineStr">
        <is>
          <t>Nr</t>
        </is>
      </c>
      <c r="J10207" t="inlineStr"/>
      <c r="K10207" t="inlineStr"/>
      <c r="L10207" t="inlineStr">
        <is>
          <t>XP_042697504.1 thyroid adenoma-associated protein homolog isoform X5 [Chrysemys picta bellii]</t>
        </is>
      </c>
      <c r="M10207" t="n">
        <v>1851</v>
      </c>
      <c r="N10207" t="inlineStr">
        <is>
          <t>Chrysemys picta bellii</t>
        </is>
      </c>
      <c r="O10207" t="inlineStr">
        <is>
          <t>thyroid adenoma-associated protein homolog isoform X5</t>
        </is>
      </c>
    </row>
    <row r="10208">
      <c r="A10208" t="inlineStr"/>
      <c r="B10208" t="inlineStr"/>
      <c r="C10208" t="inlineStr"/>
      <c r="D10208" t="inlineStr"/>
      <c r="E10208">
        <f>HYPERLINK("https://www.ncbi.nlm.nih.gov/gene/?term=XP_005281130.1", "XP_005281130.1")</f>
        <v/>
      </c>
      <c r="F10208" t="n">
        <v>35.8</v>
      </c>
      <c r="G10208" t="n">
        <v>405</v>
      </c>
      <c r="H10208" t="n">
        <v>7.56e-55</v>
      </c>
      <c r="I10208" t="inlineStr">
        <is>
          <t>Nr</t>
        </is>
      </c>
      <c r="J10208" t="inlineStr"/>
      <c r="K10208" t="inlineStr"/>
      <c r="L10208" t="inlineStr">
        <is>
          <t>XP_005281130.1 thyroid adenoma-associated protein homolog isoform X3 [Chrysemys picta bellii]</t>
        </is>
      </c>
      <c r="M10208" t="n">
        <v>1900</v>
      </c>
      <c r="N10208" t="inlineStr">
        <is>
          <t>Chrysemys picta bellii</t>
        </is>
      </c>
      <c r="O10208" t="inlineStr">
        <is>
          <t>thyroid adenoma-associated protein homolog isoform X3</t>
        </is>
      </c>
    </row>
    <row r="10209">
      <c r="A10209" t="inlineStr"/>
      <c r="B10209" t="inlineStr"/>
      <c r="C10209" t="inlineStr"/>
      <c r="D10209" t="inlineStr"/>
      <c r="E10209">
        <f>HYPERLINK("https://www.ncbi.nlm.nih.gov/gene/?term=XP_042697501.1", "XP_042697501.1")</f>
        <v/>
      </c>
      <c r="F10209" t="n">
        <v>35.8</v>
      </c>
      <c r="G10209" t="n">
        <v>405</v>
      </c>
      <c r="H10209" t="n">
        <v>7.57e-55</v>
      </c>
      <c r="I10209" t="inlineStr">
        <is>
          <t>Nr</t>
        </is>
      </c>
      <c r="J10209" t="inlineStr"/>
      <c r="K10209" t="inlineStr"/>
      <c r="L10209" t="inlineStr">
        <is>
          <t>XP_042697501.1 thyroid adenoma-associated protein homolog isoform X2 [Chrysemys picta bellii]</t>
        </is>
      </c>
      <c r="M10209" t="n">
        <v>1905</v>
      </c>
      <c r="N10209" t="inlineStr">
        <is>
          <t>Chrysemys picta bellii</t>
        </is>
      </c>
      <c r="O10209" t="inlineStr">
        <is>
          <t>thyroid adenoma-associated protein homolog isoform X2</t>
        </is>
      </c>
    </row>
    <row r="10210">
      <c r="A10210" t="inlineStr"/>
      <c r="B10210" t="inlineStr"/>
      <c r="C10210" t="inlineStr"/>
      <c r="D10210" t="inlineStr"/>
      <c r="E10210">
        <f>HYPERLINK("https://www.ncbi.nlm.nih.gov/gene/?term=XP_042697500.1", "XP_042697500.1")</f>
        <v/>
      </c>
      <c r="F10210" t="n">
        <v>35.8</v>
      </c>
      <c r="G10210" t="n">
        <v>405</v>
      </c>
      <c r="H10210" t="n">
        <v>7.59e-55</v>
      </c>
      <c r="I10210" t="inlineStr">
        <is>
          <t>Nr</t>
        </is>
      </c>
      <c r="J10210" t="inlineStr"/>
      <c r="K10210" t="inlineStr"/>
      <c r="L10210" t="inlineStr">
        <is>
          <t>XP_042697500.1 thyroid adenoma-associated protein homolog isoform X1 [Chrysemys picta bellii]</t>
        </is>
      </c>
      <c r="M10210" t="n">
        <v>1934</v>
      </c>
      <c r="N10210" t="inlineStr">
        <is>
          <t>Chrysemys picta bellii</t>
        </is>
      </c>
      <c r="O10210" t="inlineStr">
        <is>
          <t>thyroid adenoma-associated protein homolog isoform X1</t>
        </is>
      </c>
    </row>
    <row r="10211">
      <c r="A10211" t="inlineStr"/>
      <c r="B10211" t="inlineStr"/>
      <c r="C10211" t="inlineStr"/>
      <c r="D10211" t="inlineStr"/>
      <c r="E10211">
        <f>HYPERLINK("https://www.uniprot.org/uniprotkb/A0A674INM9/entry", "A0A674INM9")</f>
        <v/>
      </c>
      <c r="F10211" t="n">
        <v>35.8</v>
      </c>
      <c r="G10211" t="n">
        <v>405</v>
      </c>
      <c r="H10211" t="n">
        <v>9.99e-55</v>
      </c>
      <c r="I10211" t="inlineStr">
        <is>
          <t>TrEMBL</t>
        </is>
      </c>
      <c r="J10211" t="inlineStr">
        <is>
          <t>LOC112120414</t>
        </is>
      </c>
      <c r="K10211" t="inlineStr">
        <is>
          <t>A0A674INM9_TERCA</t>
        </is>
      </c>
      <c r="L10211" t="inlineStr">
        <is>
          <t>tr|A0A674INM9|A0A674INM9_TERCA Thyroid adenoma-associated protein homolog OS=Terrapene carolina triunguis OX=2587831 GN=LOC112120414 PE=3 SV=1</t>
        </is>
      </c>
      <c r="M10211" t="n">
        <v>1900</v>
      </c>
      <c r="N10211" t="inlineStr">
        <is>
          <t>Terrapene carolina triunguis</t>
        </is>
      </c>
      <c r="O10211" t="inlineStr">
        <is>
          <t>Thyroid adenoma-associated protein homolog</t>
        </is>
      </c>
    </row>
    <row r="10212">
      <c r="A10212" t="inlineStr"/>
      <c r="B10212" t="inlineStr"/>
      <c r="C10212" t="inlineStr"/>
      <c r="D10212" t="inlineStr"/>
      <c r="E10212">
        <f>HYPERLINK("https://www.ncbi.nlm.nih.gov/gene/?term=XP_050779938.1", "XP_050779938.1")</f>
        <v/>
      </c>
      <c r="F10212" t="n">
        <v>35.8</v>
      </c>
      <c r="G10212" t="n">
        <v>405</v>
      </c>
      <c r="H10212" t="n">
        <v>2.53e-54</v>
      </c>
      <c r="I10212" t="inlineStr">
        <is>
          <t>Nr</t>
        </is>
      </c>
      <c r="J10212" t="inlineStr"/>
      <c r="K10212" t="inlineStr"/>
      <c r="L10212" t="inlineStr">
        <is>
          <t>XP_050779938.1 thyroid adenoma-associated protein homolog isoform X3 [Gopherus flavomarginatus]</t>
        </is>
      </c>
      <c r="M10212" t="n">
        <v>1779</v>
      </c>
      <c r="N10212" t="inlineStr">
        <is>
          <t>Gopherus flavomarginatus</t>
        </is>
      </c>
      <c r="O10212" t="inlineStr">
        <is>
          <t>thyroid adenoma-associated protein homolog isoform X3</t>
        </is>
      </c>
    </row>
    <row r="10213">
      <c r="A10213" t="inlineStr"/>
      <c r="B10213" t="inlineStr"/>
      <c r="C10213" t="inlineStr"/>
      <c r="D10213" t="inlineStr"/>
      <c r="E10213">
        <f>HYPERLINK("https://www.ncbi.nlm.nih.gov/gene/?term=XP_050779937.1", "XP_050779937.1")</f>
        <v/>
      </c>
      <c r="F10213" t="n">
        <v>35.8</v>
      </c>
      <c r="G10213" t="n">
        <v>405</v>
      </c>
      <c r="H10213" t="n">
        <v>2.53e-54</v>
      </c>
      <c r="I10213" t="inlineStr">
        <is>
          <t>Nr</t>
        </is>
      </c>
      <c r="J10213" t="inlineStr"/>
      <c r="K10213" t="inlineStr"/>
      <c r="L10213" t="inlineStr">
        <is>
          <t>XP_050779937.1 thyroid adenoma-associated protein homolog isoform X2 [Gopherus flavomarginatus]</t>
        </is>
      </c>
      <c r="M10213" t="n">
        <v>1780</v>
      </c>
      <c r="N10213" t="inlineStr">
        <is>
          <t>Gopherus flavomarginatus</t>
        </is>
      </c>
      <c r="O10213" t="inlineStr">
        <is>
          <t>thyroid adenoma-associated protein homolog isoform X2</t>
        </is>
      </c>
    </row>
    <row r="10214">
      <c r="A10214" t="inlineStr"/>
      <c r="B10214" t="inlineStr"/>
      <c r="C10214" t="inlineStr"/>
      <c r="D10214" t="inlineStr"/>
      <c r="E10214">
        <f>HYPERLINK("https://www.uniprot.org/uniprotkb/A0A452I171/entry", "A0A452I171")</f>
        <v/>
      </c>
      <c r="F10214" t="n">
        <v>35.6</v>
      </c>
      <c r="G10214" t="n">
        <v>405</v>
      </c>
      <c r="H10214" t="n">
        <v>4.14e-54</v>
      </c>
      <c r="I10214" t="inlineStr">
        <is>
          <t>TrEMBL</t>
        </is>
      </c>
      <c r="J10214" t="inlineStr"/>
      <c r="K10214" t="inlineStr">
        <is>
          <t>A0A452I171_9SAUR</t>
        </is>
      </c>
      <c r="L10214" t="inlineStr">
        <is>
          <t>tr|A0A452I171|A0A452I171_9SAUR DUF2428 domain-containing protein OS=Gopherus agassizii OX=38772 PE=3 SV=1</t>
        </is>
      </c>
      <c r="M10214" t="n">
        <v>1048</v>
      </c>
      <c r="N10214" t="inlineStr">
        <is>
          <t>Gopherus agassizii</t>
        </is>
      </c>
      <c r="O10214" t="inlineStr">
        <is>
          <t>DUF2428 domain-containing protein</t>
        </is>
      </c>
    </row>
    <row r="10215">
      <c r="A10215" t="inlineStr"/>
      <c r="B10215" t="inlineStr"/>
      <c r="C10215" t="inlineStr"/>
      <c r="D10215" t="inlineStr"/>
      <c r="E10215">
        <f>HYPERLINK("https://www.uniprot.org/uniprotkb/A0A452I155/entry", "A0A452I155")</f>
        <v/>
      </c>
      <c r="F10215" t="n">
        <v>35.6</v>
      </c>
      <c r="G10215" t="n">
        <v>405</v>
      </c>
      <c r="H10215" t="n">
        <v>4.51e-54</v>
      </c>
      <c r="I10215" t="inlineStr">
        <is>
          <t>TrEMBL</t>
        </is>
      </c>
      <c r="J10215" t="inlineStr"/>
      <c r="K10215" t="inlineStr">
        <is>
          <t>A0A452I155_9SAUR</t>
        </is>
      </c>
      <c r="L10215" t="inlineStr">
        <is>
          <t>tr|A0A452I155|A0A452I155_9SAUR DUF2428 domain-containing protein OS=Gopherus agassizii OX=38772 PE=3 SV=1</t>
        </is>
      </c>
      <c r="M10215" t="n">
        <v>1083</v>
      </c>
      <c r="N10215" t="inlineStr">
        <is>
          <t>Gopherus agassizii</t>
        </is>
      </c>
      <c r="O10215" t="inlineStr">
        <is>
          <t>DUF2428 domain-containing protein</t>
        </is>
      </c>
    </row>
    <row r="10216">
      <c r="A10216" t="inlineStr"/>
      <c r="B10216" t="inlineStr"/>
      <c r="C10216" t="inlineStr"/>
      <c r="D10216" t="inlineStr"/>
      <c r="E10216">
        <f>HYPERLINK("https://www.uniprot.org/uniprotkb/A0A8C4WH50/entry", "A0A8C4WH50")</f>
        <v/>
      </c>
      <c r="F10216" t="n">
        <v>35.6</v>
      </c>
      <c r="G10216" t="n">
        <v>405</v>
      </c>
      <c r="H10216" t="n">
        <v>4.55e-54</v>
      </c>
      <c r="I10216" t="inlineStr">
        <is>
          <t>TrEMBL</t>
        </is>
      </c>
      <c r="J10216" t="inlineStr">
        <is>
          <t>LOC115661031</t>
        </is>
      </c>
      <c r="K10216" t="inlineStr">
        <is>
          <t>A0A8C4WH50_9SAUR</t>
        </is>
      </c>
      <c r="L10216" t="inlineStr">
        <is>
          <t>tr|A0A8C4WH50|A0A8C4WH50_9SAUR Thyroid adenoma-associated protein homolog OS=Gopherus evgoodei OX=1825980 GN=LOC115661031 PE=3 SV=1</t>
        </is>
      </c>
      <c r="M10216" t="n">
        <v>1821</v>
      </c>
      <c r="N10216" t="inlineStr">
        <is>
          <t>Gopherus evgoodei</t>
        </is>
      </c>
      <c r="O10216" t="inlineStr">
        <is>
          <t>Thyroid adenoma-associated protein homolog</t>
        </is>
      </c>
    </row>
    <row r="10217">
      <c r="A10217" t="inlineStr"/>
      <c r="B10217" t="inlineStr"/>
      <c r="C10217" t="inlineStr"/>
      <c r="D10217" t="inlineStr"/>
      <c r="E10217">
        <f>HYPERLINK("https://www.uniprot.org/uniprotkb/A0A452I115/entry", "A0A452I115")</f>
        <v/>
      </c>
      <c r="F10217" t="n">
        <v>35.6</v>
      </c>
      <c r="G10217" t="n">
        <v>405</v>
      </c>
      <c r="H10217" t="n">
        <v>4.56e-54</v>
      </c>
      <c r="I10217" t="inlineStr">
        <is>
          <t>TrEMBL</t>
        </is>
      </c>
      <c r="J10217" t="inlineStr"/>
      <c r="K10217" t="inlineStr">
        <is>
          <t>A0A452I115_9SAUR</t>
        </is>
      </c>
      <c r="L10217" t="inlineStr">
        <is>
          <t>tr|A0A452I115|A0A452I115_9SAUR DUF2428 domain-containing protein OS=Gopherus agassizii OX=38772 PE=3 SV=1</t>
        </is>
      </c>
      <c r="M10217" t="n">
        <v>1088</v>
      </c>
      <c r="N10217" t="inlineStr">
        <is>
          <t>Gopherus agassizii</t>
        </is>
      </c>
      <c r="O10217" t="inlineStr">
        <is>
          <t>DUF2428 domain-containing protein</t>
        </is>
      </c>
    </row>
    <row r="10218">
      <c r="A10218" t="inlineStr"/>
      <c r="B10218" t="inlineStr"/>
      <c r="C10218" t="inlineStr"/>
      <c r="D10218" t="inlineStr"/>
      <c r="E10218">
        <f>HYPERLINK("https://www.uniprot.org/uniprotkb/A0A8C4WDH8/entry", "A0A8C4WDH8")</f>
        <v/>
      </c>
      <c r="F10218" t="n">
        <v>35.6</v>
      </c>
      <c r="G10218" t="n">
        <v>405</v>
      </c>
      <c r="H10218" t="n">
        <v>4.589999999999999e-54</v>
      </c>
      <c r="I10218" t="inlineStr">
        <is>
          <t>TrEMBL</t>
        </is>
      </c>
      <c r="J10218" t="inlineStr">
        <is>
          <t>LOC115661031</t>
        </is>
      </c>
      <c r="K10218" t="inlineStr">
        <is>
          <t>A0A8C4WDH8_9SAUR</t>
        </is>
      </c>
      <c r="L10218" t="inlineStr">
        <is>
          <t>tr|A0A8C4WDH8|A0A8C4WDH8_9SAUR Thyroid adenoma-associated protein homolog OS=Gopherus evgoodei OX=1825980 GN=LOC115661031 PE=3 SV=1</t>
        </is>
      </c>
      <c r="M10218" t="n">
        <v>1900</v>
      </c>
      <c r="N10218" t="inlineStr">
        <is>
          <t>Gopherus evgoodei</t>
        </is>
      </c>
      <c r="O10218" t="inlineStr">
        <is>
          <t>Thyroid adenoma-associated protein homolog</t>
        </is>
      </c>
    </row>
    <row r="10219">
      <c r="A10219" t="inlineStr"/>
      <c r="B10219" t="inlineStr"/>
      <c r="C10219" t="inlineStr"/>
      <c r="D10219" t="inlineStr"/>
      <c r="E10219">
        <f>HYPERLINK("https://www.uniprot.org/uniprotkb/A0A452I110/entry", "A0A452I110")</f>
        <v/>
      </c>
      <c r="F10219" t="n">
        <v>35.6</v>
      </c>
      <c r="G10219" t="n">
        <v>405</v>
      </c>
      <c r="H10219" t="n">
        <v>5.05e-54</v>
      </c>
      <c r="I10219" t="inlineStr">
        <is>
          <t>TrEMBL</t>
        </is>
      </c>
      <c r="J10219" t="inlineStr"/>
      <c r="K10219" t="inlineStr">
        <is>
          <t>A0A452I110_9SAUR</t>
        </is>
      </c>
      <c r="L10219" t="inlineStr">
        <is>
          <t>tr|A0A452I110|A0A452I110_9SAUR DUF2428 domain-containing protein OS=Gopherus agassizii OX=38772 PE=3 SV=1</t>
        </is>
      </c>
      <c r="M10219" t="n">
        <v>1150</v>
      </c>
      <c r="N10219" t="inlineStr">
        <is>
          <t>Gopherus agassizii</t>
        </is>
      </c>
      <c r="O10219" t="inlineStr">
        <is>
          <t>DUF2428 domain-containing protein</t>
        </is>
      </c>
    </row>
    <row r="10220">
      <c r="A10220" t="inlineStr"/>
      <c r="B10220" t="inlineStr"/>
      <c r="C10220" t="inlineStr"/>
      <c r="D10220" t="inlineStr"/>
      <c r="E10220">
        <f>HYPERLINK("https://www.uniprot.org/uniprotkb/A8C756/entry", "A8C756")</f>
        <v/>
      </c>
      <c r="F10220" t="n">
        <v>23.8</v>
      </c>
      <c r="G10220" t="n">
        <v>1161</v>
      </c>
      <c r="H10220" t="n">
        <v>2.25e-53</v>
      </c>
      <c r="I10220" t="inlineStr">
        <is>
          <t>Swiss-Prot</t>
        </is>
      </c>
      <c r="J10220" t="inlineStr">
        <is>
          <t>Thada</t>
        </is>
      </c>
      <c r="K10220" t="inlineStr">
        <is>
          <t>THADA_MOUSE</t>
        </is>
      </c>
      <c r="L10220" t="inlineStr">
        <is>
          <t>sp|A8C756|THADA_MOUSE Thyroid adenoma-associated protein homolog OS=Mus musculus OX=10090 GN=Thada PE=1 SV=1</t>
        </is>
      </c>
      <c r="M10220" t="n">
        <v>1938</v>
      </c>
      <c r="N10220" t="inlineStr">
        <is>
          <t>Mus musculus</t>
        </is>
      </c>
      <c r="O10220" t="inlineStr">
        <is>
          <t>Thyroid adenoma-associated protein homolog</t>
        </is>
      </c>
    </row>
    <row r="10221">
      <c r="A10221" t="inlineStr"/>
      <c r="B10221" t="inlineStr"/>
      <c r="C10221" t="inlineStr"/>
      <c r="D10221" t="inlineStr"/>
      <c r="E10221">
        <f>HYPERLINK("https://www.uniprot.org/uniprotkb/A0A8C8SWJ4/entry", "A0A8C8SWJ4")</f>
        <v/>
      </c>
      <c r="F10221" t="n">
        <v>34.9</v>
      </c>
      <c r="G10221" t="n">
        <v>401</v>
      </c>
      <c r="H10221" t="n">
        <v>2.78e-51</v>
      </c>
      <c r="I10221" t="inlineStr">
        <is>
          <t>TrEMBL</t>
        </is>
      </c>
      <c r="J10221" t="inlineStr"/>
      <c r="K10221" t="inlineStr">
        <is>
          <t>A0A8C8SWJ4_9SAUR</t>
        </is>
      </c>
      <c r="L10221" t="inlineStr">
        <is>
          <t>tr|A0A8C8SWJ4|A0A8C8SWJ4_9SAUR DUF2428 domain-containing protein OS=Pelusios castaneus OX=367368 PE=3 SV=1</t>
        </is>
      </c>
      <c r="M10221" t="n">
        <v>1910</v>
      </c>
      <c r="N10221" t="inlineStr">
        <is>
          <t>Pelusios castaneus</t>
        </is>
      </c>
      <c r="O10221" t="inlineStr">
        <is>
          <t>DUF2428 domain-containing protein</t>
        </is>
      </c>
    </row>
    <row r="10222">
      <c r="A10222" t="inlineStr"/>
      <c r="B10222" t="inlineStr"/>
      <c r="C10222" t="inlineStr"/>
      <c r="D10222" t="inlineStr"/>
      <c r="E10222">
        <f>HYPERLINK("https://www.uniprot.org/uniprotkb/A0A6P8S6I9/entry", "A0A6P8S6I9")</f>
        <v/>
      </c>
      <c r="F10222" t="n">
        <v>35.9</v>
      </c>
      <c r="G10222" t="n">
        <v>401</v>
      </c>
      <c r="H10222" t="n">
        <v>6.929999999999999e-51</v>
      </c>
      <c r="I10222" t="inlineStr">
        <is>
          <t>TrEMBL</t>
        </is>
      </c>
      <c r="J10222" t="inlineStr">
        <is>
          <t>LOC117365839</t>
        </is>
      </c>
      <c r="K10222" t="inlineStr">
        <is>
          <t>A0A6P8S6I9_GEOSA</t>
        </is>
      </c>
      <c r="L10222" t="inlineStr">
        <is>
          <t>tr|A0A6P8S6I9|A0A6P8S6I9_GEOSA thyroid adenoma-associated protein homolog OS=Geotrypetes seraphini OX=260995 GN=LOC117365839 PE=3 SV=1</t>
        </is>
      </c>
      <c r="M10222" t="n">
        <v>1887</v>
      </c>
      <c r="N10222" t="inlineStr">
        <is>
          <t>Geotrypetes seraphini</t>
        </is>
      </c>
      <c r="O10222" t="inlineStr">
        <is>
          <t>thyroid adenoma-associated protein homolog</t>
        </is>
      </c>
    </row>
    <row r="10223">
      <c r="A10223" t="inlineStr"/>
      <c r="B10223" t="inlineStr"/>
      <c r="C10223" t="inlineStr"/>
      <c r="D10223" t="inlineStr"/>
      <c r="E10223">
        <f>HYPERLINK("https://www.uniprot.org/uniprotkb/A0A1U8CZG0/entry", "A0A1U8CZG0")</f>
        <v/>
      </c>
      <c r="F10223" t="n">
        <v>35.2</v>
      </c>
      <c r="G10223" t="n">
        <v>406</v>
      </c>
      <c r="H10223" t="n">
        <v>1.71e-50</v>
      </c>
      <c r="I10223" t="inlineStr">
        <is>
          <t>TrEMBL</t>
        </is>
      </c>
      <c r="J10223" t="inlineStr">
        <is>
          <t>LOC102375691</t>
        </is>
      </c>
      <c r="K10223" t="inlineStr">
        <is>
          <t>A0A1U8CZG0_ALLSI</t>
        </is>
      </c>
      <c r="L10223" t="inlineStr">
        <is>
          <t>tr|A0A1U8CZG0|A0A1U8CZG0_ALLSI thyroid adenoma-associated protein homolog OS=Alligator sinensis OX=38654 GN=LOC102375691 PE=3 SV=1</t>
        </is>
      </c>
      <c r="M10223" t="n">
        <v>1809</v>
      </c>
      <c r="N10223" t="inlineStr">
        <is>
          <t>Alligator sinensis</t>
        </is>
      </c>
      <c r="O10223" t="inlineStr">
        <is>
          <t>thyroid adenoma-associated protein homolog</t>
        </is>
      </c>
    </row>
    <row r="10224">
      <c r="A10224" t="inlineStr"/>
      <c r="B10224" t="inlineStr"/>
      <c r="C10224" t="inlineStr"/>
      <c r="D10224" t="inlineStr"/>
      <c r="E10224">
        <f>HYPERLINK("https://www.uniprot.org/uniprotkb/A0A6J2G4U8/entry", "A0A6J2G4U8")</f>
        <v/>
      </c>
      <c r="F10224" t="n">
        <v>35.3</v>
      </c>
      <c r="G10224" t="n">
        <v>405</v>
      </c>
      <c r="H10224" t="n">
        <v>2.34e-50</v>
      </c>
      <c r="I10224" t="inlineStr">
        <is>
          <t>TrEMBL</t>
        </is>
      </c>
      <c r="J10224" t="inlineStr">
        <is>
          <t>LOC113984367</t>
        </is>
      </c>
      <c r="K10224" t="inlineStr">
        <is>
          <t>A0A6J2G4U8_9PASS</t>
        </is>
      </c>
      <c r="L10224" t="inlineStr">
        <is>
          <t>tr|A0A6J2G4U8|A0A6J2G4U8_9PASS thyroid adenoma-associated protein homolog OS=Pipra filicauda OX=649802 GN=LOC113984367 PE=3 SV=1</t>
        </is>
      </c>
      <c r="M10224" t="n">
        <v>1887</v>
      </c>
      <c r="N10224" t="inlineStr">
        <is>
          <t>Pipra filicauda</t>
        </is>
      </c>
      <c r="O10224" t="inlineStr">
        <is>
          <t>thyroid adenoma-associated protein homolog</t>
        </is>
      </c>
    </row>
    <row r="10225">
      <c r="A10225" t="inlineStr"/>
      <c r="B10225" t="inlineStr"/>
      <c r="C10225" t="inlineStr"/>
      <c r="D10225" t="inlineStr"/>
      <c r="E10225">
        <f>HYPERLINK("https://www.uniprot.org/uniprotkb/A0A218V2P7/entry", "A0A218V2P7")</f>
        <v/>
      </c>
      <c r="F10225" t="n">
        <v>34.7</v>
      </c>
      <c r="G10225" t="n">
        <v>409</v>
      </c>
      <c r="H10225" t="n">
        <v>3.12e-50</v>
      </c>
      <c r="I10225" t="inlineStr">
        <is>
          <t>TrEMBL</t>
        </is>
      </c>
      <c r="J10225" t="inlineStr">
        <is>
          <t>RLOC_00008860</t>
        </is>
      </c>
      <c r="K10225" t="inlineStr">
        <is>
          <t>A0A218V2P7_9PASE</t>
        </is>
      </c>
      <c r="L10225" t="inlineStr">
        <is>
          <t>tr|A0A218V2P7|A0A218V2P7_9PASE Fanconi anemia group I protein OS=Lonchura striata domestica OX=299123 GN=RLOC_00008860 PE=4 SV=1</t>
        </is>
      </c>
      <c r="M10225" t="n">
        <v>597</v>
      </c>
      <c r="N10225" t="inlineStr">
        <is>
          <t>Lonchura striata domestica</t>
        </is>
      </c>
      <c r="O10225" t="inlineStr">
        <is>
          <t>Fanconi anemia group I protein</t>
        </is>
      </c>
    </row>
    <row r="10226">
      <c r="A10226" t="inlineStr"/>
      <c r="B10226" t="inlineStr"/>
      <c r="C10226" t="inlineStr"/>
      <c r="D10226" t="inlineStr"/>
      <c r="E10226">
        <f>HYPERLINK("https://www.uniprot.org/uniprotkb/A8C750/entry", "A8C750")</f>
        <v/>
      </c>
      <c r="F10226" t="n">
        <v>25.2</v>
      </c>
      <c r="G10226" t="n">
        <v>1109</v>
      </c>
      <c r="H10226" t="n">
        <v>1.39e-49</v>
      </c>
      <c r="I10226" t="inlineStr">
        <is>
          <t>Swiss-Prot</t>
        </is>
      </c>
      <c r="J10226" t="inlineStr">
        <is>
          <t>THADA</t>
        </is>
      </c>
      <c r="K10226" t="inlineStr">
        <is>
          <t>THADA_CANLF</t>
        </is>
      </c>
      <c r="L10226" t="inlineStr">
        <is>
          <t>sp|A8C750|THADA_CANLF Thyroid adenoma-associated protein homolog OS=Canis lupus familiaris OX=9615 GN=THADA PE=2 SV=1</t>
        </is>
      </c>
      <c r="M10226" t="n">
        <v>1948</v>
      </c>
      <c r="N10226" t="inlineStr">
        <is>
          <t>Canis lupus familiaris</t>
        </is>
      </c>
      <c r="O10226" t="inlineStr">
        <is>
          <t>Thyroid adenoma-associated protein homolog</t>
        </is>
      </c>
    </row>
    <row r="10227">
      <c r="A10227" t="inlineStr"/>
      <c r="B10227" t="inlineStr"/>
      <c r="C10227" t="inlineStr"/>
      <c r="D10227" t="inlineStr"/>
      <c r="E10227">
        <f>HYPERLINK("https://www.uniprot.org/uniprotkb/Q6YHU6/entry", "Q6YHU6")</f>
        <v/>
      </c>
      <c r="F10227" t="n">
        <v>23</v>
      </c>
      <c r="G10227" t="n">
        <v>1159</v>
      </c>
      <c r="H10227" t="n">
        <v>8.47e-46</v>
      </c>
      <c r="I10227" t="inlineStr">
        <is>
          <t>Swiss-Prot</t>
        </is>
      </c>
      <c r="J10227" t="inlineStr">
        <is>
          <t>THADA</t>
        </is>
      </c>
      <c r="K10227" t="inlineStr">
        <is>
          <t>THADA_HUMAN</t>
        </is>
      </c>
      <c r="L10227" t="inlineStr">
        <is>
          <t>sp|Q6YHU6|THADA_HUMAN Thyroid adenoma-associated protein OS=Homo sapiens OX=9606 GN=THADA PE=1 SV=1</t>
        </is>
      </c>
      <c r="M10227" t="n">
        <v>1953</v>
      </c>
      <c r="N10227" t="inlineStr">
        <is>
          <t>Homo sapiens</t>
        </is>
      </c>
      <c r="O10227" t="inlineStr">
        <is>
          <t>Thyroid adenoma-associated protein</t>
        </is>
      </c>
    </row>
    <row r="10228">
      <c r="A10228" t="inlineStr"/>
      <c r="B10228" t="inlineStr"/>
      <c r="C10228" t="inlineStr"/>
      <c r="D10228" t="inlineStr"/>
      <c r="E10228">
        <f>HYPERLINK("https://www.uniprot.org/uniprotkb/A8C752/entry", "A8C752")</f>
        <v/>
      </c>
      <c r="F10228" t="n">
        <v>23.2</v>
      </c>
      <c r="G10228" t="n">
        <v>1159</v>
      </c>
      <c r="H10228" t="n">
        <v>5.68e-45</v>
      </c>
      <c r="I10228" t="inlineStr">
        <is>
          <t>Swiss-Prot</t>
        </is>
      </c>
      <c r="J10228" t="inlineStr">
        <is>
          <t>THADA</t>
        </is>
      </c>
      <c r="K10228" t="inlineStr">
        <is>
          <t>THADA_CHLAE</t>
        </is>
      </c>
      <c r="L10228" t="inlineStr">
        <is>
          <t>sp|A8C752|THADA_CHLAE Thyroid adenoma-associated protein homolog OS=Chlorocebus aethiops OX=9534 GN=THADA PE=2 SV=1</t>
        </is>
      </c>
      <c r="M10228" t="n">
        <v>1953</v>
      </c>
      <c r="N10228" t="inlineStr">
        <is>
          <t>Chlorocebus aethiops</t>
        </is>
      </c>
      <c r="O10228" t="inlineStr">
        <is>
          <t>Thyroid adenoma-associated protein homolog</t>
        </is>
      </c>
    </row>
    <row r="10229">
      <c r="A10229" t="inlineStr"/>
      <c r="B10229" t="inlineStr"/>
      <c r="C10229" t="inlineStr"/>
      <c r="D10229" t="inlineStr"/>
      <c r="E10229">
        <f>HYPERLINK("https://www.uniprot.org/uniprotkb/O60081/entry", "O60081")</f>
        <v/>
      </c>
      <c r="F10229" t="n">
        <v>21.9</v>
      </c>
      <c r="G10229" t="n">
        <v>873</v>
      </c>
      <c r="H10229" t="n">
        <v>8.880000000000001e-29</v>
      </c>
      <c r="I10229" t="inlineStr">
        <is>
          <t>Swiss-Prot</t>
        </is>
      </c>
      <c r="J10229" t="inlineStr">
        <is>
          <t>SPCC1494.07</t>
        </is>
      </c>
      <c r="K10229" t="inlineStr">
        <is>
          <t>YQK7_SCHPO</t>
        </is>
      </c>
      <c r="L10229" t="inlineStr">
        <is>
          <t>sp|O60081|YQK7_SCHPO Uncharacterized protein C1494.07 OS=Schizosaccharomyces pombe (strain 972 / ATCC 24843) OX=284812 GN=SPCC1494.07 PE=3 SV=1</t>
        </is>
      </c>
      <c r="M10229" t="n">
        <v>1502</v>
      </c>
      <c r="N10229" t="inlineStr">
        <is>
          <t>Schizosaccharomyces pombe (strain 972 / ATCC 24843)</t>
        </is>
      </c>
      <c r="O10229" t="inlineStr">
        <is>
          <t>Uncharacterized protein C1494.07</t>
        </is>
      </c>
    </row>
    <row r="10230">
      <c r="A10230" t="inlineStr"/>
      <c r="B10230" t="inlineStr"/>
      <c r="C10230" t="inlineStr"/>
      <c r="D10230" t="inlineStr"/>
      <c r="E10230">
        <f>HYPERLINK("https://www.uniprot.org/uniprotkb/Q9VWB9/entry", "Q9VWB9")</f>
        <v/>
      </c>
      <c r="F10230" t="n">
        <v>24.5</v>
      </c>
      <c r="G10230" t="n">
        <v>883</v>
      </c>
      <c r="H10230" t="n">
        <v>5.55e-23</v>
      </c>
      <c r="I10230" t="inlineStr">
        <is>
          <t>Swiss-Prot</t>
        </is>
      </c>
      <c r="J10230" t="inlineStr">
        <is>
          <t>THADA</t>
        </is>
      </c>
      <c r="K10230" t="inlineStr">
        <is>
          <t>THADA_DROME</t>
        </is>
      </c>
      <c r="L10230" t="inlineStr">
        <is>
          <t>sp|Q9VWB9|THADA_DROME Thyroid adenoma-associated protein homolog OS=Drosophila melanogaster OX=7227 GN=THADA PE=1 SV=3</t>
        </is>
      </c>
      <c r="M10230" t="n">
        <v>1746</v>
      </c>
      <c r="N10230" t="inlineStr">
        <is>
          <t>Drosophila melanogaster</t>
        </is>
      </c>
      <c r="O10230" t="inlineStr">
        <is>
          <t>Thyroid adenoma-associated protein homolog</t>
        </is>
      </c>
    </row>
    <row r="10231">
      <c r="A10231" t="inlineStr"/>
      <c r="B10231" t="inlineStr"/>
      <c r="C10231" t="inlineStr"/>
      <c r="D10231" t="inlineStr"/>
      <c r="E10231">
        <f>HYPERLINK("https://www.uniprot.org/uniprotkb/Q03496/entry", "Q03496")</f>
        <v/>
      </c>
      <c r="F10231" t="n">
        <v>25.6</v>
      </c>
      <c r="G10231" t="n">
        <v>367</v>
      </c>
      <c r="H10231" t="n">
        <v>5.02e-15</v>
      </c>
      <c r="I10231" t="inlineStr">
        <is>
          <t>Swiss-Prot</t>
        </is>
      </c>
      <c r="J10231" t="inlineStr">
        <is>
          <t>TRM732</t>
        </is>
      </c>
      <c r="K10231" t="inlineStr">
        <is>
          <t>TR732_YEAST</t>
        </is>
      </c>
      <c r="L10231" t="inlineStr">
        <is>
          <t>sp|Q03496|TR732_YEAST tRNA (cytidine(32)-2'-O)-methyltransferase non-catalytic subunit TRM732 OS=Saccharomyces cerevisiae (strain ATCC 204508 / S288c) OX=559292 GN=TRM732 PE=1 SV=1</t>
        </is>
      </c>
      <c r="M10231" t="n">
        <v>1420</v>
      </c>
      <c r="N10231" t="inlineStr">
        <is>
          <t>Saccharomyces cerevisiae (strain ATCC 204508 / S288c)</t>
        </is>
      </c>
      <c r="O10231" t="inlineStr">
        <is>
          <t>tRNA (cytidine(32)-2'-O)-methyltransferase non-catalytic subunit TRM732</t>
        </is>
      </c>
    </row>
    <row r="10232">
      <c r="A10232" t="inlineStr">
        <is>
          <t>NODE_94303_length_1772_cov_223.485630_g35873_i0</t>
        </is>
      </c>
      <c r="B10232" t="inlineStr">
        <is>
          <t>bombina_pachypus_blastx</t>
        </is>
      </c>
      <c r="C10232" t="n">
        <v>2.1125905048692</v>
      </c>
      <c r="D10232" t="n">
        <v>0.0013825540265621</v>
      </c>
      <c r="E10232">
        <f>HYPERLINK("https://www.uniprot.org/uniprotkb/A0A8C5QLR2/entry", "A0A8C5QLR2")</f>
        <v/>
      </c>
      <c r="F10232" t="n">
        <v>48.6</v>
      </c>
      <c r="G10232" t="n">
        <v>148</v>
      </c>
      <c r="H10232" t="n">
        <v>1.46e-42</v>
      </c>
      <c r="I10232" t="inlineStr">
        <is>
          <t>TrEMBL</t>
        </is>
      </c>
      <c r="J10232" t="inlineStr"/>
      <c r="K10232" t="inlineStr">
        <is>
          <t>A0A8C5QLR2_9ANUR</t>
        </is>
      </c>
      <c r="L10232" t="inlineStr">
        <is>
          <t>tr|A0A8C5QLR2|A0A8C5QLR2_9ANUR P2RX7_C domain-containing protein OS=Leptobrachium leishanense OX=445787 PE=4 SV=1</t>
        </is>
      </c>
      <c r="M10232" t="n">
        <v>175</v>
      </c>
      <c r="N10232" t="inlineStr">
        <is>
          <t>Leptobrachium leishanense</t>
        </is>
      </c>
      <c r="O10232" t="inlineStr">
        <is>
          <t>P2RX7_C domain-containing protein</t>
        </is>
      </c>
    </row>
    <row r="10233">
      <c r="A10233" t="inlineStr"/>
      <c r="B10233" t="inlineStr"/>
      <c r="C10233" t="inlineStr"/>
      <c r="D10233" t="inlineStr"/>
      <c r="E10233">
        <f>HYPERLINK("https://www.uniprot.org/uniprotkb/A0A8C5MLY1/entry", "A0A8C5MLY1")</f>
        <v/>
      </c>
      <c r="F10233" t="n">
        <v>46.6</v>
      </c>
      <c r="G10233" t="n">
        <v>146</v>
      </c>
      <c r="H10233" t="n">
        <v>9.549999999999999e-40</v>
      </c>
      <c r="I10233" t="inlineStr">
        <is>
          <t>TrEMBL</t>
        </is>
      </c>
      <c r="J10233" t="inlineStr"/>
      <c r="K10233" t="inlineStr">
        <is>
          <t>A0A8C5MLY1_9ANUR</t>
        </is>
      </c>
      <c r="L10233" t="inlineStr">
        <is>
          <t>tr|A0A8C5MLY1|A0A8C5MLY1_9ANUR P2RX7_C domain-containing protein OS=Leptobrachium leishanense OX=445787 PE=4 SV=1</t>
        </is>
      </c>
      <c r="M10233" t="n">
        <v>174</v>
      </c>
      <c r="N10233" t="inlineStr">
        <is>
          <t>Leptobrachium leishanense</t>
        </is>
      </c>
      <c r="O10233" t="inlineStr">
        <is>
          <t>P2RX7_C domain-containing protein</t>
        </is>
      </c>
    </row>
    <row r="10234">
      <c r="A10234" t="inlineStr"/>
      <c r="B10234" t="inlineStr"/>
      <c r="C10234" t="inlineStr"/>
      <c r="D10234" t="inlineStr"/>
      <c r="E10234">
        <f>HYPERLINK("https://www.uniprot.org/uniprotkb/A0A8C5N4J0/entry", "A0A8C5N4J0")</f>
        <v/>
      </c>
      <c r="F10234" t="n">
        <v>46.6</v>
      </c>
      <c r="G10234" t="n">
        <v>146</v>
      </c>
      <c r="H10234" t="n">
        <v>1.94e-39</v>
      </c>
      <c r="I10234" t="inlineStr">
        <is>
          <t>TrEMBL</t>
        </is>
      </c>
      <c r="J10234" t="inlineStr"/>
      <c r="K10234" t="inlineStr">
        <is>
          <t>A0A8C5N4J0_9ANUR</t>
        </is>
      </c>
      <c r="L10234" t="inlineStr">
        <is>
          <t>tr|A0A8C5N4J0|A0A8C5N4J0_9ANUR P2RX7_C domain-containing protein OS=Leptobrachium leishanense OX=445787 PE=4 SV=1</t>
        </is>
      </c>
      <c r="M10234" t="n">
        <v>198</v>
      </c>
      <c r="N10234" t="inlineStr">
        <is>
          <t>Leptobrachium leishanense</t>
        </is>
      </c>
      <c r="O10234" t="inlineStr">
        <is>
          <t>P2RX7_C domain-containing protein</t>
        </is>
      </c>
    </row>
    <row r="10235">
      <c r="A10235" t="inlineStr"/>
      <c r="B10235" t="inlineStr"/>
      <c r="C10235" t="inlineStr"/>
      <c r="D10235" t="inlineStr"/>
      <c r="E10235">
        <f>HYPERLINK("https://www.ncbi.nlm.nih.gov/gene/?term=XP_053307781.1", "XP_053307781.1")</f>
        <v/>
      </c>
      <c r="F10235" t="n">
        <v>38.3</v>
      </c>
      <c r="G10235" t="n">
        <v>188</v>
      </c>
      <c r="H10235" t="n">
        <v>2.51e-31</v>
      </c>
      <c r="I10235" t="inlineStr">
        <is>
          <t>Nr</t>
        </is>
      </c>
      <c r="J10235" t="inlineStr"/>
      <c r="K10235" t="inlineStr"/>
      <c r="L10235" t="inlineStr">
        <is>
          <t>XP_053307781.1 uncharacterized protein LOC128469989 isoform X2 [Spea bombifrons]</t>
        </is>
      </c>
      <c r="M10235" t="n">
        <v>457</v>
      </c>
      <c r="N10235" t="inlineStr">
        <is>
          <t>Spea bombifrons</t>
        </is>
      </c>
      <c r="O10235" t="inlineStr">
        <is>
          <t>uncharacterized protein LOC128469989 isoform X2</t>
        </is>
      </c>
    </row>
    <row r="10236">
      <c r="A10236" t="inlineStr"/>
      <c r="B10236" t="inlineStr"/>
      <c r="C10236" t="inlineStr"/>
      <c r="D10236" t="inlineStr"/>
      <c r="E10236">
        <f>HYPERLINK("https://www.ncbi.nlm.nih.gov/gene/?term=XP_053307780.1", "XP_053307780.1")</f>
        <v/>
      </c>
      <c r="F10236" t="n">
        <v>38.3</v>
      </c>
      <c r="G10236" t="n">
        <v>188</v>
      </c>
      <c r="H10236" t="n">
        <v>2.62e-31</v>
      </c>
      <c r="I10236" t="inlineStr">
        <is>
          <t>Nr</t>
        </is>
      </c>
      <c r="J10236" t="inlineStr"/>
      <c r="K10236" t="inlineStr"/>
      <c r="L10236" t="inlineStr">
        <is>
          <t>XP_053307780.1 uncharacterized protein LOC128469989 isoform X1 [Spea bombifrons]</t>
        </is>
      </c>
      <c r="M10236" t="n">
        <v>460</v>
      </c>
      <c r="N10236" t="inlineStr">
        <is>
          <t>Spea bombifrons</t>
        </is>
      </c>
      <c r="O10236" t="inlineStr">
        <is>
          <t>uncharacterized protein LOC128469989 isoform X1</t>
        </is>
      </c>
    </row>
    <row r="10237">
      <c r="A10237" t="inlineStr"/>
      <c r="B10237" t="inlineStr"/>
      <c r="C10237" t="inlineStr"/>
      <c r="D10237" t="inlineStr"/>
      <c r="E10237">
        <f>HYPERLINK("https://www.ncbi.nlm.nih.gov/gene/?term=XP_040178384.1", "XP_040178384.1")</f>
        <v/>
      </c>
      <c r="F10237" t="n">
        <v>42.3</v>
      </c>
      <c r="G10237" t="n">
        <v>142</v>
      </c>
      <c r="H10237" t="n">
        <v>2.64e-31</v>
      </c>
      <c r="I10237" t="inlineStr">
        <is>
          <t>Nr</t>
        </is>
      </c>
      <c r="J10237" t="inlineStr"/>
      <c r="K10237" t="inlineStr"/>
      <c r="L10237" t="inlineStr">
        <is>
          <t>XP_040178384.1 P2X purinoceptor 7-like [Rana temporaria]</t>
        </is>
      </c>
      <c r="M10237" t="n">
        <v>214</v>
      </c>
      <c r="N10237" t="inlineStr">
        <is>
          <t>Rana temporaria</t>
        </is>
      </c>
      <c r="O10237" t="inlineStr">
        <is>
          <t>P2X purinoceptor 7-like</t>
        </is>
      </c>
    </row>
    <row r="10238">
      <c r="A10238" t="inlineStr"/>
      <c r="B10238" t="inlineStr"/>
      <c r="C10238" t="inlineStr"/>
      <c r="D10238" t="inlineStr"/>
      <c r="E10238">
        <f>HYPERLINK("https://www.ncbi.nlm.nih.gov/gene/?term=XP_040208530.1", "XP_040208530.1")</f>
        <v/>
      </c>
      <c r="F10238" t="n">
        <v>42.3</v>
      </c>
      <c r="G10238" t="n">
        <v>142</v>
      </c>
      <c r="H10238" t="n">
        <v>5.190000000000001e-31</v>
      </c>
      <c r="I10238" t="inlineStr">
        <is>
          <t>Nr</t>
        </is>
      </c>
      <c r="J10238" t="inlineStr"/>
      <c r="K10238" t="inlineStr"/>
      <c r="L10238" t="inlineStr">
        <is>
          <t>XP_040208530.1 P2X purinoceptor 7-like [Rana temporaria]</t>
        </is>
      </c>
      <c r="M10238" t="n">
        <v>214</v>
      </c>
      <c r="N10238" t="inlineStr">
        <is>
          <t>Rana temporaria</t>
        </is>
      </c>
      <c r="O10238" t="inlineStr">
        <is>
          <t>P2X purinoceptor 7-like</t>
        </is>
      </c>
    </row>
    <row r="10239">
      <c r="A10239" t="inlineStr"/>
      <c r="B10239" t="inlineStr"/>
      <c r="C10239" t="inlineStr"/>
      <c r="D10239" t="inlineStr"/>
      <c r="E10239">
        <f>HYPERLINK("https://www.uniprot.org/uniprotkb/A0A8C5Q8W9/entry", "A0A8C5Q8W9")</f>
        <v/>
      </c>
      <c r="F10239" t="n">
        <v>42.4</v>
      </c>
      <c r="G10239" t="n">
        <v>144</v>
      </c>
      <c r="H10239" t="n">
        <v>1.15e-29</v>
      </c>
      <c r="I10239" t="inlineStr">
        <is>
          <t>TrEMBL</t>
        </is>
      </c>
      <c r="J10239" t="inlineStr"/>
      <c r="K10239" t="inlineStr">
        <is>
          <t>A0A8C5Q8W9_9ANUR</t>
        </is>
      </c>
      <c r="L10239" t="inlineStr">
        <is>
          <t>tr|A0A8C5Q8W9|A0A8C5Q8W9_9ANUR P2RX7_C domain-containing protein OS=Leptobrachium leishanense OX=445787 PE=4 SV=1</t>
        </is>
      </c>
      <c r="M10239" t="n">
        <v>141</v>
      </c>
      <c r="N10239" t="inlineStr">
        <is>
          <t>Leptobrachium leishanense</t>
        </is>
      </c>
      <c r="O10239" t="inlineStr">
        <is>
          <t>P2RX7_C domain-containing protein</t>
        </is>
      </c>
    </row>
    <row r="10240">
      <c r="A10240" t="inlineStr"/>
      <c r="B10240" t="inlineStr"/>
      <c r="C10240" t="inlineStr"/>
      <c r="D10240" t="inlineStr"/>
      <c r="E10240">
        <f>HYPERLINK("https://www.uniprot.org/uniprotkb/A0A803J5L8/entry", "A0A803J5L8")</f>
        <v/>
      </c>
      <c r="F10240" t="n">
        <v>36.4</v>
      </c>
      <c r="G10240" t="n">
        <v>184</v>
      </c>
      <c r="H10240" t="n">
        <v>3.5e-29</v>
      </c>
      <c r="I10240" t="inlineStr">
        <is>
          <t>TrEMBL</t>
        </is>
      </c>
      <c r="J10240" t="inlineStr">
        <is>
          <t>LOC100492529</t>
        </is>
      </c>
      <c r="K10240" t="inlineStr">
        <is>
          <t>A0A803J5L8_XENTR</t>
        </is>
      </c>
      <c r="L10240" t="inlineStr">
        <is>
          <t>tr|A0A803J5L8|A0A803J5L8_XENTR Tripartite motif-containing protein 44-like OS=Xenopus tropicalis OX=8364 GN=LOC100492529 PE=4 SV=1</t>
        </is>
      </c>
      <c r="M10240" t="n">
        <v>205</v>
      </c>
      <c r="N10240" t="inlineStr">
        <is>
          <t>Xenopus tropicalis</t>
        </is>
      </c>
      <c r="O10240" t="inlineStr">
        <is>
          <t>Tripartite motif-containing protein 44-like</t>
        </is>
      </c>
    </row>
    <row r="10241">
      <c r="A10241" t="inlineStr"/>
      <c r="B10241" t="inlineStr"/>
      <c r="C10241" t="inlineStr"/>
      <c r="D10241" t="inlineStr"/>
      <c r="E10241">
        <f>HYPERLINK("https://www.ncbi.nlm.nih.gov/gene/?term=KAE8597525.1", "KAE8597525.1")</f>
        <v/>
      </c>
      <c r="F10241" t="n">
        <v>36.4</v>
      </c>
      <c r="G10241" t="n">
        <v>184</v>
      </c>
      <c r="H10241" t="n">
        <v>9.000000000000001e-29</v>
      </c>
      <c r="I10241" t="inlineStr">
        <is>
          <t>Nr</t>
        </is>
      </c>
      <c r="J10241" t="inlineStr"/>
      <c r="K10241" t="inlineStr"/>
      <c r="L10241" t="inlineStr">
        <is>
          <t>KAE8597525.1 hypothetical protein XENTR_v10016495 [Xenopus tropicalis]</t>
        </is>
      </c>
      <c r="M10241" t="n">
        <v>205</v>
      </c>
      <c r="N10241" t="inlineStr">
        <is>
          <t>Xenopus tropicalis</t>
        </is>
      </c>
      <c r="O10241" t="inlineStr">
        <is>
          <t>hypothetical protein XENTR_v10016495</t>
        </is>
      </c>
    </row>
    <row r="10242">
      <c r="A10242" t="inlineStr"/>
      <c r="B10242" t="inlineStr"/>
      <c r="C10242" t="inlineStr"/>
      <c r="D10242" t="inlineStr"/>
      <c r="E10242">
        <f>HYPERLINK("https://www.uniprot.org/uniprotkb/A0A8J1JRG0/entry", "A0A8J1JRG0")</f>
        <v/>
      </c>
      <c r="F10242" t="n">
        <v>36.4</v>
      </c>
      <c r="G10242" t="n">
        <v>184</v>
      </c>
      <c r="H10242" t="n">
        <v>1.38e-28</v>
      </c>
      <c r="I10242" t="inlineStr">
        <is>
          <t>TrEMBL</t>
        </is>
      </c>
      <c r="J10242" t="inlineStr">
        <is>
          <t>LOC100492529</t>
        </is>
      </c>
      <c r="K10242" t="inlineStr">
        <is>
          <t>A0A8J1JRG0_XENTR</t>
        </is>
      </c>
      <c r="L10242" t="inlineStr">
        <is>
          <t>tr|A0A8J1JRG0|A0A8J1JRG0_XENTR P2X purinoceptor 7-like isoform X1 OS=Xenopus tropicalis OX=8364 GN=LOC100492529 PE=4 SV=1</t>
        </is>
      </c>
      <c r="M10242" t="n">
        <v>260</v>
      </c>
      <c r="N10242" t="inlineStr">
        <is>
          <t>Xenopus tropicalis</t>
        </is>
      </c>
      <c r="O10242" t="inlineStr">
        <is>
          <t>P2X purinoceptor 7-like isoform X1</t>
        </is>
      </c>
    </row>
    <row r="10243">
      <c r="A10243" t="inlineStr"/>
      <c r="B10243" t="inlineStr"/>
      <c r="C10243" t="inlineStr"/>
      <c r="D10243" t="inlineStr"/>
      <c r="E10243">
        <f>HYPERLINK("https://www.uniprot.org/uniprotkb/A0A803JMJ7/entry", "A0A803JMJ7")</f>
        <v/>
      </c>
      <c r="F10243" t="n">
        <v>35.9</v>
      </c>
      <c r="G10243" t="n">
        <v>184</v>
      </c>
      <c r="H10243" t="n">
        <v>1.7e-28</v>
      </c>
      <c r="I10243" t="inlineStr">
        <is>
          <t>TrEMBL</t>
        </is>
      </c>
      <c r="J10243" t="inlineStr"/>
      <c r="K10243" t="inlineStr">
        <is>
          <t>A0A803JMJ7_XENTR</t>
        </is>
      </c>
      <c r="L10243" t="inlineStr">
        <is>
          <t>tr|A0A803JMJ7|A0A803JMJ7_XENTR P2RX7_C domain-containing protein OS=Xenopus tropicalis OX=8364 PE=4 SV=1</t>
        </is>
      </c>
      <c r="M10243" t="n">
        <v>284</v>
      </c>
      <c r="N10243" t="inlineStr">
        <is>
          <t>Xenopus tropicalis</t>
        </is>
      </c>
      <c r="O10243" t="inlineStr">
        <is>
          <t>P2RX7_C domain-containing protein</t>
        </is>
      </c>
    </row>
    <row r="10244">
      <c r="A10244" t="inlineStr"/>
      <c r="B10244" t="inlineStr"/>
      <c r="C10244" t="inlineStr"/>
      <c r="D10244" t="inlineStr"/>
      <c r="E10244">
        <f>HYPERLINK("https://www.ncbi.nlm.nih.gov/gene/?term=XP_031760482.1", "XP_031760482.1")</f>
        <v/>
      </c>
      <c r="F10244" t="n">
        <v>36.4</v>
      </c>
      <c r="G10244" t="n">
        <v>184</v>
      </c>
      <c r="H10244" t="n">
        <v>3.55e-28</v>
      </c>
      <c r="I10244" t="inlineStr">
        <is>
          <t>Nr</t>
        </is>
      </c>
      <c r="J10244" t="inlineStr"/>
      <c r="K10244" t="inlineStr"/>
      <c r="L10244" t="inlineStr">
        <is>
          <t>XP_031760482.1 P2X purinoceptor 7-like isoform X1 [Xenopus tropicalis]</t>
        </is>
      </c>
      <c r="M10244" t="n">
        <v>260</v>
      </c>
      <c r="N10244" t="inlineStr">
        <is>
          <t>Xenopus tropicalis</t>
        </is>
      </c>
      <c r="O10244" t="inlineStr">
        <is>
          <t>P2X purinoceptor 7-like isoform X1</t>
        </is>
      </c>
    </row>
    <row r="10245">
      <c r="A10245" t="inlineStr"/>
      <c r="B10245" t="inlineStr"/>
      <c r="C10245" t="inlineStr"/>
      <c r="D10245" t="inlineStr"/>
      <c r="E10245">
        <f>HYPERLINK("https://www.uniprot.org/uniprotkb/A0A8J1L8C3/entry", "A0A8J1L8C3")</f>
        <v/>
      </c>
      <c r="F10245" t="n">
        <v>38.8</v>
      </c>
      <c r="G10245" t="n">
        <v>178</v>
      </c>
      <c r="H10245" t="n">
        <v>1.3e-27</v>
      </c>
      <c r="I10245" t="inlineStr">
        <is>
          <t>TrEMBL</t>
        </is>
      </c>
      <c r="J10245" t="inlineStr">
        <is>
          <t>LOC121395405</t>
        </is>
      </c>
      <c r="K10245" t="inlineStr">
        <is>
          <t>A0A8J1L8C3_XENLA</t>
        </is>
      </c>
      <c r="L10245" t="inlineStr">
        <is>
          <t>tr|A0A8J1L8C3|A0A8J1L8C3_XENLA uncharacterized protein LOC121395405 OS=Xenopus laevis OX=8355 GN=LOC121395405 PE=4 SV=1</t>
        </is>
      </c>
      <c r="M10245" t="n">
        <v>242</v>
      </c>
      <c r="N10245" t="inlineStr">
        <is>
          <t>Xenopus laevis</t>
        </is>
      </c>
      <c r="O10245" t="inlineStr">
        <is>
          <t>uncharacterized protein LOC121395405</t>
        </is>
      </c>
    </row>
    <row r="10246">
      <c r="A10246" t="inlineStr"/>
      <c r="B10246" t="inlineStr"/>
      <c r="C10246" t="inlineStr"/>
      <c r="D10246" t="inlineStr"/>
      <c r="E10246">
        <f>HYPERLINK("https://www.uniprot.org/uniprotkb/A0A8J1KXY8/entry", "A0A8J1KXY8")</f>
        <v/>
      </c>
      <c r="F10246" t="n">
        <v>38.4</v>
      </c>
      <c r="G10246" t="n">
        <v>151</v>
      </c>
      <c r="H10246" t="n">
        <v>3.04e-27</v>
      </c>
      <c r="I10246" t="inlineStr">
        <is>
          <t>TrEMBL</t>
        </is>
      </c>
      <c r="J10246" t="inlineStr">
        <is>
          <t>LOC121394673</t>
        </is>
      </c>
      <c r="K10246" t="inlineStr">
        <is>
          <t>A0A8J1KXY8_XENLA</t>
        </is>
      </c>
      <c r="L10246" t="inlineStr">
        <is>
          <t>tr|A0A8J1KXY8|A0A8J1KXY8_XENLA uncharacterized protein LOC121394673 OS=Xenopus laevis OX=8355 GN=LOC121394673 PE=4 SV=1</t>
        </is>
      </c>
      <c r="M10246" t="n">
        <v>279</v>
      </c>
      <c r="N10246" t="inlineStr">
        <is>
          <t>Xenopus laevis</t>
        </is>
      </c>
      <c r="O10246" t="inlineStr">
        <is>
          <t>uncharacterized protein LOC121394673</t>
        </is>
      </c>
    </row>
    <row r="10247">
      <c r="A10247" t="inlineStr"/>
      <c r="B10247" t="inlineStr"/>
      <c r="C10247" t="inlineStr"/>
      <c r="D10247" t="inlineStr"/>
      <c r="E10247">
        <f>HYPERLINK("https://www.ncbi.nlm.nih.gov/gene/?term=XP_041424840.1", "XP_041424840.1")</f>
        <v/>
      </c>
      <c r="F10247" t="n">
        <v>38.8</v>
      </c>
      <c r="G10247" t="n">
        <v>178</v>
      </c>
      <c r="H10247" t="n">
        <v>3.350000000000001e-27</v>
      </c>
      <c r="I10247" t="inlineStr">
        <is>
          <t>Nr</t>
        </is>
      </c>
      <c r="J10247" t="inlineStr"/>
      <c r="K10247" t="inlineStr"/>
      <c r="L10247" t="inlineStr">
        <is>
          <t>XP_041424840.1 uncharacterized protein LOC121395405 [Xenopus laevis]</t>
        </is>
      </c>
      <c r="M10247" t="n">
        <v>242</v>
      </c>
      <c r="N10247" t="inlineStr">
        <is>
          <t>Xenopus laevis</t>
        </is>
      </c>
      <c r="O10247" t="inlineStr">
        <is>
          <t>uncharacterized protein LOC121395405</t>
        </is>
      </c>
    </row>
    <row r="10248">
      <c r="A10248" t="inlineStr"/>
      <c r="B10248" t="inlineStr"/>
      <c r="C10248" t="inlineStr"/>
      <c r="D10248" t="inlineStr"/>
      <c r="E10248">
        <f>HYPERLINK("https://www.ncbi.nlm.nih.gov/gene/?term=XP_040195956.1", "XP_040195956.1")</f>
        <v/>
      </c>
      <c r="F10248" t="n">
        <v>40.1</v>
      </c>
      <c r="G10248" t="n">
        <v>147</v>
      </c>
      <c r="H10248" t="n">
        <v>3.630000000000001e-27</v>
      </c>
      <c r="I10248" t="inlineStr">
        <is>
          <t>Nr</t>
        </is>
      </c>
      <c r="J10248" t="inlineStr"/>
      <c r="K10248" t="inlineStr"/>
      <c r="L10248" t="inlineStr">
        <is>
          <t>XP_040195956.1 P2X purinoceptor 7-like [Rana temporaria]</t>
        </is>
      </c>
      <c r="M10248" t="n">
        <v>205</v>
      </c>
      <c r="N10248" t="inlineStr">
        <is>
          <t>Rana temporaria</t>
        </is>
      </c>
      <c r="O10248" t="inlineStr">
        <is>
          <t>P2X purinoceptor 7-like</t>
        </is>
      </c>
    </row>
    <row r="10249">
      <c r="A10249" t="inlineStr"/>
      <c r="B10249" t="inlineStr"/>
      <c r="C10249" t="inlineStr"/>
      <c r="D10249" t="inlineStr"/>
      <c r="E10249">
        <f>HYPERLINK("https://www.uniprot.org/uniprotkb/A0A8J1M242/entry", "A0A8J1M242")</f>
        <v/>
      </c>
      <c r="F10249" t="n">
        <v>39.6</v>
      </c>
      <c r="G10249" t="n">
        <v>154</v>
      </c>
      <c r="H10249" t="n">
        <v>4.630000000000001e-27</v>
      </c>
      <c r="I10249" t="inlineStr">
        <is>
          <t>TrEMBL</t>
        </is>
      </c>
      <c r="J10249" t="inlineStr">
        <is>
          <t>LOC121399347</t>
        </is>
      </c>
      <c r="K10249" t="inlineStr">
        <is>
          <t>A0A8J1M242_XENLA</t>
        </is>
      </c>
      <c r="L10249" t="inlineStr">
        <is>
          <t>tr|A0A8J1M242|A0A8J1M242_XENLA uncharacterized protein LOC121399347 isoform X1 OS=Xenopus laevis OX=8355 GN=LOC121399347 PE=4 SV=1</t>
        </is>
      </c>
      <c r="M10249" t="n">
        <v>268</v>
      </c>
      <c r="N10249" t="inlineStr">
        <is>
          <t>Xenopus laevis</t>
        </is>
      </c>
      <c r="O10249" t="inlineStr">
        <is>
          <t>uncharacterized protein LOC121399347 isoform X1</t>
        </is>
      </c>
    </row>
    <row r="10250">
      <c r="A10250" t="inlineStr"/>
      <c r="B10250" t="inlineStr"/>
      <c r="C10250" t="inlineStr"/>
      <c r="D10250" t="inlineStr"/>
      <c r="E10250">
        <f>HYPERLINK("https://www.ncbi.nlm.nih.gov/gene/?term=XP_040190998.1", "XP_040190998.1")</f>
        <v/>
      </c>
      <c r="F10250" t="n">
        <v>40.1</v>
      </c>
      <c r="G10250" t="n">
        <v>147</v>
      </c>
      <c r="H10250" t="n">
        <v>5.070000000000001e-27</v>
      </c>
      <c r="I10250" t="inlineStr">
        <is>
          <t>Nr</t>
        </is>
      </c>
      <c r="J10250" t="inlineStr"/>
      <c r="K10250" t="inlineStr"/>
      <c r="L10250" t="inlineStr">
        <is>
          <t>XP_040190998.1 P2X purinoceptor 7-like [Rana temporaria]</t>
        </is>
      </c>
      <c r="M10250" t="n">
        <v>205</v>
      </c>
      <c r="N10250" t="inlineStr">
        <is>
          <t>Rana temporaria</t>
        </is>
      </c>
      <c r="O10250" t="inlineStr">
        <is>
          <t>P2X purinoceptor 7-like</t>
        </is>
      </c>
    </row>
    <row r="10251">
      <c r="A10251" t="inlineStr"/>
      <c r="B10251" t="inlineStr"/>
      <c r="C10251" t="inlineStr"/>
      <c r="D10251" t="inlineStr"/>
      <c r="E10251">
        <f>HYPERLINK("https://www.ncbi.nlm.nih.gov/gene/?term=XP_041422170.1", "XP_041422170.1")</f>
        <v/>
      </c>
      <c r="F10251" t="n">
        <v>38.4</v>
      </c>
      <c r="G10251" t="n">
        <v>151</v>
      </c>
      <c r="H10251" t="n">
        <v>7.800000000000001e-27</v>
      </c>
      <c r="I10251" t="inlineStr">
        <is>
          <t>Nr</t>
        </is>
      </c>
      <c r="J10251" t="inlineStr"/>
      <c r="K10251" t="inlineStr"/>
      <c r="L10251" t="inlineStr">
        <is>
          <t>XP_041422170.1 uncharacterized protein LOC121394673 [Xenopus laevis]</t>
        </is>
      </c>
      <c r="M10251" t="n">
        <v>279</v>
      </c>
      <c r="N10251" t="inlineStr">
        <is>
          <t>Xenopus laevis</t>
        </is>
      </c>
      <c r="O10251" t="inlineStr">
        <is>
          <t>uncharacterized protein LOC121394673</t>
        </is>
      </c>
    </row>
    <row r="10252">
      <c r="A10252" t="inlineStr"/>
      <c r="B10252" t="inlineStr"/>
      <c r="C10252" t="inlineStr"/>
      <c r="D10252" t="inlineStr"/>
      <c r="E10252">
        <f>HYPERLINK("https://www.ncbi.nlm.nih.gov/gene/?term=XP_040191039.1", "XP_040191039.1")</f>
        <v/>
      </c>
      <c r="F10252" t="n">
        <v>40.1</v>
      </c>
      <c r="G10252" t="n">
        <v>147</v>
      </c>
      <c r="H10252" t="n">
        <v>1e-26</v>
      </c>
      <c r="I10252" t="inlineStr">
        <is>
          <t>Nr</t>
        </is>
      </c>
      <c r="J10252" t="inlineStr"/>
      <c r="K10252" t="inlineStr"/>
      <c r="L10252" t="inlineStr">
        <is>
          <t>XP_040191039.1 uncharacterized protein LOC120924235 [Rana temporaria]</t>
        </is>
      </c>
      <c r="M10252" t="n">
        <v>246</v>
      </c>
      <c r="N10252" t="inlineStr">
        <is>
          <t>Rana temporaria</t>
        </is>
      </c>
      <c r="O10252" t="inlineStr">
        <is>
          <t>uncharacterized protein LOC120924235</t>
        </is>
      </c>
    </row>
    <row r="10253">
      <c r="A10253" t="inlineStr"/>
      <c r="B10253" t="inlineStr"/>
      <c r="C10253" t="inlineStr"/>
      <c r="D10253" t="inlineStr"/>
      <c r="E10253">
        <f>HYPERLINK("https://www.ncbi.nlm.nih.gov/gene/?term=XP_041435762.1", "XP_041435762.1")</f>
        <v/>
      </c>
      <c r="F10253" t="n">
        <v>39.6</v>
      </c>
      <c r="G10253" t="n">
        <v>154</v>
      </c>
      <c r="H10253" t="n">
        <v>1.19e-26</v>
      </c>
      <c r="I10253" t="inlineStr">
        <is>
          <t>Nr</t>
        </is>
      </c>
      <c r="J10253" t="inlineStr"/>
      <c r="K10253" t="inlineStr"/>
      <c r="L10253" t="inlineStr">
        <is>
          <t>XP_041435762.1 uncharacterized protein LOC121399347 isoform X1 [Xenopus laevis]</t>
        </is>
      </c>
      <c r="M10253" t="n">
        <v>268</v>
      </c>
      <c r="N10253" t="inlineStr">
        <is>
          <t>Xenopus laevis</t>
        </is>
      </c>
      <c r="O10253" t="inlineStr">
        <is>
          <t>uncharacterized protein LOC121399347 isoform X1</t>
        </is>
      </c>
    </row>
    <row r="10254">
      <c r="A10254" t="inlineStr"/>
      <c r="B10254" t="inlineStr"/>
      <c r="C10254" t="inlineStr"/>
      <c r="D10254" t="inlineStr"/>
      <c r="E10254">
        <f>HYPERLINK("https://www.uniprot.org/uniprotkb/A0A803KF88/entry", "A0A803KF88")</f>
        <v/>
      </c>
      <c r="F10254" t="n">
        <v>40.8</v>
      </c>
      <c r="G10254" t="n">
        <v>152</v>
      </c>
      <c r="H10254" t="n">
        <v>1.2e-26</v>
      </c>
      <c r="I10254" t="inlineStr">
        <is>
          <t>TrEMBL</t>
        </is>
      </c>
      <c r="J10254" t="inlineStr"/>
      <c r="K10254" t="inlineStr">
        <is>
          <t>A0A803KF88_XENTR</t>
        </is>
      </c>
      <c r="L10254" t="inlineStr">
        <is>
          <t>tr|A0A803KF88|A0A803KF88_XENTR P2RX7_C domain-containing protein OS=Xenopus tropicalis OX=8364 PE=4 SV=1</t>
        </is>
      </c>
      <c r="M10254" t="n">
        <v>210</v>
      </c>
      <c r="N10254" t="inlineStr">
        <is>
          <t>Xenopus tropicalis</t>
        </is>
      </c>
      <c r="O10254" t="inlineStr">
        <is>
          <t>P2RX7_C domain-containing protein</t>
        </is>
      </c>
    </row>
    <row r="10255">
      <c r="A10255" t="inlineStr"/>
      <c r="B10255" t="inlineStr"/>
      <c r="C10255" t="inlineStr"/>
      <c r="D10255" t="inlineStr"/>
      <c r="E10255">
        <f>HYPERLINK("https://www.uniprot.org/uniprotkb/A0A8T2JIA3/entry", "A0A8T2JIA3")</f>
        <v/>
      </c>
      <c r="F10255" t="n">
        <v>40.9</v>
      </c>
      <c r="G10255" t="n">
        <v>149</v>
      </c>
      <c r="H10255" t="n">
        <v>1.81e-26</v>
      </c>
      <c r="I10255" t="inlineStr">
        <is>
          <t>TrEMBL</t>
        </is>
      </c>
      <c r="J10255" t="inlineStr">
        <is>
          <t>GDO86_011978</t>
        </is>
      </c>
      <c r="K10255" t="inlineStr">
        <is>
          <t>A0A8T2JIA3_9PIPI</t>
        </is>
      </c>
      <c r="L10255" t="inlineStr">
        <is>
          <t>tr|A0A8T2JIA3|A0A8T2JIA3_9PIPI P2RX7_C domain-containing protein OS=Hymenochirus boettgeri OX=247094 GN=GDO86_011978 PE=4 SV=1</t>
        </is>
      </c>
      <c r="M10255" t="n">
        <v>200</v>
      </c>
      <c r="N10255" t="inlineStr">
        <is>
          <t>Hymenochirus boettgeri</t>
        </is>
      </c>
      <c r="O10255" t="inlineStr">
        <is>
          <t>P2RX7_C domain-containing protein</t>
        </is>
      </c>
    </row>
    <row r="10256">
      <c r="A10256" t="inlineStr"/>
      <c r="B10256" t="inlineStr"/>
      <c r="C10256" t="inlineStr"/>
      <c r="D10256" t="inlineStr"/>
      <c r="E10256">
        <f>HYPERLINK("https://www.uniprot.org/uniprotkb/A0A8J1JP73/entry", "A0A8J1JP73")</f>
        <v/>
      </c>
      <c r="F10256" t="n">
        <v>36.6</v>
      </c>
      <c r="G10256" t="n">
        <v>186</v>
      </c>
      <c r="H10256" t="n">
        <v>2.88e-26</v>
      </c>
      <c r="I10256" t="inlineStr">
        <is>
          <t>TrEMBL</t>
        </is>
      </c>
      <c r="J10256" t="inlineStr">
        <is>
          <t>LOC116411082</t>
        </is>
      </c>
      <c r="K10256" t="inlineStr">
        <is>
          <t>A0A8J1JP73_XENTR</t>
        </is>
      </c>
      <c r="L10256" t="inlineStr">
        <is>
          <t>tr|A0A8J1JP73|A0A8J1JP73_XENTR P2X purinoceptor 7-like isoform X1 OS=Xenopus tropicalis OX=8364 GN=LOC116411082 PE=4 SV=1</t>
        </is>
      </c>
      <c r="M10256" t="n">
        <v>205</v>
      </c>
      <c r="N10256" t="inlineStr">
        <is>
          <t>Xenopus tropicalis</t>
        </is>
      </c>
      <c r="O10256" t="inlineStr">
        <is>
          <t>P2X purinoceptor 7-like isoform X1</t>
        </is>
      </c>
    </row>
    <row r="10257">
      <c r="A10257" t="inlineStr"/>
      <c r="B10257" t="inlineStr"/>
      <c r="C10257" t="inlineStr"/>
      <c r="D10257" t="inlineStr"/>
      <c r="E10257">
        <f>HYPERLINK("https://www.ncbi.nlm.nih.gov/gene/?term=KAG8443388.1", "KAG8443388.1")</f>
        <v/>
      </c>
      <c r="F10257" t="n">
        <v>40.9</v>
      </c>
      <c r="G10257" t="n">
        <v>149</v>
      </c>
      <c r="H10257" t="n">
        <v>4.65e-26</v>
      </c>
      <c r="I10257" t="inlineStr">
        <is>
          <t>Nr</t>
        </is>
      </c>
      <c r="J10257" t="inlineStr"/>
      <c r="K10257" t="inlineStr"/>
      <c r="L10257" t="inlineStr">
        <is>
          <t>KAG8443388.1 hypothetical protein GDO86_011978 [Hymenochirus boettgeri]</t>
        </is>
      </c>
      <c r="M10257" t="n">
        <v>200</v>
      </c>
      <c r="N10257" t="inlineStr">
        <is>
          <t>Hymenochirus boettgeri</t>
        </is>
      </c>
      <c r="O10257" t="inlineStr">
        <is>
          <t>hypothetical protein GDO86_011978</t>
        </is>
      </c>
    </row>
    <row r="10258">
      <c r="A10258" t="inlineStr"/>
      <c r="B10258" t="inlineStr"/>
      <c r="C10258" t="inlineStr"/>
      <c r="D10258" t="inlineStr"/>
      <c r="E10258">
        <f>HYPERLINK("https://www.ncbi.nlm.nih.gov/gene/?term=KAE8602076.1", "KAE8602076.1")</f>
        <v/>
      </c>
      <c r="F10258" t="n">
        <v>37.4</v>
      </c>
      <c r="G10258" t="n">
        <v>182</v>
      </c>
      <c r="H10258" t="n">
        <v>5.51e-26</v>
      </c>
      <c r="I10258" t="inlineStr">
        <is>
          <t>Nr</t>
        </is>
      </c>
      <c r="J10258" t="inlineStr"/>
      <c r="K10258" t="inlineStr"/>
      <c r="L10258" t="inlineStr">
        <is>
          <t>KAE8602076.1 hypothetical protein XENTR_v10013874 [Xenopus tropicalis]</t>
        </is>
      </c>
      <c r="M10258" t="n">
        <v>181</v>
      </c>
      <c r="N10258" t="inlineStr">
        <is>
          <t>Xenopus tropicalis</t>
        </is>
      </c>
      <c r="O10258" t="inlineStr">
        <is>
          <t>hypothetical protein XENTR_v10013874</t>
        </is>
      </c>
    </row>
    <row r="10259">
      <c r="A10259" t="inlineStr"/>
      <c r="B10259" t="inlineStr"/>
      <c r="C10259" t="inlineStr"/>
      <c r="D10259" t="inlineStr"/>
      <c r="E10259">
        <f>HYPERLINK("https://www.ncbi.nlm.nih.gov/gene/?term=XP_040191767.1", "XP_040191767.1")</f>
        <v/>
      </c>
      <c r="F10259" t="n">
        <v>38</v>
      </c>
      <c r="G10259" t="n">
        <v>142</v>
      </c>
      <c r="H10259" t="n">
        <v>5.860000000000001e-26</v>
      </c>
      <c r="I10259" t="inlineStr">
        <is>
          <t>Nr</t>
        </is>
      </c>
      <c r="J10259" t="inlineStr"/>
      <c r="K10259" t="inlineStr"/>
      <c r="L10259" t="inlineStr">
        <is>
          <t>XP_040191767.1 P2X purinoceptor 7-like [Rana temporaria]</t>
        </is>
      </c>
      <c r="M10259" t="n">
        <v>209</v>
      </c>
      <c r="N10259" t="inlineStr">
        <is>
          <t>Rana temporaria</t>
        </is>
      </c>
      <c r="O10259" t="inlineStr">
        <is>
          <t>P2X purinoceptor 7-like</t>
        </is>
      </c>
    </row>
    <row r="10260">
      <c r="A10260" t="inlineStr"/>
      <c r="B10260" t="inlineStr"/>
      <c r="C10260" t="inlineStr"/>
      <c r="D10260" t="inlineStr"/>
      <c r="E10260">
        <f>HYPERLINK("https://www.ncbi.nlm.nih.gov/gene/?term=XP_031758835.1", "XP_031758835.1")</f>
        <v/>
      </c>
      <c r="F10260" t="n">
        <v>36.6</v>
      </c>
      <c r="G10260" t="n">
        <v>186</v>
      </c>
      <c r="H10260" t="n">
        <v>7.39e-26</v>
      </c>
      <c r="I10260" t="inlineStr">
        <is>
          <t>Nr</t>
        </is>
      </c>
      <c r="J10260" t="inlineStr"/>
      <c r="K10260" t="inlineStr"/>
      <c r="L10260" t="inlineStr">
        <is>
          <t>XP_031758835.1 P2X purinoceptor 7-like isoform X1 [Xenopus tropicalis]</t>
        </is>
      </c>
      <c r="M10260" t="n">
        <v>205</v>
      </c>
      <c r="N10260" t="inlineStr">
        <is>
          <t>Xenopus tropicalis</t>
        </is>
      </c>
      <c r="O10260" t="inlineStr">
        <is>
          <t>P2X purinoceptor 7-like isoform X1</t>
        </is>
      </c>
    </row>
    <row r="10261">
      <c r="A10261" t="inlineStr"/>
      <c r="B10261" t="inlineStr"/>
      <c r="C10261" t="inlineStr"/>
      <c r="D10261" t="inlineStr"/>
      <c r="E10261">
        <f>HYPERLINK("https://www.ncbi.nlm.nih.gov/gene/?term=XP_040191773.1", "XP_040191773.1")</f>
        <v/>
      </c>
      <c r="F10261" t="n">
        <v>38</v>
      </c>
      <c r="G10261" t="n">
        <v>142</v>
      </c>
      <c r="H10261" t="n">
        <v>8.18e-26</v>
      </c>
      <c r="I10261" t="inlineStr">
        <is>
          <t>Nr</t>
        </is>
      </c>
      <c r="J10261" t="inlineStr"/>
      <c r="K10261" t="inlineStr"/>
      <c r="L10261" t="inlineStr">
        <is>
          <t>XP_040191773.1 P2X purinoceptor 7-like [Rana temporaria]</t>
        </is>
      </c>
      <c r="M10261" t="n">
        <v>209</v>
      </c>
      <c r="N10261" t="inlineStr">
        <is>
          <t>Rana temporaria</t>
        </is>
      </c>
      <c r="O10261" t="inlineStr">
        <is>
          <t>P2X purinoceptor 7-like</t>
        </is>
      </c>
    </row>
    <row r="10262">
      <c r="A10262" t="inlineStr"/>
      <c r="B10262" t="inlineStr"/>
      <c r="C10262" t="inlineStr"/>
      <c r="D10262" t="inlineStr"/>
      <c r="E10262">
        <f>HYPERLINK("https://www.uniprot.org/uniprotkb/A0A8J1MNH4/entry", "A0A8J1MNH4")</f>
        <v/>
      </c>
      <c r="F10262" t="n">
        <v>33.2</v>
      </c>
      <c r="G10262" t="n">
        <v>187</v>
      </c>
      <c r="H10262" t="n">
        <v>9.61e-26</v>
      </c>
      <c r="I10262" t="inlineStr">
        <is>
          <t>TrEMBL</t>
        </is>
      </c>
      <c r="J10262" t="inlineStr">
        <is>
          <t>LOC121401656</t>
        </is>
      </c>
      <c r="K10262" t="inlineStr">
        <is>
          <t>A0A8J1MNH4_XENLA</t>
        </is>
      </c>
      <c r="L10262" t="inlineStr">
        <is>
          <t>tr|A0A8J1MNH4|A0A8J1MNH4_XENLA P2X purinoceptor 7-like isoform X2 OS=Xenopus laevis OX=8355 GN=LOC121401656 PE=4 SV=1</t>
        </is>
      </c>
      <c r="M10262" t="n">
        <v>187</v>
      </c>
      <c r="N10262" t="inlineStr">
        <is>
          <t>Xenopus laevis</t>
        </is>
      </c>
      <c r="O10262" t="inlineStr">
        <is>
          <t>P2X purinoceptor 7-like isoform X2</t>
        </is>
      </c>
    </row>
    <row r="10263">
      <c r="A10263" t="inlineStr"/>
      <c r="B10263" t="inlineStr"/>
      <c r="C10263" t="inlineStr"/>
      <c r="D10263" t="inlineStr"/>
      <c r="E10263">
        <f>HYPERLINK("https://www.uniprot.org/uniprotkb/A0A8J1MQE8/entry", "A0A8J1MQE8")</f>
        <v/>
      </c>
      <c r="F10263" t="n">
        <v>32.5</v>
      </c>
      <c r="G10263" t="n">
        <v>191</v>
      </c>
      <c r="H10263" t="n">
        <v>1.27e-25</v>
      </c>
      <c r="I10263" t="inlineStr">
        <is>
          <t>TrEMBL</t>
        </is>
      </c>
      <c r="J10263" t="inlineStr">
        <is>
          <t>LOC121401656</t>
        </is>
      </c>
      <c r="K10263" t="inlineStr">
        <is>
          <t>A0A8J1MQE8_XENLA</t>
        </is>
      </c>
      <c r="L10263" t="inlineStr">
        <is>
          <t>tr|A0A8J1MQE8|A0A8J1MQE8_XENLA P2X purinoceptor 7-like isoform X1 OS=Xenopus laevis OX=8355 GN=LOC121401656 PE=4 SV=1</t>
        </is>
      </c>
      <c r="M10263" t="n">
        <v>211</v>
      </c>
      <c r="N10263" t="inlineStr">
        <is>
          <t>Xenopus laevis</t>
        </is>
      </c>
      <c r="O10263" t="inlineStr">
        <is>
          <t>P2X purinoceptor 7-like isoform X1</t>
        </is>
      </c>
    </row>
    <row r="10264">
      <c r="A10264" t="inlineStr"/>
      <c r="B10264" t="inlineStr"/>
      <c r="C10264" t="inlineStr"/>
      <c r="D10264" t="inlineStr"/>
      <c r="E10264">
        <f>HYPERLINK("https://www.uniprot.org/uniprotkb/A0A8C5PJ99/entry", "A0A8C5PJ99")</f>
        <v/>
      </c>
      <c r="F10264" t="n">
        <v>41.5</v>
      </c>
      <c r="G10264" t="n">
        <v>135</v>
      </c>
      <c r="H10264" t="n">
        <v>1.5e-25</v>
      </c>
      <c r="I10264" t="inlineStr">
        <is>
          <t>TrEMBL</t>
        </is>
      </c>
      <c r="J10264" t="inlineStr"/>
      <c r="K10264" t="inlineStr">
        <is>
          <t>A0A8C5PJ99_9ANUR</t>
        </is>
      </c>
      <c r="L10264" t="inlineStr">
        <is>
          <t>tr|A0A8C5PJ99|A0A8C5PJ99_9ANUR Uncharacterized protein OS=Leptobrachium leishanense OX=445787 PE=4 SV=1</t>
        </is>
      </c>
      <c r="M10264" t="n">
        <v>142</v>
      </c>
      <c r="N10264" t="inlineStr">
        <is>
          <t>Leptobrachium leishanense</t>
        </is>
      </c>
      <c r="O10264" t="inlineStr">
        <is>
          <t>Uncharacterized protein</t>
        </is>
      </c>
    </row>
    <row r="10265">
      <c r="A10265" t="inlineStr"/>
      <c r="B10265" t="inlineStr"/>
      <c r="C10265" t="inlineStr"/>
      <c r="D10265" t="inlineStr"/>
      <c r="E10265">
        <f>HYPERLINK("https://www.ncbi.nlm.nih.gov/gene/?term=XP_041443287.1", "XP_041443287.1")</f>
        <v/>
      </c>
      <c r="F10265" t="n">
        <v>33.2</v>
      </c>
      <c r="G10265" t="n">
        <v>187</v>
      </c>
      <c r="H10265" t="n">
        <v>2.47e-25</v>
      </c>
      <c r="I10265" t="inlineStr">
        <is>
          <t>Nr</t>
        </is>
      </c>
      <c r="J10265" t="inlineStr"/>
      <c r="K10265" t="inlineStr"/>
      <c r="L10265" t="inlineStr">
        <is>
          <t>XP_041443287.1 P2X purinoceptor 7-like isoform X2 [Xenopus laevis]</t>
        </is>
      </c>
      <c r="M10265" t="n">
        <v>187</v>
      </c>
      <c r="N10265" t="inlineStr">
        <is>
          <t>Xenopus laevis</t>
        </is>
      </c>
      <c r="O10265" t="inlineStr">
        <is>
          <t>P2X purinoceptor 7-like isoform X2</t>
        </is>
      </c>
    </row>
    <row r="10266">
      <c r="A10266" t="inlineStr"/>
      <c r="B10266" t="inlineStr"/>
      <c r="C10266" t="inlineStr"/>
      <c r="D10266" t="inlineStr"/>
      <c r="E10266">
        <f>HYPERLINK("https://www.uniprot.org/uniprotkb/Q7SYP3/entry", "Q7SYP3")</f>
        <v/>
      </c>
      <c r="F10266" t="n">
        <v>38.2</v>
      </c>
      <c r="G10266" t="n">
        <v>131</v>
      </c>
      <c r="H10266" t="n">
        <v>2.61e-25</v>
      </c>
      <c r="I10266" t="inlineStr">
        <is>
          <t>TrEMBL</t>
        </is>
      </c>
      <c r="J10266" t="inlineStr"/>
      <c r="K10266" t="inlineStr">
        <is>
          <t>Q7SYP3_XENLA</t>
        </is>
      </c>
      <c r="L10266" t="inlineStr">
        <is>
          <t>tr|Q7SYP3|Q7SYP3_XENLA MGC64596 protein OS=Xenopus laevis OX=8355 PE=2 SV=1</t>
        </is>
      </c>
      <c r="M10266" t="n">
        <v>213</v>
      </c>
      <c r="N10266" t="inlineStr">
        <is>
          <t>Xenopus laevis</t>
        </is>
      </c>
      <c r="O10266" t="inlineStr">
        <is>
          <t>MGC64596 protein</t>
        </is>
      </c>
    </row>
    <row r="10267">
      <c r="A10267" t="inlineStr"/>
      <c r="B10267" t="inlineStr"/>
      <c r="C10267" t="inlineStr"/>
      <c r="D10267" t="inlineStr"/>
      <c r="E10267">
        <f>HYPERLINK("https://www.ncbi.nlm.nih.gov/gene/?term=XP_041443275.1", "XP_041443275.1")</f>
        <v/>
      </c>
      <c r="F10267" t="n">
        <v>32.5</v>
      </c>
      <c r="G10267" t="n">
        <v>191</v>
      </c>
      <c r="H10267" t="n">
        <v>3.27e-25</v>
      </c>
      <c r="I10267" t="inlineStr">
        <is>
          <t>Nr</t>
        </is>
      </c>
      <c r="J10267" t="inlineStr"/>
      <c r="K10267" t="inlineStr"/>
      <c r="L10267" t="inlineStr">
        <is>
          <t>XP_041443275.1 P2X purinoceptor 7-like isoform X1 [Xenopus laevis]</t>
        </is>
      </c>
      <c r="M10267" t="n">
        <v>211</v>
      </c>
      <c r="N10267" t="inlineStr">
        <is>
          <t>Xenopus laevis</t>
        </is>
      </c>
      <c r="O10267" t="inlineStr">
        <is>
          <t>P2X purinoceptor 7-like isoform X1</t>
        </is>
      </c>
    </row>
    <row r="10268">
      <c r="A10268" t="inlineStr"/>
      <c r="B10268" t="inlineStr"/>
      <c r="C10268" t="inlineStr"/>
      <c r="D10268" t="inlineStr"/>
      <c r="E10268">
        <f>HYPERLINK("https://www.ncbi.nlm.nih.gov/gene/?term=XP_040186552.1", "XP_040186552.1")</f>
        <v/>
      </c>
      <c r="F10268" t="n">
        <v>39.4</v>
      </c>
      <c r="G10268" t="n">
        <v>160</v>
      </c>
      <c r="H10268" t="n">
        <v>3.93e-25</v>
      </c>
      <c r="I10268" t="inlineStr">
        <is>
          <t>Nr</t>
        </is>
      </c>
      <c r="J10268" t="inlineStr"/>
      <c r="K10268" t="inlineStr"/>
      <c r="L10268" t="inlineStr">
        <is>
          <t>XP_040186552.1 P2X purinoceptor 7-like [Rana temporaria]</t>
        </is>
      </c>
      <c r="M10268" t="n">
        <v>205</v>
      </c>
      <c r="N10268" t="inlineStr">
        <is>
          <t>Rana temporaria</t>
        </is>
      </c>
      <c r="O10268" t="inlineStr">
        <is>
          <t>P2X purinoceptor 7-like</t>
        </is>
      </c>
    </row>
    <row r="10269">
      <c r="A10269" t="inlineStr"/>
      <c r="B10269" t="inlineStr"/>
      <c r="C10269" t="inlineStr"/>
      <c r="D10269" t="inlineStr"/>
      <c r="E10269">
        <f>HYPERLINK("https://www.ncbi.nlm.nih.gov/gene/?term=XP_040197945.1", "XP_040197945.1")</f>
        <v/>
      </c>
      <c r="F10269" t="n">
        <v>38.7</v>
      </c>
      <c r="G10269" t="n">
        <v>142</v>
      </c>
      <c r="H10269" t="n">
        <v>6.07e-25</v>
      </c>
      <c r="I10269" t="inlineStr">
        <is>
          <t>Nr</t>
        </is>
      </c>
      <c r="J10269" t="inlineStr"/>
      <c r="K10269" t="inlineStr"/>
      <c r="L10269" t="inlineStr">
        <is>
          <t>XP_040197945.1 P2X purinoceptor 7-like [Rana temporaria]</t>
        </is>
      </c>
      <c r="M10269" t="n">
        <v>209</v>
      </c>
      <c r="N10269" t="inlineStr">
        <is>
          <t>Rana temporaria</t>
        </is>
      </c>
      <c r="O10269" t="inlineStr">
        <is>
          <t>P2X purinoceptor 7-like</t>
        </is>
      </c>
    </row>
    <row r="10270">
      <c r="A10270" t="inlineStr"/>
      <c r="B10270" t="inlineStr"/>
      <c r="C10270" t="inlineStr"/>
      <c r="D10270" t="inlineStr"/>
      <c r="E10270">
        <f>HYPERLINK("https://www.uniprot.org/uniprotkb/A0A803JX27/entry", "A0A803JX27")</f>
        <v/>
      </c>
      <c r="F10270" t="n">
        <v>35.1</v>
      </c>
      <c r="G10270" t="n">
        <v>174</v>
      </c>
      <c r="H10270" t="n">
        <v>6.41e-25</v>
      </c>
      <c r="I10270" t="inlineStr">
        <is>
          <t>TrEMBL</t>
        </is>
      </c>
      <c r="J10270" t="inlineStr"/>
      <c r="K10270" t="inlineStr">
        <is>
          <t>A0A803JX27_XENTR</t>
        </is>
      </c>
      <c r="L10270" t="inlineStr">
        <is>
          <t>tr|A0A803JX27|A0A803JX27_XENTR P2RX7_C domain-containing protein OS=Xenopus tropicalis OX=8364 PE=4 SV=1</t>
        </is>
      </c>
      <c r="M10270" t="n">
        <v>282</v>
      </c>
      <c r="N10270" t="inlineStr">
        <is>
          <t>Xenopus tropicalis</t>
        </is>
      </c>
      <c r="O10270" t="inlineStr">
        <is>
          <t>P2RX7_C domain-containing protein</t>
        </is>
      </c>
    </row>
    <row r="10271">
      <c r="A10271" t="inlineStr"/>
      <c r="B10271" t="inlineStr"/>
      <c r="C10271" t="inlineStr"/>
      <c r="D10271" t="inlineStr"/>
      <c r="E10271">
        <f>HYPERLINK("https://www.ncbi.nlm.nih.gov/gene/?term=NP_001079810.1", "NP_001079810.1")</f>
        <v/>
      </c>
      <c r="F10271" t="n">
        <v>38.2</v>
      </c>
      <c r="G10271" t="n">
        <v>131</v>
      </c>
      <c r="H10271" t="n">
        <v>6.7e-25</v>
      </c>
      <c r="I10271" t="inlineStr">
        <is>
          <t>Nr</t>
        </is>
      </c>
      <c r="J10271" t="inlineStr"/>
      <c r="K10271" t="inlineStr"/>
      <c r="L10271" t="inlineStr">
        <is>
          <t>NP_001079810.1 uncharacterized protein LOC379500 [Xenopus laevis]</t>
        </is>
      </c>
      <c r="M10271" t="n">
        <v>213</v>
      </c>
      <c r="N10271" t="inlineStr">
        <is>
          <t>Xenopus laevis</t>
        </is>
      </c>
      <c r="O10271" t="inlineStr">
        <is>
          <t>uncharacterized protein LOC379500</t>
        </is>
      </c>
    </row>
    <row r="10272">
      <c r="A10272" t="inlineStr"/>
      <c r="B10272" t="inlineStr"/>
      <c r="C10272" t="inlineStr"/>
      <c r="D10272" t="inlineStr"/>
      <c r="E10272">
        <f>HYPERLINK("https://www.uniprot.org/uniprotkb/A0A8T2JIN2/entry", "A0A8T2JIN2")</f>
        <v/>
      </c>
      <c r="F10272" t="n">
        <v>40.9</v>
      </c>
      <c r="G10272" t="n">
        <v>149</v>
      </c>
      <c r="H10272" t="n">
        <v>7.48e-25</v>
      </c>
      <c r="I10272" t="inlineStr">
        <is>
          <t>TrEMBL</t>
        </is>
      </c>
      <c r="J10272" t="inlineStr">
        <is>
          <t>GDO86_011978</t>
        </is>
      </c>
      <c r="K10272" t="inlineStr">
        <is>
          <t>A0A8T2JIN2_9PIPI</t>
        </is>
      </c>
      <c r="L10272" t="inlineStr">
        <is>
          <t>tr|A0A8T2JIN2|A0A8T2JIN2_9PIPI P2RX7_C domain-containing protein OS=Hymenochirus boettgeri OX=247094 GN=GDO86_011978 PE=4 SV=1</t>
        </is>
      </c>
      <c r="M10272" t="n">
        <v>386</v>
      </c>
      <c r="N10272" t="inlineStr">
        <is>
          <t>Hymenochirus boettgeri</t>
        </is>
      </c>
      <c r="O10272" t="inlineStr">
        <is>
          <t>P2RX7_C domain-containing protein</t>
        </is>
      </c>
    </row>
    <row r="10273">
      <c r="A10273" t="inlineStr"/>
      <c r="B10273" t="inlineStr"/>
      <c r="C10273" t="inlineStr"/>
      <c r="D10273" t="inlineStr"/>
      <c r="E10273">
        <f>HYPERLINK("https://www.uniprot.org/uniprotkb/A0A8J1KUW9/entry", "A0A8J1KUW9")</f>
        <v/>
      </c>
      <c r="F10273" t="n">
        <v>42.1</v>
      </c>
      <c r="G10273" t="n">
        <v>133</v>
      </c>
      <c r="H10273" t="n">
        <v>7.93e-25</v>
      </c>
      <c r="I10273" t="inlineStr">
        <is>
          <t>TrEMBL</t>
        </is>
      </c>
      <c r="J10273" t="inlineStr">
        <is>
          <t>LOC121394078</t>
        </is>
      </c>
      <c r="K10273" t="inlineStr">
        <is>
          <t>A0A8J1KUW9_XENLA</t>
        </is>
      </c>
      <c r="L10273" t="inlineStr">
        <is>
          <t>tr|A0A8J1KUW9|A0A8J1KUW9_XENLA P2X purinoceptor 7-like OS=Xenopus laevis OX=8355 GN=LOC121394078 PE=4 SV=1</t>
        </is>
      </c>
      <c r="M10273" t="n">
        <v>191</v>
      </c>
      <c r="N10273" t="inlineStr">
        <is>
          <t>Xenopus laevis</t>
        </is>
      </c>
      <c r="O10273" t="inlineStr">
        <is>
          <t>P2X purinoceptor 7-like</t>
        </is>
      </c>
    </row>
    <row r="10274">
      <c r="A10274" t="inlineStr"/>
      <c r="B10274" t="inlineStr"/>
      <c r="C10274" t="inlineStr"/>
      <c r="D10274" t="inlineStr"/>
      <c r="E10274">
        <f>HYPERLINK("https://www.uniprot.org/uniprotkb/A0A8J1MBW5/entry", "A0A8J1MBW5")</f>
        <v/>
      </c>
      <c r="F10274" t="n">
        <v>42.1</v>
      </c>
      <c r="G10274" t="n">
        <v>133</v>
      </c>
      <c r="H10274" t="n">
        <v>8.35e-25</v>
      </c>
      <c r="I10274" t="inlineStr">
        <is>
          <t>TrEMBL</t>
        </is>
      </c>
      <c r="J10274" t="inlineStr">
        <is>
          <t>LOC121400340</t>
        </is>
      </c>
      <c r="K10274" t="inlineStr">
        <is>
          <t>A0A8J1MBW5_XENLA</t>
        </is>
      </c>
      <c r="L10274" t="inlineStr">
        <is>
          <t>tr|A0A8J1MBW5|A0A8J1MBW5_XENLA P2X purinoceptor 7-like OS=Xenopus laevis OX=8355 GN=LOC121400340 PE=4 SV=1</t>
        </is>
      </c>
      <c r="M10274" t="n">
        <v>193</v>
      </c>
      <c r="N10274" t="inlineStr">
        <is>
          <t>Xenopus laevis</t>
        </is>
      </c>
      <c r="O10274" t="inlineStr">
        <is>
          <t>P2X purinoceptor 7-like</t>
        </is>
      </c>
    </row>
    <row r="10275">
      <c r="A10275" t="inlineStr"/>
      <c r="B10275" t="inlineStr"/>
      <c r="C10275" t="inlineStr"/>
      <c r="D10275" t="inlineStr"/>
      <c r="E10275">
        <f>HYPERLINK("https://www.ncbi.nlm.nih.gov/gene/?term=XP_040187361.1", "XP_040187361.1")</f>
        <v/>
      </c>
      <c r="F10275" t="n">
        <v>37.8</v>
      </c>
      <c r="G10275" t="n">
        <v>143</v>
      </c>
      <c r="H10275" t="n">
        <v>1.04e-24</v>
      </c>
      <c r="I10275" t="inlineStr">
        <is>
          <t>Nr</t>
        </is>
      </c>
      <c r="J10275" t="inlineStr"/>
      <c r="K10275" t="inlineStr"/>
      <c r="L10275" t="inlineStr">
        <is>
          <t>XP_040187361.1 P2X purinoceptor 7-like [Rana temporaria]</t>
        </is>
      </c>
      <c r="M10275" t="n">
        <v>204</v>
      </c>
      <c r="N10275" t="inlineStr">
        <is>
          <t>Rana temporaria</t>
        </is>
      </c>
      <c r="O10275" t="inlineStr">
        <is>
          <t>P2X purinoceptor 7-like</t>
        </is>
      </c>
    </row>
    <row r="10276">
      <c r="A10276" t="inlineStr"/>
      <c r="B10276" t="inlineStr"/>
      <c r="C10276" t="inlineStr"/>
      <c r="D10276" t="inlineStr"/>
      <c r="E10276">
        <f>HYPERLINK("https://www.uniprot.org/uniprotkb/A0A8T2JDL3/entry", "A0A8T2JDL3")</f>
        <v/>
      </c>
      <c r="F10276" t="n">
        <v>40.9</v>
      </c>
      <c r="G10276" t="n">
        <v>149</v>
      </c>
      <c r="H10276" t="n">
        <v>1.23e-24</v>
      </c>
      <c r="I10276" t="inlineStr">
        <is>
          <t>TrEMBL</t>
        </is>
      </c>
      <c r="J10276" t="inlineStr">
        <is>
          <t>GDO86_011978</t>
        </is>
      </c>
      <c r="K10276" t="inlineStr">
        <is>
          <t>A0A8T2JDL3_9PIPI</t>
        </is>
      </c>
      <c r="L10276" t="inlineStr">
        <is>
          <t>tr|A0A8T2JDL3|A0A8T2JDL3_9PIPI P2RX7_C domain-containing protein OS=Hymenochirus boettgeri OX=247094 GN=GDO86_011978 PE=4 SV=1</t>
        </is>
      </c>
      <c r="M10276" t="n">
        <v>425</v>
      </c>
      <c r="N10276" t="inlineStr">
        <is>
          <t>Hymenochirus boettgeri</t>
        </is>
      </c>
      <c r="O10276" t="inlineStr">
        <is>
          <t>P2RX7_C domain-containing protein</t>
        </is>
      </c>
    </row>
    <row r="10277">
      <c r="A10277" t="inlineStr"/>
      <c r="B10277" t="inlineStr"/>
      <c r="C10277" t="inlineStr"/>
      <c r="D10277" t="inlineStr"/>
      <c r="E10277">
        <f>HYPERLINK("https://www.ncbi.nlm.nih.gov/gene/?term=OCT58914.1", "OCT58914.1")</f>
        <v/>
      </c>
      <c r="F10277" t="n">
        <v>37.7</v>
      </c>
      <c r="G10277" t="n">
        <v>151</v>
      </c>
      <c r="H10277" t="n">
        <v>1.37e-24</v>
      </c>
      <c r="I10277" t="inlineStr">
        <is>
          <t>Nr</t>
        </is>
      </c>
      <c r="J10277" t="inlineStr"/>
      <c r="K10277" t="inlineStr"/>
      <c r="L10277" t="inlineStr">
        <is>
          <t>OCT58914.1 hypothetical protein XELAEV_18001403mg [Xenopus laevis]</t>
        </is>
      </c>
      <c r="M10277" t="n">
        <v>215</v>
      </c>
      <c r="N10277" t="inlineStr">
        <is>
          <t>Xenopus laevis</t>
        </is>
      </c>
      <c r="O10277" t="inlineStr">
        <is>
          <t>hypothetical protein XELAEV_18001403mg</t>
        </is>
      </c>
    </row>
    <row r="10278">
      <c r="A10278" t="inlineStr"/>
      <c r="B10278" t="inlineStr"/>
      <c r="C10278" t="inlineStr"/>
      <c r="D10278" t="inlineStr"/>
      <c r="E10278">
        <f>HYPERLINK("https://www.ncbi.nlm.nih.gov/gene/?term=XP_040191846.1", "XP_040191846.1")</f>
        <v/>
      </c>
      <c r="F10278" t="n">
        <v>37.8</v>
      </c>
      <c r="G10278" t="n">
        <v>164</v>
      </c>
      <c r="H10278" t="n">
        <v>1.49e-24</v>
      </c>
      <c r="I10278" t="inlineStr">
        <is>
          <t>Nr</t>
        </is>
      </c>
      <c r="J10278" t="inlineStr"/>
      <c r="K10278" t="inlineStr"/>
      <c r="L10278" t="inlineStr">
        <is>
          <t>XP_040191846.1 P2X purinoceptor 7-like [Rana temporaria]</t>
        </is>
      </c>
      <c r="M10278" t="n">
        <v>205</v>
      </c>
      <c r="N10278" t="inlineStr">
        <is>
          <t>Rana temporaria</t>
        </is>
      </c>
      <c r="O10278" t="inlineStr">
        <is>
          <t>P2X purinoceptor 7-like</t>
        </is>
      </c>
    </row>
    <row r="10279">
      <c r="A10279" t="inlineStr"/>
      <c r="B10279" t="inlineStr"/>
      <c r="C10279" t="inlineStr"/>
      <c r="D10279" t="inlineStr"/>
      <c r="E10279">
        <f>HYPERLINK("https://www.uniprot.org/uniprotkb/A0A1L8GWC2/entry", "A0A1L8GWC2")</f>
        <v/>
      </c>
      <c r="F10279" t="n">
        <v>38.2</v>
      </c>
      <c r="G10279" t="n">
        <v>144</v>
      </c>
      <c r="H10279" t="n">
        <v>2.17e-24</v>
      </c>
      <c r="I10279" t="inlineStr">
        <is>
          <t>TrEMBL</t>
        </is>
      </c>
      <c r="J10279" t="inlineStr">
        <is>
          <t>LOC108710761</t>
        </is>
      </c>
      <c r="K10279" t="inlineStr">
        <is>
          <t>A0A1L8GWC2_XENLA</t>
        </is>
      </c>
      <c r="L10279" t="inlineStr">
        <is>
          <t>tr|A0A1L8GWC2|A0A1L8GWC2_XENLA P2X purinoceptor 7 OS=Xenopus laevis OX=8355 GN=LOC108710761 PE=4 SV=1</t>
        </is>
      </c>
      <c r="M10279" t="n">
        <v>218</v>
      </c>
      <c r="N10279" t="inlineStr">
        <is>
          <t>Xenopus laevis</t>
        </is>
      </c>
      <c r="O10279" t="inlineStr">
        <is>
          <t>P2X purinoceptor 7</t>
        </is>
      </c>
    </row>
    <row r="10280">
      <c r="A10280" t="inlineStr"/>
      <c r="B10280" t="inlineStr"/>
      <c r="C10280" t="inlineStr"/>
      <c r="D10280" t="inlineStr"/>
      <c r="E10280">
        <f>HYPERLINK("https://www.uniprot.org/uniprotkb/A0A6I8R936/entry", "A0A6I8R936")</f>
        <v/>
      </c>
      <c r="F10280" t="n">
        <v>40.1</v>
      </c>
      <c r="G10280" t="n">
        <v>142</v>
      </c>
      <c r="H10280" t="n">
        <v>2.62e-24</v>
      </c>
      <c r="I10280" t="inlineStr">
        <is>
          <t>TrEMBL</t>
        </is>
      </c>
      <c r="J10280" t="inlineStr">
        <is>
          <t>LOC108645628</t>
        </is>
      </c>
      <c r="K10280" t="inlineStr">
        <is>
          <t>A0A6I8R936_XENTR</t>
        </is>
      </c>
      <c r="L10280" t="inlineStr">
        <is>
          <t>tr|A0A6I8R936|A0A6I8R936_XENTR Uncharacterized LOC108645628 OS=Xenopus tropicalis OX=8364 GN=LOC108645628 PE=4 SV=2</t>
        </is>
      </c>
      <c r="M10280" t="n">
        <v>212</v>
      </c>
      <c r="N10280" t="inlineStr">
        <is>
          <t>Xenopus tropicalis</t>
        </is>
      </c>
      <c r="O10280" t="inlineStr">
        <is>
          <t>Uncharacterized LOC108645628</t>
        </is>
      </c>
    </row>
    <row r="10281">
      <c r="A10281" t="inlineStr"/>
      <c r="B10281" t="inlineStr"/>
      <c r="C10281" t="inlineStr"/>
      <c r="D10281" t="inlineStr"/>
      <c r="E10281">
        <f>HYPERLINK("https://www.uniprot.org/uniprotkb/A0A8J1LSK5/entry", "A0A8J1LSK5")</f>
        <v/>
      </c>
      <c r="F10281" t="n">
        <v>37.7</v>
      </c>
      <c r="G10281" t="n">
        <v>151</v>
      </c>
      <c r="H10281" t="n">
        <v>3.6e-24</v>
      </c>
      <c r="I10281" t="inlineStr">
        <is>
          <t>TrEMBL</t>
        </is>
      </c>
      <c r="J10281" t="inlineStr">
        <is>
          <t>LOC121398054</t>
        </is>
      </c>
      <c r="K10281" t="inlineStr">
        <is>
          <t>A0A8J1LSK5_XENLA</t>
        </is>
      </c>
      <c r="L10281" t="inlineStr">
        <is>
          <t>tr|A0A8J1LSK5|A0A8J1LSK5_XENLA uncharacterized protein LOC121398054 OS=Xenopus laevis OX=8355 GN=LOC121398054 PE=4 SV=1</t>
        </is>
      </c>
      <c r="M10281" t="n">
        <v>303</v>
      </c>
      <c r="N10281" t="inlineStr">
        <is>
          <t>Xenopus laevis</t>
        </is>
      </c>
      <c r="O10281" t="inlineStr">
        <is>
          <t>uncharacterized protein LOC121398054</t>
        </is>
      </c>
    </row>
    <row r="10282">
      <c r="A10282" t="inlineStr">
        <is>
          <t>NODE_9508_length_6364_cov_224.438463_g3476_i0</t>
        </is>
      </c>
      <c r="B10282" t="inlineStr">
        <is>
          <t>bombina_pachypus_blastx</t>
        </is>
      </c>
      <c r="C10282" t="n">
        <v>1.65651057162618</v>
      </c>
      <c r="D10282" t="n">
        <v>0.0343401014518718</v>
      </c>
      <c r="E10282">
        <f>HYPERLINK("https://www.uniprot.org/uniprotkb/A0A8B7TXD4/entry", "A0A8B7TXD4")</f>
        <v/>
      </c>
      <c r="F10282" t="n">
        <v>81.40000000000001</v>
      </c>
      <c r="G10282" t="n">
        <v>129</v>
      </c>
      <c r="H10282" t="n">
        <v>6.92e-67</v>
      </c>
      <c r="I10282" t="inlineStr">
        <is>
          <t>TrEMBL</t>
        </is>
      </c>
      <c r="J10282" t="inlineStr">
        <is>
          <t>LOC109679075</t>
        </is>
      </c>
      <c r="K10282" t="inlineStr">
        <is>
          <t>A0A8B7TXD4_CASCN</t>
        </is>
      </c>
      <c r="L10282" t="inlineStr">
        <is>
          <t>tr|A0A8B7TXD4|A0A8B7TXD4_CASCN fibroblast growth factor 12-like OS=Castor canadensis OX=51338 GN=LOC109679075 PE=3 SV=1</t>
        </is>
      </c>
      <c r="M10282" t="n">
        <v>146</v>
      </c>
      <c r="N10282" t="inlineStr">
        <is>
          <t>Castor canadensis</t>
        </is>
      </c>
      <c r="O10282" t="inlineStr">
        <is>
          <t>fibroblast growth factor 12-like</t>
        </is>
      </c>
    </row>
    <row r="10283">
      <c r="A10283" t="inlineStr"/>
      <c r="B10283" t="inlineStr"/>
      <c r="C10283" t="inlineStr"/>
      <c r="D10283" t="inlineStr"/>
      <c r="E10283">
        <f>HYPERLINK("https://www.ncbi.nlm.nih.gov/gene/?term=XP_020010005.1", "XP_020010005.1")</f>
        <v/>
      </c>
      <c r="F10283" t="n">
        <v>81.40000000000001</v>
      </c>
      <c r="G10283" t="n">
        <v>129</v>
      </c>
      <c r="H10283" t="n">
        <v>1.78e-66</v>
      </c>
      <c r="I10283" t="inlineStr">
        <is>
          <t>Nr</t>
        </is>
      </c>
      <c r="J10283" t="inlineStr"/>
      <c r="K10283" t="inlineStr"/>
      <c r="L10283" t="inlineStr">
        <is>
          <t>XP_020010005.1 fibroblast growth factor 12-like [Castor canadensis]</t>
        </is>
      </c>
      <c r="M10283" t="n">
        <v>146</v>
      </c>
      <c r="N10283" t="inlineStr">
        <is>
          <t>Castor canadensis</t>
        </is>
      </c>
      <c r="O10283" t="inlineStr">
        <is>
          <t>fibroblast growth factor 12-like</t>
        </is>
      </c>
    </row>
    <row r="10284">
      <c r="A10284" t="inlineStr"/>
      <c r="B10284" t="inlineStr"/>
      <c r="C10284" t="inlineStr"/>
      <c r="D10284" t="inlineStr"/>
      <c r="E10284">
        <f>HYPERLINK("https://www.uniprot.org/uniprotkb/A0A8C0WDD8/entry", "A0A8C0WDD8")</f>
        <v/>
      </c>
      <c r="F10284" t="n">
        <v>87.8</v>
      </c>
      <c r="G10284" t="n">
        <v>115</v>
      </c>
      <c r="H10284" t="n">
        <v>5.860000000000001e-66</v>
      </c>
      <c r="I10284" t="inlineStr">
        <is>
          <t>TrEMBL</t>
        </is>
      </c>
      <c r="J10284" t="inlineStr">
        <is>
          <t>LOC109679075</t>
        </is>
      </c>
      <c r="K10284" t="inlineStr">
        <is>
          <t>A0A8C0WDD8_CASCN</t>
        </is>
      </c>
      <c r="L10284" t="inlineStr">
        <is>
          <t>tr|A0A8C0WDD8|A0A8C0WDD8_CASCN Fibroblast growth factor 12-like OS=Castor canadensis OX=51338 GN=LOC109679075 PE=3 SV=1</t>
        </is>
      </c>
      <c r="M10284" t="n">
        <v>115</v>
      </c>
      <c r="N10284" t="inlineStr">
        <is>
          <t>Castor canadensis</t>
        </is>
      </c>
      <c r="O10284" t="inlineStr">
        <is>
          <t>Fibroblast growth factor 12-like</t>
        </is>
      </c>
    </row>
    <row r="10285">
      <c r="A10285" t="inlineStr"/>
      <c r="B10285" t="inlineStr"/>
      <c r="C10285" t="inlineStr"/>
      <c r="D10285" t="inlineStr"/>
      <c r="E10285">
        <f>HYPERLINK("https://www.uniprot.org/uniprotkb/A0A091DRR3/entry", "A0A091DRR3")</f>
        <v/>
      </c>
      <c r="F10285" t="n">
        <v>93.40000000000001</v>
      </c>
      <c r="G10285" t="n">
        <v>106</v>
      </c>
      <c r="H10285" t="n">
        <v>9.730000000000001e-66</v>
      </c>
      <c r="I10285" t="inlineStr">
        <is>
          <t>TrEMBL</t>
        </is>
      </c>
      <c r="J10285" t="inlineStr">
        <is>
          <t>H920_05336</t>
        </is>
      </c>
      <c r="K10285" t="inlineStr">
        <is>
          <t>A0A091DRR3_FUKDA</t>
        </is>
      </c>
      <c r="L10285" t="inlineStr">
        <is>
          <t>tr|A0A091DRR3|A0A091DRR3_FUKDA Fibroblast growth factor 12 (Fragment) OS=Fukomys damarensis OX=885580 GN=H920_05336 PE=3 SV=1</t>
        </is>
      </c>
      <c r="M10285" t="n">
        <v>109</v>
      </c>
      <c r="N10285" t="inlineStr">
        <is>
          <t>Fukomys damarensis</t>
        </is>
      </c>
      <c r="O10285" t="inlineStr">
        <is>
          <t>Fibroblast growth factor 12 (Fragment)</t>
        </is>
      </c>
    </row>
    <row r="10286">
      <c r="A10286" t="inlineStr"/>
      <c r="B10286" t="inlineStr"/>
      <c r="C10286" t="inlineStr"/>
      <c r="D10286" t="inlineStr"/>
      <c r="E10286">
        <f>HYPERLINK("https://www.uniprot.org/uniprotkb/A0A452RL37/entry", "A0A452RL37")</f>
        <v/>
      </c>
      <c r="F10286" t="n">
        <v>91.59999999999999</v>
      </c>
      <c r="G10286" t="n">
        <v>107</v>
      </c>
      <c r="H10286" t="n">
        <v>2.23e-65</v>
      </c>
      <c r="I10286" t="inlineStr">
        <is>
          <t>TrEMBL</t>
        </is>
      </c>
      <c r="J10286" t="inlineStr">
        <is>
          <t>FGF12</t>
        </is>
      </c>
      <c r="K10286" t="inlineStr">
        <is>
          <t>A0A452RL37_URSAM</t>
        </is>
      </c>
      <c r="L10286" t="inlineStr">
        <is>
          <t>tr|A0A452RL37|A0A452RL37_URSAM Fibroblast growth factor 12 OS=Ursus americanus OX=9643 GN=FGF12 PE=3 SV=1</t>
        </is>
      </c>
      <c r="M10286" t="n">
        <v>113</v>
      </c>
      <c r="N10286" t="inlineStr">
        <is>
          <t>Ursus americanus</t>
        </is>
      </c>
      <c r="O10286" t="inlineStr">
        <is>
          <t>Fibroblast growth factor 12</t>
        </is>
      </c>
    </row>
    <row r="10287">
      <c r="A10287" t="inlineStr"/>
      <c r="B10287" t="inlineStr"/>
      <c r="C10287" t="inlineStr"/>
      <c r="D10287" t="inlineStr"/>
      <c r="E10287">
        <f>HYPERLINK("https://www.ncbi.nlm.nih.gov/gene/?term=KFO33148.1", "KFO33148.1")</f>
        <v/>
      </c>
      <c r="F10287" t="n">
        <v>93.40000000000001</v>
      </c>
      <c r="G10287" t="n">
        <v>106</v>
      </c>
      <c r="H10287" t="n">
        <v>2.5e-65</v>
      </c>
      <c r="I10287" t="inlineStr">
        <is>
          <t>Nr</t>
        </is>
      </c>
      <c r="J10287" t="inlineStr"/>
      <c r="K10287" t="inlineStr"/>
      <c r="L10287" t="inlineStr">
        <is>
          <t>KFO33148.1 Fibroblast growth factor 12, partial [Fukomys damarensis]</t>
        </is>
      </c>
      <c r="M10287" t="n">
        <v>109</v>
      </c>
      <c r="N10287" t="inlineStr">
        <is>
          <t>Fukomys damarensis</t>
        </is>
      </c>
      <c r="O10287" t="inlineStr">
        <is>
          <t>Fibroblast growth factor 12, partial</t>
        </is>
      </c>
    </row>
    <row r="10288">
      <c r="A10288" t="inlineStr"/>
      <c r="B10288" t="inlineStr"/>
      <c r="C10288" t="inlineStr"/>
      <c r="D10288" t="inlineStr"/>
      <c r="E10288">
        <f>HYPERLINK("https://www.uniprot.org/uniprotkb/A0A7L3H9U4/entry", "A0A7L3H9U4")</f>
        <v/>
      </c>
      <c r="F10288" t="n">
        <v>92.5</v>
      </c>
      <c r="G10288" t="n">
        <v>106</v>
      </c>
      <c r="H10288" t="n">
        <v>2.87e-65</v>
      </c>
      <c r="I10288" t="inlineStr">
        <is>
          <t>TrEMBL</t>
        </is>
      </c>
      <c r="J10288" t="inlineStr">
        <is>
          <t>Fgf12_1</t>
        </is>
      </c>
      <c r="K10288" t="inlineStr">
        <is>
          <t>A0A7L3H9U4_9PASS</t>
        </is>
      </c>
      <c r="L10288" t="inlineStr">
        <is>
          <t>tr|A0A7L3H9U4|A0A7L3H9U4_9PASS FGF12 factor (Fragment) OS=Buphagus erythrorhynchus OX=245048 GN=Fgf12_1 PE=3 SV=1</t>
        </is>
      </c>
      <c r="M10288" t="n">
        <v>110</v>
      </c>
      <c r="N10288" t="inlineStr">
        <is>
          <t>Buphagus erythrorhynchus</t>
        </is>
      </c>
      <c r="O10288" t="inlineStr">
        <is>
          <t>FGF12 factor (Fragment)</t>
        </is>
      </c>
    </row>
    <row r="10289">
      <c r="A10289" t="inlineStr"/>
      <c r="B10289" t="inlineStr"/>
      <c r="C10289" t="inlineStr"/>
      <c r="D10289" t="inlineStr"/>
      <c r="E10289">
        <f>HYPERLINK("https://www.uniprot.org/uniprotkb/A0A850Z3T7/entry", "A0A850Z3T7")</f>
        <v/>
      </c>
      <c r="F10289" t="n">
        <v>92.5</v>
      </c>
      <c r="G10289" t="n">
        <v>106</v>
      </c>
      <c r="H10289" t="n">
        <v>2.87e-65</v>
      </c>
      <c r="I10289" t="inlineStr">
        <is>
          <t>TrEMBL</t>
        </is>
      </c>
      <c r="J10289" t="inlineStr">
        <is>
          <t>Fgf12</t>
        </is>
      </c>
      <c r="K10289" t="inlineStr">
        <is>
          <t>A0A850Z3T7_9PASS</t>
        </is>
      </c>
      <c r="L10289" t="inlineStr">
        <is>
          <t>tr|A0A850Z3T7|A0A850Z3T7_9PASS FGF12 factor (Fragment) OS=Tichodroma muraria OX=237442 GN=Fgf12 PE=3 SV=1</t>
        </is>
      </c>
      <c r="M10289" t="n">
        <v>110</v>
      </c>
      <c r="N10289" t="inlineStr">
        <is>
          <t>Tichodroma muraria</t>
        </is>
      </c>
      <c r="O10289" t="inlineStr">
        <is>
          <t>FGF12 factor (Fragment)</t>
        </is>
      </c>
    </row>
    <row r="10290">
      <c r="A10290" t="inlineStr"/>
      <c r="B10290" t="inlineStr"/>
      <c r="C10290" t="inlineStr"/>
      <c r="D10290" t="inlineStr"/>
      <c r="E10290">
        <f>HYPERLINK("https://www.uniprot.org/uniprotkb/P61328/entry", "P61328")</f>
        <v/>
      </c>
      <c r="F10290" t="n">
        <v>92.40000000000001</v>
      </c>
      <c r="G10290" t="n">
        <v>105</v>
      </c>
      <c r="H10290" t="n">
        <v>3.05e-65</v>
      </c>
      <c r="I10290" t="inlineStr">
        <is>
          <t>Swiss-Prot</t>
        </is>
      </c>
      <c r="J10290" t="inlineStr">
        <is>
          <t>FGF12</t>
        </is>
      </c>
      <c r="K10290" t="inlineStr">
        <is>
          <t>FGF12_HUMAN</t>
        </is>
      </c>
      <c r="L10290" t="inlineStr">
        <is>
          <t>sp|P61328|FGF12_HUMAN Fibroblast growth factor 12 OS=Homo sapiens OX=9606 GN=FGF12 PE=1 SV=1</t>
        </is>
      </c>
      <c r="M10290" t="n">
        <v>243</v>
      </c>
      <c r="N10290" t="inlineStr">
        <is>
          <t>Homo sapiens</t>
        </is>
      </c>
      <c r="O10290" t="inlineStr">
        <is>
          <t>Fibroblast growth factor 12</t>
        </is>
      </c>
    </row>
    <row r="10291">
      <c r="A10291" t="inlineStr"/>
      <c r="B10291" t="inlineStr"/>
      <c r="C10291" t="inlineStr"/>
      <c r="D10291" t="inlineStr"/>
      <c r="E10291">
        <f>HYPERLINK("https://www.uniprot.org/uniprotkb/P61329/entry", "P61329")</f>
        <v/>
      </c>
      <c r="F10291" t="n">
        <v>92.40000000000001</v>
      </c>
      <c r="G10291" t="n">
        <v>105</v>
      </c>
      <c r="H10291" t="n">
        <v>3.05e-65</v>
      </c>
      <c r="I10291" t="inlineStr">
        <is>
          <t>Swiss-Prot</t>
        </is>
      </c>
      <c r="J10291" t="inlineStr">
        <is>
          <t>Fgf12</t>
        </is>
      </c>
      <c r="K10291" t="inlineStr">
        <is>
          <t>FGF12_MOUSE</t>
        </is>
      </c>
      <c r="L10291" t="inlineStr">
        <is>
          <t>sp|P61329|FGF12_MOUSE Fibroblast growth factor 12 OS=Mus musculus OX=10090 GN=Fgf12 PE=1 SV=1</t>
        </is>
      </c>
      <c r="M10291" t="n">
        <v>243</v>
      </c>
      <c r="N10291" t="inlineStr">
        <is>
          <t>Mus musculus</t>
        </is>
      </c>
      <c r="O10291" t="inlineStr">
        <is>
          <t>Fibroblast growth factor 12</t>
        </is>
      </c>
    </row>
    <row r="10292">
      <c r="A10292" t="inlineStr"/>
      <c r="B10292" t="inlineStr"/>
      <c r="C10292" t="inlineStr"/>
      <c r="D10292" t="inlineStr"/>
      <c r="E10292">
        <f>HYPERLINK("https://www.uniprot.org/uniprotkb/P61150/entry", "P61150")</f>
        <v/>
      </c>
      <c r="F10292" t="n">
        <v>92.40000000000001</v>
      </c>
      <c r="G10292" t="n">
        <v>105</v>
      </c>
      <c r="H10292" t="n">
        <v>3.05e-65</v>
      </c>
      <c r="I10292" t="inlineStr">
        <is>
          <t>Swiss-Prot</t>
        </is>
      </c>
      <c r="J10292" t="inlineStr">
        <is>
          <t>Fgf12</t>
        </is>
      </c>
      <c r="K10292" t="inlineStr">
        <is>
          <t>FGF12_RAT</t>
        </is>
      </c>
      <c r="L10292" t="inlineStr">
        <is>
          <t>sp|P61150|FGF12_RAT Fibroblast growth factor 12 OS=Rattus norvegicus OX=10116 GN=Fgf12 PE=1 SV=1</t>
        </is>
      </c>
      <c r="M10292" t="n">
        <v>243</v>
      </c>
      <c r="N10292" t="inlineStr">
        <is>
          <t>Rattus norvegicus</t>
        </is>
      </c>
      <c r="O10292" t="inlineStr">
        <is>
          <t>Fibroblast growth factor 12</t>
        </is>
      </c>
    </row>
    <row r="10293">
      <c r="A10293" t="inlineStr"/>
      <c r="B10293" t="inlineStr"/>
      <c r="C10293" t="inlineStr"/>
      <c r="D10293" t="inlineStr"/>
      <c r="E10293">
        <f>HYPERLINK("https://www.uniprot.org/uniprotkb/C6EQH1/entry", "C6EQH1")</f>
        <v/>
      </c>
      <c r="F10293" t="n">
        <v>92.5</v>
      </c>
      <c r="G10293" t="n">
        <v>106</v>
      </c>
      <c r="H10293" t="n">
        <v>3.38e-65</v>
      </c>
      <c r="I10293" t="inlineStr">
        <is>
          <t>TrEMBL</t>
        </is>
      </c>
      <c r="J10293" t="inlineStr">
        <is>
          <t>Fgf12</t>
        </is>
      </c>
      <c r="K10293" t="inlineStr">
        <is>
          <t>C6EQH1_MOUSE</t>
        </is>
      </c>
      <c r="L10293" t="inlineStr">
        <is>
          <t>tr|C6EQH1|C6EQH1_MOUSE ASL1/Fgf17 fusion protein OS=Mus musculus OX=10090 GN=Fgf12 PE=2 SV=1</t>
        </is>
      </c>
      <c r="M10293" t="n">
        <v>115</v>
      </c>
      <c r="N10293" t="inlineStr">
        <is>
          <t>Mus musculus</t>
        </is>
      </c>
      <c r="O10293" t="inlineStr">
        <is>
          <t>ASL1/Fgf17 fusion protein</t>
        </is>
      </c>
    </row>
    <row r="10294">
      <c r="A10294" t="inlineStr"/>
      <c r="B10294" t="inlineStr"/>
      <c r="C10294" t="inlineStr"/>
      <c r="D10294" t="inlineStr"/>
      <c r="E10294">
        <f>HYPERLINK("https://www.uniprot.org/uniprotkb/M0RBB2/entry", "M0RBB2")</f>
        <v/>
      </c>
      <c r="F10294" t="n">
        <v>92.5</v>
      </c>
      <c r="G10294" t="n">
        <v>106</v>
      </c>
      <c r="H10294" t="n">
        <v>3.49e-65</v>
      </c>
      <c r="I10294" t="inlineStr">
        <is>
          <t>TrEMBL</t>
        </is>
      </c>
      <c r="J10294" t="inlineStr">
        <is>
          <t>Fgf12</t>
        </is>
      </c>
      <c r="K10294" t="inlineStr">
        <is>
          <t>M0RBB2_RAT</t>
        </is>
      </c>
      <c r="L10294" t="inlineStr">
        <is>
          <t>tr|M0RBB2|M0RBB2_RAT Fibroblast growth factor 12 OS=Rattus norvegicus OX=10116 GN=Fgf12 PE=3 SV=2</t>
        </is>
      </c>
      <c r="M10294" t="n">
        <v>116</v>
      </c>
      <c r="N10294" t="inlineStr">
        <is>
          <t>Rattus norvegicus</t>
        </is>
      </c>
      <c r="O10294" t="inlineStr">
        <is>
          <t>Fibroblast growth factor 12</t>
        </is>
      </c>
    </row>
    <row r="10295">
      <c r="A10295" t="inlineStr"/>
      <c r="B10295" t="inlineStr"/>
      <c r="C10295" t="inlineStr"/>
      <c r="D10295" t="inlineStr"/>
      <c r="E10295">
        <f>HYPERLINK("https://www.uniprot.org/uniprotkb/S7PMJ4/entry", "S7PMJ4")</f>
        <v/>
      </c>
      <c r="F10295" t="n">
        <v>90.7</v>
      </c>
      <c r="G10295" t="n">
        <v>108</v>
      </c>
      <c r="H10295" t="n">
        <v>5.99e-65</v>
      </c>
      <c r="I10295" t="inlineStr">
        <is>
          <t>TrEMBL</t>
        </is>
      </c>
      <c r="J10295" t="inlineStr">
        <is>
          <t>D623_10032773</t>
        </is>
      </c>
      <c r="K10295" t="inlineStr">
        <is>
          <t>S7PMJ4_MYOBR</t>
        </is>
      </c>
      <c r="L10295" t="inlineStr">
        <is>
          <t>tr|S7PMJ4|S7PMJ4_MYOBR Fibroblast growth factor 12 OS=Myotis brandtii OX=109478 GN=D623_10032773 PE=3 SV=1</t>
        </is>
      </c>
      <c r="M10295" t="n">
        <v>154</v>
      </c>
      <c r="N10295" t="inlineStr">
        <is>
          <t>Myotis brandtii</t>
        </is>
      </c>
      <c r="O10295" t="inlineStr">
        <is>
          <t>Fibroblast growth factor 12</t>
        </is>
      </c>
    </row>
    <row r="10296">
      <c r="A10296" t="inlineStr"/>
      <c r="B10296" t="inlineStr"/>
      <c r="C10296" t="inlineStr"/>
      <c r="D10296" t="inlineStr"/>
      <c r="E10296">
        <f>HYPERLINK("https://www.ncbi.nlm.nih.gov/gene/?term=XP_032755141.1", "XP_032755141.1")</f>
        <v/>
      </c>
      <c r="F10296" t="n">
        <v>88.40000000000001</v>
      </c>
      <c r="G10296" t="n">
        <v>112</v>
      </c>
      <c r="H10296" t="n">
        <v>6.36e-65</v>
      </c>
      <c r="I10296" t="inlineStr">
        <is>
          <t>Nr</t>
        </is>
      </c>
      <c r="J10296" t="inlineStr"/>
      <c r="K10296" t="inlineStr"/>
      <c r="L10296" t="inlineStr">
        <is>
          <t>XP_032755141.1 fibroblast growth factor 12-like, partial [Rattus rattus]</t>
        </is>
      </c>
      <c r="M10296" t="n">
        <v>127</v>
      </c>
      <c r="N10296" t="inlineStr">
        <is>
          <t>Rattus rattus</t>
        </is>
      </c>
      <c r="O10296" t="inlineStr">
        <is>
          <t>fibroblast growth factor 12-like, partial</t>
        </is>
      </c>
    </row>
    <row r="10297">
      <c r="A10297" t="inlineStr"/>
      <c r="B10297" t="inlineStr"/>
      <c r="C10297" t="inlineStr"/>
      <c r="D10297" t="inlineStr"/>
      <c r="E10297">
        <f>HYPERLINK("https://www.uniprot.org/uniprotkb/V8NI01/entry", "V8NI01")</f>
        <v/>
      </c>
      <c r="F10297" t="n">
        <v>92.5</v>
      </c>
      <c r="G10297" t="n">
        <v>106</v>
      </c>
      <c r="H10297" t="n">
        <v>7.31e-65</v>
      </c>
      <c r="I10297" t="inlineStr">
        <is>
          <t>TrEMBL</t>
        </is>
      </c>
      <c r="J10297" t="inlineStr">
        <is>
          <t>FGF12</t>
        </is>
      </c>
      <c r="K10297" t="inlineStr">
        <is>
          <t>V8NI01_OPHHA</t>
        </is>
      </c>
      <c r="L10297" t="inlineStr">
        <is>
          <t>tr|V8NI01|V8NI01_OPHHA Fibroblast growth factor 12 (Fragment) OS=Ophiophagus hannah OX=8665 GN=FGF12 PE=3 SV=1</t>
        </is>
      </c>
      <c r="M10297" t="n">
        <v>128</v>
      </c>
      <c r="N10297" t="inlineStr">
        <is>
          <t>Ophiophagus hannah</t>
        </is>
      </c>
      <c r="O10297" t="inlineStr">
        <is>
          <t>Fibroblast growth factor 12 (Fragment)</t>
        </is>
      </c>
    </row>
    <row r="10298">
      <c r="A10298" t="inlineStr"/>
      <c r="B10298" t="inlineStr"/>
      <c r="C10298" t="inlineStr"/>
      <c r="D10298" t="inlineStr"/>
      <c r="E10298">
        <f>HYPERLINK("https://www.ncbi.nlm.nih.gov/gene/?term=VCW68223.1", "VCW68223.1")</f>
        <v/>
      </c>
      <c r="F10298" t="n">
        <v>92.5</v>
      </c>
      <c r="G10298" t="n">
        <v>106</v>
      </c>
      <c r="H10298" t="n">
        <v>7.38e-65</v>
      </c>
      <c r="I10298" t="inlineStr">
        <is>
          <t>Nr</t>
        </is>
      </c>
      <c r="J10298" t="inlineStr"/>
      <c r="K10298" t="inlineStr"/>
      <c r="L10298" t="inlineStr">
        <is>
          <t>VCW68223.1 unnamed protein product, partial [Gulo gulo]</t>
        </is>
      </c>
      <c r="M10298" t="n">
        <v>110</v>
      </c>
      <c r="N10298" t="inlineStr">
        <is>
          <t>Gulo gulo</t>
        </is>
      </c>
      <c r="O10298" t="inlineStr">
        <is>
          <t>unnamed protein product, partial</t>
        </is>
      </c>
    </row>
    <row r="10299">
      <c r="A10299" t="inlineStr"/>
      <c r="B10299" t="inlineStr"/>
      <c r="C10299" t="inlineStr"/>
      <c r="D10299" t="inlineStr"/>
      <c r="E10299">
        <f>HYPERLINK("https://www.ncbi.nlm.nih.gov/gene/?term=NWI00371.1", "NWI00371.1")</f>
        <v/>
      </c>
      <c r="F10299" t="n">
        <v>92.5</v>
      </c>
      <c r="G10299" t="n">
        <v>106</v>
      </c>
      <c r="H10299" t="n">
        <v>7.38e-65</v>
      </c>
      <c r="I10299" t="inlineStr">
        <is>
          <t>Nr</t>
        </is>
      </c>
      <c r="J10299" t="inlineStr"/>
      <c r="K10299" t="inlineStr"/>
      <c r="L10299" t="inlineStr">
        <is>
          <t>NWI00371.1 FGF12 factor [Tichodroma muraria]</t>
        </is>
      </c>
      <c r="M10299" t="n">
        <v>110</v>
      </c>
      <c r="N10299" t="inlineStr">
        <is>
          <t>Tichodroma muraria</t>
        </is>
      </c>
      <c r="O10299" t="inlineStr">
        <is>
          <t>FGF12 factor</t>
        </is>
      </c>
    </row>
    <row r="10300">
      <c r="A10300" t="inlineStr"/>
      <c r="B10300" t="inlineStr"/>
      <c r="C10300" t="inlineStr"/>
      <c r="D10300" t="inlineStr"/>
      <c r="E10300">
        <f>HYPERLINK("https://www.ncbi.nlm.nih.gov/gene/?term=TEA10306.1", "TEA10306.1")</f>
        <v/>
      </c>
      <c r="F10300" t="n">
        <v>92.5</v>
      </c>
      <c r="G10300" t="n">
        <v>106</v>
      </c>
      <c r="H10300" t="n">
        <v>7.38e-65</v>
      </c>
      <c r="I10300" t="inlineStr">
        <is>
          <t>Nr</t>
        </is>
      </c>
      <c r="J10300" t="inlineStr"/>
      <c r="K10300" t="inlineStr"/>
      <c r="L10300" t="inlineStr">
        <is>
          <t>TEA10306.1 hypothetical protein DBR06_SOUSAS3710088, partial [Sousa chinensis]</t>
        </is>
      </c>
      <c r="M10300" t="n">
        <v>110</v>
      </c>
      <c r="N10300" t="inlineStr">
        <is>
          <t>Sousa chinensis</t>
        </is>
      </c>
      <c r="O10300" t="inlineStr">
        <is>
          <t>hypothetical protein DBR06_SOUSAS3710088, partial</t>
        </is>
      </c>
    </row>
    <row r="10301">
      <c r="A10301" t="inlineStr"/>
      <c r="B10301" t="inlineStr"/>
      <c r="C10301" t="inlineStr"/>
      <c r="D10301" t="inlineStr"/>
      <c r="E10301">
        <f>HYPERLINK("https://www.ncbi.nlm.nih.gov/gene/?term=XP_009867365.1", "XP_009867365.1")</f>
        <v/>
      </c>
      <c r="F10301" t="n">
        <v>92.5</v>
      </c>
      <c r="G10301" t="n">
        <v>106</v>
      </c>
      <c r="H10301" t="n">
        <v>7.62e-65</v>
      </c>
      <c r="I10301" t="inlineStr">
        <is>
          <t>Nr</t>
        </is>
      </c>
      <c r="J10301" t="inlineStr"/>
      <c r="K10301" t="inlineStr"/>
      <c r="L10301" t="inlineStr">
        <is>
          <t>XP_009867365.1 PREDICTED: fibroblast growth factor 12, partial [Apaloderma vittatum]</t>
        </is>
      </c>
      <c r="M10301" t="n">
        <v>111</v>
      </c>
      <c r="N10301" t="inlineStr">
        <is>
          <t>Apaloderma vittatum</t>
        </is>
      </c>
      <c r="O10301" t="inlineStr">
        <is>
          <t>PREDICTED: fibroblast growth factor 12, partial</t>
        </is>
      </c>
    </row>
    <row r="10302">
      <c r="A10302" t="inlineStr"/>
      <c r="B10302" t="inlineStr"/>
      <c r="C10302" t="inlineStr"/>
      <c r="D10302" t="inlineStr"/>
      <c r="E10302">
        <f>HYPERLINK("https://www.ncbi.nlm.nih.gov/gene/?term=XP_010190842.1", "XP_010190842.1")</f>
        <v/>
      </c>
      <c r="F10302" t="n">
        <v>92.5</v>
      </c>
      <c r="G10302" t="n">
        <v>106</v>
      </c>
      <c r="H10302" t="n">
        <v>7.87e-65</v>
      </c>
      <c r="I10302" t="inlineStr">
        <is>
          <t>Nr</t>
        </is>
      </c>
      <c r="J10302" t="inlineStr"/>
      <c r="K10302" t="inlineStr"/>
      <c r="L10302" t="inlineStr">
        <is>
          <t>XP_010190842.1 PREDICTED: fibroblast growth factor 12, partial [Mesitornis unicolor]</t>
        </is>
      </c>
      <c r="M10302" t="n">
        <v>112</v>
      </c>
      <c r="N10302" t="inlineStr">
        <is>
          <t>Mesitornis unicolor</t>
        </is>
      </c>
      <c r="O10302" t="inlineStr">
        <is>
          <t>PREDICTED: fibroblast growth factor 12, partial</t>
        </is>
      </c>
    </row>
    <row r="10303">
      <c r="A10303" t="inlineStr"/>
      <c r="B10303" t="inlineStr"/>
      <c r="C10303" t="inlineStr"/>
      <c r="D10303" t="inlineStr"/>
      <c r="E10303">
        <f>HYPERLINK("https://www.ncbi.nlm.nih.gov/gene/?term=ACD47035.1", "ACD47035.1")</f>
        <v/>
      </c>
      <c r="F10303" t="n">
        <v>92.5</v>
      </c>
      <c r="G10303" t="n">
        <v>106</v>
      </c>
      <c r="H10303" t="n">
        <v>8.67e-65</v>
      </c>
      <c r="I10303" t="inlineStr">
        <is>
          <t>Nr</t>
        </is>
      </c>
      <c r="J10303" t="inlineStr"/>
      <c r="K10303" t="inlineStr"/>
      <c r="L10303" t="inlineStr">
        <is>
          <t>ACD47035.1 ASL1/Fgf17 fusion protein [Mus musculus]</t>
        </is>
      </c>
      <c r="M10303" t="n">
        <v>115</v>
      </c>
      <c r="N10303" t="inlineStr">
        <is>
          <t>Mus musculus</t>
        </is>
      </c>
      <c r="O10303" t="inlineStr">
        <is>
          <t>ASL1/Fgf17 fusion protein</t>
        </is>
      </c>
    </row>
    <row r="10304">
      <c r="A10304" t="inlineStr"/>
      <c r="B10304" t="inlineStr"/>
      <c r="C10304" t="inlineStr"/>
      <c r="D10304" t="inlineStr"/>
      <c r="E10304">
        <f>HYPERLINK("https://www.uniprot.org/uniprotkb/A0A8V0YN03/entry", "A0A8V0YN03")</f>
        <v/>
      </c>
      <c r="F10304" t="n">
        <v>90.7</v>
      </c>
      <c r="G10304" t="n">
        <v>107</v>
      </c>
      <c r="H10304" t="n">
        <v>8.81e-65</v>
      </c>
      <c r="I10304" t="inlineStr">
        <is>
          <t>TrEMBL</t>
        </is>
      </c>
      <c r="J10304" t="inlineStr">
        <is>
          <t>FGF12</t>
        </is>
      </c>
      <c r="K10304" t="inlineStr">
        <is>
          <t>A0A8V0YN03_CHICK</t>
        </is>
      </c>
      <c r="L10304" t="inlineStr">
        <is>
          <t>tr|A0A8V0YN03|A0A8V0YN03_CHICK Fibroblast growth factor 12 OS=Gallus gallus OX=9031 GN=FGF12 PE=4 SV=1</t>
        </is>
      </c>
      <c r="M10304" t="n">
        <v>123</v>
      </c>
      <c r="N10304" t="inlineStr">
        <is>
          <t>Gallus gallus</t>
        </is>
      </c>
      <c r="O10304" t="inlineStr">
        <is>
          <t>Fibroblast growth factor 12</t>
        </is>
      </c>
    </row>
    <row r="10305">
      <c r="A10305" t="inlineStr"/>
      <c r="B10305" t="inlineStr"/>
      <c r="C10305" t="inlineStr"/>
      <c r="D10305" t="inlineStr"/>
      <c r="E10305">
        <f>HYPERLINK("https://www.uniprot.org/uniprotkb/Q6GLX1/entry", "Q6GLX1")</f>
        <v/>
      </c>
      <c r="F10305" t="n">
        <v>93.3</v>
      </c>
      <c r="G10305" t="n">
        <v>105</v>
      </c>
      <c r="H10305" t="n">
        <v>9.380000000000001e-65</v>
      </c>
      <c r="I10305" t="inlineStr">
        <is>
          <t>TrEMBL</t>
        </is>
      </c>
      <c r="J10305" t="inlineStr">
        <is>
          <t>fgf12.S</t>
        </is>
      </c>
      <c r="K10305" t="inlineStr">
        <is>
          <t>Q6GLX1_XENLA</t>
        </is>
      </c>
      <c r="L10305" t="inlineStr">
        <is>
          <t>tr|Q6GLX1|Q6GLX1_XENLA Fibroblast growth factor OS=Xenopus laevis OX=8355 GN=fgf12.S PE=2 SV=1</t>
        </is>
      </c>
      <c r="M10305" t="n">
        <v>157</v>
      </c>
      <c r="N10305" t="inlineStr">
        <is>
          <t>Xenopus laevis</t>
        </is>
      </c>
      <c r="O10305" t="inlineStr">
        <is>
          <t>Fibroblast growth factor</t>
        </is>
      </c>
    </row>
    <row r="10306">
      <c r="A10306" t="inlineStr"/>
      <c r="B10306" t="inlineStr"/>
      <c r="C10306" t="inlineStr"/>
      <c r="D10306" t="inlineStr"/>
      <c r="E10306">
        <f>HYPERLINK("https://www.ncbi.nlm.nih.gov/gene/?term=KAF7235831.1", "KAF7235831.1")</f>
        <v/>
      </c>
      <c r="F10306" t="n">
        <v>92.5</v>
      </c>
      <c r="G10306" t="n">
        <v>106</v>
      </c>
      <c r="H10306" t="n">
        <v>9.52e-65</v>
      </c>
      <c r="I10306" t="inlineStr">
        <is>
          <t>Nr</t>
        </is>
      </c>
      <c r="J10306" t="inlineStr"/>
      <c r="K10306" t="inlineStr"/>
      <c r="L10306" t="inlineStr">
        <is>
          <t>KAF7235831.1 Fibroblast growth factor 12, partial [Varanus komodoensis]</t>
        </is>
      </c>
      <c r="M10306" t="n">
        <v>107</v>
      </c>
      <c r="N10306" t="inlineStr">
        <is>
          <t>Varanus komodoensis</t>
        </is>
      </c>
      <c r="O10306" t="inlineStr">
        <is>
          <t>Fibroblast growth factor 12, partial</t>
        </is>
      </c>
    </row>
    <row r="10307">
      <c r="A10307" t="inlineStr"/>
      <c r="B10307" t="inlineStr"/>
      <c r="C10307" t="inlineStr"/>
      <c r="D10307" t="inlineStr"/>
      <c r="E10307">
        <f>HYPERLINK("https://www.uniprot.org/uniprotkb/A0A8V0YUT9/entry", "A0A8V0YUT9")</f>
        <v/>
      </c>
      <c r="F10307" t="n">
        <v>89.90000000000001</v>
      </c>
      <c r="G10307" t="n">
        <v>109</v>
      </c>
      <c r="H10307" t="n">
        <v>1.08e-64</v>
      </c>
      <c r="I10307" t="inlineStr">
        <is>
          <t>TrEMBL</t>
        </is>
      </c>
      <c r="J10307" t="inlineStr">
        <is>
          <t>FGF12</t>
        </is>
      </c>
      <c r="K10307" t="inlineStr">
        <is>
          <t>A0A8V0YUT9_CHICK</t>
        </is>
      </c>
      <c r="L10307" t="inlineStr">
        <is>
          <t>tr|A0A8V0YUT9|A0A8V0YUT9_CHICK Fibroblast growth factor 12 OS=Gallus gallus OX=9031 GN=FGF12 PE=4 SV=1</t>
        </is>
      </c>
      <c r="M10307" t="n">
        <v>140</v>
      </c>
      <c r="N10307" t="inlineStr">
        <is>
          <t>Gallus gallus</t>
        </is>
      </c>
      <c r="O10307" t="inlineStr">
        <is>
          <t>Fibroblast growth factor 12</t>
        </is>
      </c>
    </row>
    <row r="10308">
      <c r="A10308" t="inlineStr"/>
      <c r="B10308" t="inlineStr"/>
      <c r="C10308" t="inlineStr"/>
      <c r="D10308" t="inlineStr"/>
      <c r="E10308">
        <f>HYPERLINK("https://www.ncbi.nlm.nih.gov/gene/?term=XP_010295468.1", "XP_010295468.1")</f>
        <v/>
      </c>
      <c r="F10308" t="n">
        <v>92.5</v>
      </c>
      <c r="G10308" t="n">
        <v>106</v>
      </c>
      <c r="H10308" t="n">
        <v>1.12e-64</v>
      </c>
      <c r="I10308" t="inlineStr">
        <is>
          <t>Nr</t>
        </is>
      </c>
      <c r="J10308" t="inlineStr"/>
      <c r="K10308" t="inlineStr"/>
      <c r="L10308" t="inlineStr">
        <is>
          <t>XP_010295468.1 PREDICTED: fibroblast growth factor 12-like [Phaethon lepturus]</t>
        </is>
      </c>
      <c r="M10308" t="n">
        <v>123</v>
      </c>
      <c r="N10308" t="inlineStr">
        <is>
          <t>Phaethon lepturus</t>
        </is>
      </c>
      <c r="O10308" t="inlineStr">
        <is>
          <t>PREDICTED: fibroblast growth factor 12-like</t>
        </is>
      </c>
    </row>
    <row r="10309">
      <c r="A10309" t="inlineStr"/>
      <c r="B10309" t="inlineStr"/>
      <c r="C10309" t="inlineStr"/>
      <c r="D10309" t="inlineStr"/>
      <c r="E10309">
        <f>HYPERLINK("https://www.ncbi.nlm.nih.gov/gene/?term=KAG8581522.1", "KAG8581522.1")</f>
        <v/>
      </c>
      <c r="F10309" t="n">
        <v>92.5</v>
      </c>
      <c r="G10309" t="n">
        <v>106</v>
      </c>
      <c r="H10309" t="n">
        <v>1.16e-64</v>
      </c>
      <c r="I10309" t="inlineStr">
        <is>
          <t>Nr</t>
        </is>
      </c>
      <c r="J10309" t="inlineStr"/>
      <c r="K10309" t="inlineStr"/>
      <c r="L10309" t="inlineStr">
        <is>
          <t>KAG8581522.1 hypothetical protein GDO81_007708 [Engystomops pustulosus]</t>
        </is>
      </c>
      <c r="M10309" t="n">
        <v>124</v>
      </c>
      <c r="N10309" t="inlineStr">
        <is>
          <t>Engystomops pustulosus</t>
        </is>
      </c>
      <c r="O10309" t="inlineStr">
        <is>
          <t>hypothetical protein GDO81_007708</t>
        </is>
      </c>
    </row>
    <row r="10310">
      <c r="A10310" t="inlineStr"/>
      <c r="B10310" t="inlineStr"/>
      <c r="C10310" t="inlineStr"/>
      <c r="D10310" t="inlineStr"/>
      <c r="E10310">
        <f>HYPERLINK("https://www.ncbi.nlm.nih.gov/gene/?term=EAW78086.1", "EAW78086.1")</f>
        <v/>
      </c>
      <c r="F10310" t="n">
        <v>92.5</v>
      </c>
      <c r="G10310" t="n">
        <v>106</v>
      </c>
      <c r="H10310" t="n">
        <v>1.41e-64</v>
      </c>
      <c r="I10310" t="inlineStr">
        <is>
          <t>Nr</t>
        </is>
      </c>
      <c r="J10310" t="inlineStr"/>
      <c r="K10310" t="inlineStr"/>
      <c r="L10310" t="inlineStr">
        <is>
          <t>EAW78086.1 fibroblast growth factor 12, isoform CRA_c [Homo sapiens]</t>
        </is>
      </c>
      <c r="M10310" t="n">
        <v>130</v>
      </c>
      <c r="N10310" t="inlineStr">
        <is>
          <t>Homo sapiens</t>
        </is>
      </c>
      <c r="O10310" t="inlineStr">
        <is>
          <t>fibroblast growth factor 12, isoform CRA_c</t>
        </is>
      </c>
    </row>
    <row r="10311">
      <c r="A10311" t="inlineStr"/>
      <c r="B10311" t="inlineStr"/>
      <c r="C10311" t="inlineStr"/>
      <c r="D10311" t="inlineStr"/>
      <c r="E10311">
        <f>HYPERLINK("https://www.uniprot.org/uniprotkb/A0A8J6DPI0/entry", "A0A8J6DPI0")</f>
        <v/>
      </c>
      <c r="F10311" t="n">
        <v>92.40000000000001</v>
      </c>
      <c r="G10311" t="n">
        <v>105</v>
      </c>
      <c r="H10311" t="n">
        <v>1.41e-64</v>
      </c>
      <c r="I10311" t="inlineStr">
        <is>
          <t>TrEMBL</t>
        </is>
      </c>
      <c r="J10311" t="inlineStr">
        <is>
          <t>J0S82_011492</t>
        </is>
      </c>
      <c r="K10311" t="inlineStr">
        <is>
          <t>A0A8J6DPI0_GALPY</t>
        </is>
      </c>
      <c r="L10311" t="inlineStr">
        <is>
          <t>tr|A0A8J6DPI0|A0A8J6DPI0_GALPY Fibroblast growth factor 12 (Fragment) OS=Galemys pyrenaicus OX=202257 GN=J0S82_011492 PE=3 SV=1</t>
        </is>
      </c>
      <c r="M10311" t="n">
        <v>105</v>
      </c>
      <c r="N10311" t="inlineStr">
        <is>
          <t>Galemys pyrenaicus</t>
        </is>
      </c>
      <c r="O10311" t="inlineStr">
        <is>
          <t>Fibroblast growth factor 12 (Fragment)</t>
        </is>
      </c>
    </row>
    <row r="10312">
      <c r="A10312" t="inlineStr"/>
      <c r="B10312" t="inlineStr"/>
      <c r="C10312" t="inlineStr"/>
      <c r="D10312" t="inlineStr"/>
      <c r="E10312">
        <f>HYPERLINK("https://www.uniprot.org/uniprotkb/A0A6G1BAP3/entry", "A0A6G1BAP3")</f>
        <v/>
      </c>
      <c r="F10312" t="n">
        <v>92.40000000000001</v>
      </c>
      <c r="G10312" t="n">
        <v>105</v>
      </c>
      <c r="H10312" t="n">
        <v>1.41e-64</v>
      </c>
      <c r="I10312" t="inlineStr">
        <is>
          <t>TrEMBL</t>
        </is>
      </c>
      <c r="J10312" t="inlineStr">
        <is>
          <t>Fgf12_1</t>
        </is>
      </c>
      <c r="K10312" t="inlineStr">
        <is>
          <t>A0A6G1BAP3_CROCR</t>
        </is>
      </c>
      <c r="L10312" t="inlineStr">
        <is>
          <t>tr|A0A6G1BAP3|A0A6G1BAP3_CROCR FGF12 factor (Fragment) OS=Crocuta crocuta OX=9678 GN=Fgf12_1 PE=3 SV=1</t>
        </is>
      </c>
      <c r="M10312" t="n">
        <v>105</v>
      </c>
      <c r="N10312" t="inlineStr">
        <is>
          <t>Crocuta crocuta</t>
        </is>
      </c>
      <c r="O10312" t="inlineStr">
        <is>
          <t>FGF12 factor (Fragment)</t>
        </is>
      </c>
    </row>
    <row r="10313">
      <c r="A10313" t="inlineStr"/>
      <c r="B10313" t="inlineStr"/>
      <c r="C10313" t="inlineStr"/>
      <c r="D10313" t="inlineStr"/>
      <c r="E10313">
        <f>HYPERLINK("https://www.uniprot.org/uniprotkb/A0A5E4CIY5/entry", "A0A5E4CIY5")</f>
        <v/>
      </c>
      <c r="F10313" t="n">
        <v>92.40000000000001</v>
      </c>
      <c r="G10313" t="n">
        <v>105</v>
      </c>
      <c r="H10313" t="n">
        <v>1.41e-64</v>
      </c>
      <c r="I10313" t="inlineStr">
        <is>
          <t>TrEMBL</t>
        </is>
      </c>
      <c r="J10313" t="inlineStr">
        <is>
          <t>MONAX_5E029911</t>
        </is>
      </c>
      <c r="K10313" t="inlineStr">
        <is>
          <t>A0A5E4CIY5_MARMO</t>
        </is>
      </c>
      <c r="L10313" t="inlineStr">
        <is>
          <t>tr|A0A5E4CIY5|A0A5E4CIY5_MARMO FGF12 factor (Fragment) OS=Marmota monax OX=9995 GN=MONAX_5E029911 PE=3 SV=1</t>
        </is>
      </c>
      <c r="M10313" t="n">
        <v>105</v>
      </c>
      <c r="N10313" t="inlineStr">
        <is>
          <t>Marmota monax</t>
        </is>
      </c>
      <c r="O10313" t="inlineStr">
        <is>
          <t>FGF12 factor (Fragment)</t>
        </is>
      </c>
    </row>
    <row r="10314">
      <c r="A10314" t="inlineStr"/>
      <c r="B10314" t="inlineStr"/>
      <c r="C10314" t="inlineStr"/>
      <c r="D10314" t="inlineStr"/>
      <c r="E10314">
        <f>HYPERLINK("https://www.uniprot.org/uniprotkb/A0A7K8Q5W8/entry", "A0A7K8Q5W8")</f>
        <v/>
      </c>
      <c r="F10314" t="n">
        <v>92.40000000000001</v>
      </c>
      <c r="G10314" t="n">
        <v>105</v>
      </c>
      <c r="H10314" t="n">
        <v>1.41e-64</v>
      </c>
      <c r="I10314" t="inlineStr">
        <is>
          <t>TrEMBL</t>
        </is>
      </c>
      <c r="J10314" t="inlineStr">
        <is>
          <t>Fgf12</t>
        </is>
      </c>
      <c r="K10314" t="inlineStr">
        <is>
          <t>A0A7K8Q5W8_9PASS</t>
        </is>
      </c>
      <c r="L10314" t="inlineStr">
        <is>
          <t>tr|A0A7K8Q5W8|A0A7K8Q5W8_9PASS FGF12 factor (Fragment) OS=Menura novaehollandiae OX=47692 GN=Fgf12 PE=3 SV=1</t>
        </is>
      </c>
      <c r="M10314" t="n">
        <v>105</v>
      </c>
      <c r="N10314" t="inlineStr">
        <is>
          <t>Menura novaehollandiae</t>
        </is>
      </c>
      <c r="O10314" t="inlineStr">
        <is>
          <t>FGF12 factor (Fragment)</t>
        </is>
      </c>
    </row>
    <row r="10315">
      <c r="A10315" t="inlineStr"/>
      <c r="B10315" t="inlineStr"/>
      <c r="C10315" t="inlineStr"/>
      <c r="D10315" t="inlineStr"/>
      <c r="E10315">
        <f>HYPERLINK("https://www.uniprot.org/uniprotkb/A0A091T8C2/entry", "A0A091T8C2")</f>
        <v/>
      </c>
      <c r="F10315" t="n">
        <v>92.40000000000001</v>
      </c>
      <c r="G10315" t="n">
        <v>105</v>
      </c>
      <c r="H10315" t="n">
        <v>1.41e-64</v>
      </c>
      <c r="I10315" t="inlineStr">
        <is>
          <t>TrEMBL</t>
        </is>
      </c>
      <c r="J10315" t="inlineStr">
        <is>
          <t>N335_13391</t>
        </is>
      </c>
      <c r="K10315" t="inlineStr">
        <is>
          <t>A0A091T8C2_PHALP</t>
        </is>
      </c>
      <c r="L10315" t="inlineStr">
        <is>
          <t>tr|A0A091T8C2|A0A091T8C2_PHALP Fibroblast growth factor 12 (Fragment) OS=Phaethon lepturus OX=97097 GN=N335_13391 PE=3 SV=1</t>
        </is>
      </c>
      <c r="M10315" t="n">
        <v>105</v>
      </c>
      <c r="N10315" t="inlineStr">
        <is>
          <t>Phaethon lepturus</t>
        </is>
      </c>
      <c r="O10315" t="inlineStr">
        <is>
          <t>Fibroblast growth factor 12 (Fragment)</t>
        </is>
      </c>
    </row>
    <row r="10316">
      <c r="A10316" t="inlineStr"/>
      <c r="B10316" t="inlineStr"/>
      <c r="C10316" t="inlineStr"/>
      <c r="D10316" t="inlineStr"/>
      <c r="E10316">
        <f>HYPERLINK("https://www.uniprot.org/uniprotkb/A0A852CJM3/entry", "A0A852CJM3")</f>
        <v/>
      </c>
      <c r="F10316" t="n">
        <v>92.40000000000001</v>
      </c>
      <c r="G10316" t="n">
        <v>105</v>
      </c>
      <c r="H10316" t="n">
        <v>1.41e-64</v>
      </c>
      <c r="I10316" t="inlineStr">
        <is>
          <t>TrEMBL</t>
        </is>
      </c>
      <c r="J10316" t="inlineStr">
        <is>
          <t>Fgf12_1</t>
        </is>
      </c>
      <c r="K10316" t="inlineStr">
        <is>
          <t>A0A852CJM3_9PICI</t>
        </is>
      </c>
      <c r="L10316" t="inlineStr">
        <is>
          <t>tr|A0A852CJM3|A0A852CJM3_9PICI FGF12 factor (Fragment) OS=Ramphastos sulfuratus OX=322582 GN=Fgf12_1 PE=3 SV=1</t>
        </is>
      </c>
      <c r="M10316" t="n">
        <v>105</v>
      </c>
      <c r="N10316" t="inlineStr">
        <is>
          <t>Ramphastos sulfuratus</t>
        </is>
      </c>
      <c r="O10316" t="inlineStr">
        <is>
          <t>FGF12 factor (Fragment)</t>
        </is>
      </c>
    </row>
    <row r="10317">
      <c r="A10317" t="inlineStr"/>
      <c r="B10317" t="inlineStr"/>
      <c r="C10317" t="inlineStr"/>
      <c r="D10317" t="inlineStr"/>
      <c r="E10317">
        <f>HYPERLINK("https://www.uniprot.org/uniprotkb/A0A091NH69/entry", "A0A091NH69")</f>
        <v/>
      </c>
      <c r="F10317" t="n">
        <v>92.40000000000001</v>
      </c>
      <c r="G10317" t="n">
        <v>105</v>
      </c>
      <c r="H10317" t="n">
        <v>1.41e-64</v>
      </c>
      <c r="I10317" t="inlineStr">
        <is>
          <t>TrEMBL</t>
        </is>
      </c>
      <c r="J10317" t="inlineStr">
        <is>
          <t>N311_01271</t>
        </is>
      </c>
      <c r="K10317" t="inlineStr">
        <is>
          <t>A0A091NH69_APAVI</t>
        </is>
      </c>
      <c r="L10317" t="inlineStr">
        <is>
          <t>tr|A0A091NH69|A0A091NH69_APAVI Fibroblast growth factor 12 (Fragment) OS=Apaloderma vittatum OX=57397 GN=N311_01271 PE=3 SV=1</t>
        </is>
      </c>
      <c r="M10317" t="n">
        <v>105</v>
      </c>
      <c r="N10317" t="inlineStr">
        <is>
          <t>Apaloderma vittatum</t>
        </is>
      </c>
      <c r="O10317" t="inlineStr">
        <is>
          <t>Fibroblast growth factor 12 (Fragment)</t>
        </is>
      </c>
    </row>
    <row r="10318">
      <c r="A10318" t="inlineStr"/>
      <c r="B10318" t="inlineStr"/>
      <c r="C10318" t="inlineStr"/>
      <c r="D10318" t="inlineStr"/>
      <c r="E10318">
        <f>HYPERLINK("https://www.uniprot.org/uniprotkb/A0A093E2M1/entry", "A0A093E2M1")</f>
        <v/>
      </c>
      <c r="F10318" t="n">
        <v>92.40000000000001</v>
      </c>
      <c r="G10318" t="n">
        <v>105</v>
      </c>
      <c r="H10318" t="n">
        <v>1.41e-64</v>
      </c>
      <c r="I10318" t="inlineStr">
        <is>
          <t>TrEMBL</t>
        </is>
      </c>
      <c r="J10318" t="inlineStr">
        <is>
          <t>N339_06741</t>
        </is>
      </c>
      <c r="K10318" t="inlineStr">
        <is>
          <t>A0A093E2M1_9AVES</t>
        </is>
      </c>
      <c r="L10318" t="inlineStr">
        <is>
          <t>tr|A0A093E2M1|A0A093E2M1_9AVES Fibroblast growth factor 12 (Fragment) OS=Pterocles gutturalis OX=240206 GN=N339_06741 PE=3 SV=1</t>
        </is>
      </c>
      <c r="M10318" t="n">
        <v>105</v>
      </c>
      <c r="N10318" t="inlineStr">
        <is>
          <t>Pterocles gutturalis</t>
        </is>
      </c>
      <c r="O10318" t="inlineStr">
        <is>
          <t>Fibroblast growth factor 12 (Fragment)</t>
        </is>
      </c>
    </row>
    <row r="10319">
      <c r="A10319" t="inlineStr"/>
      <c r="B10319" t="inlineStr"/>
      <c r="C10319" t="inlineStr"/>
      <c r="D10319" t="inlineStr"/>
      <c r="E10319">
        <f>HYPERLINK("https://www.uniprot.org/uniprotkb/A0A091MII7/entry", "A0A091MII7")</f>
        <v/>
      </c>
      <c r="F10319" t="n">
        <v>92.40000000000001</v>
      </c>
      <c r="G10319" t="n">
        <v>105</v>
      </c>
      <c r="H10319" t="n">
        <v>1.41e-64</v>
      </c>
      <c r="I10319" t="inlineStr">
        <is>
          <t>TrEMBL</t>
        </is>
      </c>
      <c r="J10319" t="inlineStr">
        <is>
          <t>N310_03223</t>
        </is>
      </c>
      <c r="K10319" t="inlineStr">
        <is>
          <t>A0A091MII7_9PASS</t>
        </is>
      </c>
      <c r="L10319" t="inlineStr">
        <is>
          <t>tr|A0A091MII7|A0A091MII7_9PASS Fibroblast growth factor 12 (Fragment) OS=Acanthisitta chloris OX=57068 GN=N310_03223 PE=3 SV=1</t>
        </is>
      </c>
      <c r="M10319" t="n">
        <v>105</v>
      </c>
      <c r="N10319" t="inlineStr">
        <is>
          <t>Acanthisitta chloris</t>
        </is>
      </c>
      <c r="O10319" t="inlineStr">
        <is>
          <t>Fibroblast growth factor 12 (Fragment)</t>
        </is>
      </c>
    </row>
    <row r="10320">
      <c r="A10320" t="inlineStr"/>
      <c r="B10320" t="inlineStr"/>
      <c r="C10320" t="inlineStr"/>
      <c r="D10320" t="inlineStr"/>
      <c r="E10320">
        <f>HYPERLINK("https://www.uniprot.org/uniprotkb/A0A7L4NPW4/entry", "A0A7L4NPW4")</f>
        <v/>
      </c>
      <c r="F10320" t="n">
        <v>92.40000000000001</v>
      </c>
      <c r="G10320" t="n">
        <v>105</v>
      </c>
      <c r="H10320" t="n">
        <v>1.41e-64</v>
      </c>
      <c r="I10320" t="inlineStr">
        <is>
          <t>TrEMBL</t>
        </is>
      </c>
      <c r="J10320" t="inlineStr">
        <is>
          <t>Fgf12_1</t>
        </is>
      </c>
      <c r="K10320" t="inlineStr">
        <is>
          <t>A0A7L4NPW4_9AVES</t>
        </is>
      </c>
      <c r="L10320" t="inlineStr">
        <is>
          <t>tr|A0A7L4NPW4|A0A7L4NPW4_9AVES FGF12 factor (Fragment) OS=Ceyx cyanopectus OX=390723 GN=Fgf12_1 PE=3 SV=1</t>
        </is>
      </c>
      <c r="M10320" t="n">
        <v>105</v>
      </c>
      <c r="N10320" t="inlineStr">
        <is>
          <t>Ceyx cyanopectus</t>
        </is>
      </c>
      <c r="O10320" t="inlineStr">
        <is>
          <t>FGF12 factor (Fragment)</t>
        </is>
      </c>
    </row>
    <row r="10321">
      <c r="A10321" t="inlineStr"/>
      <c r="B10321" t="inlineStr"/>
      <c r="C10321" t="inlineStr"/>
      <c r="D10321" t="inlineStr"/>
      <c r="E10321">
        <f>HYPERLINK("https://www.uniprot.org/uniprotkb/A0A091M3G8/entry", "A0A091M3G8")</f>
        <v/>
      </c>
      <c r="F10321" t="n">
        <v>92.40000000000001</v>
      </c>
      <c r="G10321" t="n">
        <v>105</v>
      </c>
      <c r="H10321" t="n">
        <v>1.41e-64</v>
      </c>
      <c r="I10321" t="inlineStr">
        <is>
          <t>TrEMBL</t>
        </is>
      </c>
      <c r="J10321" t="inlineStr">
        <is>
          <t>N323_11661</t>
        </is>
      </c>
      <c r="K10321" t="inlineStr">
        <is>
          <t>A0A091M3G8_CATAU</t>
        </is>
      </c>
      <c r="L10321" t="inlineStr">
        <is>
          <t>tr|A0A091M3G8|A0A091M3G8_CATAU Fibroblast growth factor 12 (Fragment) OS=Cathartes aura OX=43455 GN=N323_11661 PE=3 SV=1</t>
        </is>
      </c>
      <c r="M10321" t="n">
        <v>105</v>
      </c>
      <c r="N10321" t="inlineStr">
        <is>
          <t>Cathartes aura</t>
        </is>
      </c>
      <c r="O10321" t="inlineStr">
        <is>
          <t>Fibroblast growth factor 12 (Fragment)</t>
        </is>
      </c>
    </row>
    <row r="10322">
      <c r="A10322" t="inlineStr"/>
      <c r="B10322" t="inlineStr"/>
      <c r="C10322" t="inlineStr"/>
      <c r="D10322" t="inlineStr"/>
      <c r="E10322">
        <f>HYPERLINK("https://www.uniprot.org/uniprotkb/A0A852JLC4/entry", "A0A852JLC4")</f>
        <v/>
      </c>
      <c r="F10322" t="n">
        <v>92.40000000000001</v>
      </c>
      <c r="G10322" t="n">
        <v>105</v>
      </c>
      <c r="H10322" t="n">
        <v>1.41e-64</v>
      </c>
      <c r="I10322" t="inlineStr">
        <is>
          <t>TrEMBL</t>
        </is>
      </c>
      <c r="J10322" t="inlineStr">
        <is>
          <t>Fgf12_0</t>
        </is>
      </c>
      <c r="K10322" t="inlineStr">
        <is>
          <t>A0A852JLC4_SPIPA</t>
        </is>
      </c>
      <c r="L10322" t="inlineStr">
        <is>
          <t>tr|A0A852JLC4|A0A852JLC4_SPIPA FGF12 factor (Fragment) OS=Spizella passerina OX=40210 GN=Fgf12_0 PE=3 SV=1</t>
        </is>
      </c>
      <c r="M10322" t="n">
        <v>105</v>
      </c>
      <c r="N10322" t="inlineStr">
        <is>
          <t>Spizella passerina</t>
        </is>
      </c>
      <c r="O10322" t="inlineStr">
        <is>
          <t>FGF12 factor (Fragment)</t>
        </is>
      </c>
    </row>
    <row r="10323">
      <c r="A10323" t="inlineStr"/>
      <c r="B10323" t="inlineStr"/>
      <c r="C10323" t="inlineStr"/>
      <c r="D10323" t="inlineStr"/>
      <c r="E10323">
        <f>HYPERLINK("https://www.ncbi.nlm.nih.gov/gene/?term=EPQ12063.1", "EPQ12063.1")</f>
        <v/>
      </c>
      <c r="F10323" t="n">
        <v>90.7</v>
      </c>
      <c r="G10323" t="n">
        <v>108</v>
      </c>
      <c r="H10323" t="n">
        <v>1.54e-64</v>
      </c>
      <c r="I10323" t="inlineStr">
        <is>
          <t>Nr</t>
        </is>
      </c>
      <c r="J10323" t="inlineStr"/>
      <c r="K10323" t="inlineStr"/>
      <c r="L10323" t="inlineStr">
        <is>
          <t>EPQ12063.1 Fibroblast growth factor 12 [Myotis brandtii]</t>
        </is>
      </c>
      <c r="M10323" t="n">
        <v>154</v>
      </c>
      <c r="N10323" t="inlineStr">
        <is>
          <t>Myotis brandtii</t>
        </is>
      </c>
      <c r="O10323" t="inlineStr">
        <is>
          <t>Fibroblast growth factor 12</t>
        </is>
      </c>
    </row>
    <row r="10324">
      <c r="A10324" t="inlineStr"/>
      <c r="B10324" t="inlineStr"/>
      <c r="C10324" t="inlineStr"/>
      <c r="D10324" t="inlineStr"/>
      <c r="E10324">
        <f>HYPERLINK("https://www.ncbi.nlm.nih.gov/gene/?term=KAH0624215.1", "KAH0624215.1")</f>
        <v/>
      </c>
      <c r="F10324" t="n">
        <v>92.5</v>
      </c>
      <c r="G10324" t="n">
        <v>106</v>
      </c>
      <c r="H10324" t="n">
        <v>1.54e-64</v>
      </c>
      <c r="I10324" t="inlineStr">
        <is>
          <t>Nr</t>
        </is>
      </c>
      <c r="J10324" t="inlineStr"/>
      <c r="K10324" t="inlineStr"/>
      <c r="L10324" t="inlineStr">
        <is>
          <t>KAH0624215.1 hypothetical protein JD844_007767, partial [Phrynosoma platyrhinos]</t>
        </is>
      </c>
      <c r="M10324" t="n">
        <v>122</v>
      </c>
      <c r="N10324" t="inlineStr">
        <is>
          <t>Phrynosoma platyrhinos</t>
        </is>
      </c>
      <c r="O10324" t="inlineStr">
        <is>
          <t>hypothetical protein JD844_007767, partial</t>
        </is>
      </c>
    </row>
    <row r="10325">
      <c r="A10325" t="inlineStr"/>
      <c r="B10325" t="inlineStr"/>
      <c r="C10325" t="inlineStr"/>
      <c r="D10325" t="inlineStr"/>
      <c r="E10325">
        <f>HYPERLINK("https://www.ncbi.nlm.nih.gov/gene/?term=ETE61919.1", "ETE61919.1")</f>
        <v/>
      </c>
      <c r="F10325" t="n">
        <v>92.5</v>
      </c>
      <c r="G10325" t="n">
        <v>106</v>
      </c>
      <c r="H10325" t="n">
        <v>1.88e-64</v>
      </c>
      <c r="I10325" t="inlineStr">
        <is>
          <t>Nr</t>
        </is>
      </c>
      <c r="J10325" t="inlineStr"/>
      <c r="K10325" t="inlineStr"/>
      <c r="L10325" t="inlineStr">
        <is>
          <t>ETE61919.1 Fibroblast growth factor 12, partial [Ophiophagus hannah]</t>
        </is>
      </c>
      <c r="M10325" t="n">
        <v>128</v>
      </c>
      <c r="N10325" t="inlineStr">
        <is>
          <t>Ophiophagus hannah</t>
        </is>
      </c>
      <c r="O10325" t="inlineStr">
        <is>
          <t>Fibroblast growth factor 12, partial</t>
        </is>
      </c>
    </row>
    <row r="10326">
      <c r="A10326" t="inlineStr"/>
      <c r="B10326" t="inlineStr"/>
      <c r="C10326" t="inlineStr"/>
      <c r="D10326" t="inlineStr"/>
      <c r="E10326">
        <f>HYPERLINK("https://www.ncbi.nlm.nih.gov/gene/?term=NP_001086206.1", "NP_001086206.1")</f>
        <v/>
      </c>
      <c r="F10326" t="n">
        <v>93.3</v>
      </c>
      <c r="G10326" t="n">
        <v>105</v>
      </c>
      <c r="H10326" t="n">
        <v>2.41e-64</v>
      </c>
      <c r="I10326" t="inlineStr">
        <is>
          <t>Nr</t>
        </is>
      </c>
      <c r="J10326" t="inlineStr"/>
      <c r="K10326" t="inlineStr"/>
      <c r="L10326" t="inlineStr">
        <is>
          <t>NP_001086206.1 fibroblast growth factor 12 S homeolog [Xenopus laevis]</t>
        </is>
      </c>
      <c r="M10326" t="n">
        <v>157</v>
      </c>
      <c r="N10326" t="inlineStr">
        <is>
          <t>Xenopus laevis</t>
        </is>
      </c>
      <c r="O10326" t="inlineStr">
        <is>
          <t>fibroblast growth factor 12 S homeolog</t>
        </is>
      </c>
    </row>
    <row r="10327">
      <c r="A10327" t="inlineStr"/>
      <c r="B10327" t="inlineStr"/>
      <c r="C10327" t="inlineStr"/>
      <c r="D10327" t="inlineStr"/>
      <c r="E10327">
        <f>HYPERLINK("https://www.ncbi.nlm.nih.gov/gene/?term=XP_025949327.1", "XP_025949327.1")</f>
        <v/>
      </c>
      <c r="F10327" t="n">
        <v>87.59999999999999</v>
      </c>
      <c r="G10327" t="n">
        <v>113</v>
      </c>
      <c r="H10327" t="n">
        <v>3e-64</v>
      </c>
      <c r="I10327" t="inlineStr">
        <is>
          <t>Nr</t>
        </is>
      </c>
      <c r="J10327" t="inlineStr"/>
      <c r="K10327" t="inlineStr"/>
      <c r="L10327" t="inlineStr">
        <is>
          <t>XP_025949327.1 fibroblast growth factor 12 isoform X6 [Dromaius novaehollandiae]</t>
        </is>
      </c>
      <c r="M10327" t="n">
        <v>196</v>
      </c>
      <c r="N10327" t="inlineStr">
        <is>
          <t>Dromaius novaehollandiae</t>
        </is>
      </c>
      <c r="O10327" t="inlineStr">
        <is>
          <t>fibroblast growth factor 12 isoform X6</t>
        </is>
      </c>
    </row>
    <row r="10328">
      <c r="A10328" t="inlineStr"/>
      <c r="B10328" t="inlineStr"/>
      <c r="C10328" t="inlineStr"/>
      <c r="D10328" t="inlineStr"/>
      <c r="E10328">
        <f>HYPERLINK("https://www.ncbi.nlm.nih.gov/gene/?term=KAG8136390.1", "KAG8136390.1")</f>
        <v/>
      </c>
      <c r="F10328" t="n">
        <v>91.5</v>
      </c>
      <c r="G10328" t="n">
        <v>106</v>
      </c>
      <c r="H10328" t="n">
        <v>3.32e-64</v>
      </c>
      <c r="I10328" t="inlineStr">
        <is>
          <t>Nr</t>
        </is>
      </c>
      <c r="J10328" t="inlineStr"/>
      <c r="K10328" t="inlineStr"/>
      <c r="L10328" t="inlineStr">
        <is>
          <t>KAG8136390.1 hypothetical protein E2320_009343 [Naja naja]</t>
        </is>
      </c>
      <c r="M10328" t="n">
        <v>124</v>
      </c>
      <c r="N10328" t="inlineStr">
        <is>
          <t>Naja naja</t>
        </is>
      </c>
      <c r="O10328" t="inlineStr">
        <is>
          <t>hypothetical protein E2320_009343</t>
        </is>
      </c>
    </row>
    <row r="10329">
      <c r="A10329" t="inlineStr"/>
      <c r="B10329" t="inlineStr"/>
      <c r="C10329" t="inlineStr"/>
      <c r="D10329" t="inlineStr"/>
      <c r="E10329">
        <f>HYPERLINK("https://www.ncbi.nlm.nih.gov/gene/?term=XP_030184307.1", "XP_030184307.1")</f>
        <v/>
      </c>
      <c r="F10329" t="n">
        <v>84.2</v>
      </c>
      <c r="G10329" t="n">
        <v>120</v>
      </c>
      <c r="H10329" t="n">
        <v>3.42e-64</v>
      </c>
      <c r="I10329" t="inlineStr">
        <is>
          <t>Nr</t>
        </is>
      </c>
      <c r="J10329" t="inlineStr"/>
      <c r="K10329" t="inlineStr"/>
      <c r="L10329" t="inlineStr">
        <is>
          <t>XP_030184307.1 fibroblast growth factor 12-like [Lynx canadensis]</t>
        </is>
      </c>
      <c r="M10329" t="n">
        <v>200</v>
      </c>
      <c r="N10329" t="inlineStr">
        <is>
          <t>Lynx canadensis</t>
        </is>
      </c>
      <c r="O10329" t="inlineStr">
        <is>
          <t>fibroblast growth factor 12-like</t>
        </is>
      </c>
    </row>
    <row r="10330">
      <c r="A10330" t="inlineStr"/>
      <c r="B10330" t="inlineStr"/>
      <c r="C10330" t="inlineStr"/>
      <c r="D10330" t="inlineStr"/>
      <c r="E10330">
        <f>HYPERLINK("https://www.ncbi.nlm.nih.gov/gene/?term=KAG8445083.1", "KAG8445083.1")</f>
        <v/>
      </c>
      <c r="F10330" t="n">
        <v>92.40000000000001</v>
      </c>
      <c r="G10330" t="n">
        <v>105</v>
      </c>
      <c r="H10330" t="n">
        <v>3.620000000000001e-64</v>
      </c>
      <c r="I10330" t="inlineStr">
        <is>
          <t>Nr</t>
        </is>
      </c>
      <c r="J10330" t="inlineStr"/>
      <c r="K10330" t="inlineStr"/>
      <c r="L10330" t="inlineStr">
        <is>
          <t>KAG8445083.1 hypothetical protein GDO86_010012, partial [Hymenochirus boettgeri]</t>
        </is>
      </c>
      <c r="M10330" t="n">
        <v>105</v>
      </c>
      <c r="N10330" t="inlineStr">
        <is>
          <t>Hymenochirus boettgeri</t>
        </is>
      </c>
      <c r="O10330" t="inlineStr">
        <is>
          <t>hypothetical protein GDO86_010012, partial</t>
        </is>
      </c>
    </row>
    <row r="10331">
      <c r="A10331" t="inlineStr"/>
      <c r="B10331" t="inlineStr"/>
      <c r="C10331" t="inlineStr"/>
      <c r="D10331" t="inlineStr"/>
      <c r="E10331">
        <f>HYPERLINK("https://www.ncbi.nlm.nih.gov/gene/?term=XP_008934671.1", "XP_008934671.1")</f>
        <v/>
      </c>
      <c r="F10331" t="n">
        <v>92.40000000000001</v>
      </c>
      <c r="G10331" t="n">
        <v>105</v>
      </c>
      <c r="H10331" t="n">
        <v>3.620000000000001e-64</v>
      </c>
      <c r="I10331" t="inlineStr">
        <is>
          <t>Nr</t>
        </is>
      </c>
      <c r="J10331" t="inlineStr"/>
      <c r="K10331" t="inlineStr"/>
      <c r="L10331" t="inlineStr">
        <is>
          <t>XP_008934671.1 PREDICTED: fibroblast growth factor 12, partial [Merops nubicus]</t>
        </is>
      </c>
      <c r="M10331" t="n">
        <v>105</v>
      </c>
      <c r="N10331" t="inlineStr">
        <is>
          <t>Merops nubicus</t>
        </is>
      </c>
      <c r="O10331" t="inlineStr">
        <is>
          <t>PREDICTED: fibroblast growth factor 12, partial</t>
        </is>
      </c>
    </row>
    <row r="10332">
      <c r="A10332" t="inlineStr"/>
      <c r="B10332" t="inlineStr"/>
      <c r="C10332" t="inlineStr"/>
      <c r="D10332" t="inlineStr"/>
      <c r="E10332">
        <f>HYPERLINK("https://www.ncbi.nlm.nih.gov/gene/?term=XP_025949326.1", "XP_025949326.1")</f>
        <v/>
      </c>
      <c r="F10332" t="n">
        <v>87.59999999999999</v>
      </c>
      <c r="G10332" t="n">
        <v>113</v>
      </c>
      <c r="H10332" t="n">
        <v>4.15e-64</v>
      </c>
      <c r="I10332" t="inlineStr">
        <is>
          <t>Nr</t>
        </is>
      </c>
      <c r="J10332" t="inlineStr"/>
      <c r="K10332" t="inlineStr"/>
      <c r="L10332" t="inlineStr">
        <is>
          <t>XP_025949326.1 fibroblast growth factor 12 isoform X5 [Dromaius novaehollandiae]</t>
        </is>
      </c>
      <c r="M10332" t="n">
        <v>206</v>
      </c>
      <c r="N10332" t="inlineStr">
        <is>
          <t>Dromaius novaehollandiae</t>
        </is>
      </c>
      <c r="O10332" t="inlineStr">
        <is>
          <t>fibroblast growth factor 12 isoform X5</t>
        </is>
      </c>
    </row>
    <row r="10333">
      <c r="A10333" t="inlineStr"/>
      <c r="B10333" t="inlineStr"/>
      <c r="C10333" t="inlineStr"/>
      <c r="D10333" t="inlineStr"/>
      <c r="E10333">
        <f>HYPERLINK("https://www.ncbi.nlm.nih.gov/gene/?term=XP_009563904.1", "XP_009563904.1")</f>
        <v/>
      </c>
      <c r="F10333" t="n">
        <v>92.40000000000001</v>
      </c>
      <c r="G10333" t="n">
        <v>105</v>
      </c>
      <c r="H10333" t="n">
        <v>4.99e-64</v>
      </c>
      <c r="I10333" t="inlineStr">
        <is>
          <t>Nr</t>
        </is>
      </c>
      <c r="J10333" t="inlineStr"/>
      <c r="K10333" t="inlineStr"/>
      <c r="L10333" t="inlineStr">
        <is>
          <t>XP_009563904.1 PREDICTED: fibroblast growth factor 12 [Cuculus canorus]</t>
        </is>
      </c>
      <c r="M10333" t="n">
        <v>115</v>
      </c>
      <c r="N10333" t="inlineStr">
        <is>
          <t>Cuculus canorus</t>
        </is>
      </c>
      <c r="O10333" t="inlineStr">
        <is>
          <t>PREDICTED: fibroblast growth factor 12</t>
        </is>
      </c>
    </row>
    <row r="10334">
      <c r="A10334" t="inlineStr"/>
      <c r="B10334" t="inlineStr"/>
      <c r="C10334" t="inlineStr"/>
      <c r="D10334" t="inlineStr"/>
      <c r="E10334">
        <f>HYPERLINK("https://www.ncbi.nlm.nih.gov/gene/?term=XP_041419949.1", "XP_041419949.1")</f>
        <v/>
      </c>
      <c r="F10334" t="n">
        <v>93.3</v>
      </c>
      <c r="G10334" t="n">
        <v>105</v>
      </c>
      <c r="H10334" t="n">
        <v>5.27e-64</v>
      </c>
      <c r="I10334" t="inlineStr">
        <is>
          <t>Nr</t>
        </is>
      </c>
      <c r="J10334" t="inlineStr"/>
      <c r="K10334" t="inlineStr"/>
      <c r="L10334" t="inlineStr">
        <is>
          <t>XP_041419949.1 fibroblast growth factor 12 S homeolog isoform X3 [Xenopus laevis]</t>
        </is>
      </c>
      <c r="M10334" t="n">
        <v>181</v>
      </c>
      <c r="N10334" t="inlineStr">
        <is>
          <t>Xenopus laevis</t>
        </is>
      </c>
      <c r="O10334" t="inlineStr">
        <is>
          <t>fibroblast growth factor 12 S homeolog isoform X3</t>
        </is>
      </c>
    </row>
    <row r="10335">
      <c r="A10335" t="inlineStr"/>
      <c r="B10335" t="inlineStr"/>
      <c r="C10335" t="inlineStr"/>
      <c r="D10335" t="inlineStr"/>
      <c r="E10335">
        <f>HYPERLINK("https://www.uniprot.org/uniprotkb/P70379/entry", "P70379")</f>
        <v/>
      </c>
      <c r="F10335" t="n">
        <v>68.8</v>
      </c>
      <c r="G10335" t="n">
        <v>112</v>
      </c>
      <c r="H10335" t="n">
        <v>3.09e-47</v>
      </c>
      <c r="I10335" t="inlineStr">
        <is>
          <t>Swiss-Prot</t>
        </is>
      </c>
      <c r="J10335" t="inlineStr">
        <is>
          <t>Fgf14</t>
        </is>
      </c>
      <c r="K10335" t="inlineStr">
        <is>
          <t>FGF14_MOUSE</t>
        </is>
      </c>
      <c r="L10335" t="inlineStr">
        <is>
          <t>sp|P70379|FGF14_MOUSE Fibroblast growth factor 14 OS=Mus musculus OX=10090 GN=Fgf14 PE=2 SV=1</t>
        </is>
      </c>
      <c r="M10335" t="n">
        <v>247</v>
      </c>
      <c r="N10335" t="inlineStr">
        <is>
          <t>Mus musculus</t>
        </is>
      </c>
      <c r="O10335" t="inlineStr">
        <is>
          <t>Fibroblast growth factor 14</t>
        </is>
      </c>
    </row>
    <row r="10336">
      <c r="A10336" t="inlineStr"/>
      <c r="B10336" t="inlineStr"/>
      <c r="C10336" t="inlineStr"/>
      <c r="D10336" t="inlineStr"/>
      <c r="E10336">
        <f>HYPERLINK("https://www.uniprot.org/uniprotkb/Q8R5L7/entry", "Q8R5L7")</f>
        <v/>
      </c>
      <c r="F10336" t="n">
        <v>68.8</v>
      </c>
      <c r="G10336" t="n">
        <v>112</v>
      </c>
      <c r="H10336" t="n">
        <v>3.09e-47</v>
      </c>
      <c r="I10336" t="inlineStr">
        <is>
          <t>Swiss-Prot</t>
        </is>
      </c>
      <c r="J10336" t="inlineStr">
        <is>
          <t>Fgf14</t>
        </is>
      </c>
      <c r="K10336" t="inlineStr">
        <is>
          <t>FGF14_RAT</t>
        </is>
      </c>
      <c r="L10336" t="inlineStr">
        <is>
          <t>sp|Q8R5L7|FGF14_RAT Fibroblast growth factor 14 OS=Rattus norvegicus OX=10116 GN=Fgf14 PE=2 SV=1</t>
        </is>
      </c>
      <c r="M10336" t="n">
        <v>247</v>
      </c>
      <c r="N10336" t="inlineStr">
        <is>
          <t>Rattus norvegicus</t>
        </is>
      </c>
      <c r="O10336" t="inlineStr">
        <is>
          <t>Fibroblast growth factor 14</t>
        </is>
      </c>
    </row>
    <row r="10337">
      <c r="A10337" t="inlineStr"/>
      <c r="B10337" t="inlineStr"/>
      <c r="C10337" t="inlineStr"/>
      <c r="D10337" t="inlineStr"/>
      <c r="E10337">
        <f>HYPERLINK("https://www.uniprot.org/uniprotkb/Q92915/entry", "Q92915")</f>
        <v/>
      </c>
      <c r="F10337" t="n">
        <v>67.8</v>
      </c>
      <c r="G10337" t="n">
        <v>115</v>
      </c>
      <c r="H10337" t="n">
        <v>6.180000000000001e-47</v>
      </c>
      <c r="I10337" t="inlineStr">
        <is>
          <t>Swiss-Prot</t>
        </is>
      </c>
      <c r="J10337" t="inlineStr">
        <is>
          <t>FGF14</t>
        </is>
      </c>
      <c r="K10337" t="inlineStr">
        <is>
          <t>FGF14_HUMAN</t>
        </is>
      </c>
      <c r="L10337" t="inlineStr">
        <is>
          <t>sp|Q92915|FGF14_HUMAN Fibroblast growth factor 14 OS=Homo sapiens OX=9606 GN=FGF14 PE=1 SV=1</t>
        </is>
      </c>
      <c r="M10337" t="n">
        <v>247</v>
      </c>
      <c r="N10337" t="inlineStr">
        <is>
          <t>Homo sapiens</t>
        </is>
      </c>
      <c r="O10337" t="inlineStr">
        <is>
          <t>Fibroblast growth factor 14</t>
        </is>
      </c>
    </row>
    <row r="10338">
      <c r="A10338" t="inlineStr"/>
      <c r="B10338" t="inlineStr"/>
      <c r="C10338" t="inlineStr"/>
      <c r="D10338" t="inlineStr"/>
      <c r="E10338">
        <f>HYPERLINK("https://www.uniprot.org/uniprotkb/A6P7H6/entry", "A6P7H6")</f>
        <v/>
      </c>
      <c r="F10338" t="n">
        <v>66.40000000000001</v>
      </c>
      <c r="G10338" t="n">
        <v>110</v>
      </c>
      <c r="H10338" t="n">
        <v>6.610000000000001e-43</v>
      </c>
      <c r="I10338" t="inlineStr">
        <is>
          <t>Swiss-Prot</t>
        </is>
      </c>
      <c r="J10338" t="inlineStr">
        <is>
          <t>fgf13</t>
        </is>
      </c>
      <c r="K10338" t="inlineStr">
        <is>
          <t>FGF13_XENLA</t>
        </is>
      </c>
      <c r="L10338" t="inlineStr">
        <is>
          <t>sp|A6P7H6|FGF13_XENLA Fibroblast growth factor 13 OS=Xenopus laevis OX=8355 GN=fgf13 PE=2 SV=1</t>
        </is>
      </c>
      <c r="M10338" t="n">
        <v>245</v>
      </c>
      <c r="N10338" t="inlineStr">
        <is>
          <t>Xenopus laevis</t>
        </is>
      </c>
      <c r="O10338" t="inlineStr">
        <is>
          <t>Fibroblast growth factor 13</t>
        </is>
      </c>
    </row>
    <row r="10339">
      <c r="A10339" t="inlineStr"/>
      <c r="B10339" t="inlineStr"/>
      <c r="C10339" t="inlineStr"/>
      <c r="D10339" t="inlineStr"/>
      <c r="E10339">
        <f>HYPERLINK("https://www.uniprot.org/uniprotkb/Q92913/entry", "Q92913")</f>
        <v/>
      </c>
      <c r="F10339" t="n">
        <v>65.7</v>
      </c>
      <c r="G10339" t="n">
        <v>108</v>
      </c>
      <c r="H10339" t="n">
        <v>1.04e-41</v>
      </c>
      <c r="I10339" t="inlineStr">
        <is>
          <t>Swiss-Prot</t>
        </is>
      </c>
      <c r="J10339" t="inlineStr">
        <is>
          <t>FGF13</t>
        </is>
      </c>
      <c r="K10339" t="inlineStr">
        <is>
          <t>FGF13_HUMAN</t>
        </is>
      </c>
      <c r="L10339" t="inlineStr">
        <is>
          <t>sp|Q92913|FGF13_HUMAN Fibroblast growth factor 13 OS=Homo sapiens OX=9606 GN=FGF13 PE=1 SV=1</t>
        </is>
      </c>
      <c r="M10339" t="n">
        <v>245</v>
      </c>
      <c r="N10339" t="inlineStr">
        <is>
          <t>Homo sapiens</t>
        </is>
      </c>
      <c r="O10339" t="inlineStr">
        <is>
          <t>Fibroblast growth factor 13</t>
        </is>
      </c>
    </row>
    <row r="10340">
      <c r="A10340" t="inlineStr"/>
      <c r="B10340" t="inlineStr"/>
      <c r="C10340" t="inlineStr"/>
      <c r="D10340" t="inlineStr"/>
      <c r="E10340">
        <f>HYPERLINK("https://www.uniprot.org/uniprotkb/Q5RDS9/entry", "Q5RDS9")</f>
        <v/>
      </c>
      <c r="F10340" t="n">
        <v>65.7</v>
      </c>
      <c r="G10340" t="n">
        <v>108</v>
      </c>
      <c r="H10340" t="n">
        <v>1.04e-41</v>
      </c>
      <c r="I10340" t="inlineStr">
        <is>
          <t>Swiss-Prot</t>
        </is>
      </c>
      <c r="J10340" t="inlineStr">
        <is>
          <t>FGF13</t>
        </is>
      </c>
      <c r="K10340" t="inlineStr">
        <is>
          <t>FGF13_PONAB</t>
        </is>
      </c>
      <c r="L10340" t="inlineStr">
        <is>
          <t>sp|Q5RDS9|FGF13_PONAB Fibroblast growth factor 13 OS=Pongo abelii OX=9601 GN=FGF13 PE=2 SV=1</t>
        </is>
      </c>
      <c r="M10340" t="n">
        <v>245</v>
      </c>
      <c r="N10340" t="inlineStr">
        <is>
          <t>Pongo abelii</t>
        </is>
      </c>
      <c r="O10340" t="inlineStr">
        <is>
          <t>Fibroblast growth factor 13</t>
        </is>
      </c>
    </row>
    <row r="10341">
      <c r="A10341" t="inlineStr"/>
      <c r="B10341" t="inlineStr"/>
      <c r="C10341" t="inlineStr"/>
      <c r="D10341" t="inlineStr"/>
      <c r="E10341">
        <f>HYPERLINK("https://www.uniprot.org/uniprotkb/P70377/entry", "P70377")</f>
        <v/>
      </c>
      <c r="F10341" t="n">
        <v>65.7</v>
      </c>
      <c r="G10341" t="n">
        <v>108</v>
      </c>
      <c r="H10341" t="n">
        <v>1.47e-41</v>
      </c>
      <c r="I10341" t="inlineStr">
        <is>
          <t>Swiss-Prot</t>
        </is>
      </c>
      <c r="J10341" t="inlineStr">
        <is>
          <t>Fgf13</t>
        </is>
      </c>
      <c r="K10341" t="inlineStr">
        <is>
          <t>FGF13_MOUSE</t>
        </is>
      </c>
      <c r="L10341" t="inlineStr">
        <is>
          <t>sp|P70377|FGF13_MOUSE Fibroblast growth factor 13 OS=Mus musculus OX=10090 GN=Fgf13 PE=1 SV=2</t>
        </is>
      </c>
      <c r="M10341" t="n">
        <v>245</v>
      </c>
      <c r="N10341" t="inlineStr">
        <is>
          <t>Mus musculus</t>
        </is>
      </c>
      <c r="O10341" t="inlineStr">
        <is>
          <t>Fibroblast growth factor 13</t>
        </is>
      </c>
    </row>
    <row r="10342">
      <c r="A10342" t="inlineStr"/>
      <c r="B10342" t="inlineStr"/>
      <c r="C10342" t="inlineStr"/>
      <c r="D10342" t="inlineStr"/>
      <c r="E10342">
        <f>HYPERLINK("https://www.uniprot.org/uniprotkb/Q9ERW3/entry", "Q9ERW3")</f>
        <v/>
      </c>
      <c r="F10342" t="n">
        <v>65.7</v>
      </c>
      <c r="G10342" t="n">
        <v>108</v>
      </c>
      <c r="H10342" t="n">
        <v>1.47e-41</v>
      </c>
      <c r="I10342" t="inlineStr">
        <is>
          <t>Swiss-Prot</t>
        </is>
      </c>
      <c r="J10342" t="inlineStr">
        <is>
          <t>Fgf13</t>
        </is>
      </c>
      <c r="K10342" t="inlineStr">
        <is>
          <t>FGF13_RAT</t>
        </is>
      </c>
      <c r="L10342" t="inlineStr">
        <is>
          <t>sp|Q9ERW3|FGF13_RAT Fibroblast growth factor 13 OS=Rattus norvegicus OX=10116 GN=Fgf13 PE=1 SV=2</t>
        </is>
      </c>
      <c r="M10342" t="n">
        <v>245</v>
      </c>
      <c r="N10342" t="inlineStr">
        <is>
          <t>Rattus norvegicus</t>
        </is>
      </c>
      <c r="O10342" t="inlineStr">
        <is>
          <t>Fibroblast growth factor 13</t>
        </is>
      </c>
    </row>
    <row r="10343">
      <c r="A10343" t="inlineStr"/>
      <c r="B10343" t="inlineStr"/>
      <c r="C10343" t="inlineStr"/>
      <c r="D10343" t="inlineStr"/>
      <c r="E10343">
        <f>HYPERLINK("https://www.uniprot.org/uniprotkb/P70378/entry", "P70378")</f>
        <v/>
      </c>
      <c r="F10343" t="n">
        <v>69.90000000000001</v>
      </c>
      <c r="G10343" t="n">
        <v>83</v>
      </c>
      <c r="H10343" t="n">
        <v>2.6e-34</v>
      </c>
      <c r="I10343" t="inlineStr">
        <is>
          <t>Swiss-Prot</t>
        </is>
      </c>
      <c r="J10343" t="inlineStr">
        <is>
          <t>Fgf11</t>
        </is>
      </c>
      <c r="K10343" t="inlineStr">
        <is>
          <t>FGF11_MOUSE</t>
        </is>
      </c>
      <c r="L10343" t="inlineStr">
        <is>
          <t>sp|P70378|FGF11_MOUSE Fibroblast growth factor 11 OS=Mus musculus OX=10090 GN=Fgf11 PE=2 SV=1</t>
        </is>
      </c>
      <c r="M10343" t="n">
        <v>225</v>
      </c>
      <c r="N10343" t="inlineStr">
        <is>
          <t>Mus musculus</t>
        </is>
      </c>
      <c r="O10343" t="inlineStr">
        <is>
          <t>Fibroblast growth factor 11</t>
        </is>
      </c>
    </row>
    <row r="10344">
      <c r="A10344" t="inlineStr"/>
      <c r="B10344" t="inlineStr"/>
      <c r="C10344" t="inlineStr"/>
      <c r="D10344" t="inlineStr"/>
      <c r="E10344">
        <f>HYPERLINK("https://www.uniprot.org/uniprotkb/Q92914/entry", "Q92914")</f>
        <v/>
      </c>
      <c r="F10344" t="n">
        <v>67.5</v>
      </c>
      <c r="G10344" t="n">
        <v>83</v>
      </c>
      <c r="H10344" t="n">
        <v>1.45e-33</v>
      </c>
      <c r="I10344" t="inlineStr">
        <is>
          <t>Swiss-Prot</t>
        </is>
      </c>
      <c r="J10344" t="inlineStr">
        <is>
          <t>FGF11</t>
        </is>
      </c>
      <c r="K10344" t="inlineStr">
        <is>
          <t>FGF11_HUMAN</t>
        </is>
      </c>
      <c r="L10344" t="inlineStr">
        <is>
          <t>sp|Q92914|FGF11_HUMAN Fibroblast growth factor 11 OS=Homo sapiens OX=9606 GN=FGF11 PE=1 SV=1</t>
        </is>
      </c>
      <c r="M10344" t="n">
        <v>225</v>
      </c>
      <c r="N10344" t="inlineStr">
        <is>
          <t>Homo sapiens</t>
        </is>
      </c>
      <c r="O10344" t="inlineStr">
        <is>
          <t>Fibroblast growth factor 11</t>
        </is>
      </c>
    </row>
    <row r="10345">
      <c r="A10345" t="inlineStr"/>
      <c r="B10345" t="inlineStr"/>
      <c r="C10345" t="inlineStr"/>
      <c r="D10345" t="inlineStr"/>
      <c r="E10345">
        <f>HYPERLINK("https://www.uniprot.org/uniprotkb/Q2HXK8/entry", "Q2HXK8")</f>
        <v/>
      </c>
      <c r="F10345" t="n">
        <v>42.2</v>
      </c>
      <c r="G10345" t="n">
        <v>64</v>
      </c>
      <c r="H10345" t="n">
        <v>1.49e-11</v>
      </c>
      <c r="I10345" t="inlineStr">
        <is>
          <t>Swiss-Prot</t>
        </is>
      </c>
      <c r="J10345" t="inlineStr">
        <is>
          <t>fgf16</t>
        </is>
      </c>
      <c r="K10345" t="inlineStr">
        <is>
          <t>FGF16_DANRE</t>
        </is>
      </c>
      <c r="L10345" t="inlineStr">
        <is>
          <t>sp|Q2HXK8|FGF16_DANRE Fibroblast growth factor 16 OS=Danio rerio OX=7955 GN=fgf16 PE=2 SV=1</t>
        </is>
      </c>
      <c r="M10345" t="n">
        <v>203</v>
      </c>
      <c r="N10345" t="inlineStr">
        <is>
          <t>Danio rerio</t>
        </is>
      </c>
      <c r="O10345" t="inlineStr">
        <is>
          <t>Fibroblast growth factor 16</t>
        </is>
      </c>
    </row>
    <row r="10346">
      <c r="A10346" t="inlineStr"/>
      <c r="B10346" t="inlineStr"/>
      <c r="C10346" t="inlineStr"/>
      <c r="D10346" t="inlineStr"/>
      <c r="E10346">
        <f>HYPERLINK("https://www.uniprot.org/uniprotkb/Q3ZFI5/entry", "Q3ZFI5")</f>
        <v/>
      </c>
      <c r="F10346" t="n">
        <v>40.3</v>
      </c>
      <c r="G10346" t="n">
        <v>67</v>
      </c>
      <c r="H10346" t="n">
        <v>5.92e-11</v>
      </c>
      <c r="I10346" t="inlineStr">
        <is>
          <t>Swiss-Prot</t>
        </is>
      </c>
      <c r="J10346" t="inlineStr">
        <is>
          <t>FGF9</t>
        </is>
      </c>
      <c r="K10346" t="inlineStr">
        <is>
          <t>FGF9_DIDAL</t>
        </is>
      </c>
      <c r="L10346" t="inlineStr">
        <is>
          <t>sp|Q3ZFI5|FGF9_DIDAL Fibroblast growth factor 9 OS=Didelphis albiventris OX=42716 GN=FGF9 PE=2 SV=1</t>
        </is>
      </c>
      <c r="M10346" t="n">
        <v>209</v>
      </c>
      <c r="N10346" t="inlineStr">
        <is>
          <t>Didelphis albiventris</t>
        </is>
      </c>
      <c r="O10346" t="inlineStr">
        <is>
          <t>Fibroblast growth factor 9</t>
        </is>
      </c>
    </row>
    <row r="10347">
      <c r="A10347" t="inlineStr"/>
      <c r="B10347" t="inlineStr"/>
      <c r="C10347" t="inlineStr"/>
      <c r="D10347" t="inlineStr"/>
      <c r="E10347">
        <f>HYPERLINK("https://www.uniprot.org/uniprotkb/P31371/entry", "P31371")</f>
        <v/>
      </c>
      <c r="F10347" t="n">
        <v>40.9</v>
      </c>
      <c r="G10347" t="n">
        <v>66</v>
      </c>
      <c r="H10347" t="n">
        <v>1.11e-10</v>
      </c>
      <c r="I10347" t="inlineStr">
        <is>
          <t>Swiss-Prot</t>
        </is>
      </c>
      <c r="J10347" t="inlineStr">
        <is>
          <t>FGF9</t>
        </is>
      </c>
      <c r="K10347" t="inlineStr">
        <is>
          <t>FGF9_HUMAN</t>
        </is>
      </c>
      <c r="L10347" t="inlineStr">
        <is>
          <t>sp|P31371|FGF9_HUMAN Fibroblast growth factor 9 OS=Homo sapiens OX=9606 GN=FGF9 PE=1 SV=3</t>
        </is>
      </c>
      <c r="M10347" t="n">
        <v>208</v>
      </c>
      <c r="N10347" t="inlineStr">
        <is>
          <t>Homo sapiens</t>
        </is>
      </c>
      <c r="O10347" t="inlineStr">
        <is>
          <t>Fibroblast growth factor 9</t>
        </is>
      </c>
    </row>
    <row r="10348">
      <c r="A10348" t="inlineStr"/>
      <c r="B10348" t="inlineStr"/>
      <c r="C10348" t="inlineStr"/>
      <c r="D10348" t="inlineStr"/>
      <c r="E10348">
        <f>HYPERLINK("https://www.uniprot.org/uniprotkb/P54130/entry", "P54130")</f>
        <v/>
      </c>
      <c r="F10348" t="n">
        <v>40.9</v>
      </c>
      <c r="G10348" t="n">
        <v>66</v>
      </c>
      <c r="H10348" t="n">
        <v>1.11e-10</v>
      </c>
      <c r="I10348" t="inlineStr">
        <is>
          <t>Swiss-Prot</t>
        </is>
      </c>
      <c r="J10348" t="inlineStr">
        <is>
          <t>Fgf9</t>
        </is>
      </c>
      <c r="K10348" t="inlineStr">
        <is>
          <t>FGF9_MOUSE</t>
        </is>
      </c>
      <c r="L10348" t="inlineStr">
        <is>
          <t>sp|P54130|FGF9_MOUSE Fibroblast growth factor 9 OS=Mus musculus OX=10090 GN=Fgf9 PE=2 SV=2</t>
        </is>
      </c>
      <c r="M10348" t="n">
        <v>208</v>
      </c>
      <c r="N10348" t="inlineStr">
        <is>
          <t>Mus musculus</t>
        </is>
      </c>
      <c r="O10348" t="inlineStr">
        <is>
          <t>Fibroblast growth factor 9</t>
        </is>
      </c>
    </row>
    <row r="10349">
      <c r="A10349" t="inlineStr"/>
      <c r="B10349" t="inlineStr"/>
      <c r="C10349" t="inlineStr"/>
      <c r="D10349" t="inlineStr"/>
      <c r="E10349">
        <f>HYPERLINK("https://www.uniprot.org/uniprotkb/P36364/entry", "P36364")</f>
        <v/>
      </c>
      <c r="F10349" t="n">
        <v>40.9</v>
      </c>
      <c r="G10349" t="n">
        <v>66</v>
      </c>
      <c r="H10349" t="n">
        <v>1.11e-10</v>
      </c>
      <c r="I10349" t="inlineStr">
        <is>
          <t>Swiss-Prot</t>
        </is>
      </c>
      <c r="J10349" t="inlineStr">
        <is>
          <t>Fgf9</t>
        </is>
      </c>
      <c r="K10349" t="inlineStr">
        <is>
          <t>FGF9_RAT</t>
        </is>
      </c>
      <c r="L10349" t="inlineStr">
        <is>
          <t>sp|P36364|FGF9_RAT Fibroblast growth factor 9 OS=Rattus norvegicus OX=10116 GN=Fgf9 PE=2 SV=2</t>
        </is>
      </c>
      <c r="M10349" t="n">
        <v>208</v>
      </c>
      <c r="N10349" t="inlineStr">
        <is>
          <t>Rattus norvegicus</t>
        </is>
      </c>
      <c r="O10349" t="inlineStr">
        <is>
          <t>Fibroblast growth factor 9</t>
        </is>
      </c>
    </row>
    <row r="10350">
      <c r="A10350" t="inlineStr"/>
      <c r="B10350" t="inlineStr"/>
      <c r="C10350" t="inlineStr"/>
      <c r="D10350" t="inlineStr"/>
      <c r="E10350">
        <f>HYPERLINK("https://www.uniprot.org/uniprotkb/Q95L12/entry", "Q95L12")</f>
        <v/>
      </c>
      <c r="F10350" t="n">
        <v>40.9</v>
      </c>
      <c r="G10350" t="n">
        <v>66</v>
      </c>
      <c r="H10350" t="n">
        <v>1.53e-10</v>
      </c>
      <c r="I10350" t="inlineStr">
        <is>
          <t>Swiss-Prot</t>
        </is>
      </c>
      <c r="J10350" t="inlineStr">
        <is>
          <t>FGF9</t>
        </is>
      </c>
      <c r="K10350" t="inlineStr">
        <is>
          <t>FGF9_PIG</t>
        </is>
      </c>
      <c r="L10350" t="inlineStr">
        <is>
          <t>sp|Q95L12|FGF9_PIG Fibroblast growth factor 9 OS=Sus scrofa OX=9823 GN=FGF9 PE=2 SV=1</t>
        </is>
      </c>
      <c r="M10350" t="n">
        <v>208</v>
      </c>
      <c r="N10350" t="inlineStr">
        <is>
          <t>Sus scrofa</t>
        </is>
      </c>
      <c r="O10350" t="inlineStr">
        <is>
          <t>Fibroblast growth factor 9</t>
        </is>
      </c>
    </row>
    <row r="10351">
      <c r="A10351" t="inlineStr"/>
      <c r="B10351" t="inlineStr"/>
      <c r="C10351" t="inlineStr"/>
      <c r="D10351" t="inlineStr"/>
      <c r="E10351">
        <f>HYPERLINK("https://www.uniprot.org/uniprotkb/O43320/entry", "O43320")</f>
        <v/>
      </c>
      <c r="F10351" t="n">
        <v>42.9</v>
      </c>
      <c r="G10351" t="n">
        <v>63</v>
      </c>
      <c r="H10351" t="n">
        <v>2.09e-10</v>
      </c>
      <c r="I10351" t="inlineStr">
        <is>
          <t>Swiss-Prot</t>
        </is>
      </c>
      <c r="J10351" t="inlineStr">
        <is>
          <t>FGF16</t>
        </is>
      </c>
      <c r="K10351" t="inlineStr">
        <is>
          <t>FGF16_HUMAN</t>
        </is>
      </c>
      <c r="L10351" t="inlineStr">
        <is>
          <t>sp|O43320|FGF16_HUMAN Fibroblast growth factor 16 OS=Homo sapiens OX=9606 GN=FGF16 PE=1 SV=1</t>
        </is>
      </c>
      <c r="M10351" t="n">
        <v>207</v>
      </c>
      <c r="N10351" t="inlineStr">
        <is>
          <t>Homo sapiens</t>
        </is>
      </c>
      <c r="O10351" t="inlineStr">
        <is>
          <t>Fibroblast growth factor 16</t>
        </is>
      </c>
    </row>
    <row r="10352">
      <c r="A10352" t="inlineStr"/>
      <c r="B10352" t="inlineStr"/>
      <c r="C10352" t="inlineStr"/>
      <c r="D10352" t="inlineStr"/>
      <c r="E10352">
        <f>HYPERLINK("https://www.uniprot.org/uniprotkb/Q9ESL8/entry", "Q9ESL8")</f>
        <v/>
      </c>
      <c r="F10352" t="n">
        <v>42.9</v>
      </c>
      <c r="G10352" t="n">
        <v>63</v>
      </c>
      <c r="H10352" t="n">
        <v>2.09e-10</v>
      </c>
      <c r="I10352" t="inlineStr">
        <is>
          <t>Swiss-Prot</t>
        </is>
      </c>
      <c r="J10352" t="inlineStr">
        <is>
          <t>Fgf16</t>
        </is>
      </c>
      <c r="K10352" t="inlineStr">
        <is>
          <t>FGF16_MOUSE</t>
        </is>
      </c>
      <c r="L10352" t="inlineStr">
        <is>
          <t>sp|Q9ESL8|FGF16_MOUSE Fibroblast growth factor 16 OS=Mus musculus OX=10090 GN=Fgf16 PE=2 SV=2</t>
        </is>
      </c>
      <c r="M10352" t="n">
        <v>207</v>
      </c>
      <c r="N10352" t="inlineStr">
        <is>
          <t>Mus musculus</t>
        </is>
      </c>
      <c r="O10352" t="inlineStr">
        <is>
          <t>Fibroblast growth factor 16</t>
        </is>
      </c>
    </row>
    <row r="10353">
      <c r="A10353" t="inlineStr"/>
      <c r="B10353" t="inlineStr"/>
      <c r="C10353" t="inlineStr"/>
      <c r="D10353" t="inlineStr"/>
      <c r="E10353">
        <f>HYPERLINK("https://www.uniprot.org/uniprotkb/O54769/entry", "O54769")</f>
        <v/>
      </c>
      <c r="F10353" t="n">
        <v>42.9</v>
      </c>
      <c r="G10353" t="n">
        <v>63</v>
      </c>
      <c r="H10353" t="n">
        <v>2.09e-10</v>
      </c>
      <c r="I10353" t="inlineStr">
        <is>
          <t>Swiss-Prot</t>
        </is>
      </c>
      <c r="J10353" t="inlineStr">
        <is>
          <t>Fgf16</t>
        </is>
      </c>
      <c r="K10353" t="inlineStr">
        <is>
          <t>FGF16_RAT</t>
        </is>
      </c>
      <c r="L10353" t="inlineStr">
        <is>
          <t>sp|O54769|FGF16_RAT Fibroblast growth factor 16 OS=Rattus norvegicus OX=10116 GN=Fgf16 PE=2 SV=1</t>
        </is>
      </c>
      <c r="M10353" t="n">
        <v>207</v>
      </c>
      <c r="N10353" t="inlineStr">
        <is>
          <t>Rattus norvegicus</t>
        </is>
      </c>
      <c r="O10353" t="inlineStr">
        <is>
          <t>Fibroblast growth factor 16</t>
        </is>
      </c>
    </row>
    <row r="10354">
      <c r="A10354" t="inlineStr"/>
      <c r="B10354" t="inlineStr"/>
      <c r="C10354" t="inlineStr"/>
      <c r="D10354" t="inlineStr"/>
      <c r="E10354">
        <f>HYPERLINK("https://www.uniprot.org/uniprotkb/Q91875/entry", "Q91875")</f>
        <v/>
      </c>
      <c r="F10354" t="n">
        <v>39.4</v>
      </c>
      <c r="G10354" t="n">
        <v>66</v>
      </c>
      <c r="H10354" t="n">
        <v>2.14e-10</v>
      </c>
      <c r="I10354" t="inlineStr">
        <is>
          <t>Swiss-Prot</t>
        </is>
      </c>
      <c r="J10354" t="inlineStr">
        <is>
          <t>fgf9</t>
        </is>
      </c>
      <c r="K10354" t="inlineStr">
        <is>
          <t>FGF9_XENLA</t>
        </is>
      </c>
      <c r="L10354" t="inlineStr">
        <is>
          <t>sp|Q91875|FGF9_XENLA Fibroblast growth factor 9 OS=Xenopus laevis OX=8355 GN=fgf9 PE=2 SV=1</t>
        </is>
      </c>
      <c r="M10354" t="n">
        <v>209</v>
      </c>
      <c r="N10354" t="inlineStr">
        <is>
          <t>Xenopus laevis</t>
        </is>
      </c>
      <c r="O10354" t="inlineStr">
        <is>
          <t>Fibroblast growth factor 9</t>
        </is>
      </c>
    </row>
    <row r="10355">
      <c r="A10355" t="inlineStr"/>
      <c r="B10355" t="inlineStr"/>
      <c r="C10355" t="inlineStr"/>
      <c r="D10355" t="inlineStr"/>
      <c r="E10355">
        <f>HYPERLINK("https://www.uniprot.org/uniprotkb/Q9NP95/entry", "Q9NP95")</f>
        <v/>
      </c>
      <c r="F10355" t="n">
        <v>39</v>
      </c>
      <c r="G10355" t="n">
        <v>77</v>
      </c>
      <c r="H10355" t="n">
        <v>5.76e-10</v>
      </c>
      <c r="I10355" t="inlineStr">
        <is>
          <t>Swiss-Prot</t>
        </is>
      </c>
      <c r="J10355" t="inlineStr">
        <is>
          <t>FGF20</t>
        </is>
      </c>
      <c r="K10355" t="inlineStr">
        <is>
          <t>FGF20_HUMAN</t>
        </is>
      </c>
      <c r="L10355" t="inlineStr">
        <is>
          <t>sp|Q9NP95|FGF20_HUMAN Fibroblast growth factor 20 OS=Homo sapiens OX=9606 GN=FGF20 PE=1 SV=1</t>
        </is>
      </c>
      <c r="M10355" t="n">
        <v>211</v>
      </c>
      <c r="N10355" t="inlineStr">
        <is>
          <t>Homo sapiens</t>
        </is>
      </c>
      <c r="O10355" t="inlineStr">
        <is>
          <t>Fibroblast growth factor 20</t>
        </is>
      </c>
    </row>
    <row r="10356">
      <c r="A10356" t="inlineStr"/>
      <c r="B10356" t="inlineStr"/>
      <c r="C10356" t="inlineStr"/>
      <c r="D10356" t="inlineStr"/>
      <c r="E10356">
        <f>HYPERLINK("https://www.uniprot.org/uniprotkb/Q9ESL9/entry", "Q9ESL9")</f>
        <v/>
      </c>
      <c r="F10356" t="n">
        <v>39</v>
      </c>
      <c r="G10356" t="n">
        <v>77</v>
      </c>
      <c r="H10356" t="n">
        <v>5.76e-10</v>
      </c>
      <c r="I10356" t="inlineStr">
        <is>
          <t>Swiss-Prot</t>
        </is>
      </c>
      <c r="J10356" t="inlineStr">
        <is>
          <t>Fgf20</t>
        </is>
      </c>
      <c r="K10356" t="inlineStr">
        <is>
          <t>FGF20_MOUSE</t>
        </is>
      </c>
      <c r="L10356" t="inlineStr">
        <is>
          <t>sp|Q9ESL9|FGF20_MOUSE Fibroblast growth factor 20 OS=Mus musculus OX=10090 GN=Fgf20 PE=2 SV=2</t>
        </is>
      </c>
      <c r="M10356" t="n">
        <v>211</v>
      </c>
      <c r="N10356" t="inlineStr">
        <is>
          <t>Mus musculus</t>
        </is>
      </c>
      <c r="O10356" t="inlineStr">
        <is>
          <t>Fibroblast growth factor 20</t>
        </is>
      </c>
    </row>
    <row r="10357">
      <c r="A10357" t="inlineStr">
        <is>
          <t>NODE_9581_length_6347_cov_39.839013_g3501_i0</t>
        </is>
      </c>
      <c r="B10357" t="inlineStr">
        <is>
          <t>bombina_pachypus_blastx</t>
        </is>
      </c>
      <c r="C10357" t="n">
        <v>7.18514331989979</v>
      </c>
      <c r="D10357" t="n">
        <v>8.236879321693129e-30</v>
      </c>
      <c r="E10357">
        <f>HYPERLINK("https://www.uniprot.org/uniprotkb/A0A8C5MLF7/entry", "A0A8C5MLF7")</f>
        <v/>
      </c>
      <c r="F10357" t="n">
        <v>47.5</v>
      </c>
      <c r="G10357" t="n">
        <v>383</v>
      </c>
      <c r="H10357" t="n">
        <v>4.95e-113</v>
      </c>
      <c r="I10357" t="inlineStr">
        <is>
          <t>TrEMBL</t>
        </is>
      </c>
      <c r="J10357" t="inlineStr"/>
      <c r="K10357" t="inlineStr">
        <is>
          <t>A0A8C5MLF7_9ANUR</t>
        </is>
      </c>
      <c r="L10357" t="inlineStr">
        <is>
          <t>tr|A0A8C5MLF7|A0A8C5MLF7_9ANUR Reverse transcriptase domain-containing protein OS=Leptobrachium leishanense OX=445787 PE=4 SV=1</t>
        </is>
      </c>
      <c r="M10357" t="n">
        <v>665</v>
      </c>
      <c r="N10357" t="inlineStr">
        <is>
          <t>Leptobrachium leishanense</t>
        </is>
      </c>
      <c r="O10357" t="inlineStr">
        <is>
          <t>Reverse transcriptase domain-containing protein</t>
        </is>
      </c>
    </row>
    <row r="10358">
      <c r="A10358" t="inlineStr"/>
      <c r="B10358" t="inlineStr"/>
      <c r="C10358" t="inlineStr"/>
      <c r="D10358" t="inlineStr"/>
      <c r="E10358">
        <f>HYPERLINK("https://www.uniprot.org/uniprotkb/A0A8C5MB09/entry", "A0A8C5MB09")</f>
        <v/>
      </c>
      <c r="F10358" t="n">
        <v>46.3</v>
      </c>
      <c r="G10358" t="n">
        <v>380</v>
      </c>
      <c r="H10358" t="n">
        <v>1.96e-112</v>
      </c>
      <c r="I10358" t="inlineStr">
        <is>
          <t>TrEMBL</t>
        </is>
      </c>
      <c r="J10358" t="inlineStr"/>
      <c r="K10358" t="inlineStr">
        <is>
          <t>A0A8C5MB09_9ANUR</t>
        </is>
      </c>
      <c r="L10358" t="inlineStr">
        <is>
          <t>tr|A0A8C5MB09|A0A8C5MB09_9ANUR Reverse transcriptase domain-containing protein OS=Leptobrachium leishanense OX=445787 PE=4 SV=1</t>
        </is>
      </c>
      <c r="M10358" t="n">
        <v>665</v>
      </c>
      <c r="N10358" t="inlineStr">
        <is>
          <t>Leptobrachium leishanense</t>
        </is>
      </c>
      <c r="O10358" t="inlineStr">
        <is>
          <t>Reverse transcriptase domain-containing protein</t>
        </is>
      </c>
    </row>
    <row r="10359">
      <c r="A10359" t="inlineStr"/>
      <c r="B10359" t="inlineStr"/>
      <c r="C10359" t="inlineStr"/>
      <c r="D10359" t="inlineStr"/>
      <c r="E10359">
        <f>HYPERLINK("https://www.uniprot.org/uniprotkb/A0A8C5PXA8/entry", "A0A8C5PXA8")</f>
        <v/>
      </c>
      <c r="F10359" t="n">
        <v>47.1</v>
      </c>
      <c r="G10359" t="n">
        <v>380</v>
      </c>
      <c r="H10359" t="n">
        <v>1.96e-112</v>
      </c>
      <c r="I10359" t="inlineStr">
        <is>
          <t>TrEMBL</t>
        </is>
      </c>
      <c r="J10359" t="inlineStr"/>
      <c r="K10359" t="inlineStr">
        <is>
          <t>A0A8C5PXA8_9ANUR</t>
        </is>
      </c>
      <c r="L10359" t="inlineStr">
        <is>
          <t>tr|A0A8C5PXA8|A0A8C5PXA8_9ANUR Reverse transcriptase domain-containing protein OS=Leptobrachium leishanense OX=445787 PE=4 SV=1</t>
        </is>
      </c>
      <c r="M10359" t="n">
        <v>665</v>
      </c>
      <c r="N10359" t="inlineStr">
        <is>
          <t>Leptobrachium leishanense</t>
        </is>
      </c>
      <c r="O10359" t="inlineStr">
        <is>
          <t>Reverse transcriptase domain-containing protein</t>
        </is>
      </c>
    </row>
    <row r="10360">
      <c r="A10360" t="inlineStr"/>
      <c r="B10360" t="inlineStr"/>
      <c r="C10360" t="inlineStr"/>
      <c r="D10360" t="inlineStr"/>
      <c r="E10360">
        <f>HYPERLINK("https://www.uniprot.org/uniprotkb/A0A8C5LUF2/entry", "A0A8C5LUF2")</f>
        <v/>
      </c>
      <c r="F10360" t="n">
        <v>45.5</v>
      </c>
      <c r="G10360" t="n">
        <v>380</v>
      </c>
      <c r="H10360" t="n">
        <v>4.82e-110</v>
      </c>
      <c r="I10360" t="inlineStr">
        <is>
          <t>TrEMBL</t>
        </is>
      </c>
      <c r="J10360" t="inlineStr"/>
      <c r="K10360" t="inlineStr">
        <is>
          <t>A0A8C5LUF2_9ANUR</t>
        </is>
      </c>
      <c r="L10360" t="inlineStr">
        <is>
          <t>tr|A0A8C5LUF2|A0A8C5LUF2_9ANUR Reverse transcriptase domain-containing protein OS=Leptobrachium leishanense OX=445787 PE=4 SV=1</t>
        </is>
      </c>
      <c r="M10360" t="n">
        <v>665</v>
      </c>
      <c r="N10360" t="inlineStr">
        <is>
          <t>Leptobrachium leishanense</t>
        </is>
      </c>
      <c r="O10360" t="inlineStr">
        <is>
          <t>Reverse transcriptase domain-containing protein</t>
        </is>
      </c>
    </row>
    <row r="10361">
      <c r="A10361" t="inlineStr"/>
      <c r="B10361" t="inlineStr"/>
      <c r="C10361" t="inlineStr"/>
      <c r="D10361" t="inlineStr"/>
      <c r="E10361">
        <f>HYPERLINK("https://www.uniprot.org/uniprotkb/A0A8C5Q061/entry", "A0A8C5Q061")</f>
        <v/>
      </c>
      <c r="F10361" t="n">
        <v>45.5</v>
      </c>
      <c r="G10361" t="n">
        <v>380</v>
      </c>
      <c r="H10361" t="n">
        <v>4.82e-110</v>
      </c>
      <c r="I10361" t="inlineStr">
        <is>
          <t>TrEMBL</t>
        </is>
      </c>
      <c r="J10361" t="inlineStr"/>
      <c r="K10361" t="inlineStr">
        <is>
          <t>A0A8C5Q061_9ANUR</t>
        </is>
      </c>
      <c r="L10361" t="inlineStr">
        <is>
          <t>tr|A0A8C5Q061|A0A8C5Q061_9ANUR Reverse transcriptase domain-containing protein OS=Leptobrachium leishanense OX=445787 PE=4 SV=1</t>
        </is>
      </c>
      <c r="M10361" t="n">
        <v>665</v>
      </c>
      <c r="N10361" t="inlineStr">
        <is>
          <t>Leptobrachium leishanense</t>
        </is>
      </c>
      <c r="O10361" t="inlineStr">
        <is>
          <t>Reverse transcriptase domain-containing protein</t>
        </is>
      </c>
    </row>
    <row r="10362">
      <c r="A10362" t="inlineStr"/>
      <c r="B10362" t="inlineStr"/>
      <c r="C10362" t="inlineStr"/>
      <c r="D10362" t="inlineStr"/>
      <c r="E10362">
        <f>HYPERLINK("https://www.uniprot.org/uniprotkb/A0A8C5MG30/entry", "A0A8C5MG30")</f>
        <v/>
      </c>
      <c r="F10362" t="n">
        <v>45.5</v>
      </c>
      <c r="G10362" t="n">
        <v>380</v>
      </c>
      <c r="H10362" t="n">
        <v>6.600000000000001e-109</v>
      </c>
      <c r="I10362" t="inlineStr">
        <is>
          <t>TrEMBL</t>
        </is>
      </c>
      <c r="J10362" t="inlineStr"/>
      <c r="K10362" t="inlineStr">
        <is>
          <t>A0A8C5MG30_9ANUR</t>
        </is>
      </c>
      <c r="L10362" t="inlineStr">
        <is>
          <t>tr|A0A8C5MG30|A0A8C5MG30_9ANUR Reverse transcriptase domain-containing protein OS=Leptobrachium leishanense OX=445787 PE=4 SV=1</t>
        </is>
      </c>
      <c r="M10362" t="n">
        <v>769</v>
      </c>
      <c r="N10362" t="inlineStr">
        <is>
          <t>Leptobrachium leishanense</t>
        </is>
      </c>
      <c r="O10362" t="inlineStr">
        <is>
          <t>Reverse transcriptase domain-containing protein</t>
        </is>
      </c>
    </row>
    <row r="10363">
      <c r="A10363" t="inlineStr"/>
      <c r="B10363" t="inlineStr"/>
      <c r="C10363" t="inlineStr"/>
      <c r="D10363" t="inlineStr"/>
      <c r="E10363">
        <f>HYPERLINK("https://www.uniprot.org/uniprotkb/A5Y835/entry", "A5Y835")</f>
        <v/>
      </c>
      <c r="F10363" t="n">
        <v>92.8</v>
      </c>
      <c r="G10363" t="n">
        <v>166</v>
      </c>
      <c r="H10363" t="n">
        <v>4.06e-106</v>
      </c>
      <c r="I10363" t="inlineStr">
        <is>
          <t>TrEMBL</t>
        </is>
      </c>
      <c r="J10363" t="inlineStr"/>
      <c r="K10363" t="inlineStr">
        <is>
          <t>A5Y835_BOMBO</t>
        </is>
      </c>
      <c r="L10363" t="inlineStr">
        <is>
          <t>tr|A5Y835|A5Y835_BOMBO MHC class II antigen beta chain (Fragment) OS=Bombina bombina OX=8345 PE=2 SV=1</t>
        </is>
      </c>
      <c r="M10363" t="n">
        <v>201</v>
      </c>
      <c r="N10363" t="inlineStr">
        <is>
          <t>Bombina bombina</t>
        </is>
      </c>
      <c r="O10363" t="inlineStr">
        <is>
          <t>MHC class II antigen beta chain (Fragment)</t>
        </is>
      </c>
    </row>
    <row r="10364">
      <c r="A10364" t="inlineStr"/>
      <c r="B10364" t="inlineStr"/>
      <c r="C10364" t="inlineStr"/>
      <c r="D10364" t="inlineStr"/>
      <c r="E10364">
        <f>HYPERLINK("https://www.uniprot.org/uniprotkb/A0A8C5MGY3/entry", "A0A8C5MGY3")</f>
        <v/>
      </c>
      <c r="F10364" t="n">
        <v>45.7</v>
      </c>
      <c r="G10364" t="n">
        <v>387</v>
      </c>
      <c r="H10364" t="n">
        <v>1.03e-105</v>
      </c>
      <c r="I10364" t="inlineStr">
        <is>
          <t>TrEMBL</t>
        </is>
      </c>
      <c r="J10364" t="inlineStr"/>
      <c r="K10364" t="inlineStr">
        <is>
          <t>A0A8C5MGY3_9ANUR</t>
        </is>
      </c>
      <c r="L10364" t="inlineStr">
        <is>
          <t>tr|A0A8C5MGY3|A0A8C5MGY3_9ANUR Reverse transcriptase domain-containing protein OS=Leptobrachium leishanense OX=445787 PE=4 SV=1</t>
        </is>
      </c>
      <c r="M10364" t="n">
        <v>639</v>
      </c>
      <c r="N10364" t="inlineStr">
        <is>
          <t>Leptobrachium leishanense</t>
        </is>
      </c>
      <c r="O10364" t="inlineStr">
        <is>
          <t>Reverse transcriptase domain-containing protein</t>
        </is>
      </c>
    </row>
    <row r="10365">
      <c r="A10365" t="inlineStr"/>
      <c r="B10365" t="inlineStr"/>
      <c r="C10365" t="inlineStr"/>
      <c r="D10365" t="inlineStr"/>
      <c r="E10365">
        <f>HYPERLINK("https://www.ncbi.nlm.nih.gov/gene/?term=ABR09414.1", "ABR09414.1")</f>
        <v/>
      </c>
      <c r="F10365" t="n">
        <v>92.8</v>
      </c>
      <c r="G10365" t="n">
        <v>166</v>
      </c>
      <c r="H10365" t="n">
        <v>1.04e-105</v>
      </c>
      <c r="I10365" t="inlineStr">
        <is>
          <t>Nr</t>
        </is>
      </c>
      <c r="J10365" t="inlineStr"/>
      <c r="K10365" t="inlineStr"/>
      <c r="L10365" t="inlineStr">
        <is>
          <t>ABR09414.1 MHC class II antigen beta chain, partial [Bombina bombina]</t>
        </is>
      </c>
      <c r="M10365" t="n">
        <v>201</v>
      </c>
      <c r="N10365" t="inlineStr">
        <is>
          <t>Bombina bombina</t>
        </is>
      </c>
      <c r="O10365" t="inlineStr">
        <is>
          <t>MHC class II antigen beta chain, partial</t>
        </is>
      </c>
    </row>
    <row r="10366">
      <c r="A10366" t="inlineStr"/>
      <c r="B10366" t="inlineStr"/>
      <c r="C10366" t="inlineStr"/>
      <c r="D10366" t="inlineStr"/>
      <c r="E10366">
        <f>HYPERLINK("https://www.uniprot.org/uniprotkb/A5Y834/entry", "A5Y834")</f>
        <v/>
      </c>
      <c r="F10366" t="n">
        <v>92.7</v>
      </c>
      <c r="G10366" t="n">
        <v>165</v>
      </c>
      <c r="H10366" t="n">
        <v>2.27e-105</v>
      </c>
      <c r="I10366" t="inlineStr">
        <is>
          <t>TrEMBL</t>
        </is>
      </c>
      <c r="J10366" t="inlineStr"/>
      <c r="K10366" t="inlineStr">
        <is>
          <t>A5Y834_BOMBO</t>
        </is>
      </c>
      <c r="L10366" t="inlineStr">
        <is>
          <t>tr|A5Y834|A5Y834_BOMBO MHC class II antigen beta chain (Fragment) OS=Bombina bombina OX=8345 PE=2 SV=1</t>
        </is>
      </c>
      <c r="M10366" t="n">
        <v>200</v>
      </c>
      <c r="N10366" t="inlineStr">
        <is>
          <t>Bombina bombina</t>
        </is>
      </c>
      <c r="O10366" t="inlineStr">
        <is>
          <t>MHC class II antigen beta chain (Fragment)</t>
        </is>
      </c>
    </row>
    <row r="10367">
      <c r="A10367" t="inlineStr"/>
      <c r="B10367" t="inlineStr"/>
      <c r="C10367" t="inlineStr"/>
      <c r="D10367" t="inlineStr"/>
      <c r="E10367">
        <f>HYPERLINK("https://www.uniprot.org/uniprotkb/A0A8J1LM93/entry", "A0A8J1LM93")</f>
        <v/>
      </c>
      <c r="F10367" t="n">
        <v>44.4</v>
      </c>
      <c r="G10367" t="n">
        <v>383</v>
      </c>
      <c r="H10367" t="n">
        <v>5.18e-105</v>
      </c>
      <c r="I10367" t="inlineStr">
        <is>
          <t>TrEMBL</t>
        </is>
      </c>
      <c r="J10367" t="inlineStr">
        <is>
          <t>LOC121397297</t>
        </is>
      </c>
      <c r="K10367" t="inlineStr">
        <is>
          <t>A0A8J1LM93_XENLA</t>
        </is>
      </c>
      <c r="L10367" t="inlineStr">
        <is>
          <t>tr|A0A8J1LM93|A0A8J1LM93_XENLA uncharacterized protein LOC121397297 OS=Xenopus laevis OX=8355 GN=LOC121397297 PE=4 SV=1</t>
        </is>
      </c>
      <c r="M10367" t="n">
        <v>635</v>
      </c>
      <c r="N10367" t="inlineStr">
        <is>
          <t>Xenopus laevis</t>
        </is>
      </c>
      <c r="O10367" t="inlineStr">
        <is>
          <t>uncharacterized protein LOC121397297</t>
        </is>
      </c>
    </row>
    <row r="10368">
      <c r="A10368" t="inlineStr"/>
      <c r="B10368" t="inlineStr"/>
      <c r="C10368" t="inlineStr"/>
      <c r="D10368" t="inlineStr"/>
      <c r="E10368">
        <f>HYPERLINK("https://www.ncbi.nlm.nih.gov/gene/?term=ABR09413.1", "ABR09413.1")</f>
        <v/>
      </c>
      <c r="F10368" t="n">
        <v>92.7</v>
      </c>
      <c r="G10368" t="n">
        <v>165</v>
      </c>
      <c r="H10368" t="n">
        <v>5.83e-105</v>
      </c>
      <c r="I10368" t="inlineStr">
        <is>
          <t>Nr</t>
        </is>
      </c>
      <c r="J10368" t="inlineStr"/>
      <c r="K10368" t="inlineStr"/>
      <c r="L10368" t="inlineStr">
        <is>
          <t>ABR09413.1 MHC class II antigen beta chain, partial [Bombina bombina]</t>
        </is>
      </c>
      <c r="M10368" t="n">
        <v>200</v>
      </c>
      <c r="N10368" t="inlineStr">
        <is>
          <t>Bombina bombina</t>
        </is>
      </c>
      <c r="O10368" t="inlineStr">
        <is>
          <t>MHC class II antigen beta chain, partial</t>
        </is>
      </c>
    </row>
    <row r="10369">
      <c r="A10369" t="inlineStr"/>
      <c r="B10369" t="inlineStr"/>
      <c r="C10369" t="inlineStr"/>
      <c r="D10369" t="inlineStr"/>
      <c r="E10369">
        <f>HYPERLINK("https://www.ncbi.nlm.nih.gov/gene/?term=XP_041429845.1", "XP_041429845.1")</f>
        <v/>
      </c>
      <c r="F10369" t="n">
        <v>44.4</v>
      </c>
      <c r="G10369" t="n">
        <v>383</v>
      </c>
      <c r="H10369" t="n">
        <v>1.33e-104</v>
      </c>
      <c r="I10369" t="inlineStr">
        <is>
          <t>Nr</t>
        </is>
      </c>
      <c r="J10369" t="inlineStr"/>
      <c r="K10369" t="inlineStr"/>
      <c r="L10369" t="inlineStr">
        <is>
          <t>XP_041429845.1 uncharacterized protein LOC121397297 [Xenopus laevis]</t>
        </is>
      </c>
      <c r="M10369" t="n">
        <v>635</v>
      </c>
      <c r="N10369" t="inlineStr">
        <is>
          <t>Xenopus laevis</t>
        </is>
      </c>
      <c r="O10369" t="inlineStr">
        <is>
          <t>uncharacterized protein LOC121397297</t>
        </is>
      </c>
    </row>
    <row r="10370">
      <c r="A10370" t="inlineStr"/>
      <c r="B10370" t="inlineStr"/>
      <c r="C10370" t="inlineStr"/>
      <c r="D10370" t="inlineStr"/>
      <c r="E10370">
        <f>HYPERLINK("https://www.uniprot.org/uniprotkb/A0A8J1LGI6/entry", "A0A8J1LGI6")</f>
        <v/>
      </c>
      <c r="F10370" t="n">
        <v>43.4</v>
      </c>
      <c r="G10370" t="n">
        <v>387</v>
      </c>
      <c r="H10370" t="n">
        <v>7.099999999999999e-104</v>
      </c>
      <c r="I10370" t="inlineStr">
        <is>
          <t>TrEMBL</t>
        </is>
      </c>
      <c r="J10370" t="inlineStr">
        <is>
          <t>LOC121396834</t>
        </is>
      </c>
      <c r="K10370" t="inlineStr">
        <is>
          <t>A0A8J1LGI6_XENLA</t>
        </is>
      </c>
      <c r="L10370" t="inlineStr">
        <is>
          <t>tr|A0A8J1LGI6|A0A8J1LGI6_XENLA uncharacterized protein LOC121396834 OS=Xenopus laevis OX=8355 GN=LOC121396834 PE=4 SV=1</t>
        </is>
      </c>
      <c r="M10370" t="n">
        <v>393</v>
      </c>
      <c r="N10370" t="inlineStr">
        <is>
          <t>Xenopus laevis</t>
        </is>
      </c>
      <c r="O10370" t="inlineStr">
        <is>
          <t>uncharacterized protein LOC121396834</t>
        </is>
      </c>
    </row>
    <row r="10371">
      <c r="A10371" t="inlineStr"/>
      <c r="B10371" t="inlineStr"/>
      <c r="C10371" t="inlineStr"/>
      <c r="D10371" t="inlineStr"/>
      <c r="E10371">
        <f>HYPERLINK("https://www.ncbi.nlm.nih.gov/gene/?term=XP_041428149.1", "XP_041428149.1")</f>
        <v/>
      </c>
      <c r="F10371" t="n">
        <v>43.4</v>
      </c>
      <c r="G10371" t="n">
        <v>387</v>
      </c>
      <c r="H10371" t="n">
        <v>1.82e-103</v>
      </c>
      <c r="I10371" t="inlineStr">
        <is>
          <t>Nr</t>
        </is>
      </c>
      <c r="J10371" t="inlineStr"/>
      <c r="K10371" t="inlineStr"/>
      <c r="L10371" t="inlineStr">
        <is>
          <t>XP_041428149.1 uncharacterized protein LOC121396834 [Xenopus laevis]</t>
        </is>
      </c>
      <c r="M10371" t="n">
        <v>393</v>
      </c>
      <c r="N10371" t="inlineStr">
        <is>
          <t>Xenopus laevis</t>
        </is>
      </c>
      <c r="O10371" t="inlineStr">
        <is>
          <t>uncharacterized protein LOC121396834</t>
        </is>
      </c>
    </row>
    <row r="10372">
      <c r="A10372" t="inlineStr"/>
      <c r="B10372" t="inlineStr"/>
      <c r="C10372" t="inlineStr"/>
      <c r="D10372" t="inlineStr"/>
      <c r="E10372">
        <f>HYPERLINK("https://www.uniprot.org/uniprotkb/A0A803JQT4/entry", "A0A803JQT4")</f>
        <v/>
      </c>
      <c r="F10372" t="n">
        <v>45.4</v>
      </c>
      <c r="G10372" t="n">
        <v>392</v>
      </c>
      <c r="H10372" t="n">
        <v>3.05e-101</v>
      </c>
      <c r="I10372" t="inlineStr">
        <is>
          <t>TrEMBL</t>
        </is>
      </c>
      <c r="J10372" t="inlineStr"/>
      <c r="K10372" t="inlineStr">
        <is>
          <t>A0A803JQT4_XENTR</t>
        </is>
      </c>
      <c r="L10372" t="inlineStr">
        <is>
          <t>tr|A0A803JQT4|A0A803JQT4_XENTR Reverse transcriptase domain-containing protein OS=Xenopus tropicalis OX=8364 PE=4 SV=1</t>
        </is>
      </c>
      <c r="M10372" t="n">
        <v>750</v>
      </c>
      <c r="N10372" t="inlineStr">
        <is>
          <t>Xenopus tropicalis</t>
        </is>
      </c>
      <c r="O10372" t="inlineStr">
        <is>
          <t>Reverse transcriptase domain-containing protein</t>
        </is>
      </c>
    </row>
    <row r="10373">
      <c r="A10373" t="inlineStr"/>
      <c r="B10373" t="inlineStr"/>
      <c r="C10373" t="inlineStr"/>
      <c r="D10373" t="inlineStr"/>
      <c r="E10373">
        <f>HYPERLINK("https://www.ncbi.nlm.nih.gov/gene/?term=OCT56300.1", "OCT56300.1")</f>
        <v/>
      </c>
      <c r="F10373" t="n">
        <v>40</v>
      </c>
      <c r="G10373" t="n">
        <v>385</v>
      </c>
      <c r="H10373" t="n">
        <v>1.41e-100</v>
      </c>
      <c r="I10373" t="inlineStr">
        <is>
          <t>Nr</t>
        </is>
      </c>
      <c r="J10373" t="inlineStr"/>
      <c r="K10373" t="inlineStr"/>
      <c r="L10373" t="inlineStr">
        <is>
          <t>OCT56300.1 hypothetical protein XELAEV_18000302mg [Xenopus laevis]</t>
        </is>
      </c>
      <c r="M10373" t="n">
        <v>428</v>
      </c>
      <c r="N10373" t="inlineStr">
        <is>
          <t>Xenopus laevis</t>
        </is>
      </c>
      <c r="O10373" t="inlineStr">
        <is>
          <t>hypothetical protein XELAEV_18000302mg</t>
        </is>
      </c>
    </row>
    <row r="10374">
      <c r="A10374" t="inlineStr"/>
      <c r="B10374" t="inlineStr"/>
      <c r="C10374" t="inlineStr"/>
      <c r="D10374" t="inlineStr"/>
      <c r="E10374">
        <f>HYPERLINK("https://www.ncbi.nlm.nih.gov/gene/?term=OCT88193.1", "OCT88193.1")</f>
        <v/>
      </c>
      <c r="F10374" t="n">
        <v>41.2</v>
      </c>
      <c r="G10374" t="n">
        <v>396</v>
      </c>
      <c r="H10374" t="n">
        <v>2.21e-98</v>
      </c>
      <c r="I10374" t="inlineStr">
        <is>
          <t>Nr</t>
        </is>
      </c>
      <c r="J10374" t="inlineStr"/>
      <c r="K10374" t="inlineStr"/>
      <c r="L10374" t="inlineStr">
        <is>
          <t>OCT88193.1 hypothetical protein XELAEV_18016819mg [Xenopus laevis]</t>
        </is>
      </c>
      <c r="M10374" t="n">
        <v>390</v>
      </c>
      <c r="N10374" t="inlineStr">
        <is>
          <t>Xenopus laevis</t>
        </is>
      </c>
      <c r="O10374" t="inlineStr">
        <is>
          <t>hypothetical protein XELAEV_18016819mg</t>
        </is>
      </c>
    </row>
    <row r="10375">
      <c r="A10375" t="inlineStr"/>
      <c r="B10375" t="inlineStr"/>
      <c r="C10375" t="inlineStr"/>
      <c r="D10375" t="inlineStr"/>
      <c r="E10375">
        <f>HYPERLINK("https://www.uniprot.org/uniprotkb/A0A8J1KPS1/entry", "A0A8J1KPS1")</f>
        <v/>
      </c>
      <c r="F10375" t="n">
        <v>42.4</v>
      </c>
      <c r="G10375" t="n">
        <v>384</v>
      </c>
      <c r="H10375" t="n">
        <v>8.92e-97</v>
      </c>
      <c r="I10375" t="inlineStr">
        <is>
          <t>TrEMBL</t>
        </is>
      </c>
      <c r="J10375" t="inlineStr">
        <is>
          <t>LOC121393680</t>
        </is>
      </c>
      <c r="K10375" t="inlineStr">
        <is>
          <t>A0A8J1KPS1_XENLA</t>
        </is>
      </c>
      <c r="L10375" t="inlineStr">
        <is>
          <t>tr|A0A8J1KPS1|A0A8J1KPS1_XENLA uncharacterized protein LOC121393680 isoform X1 OS=Xenopus laevis OX=8355 GN=LOC121393680 PE=4 SV=1</t>
        </is>
      </c>
      <c r="M10375" t="n">
        <v>753</v>
      </c>
      <c r="N10375" t="inlineStr">
        <is>
          <t>Xenopus laevis</t>
        </is>
      </c>
      <c r="O10375" t="inlineStr">
        <is>
          <t>uncharacterized protein LOC121393680 isoform X1</t>
        </is>
      </c>
    </row>
    <row r="10376">
      <c r="A10376" t="inlineStr"/>
      <c r="B10376" t="inlineStr"/>
      <c r="C10376" t="inlineStr"/>
      <c r="D10376" t="inlineStr"/>
      <c r="E10376">
        <f>HYPERLINK("https://www.ncbi.nlm.nih.gov/gene/?term=XP_041418743.1", "XP_041418743.1")</f>
        <v/>
      </c>
      <c r="F10376" t="n">
        <v>42.4</v>
      </c>
      <c r="G10376" t="n">
        <v>384</v>
      </c>
      <c r="H10376" t="n">
        <v>2.29e-96</v>
      </c>
      <c r="I10376" t="inlineStr">
        <is>
          <t>Nr</t>
        </is>
      </c>
      <c r="J10376" t="inlineStr"/>
      <c r="K10376" t="inlineStr"/>
      <c r="L10376" t="inlineStr">
        <is>
          <t>XP_041418743.1 uncharacterized protein LOC121393680 isoform X1 [Xenopus laevis]</t>
        </is>
      </c>
      <c r="M10376" t="n">
        <v>753</v>
      </c>
      <c r="N10376" t="inlineStr">
        <is>
          <t>Xenopus laevis</t>
        </is>
      </c>
      <c r="O10376" t="inlineStr">
        <is>
          <t>uncharacterized protein LOC121393680 isoform X1</t>
        </is>
      </c>
    </row>
    <row r="10377">
      <c r="A10377" t="inlineStr"/>
      <c r="B10377" t="inlineStr"/>
      <c r="C10377" t="inlineStr"/>
      <c r="D10377" t="inlineStr"/>
      <c r="E10377">
        <f>HYPERLINK("https://www.ncbi.nlm.nih.gov/gene/?term=XP_044139139.1", "XP_044139139.1")</f>
        <v/>
      </c>
      <c r="F10377" t="n">
        <v>43.1</v>
      </c>
      <c r="G10377" t="n">
        <v>385</v>
      </c>
      <c r="H10377" t="n">
        <v>6.51e-96</v>
      </c>
      <c r="I10377" t="inlineStr">
        <is>
          <t>Nr</t>
        </is>
      </c>
      <c r="J10377" t="inlineStr"/>
      <c r="K10377" t="inlineStr"/>
      <c r="L10377" t="inlineStr">
        <is>
          <t>XP_044139139.1 uncharacterized protein LOC122929581 [Bufo gargarizans]</t>
        </is>
      </c>
      <c r="M10377" t="n">
        <v>1065</v>
      </c>
      <c r="N10377" t="inlineStr">
        <is>
          <t>Bufo gargarizans</t>
        </is>
      </c>
      <c r="O10377" t="inlineStr">
        <is>
          <t>uncharacterized protein LOC122929581</t>
        </is>
      </c>
    </row>
    <row r="10378">
      <c r="A10378" t="inlineStr"/>
      <c r="B10378" t="inlineStr"/>
      <c r="C10378" t="inlineStr"/>
      <c r="D10378" t="inlineStr"/>
      <c r="E10378">
        <f>HYPERLINK("https://www.ncbi.nlm.nih.gov/gene/?term=OCT84615.1", "OCT84615.1")</f>
        <v/>
      </c>
      <c r="F10378" t="n">
        <v>42.2</v>
      </c>
      <c r="G10378" t="n">
        <v>384</v>
      </c>
      <c r="H10378" t="n">
        <v>1.77e-94</v>
      </c>
      <c r="I10378" t="inlineStr">
        <is>
          <t>Nr</t>
        </is>
      </c>
      <c r="J10378" t="inlineStr"/>
      <c r="K10378" t="inlineStr"/>
      <c r="L10378" t="inlineStr">
        <is>
          <t>OCT84615.1 hypothetical protein XELAEV_18022768mg [Xenopus laevis]</t>
        </is>
      </c>
      <c r="M10378" t="n">
        <v>389</v>
      </c>
      <c r="N10378" t="inlineStr">
        <is>
          <t>Xenopus laevis</t>
        </is>
      </c>
      <c r="O10378" t="inlineStr">
        <is>
          <t>hypothetical protein XELAEV_18022768mg</t>
        </is>
      </c>
    </row>
    <row r="10379">
      <c r="A10379" t="inlineStr"/>
      <c r="B10379" t="inlineStr"/>
      <c r="C10379" t="inlineStr"/>
      <c r="D10379" t="inlineStr"/>
      <c r="E10379">
        <f>HYPERLINK("https://www.uniprot.org/uniprotkb/A0A8J1KQR2/entry", "A0A8J1KQR2")</f>
        <v/>
      </c>
      <c r="F10379" t="n">
        <v>41.9</v>
      </c>
      <c r="G10379" t="n">
        <v>382</v>
      </c>
      <c r="H10379" t="n">
        <v>2.13e-94</v>
      </c>
      <c r="I10379" t="inlineStr">
        <is>
          <t>TrEMBL</t>
        </is>
      </c>
      <c r="J10379" t="inlineStr">
        <is>
          <t>LOC121393620</t>
        </is>
      </c>
      <c r="K10379" t="inlineStr">
        <is>
          <t>A0A8J1KQR2_XENLA</t>
        </is>
      </c>
      <c r="L10379" t="inlineStr">
        <is>
          <t>tr|A0A8J1KQR2|A0A8J1KQR2_XENLA uncharacterized protein LOC121393620 OS=Xenopus laevis OX=8355 GN=LOC121393620 PE=4 SV=1</t>
        </is>
      </c>
      <c r="M10379" t="n">
        <v>611</v>
      </c>
      <c r="N10379" t="inlineStr">
        <is>
          <t>Xenopus laevis</t>
        </is>
      </c>
      <c r="O10379" t="inlineStr">
        <is>
          <t>uncharacterized protein LOC121393620</t>
        </is>
      </c>
    </row>
    <row r="10380">
      <c r="A10380" t="inlineStr"/>
      <c r="B10380" t="inlineStr"/>
      <c r="C10380" t="inlineStr"/>
      <c r="D10380" t="inlineStr"/>
      <c r="E10380">
        <f>HYPERLINK("https://www.uniprot.org/uniprotkb/A0A8J1LQ87/entry", "A0A8J1LQ87")</f>
        <v/>
      </c>
      <c r="F10380" t="n">
        <v>41.9</v>
      </c>
      <c r="G10380" t="n">
        <v>382</v>
      </c>
      <c r="H10380" t="n">
        <v>2.13e-94</v>
      </c>
      <c r="I10380" t="inlineStr">
        <is>
          <t>TrEMBL</t>
        </is>
      </c>
      <c r="J10380" t="inlineStr">
        <is>
          <t>LOC121397711</t>
        </is>
      </c>
      <c r="K10380" t="inlineStr">
        <is>
          <t>A0A8J1LQ87_XENLA</t>
        </is>
      </c>
      <c r="L10380" t="inlineStr">
        <is>
          <t>tr|A0A8J1LQ87|A0A8J1LQ87_XENLA uncharacterized protein LOC121397711 OS=Xenopus laevis OX=8355 GN=LOC121397711 PE=4 SV=1</t>
        </is>
      </c>
      <c r="M10380" t="n">
        <v>611</v>
      </c>
      <c r="N10380" t="inlineStr">
        <is>
          <t>Xenopus laevis</t>
        </is>
      </c>
      <c r="O10380" t="inlineStr">
        <is>
          <t>uncharacterized protein LOC121397711</t>
        </is>
      </c>
    </row>
    <row r="10381">
      <c r="A10381" t="inlineStr"/>
      <c r="B10381" t="inlineStr"/>
      <c r="C10381" t="inlineStr"/>
      <c r="D10381" t="inlineStr"/>
      <c r="E10381">
        <f>HYPERLINK("https://www.uniprot.org/uniprotkb/A0A8J1KQT3/entry", "A0A8J1KQT3")</f>
        <v/>
      </c>
      <c r="F10381" t="n">
        <v>41.9</v>
      </c>
      <c r="G10381" t="n">
        <v>382</v>
      </c>
      <c r="H10381" t="n">
        <v>4.22e-94</v>
      </c>
      <c r="I10381" t="inlineStr">
        <is>
          <t>TrEMBL</t>
        </is>
      </c>
      <c r="J10381" t="inlineStr">
        <is>
          <t>LOC121393628</t>
        </is>
      </c>
      <c r="K10381" t="inlineStr">
        <is>
          <t>A0A8J1KQT3_XENLA</t>
        </is>
      </c>
      <c r="L10381" t="inlineStr">
        <is>
          <t>tr|A0A8J1KQT3|A0A8J1KQT3_XENLA uncharacterized protein LOC121393628 OS=Xenopus laevis OX=8355 GN=LOC121393628 PE=4 SV=1</t>
        </is>
      </c>
      <c r="M10381" t="n">
        <v>611</v>
      </c>
      <c r="N10381" t="inlineStr">
        <is>
          <t>Xenopus laevis</t>
        </is>
      </c>
      <c r="O10381" t="inlineStr">
        <is>
          <t>uncharacterized protein LOC121393628</t>
        </is>
      </c>
    </row>
    <row r="10382">
      <c r="A10382" t="inlineStr"/>
      <c r="B10382" t="inlineStr"/>
      <c r="C10382" t="inlineStr"/>
      <c r="D10382" t="inlineStr"/>
      <c r="E10382">
        <f>HYPERLINK("https://www.ncbi.nlm.nih.gov/gene/?term=XP_041418569.1", "XP_041418569.1")</f>
        <v/>
      </c>
      <c r="F10382" t="n">
        <v>41.9</v>
      </c>
      <c r="G10382" t="n">
        <v>382</v>
      </c>
      <c r="H10382" t="n">
        <v>5.46e-94</v>
      </c>
      <c r="I10382" t="inlineStr">
        <is>
          <t>Nr</t>
        </is>
      </c>
      <c r="J10382" t="inlineStr"/>
      <c r="K10382" t="inlineStr"/>
      <c r="L10382" t="inlineStr">
        <is>
          <t>XP_041418569.1 uncharacterized protein LOC121393620 [Xenopus laevis]</t>
        </is>
      </c>
      <c r="M10382" t="n">
        <v>611</v>
      </c>
      <c r="N10382" t="inlineStr">
        <is>
          <t>Xenopus laevis</t>
        </is>
      </c>
      <c r="O10382" t="inlineStr">
        <is>
          <t>uncharacterized protein LOC121393620</t>
        </is>
      </c>
    </row>
    <row r="10383">
      <c r="A10383" t="inlineStr"/>
      <c r="B10383" t="inlineStr"/>
      <c r="C10383" t="inlineStr"/>
      <c r="D10383" t="inlineStr"/>
      <c r="E10383">
        <f>HYPERLINK("https://www.ncbi.nlm.nih.gov/gene/?term=XP_041430880.1", "XP_041430880.1")</f>
        <v/>
      </c>
      <c r="F10383" t="n">
        <v>41.9</v>
      </c>
      <c r="G10383" t="n">
        <v>382</v>
      </c>
      <c r="H10383" t="n">
        <v>5.46e-94</v>
      </c>
      <c r="I10383" t="inlineStr">
        <is>
          <t>Nr</t>
        </is>
      </c>
      <c r="J10383" t="inlineStr"/>
      <c r="K10383" t="inlineStr"/>
      <c r="L10383" t="inlineStr">
        <is>
          <t>XP_041430880.1 uncharacterized protein LOC121397711 [Xenopus laevis]</t>
        </is>
      </c>
      <c r="M10383" t="n">
        <v>611</v>
      </c>
      <c r="N10383" t="inlineStr">
        <is>
          <t>Xenopus laevis</t>
        </is>
      </c>
      <c r="O10383" t="inlineStr">
        <is>
          <t>uncharacterized protein LOC121397711</t>
        </is>
      </c>
    </row>
    <row r="10384">
      <c r="A10384" t="inlineStr"/>
      <c r="B10384" t="inlineStr"/>
      <c r="C10384" t="inlineStr"/>
      <c r="D10384" t="inlineStr"/>
      <c r="E10384">
        <f>HYPERLINK("https://www.ncbi.nlm.nih.gov/gene/?term=XP_041418589.1", "XP_041418589.1")</f>
        <v/>
      </c>
      <c r="F10384" t="n">
        <v>41.9</v>
      </c>
      <c r="G10384" t="n">
        <v>382</v>
      </c>
      <c r="H10384" t="n">
        <v>1.08e-93</v>
      </c>
      <c r="I10384" t="inlineStr">
        <is>
          <t>Nr</t>
        </is>
      </c>
      <c r="J10384" t="inlineStr"/>
      <c r="K10384" t="inlineStr"/>
      <c r="L10384" t="inlineStr">
        <is>
          <t>XP_041418589.1 uncharacterized protein LOC121393628 [Xenopus laevis]</t>
        </is>
      </c>
      <c r="M10384" t="n">
        <v>611</v>
      </c>
      <c r="N10384" t="inlineStr">
        <is>
          <t>Xenopus laevis</t>
        </is>
      </c>
      <c r="O10384" t="inlineStr">
        <is>
          <t>uncharacterized protein LOC121393628</t>
        </is>
      </c>
    </row>
    <row r="10385">
      <c r="A10385" t="inlineStr"/>
      <c r="B10385" t="inlineStr"/>
      <c r="C10385" t="inlineStr"/>
      <c r="D10385" t="inlineStr"/>
      <c r="E10385">
        <f>HYPERLINK("https://www.ncbi.nlm.nih.gov/gene/?term=OCT67848.1", "OCT67848.1")</f>
        <v/>
      </c>
      <c r="F10385" t="n">
        <v>41.5</v>
      </c>
      <c r="G10385" t="n">
        <v>386</v>
      </c>
      <c r="H10385" t="n">
        <v>1.64e-93</v>
      </c>
      <c r="I10385" t="inlineStr">
        <is>
          <t>Nr</t>
        </is>
      </c>
      <c r="J10385" t="inlineStr"/>
      <c r="K10385" t="inlineStr"/>
      <c r="L10385" t="inlineStr">
        <is>
          <t>OCT67848.1 hypothetical protein XELAEV_18039149mg [Xenopus laevis]</t>
        </is>
      </c>
      <c r="M10385" t="n">
        <v>1035</v>
      </c>
      <c r="N10385" t="inlineStr">
        <is>
          <t>Xenopus laevis</t>
        </is>
      </c>
      <c r="O10385" t="inlineStr">
        <is>
          <t>hypothetical protein XELAEV_18039149mg</t>
        </is>
      </c>
    </row>
    <row r="10386">
      <c r="A10386" t="inlineStr"/>
      <c r="B10386" t="inlineStr"/>
      <c r="C10386" t="inlineStr"/>
      <c r="D10386" t="inlineStr"/>
      <c r="E10386">
        <f>HYPERLINK("https://www.ncbi.nlm.nih.gov/gene/?term=OCT60779.1", "OCT60779.1")</f>
        <v/>
      </c>
      <c r="F10386" t="n">
        <v>41.6</v>
      </c>
      <c r="G10386" t="n">
        <v>368</v>
      </c>
      <c r="H10386" t="n">
        <v>1.71e-91</v>
      </c>
      <c r="I10386" t="inlineStr">
        <is>
          <t>Nr</t>
        </is>
      </c>
      <c r="J10386" t="inlineStr"/>
      <c r="K10386" t="inlineStr"/>
      <c r="L10386" t="inlineStr">
        <is>
          <t>OCT60779.1 hypothetical protein XELAEV_18046801mg, partial [Xenopus laevis]</t>
        </is>
      </c>
      <c r="M10386" t="n">
        <v>376</v>
      </c>
      <c r="N10386" t="inlineStr">
        <is>
          <t>Xenopus laevis</t>
        </is>
      </c>
      <c r="O10386" t="inlineStr">
        <is>
          <t>hypothetical protein XELAEV_18046801mg, partial</t>
        </is>
      </c>
    </row>
    <row r="10387">
      <c r="A10387" t="inlineStr"/>
      <c r="B10387" t="inlineStr"/>
      <c r="C10387" t="inlineStr"/>
      <c r="D10387" t="inlineStr"/>
      <c r="E10387">
        <f>HYPERLINK("https://www.uniprot.org/uniprotkb/A5Y836/entry", "A5Y836")</f>
        <v/>
      </c>
      <c r="F10387" t="n">
        <v>91.3</v>
      </c>
      <c r="G10387" t="n">
        <v>149</v>
      </c>
      <c r="H10387" t="n">
        <v>1.94e-91</v>
      </c>
      <c r="I10387" t="inlineStr">
        <is>
          <t>TrEMBL</t>
        </is>
      </c>
      <c r="J10387" t="inlineStr"/>
      <c r="K10387" t="inlineStr">
        <is>
          <t>A5Y836_BOMBO</t>
        </is>
      </c>
      <c r="L10387" t="inlineStr">
        <is>
          <t>tr|A5Y836|A5Y836_BOMBO MHC class II antigen beta chain (Fragment) OS=Bombina bombina OX=8345 PE=2 SV=1</t>
        </is>
      </c>
      <c r="M10387" t="n">
        <v>184</v>
      </c>
      <c r="N10387" t="inlineStr">
        <is>
          <t>Bombina bombina</t>
        </is>
      </c>
      <c r="O10387" t="inlineStr">
        <is>
          <t>MHC class II antigen beta chain (Fragment)</t>
        </is>
      </c>
    </row>
    <row r="10388">
      <c r="A10388" t="inlineStr"/>
      <c r="B10388" t="inlineStr"/>
      <c r="C10388" t="inlineStr"/>
      <c r="D10388" t="inlineStr"/>
      <c r="E10388">
        <f>HYPERLINK("https://www.ncbi.nlm.nih.gov/gene/?term=ABR09415.1", "ABR09415.1")</f>
        <v/>
      </c>
      <c r="F10388" t="n">
        <v>91.3</v>
      </c>
      <c r="G10388" t="n">
        <v>149</v>
      </c>
      <c r="H10388" t="n">
        <v>4.97e-91</v>
      </c>
      <c r="I10388" t="inlineStr">
        <is>
          <t>Nr</t>
        </is>
      </c>
      <c r="J10388" t="inlineStr"/>
      <c r="K10388" t="inlineStr"/>
      <c r="L10388" t="inlineStr">
        <is>
          <t>ABR09415.1 MHC class II antigen beta chain, partial [Bombina bombina]</t>
        </is>
      </c>
      <c r="M10388" t="n">
        <v>184</v>
      </c>
      <c r="N10388" t="inlineStr">
        <is>
          <t>Bombina bombina</t>
        </is>
      </c>
      <c r="O10388" t="inlineStr">
        <is>
          <t>MHC class II antigen beta chain, partial</t>
        </is>
      </c>
    </row>
    <row r="10389">
      <c r="A10389" t="inlineStr"/>
      <c r="B10389" t="inlineStr"/>
      <c r="C10389" t="inlineStr"/>
      <c r="D10389" t="inlineStr"/>
      <c r="E10389">
        <f>HYPERLINK("https://www.ncbi.nlm.nih.gov/gene/?term=OCT72263.1", "OCT72263.1")</f>
        <v/>
      </c>
      <c r="F10389" t="n">
        <v>40.8</v>
      </c>
      <c r="G10389" t="n">
        <v>382</v>
      </c>
      <c r="H10389" t="n">
        <v>6.61e-91</v>
      </c>
      <c r="I10389" t="inlineStr">
        <is>
          <t>Nr</t>
        </is>
      </c>
      <c r="J10389" t="inlineStr"/>
      <c r="K10389" t="inlineStr"/>
      <c r="L10389" t="inlineStr">
        <is>
          <t>OCT72263.1 hypothetical protein XELAEV_18035234mg, partial [Xenopus laevis]</t>
        </is>
      </c>
      <c r="M10389" t="n">
        <v>663</v>
      </c>
      <c r="N10389" t="inlineStr">
        <is>
          <t>Xenopus laevis</t>
        </is>
      </c>
      <c r="O10389" t="inlineStr">
        <is>
          <t>hypothetical protein XELAEV_18035234mg, partial</t>
        </is>
      </c>
    </row>
    <row r="10390">
      <c r="A10390" t="inlineStr"/>
      <c r="B10390" t="inlineStr"/>
      <c r="C10390" t="inlineStr"/>
      <c r="D10390" t="inlineStr"/>
      <c r="E10390">
        <f>HYPERLINK("https://www.ncbi.nlm.nih.gov/gene/?term=OCT57250.1", "OCT57250.1")</f>
        <v/>
      </c>
      <c r="F10390" t="n">
        <v>39.3</v>
      </c>
      <c r="G10390" t="n">
        <v>382</v>
      </c>
      <c r="H10390" t="n">
        <v>1.09e-89</v>
      </c>
      <c r="I10390" t="inlineStr">
        <is>
          <t>Nr</t>
        </is>
      </c>
      <c r="J10390" t="inlineStr"/>
      <c r="K10390" t="inlineStr"/>
      <c r="L10390" t="inlineStr">
        <is>
          <t>OCT57250.1 hypothetical protein XELAEV_18003760mg [Xenopus laevis]</t>
        </is>
      </c>
      <c r="M10390" t="n">
        <v>410</v>
      </c>
      <c r="N10390" t="inlineStr">
        <is>
          <t>Xenopus laevis</t>
        </is>
      </c>
      <c r="O10390" t="inlineStr">
        <is>
          <t>hypothetical protein XELAEV_18003760mg</t>
        </is>
      </c>
    </row>
    <row r="10391">
      <c r="A10391" t="inlineStr"/>
      <c r="B10391" t="inlineStr"/>
      <c r="C10391" t="inlineStr"/>
      <c r="D10391" t="inlineStr"/>
      <c r="E10391">
        <f>HYPERLINK("https://www.uniprot.org/uniprotkb/A0A8C5LUC9/entry", "A0A8C5LUC9")</f>
        <v/>
      </c>
      <c r="F10391" t="n">
        <v>41.7</v>
      </c>
      <c r="G10391" t="n">
        <v>381</v>
      </c>
      <c r="H10391" t="n">
        <v>1.84e-86</v>
      </c>
      <c r="I10391" t="inlineStr">
        <is>
          <t>TrEMBL</t>
        </is>
      </c>
      <c r="J10391" t="inlineStr"/>
      <c r="K10391" t="inlineStr">
        <is>
          <t>A0A8C5LUC9_9ANUR</t>
        </is>
      </c>
      <c r="L10391" t="inlineStr">
        <is>
          <t>tr|A0A8C5LUC9|A0A8C5LUC9_9ANUR Reverse transcriptase domain-containing protein OS=Leptobrachium leishanense OX=445787 PE=4 SV=1</t>
        </is>
      </c>
      <c r="M10391" t="n">
        <v>754</v>
      </c>
      <c r="N10391" t="inlineStr">
        <is>
          <t>Leptobrachium leishanense</t>
        </is>
      </c>
      <c r="O10391" t="inlineStr">
        <is>
          <t>Reverse transcriptase domain-containing protein</t>
        </is>
      </c>
    </row>
    <row r="10392">
      <c r="A10392" t="inlineStr"/>
      <c r="B10392" t="inlineStr"/>
      <c r="C10392" t="inlineStr"/>
      <c r="D10392" t="inlineStr"/>
      <c r="E10392">
        <f>HYPERLINK("https://www.uniprot.org/uniprotkb/A0A8J1L6H8/entry", "A0A8J1L6H8")</f>
        <v/>
      </c>
      <c r="F10392" t="n">
        <v>45.3</v>
      </c>
      <c r="G10392" t="n">
        <v>338</v>
      </c>
      <c r="H10392" t="n">
        <v>4.33e-85</v>
      </c>
      <c r="I10392" t="inlineStr">
        <is>
          <t>TrEMBL</t>
        </is>
      </c>
      <c r="J10392" t="inlineStr">
        <is>
          <t>LOC121395238</t>
        </is>
      </c>
      <c r="K10392" t="inlineStr">
        <is>
          <t>A0A8J1L6H8_XENLA</t>
        </is>
      </c>
      <c r="L10392" t="inlineStr">
        <is>
          <t>tr|A0A8J1L6H8|A0A8J1L6H8_XENLA uncharacterized protein LOC121395238 OS=Xenopus laevis OX=8355 GN=LOC121395238 PE=4 SV=1</t>
        </is>
      </c>
      <c r="M10392" t="n">
        <v>346</v>
      </c>
      <c r="N10392" t="inlineStr">
        <is>
          <t>Xenopus laevis</t>
        </is>
      </c>
      <c r="O10392" t="inlineStr">
        <is>
          <t>uncharacterized protein LOC121395238</t>
        </is>
      </c>
    </row>
    <row r="10393">
      <c r="A10393" t="inlineStr"/>
      <c r="B10393" t="inlineStr"/>
      <c r="C10393" t="inlineStr"/>
      <c r="D10393" t="inlineStr"/>
      <c r="E10393">
        <f>HYPERLINK("https://www.ncbi.nlm.nih.gov/gene/?term=XP_041424205.1", "XP_041424205.1")</f>
        <v/>
      </c>
      <c r="F10393" t="n">
        <v>45.3</v>
      </c>
      <c r="G10393" t="n">
        <v>338</v>
      </c>
      <c r="H10393" t="n">
        <v>1.11e-84</v>
      </c>
      <c r="I10393" t="inlineStr">
        <is>
          <t>Nr</t>
        </is>
      </c>
      <c r="J10393" t="inlineStr"/>
      <c r="K10393" t="inlineStr"/>
      <c r="L10393" t="inlineStr">
        <is>
          <t>XP_041424205.1 uncharacterized protein LOC121395238 [Xenopus laevis]</t>
        </is>
      </c>
      <c r="M10393" t="n">
        <v>346</v>
      </c>
      <c r="N10393" t="inlineStr">
        <is>
          <t>Xenopus laevis</t>
        </is>
      </c>
      <c r="O10393" t="inlineStr">
        <is>
          <t>uncharacterized protein LOC121395238</t>
        </is>
      </c>
    </row>
    <row r="10394">
      <c r="A10394" t="inlineStr"/>
      <c r="B10394" t="inlineStr"/>
      <c r="C10394" t="inlineStr"/>
      <c r="D10394" t="inlineStr"/>
      <c r="E10394">
        <f>HYPERLINK("https://www.ncbi.nlm.nih.gov/gene/?term=OCT92171.1", "OCT92171.1")</f>
        <v/>
      </c>
      <c r="F10394" t="n">
        <v>42.7</v>
      </c>
      <c r="G10394" t="n">
        <v>344</v>
      </c>
      <c r="H10394" t="n">
        <v>2.62e-83</v>
      </c>
      <c r="I10394" t="inlineStr">
        <is>
          <t>Nr</t>
        </is>
      </c>
      <c r="J10394" t="inlineStr"/>
      <c r="K10394" t="inlineStr"/>
      <c r="L10394" t="inlineStr">
        <is>
          <t>OCT92171.1 hypothetical protein XELAEV_18015225mg [Xenopus laevis]</t>
        </is>
      </c>
      <c r="M10394" t="n">
        <v>370</v>
      </c>
      <c r="N10394" t="inlineStr">
        <is>
          <t>Xenopus laevis</t>
        </is>
      </c>
      <c r="O10394" t="inlineStr">
        <is>
          <t>hypothetical protein XELAEV_18015225mg</t>
        </is>
      </c>
    </row>
    <row r="10395">
      <c r="A10395" t="inlineStr"/>
      <c r="B10395" t="inlineStr"/>
      <c r="C10395" t="inlineStr"/>
      <c r="D10395" t="inlineStr"/>
      <c r="E10395">
        <f>HYPERLINK("https://www.ncbi.nlm.nih.gov/gene/?term=OCT79083.1", "OCT79083.1")</f>
        <v/>
      </c>
      <c r="F10395" t="n">
        <v>42.9</v>
      </c>
      <c r="G10395" t="n">
        <v>343</v>
      </c>
      <c r="H10395" t="n">
        <v>3.87e-82</v>
      </c>
      <c r="I10395" t="inlineStr">
        <is>
          <t>Nr</t>
        </is>
      </c>
      <c r="J10395" t="inlineStr"/>
      <c r="K10395" t="inlineStr"/>
      <c r="L10395" t="inlineStr">
        <is>
          <t>OCT79083.1 hypothetical protein XELAEV_18030179mg [Xenopus laevis]</t>
        </is>
      </c>
      <c r="M10395" t="n">
        <v>345</v>
      </c>
      <c r="N10395" t="inlineStr">
        <is>
          <t>Xenopus laevis</t>
        </is>
      </c>
      <c r="O10395" t="inlineStr">
        <is>
          <t>hypothetical protein XELAEV_18030179mg</t>
        </is>
      </c>
    </row>
    <row r="10396">
      <c r="A10396" t="inlineStr"/>
      <c r="B10396" t="inlineStr"/>
      <c r="C10396" t="inlineStr"/>
      <c r="D10396" t="inlineStr"/>
      <c r="E10396">
        <f>HYPERLINK("https://www.uniprot.org/uniprotkb/A0A8J1MVC8/entry", "A0A8J1MVC8")</f>
        <v/>
      </c>
      <c r="F10396" t="n">
        <v>37.3</v>
      </c>
      <c r="G10396" t="n">
        <v>383</v>
      </c>
      <c r="H10396" t="n">
        <v>6.770000000000001e-79</v>
      </c>
      <c r="I10396" t="inlineStr">
        <is>
          <t>TrEMBL</t>
        </is>
      </c>
      <c r="J10396" t="inlineStr">
        <is>
          <t>LOC121402912</t>
        </is>
      </c>
      <c r="K10396" t="inlineStr">
        <is>
          <t>A0A8J1MVC8_XENLA</t>
        </is>
      </c>
      <c r="L10396" t="inlineStr">
        <is>
          <t>tr|A0A8J1MVC8|A0A8J1MVC8_XENLA uncharacterized protein LOC121402912 OS=Xenopus laevis OX=8355 GN=LOC121402912 PE=4 SV=1</t>
        </is>
      </c>
      <c r="M10396" t="n">
        <v>395</v>
      </c>
      <c r="N10396" t="inlineStr">
        <is>
          <t>Xenopus laevis</t>
        </is>
      </c>
      <c r="O10396" t="inlineStr">
        <is>
          <t>uncharacterized protein LOC121402912</t>
        </is>
      </c>
    </row>
    <row r="10397">
      <c r="A10397" t="inlineStr"/>
      <c r="B10397" t="inlineStr"/>
      <c r="C10397" t="inlineStr"/>
      <c r="D10397" t="inlineStr"/>
      <c r="E10397">
        <f>HYPERLINK("https://www.uniprot.org/uniprotkb/A0A8J1L528/entry", "A0A8J1L528")</f>
        <v/>
      </c>
      <c r="F10397" t="n">
        <v>37.3</v>
      </c>
      <c r="G10397" t="n">
        <v>375</v>
      </c>
      <c r="H10397" t="n">
        <v>7.2e-79</v>
      </c>
      <c r="I10397" t="inlineStr">
        <is>
          <t>TrEMBL</t>
        </is>
      </c>
      <c r="J10397" t="inlineStr">
        <is>
          <t>LOC121395364</t>
        </is>
      </c>
      <c r="K10397" t="inlineStr">
        <is>
          <t>A0A8J1L528_XENLA</t>
        </is>
      </c>
      <c r="L10397" t="inlineStr">
        <is>
          <t>tr|A0A8J1L528|A0A8J1L528_XENLA uncharacterized protein LOC121395364 OS=Xenopus laevis OX=8355 GN=LOC121395364 PE=4 SV=1</t>
        </is>
      </c>
      <c r="M10397" t="n">
        <v>409</v>
      </c>
      <c r="N10397" t="inlineStr">
        <is>
          <t>Xenopus laevis</t>
        </is>
      </c>
      <c r="O10397" t="inlineStr">
        <is>
          <t>uncharacterized protein LOC121395364</t>
        </is>
      </c>
    </row>
    <row r="10398">
      <c r="A10398" t="inlineStr"/>
      <c r="B10398" t="inlineStr"/>
      <c r="C10398" t="inlineStr"/>
      <c r="D10398" t="inlineStr"/>
      <c r="E10398">
        <f>HYPERLINK("https://www.ncbi.nlm.nih.gov/gene/?term=XP_041445717.1", "XP_041445717.1")</f>
        <v/>
      </c>
      <c r="F10398" t="n">
        <v>37.3</v>
      </c>
      <c r="G10398" t="n">
        <v>383</v>
      </c>
      <c r="H10398" t="n">
        <v>1.74e-78</v>
      </c>
      <c r="I10398" t="inlineStr">
        <is>
          <t>Nr</t>
        </is>
      </c>
      <c r="J10398" t="inlineStr"/>
      <c r="K10398" t="inlineStr"/>
      <c r="L10398" t="inlineStr">
        <is>
          <t>XP_041445717.1 uncharacterized protein LOC121402912 [Xenopus laevis]</t>
        </is>
      </c>
      <c r="M10398" t="n">
        <v>395</v>
      </c>
      <c r="N10398" t="inlineStr">
        <is>
          <t>Xenopus laevis</t>
        </is>
      </c>
      <c r="O10398" t="inlineStr">
        <is>
          <t>uncharacterized protein LOC121402912</t>
        </is>
      </c>
    </row>
    <row r="10399">
      <c r="A10399" t="inlineStr"/>
      <c r="B10399" t="inlineStr"/>
      <c r="C10399" t="inlineStr"/>
      <c r="D10399" t="inlineStr"/>
      <c r="E10399">
        <f>HYPERLINK("https://www.ncbi.nlm.nih.gov/gene/?term=XP_041424662.1", "XP_041424662.1")</f>
        <v/>
      </c>
      <c r="F10399" t="n">
        <v>37.3</v>
      </c>
      <c r="G10399" t="n">
        <v>375</v>
      </c>
      <c r="H10399" t="n">
        <v>1.85e-78</v>
      </c>
      <c r="I10399" t="inlineStr">
        <is>
          <t>Nr</t>
        </is>
      </c>
      <c r="J10399" t="inlineStr"/>
      <c r="K10399" t="inlineStr"/>
      <c r="L10399" t="inlineStr">
        <is>
          <t>XP_041424662.1 uncharacterized protein LOC121395364 [Xenopus laevis]</t>
        </is>
      </c>
      <c r="M10399" t="n">
        <v>409</v>
      </c>
      <c r="N10399" t="inlineStr">
        <is>
          <t>Xenopus laevis</t>
        </is>
      </c>
      <c r="O10399" t="inlineStr">
        <is>
          <t>uncharacterized protein LOC121395364</t>
        </is>
      </c>
    </row>
    <row r="10400">
      <c r="A10400" t="inlineStr"/>
      <c r="B10400" t="inlineStr"/>
      <c r="C10400" t="inlineStr"/>
      <c r="D10400" t="inlineStr"/>
      <c r="E10400">
        <f>HYPERLINK("https://www.uniprot.org/uniprotkb/A5Y837/entry", "A5Y837")</f>
        <v/>
      </c>
      <c r="F10400" t="n">
        <v>68.90000000000001</v>
      </c>
      <c r="G10400" t="n">
        <v>164</v>
      </c>
      <c r="H10400" t="n">
        <v>3.21e-78</v>
      </c>
      <c r="I10400" t="inlineStr">
        <is>
          <t>TrEMBL</t>
        </is>
      </c>
      <c r="J10400" t="inlineStr"/>
      <c r="K10400" t="inlineStr">
        <is>
          <t>A5Y837_BOMBO</t>
        </is>
      </c>
      <c r="L10400" t="inlineStr">
        <is>
          <t>tr|A5Y837|A5Y837_BOMBO MHC class II antigen beta chain (Fragment) OS=Bombina bombina OX=8345 PE=2 SV=1</t>
        </is>
      </c>
      <c r="M10400" t="n">
        <v>203</v>
      </c>
      <c r="N10400" t="inlineStr">
        <is>
          <t>Bombina bombina</t>
        </is>
      </c>
      <c r="O10400" t="inlineStr">
        <is>
          <t>MHC class II antigen beta chain (Fragment)</t>
        </is>
      </c>
    </row>
    <row r="10401">
      <c r="A10401" t="inlineStr"/>
      <c r="B10401" t="inlineStr"/>
      <c r="C10401" t="inlineStr"/>
      <c r="D10401" t="inlineStr"/>
      <c r="E10401">
        <f>HYPERLINK("https://www.ncbi.nlm.nih.gov/gene/?term=ABR09416.1", "ABR09416.1")</f>
        <v/>
      </c>
      <c r="F10401" t="n">
        <v>68.90000000000001</v>
      </c>
      <c r="G10401" t="n">
        <v>164</v>
      </c>
      <c r="H10401" t="n">
        <v>8.23e-78</v>
      </c>
      <c r="I10401" t="inlineStr">
        <is>
          <t>Nr</t>
        </is>
      </c>
      <c r="J10401" t="inlineStr"/>
      <c r="K10401" t="inlineStr"/>
      <c r="L10401" t="inlineStr">
        <is>
          <t>ABR09416.1 MHC class II antigen beta chain, partial [Bombina bombina]</t>
        </is>
      </c>
      <c r="M10401" t="n">
        <v>203</v>
      </c>
      <c r="N10401" t="inlineStr">
        <is>
          <t>Bombina bombina</t>
        </is>
      </c>
      <c r="O10401" t="inlineStr">
        <is>
          <t>MHC class II antigen beta chain, partial</t>
        </is>
      </c>
    </row>
    <row r="10402">
      <c r="A10402" t="inlineStr"/>
      <c r="B10402" t="inlineStr"/>
      <c r="C10402" t="inlineStr"/>
      <c r="D10402" t="inlineStr"/>
      <c r="E10402">
        <f>HYPERLINK("https://www.ncbi.nlm.nih.gov/gene/?term=OCT74403.1", "OCT74403.1")</f>
        <v/>
      </c>
      <c r="F10402" t="n">
        <v>41.2</v>
      </c>
      <c r="G10402" t="n">
        <v>328</v>
      </c>
      <c r="H10402" t="n">
        <v>8.56e-78</v>
      </c>
      <c r="I10402" t="inlineStr">
        <is>
          <t>Nr</t>
        </is>
      </c>
      <c r="J10402" t="inlineStr"/>
      <c r="K10402" t="inlineStr"/>
      <c r="L10402" t="inlineStr">
        <is>
          <t>OCT74403.1 hypothetical protein XELAEV_18033379mg [Xenopus laevis]</t>
        </is>
      </c>
      <c r="M10402" t="n">
        <v>333</v>
      </c>
      <c r="N10402" t="inlineStr">
        <is>
          <t>Xenopus laevis</t>
        </is>
      </c>
      <c r="O10402" t="inlineStr">
        <is>
          <t>hypothetical protein XELAEV_18033379mg</t>
        </is>
      </c>
    </row>
    <row r="10403">
      <c r="A10403" t="inlineStr"/>
      <c r="B10403" t="inlineStr"/>
      <c r="C10403" t="inlineStr"/>
      <c r="D10403" t="inlineStr"/>
      <c r="E10403">
        <f>HYPERLINK("https://www.ncbi.nlm.nih.gov/gene/?term=OCT69187.1", "OCT69187.1")</f>
        <v/>
      </c>
      <c r="F10403" t="n">
        <v>43.5</v>
      </c>
      <c r="G10403" t="n">
        <v>315</v>
      </c>
      <c r="H10403" t="n">
        <v>4.29e-77</v>
      </c>
      <c r="I10403" t="inlineStr">
        <is>
          <t>Nr</t>
        </is>
      </c>
      <c r="J10403" t="inlineStr"/>
      <c r="K10403" t="inlineStr"/>
      <c r="L10403" t="inlineStr">
        <is>
          <t>OCT69187.1 hypothetical protein XELAEV_18040497mg [Xenopus laevis]</t>
        </is>
      </c>
      <c r="M10403" t="n">
        <v>318</v>
      </c>
      <c r="N10403" t="inlineStr">
        <is>
          <t>Xenopus laevis</t>
        </is>
      </c>
      <c r="O10403" t="inlineStr">
        <is>
          <t>hypothetical protein XELAEV_18040497mg</t>
        </is>
      </c>
    </row>
    <row r="10404">
      <c r="A10404" t="inlineStr"/>
      <c r="B10404" t="inlineStr"/>
      <c r="C10404" t="inlineStr"/>
      <c r="D10404" t="inlineStr"/>
      <c r="E10404">
        <f>HYPERLINK("https://www.uniprot.org/uniprotkb/A0A8J1L5X1/entry", "A0A8J1L5X1")</f>
        <v/>
      </c>
      <c r="F10404" t="n">
        <v>36.1</v>
      </c>
      <c r="G10404" t="n">
        <v>368</v>
      </c>
      <c r="H10404" t="n">
        <v>8.32e-77</v>
      </c>
      <c r="I10404" t="inlineStr">
        <is>
          <t>TrEMBL</t>
        </is>
      </c>
      <c r="J10404" t="inlineStr">
        <is>
          <t>LOC121395443</t>
        </is>
      </c>
      <c r="K10404" t="inlineStr">
        <is>
          <t>A0A8J1L5X1_XENLA</t>
        </is>
      </c>
      <c r="L10404" t="inlineStr">
        <is>
          <t>tr|A0A8J1L5X1|A0A8J1L5X1_XENLA uncharacterized protein LOC121395443 isoform X1 OS=Xenopus laevis OX=8355 GN=LOC121395443 PE=4 SV=1</t>
        </is>
      </c>
      <c r="M10404" t="n">
        <v>371</v>
      </c>
      <c r="N10404" t="inlineStr">
        <is>
          <t>Xenopus laevis</t>
        </is>
      </c>
      <c r="O10404" t="inlineStr">
        <is>
          <t>uncharacterized protein LOC121395443 isoform X1</t>
        </is>
      </c>
    </row>
    <row r="10405">
      <c r="A10405" t="inlineStr"/>
      <c r="B10405" t="inlineStr"/>
      <c r="C10405" t="inlineStr"/>
      <c r="D10405" t="inlineStr"/>
      <c r="E10405">
        <f>HYPERLINK("https://www.uniprot.org/uniprotkb/A0A8J1M119/entry", "A0A8J1M119")</f>
        <v/>
      </c>
      <c r="F10405" t="n">
        <v>36.3</v>
      </c>
      <c r="G10405" t="n">
        <v>388</v>
      </c>
      <c r="H10405" t="n">
        <v>1.73e-76</v>
      </c>
      <c r="I10405" t="inlineStr">
        <is>
          <t>TrEMBL</t>
        </is>
      </c>
      <c r="J10405" t="inlineStr">
        <is>
          <t>LOC121399280</t>
        </is>
      </c>
      <c r="K10405" t="inlineStr">
        <is>
          <t>A0A8J1M119_XENLA</t>
        </is>
      </c>
      <c r="L10405" t="inlineStr">
        <is>
          <t>tr|A0A8J1M119|A0A8J1M119_XENLA uncharacterized protein LOC121399280 OS=Xenopus laevis OX=8355 GN=LOC121399280 PE=4 SV=1</t>
        </is>
      </c>
      <c r="M10405" t="n">
        <v>408</v>
      </c>
      <c r="N10405" t="inlineStr">
        <is>
          <t>Xenopus laevis</t>
        </is>
      </c>
      <c r="O10405" t="inlineStr">
        <is>
          <t>uncharacterized protein LOC121399280</t>
        </is>
      </c>
    </row>
    <row r="10406">
      <c r="A10406" t="inlineStr"/>
      <c r="B10406" t="inlineStr"/>
      <c r="C10406" t="inlineStr"/>
      <c r="D10406" t="inlineStr"/>
      <c r="E10406">
        <f>HYPERLINK("https://www.uniprot.org/uniprotkb/A0A8J1KX62/entry", "A0A8J1KX62")</f>
        <v/>
      </c>
      <c r="F10406" t="n">
        <v>35.1</v>
      </c>
      <c r="G10406" t="n">
        <v>382</v>
      </c>
      <c r="H10406" t="n">
        <v>1.86e-76</v>
      </c>
      <c r="I10406" t="inlineStr">
        <is>
          <t>TrEMBL</t>
        </is>
      </c>
      <c r="J10406" t="inlineStr">
        <is>
          <t>LOC121394310</t>
        </is>
      </c>
      <c r="K10406" t="inlineStr">
        <is>
          <t>A0A8J1KX62_XENLA</t>
        </is>
      </c>
      <c r="L10406" t="inlineStr">
        <is>
          <t>tr|A0A8J1KX62|A0A8J1KX62_XENLA uncharacterized protein LOC121394310 isoform X1 OS=Xenopus laevis OX=8355 GN=LOC121394310 PE=4 SV=1</t>
        </is>
      </c>
      <c r="M10406" t="n">
        <v>473</v>
      </c>
      <c r="N10406" t="inlineStr">
        <is>
          <t>Xenopus laevis</t>
        </is>
      </c>
      <c r="O10406" t="inlineStr">
        <is>
          <t>uncharacterized protein LOC121394310 isoform X1</t>
        </is>
      </c>
    </row>
    <row r="10407">
      <c r="A10407" t="inlineStr"/>
      <c r="B10407" t="inlineStr"/>
      <c r="C10407" t="inlineStr"/>
      <c r="D10407" t="inlineStr"/>
      <c r="E10407">
        <f>HYPERLINK("https://www.ncbi.nlm.nih.gov/gene/?term=XP_041424928.1", "XP_041424928.1")</f>
        <v/>
      </c>
      <c r="F10407" t="n">
        <v>36.1</v>
      </c>
      <c r="G10407" t="n">
        <v>368</v>
      </c>
      <c r="H10407" t="n">
        <v>2.14e-76</v>
      </c>
      <c r="I10407" t="inlineStr">
        <is>
          <t>Nr</t>
        </is>
      </c>
      <c r="J10407" t="inlineStr"/>
      <c r="K10407" t="inlineStr"/>
      <c r="L10407" t="inlineStr">
        <is>
          <t>XP_041424928.1 uncharacterized protein LOC121395443 isoform X1 [Xenopus laevis]</t>
        </is>
      </c>
      <c r="M10407" t="n">
        <v>371</v>
      </c>
      <c r="N10407" t="inlineStr">
        <is>
          <t>Xenopus laevis</t>
        </is>
      </c>
      <c r="O10407" t="inlineStr">
        <is>
          <t>uncharacterized protein LOC121395443 isoform X1</t>
        </is>
      </c>
    </row>
    <row r="10408">
      <c r="A10408" t="inlineStr"/>
      <c r="B10408" t="inlineStr"/>
      <c r="C10408" t="inlineStr"/>
      <c r="D10408" t="inlineStr"/>
      <c r="E10408">
        <f>HYPERLINK("https://www.uniprot.org/uniprotkb/A0A8J1L3P5/entry", "A0A8J1L3P5")</f>
        <v/>
      </c>
      <c r="F10408" t="n">
        <v>36.3</v>
      </c>
      <c r="G10408" t="n">
        <v>388</v>
      </c>
      <c r="H10408" t="n">
        <v>2.44e-76</v>
      </c>
      <c r="I10408" t="inlineStr">
        <is>
          <t>TrEMBL</t>
        </is>
      </c>
      <c r="J10408" t="inlineStr">
        <is>
          <t>LOC121395092</t>
        </is>
      </c>
      <c r="K10408" t="inlineStr">
        <is>
          <t>A0A8J1L3P5_XENLA</t>
        </is>
      </c>
      <c r="L10408" t="inlineStr">
        <is>
          <t>tr|A0A8J1L3P5|A0A8J1L3P5_XENLA uncharacterized protein LOC121395092 OS=Xenopus laevis OX=8355 GN=LOC121395092 PE=4 SV=1</t>
        </is>
      </c>
      <c r="M10408" t="n">
        <v>408</v>
      </c>
      <c r="N10408" t="inlineStr">
        <is>
          <t>Xenopus laevis</t>
        </is>
      </c>
      <c r="O10408" t="inlineStr">
        <is>
          <t>uncharacterized protein LOC121395092</t>
        </is>
      </c>
    </row>
    <row r="10409">
      <c r="A10409" t="inlineStr"/>
      <c r="B10409" t="inlineStr"/>
      <c r="C10409" t="inlineStr"/>
      <c r="D10409" t="inlineStr"/>
      <c r="E10409">
        <f>HYPERLINK("https://www.ncbi.nlm.nih.gov/gene/?term=XP_041435407.1", "XP_041435407.1")</f>
        <v/>
      </c>
      <c r="F10409" t="n">
        <v>36.3</v>
      </c>
      <c r="G10409" t="n">
        <v>388</v>
      </c>
      <c r="H10409" t="n">
        <v>4.43e-76</v>
      </c>
      <c r="I10409" t="inlineStr">
        <is>
          <t>Nr</t>
        </is>
      </c>
      <c r="J10409" t="inlineStr"/>
      <c r="K10409" t="inlineStr"/>
      <c r="L10409" t="inlineStr">
        <is>
          <t>XP_041435407.1 uncharacterized protein LOC121399280 [Xenopus laevis]</t>
        </is>
      </c>
      <c r="M10409" t="n">
        <v>408</v>
      </c>
      <c r="N10409" t="inlineStr">
        <is>
          <t>Xenopus laevis</t>
        </is>
      </c>
      <c r="O10409" t="inlineStr">
        <is>
          <t>uncharacterized protein LOC121399280</t>
        </is>
      </c>
    </row>
    <row r="10410">
      <c r="A10410" t="inlineStr"/>
      <c r="B10410" t="inlineStr"/>
      <c r="C10410" t="inlineStr"/>
      <c r="D10410" t="inlineStr"/>
      <c r="E10410">
        <f>HYPERLINK("https://www.ncbi.nlm.nih.gov/gene/?term=XP_041420849.1", "XP_041420849.1")</f>
        <v/>
      </c>
      <c r="F10410" t="n">
        <v>35.1</v>
      </c>
      <c r="G10410" t="n">
        <v>382</v>
      </c>
      <c r="H10410" t="n">
        <v>4.77e-76</v>
      </c>
      <c r="I10410" t="inlineStr">
        <is>
          <t>Nr</t>
        </is>
      </c>
      <c r="J10410" t="inlineStr"/>
      <c r="K10410" t="inlineStr"/>
      <c r="L10410" t="inlineStr">
        <is>
          <t>XP_041420849.1 uncharacterized protein LOC121394310 isoform X1 [Xenopus laevis]</t>
        </is>
      </c>
      <c r="M10410" t="n">
        <v>473</v>
      </c>
      <c r="N10410" t="inlineStr">
        <is>
          <t>Xenopus laevis</t>
        </is>
      </c>
      <c r="O10410" t="inlineStr">
        <is>
          <t>uncharacterized protein LOC121394310 isoform X1</t>
        </is>
      </c>
    </row>
    <row r="10411">
      <c r="A10411" t="inlineStr"/>
      <c r="B10411" t="inlineStr"/>
      <c r="C10411" t="inlineStr"/>
      <c r="D10411" t="inlineStr"/>
      <c r="E10411">
        <f>HYPERLINK("https://www.ncbi.nlm.nih.gov/gene/?term=XP_041423604.1", "XP_041423604.1")</f>
        <v/>
      </c>
      <c r="F10411" t="n">
        <v>36.3</v>
      </c>
      <c r="G10411" t="n">
        <v>388</v>
      </c>
      <c r="H10411" t="n">
        <v>6.26e-76</v>
      </c>
      <c r="I10411" t="inlineStr">
        <is>
          <t>Nr</t>
        </is>
      </c>
      <c r="J10411" t="inlineStr"/>
      <c r="K10411" t="inlineStr"/>
      <c r="L10411" t="inlineStr">
        <is>
          <t>XP_041423604.1 uncharacterized protein LOC121395092 [Xenopus laevis]</t>
        </is>
      </c>
      <c r="M10411" t="n">
        <v>408</v>
      </c>
      <c r="N10411" t="inlineStr">
        <is>
          <t>Xenopus laevis</t>
        </is>
      </c>
      <c r="O10411" t="inlineStr">
        <is>
          <t>uncharacterized protein LOC121395092</t>
        </is>
      </c>
    </row>
    <row r="10412">
      <c r="A10412" t="inlineStr"/>
      <c r="B10412" t="inlineStr"/>
      <c r="C10412" t="inlineStr"/>
      <c r="D10412" t="inlineStr"/>
      <c r="E10412">
        <f>HYPERLINK("https://www.uniprot.org/uniprotkb/A0A8J1MRK2/entry", "A0A8J1MRK2")</f>
        <v/>
      </c>
      <c r="F10412" t="n">
        <v>36.1</v>
      </c>
      <c r="G10412" t="n">
        <v>388</v>
      </c>
      <c r="H10412" t="n">
        <v>9.64e-76</v>
      </c>
      <c r="I10412" t="inlineStr">
        <is>
          <t>TrEMBL</t>
        </is>
      </c>
      <c r="J10412" t="inlineStr">
        <is>
          <t>LOC121402136</t>
        </is>
      </c>
      <c r="K10412" t="inlineStr">
        <is>
          <t>A0A8J1MRK2_XENLA</t>
        </is>
      </c>
      <c r="L10412" t="inlineStr">
        <is>
          <t>tr|A0A8J1MRK2|A0A8J1MRK2_XENLA uncharacterized protein LOC121402136 OS=Xenopus laevis OX=8355 GN=LOC121402136 PE=4 SV=1</t>
        </is>
      </c>
      <c r="M10412" t="n">
        <v>408</v>
      </c>
      <c r="N10412" t="inlineStr">
        <is>
          <t>Xenopus laevis</t>
        </is>
      </c>
      <c r="O10412" t="inlineStr">
        <is>
          <t>uncharacterized protein LOC121402136</t>
        </is>
      </c>
    </row>
    <row r="10413">
      <c r="A10413" t="inlineStr"/>
      <c r="B10413" t="inlineStr"/>
      <c r="C10413" t="inlineStr"/>
      <c r="D10413" t="inlineStr"/>
      <c r="E10413">
        <f>HYPERLINK("https://www.uniprot.org/uniprotkb/A0A8J1KSR2/entry", "A0A8J1KSR2")</f>
        <v/>
      </c>
      <c r="F10413" t="n">
        <v>34</v>
      </c>
      <c r="G10413" t="n">
        <v>391</v>
      </c>
      <c r="H10413" t="n">
        <v>2.15e-75</v>
      </c>
      <c r="I10413" t="inlineStr">
        <is>
          <t>TrEMBL</t>
        </is>
      </c>
      <c r="J10413" t="inlineStr">
        <is>
          <t>LOC121394192</t>
        </is>
      </c>
      <c r="K10413" t="inlineStr">
        <is>
          <t>A0A8J1KSR2_XENLA</t>
        </is>
      </c>
      <c r="L10413" t="inlineStr">
        <is>
          <t>tr|A0A8J1KSR2|A0A8J1KSR2_XENLA uncharacterized protein LOC121394192 OS=Xenopus laevis OX=8355 GN=LOC121394192 PE=4 SV=1</t>
        </is>
      </c>
      <c r="M10413" t="n">
        <v>412</v>
      </c>
      <c r="N10413" t="inlineStr">
        <is>
          <t>Xenopus laevis</t>
        </is>
      </c>
      <c r="O10413" t="inlineStr">
        <is>
          <t>uncharacterized protein LOC121394192</t>
        </is>
      </c>
    </row>
    <row r="10414">
      <c r="A10414" t="inlineStr"/>
      <c r="B10414" t="inlineStr"/>
      <c r="C10414" t="inlineStr"/>
      <c r="D10414" t="inlineStr"/>
      <c r="E10414">
        <f>HYPERLINK("https://www.uniprot.org/uniprotkb/A0A803KCU3/entry", "A0A803KCU3")</f>
        <v/>
      </c>
      <c r="F10414" t="n">
        <v>38.9</v>
      </c>
      <c r="G10414" t="n">
        <v>383</v>
      </c>
      <c r="H10414" t="n">
        <v>5.57e-75</v>
      </c>
      <c r="I10414" t="inlineStr">
        <is>
          <t>TrEMBL</t>
        </is>
      </c>
      <c r="J10414" t="inlineStr"/>
      <c r="K10414" t="inlineStr">
        <is>
          <t>A0A803KCU3_XENTR</t>
        </is>
      </c>
      <c r="L10414" t="inlineStr">
        <is>
          <t>tr|A0A803KCU3|A0A803KCU3_XENTR Reverse transcriptase domain-containing protein OS=Xenopus tropicalis OX=8364 PE=4 SV=1</t>
        </is>
      </c>
      <c r="M10414" t="n">
        <v>711</v>
      </c>
      <c r="N10414" t="inlineStr">
        <is>
          <t>Xenopus tropicalis</t>
        </is>
      </c>
      <c r="O10414" t="inlineStr">
        <is>
          <t>Reverse transcriptase domain-containing protein</t>
        </is>
      </c>
    </row>
    <row r="10415">
      <c r="A10415" t="inlineStr"/>
      <c r="B10415" t="inlineStr"/>
      <c r="C10415" t="inlineStr"/>
      <c r="D10415" t="inlineStr"/>
      <c r="E10415">
        <f>HYPERLINK("https://www.ncbi.nlm.nih.gov/gene/?term=XP_053329021.1", "XP_053329021.1")</f>
        <v/>
      </c>
      <c r="F10415" t="n">
        <v>60.6</v>
      </c>
      <c r="G10415" t="n">
        <v>155</v>
      </c>
      <c r="H10415" t="n">
        <v>9.57e-62</v>
      </c>
      <c r="I10415" t="inlineStr">
        <is>
          <t>Nr</t>
        </is>
      </c>
      <c r="J10415" t="inlineStr"/>
      <c r="K10415" t="inlineStr"/>
      <c r="L10415" t="inlineStr">
        <is>
          <t>XP_053329021.1 H-2 class II histocompatibility antigen, E-S beta chain-like [Spea bombifrons]</t>
        </is>
      </c>
      <c r="M10415" t="n">
        <v>267</v>
      </c>
      <c r="N10415" t="inlineStr">
        <is>
          <t>Spea bombifrons</t>
        </is>
      </c>
      <c r="O10415" t="inlineStr">
        <is>
          <t>H-2 class II histocompatibility antigen, E-S beta chain-like</t>
        </is>
      </c>
    </row>
    <row r="10416">
      <c r="A10416" t="inlineStr"/>
      <c r="B10416" t="inlineStr"/>
      <c r="C10416" t="inlineStr"/>
      <c r="D10416" t="inlineStr"/>
      <c r="E10416">
        <f>HYPERLINK("https://www.ncbi.nlm.nih.gov/gene/?term=XP_044124324.1", "XP_044124324.1")</f>
        <v/>
      </c>
      <c r="F10416" t="n">
        <v>55.1</v>
      </c>
      <c r="G10416" t="n">
        <v>167</v>
      </c>
      <c r="H10416" t="n">
        <v>3.73e-60</v>
      </c>
      <c r="I10416" t="inlineStr">
        <is>
          <t>Nr</t>
        </is>
      </c>
      <c r="J10416" t="inlineStr"/>
      <c r="K10416" t="inlineStr"/>
      <c r="L10416" t="inlineStr">
        <is>
          <t>XP_044124324.1 H-2 class II histocompatibility antigen, E-S beta chain-like [Bufo gargarizans]</t>
        </is>
      </c>
      <c r="M10416" t="n">
        <v>273</v>
      </c>
      <c r="N10416" t="inlineStr">
        <is>
          <t>Bufo gargarizans</t>
        </is>
      </c>
      <c r="O10416" t="inlineStr">
        <is>
          <t>H-2 class II histocompatibility antigen, E-S beta chain-like</t>
        </is>
      </c>
    </row>
    <row r="10417">
      <c r="A10417" t="inlineStr"/>
      <c r="B10417" t="inlineStr"/>
      <c r="C10417" t="inlineStr"/>
      <c r="D10417" t="inlineStr"/>
      <c r="E10417">
        <f>HYPERLINK("https://www.ncbi.nlm.nih.gov/gene/?term=XP_018413623.1", "XP_018413623.1")</f>
        <v/>
      </c>
      <c r="F10417" t="n">
        <v>53</v>
      </c>
      <c r="G10417" t="n">
        <v>168</v>
      </c>
      <c r="H10417" t="n">
        <v>1.31e-59</v>
      </c>
      <c r="I10417" t="inlineStr">
        <is>
          <t>Nr</t>
        </is>
      </c>
      <c r="J10417" t="inlineStr"/>
      <c r="K10417" t="inlineStr"/>
      <c r="L10417" t="inlineStr">
        <is>
          <t>XP_018413623.1 PREDICTED: HLA class II histocompatibility antigen, DRB1-15 beta chain-like [Nanorana parkeri]</t>
        </is>
      </c>
      <c r="M10417" t="n">
        <v>234</v>
      </c>
      <c r="N10417" t="inlineStr">
        <is>
          <t>Nanorana parkeri</t>
        </is>
      </c>
      <c r="O10417" t="inlineStr">
        <is>
          <t>PREDICTED: HLA class II histocompatibility antigen, DRB1-15 beta chain-like</t>
        </is>
      </c>
    </row>
    <row r="10418">
      <c r="A10418" t="inlineStr"/>
      <c r="B10418" t="inlineStr"/>
      <c r="C10418" t="inlineStr"/>
      <c r="D10418" t="inlineStr"/>
      <c r="E10418">
        <f>HYPERLINK("https://www.uniprot.org/uniprotkb/A0A8C5Q9Z2/entry", "A0A8C5Q9Z2")</f>
        <v/>
      </c>
      <c r="F10418" t="n">
        <v>56.1</v>
      </c>
      <c r="G10418" t="n">
        <v>164</v>
      </c>
      <c r="H10418" t="n">
        <v>1.11e-57</v>
      </c>
      <c r="I10418" t="inlineStr">
        <is>
          <t>TrEMBL</t>
        </is>
      </c>
      <c r="J10418" t="inlineStr"/>
      <c r="K10418" t="inlineStr">
        <is>
          <t>A0A8C5Q9Z2_9ANUR</t>
        </is>
      </c>
      <c r="L10418" t="inlineStr">
        <is>
          <t>tr|A0A8C5Q9Z2|A0A8C5Q9Z2_9ANUR Ig-like domain-containing protein OS=Leptobrachium leishanense OX=445787 PE=4 SV=1</t>
        </is>
      </c>
      <c r="M10418" t="n">
        <v>262</v>
      </c>
      <c r="N10418" t="inlineStr">
        <is>
          <t>Leptobrachium leishanense</t>
        </is>
      </c>
      <c r="O10418" t="inlineStr">
        <is>
          <t>Ig-like domain-containing protein</t>
        </is>
      </c>
    </row>
    <row r="10419">
      <c r="A10419" t="inlineStr"/>
      <c r="B10419" t="inlineStr"/>
      <c r="C10419" t="inlineStr"/>
      <c r="D10419" t="inlineStr"/>
      <c r="E10419">
        <f>HYPERLINK("https://www.uniprot.org/uniprotkb/A0A8C5Q8J4/entry", "A0A8C5Q8J4")</f>
        <v/>
      </c>
      <c r="F10419" t="n">
        <v>56.1</v>
      </c>
      <c r="G10419" t="n">
        <v>164</v>
      </c>
      <c r="H10419" t="n">
        <v>2.37e-57</v>
      </c>
      <c r="I10419" t="inlineStr">
        <is>
          <t>TrEMBL</t>
        </is>
      </c>
      <c r="J10419" t="inlineStr"/>
      <c r="K10419" t="inlineStr">
        <is>
          <t>A0A8C5Q8J4_9ANUR</t>
        </is>
      </c>
      <c r="L10419" t="inlineStr">
        <is>
          <t>tr|A0A8C5Q8J4|A0A8C5Q8J4_9ANUR Ig-like domain-containing protein OS=Leptobrachium leishanense OX=445787 PE=4 SV=1</t>
        </is>
      </c>
      <c r="M10419" t="n">
        <v>288</v>
      </c>
      <c r="N10419" t="inlineStr">
        <is>
          <t>Leptobrachium leishanense</t>
        </is>
      </c>
      <c r="O10419" t="inlineStr">
        <is>
          <t>Ig-like domain-containing protein</t>
        </is>
      </c>
    </row>
    <row r="10420">
      <c r="A10420" t="inlineStr"/>
      <c r="B10420" t="inlineStr"/>
      <c r="C10420" t="inlineStr"/>
      <c r="D10420" t="inlineStr"/>
      <c r="E10420">
        <f>HYPERLINK("https://www.ncbi.nlm.nih.gov/gene/?term=XP_040298530.1", "XP_040298530.1")</f>
        <v/>
      </c>
      <c r="F10420" t="n">
        <v>53.6</v>
      </c>
      <c r="G10420" t="n">
        <v>168</v>
      </c>
      <c r="H10420" t="n">
        <v>2.78e-57</v>
      </c>
      <c r="I10420" t="inlineStr">
        <is>
          <t>Nr</t>
        </is>
      </c>
      <c r="J10420" t="inlineStr"/>
      <c r="K10420" t="inlineStr"/>
      <c r="L10420" t="inlineStr">
        <is>
          <t>XP_040298530.1 H-2 class II histocompatibility antigen, E-S beta chain-like isoform X1 [Bufo bufo]</t>
        </is>
      </c>
      <c r="M10420" t="n">
        <v>273</v>
      </c>
      <c r="N10420" t="inlineStr">
        <is>
          <t>Bufo bufo</t>
        </is>
      </c>
      <c r="O10420" t="inlineStr">
        <is>
          <t>H-2 class II histocompatibility antigen, E-S beta chain-like isoform X1</t>
        </is>
      </c>
    </row>
    <row r="10421">
      <c r="A10421" t="inlineStr"/>
      <c r="B10421" t="inlineStr"/>
      <c r="C10421" t="inlineStr"/>
      <c r="D10421" t="inlineStr"/>
      <c r="E10421">
        <f>HYPERLINK("https://www.ncbi.nlm.nih.gov/gene/?term=XP_040181229.1", "XP_040181229.1")</f>
        <v/>
      </c>
      <c r="F10421" t="n">
        <v>54.2</v>
      </c>
      <c r="G10421" t="n">
        <v>168</v>
      </c>
      <c r="H10421" t="n">
        <v>9.34e-57</v>
      </c>
      <c r="I10421" t="inlineStr">
        <is>
          <t>Nr</t>
        </is>
      </c>
      <c r="J10421" t="inlineStr"/>
      <c r="K10421" t="inlineStr"/>
      <c r="L10421" t="inlineStr">
        <is>
          <t>XP_040181229.1 H-2 class II histocompatibility antigen, E-S beta chain-like [Rana temporaria]</t>
        </is>
      </c>
      <c r="M10421" t="n">
        <v>303</v>
      </c>
      <c r="N10421" t="inlineStr">
        <is>
          <t>Rana temporaria</t>
        </is>
      </c>
      <c r="O10421" t="inlineStr">
        <is>
          <t>H-2 class II histocompatibility antigen, E-S beta chain-like</t>
        </is>
      </c>
    </row>
    <row r="10422">
      <c r="A10422" t="inlineStr"/>
      <c r="B10422" t="inlineStr"/>
      <c r="C10422" t="inlineStr"/>
      <c r="D10422" t="inlineStr"/>
      <c r="E10422">
        <f>HYPERLINK("https://www.uniprot.org/uniprotkb/A0A8C5Q944/entry", "A0A8C5Q944")</f>
        <v/>
      </c>
      <c r="F10422" t="n">
        <v>58.8</v>
      </c>
      <c r="G10422" t="n">
        <v>153</v>
      </c>
      <c r="H10422" t="n">
        <v>1.17e-56</v>
      </c>
      <c r="I10422" t="inlineStr">
        <is>
          <t>TrEMBL</t>
        </is>
      </c>
      <c r="J10422" t="inlineStr"/>
      <c r="K10422" t="inlineStr">
        <is>
          <t>A0A8C5Q944_9ANUR</t>
        </is>
      </c>
      <c r="L10422" t="inlineStr">
        <is>
          <t>tr|A0A8C5Q944|A0A8C5Q944_9ANUR Ig-like domain-containing protein OS=Leptobrachium leishanense OX=445787 PE=4 SV=1</t>
        </is>
      </c>
      <c r="M10422" t="n">
        <v>283</v>
      </c>
      <c r="N10422" t="inlineStr">
        <is>
          <t>Leptobrachium leishanense</t>
        </is>
      </c>
      <c r="O10422" t="inlineStr">
        <is>
          <t>Ig-like domain-containing protein</t>
        </is>
      </c>
    </row>
    <row r="10423">
      <c r="A10423" t="inlineStr"/>
      <c r="B10423" t="inlineStr"/>
      <c r="C10423" t="inlineStr"/>
      <c r="D10423" t="inlineStr"/>
      <c r="E10423">
        <f>HYPERLINK("https://www.ncbi.nlm.nih.gov/gene/?term=XP_044161513.1", "XP_044161513.1")</f>
        <v/>
      </c>
      <c r="F10423" t="n">
        <v>53.6</v>
      </c>
      <c r="G10423" t="n">
        <v>168</v>
      </c>
      <c r="H10423" t="n">
        <v>4.64e-56</v>
      </c>
      <c r="I10423" t="inlineStr">
        <is>
          <t>Nr</t>
        </is>
      </c>
      <c r="J10423" t="inlineStr"/>
      <c r="K10423" t="inlineStr"/>
      <c r="L10423" t="inlineStr">
        <is>
          <t>XP_044161513.1 H-2 class II histocompatibility antigen, E-S beta chain-like isoform X1 [Bufo gargarizans]</t>
        </is>
      </c>
      <c r="M10423" t="n">
        <v>274</v>
      </c>
      <c r="N10423" t="inlineStr">
        <is>
          <t>Bufo gargarizans</t>
        </is>
      </c>
      <c r="O10423" t="inlineStr">
        <is>
          <t>H-2 class II histocompatibility antigen, E-S beta chain-like isoform X1</t>
        </is>
      </c>
    </row>
    <row r="10424">
      <c r="A10424" t="inlineStr"/>
      <c r="B10424" t="inlineStr"/>
      <c r="C10424" t="inlineStr"/>
      <c r="D10424" t="inlineStr"/>
      <c r="E10424">
        <f>HYPERLINK("https://www.ncbi.nlm.nih.gov/gene/?term=XP_044124474.1", "XP_044124474.1")</f>
        <v/>
      </c>
      <c r="F10424" t="n">
        <v>53.3</v>
      </c>
      <c r="G10424" t="n">
        <v>167</v>
      </c>
      <c r="H10424" t="n">
        <v>6.38e-56</v>
      </c>
      <c r="I10424" t="inlineStr">
        <is>
          <t>Nr</t>
        </is>
      </c>
      <c r="J10424" t="inlineStr"/>
      <c r="K10424" t="inlineStr"/>
      <c r="L10424" t="inlineStr">
        <is>
          <t>XP_044124474.1 H-2 class II histocompatibility antigen, E-S beta chain-like [Bufo gargarizans]</t>
        </is>
      </c>
      <c r="M10424" t="n">
        <v>273</v>
      </c>
      <c r="N10424" t="inlineStr">
        <is>
          <t>Bufo gargarizans</t>
        </is>
      </c>
      <c r="O10424" t="inlineStr">
        <is>
          <t>H-2 class II histocompatibility antigen, E-S beta chain-like</t>
        </is>
      </c>
    </row>
    <row r="10425">
      <c r="A10425" t="inlineStr"/>
      <c r="B10425" t="inlineStr"/>
      <c r="C10425" t="inlineStr"/>
      <c r="D10425" t="inlineStr"/>
      <c r="E10425">
        <f>HYPERLINK("https://www.ncbi.nlm.nih.gov/gene/?term=XP_040298531.1", "XP_040298531.1")</f>
        <v/>
      </c>
      <c r="F10425" t="n">
        <v>55.5</v>
      </c>
      <c r="G10425" t="n">
        <v>155</v>
      </c>
      <c r="H10425" t="n">
        <v>8.170000000000001e-56</v>
      </c>
      <c r="I10425" t="inlineStr">
        <is>
          <t>Nr</t>
        </is>
      </c>
      <c r="J10425" t="inlineStr"/>
      <c r="K10425" t="inlineStr"/>
      <c r="L10425" t="inlineStr">
        <is>
          <t>XP_040298531.1 HLA class II histocompatibility antigen, DRB1 beta chain-like isoform X2 [Bufo bufo]</t>
        </is>
      </c>
      <c r="M10425" t="n">
        <v>223</v>
      </c>
      <c r="N10425" t="inlineStr">
        <is>
          <t>Bufo bufo</t>
        </is>
      </c>
      <c r="O10425" t="inlineStr">
        <is>
          <t>HLA class II histocompatibility antigen, DRB1 beta chain-like isoform X2</t>
        </is>
      </c>
    </row>
    <row r="10426">
      <c r="A10426" t="inlineStr"/>
      <c r="B10426" t="inlineStr"/>
      <c r="C10426" t="inlineStr"/>
      <c r="D10426" t="inlineStr"/>
      <c r="E10426">
        <f>HYPERLINK("https://www.ncbi.nlm.nih.gov/gene/?term=XP_044124203.1", "XP_044124203.1")</f>
        <v/>
      </c>
      <c r="F10426" t="n">
        <v>53.8</v>
      </c>
      <c r="G10426" t="n">
        <v>169</v>
      </c>
      <c r="H10426" t="n">
        <v>2.15e-55</v>
      </c>
      <c r="I10426" t="inlineStr">
        <is>
          <t>Nr</t>
        </is>
      </c>
      <c r="J10426" t="inlineStr"/>
      <c r="K10426" t="inlineStr"/>
      <c r="L10426" t="inlineStr">
        <is>
          <t>XP_044124203.1 H-2 class II histocompatibility antigen, E-S beta chain-like [Bufo gargarizans]</t>
        </is>
      </c>
      <c r="M10426" t="n">
        <v>267</v>
      </c>
      <c r="N10426" t="inlineStr">
        <is>
          <t>Bufo gargarizans</t>
        </is>
      </c>
      <c r="O10426" t="inlineStr">
        <is>
          <t>H-2 class II histocompatibility antigen, E-S beta chain-like</t>
        </is>
      </c>
    </row>
    <row r="10427">
      <c r="A10427" t="inlineStr"/>
      <c r="B10427" t="inlineStr"/>
      <c r="C10427" t="inlineStr"/>
      <c r="D10427" t="inlineStr"/>
      <c r="E10427">
        <f>HYPERLINK("https://www.uniprot.org/uniprotkb/A0A141QRZ3/entry", "A0A141QRZ3")</f>
        <v/>
      </c>
      <c r="F10427" t="n">
        <v>52.7</v>
      </c>
      <c r="G10427" t="n">
        <v>167</v>
      </c>
      <c r="H10427" t="n">
        <v>1.61e-54</v>
      </c>
      <c r="I10427" t="inlineStr">
        <is>
          <t>TrEMBL</t>
        </is>
      </c>
      <c r="J10427" t="inlineStr">
        <is>
          <t>RhmaDBB</t>
        </is>
      </c>
      <c r="K10427" t="inlineStr">
        <is>
          <t>A0A141QRZ3_RHIMB</t>
        </is>
      </c>
      <c r="L10427" t="inlineStr">
        <is>
          <t>tr|A0A141QRZ3|A0A141QRZ3_RHIMB MHC class II beta chain OS=Rhinella marina OX=8386 GN=RhmaDBB PE=2 SV=1</t>
        </is>
      </c>
      <c r="M10427" t="n">
        <v>273</v>
      </c>
      <c r="N10427" t="inlineStr">
        <is>
          <t>Rhinella marina</t>
        </is>
      </c>
      <c r="O10427" t="inlineStr">
        <is>
          <t>MHC class II beta chain</t>
        </is>
      </c>
    </row>
    <row r="10428">
      <c r="A10428" t="inlineStr"/>
      <c r="B10428" t="inlineStr"/>
      <c r="C10428" t="inlineStr"/>
      <c r="D10428" t="inlineStr"/>
      <c r="E10428">
        <f>HYPERLINK("https://www.ncbi.nlm.nih.gov/gene/?term=AMD82123.1", "AMD82123.1")</f>
        <v/>
      </c>
      <c r="F10428" t="n">
        <v>52.7</v>
      </c>
      <c r="G10428" t="n">
        <v>167</v>
      </c>
      <c r="H10428" t="n">
        <v>4.14e-54</v>
      </c>
      <c r="I10428" t="inlineStr">
        <is>
          <t>Nr</t>
        </is>
      </c>
      <c r="J10428" t="inlineStr"/>
      <c r="K10428" t="inlineStr"/>
      <c r="L10428" t="inlineStr">
        <is>
          <t>AMD82123.1 MHC class II beta chain [Rhinella marina]</t>
        </is>
      </c>
      <c r="M10428" t="n">
        <v>273</v>
      </c>
      <c r="N10428" t="inlineStr">
        <is>
          <t>Rhinella marina</t>
        </is>
      </c>
      <c r="O10428" t="inlineStr">
        <is>
          <t>MHC class II beta chain</t>
        </is>
      </c>
    </row>
    <row r="10429">
      <c r="A10429" t="inlineStr"/>
      <c r="B10429" t="inlineStr"/>
      <c r="C10429" t="inlineStr"/>
      <c r="D10429" t="inlineStr"/>
      <c r="E10429">
        <f>HYPERLINK("https://www.uniprot.org/uniprotkb/A0A8C5Q7I7/entry", "A0A8C5Q7I7")</f>
        <v/>
      </c>
      <c r="F10429" t="n">
        <v>52.4</v>
      </c>
      <c r="G10429" t="n">
        <v>164</v>
      </c>
      <c r="H10429" t="n">
        <v>2.52e-53</v>
      </c>
      <c r="I10429" t="inlineStr">
        <is>
          <t>TrEMBL</t>
        </is>
      </c>
      <c r="J10429" t="inlineStr"/>
      <c r="K10429" t="inlineStr">
        <is>
          <t>A0A8C5Q7I7_9ANUR</t>
        </is>
      </c>
      <c r="L10429" t="inlineStr">
        <is>
          <t>tr|A0A8C5Q7I7|A0A8C5Q7I7_9ANUR Ig-like domain-containing protein OS=Leptobrachium leishanense OX=445787 PE=4 SV=1</t>
        </is>
      </c>
      <c r="M10429" t="n">
        <v>248</v>
      </c>
      <c r="N10429" t="inlineStr">
        <is>
          <t>Leptobrachium leishanense</t>
        </is>
      </c>
      <c r="O10429" t="inlineStr">
        <is>
          <t>Ig-like domain-containing protein</t>
        </is>
      </c>
    </row>
    <row r="10430">
      <c r="A10430" t="inlineStr"/>
      <c r="B10430" t="inlineStr"/>
      <c r="C10430" t="inlineStr"/>
      <c r="D10430" t="inlineStr"/>
      <c r="E10430">
        <f>HYPERLINK("https://www.uniprot.org/uniprotkb/A0A141QRZ2/entry", "A0A141QRZ2")</f>
        <v/>
      </c>
      <c r="F10430" t="n">
        <v>50</v>
      </c>
      <c r="G10430" t="n">
        <v>168</v>
      </c>
      <c r="H10430" t="n">
        <v>8.539999999999999e-53</v>
      </c>
      <c r="I10430" t="inlineStr">
        <is>
          <t>TrEMBL</t>
        </is>
      </c>
      <c r="J10430" t="inlineStr">
        <is>
          <t>RhmaDAB</t>
        </is>
      </c>
      <c r="K10430" t="inlineStr">
        <is>
          <t>A0A141QRZ2_RHIMB</t>
        </is>
      </c>
      <c r="L10430" t="inlineStr">
        <is>
          <t>tr|A0A141QRZ2|A0A141QRZ2_RHIMB MHC class II beta chain OS=Rhinella marina OX=8386 GN=RhmaDAB PE=2 SV=1</t>
        </is>
      </c>
      <c r="M10430" t="n">
        <v>266</v>
      </c>
      <c r="N10430" t="inlineStr">
        <is>
          <t>Rhinella marina</t>
        </is>
      </c>
      <c r="O10430" t="inlineStr">
        <is>
          <t>MHC class II beta chain</t>
        </is>
      </c>
    </row>
    <row r="10431">
      <c r="A10431" t="inlineStr"/>
      <c r="B10431" t="inlineStr"/>
      <c r="C10431" t="inlineStr"/>
      <c r="D10431" t="inlineStr"/>
      <c r="E10431">
        <f>HYPERLINK("https://www.ncbi.nlm.nih.gov/gene/?term=AMD82122.1", "AMD82122.1")</f>
        <v/>
      </c>
      <c r="F10431" t="n">
        <v>50</v>
      </c>
      <c r="G10431" t="n">
        <v>168</v>
      </c>
      <c r="H10431" t="n">
        <v>2.19e-52</v>
      </c>
      <c r="I10431" t="inlineStr">
        <is>
          <t>Nr</t>
        </is>
      </c>
      <c r="J10431" t="inlineStr"/>
      <c r="K10431" t="inlineStr"/>
      <c r="L10431" t="inlineStr">
        <is>
          <t>AMD82122.1 MHC class II beta chain [Rhinella marina]</t>
        </is>
      </c>
      <c r="M10431" t="n">
        <v>266</v>
      </c>
      <c r="N10431" t="inlineStr">
        <is>
          <t>Rhinella marina</t>
        </is>
      </c>
      <c r="O10431" t="inlineStr">
        <is>
          <t>MHC class II beta chain</t>
        </is>
      </c>
    </row>
    <row r="10432">
      <c r="A10432" t="inlineStr"/>
      <c r="B10432" t="inlineStr"/>
      <c r="C10432" t="inlineStr"/>
      <c r="D10432" t="inlineStr"/>
      <c r="E10432">
        <f>HYPERLINK("https://www.uniprot.org/uniprotkb/A0A141QRZ1/entry", "A0A141QRZ1")</f>
        <v/>
      </c>
      <c r="F10432" t="n">
        <v>50</v>
      </c>
      <c r="G10432" t="n">
        <v>168</v>
      </c>
      <c r="H10432" t="n">
        <v>2.42e-52</v>
      </c>
      <c r="I10432" t="inlineStr">
        <is>
          <t>TrEMBL</t>
        </is>
      </c>
      <c r="J10432" t="inlineStr">
        <is>
          <t>RhmaDAB</t>
        </is>
      </c>
      <c r="K10432" t="inlineStr">
        <is>
          <t>A0A141QRZ1_RHIMB</t>
        </is>
      </c>
      <c r="L10432" t="inlineStr">
        <is>
          <t>tr|A0A141QRZ1|A0A141QRZ1_RHIMB MHC class II beta chain OS=Rhinella marina OX=8386 GN=RhmaDAB PE=2 SV=1</t>
        </is>
      </c>
      <c r="M10432" t="n">
        <v>266</v>
      </c>
      <c r="N10432" t="inlineStr">
        <is>
          <t>Rhinella marina</t>
        </is>
      </c>
      <c r="O10432" t="inlineStr">
        <is>
          <t>MHC class II beta chain</t>
        </is>
      </c>
    </row>
    <row r="10433">
      <c r="A10433" t="inlineStr"/>
      <c r="B10433" t="inlineStr"/>
      <c r="C10433" t="inlineStr"/>
      <c r="D10433" t="inlineStr"/>
      <c r="E10433">
        <f>HYPERLINK("https://www.uniprot.org/uniprotkb/A0A141QRZ0/entry", "A0A141QRZ0")</f>
        <v/>
      </c>
      <c r="F10433" t="n">
        <v>50</v>
      </c>
      <c r="G10433" t="n">
        <v>168</v>
      </c>
      <c r="H10433" t="n">
        <v>2.42e-52</v>
      </c>
      <c r="I10433" t="inlineStr">
        <is>
          <t>TrEMBL</t>
        </is>
      </c>
      <c r="J10433" t="inlineStr">
        <is>
          <t>RhmaDAB</t>
        </is>
      </c>
      <c r="K10433" t="inlineStr">
        <is>
          <t>A0A141QRZ0_RHIMB</t>
        </is>
      </c>
      <c r="L10433" t="inlineStr">
        <is>
          <t>tr|A0A141QRZ0|A0A141QRZ0_RHIMB MHC class II beta chain OS=Rhinella marina OX=8386 GN=RhmaDAB PE=2 SV=1</t>
        </is>
      </c>
      <c r="M10433" t="n">
        <v>266</v>
      </c>
      <c r="N10433" t="inlineStr">
        <is>
          <t>Rhinella marina</t>
        </is>
      </c>
      <c r="O10433" t="inlineStr">
        <is>
          <t>MHC class II beta chain</t>
        </is>
      </c>
    </row>
    <row r="10434">
      <c r="A10434" t="inlineStr"/>
      <c r="B10434" t="inlineStr"/>
      <c r="C10434" t="inlineStr"/>
      <c r="D10434" t="inlineStr"/>
      <c r="E10434">
        <f>HYPERLINK("https://www.uniprot.org/uniprotkb/A0A6P8Q110/entry", "A0A6P8Q110")</f>
        <v/>
      </c>
      <c r="F10434" t="n">
        <v>55.4</v>
      </c>
      <c r="G10434" t="n">
        <v>166</v>
      </c>
      <c r="H10434" t="n">
        <v>5.76e-52</v>
      </c>
      <c r="I10434" t="inlineStr">
        <is>
          <t>TrEMBL</t>
        </is>
      </c>
      <c r="J10434" t="inlineStr">
        <is>
          <t>LOC117350540</t>
        </is>
      </c>
      <c r="K10434" t="inlineStr">
        <is>
          <t>A0A6P8Q110_GEOSA</t>
        </is>
      </c>
      <c r="L10434" t="inlineStr">
        <is>
          <t>tr|A0A6P8Q110|A0A6P8Q110_GEOSA H-2 class II histocompatibility antigen, E-S beta chain-like OS=Geotrypetes seraphini OX=260995 GN=LOC117350540 PE=4 SV=1</t>
        </is>
      </c>
      <c r="M10434" t="n">
        <v>272</v>
      </c>
      <c r="N10434" t="inlineStr">
        <is>
          <t>Geotrypetes seraphini</t>
        </is>
      </c>
      <c r="O10434" t="inlineStr">
        <is>
          <t>H-2 class II histocompatibility antigen, E-S beta chain-like</t>
        </is>
      </c>
    </row>
    <row r="10435">
      <c r="A10435" t="inlineStr"/>
      <c r="B10435" t="inlineStr"/>
      <c r="C10435" t="inlineStr"/>
      <c r="D10435" t="inlineStr"/>
      <c r="E10435">
        <f>HYPERLINK("https://www.ncbi.nlm.nih.gov/gene/?term=AMD82121.1", "AMD82121.1")</f>
        <v/>
      </c>
      <c r="F10435" t="n">
        <v>50</v>
      </c>
      <c r="G10435" t="n">
        <v>168</v>
      </c>
      <c r="H10435" t="n">
        <v>6.219999999999999e-52</v>
      </c>
      <c r="I10435" t="inlineStr">
        <is>
          <t>Nr</t>
        </is>
      </c>
      <c r="J10435" t="inlineStr"/>
      <c r="K10435" t="inlineStr"/>
      <c r="L10435" t="inlineStr">
        <is>
          <t>AMD82121.1 MHC class II beta chain [Rhinella marina]</t>
        </is>
      </c>
      <c r="M10435" t="n">
        <v>266</v>
      </c>
      <c r="N10435" t="inlineStr">
        <is>
          <t>Rhinella marina</t>
        </is>
      </c>
      <c r="O10435" t="inlineStr">
        <is>
          <t>MHC class II beta chain</t>
        </is>
      </c>
    </row>
    <row r="10436">
      <c r="A10436" t="inlineStr"/>
      <c r="B10436" t="inlineStr"/>
      <c r="C10436" t="inlineStr"/>
      <c r="D10436" t="inlineStr"/>
      <c r="E10436">
        <f>HYPERLINK("https://www.ncbi.nlm.nih.gov/gene/?term=AMD82120.1", "AMD82120.1")</f>
        <v/>
      </c>
      <c r="F10436" t="n">
        <v>50</v>
      </c>
      <c r="G10436" t="n">
        <v>168</v>
      </c>
      <c r="H10436" t="n">
        <v>6.219999999999999e-52</v>
      </c>
      <c r="I10436" t="inlineStr">
        <is>
          <t>Nr</t>
        </is>
      </c>
      <c r="J10436" t="inlineStr"/>
      <c r="K10436" t="inlineStr"/>
      <c r="L10436" t="inlineStr">
        <is>
          <t>AMD82120.1 MHC class II beta chain [Rhinella marina]</t>
        </is>
      </c>
      <c r="M10436" t="n">
        <v>266</v>
      </c>
      <c r="N10436" t="inlineStr">
        <is>
          <t>Rhinella marina</t>
        </is>
      </c>
      <c r="O10436" t="inlineStr">
        <is>
          <t>MHC class II beta chain</t>
        </is>
      </c>
    </row>
    <row r="10437">
      <c r="A10437" t="inlineStr"/>
      <c r="B10437" t="inlineStr"/>
      <c r="C10437" t="inlineStr"/>
      <c r="D10437" t="inlineStr"/>
      <c r="E10437">
        <f>HYPERLINK("https://www.uniprot.org/uniprotkb/A0A6P8NU03/entry", "A0A6P8NU03")</f>
        <v/>
      </c>
      <c r="F10437" t="n">
        <v>54.4</v>
      </c>
      <c r="G10437" t="n">
        <v>160</v>
      </c>
      <c r="H10437" t="n">
        <v>1.09e-51</v>
      </c>
      <c r="I10437" t="inlineStr">
        <is>
          <t>TrEMBL</t>
        </is>
      </c>
      <c r="J10437" t="inlineStr">
        <is>
          <t>LOC117350051</t>
        </is>
      </c>
      <c r="K10437" t="inlineStr">
        <is>
          <t>A0A6P8NU03_GEOSA</t>
        </is>
      </c>
      <c r="L10437" t="inlineStr">
        <is>
          <t>tr|A0A6P8NU03|A0A6P8NU03_GEOSA DLA class II histocompatibility antigen, DR-1 beta chain-like OS=Geotrypetes seraphini OX=260995 GN=LOC117350051 PE=4 SV=1</t>
        </is>
      </c>
      <c r="M10437" t="n">
        <v>270</v>
      </c>
      <c r="N10437" t="inlineStr">
        <is>
          <t>Geotrypetes seraphini</t>
        </is>
      </c>
      <c r="O10437" t="inlineStr">
        <is>
          <t>DLA class II histocompatibility antigen, DR-1 beta chain-like</t>
        </is>
      </c>
    </row>
    <row r="10438">
      <c r="A10438" t="inlineStr"/>
      <c r="B10438" t="inlineStr"/>
      <c r="C10438" t="inlineStr"/>
      <c r="D10438" t="inlineStr"/>
      <c r="E10438">
        <f>HYPERLINK("https://www.uniprot.org/uniprotkb/A0A2H4WPG6/entry", "A0A2H4WPG6")</f>
        <v/>
      </c>
      <c r="F10438" t="n">
        <v>60.3</v>
      </c>
      <c r="G10438" t="n">
        <v>136</v>
      </c>
      <c r="H10438" t="n">
        <v>1.12e-51</v>
      </c>
      <c r="I10438" t="inlineStr">
        <is>
          <t>TrEMBL</t>
        </is>
      </c>
      <c r="J10438" t="inlineStr"/>
      <c r="K10438" t="inlineStr">
        <is>
          <t>A0A2H4WPG6_9NEOB</t>
        </is>
      </c>
      <c r="L10438" t="inlineStr">
        <is>
          <t>tr|A0A2H4WPG6|A0A2H4WPG6_9NEOB MHC class II antigen beta chain (Fragment) OS=Rana tagoi tagoi OX=748659 PE=2 SV=1</t>
        </is>
      </c>
      <c r="M10438" t="n">
        <v>235</v>
      </c>
      <c r="N10438" t="inlineStr">
        <is>
          <t>Rana tagoi tagoi</t>
        </is>
      </c>
      <c r="O10438" t="inlineStr">
        <is>
          <t>MHC class II antigen beta chain (Fragment)</t>
        </is>
      </c>
    </row>
    <row r="10439">
      <c r="A10439" t="inlineStr"/>
      <c r="B10439" t="inlineStr"/>
      <c r="C10439" t="inlineStr"/>
      <c r="D10439" t="inlineStr"/>
      <c r="E10439">
        <f>HYPERLINK("https://www.ncbi.nlm.nih.gov/gene/?term=XP_033780743.1", "XP_033780743.1")</f>
        <v/>
      </c>
      <c r="F10439" t="n">
        <v>55.4</v>
      </c>
      <c r="G10439" t="n">
        <v>166</v>
      </c>
      <c r="H10439" t="n">
        <v>1.48e-51</v>
      </c>
      <c r="I10439" t="inlineStr">
        <is>
          <t>Nr</t>
        </is>
      </c>
      <c r="J10439" t="inlineStr"/>
      <c r="K10439" t="inlineStr"/>
      <c r="L10439" t="inlineStr">
        <is>
          <t>XP_033780743.1 H-2 class II histocompatibility antigen, E-S beta chain-like [Geotrypetes seraphini]</t>
        </is>
      </c>
      <c r="M10439" t="n">
        <v>272</v>
      </c>
      <c r="N10439" t="inlineStr">
        <is>
          <t>Geotrypetes seraphini</t>
        </is>
      </c>
      <c r="O10439" t="inlineStr">
        <is>
          <t>H-2 class II histocompatibility antigen, E-S beta chain-like</t>
        </is>
      </c>
    </row>
    <row r="10440">
      <c r="A10440" t="inlineStr"/>
      <c r="B10440" t="inlineStr"/>
      <c r="C10440" t="inlineStr"/>
      <c r="D10440" t="inlineStr"/>
      <c r="E10440">
        <f>HYPERLINK("https://www.ncbi.nlm.nih.gov/gene/?term=XP_033779862.1", "XP_033779862.1")</f>
        <v/>
      </c>
      <c r="F10440" t="n">
        <v>54.4</v>
      </c>
      <c r="G10440" t="n">
        <v>160</v>
      </c>
      <c r="H10440" t="n">
        <v>2.8e-51</v>
      </c>
      <c r="I10440" t="inlineStr">
        <is>
          <t>Nr</t>
        </is>
      </c>
      <c r="J10440" t="inlineStr"/>
      <c r="K10440" t="inlineStr"/>
      <c r="L10440" t="inlineStr">
        <is>
          <t>XP_033779862.1 DLA class II histocompatibility antigen, DR-1 beta chain-like [Geotrypetes seraphini]</t>
        </is>
      </c>
      <c r="M10440" t="n">
        <v>270</v>
      </c>
      <c r="N10440" t="inlineStr">
        <is>
          <t>Geotrypetes seraphini</t>
        </is>
      </c>
      <c r="O10440" t="inlineStr">
        <is>
          <t>DLA class II histocompatibility antigen, DR-1 beta chain-like</t>
        </is>
      </c>
    </row>
    <row r="10441">
      <c r="A10441" t="inlineStr"/>
      <c r="B10441" t="inlineStr"/>
      <c r="C10441" t="inlineStr"/>
      <c r="D10441" t="inlineStr"/>
      <c r="E10441">
        <f>HYPERLINK("https://www.ncbi.nlm.nih.gov/gene/?term=AUD08508.1", "AUD08508.1")</f>
        <v/>
      </c>
      <c r="F10441" t="n">
        <v>60.3</v>
      </c>
      <c r="G10441" t="n">
        <v>136</v>
      </c>
      <c r="H10441" t="n">
        <v>2.88e-51</v>
      </c>
      <c r="I10441" t="inlineStr">
        <is>
          <t>Nr</t>
        </is>
      </c>
      <c r="J10441" t="inlineStr"/>
      <c r="K10441" t="inlineStr"/>
      <c r="L10441" t="inlineStr">
        <is>
          <t>AUD08508.1 MHC class II antigen beta chain, partial [Rana tagoi tagoi]</t>
        </is>
      </c>
      <c r="M10441" t="n">
        <v>235</v>
      </c>
      <c r="N10441" t="inlineStr">
        <is>
          <t>Rana tagoi tagoi</t>
        </is>
      </c>
      <c r="O10441" t="inlineStr">
        <is>
          <t>MHC class II antigen beta chain, partial</t>
        </is>
      </c>
    </row>
    <row r="10442">
      <c r="A10442" t="inlineStr"/>
      <c r="B10442" t="inlineStr"/>
      <c r="C10442" t="inlineStr"/>
      <c r="D10442" t="inlineStr"/>
      <c r="E10442">
        <f>HYPERLINK("https://www.uniprot.org/uniprotkb/A0A2H4WPG5/entry", "A0A2H4WPG5")</f>
        <v/>
      </c>
      <c r="F10442" t="n">
        <v>58.1</v>
      </c>
      <c r="G10442" t="n">
        <v>136</v>
      </c>
      <c r="H10442" t="n">
        <v>6.39e-51</v>
      </c>
      <c r="I10442" t="inlineStr">
        <is>
          <t>TrEMBL</t>
        </is>
      </c>
      <c r="J10442" t="inlineStr"/>
      <c r="K10442" t="inlineStr">
        <is>
          <t>A0A2H4WPG5_9NEOB</t>
        </is>
      </c>
      <c r="L10442" t="inlineStr">
        <is>
          <t>tr|A0A2H4WPG5|A0A2H4WPG5_9NEOB MHC class II antigen beta chain (Fragment) OS=Rana tagoi tagoi OX=748659 PE=2 SV=1</t>
        </is>
      </c>
      <c r="M10442" t="n">
        <v>235</v>
      </c>
      <c r="N10442" t="inlineStr">
        <is>
          <t>Rana tagoi tagoi</t>
        </is>
      </c>
      <c r="O10442" t="inlineStr">
        <is>
          <t>MHC class II antigen beta chain (Fragment)</t>
        </is>
      </c>
    </row>
    <row r="10443">
      <c r="A10443" t="inlineStr"/>
      <c r="B10443" t="inlineStr"/>
      <c r="C10443" t="inlineStr"/>
      <c r="D10443" t="inlineStr"/>
      <c r="E10443">
        <f>HYPERLINK("https://www.uniprot.org/uniprotkb/A0A141QRY9/entry", "A0A141QRY9")</f>
        <v/>
      </c>
      <c r="F10443" t="n">
        <v>49.4</v>
      </c>
      <c r="G10443" t="n">
        <v>168</v>
      </c>
      <c r="H10443" t="n">
        <v>7.82e-51</v>
      </c>
      <c r="I10443" t="inlineStr">
        <is>
          <t>TrEMBL</t>
        </is>
      </c>
      <c r="J10443" t="inlineStr">
        <is>
          <t>RhmaDAB</t>
        </is>
      </c>
      <c r="K10443" t="inlineStr">
        <is>
          <t>A0A141QRY9_RHIMB</t>
        </is>
      </c>
      <c r="L10443" t="inlineStr">
        <is>
          <t>tr|A0A141QRY9|A0A141QRY9_RHIMB MHC class II beta chain OS=Rhinella marina OX=8386 GN=RhmaDAB PE=2 SV=1</t>
        </is>
      </c>
      <c r="M10443" t="n">
        <v>266</v>
      </c>
      <c r="N10443" t="inlineStr">
        <is>
          <t>Rhinella marina</t>
        </is>
      </c>
      <c r="O10443" t="inlineStr">
        <is>
          <t>MHC class II beta chain</t>
        </is>
      </c>
    </row>
    <row r="10444">
      <c r="A10444" t="inlineStr"/>
      <c r="B10444" t="inlineStr"/>
      <c r="C10444" t="inlineStr"/>
      <c r="D10444" t="inlineStr"/>
      <c r="E10444">
        <f>HYPERLINK("https://www.uniprot.org/uniprotkb/A0A2H4WPH2/entry", "A0A2H4WPH2")</f>
        <v/>
      </c>
      <c r="F10444" t="n">
        <v>59.6</v>
      </c>
      <c r="G10444" t="n">
        <v>136</v>
      </c>
      <c r="H10444" t="n">
        <v>9.05e-51</v>
      </c>
      <c r="I10444" t="inlineStr">
        <is>
          <t>TrEMBL</t>
        </is>
      </c>
      <c r="J10444" t="inlineStr"/>
      <c r="K10444" t="inlineStr">
        <is>
          <t>A0A2H4WPH2_9NEOB</t>
        </is>
      </c>
      <c r="L10444" t="inlineStr">
        <is>
          <t>tr|A0A2H4WPH2|A0A2H4WPH2_9NEOB MHC class II antigen beta chain (Fragment) OS=Rana ornativentris OX=79016 PE=2 SV=1</t>
        </is>
      </c>
      <c r="M10444" t="n">
        <v>235</v>
      </c>
      <c r="N10444" t="inlineStr">
        <is>
          <t>Rana ornativentris</t>
        </is>
      </c>
      <c r="O10444" t="inlineStr">
        <is>
          <t>MHC class II antigen beta chain (Fragment)</t>
        </is>
      </c>
    </row>
    <row r="10445">
      <c r="A10445" t="inlineStr"/>
      <c r="B10445" t="inlineStr"/>
      <c r="C10445" t="inlineStr"/>
      <c r="D10445" t="inlineStr"/>
      <c r="E10445">
        <f>HYPERLINK("https://www.uniprot.org/uniprotkb/A0A2H4WPI7/entry", "A0A2H4WPI7")</f>
        <v/>
      </c>
      <c r="F10445" t="n">
        <v>58.1</v>
      </c>
      <c r="G10445" t="n">
        <v>136</v>
      </c>
      <c r="H10445" t="n">
        <v>9.05e-51</v>
      </c>
      <c r="I10445" t="inlineStr">
        <is>
          <t>TrEMBL</t>
        </is>
      </c>
      <c r="J10445" t="inlineStr"/>
      <c r="K10445" t="inlineStr">
        <is>
          <t>A0A2H4WPI7_9NEOB</t>
        </is>
      </c>
      <c r="L10445" t="inlineStr">
        <is>
          <t>tr|A0A2H4WPI7|A0A2H4WPI7_9NEOB MHC class II antigen beta chain (Fragment) OS=Rana tagoi tagoi OX=748659 PE=2 SV=1</t>
        </is>
      </c>
      <c r="M10445" t="n">
        <v>235</v>
      </c>
      <c r="N10445" t="inlineStr">
        <is>
          <t>Rana tagoi tagoi</t>
        </is>
      </c>
      <c r="O10445" t="inlineStr">
        <is>
          <t>MHC class II antigen beta chain (Fragment)</t>
        </is>
      </c>
    </row>
    <row r="10446">
      <c r="A10446" t="inlineStr"/>
      <c r="B10446" t="inlineStr"/>
      <c r="C10446" t="inlineStr"/>
      <c r="D10446" t="inlineStr"/>
      <c r="E10446">
        <f>HYPERLINK("https://www.uniprot.org/uniprotkb/A0A2H4WPG8/entry", "A0A2H4WPG8")</f>
        <v/>
      </c>
      <c r="F10446" t="n">
        <v>58.8</v>
      </c>
      <c r="G10446" t="n">
        <v>136</v>
      </c>
      <c r="H10446" t="n">
        <v>1.28e-50</v>
      </c>
      <c r="I10446" t="inlineStr">
        <is>
          <t>TrEMBL</t>
        </is>
      </c>
      <c r="J10446" t="inlineStr"/>
      <c r="K10446" t="inlineStr">
        <is>
          <t>A0A2H4WPG8_9NEOB</t>
        </is>
      </c>
      <c r="L10446" t="inlineStr">
        <is>
          <t>tr|A0A2H4WPG8|A0A2H4WPG8_9NEOB MHC class II antigen beta chain (Fragment) OS=Rana tagoi tagoi OX=748659 PE=2 SV=1</t>
        </is>
      </c>
      <c r="M10446" t="n">
        <v>235</v>
      </c>
      <c r="N10446" t="inlineStr">
        <is>
          <t>Rana tagoi tagoi</t>
        </is>
      </c>
      <c r="O10446" t="inlineStr">
        <is>
          <t>MHC class II antigen beta chain (Fragment)</t>
        </is>
      </c>
    </row>
    <row r="10447">
      <c r="A10447" t="inlineStr"/>
      <c r="B10447" t="inlineStr"/>
      <c r="C10447" t="inlineStr"/>
      <c r="D10447" t="inlineStr"/>
      <c r="E10447">
        <f>HYPERLINK("https://www.ncbi.nlm.nih.gov/gene/?term=AUD08509.1", "AUD08509.1")</f>
        <v/>
      </c>
      <c r="F10447" t="n">
        <v>58.1</v>
      </c>
      <c r="G10447" t="n">
        <v>136</v>
      </c>
      <c r="H10447" t="n">
        <v>1.64e-50</v>
      </c>
      <c r="I10447" t="inlineStr">
        <is>
          <t>Nr</t>
        </is>
      </c>
      <c r="J10447" t="inlineStr"/>
      <c r="K10447" t="inlineStr"/>
      <c r="L10447" t="inlineStr">
        <is>
          <t>AUD08509.1 MHC class II antigen beta chain, partial [Rana tagoi tagoi]</t>
        </is>
      </c>
      <c r="M10447" t="n">
        <v>235</v>
      </c>
      <c r="N10447" t="inlineStr">
        <is>
          <t>Rana tagoi tagoi</t>
        </is>
      </c>
      <c r="O10447" t="inlineStr">
        <is>
          <t>MHC class II antigen beta chain, partial</t>
        </is>
      </c>
    </row>
    <row r="10448">
      <c r="A10448" t="inlineStr"/>
      <c r="B10448" t="inlineStr"/>
      <c r="C10448" t="inlineStr"/>
      <c r="D10448" t="inlineStr"/>
      <c r="E10448">
        <f>HYPERLINK("https://www.uniprot.org/uniprotkb/A0A2H4WPI2/entry", "A0A2H4WPI2")</f>
        <v/>
      </c>
      <c r="F10448" t="n">
        <v>58.8</v>
      </c>
      <c r="G10448" t="n">
        <v>136</v>
      </c>
      <c r="H10448" t="n">
        <v>1.82e-50</v>
      </c>
      <c r="I10448" t="inlineStr">
        <is>
          <t>TrEMBL</t>
        </is>
      </c>
      <c r="J10448" t="inlineStr"/>
      <c r="K10448" t="inlineStr">
        <is>
          <t>A0A2H4WPI2_9NEOB</t>
        </is>
      </c>
      <c r="L10448" t="inlineStr">
        <is>
          <t>tr|A0A2H4WPI2|A0A2H4WPI2_9NEOB MHC class II antigen beta chain (Fragment) OS=Rana ornativentris OX=79016 PE=2 SV=1</t>
        </is>
      </c>
      <c r="M10448" t="n">
        <v>235</v>
      </c>
      <c r="N10448" t="inlineStr">
        <is>
          <t>Rana ornativentris</t>
        </is>
      </c>
      <c r="O10448" t="inlineStr">
        <is>
          <t>MHC class II antigen beta chain (Fragment)</t>
        </is>
      </c>
    </row>
    <row r="10449">
      <c r="A10449" t="inlineStr"/>
      <c r="B10449" t="inlineStr"/>
      <c r="C10449" t="inlineStr"/>
      <c r="D10449" t="inlineStr"/>
      <c r="E10449">
        <f>HYPERLINK("https://www.ncbi.nlm.nih.gov/gene/?term=AMD82119.1", "AMD82119.1")</f>
        <v/>
      </c>
      <c r="F10449" t="n">
        <v>49.4</v>
      </c>
      <c r="G10449" t="n">
        <v>168</v>
      </c>
      <c r="H10449" t="n">
        <v>2.01e-50</v>
      </c>
      <c r="I10449" t="inlineStr">
        <is>
          <t>Nr</t>
        </is>
      </c>
      <c r="J10449" t="inlineStr"/>
      <c r="K10449" t="inlineStr"/>
      <c r="L10449" t="inlineStr">
        <is>
          <t>AMD82119.1 MHC class II beta chain [Rhinella marina]</t>
        </is>
      </c>
      <c r="M10449" t="n">
        <v>266</v>
      </c>
      <c r="N10449" t="inlineStr">
        <is>
          <t>Rhinella marina</t>
        </is>
      </c>
      <c r="O10449" t="inlineStr">
        <is>
          <t>MHC class II beta chain</t>
        </is>
      </c>
    </row>
    <row r="10450">
      <c r="A10450" t="inlineStr"/>
      <c r="B10450" t="inlineStr"/>
      <c r="C10450" t="inlineStr"/>
      <c r="D10450" t="inlineStr"/>
      <c r="E10450">
        <f>HYPERLINK("https://www.ncbi.nlm.nih.gov/gene/?term=XP_029441988.1", "XP_029441988.1")</f>
        <v/>
      </c>
      <c r="F10450" t="n">
        <v>53.6</v>
      </c>
      <c r="G10450" t="n">
        <v>166</v>
      </c>
      <c r="H10450" t="n">
        <v>2.07e-50</v>
      </c>
      <c r="I10450" t="inlineStr">
        <is>
          <t>Nr</t>
        </is>
      </c>
      <c r="J10450" t="inlineStr"/>
      <c r="K10450" t="inlineStr"/>
      <c r="L10450" t="inlineStr">
        <is>
          <t>XP_029441988.1 HLA class II histocompatibility antigen, DR beta 5 chain-like, partial [Rhinatrema bivittatum]</t>
        </is>
      </c>
      <c r="M10450" t="n">
        <v>185</v>
      </c>
      <c r="N10450" t="inlineStr">
        <is>
          <t>Rhinatrema bivittatum</t>
        </is>
      </c>
      <c r="O10450" t="inlineStr">
        <is>
          <t>HLA class II histocompatibility antigen, DR beta 5 chain-like, partial</t>
        </is>
      </c>
    </row>
    <row r="10451">
      <c r="A10451" t="inlineStr"/>
      <c r="B10451" t="inlineStr"/>
      <c r="C10451" t="inlineStr"/>
      <c r="D10451" t="inlineStr"/>
      <c r="E10451">
        <f>HYPERLINK("https://www.ncbi.nlm.nih.gov/gene/?term=AUD08505.1", "AUD08505.1")</f>
        <v/>
      </c>
      <c r="F10451" t="n">
        <v>58.1</v>
      </c>
      <c r="G10451" t="n">
        <v>136</v>
      </c>
      <c r="H10451" t="n">
        <v>2.33e-50</v>
      </c>
      <c r="I10451" t="inlineStr">
        <is>
          <t>Nr</t>
        </is>
      </c>
      <c r="J10451" t="inlineStr"/>
      <c r="K10451" t="inlineStr"/>
      <c r="L10451" t="inlineStr">
        <is>
          <t>AUD08505.1 MHC class II antigen beta chain, partial [Rana tagoi tagoi]</t>
        </is>
      </c>
      <c r="M10451" t="n">
        <v>235</v>
      </c>
      <c r="N10451" t="inlineStr">
        <is>
          <t>Rana tagoi tagoi</t>
        </is>
      </c>
      <c r="O10451" t="inlineStr">
        <is>
          <t>MHC class II antigen beta chain, partial</t>
        </is>
      </c>
    </row>
    <row r="10452">
      <c r="A10452" t="inlineStr"/>
      <c r="B10452" t="inlineStr"/>
      <c r="C10452" t="inlineStr"/>
      <c r="D10452" t="inlineStr"/>
      <c r="E10452">
        <f>HYPERLINK("https://www.ncbi.nlm.nih.gov/gene/?term=AUD08496.1", "AUD08496.1")</f>
        <v/>
      </c>
      <c r="F10452" t="n">
        <v>59.6</v>
      </c>
      <c r="G10452" t="n">
        <v>136</v>
      </c>
      <c r="H10452" t="n">
        <v>2.33e-50</v>
      </c>
      <c r="I10452" t="inlineStr">
        <is>
          <t>Nr</t>
        </is>
      </c>
      <c r="J10452" t="inlineStr"/>
      <c r="K10452" t="inlineStr"/>
      <c r="L10452" t="inlineStr">
        <is>
          <t>AUD08496.1 MHC class II antigen beta chain, partial [Rana ornativentris]</t>
        </is>
      </c>
      <c r="M10452" t="n">
        <v>235</v>
      </c>
      <c r="N10452" t="inlineStr">
        <is>
          <t>Rana ornativentris</t>
        </is>
      </c>
      <c r="O10452" t="inlineStr">
        <is>
          <t>MHC class II antigen beta chain, partial</t>
        </is>
      </c>
    </row>
    <row r="10453">
      <c r="A10453" t="inlineStr"/>
      <c r="B10453" t="inlineStr"/>
      <c r="C10453" t="inlineStr"/>
      <c r="D10453" t="inlineStr"/>
      <c r="E10453">
        <f>HYPERLINK("https://www.uniprot.org/uniprotkb/A0A6P8NWD1/entry", "A0A6P8NWD1")</f>
        <v/>
      </c>
      <c r="F10453" t="n">
        <v>54.2</v>
      </c>
      <c r="G10453" t="n">
        <v>166</v>
      </c>
      <c r="H10453" t="n">
        <v>2.55e-50</v>
      </c>
      <c r="I10453" t="inlineStr">
        <is>
          <t>TrEMBL</t>
        </is>
      </c>
      <c r="J10453" t="inlineStr">
        <is>
          <t>LOC117350539</t>
        </is>
      </c>
      <c r="K10453" t="inlineStr">
        <is>
          <t>A0A6P8NWD1_GEOSA</t>
        </is>
      </c>
      <c r="L10453" t="inlineStr">
        <is>
          <t>tr|A0A6P8NWD1|A0A6P8NWD1_GEOSA H-2 class II histocompatibility antigen, E-S beta chain-like isoform X2 OS=Geotrypetes seraphini OX=260995 GN=LOC117350539 PE=4 SV=1</t>
        </is>
      </c>
      <c r="M10453" t="n">
        <v>271</v>
      </c>
      <c r="N10453" t="inlineStr">
        <is>
          <t>Geotrypetes seraphini</t>
        </is>
      </c>
      <c r="O10453" t="inlineStr">
        <is>
          <t>H-2 class II histocompatibility antigen, E-S beta chain-like isoform X2</t>
        </is>
      </c>
    </row>
    <row r="10454">
      <c r="A10454" t="inlineStr"/>
      <c r="B10454" t="inlineStr"/>
      <c r="C10454" t="inlineStr"/>
      <c r="D10454" t="inlineStr"/>
      <c r="E10454">
        <f>HYPERLINK("https://www.uniprot.org/uniprotkb/A0A2H4WPH0/entry", "A0A2H4WPH0")</f>
        <v/>
      </c>
      <c r="F10454" t="n">
        <v>58.8</v>
      </c>
      <c r="G10454" t="n">
        <v>136</v>
      </c>
      <c r="H10454" t="n">
        <v>2.57e-50</v>
      </c>
      <c r="I10454" t="inlineStr">
        <is>
          <t>TrEMBL</t>
        </is>
      </c>
      <c r="J10454" t="inlineStr"/>
      <c r="K10454" t="inlineStr">
        <is>
          <t>A0A2H4WPH0_9NEOB</t>
        </is>
      </c>
      <c r="L10454" t="inlineStr">
        <is>
          <t>tr|A0A2H4WPH0|A0A2H4WPH0_9NEOB MHC class II antigen beta chain (Fragment) OS=Rana tagoi tagoi OX=748659 PE=2 SV=1</t>
        </is>
      </c>
      <c r="M10454" t="n">
        <v>235</v>
      </c>
      <c r="N10454" t="inlineStr">
        <is>
          <t>Rana tagoi tagoi</t>
        </is>
      </c>
      <c r="O10454" t="inlineStr">
        <is>
          <t>MHC class II antigen beta chain (Fragment)</t>
        </is>
      </c>
    </row>
    <row r="10455">
      <c r="A10455" t="inlineStr"/>
      <c r="B10455" t="inlineStr"/>
      <c r="C10455" t="inlineStr"/>
      <c r="D10455" t="inlineStr"/>
      <c r="E10455">
        <f>HYPERLINK("https://www.uniprot.org/uniprotkb/A0A2H4WPJ0/entry", "A0A2H4WPJ0")</f>
        <v/>
      </c>
      <c r="F10455" t="n">
        <v>58.8</v>
      </c>
      <c r="G10455" t="n">
        <v>136</v>
      </c>
      <c r="H10455" t="n">
        <v>2.57e-50</v>
      </c>
      <c r="I10455" t="inlineStr">
        <is>
          <t>TrEMBL</t>
        </is>
      </c>
      <c r="J10455" t="inlineStr"/>
      <c r="K10455" t="inlineStr">
        <is>
          <t>A0A2H4WPJ0_9NEOB</t>
        </is>
      </c>
      <c r="L10455" t="inlineStr">
        <is>
          <t>tr|A0A2H4WPJ0|A0A2H4WPJ0_9NEOB MHC class II antigen beta chain (Fragment) OS=Rana tagoi tagoi OX=748659 PE=2 SV=1</t>
        </is>
      </c>
      <c r="M10455" t="n">
        <v>235</v>
      </c>
      <c r="N10455" t="inlineStr">
        <is>
          <t>Rana tagoi tagoi</t>
        </is>
      </c>
      <c r="O10455" t="inlineStr">
        <is>
          <t>MHC class II antigen beta chain (Fragment)</t>
        </is>
      </c>
    </row>
    <row r="10456">
      <c r="A10456" t="inlineStr"/>
      <c r="B10456" t="inlineStr"/>
      <c r="C10456" t="inlineStr"/>
      <c r="D10456" t="inlineStr"/>
      <c r="E10456">
        <f>HYPERLINK("https://www.uniprot.org/uniprotkb/A0A6P8Q0A8/entry", "A0A6P8Q0A8")</f>
        <v/>
      </c>
      <c r="F10456" t="n">
        <v>54.2</v>
      </c>
      <c r="G10456" t="n">
        <v>166</v>
      </c>
      <c r="H10456" t="n">
        <v>2.62e-50</v>
      </c>
      <c r="I10456" t="inlineStr">
        <is>
          <t>TrEMBL</t>
        </is>
      </c>
      <c r="J10456" t="inlineStr">
        <is>
          <t>LOC117350539</t>
        </is>
      </c>
      <c r="K10456" t="inlineStr">
        <is>
          <t>A0A6P8Q0A8_GEOSA</t>
        </is>
      </c>
      <c r="L10456" t="inlineStr">
        <is>
          <t>tr|A0A6P8Q0A8|A0A6P8Q0A8_GEOSA H-2 class II histocompatibility antigen, E-S beta chain-like isoform X1 OS=Geotrypetes seraphini OX=260995 GN=LOC117350539 PE=4 SV=1</t>
        </is>
      </c>
      <c r="M10456" t="n">
        <v>272</v>
      </c>
      <c r="N10456" t="inlineStr">
        <is>
          <t>Geotrypetes seraphini</t>
        </is>
      </c>
      <c r="O10456" t="inlineStr">
        <is>
          <t>H-2 class II histocompatibility antigen, E-S beta chain-like isoform X1</t>
        </is>
      </c>
    </row>
    <row r="10457">
      <c r="A10457" t="inlineStr"/>
      <c r="B10457" t="inlineStr"/>
      <c r="C10457" t="inlineStr"/>
      <c r="D10457" t="inlineStr"/>
      <c r="E10457">
        <f>HYPERLINK("https://www.ncbi.nlm.nih.gov/gene/?term=OCT55417.1", "OCT55417.1")</f>
        <v/>
      </c>
      <c r="F10457" t="n">
        <v>45.5</v>
      </c>
      <c r="G10457" t="n">
        <v>191</v>
      </c>
      <c r="H10457" t="n">
        <v>5.7e-45</v>
      </c>
      <c r="I10457" t="inlineStr">
        <is>
          <t>Nr</t>
        </is>
      </c>
      <c r="J10457" t="inlineStr"/>
      <c r="K10457" t="inlineStr"/>
      <c r="L10457" t="inlineStr">
        <is>
          <t>OCT55417.1 hypothetical protein XELAEV_18002178mg, partial [Xenopus laevis]</t>
        </is>
      </c>
      <c r="M10457" t="n">
        <v>206</v>
      </c>
      <c r="N10457" t="inlineStr">
        <is>
          <t>Xenopus laevis</t>
        </is>
      </c>
      <c r="O10457" t="inlineStr">
        <is>
          <t>hypothetical protein XELAEV_18002178mg, partial</t>
        </is>
      </c>
    </row>
    <row r="10458">
      <c r="A10458" t="inlineStr"/>
      <c r="B10458" t="inlineStr"/>
      <c r="C10458" t="inlineStr"/>
      <c r="D10458" t="inlineStr"/>
      <c r="E10458">
        <f>HYPERLINK("https://www.ncbi.nlm.nih.gov/gene/?term=OCT76268.1", "OCT76268.1")</f>
        <v/>
      </c>
      <c r="F10458" t="n">
        <v>47.5</v>
      </c>
      <c r="G10458" t="n">
        <v>181</v>
      </c>
      <c r="H10458" t="n">
        <v>2.75e-42</v>
      </c>
      <c r="I10458" t="inlineStr">
        <is>
          <t>Nr</t>
        </is>
      </c>
      <c r="J10458" t="inlineStr"/>
      <c r="K10458" t="inlineStr"/>
      <c r="L10458" t="inlineStr">
        <is>
          <t>OCT76268.1 hypothetical protein XELAEV_18031463mg [Xenopus laevis]</t>
        </is>
      </c>
      <c r="M10458" t="n">
        <v>240</v>
      </c>
      <c r="N10458" t="inlineStr">
        <is>
          <t>Xenopus laevis</t>
        </is>
      </c>
      <c r="O10458" t="inlineStr">
        <is>
          <t>hypothetical protein XELAEV_18031463mg</t>
        </is>
      </c>
    </row>
    <row r="10459">
      <c r="A10459" t="inlineStr"/>
      <c r="B10459" t="inlineStr"/>
      <c r="C10459" t="inlineStr"/>
      <c r="D10459" t="inlineStr"/>
      <c r="E10459">
        <f>HYPERLINK("https://www.uniprot.org/uniprotkb/A0A8J1KIE1/entry", "A0A8J1KIE1")</f>
        <v/>
      </c>
      <c r="F10459" t="n">
        <v>43.8</v>
      </c>
      <c r="G10459" t="n">
        <v>201</v>
      </c>
      <c r="H10459" t="n">
        <v>4.929999999999999e-42</v>
      </c>
      <c r="I10459" t="inlineStr">
        <is>
          <t>TrEMBL</t>
        </is>
      </c>
      <c r="J10459" t="inlineStr">
        <is>
          <t>LOC121393250</t>
        </is>
      </c>
      <c r="K10459" t="inlineStr">
        <is>
          <t>A0A8J1KIE1_XENLA</t>
        </is>
      </c>
      <c r="L10459" t="inlineStr">
        <is>
          <t>tr|A0A8J1KIE1|A0A8J1KIE1_XENLA uncharacterized protein LOC121393250 OS=Xenopus laevis OX=8355 GN=LOC121393250 PE=4 SV=1</t>
        </is>
      </c>
      <c r="M10459" t="n">
        <v>284</v>
      </c>
      <c r="N10459" t="inlineStr">
        <is>
          <t>Xenopus laevis</t>
        </is>
      </c>
      <c r="O10459" t="inlineStr">
        <is>
          <t>uncharacterized protein LOC121393250</t>
        </is>
      </c>
    </row>
    <row r="10460">
      <c r="A10460" t="inlineStr"/>
      <c r="B10460" t="inlineStr"/>
      <c r="C10460" t="inlineStr"/>
      <c r="D10460" t="inlineStr"/>
      <c r="E10460">
        <f>HYPERLINK("https://www.ncbi.nlm.nih.gov/gene/?term=OCT55495.1", "OCT55495.1")</f>
        <v/>
      </c>
      <c r="F10460" t="n">
        <v>44.7</v>
      </c>
      <c r="G10460" t="n">
        <v>188</v>
      </c>
      <c r="H10460" t="n">
        <v>4.95e-42</v>
      </c>
      <c r="I10460" t="inlineStr">
        <is>
          <t>Nr</t>
        </is>
      </c>
      <c r="J10460" t="inlineStr"/>
      <c r="K10460" t="inlineStr"/>
      <c r="L10460" t="inlineStr">
        <is>
          <t>OCT55495.1 hypothetical protein XELAEV_18001763mg, partial [Xenopus laevis]</t>
        </is>
      </c>
      <c r="M10460" t="n">
        <v>200</v>
      </c>
      <c r="N10460" t="inlineStr">
        <is>
          <t>Xenopus laevis</t>
        </is>
      </c>
      <c r="O10460" t="inlineStr">
        <is>
          <t>hypothetical protein XELAEV_18001763mg, partial</t>
        </is>
      </c>
    </row>
    <row r="10461">
      <c r="A10461" t="inlineStr"/>
      <c r="B10461" t="inlineStr"/>
      <c r="C10461" t="inlineStr"/>
      <c r="D10461" t="inlineStr"/>
      <c r="E10461">
        <f>HYPERLINK("https://www.ncbi.nlm.nih.gov/gene/?term=OCT78650.1", "OCT78650.1")</f>
        <v/>
      </c>
      <c r="F10461" t="n">
        <v>46.1</v>
      </c>
      <c r="G10461" t="n">
        <v>191</v>
      </c>
      <c r="H10461" t="n">
        <v>6.36e-42</v>
      </c>
      <c r="I10461" t="inlineStr">
        <is>
          <t>Nr</t>
        </is>
      </c>
      <c r="J10461" t="inlineStr"/>
      <c r="K10461" t="inlineStr"/>
      <c r="L10461" t="inlineStr">
        <is>
          <t>OCT78650.1 hypothetical protein XELAEV_18029736mg [Xenopus laevis]</t>
        </is>
      </c>
      <c r="M10461" t="n">
        <v>284</v>
      </c>
      <c r="N10461" t="inlineStr">
        <is>
          <t>Xenopus laevis</t>
        </is>
      </c>
      <c r="O10461" t="inlineStr">
        <is>
          <t>hypothetical protein XELAEV_18029736mg</t>
        </is>
      </c>
    </row>
    <row r="10462">
      <c r="A10462" t="inlineStr"/>
      <c r="B10462" t="inlineStr"/>
      <c r="C10462" t="inlineStr"/>
      <c r="D10462" t="inlineStr"/>
      <c r="E10462">
        <f>HYPERLINK("https://www.ncbi.nlm.nih.gov/gene/?term=XP_041417120.1", "XP_041417120.1")</f>
        <v/>
      </c>
      <c r="F10462" t="n">
        <v>43.8</v>
      </c>
      <c r="G10462" t="n">
        <v>201</v>
      </c>
      <c r="H10462" t="n">
        <v>1.27e-41</v>
      </c>
      <c r="I10462" t="inlineStr">
        <is>
          <t>Nr</t>
        </is>
      </c>
      <c r="J10462" t="inlineStr"/>
      <c r="K10462" t="inlineStr"/>
      <c r="L10462" t="inlineStr">
        <is>
          <t>XP_041417120.1 uncharacterized protein LOC121393250 [Xenopus laevis]</t>
        </is>
      </c>
      <c r="M10462" t="n">
        <v>284</v>
      </c>
      <c r="N10462" t="inlineStr">
        <is>
          <t>Xenopus laevis</t>
        </is>
      </c>
      <c r="O10462" t="inlineStr">
        <is>
          <t>uncharacterized protein LOC121393250</t>
        </is>
      </c>
    </row>
    <row r="10463">
      <c r="A10463" t="inlineStr"/>
      <c r="B10463" t="inlineStr"/>
      <c r="C10463" t="inlineStr"/>
      <c r="D10463" t="inlineStr"/>
      <c r="E10463">
        <f>HYPERLINK("https://www.uniprot.org/uniprotkb/Q30154/entry", "Q30154")</f>
        <v/>
      </c>
      <c r="F10463" t="n">
        <v>46.1</v>
      </c>
      <c r="G10463" t="n">
        <v>154</v>
      </c>
      <c r="H10463" t="n">
        <v>4.29e-41</v>
      </c>
      <c r="I10463" t="inlineStr">
        <is>
          <t>Swiss-Prot</t>
        </is>
      </c>
      <c r="J10463" t="inlineStr">
        <is>
          <t>HLA-DRB5</t>
        </is>
      </c>
      <c r="K10463" t="inlineStr">
        <is>
          <t>DRB5_HUMAN</t>
        </is>
      </c>
      <c r="L10463" t="inlineStr">
        <is>
          <t>sp|Q30154|DRB5_HUMAN HLA class II histocompatibility antigen, DR beta 5 chain OS=Homo sapiens OX=9606 GN=HLA-DRB5 PE=1 SV=1</t>
        </is>
      </c>
      <c r="M10463" t="n">
        <v>266</v>
      </c>
      <c r="N10463" t="inlineStr">
        <is>
          <t>Homo sapiens</t>
        </is>
      </c>
      <c r="O10463" t="inlineStr">
        <is>
          <t>HLA class II histocompatibility antigen, DR beta 5 chain</t>
        </is>
      </c>
    </row>
    <row r="10464">
      <c r="A10464" t="inlineStr"/>
      <c r="B10464" t="inlineStr"/>
      <c r="C10464" t="inlineStr"/>
      <c r="D10464" t="inlineStr"/>
      <c r="E10464">
        <f>HYPERLINK("https://www.ncbi.nlm.nih.gov/gene/?term=OCT56013.1", "OCT56013.1")</f>
        <v/>
      </c>
      <c r="F10464" t="n">
        <v>44.9</v>
      </c>
      <c r="G10464" t="n">
        <v>178</v>
      </c>
      <c r="H10464" t="n">
        <v>7.51e-41</v>
      </c>
      <c r="I10464" t="inlineStr">
        <is>
          <t>Nr</t>
        </is>
      </c>
      <c r="J10464" t="inlineStr"/>
      <c r="K10464" t="inlineStr"/>
      <c r="L10464" t="inlineStr">
        <is>
          <t>OCT56013.1 hypothetical protein XELAEV_18003526mg [Xenopus laevis]</t>
        </is>
      </c>
      <c r="M10464" t="n">
        <v>210</v>
      </c>
      <c r="N10464" t="inlineStr">
        <is>
          <t>Xenopus laevis</t>
        </is>
      </c>
      <c r="O10464" t="inlineStr">
        <is>
          <t>hypothetical protein XELAEV_18003526mg</t>
        </is>
      </c>
    </row>
    <row r="10465">
      <c r="A10465" t="inlineStr"/>
      <c r="B10465" t="inlineStr"/>
      <c r="C10465" t="inlineStr"/>
      <c r="D10465" t="inlineStr"/>
      <c r="E10465">
        <f>HYPERLINK("https://www.ncbi.nlm.nih.gov/gene/?term=OCT87787.1", "OCT87787.1")</f>
        <v/>
      </c>
      <c r="F10465" t="n">
        <v>47.8</v>
      </c>
      <c r="G10465" t="n">
        <v>178</v>
      </c>
      <c r="H10465" t="n">
        <v>8.35e-41</v>
      </c>
      <c r="I10465" t="inlineStr">
        <is>
          <t>Nr</t>
        </is>
      </c>
      <c r="J10465" t="inlineStr"/>
      <c r="K10465" t="inlineStr"/>
      <c r="L10465" t="inlineStr">
        <is>
          <t>OCT87787.1 hypothetical protein XELAEV_18021485mg, partial [Xenopus laevis]</t>
        </is>
      </c>
      <c r="M10465" t="n">
        <v>277</v>
      </c>
      <c r="N10465" t="inlineStr">
        <is>
          <t>Xenopus laevis</t>
        </is>
      </c>
      <c r="O10465" t="inlineStr">
        <is>
          <t>hypothetical protein XELAEV_18021485mg, partial</t>
        </is>
      </c>
    </row>
    <row r="10466">
      <c r="A10466" t="inlineStr"/>
      <c r="B10466" t="inlineStr"/>
      <c r="C10466" t="inlineStr"/>
      <c r="D10466" t="inlineStr"/>
      <c r="E10466">
        <f>HYPERLINK("https://www.uniprot.org/uniprotkb/P13762/entry", "P13762")</f>
        <v/>
      </c>
      <c r="F10466" t="n">
        <v>44.8</v>
      </c>
      <c r="G10466" t="n">
        <v>154</v>
      </c>
      <c r="H10466" t="n">
        <v>2.41e-40</v>
      </c>
      <c r="I10466" t="inlineStr">
        <is>
          <t>Swiss-Prot</t>
        </is>
      </c>
      <c r="J10466" t="inlineStr">
        <is>
          <t>HLA-DRB4</t>
        </is>
      </c>
      <c r="K10466" t="inlineStr">
        <is>
          <t>DRB4_HUMAN</t>
        </is>
      </c>
      <c r="L10466" t="inlineStr">
        <is>
          <t>sp|P13762|DRB4_HUMAN HLA class II histocompatibility antigen, DR beta 4 chain OS=Homo sapiens OX=9606 GN=HLA-DRB4 PE=1 SV=2</t>
        </is>
      </c>
      <c r="M10466" t="n">
        <v>266</v>
      </c>
      <c r="N10466" t="inlineStr">
        <is>
          <t>Homo sapiens</t>
        </is>
      </c>
      <c r="O10466" t="inlineStr">
        <is>
          <t>HLA class II histocompatibility antigen, DR beta 4 chain</t>
        </is>
      </c>
    </row>
    <row r="10467">
      <c r="A10467" t="inlineStr"/>
      <c r="B10467" t="inlineStr"/>
      <c r="C10467" t="inlineStr"/>
      <c r="D10467" t="inlineStr"/>
      <c r="E10467">
        <f>HYPERLINK("https://www.ncbi.nlm.nih.gov/gene/?term=OCT95352.1", "OCT95352.1")</f>
        <v/>
      </c>
      <c r="F10467" t="n">
        <v>47.5</v>
      </c>
      <c r="G10467" t="n">
        <v>177</v>
      </c>
      <c r="H10467" t="n">
        <v>2.67e-40</v>
      </c>
      <c r="I10467" t="inlineStr">
        <is>
          <t>Nr</t>
        </is>
      </c>
      <c r="J10467" t="inlineStr"/>
      <c r="K10467" t="inlineStr"/>
      <c r="L10467" t="inlineStr">
        <is>
          <t>OCT95352.1 hypothetical protein XELAEV_18013040mg [Xenopus laevis]</t>
        </is>
      </c>
      <c r="M10467" t="n">
        <v>282</v>
      </c>
      <c r="N10467" t="inlineStr">
        <is>
          <t>Xenopus laevis</t>
        </is>
      </c>
      <c r="O10467" t="inlineStr">
        <is>
          <t>hypothetical protein XELAEV_18013040mg</t>
        </is>
      </c>
    </row>
    <row r="10468">
      <c r="A10468" t="inlineStr"/>
      <c r="B10468" t="inlineStr"/>
      <c r="C10468" t="inlineStr"/>
      <c r="D10468" t="inlineStr"/>
      <c r="E10468">
        <f>HYPERLINK("https://www.uniprot.org/uniprotkb/P01911/entry", "P01911")</f>
        <v/>
      </c>
      <c r="F10468" t="n">
        <v>42.7</v>
      </c>
      <c r="G10468" t="n">
        <v>164</v>
      </c>
      <c r="H10468" t="n">
        <v>9.569999999999999e-40</v>
      </c>
      <c r="I10468" t="inlineStr">
        <is>
          <t>Swiss-Prot</t>
        </is>
      </c>
      <c r="J10468" t="inlineStr">
        <is>
          <t>HLA-DRB1</t>
        </is>
      </c>
      <c r="K10468" t="inlineStr">
        <is>
          <t>DRB1_HUMAN</t>
        </is>
      </c>
      <c r="L10468" t="inlineStr">
        <is>
          <t>sp|P01911|DRB1_HUMAN HLA class II histocompatibility antigen, DRB1 beta chain OS=Homo sapiens OX=9606 GN=HLA-DRB1 PE=1 SV=2</t>
        </is>
      </c>
      <c r="M10468" t="n">
        <v>266</v>
      </c>
      <c r="N10468" t="inlineStr">
        <is>
          <t>Homo sapiens</t>
        </is>
      </c>
      <c r="O10468" t="inlineStr">
        <is>
          <t>HLA class II histocompatibility antigen, DRB1 beta chain</t>
        </is>
      </c>
    </row>
    <row r="10469">
      <c r="A10469" t="inlineStr"/>
      <c r="B10469" t="inlineStr"/>
      <c r="C10469" t="inlineStr"/>
      <c r="D10469" t="inlineStr"/>
      <c r="E10469">
        <f>HYPERLINK("https://www.uniprot.org/uniprotkb/P15983/entry", "P15983")</f>
        <v/>
      </c>
      <c r="F10469" t="n">
        <v>45.4</v>
      </c>
      <c r="G10469" t="n">
        <v>152</v>
      </c>
      <c r="H10469" t="n">
        <v>1.56e-39</v>
      </c>
      <c r="I10469" t="inlineStr">
        <is>
          <t>Swiss-Prot</t>
        </is>
      </c>
      <c r="J10469" t="inlineStr"/>
      <c r="K10469" t="inlineStr">
        <is>
          <t>HB2D_PIG</t>
        </is>
      </c>
      <c r="L10469" t="inlineStr">
        <is>
          <t>sp|P15983|HB2D_PIG SLA class II histocompatibility antigen, DQ haplotype D beta chain OS=Sus scrofa OX=9823 PE=2 SV=1</t>
        </is>
      </c>
      <c r="M10469" t="n">
        <v>258</v>
      </c>
      <c r="N10469" t="inlineStr">
        <is>
          <t>Sus scrofa</t>
        </is>
      </c>
      <c r="O10469" t="inlineStr">
        <is>
          <t>SLA class II histocompatibility antigen, DQ haplotype D beta chain</t>
        </is>
      </c>
    </row>
    <row r="10470">
      <c r="A10470" t="inlineStr"/>
      <c r="B10470" t="inlineStr"/>
      <c r="C10470" t="inlineStr"/>
      <c r="D10470" t="inlineStr"/>
      <c r="E10470">
        <f>HYPERLINK("https://www.ncbi.nlm.nih.gov/gene/?term=OCT78829.1", "OCT78829.1")</f>
        <v/>
      </c>
      <c r="F10470" t="n">
        <v>43.6</v>
      </c>
      <c r="G10470" t="n">
        <v>188</v>
      </c>
      <c r="H10470" t="n">
        <v>1.57e-39</v>
      </c>
      <c r="I10470" t="inlineStr">
        <is>
          <t>Nr</t>
        </is>
      </c>
      <c r="J10470" t="inlineStr"/>
      <c r="K10470" t="inlineStr"/>
      <c r="L10470" t="inlineStr">
        <is>
          <t>OCT78829.1 hypothetical protein XELAEV_18029919mg [Xenopus laevis]</t>
        </is>
      </c>
      <c r="M10470" t="n">
        <v>232</v>
      </c>
      <c r="N10470" t="inlineStr">
        <is>
          <t>Xenopus laevis</t>
        </is>
      </c>
      <c r="O10470" t="inlineStr">
        <is>
          <t>hypothetical protein XELAEV_18029919mg</t>
        </is>
      </c>
    </row>
    <row r="10471">
      <c r="A10471" t="inlineStr"/>
      <c r="B10471" t="inlineStr"/>
      <c r="C10471" t="inlineStr"/>
      <c r="D10471" t="inlineStr"/>
      <c r="E10471">
        <f>HYPERLINK("https://www.uniprot.org/uniprotkb/P15982/entry", "P15982")</f>
        <v/>
      </c>
      <c r="F10471" t="n">
        <v>46.3</v>
      </c>
      <c r="G10471" t="n">
        <v>149</v>
      </c>
      <c r="H10471" t="n">
        <v>2.37e-39</v>
      </c>
      <c r="I10471" t="inlineStr">
        <is>
          <t>Swiss-Prot</t>
        </is>
      </c>
      <c r="J10471" t="inlineStr"/>
      <c r="K10471" t="inlineStr">
        <is>
          <t>HB2C_PIG</t>
        </is>
      </c>
      <c r="L10471" t="inlineStr">
        <is>
          <t>sp|P15982|HB2C_PIG SLA class II histocompatibility antigen, DQ haplotype C beta chain OS=Sus scrofa OX=9823 PE=2 SV=1</t>
        </is>
      </c>
      <c r="M10471" t="n">
        <v>261</v>
      </c>
      <c r="N10471" t="inlineStr">
        <is>
          <t>Sus scrofa</t>
        </is>
      </c>
      <c r="O10471" t="inlineStr">
        <is>
          <t>SLA class II histocompatibility antigen, DQ haplotype C beta chain</t>
        </is>
      </c>
    </row>
    <row r="10472">
      <c r="A10472" t="inlineStr"/>
      <c r="B10472" t="inlineStr"/>
      <c r="C10472" t="inlineStr"/>
      <c r="D10472" t="inlineStr"/>
      <c r="E10472">
        <f>HYPERLINK("https://www.uniprot.org/uniprotkb/P15464/entry", "P15464")</f>
        <v/>
      </c>
      <c r="F10472" t="n">
        <v>42.9</v>
      </c>
      <c r="G10472" t="n">
        <v>154</v>
      </c>
      <c r="H10472" t="n">
        <v>4.39e-39</v>
      </c>
      <c r="I10472" t="inlineStr">
        <is>
          <t>Swiss-Prot</t>
        </is>
      </c>
      <c r="J10472" t="inlineStr"/>
      <c r="K10472" t="inlineStr">
        <is>
          <t>HB21_SPAEH</t>
        </is>
      </c>
      <c r="L10472" t="inlineStr">
        <is>
          <t>sp|P15464|HB21_SPAEH SMH class II histocompatibility antigen, beta-1 chain OS=Spalax ehrenbergi OX=30637 PE=3 SV=1</t>
        </is>
      </c>
      <c r="M10472" t="n">
        <v>258</v>
      </c>
      <c r="N10472" t="inlineStr">
        <is>
          <t>Spalax ehrenbergi</t>
        </is>
      </c>
      <c r="O10472" t="inlineStr">
        <is>
          <t>SMH class II histocompatibility antigen, beta-1 chain</t>
        </is>
      </c>
    </row>
    <row r="10473">
      <c r="A10473" t="inlineStr"/>
      <c r="B10473" t="inlineStr"/>
      <c r="C10473" t="inlineStr"/>
      <c r="D10473" t="inlineStr"/>
      <c r="E10473">
        <f>HYPERLINK("https://www.uniprot.org/uniprotkb/P18470/entry", "P18470")</f>
        <v/>
      </c>
      <c r="F10473" t="n">
        <v>42.9</v>
      </c>
      <c r="G10473" t="n">
        <v>154</v>
      </c>
      <c r="H10473" t="n">
        <v>1.51e-38</v>
      </c>
      <c r="I10473" t="inlineStr">
        <is>
          <t>Swiss-Prot</t>
        </is>
      </c>
      <c r="J10473" t="inlineStr"/>
      <c r="K10473" t="inlineStr">
        <is>
          <t>HB2D_CANLF</t>
        </is>
      </c>
      <c r="L10473" t="inlineStr">
        <is>
          <t>sp|P18470|HB2D_CANLF DLA class II histocompatibility antigen, DR-1 beta chain OS=Canis lupus familiaris OX=9615 PE=2 SV=1</t>
        </is>
      </c>
      <c r="M10473" t="n">
        <v>266</v>
      </c>
      <c r="N10473" t="inlineStr">
        <is>
          <t>Canis lupus familiaris</t>
        </is>
      </c>
      <c r="O10473" t="inlineStr">
        <is>
          <t>DLA class II histocompatibility antigen, DR-1 beta chain</t>
        </is>
      </c>
    </row>
    <row r="10474">
      <c r="A10474" t="inlineStr"/>
      <c r="B10474" t="inlineStr"/>
      <c r="C10474" t="inlineStr"/>
      <c r="D10474" t="inlineStr"/>
      <c r="E10474">
        <f>HYPERLINK("https://www.uniprot.org/uniprotkb/P01920/entry", "P01920")</f>
        <v/>
      </c>
      <c r="F10474" t="n">
        <v>44.1</v>
      </c>
      <c r="G10474" t="n">
        <v>152</v>
      </c>
      <c r="H10474" t="n">
        <v>2.65e-38</v>
      </c>
      <c r="I10474" t="inlineStr">
        <is>
          <t>Swiss-Prot</t>
        </is>
      </c>
      <c r="J10474" t="inlineStr">
        <is>
          <t>HLA-DQB1</t>
        </is>
      </c>
      <c r="K10474" t="inlineStr">
        <is>
          <t>DQB1_HUMAN</t>
        </is>
      </c>
      <c r="L10474" t="inlineStr">
        <is>
          <t>sp|P01920|DQB1_HUMAN HLA class II histocompatibility antigen, DQ beta 1 chain OS=Homo sapiens OX=9606 GN=HLA-DQB1 PE=1 SV=2</t>
        </is>
      </c>
      <c r="M10474" t="n">
        <v>261</v>
      </c>
      <c r="N10474" t="inlineStr">
        <is>
          <t>Homo sapiens</t>
        </is>
      </c>
      <c r="O10474" t="inlineStr">
        <is>
          <t>HLA class II histocompatibility antigen, DQ beta 1 chain</t>
        </is>
      </c>
    </row>
    <row r="10475">
      <c r="A10475" t="inlineStr"/>
      <c r="B10475" t="inlineStr"/>
      <c r="C10475" t="inlineStr"/>
      <c r="D10475" t="inlineStr"/>
      <c r="E10475">
        <f>HYPERLINK("https://www.ncbi.nlm.nih.gov/gene/?term=OCT55545.1", "OCT55545.1")</f>
        <v/>
      </c>
      <c r="F10475" t="n">
        <v>47.4</v>
      </c>
      <c r="G10475" t="n">
        <v>173</v>
      </c>
      <c r="H10475" t="n">
        <v>3.49e-38</v>
      </c>
      <c r="I10475" t="inlineStr">
        <is>
          <t>Nr</t>
        </is>
      </c>
      <c r="J10475" t="inlineStr"/>
      <c r="K10475" t="inlineStr"/>
      <c r="L10475" t="inlineStr">
        <is>
          <t>OCT55545.1 hypothetical protein XELAEV_18001114mg, partial [Xenopus laevis]</t>
        </is>
      </c>
      <c r="M10475" t="n">
        <v>219</v>
      </c>
      <c r="N10475" t="inlineStr">
        <is>
          <t>Xenopus laevis</t>
        </is>
      </c>
      <c r="O10475" t="inlineStr">
        <is>
          <t>hypothetical protein XELAEV_18001114mg, partial</t>
        </is>
      </c>
    </row>
    <row r="10476">
      <c r="A10476" t="inlineStr"/>
      <c r="B10476" t="inlineStr"/>
      <c r="C10476" t="inlineStr"/>
      <c r="D10476" t="inlineStr"/>
      <c r="E10476">
        <f>HYPERLINK("https://www.uniprot.org/uniprotkb/A0A8J1L8J5/entry", "A0A8J1L8J5")</f>
        <v/>
      </c>
      <c r="F10476" t="n">
        <v>47.4</v>
      </c>
      <c r="G10476" t="n">
        <v>173</v>
      </c>
      <c r="H10476" t="n">
        <v>9.78e-38</v>
      </c>
      <c r="I10476" t="inlineStr">
        <is>
          <t>TrEMBL</t>
        </is>
      </c>
      <c r="J10476" t="inlineStr">
        <is>
          <t>LOC121395440</t>
        </is>
      </c>
      <c r="K10476" t="inlineStr">
        <is>
          <t>A0A8J1L8J5_XENLA</t>
        </is>
      </c>
      <c r="L10476" t="inlineStr">
        <is>
          <t>tr|A0A8J1L8J5|A0A8J1L8J5_XENLA uncharacterized protein LOC121395440 isoform X3 OS=Xenopus laevis OX=8355 GN=LOC121395440 PE=4 SV=1</t>
        </is>
      </c>
      <c r="M10476" t="n">
        <v>295</v>
      </c>
      <c r="N10476" t="inlineStr">
        <is>
          <t>Xenopus laevis</t>
        </is>
      </c>
      <c r="O10476" t="inlineStr">
        <is>
          <t>uncharacterized protein LOC121395440 isoform X3</t>
        </is>
      </c>
    </row>
    <row r="10477">
      <c r="A10477" t="inlineStr"/>
      <c r="B10477" t="inlineStr"/>
      <c r="C10477" t="inlineStr"/>
      <c r="D10477" t="inlineStr"/>
      <c r="E10477">
        <f>HYPERLINK("https://www.uniprot.org/uniprotkb/A0A8J1L7K2/entry", "A0A8J1L7K2")</f>
        <v/>
      </c>
      <c r="F10477" t="n">
        <v>47.4</v>
      </c>
      <c r="G10477" t="n">
        <v>173</v>
      </c>
      <c r="H10477" t="n">
        <v>1.3e-37</v>
      </c>
      <c r="I10477" t="inlineStr">
        <is>
          <t>TrEMBL</t>
        </is>
      </c>
      <c r="J10477" t="inlineStr">
        <is>
          <t>LOC121395440</t>
        </is>
      </c>
      <c r="K10477" t="inlineStr">
        <is>
          <t>A0A8J1L7K2_XENLA</t>
        </is>
      </c>
      <c r="L10477" t="inlineStr">
        <is>
          <t>tr|A0A8J1L7K2|A0A8J1L7K2_XENLA uncharacterized protein LOC121395440 isoform X2 OS=Xenopus laevis OX=8355 GN=LOC121395440 PE=4 SV=1</t>
        </is>
      </c>
      <c r="M10477" t="n">
        <v>307</v>
      </c>
      <c r="N10477" t="inlineStr">
        <is>
          <t>Xenopus laevis</t>
        </is>
      </c>
      <c r="O10477" t="inlineStr">
        <is>
          <t>uncharacterized protein LOC121395440 isoform X2</t>
        </is>
      </c>
    </row>
    <row r="10478">
      <c r="A10478" t="inlineStr"/>
      <c r="B10478" t="inlineStr"/>
      <c r="C10478" t="inlineStr"/>
      <c r="D10478" t="inlineStr"/>
      <c r="E10478">
        <f>HYPERLINK("https://www.ncbi.nlm.nih.gov/gene/?term=XP_041424925.1", "XP_041424925.1")</f>
        <v/>
      </c>
      <c r="F10478" t="n">
        <v>47.4</v>
      </c>
      <c r="G10478" t="n">
        <v>173</v>
      </c>
      <c r="H10478" t="n">
        <v>2.51e-37</v>
      </c>
      <c r="I10478" t="inlineStr">
        <is>
          <t>Nr</t>
        </is>
      </c>
      <c r="J10478" t="inlineStr"/>
      <c r="K10478" t="inlineStr"/>
      <c r="L10478" t="inlineStr">
        <is>
          <t>XP_041424925.1 uncharacterized protein LOC121395440 isoform X3 [Xenopus laevis]</t>
        </is>
      </c>
      <c r="M10478" t="n">
        <v>295</v>
      </c>
      <c r="N10478" t="inlineStr">
        <is>
          <t>Xenopus laevis</t>
        </is>
      </c>
      <c r="O10478" t="inlineStr">
        <is>
          <t>uncharacterized protein LOC121395440 isoform X3</t>
        </is>
      </c>
    </row>
    <row r="10479">
      <c r="A10479" t="inlineStr"/>
      <c r="B10479" t="inlineStr"/>
      <c r="C10479" t="inlineStr"/>
      <c r="D10479" t="inlineStr"/>
      <c r="E10479">
        <f>HYPERLINK("https://www.ncbi.nlm.nih.gov/gene/?term=OCT84293.1", "OCT84293.1")</f>
        <v/>
      </c>
      <c r="F10479" t="n">
        <v>42</v>
      </c>
      <c r="G10479" t="n">
        <v>181</v>
      </c>
      <c r="H10479" t="n">
        <v>2.93e-37</v>
      </c>
      <c r="I10479" t="inlineStr">
        <is>
          <t>Nr</t>
        </is>
      </c>
      <c r="J10479" t="inlineStr"/>
      <c r="K10479" t="inlineStr"/>
      <c r="L10479" t="inlineStr">
        <is>
          <t>OCT84293.1 hypothetical protein XELAEV_18022452mg [Xenopus laevis]</t>
        </is>
      </c>
      <c r="M10479" t="n">
        <v>221</v>
      </c>
      <c r="N10479" t="inlineStr">
        <is>
          <t>Xenopus laevis</t>
        </is>
      </c>
      <c r="O10479" t="inlineStr">
        <is>
          <t>hypothetical protein XELAEV_18022452mg</t>
        </is>
      </c>
    </row>
    <row r="10480">
      <c r="A10480" t="inlineStr"/>
      <c r="B10480" t="inlineStr"/>
      <c r="C10480" t="inlineStr"/>
      <c r="D10480" t="inlineStr"/>
      <c r="E10480">
        <f>HYPERLINK("https://www.ncbi.nlm.nih.gov/gene/?term=XP_041424924.1", "XP_041424924.1")</f>
        <v/>
      </c>
      <c r="F10480" t="n">
        <v>47.4</v>
      </c>
      <c r="G10480" t="n">
        <v>173</v>
      </c>
      <c r="H10480" t="n">
        <v>3.34e-37</v>
      </c>
      <c r="I10480" t="inlineStr">
        <is>
          <t>Nr</t>
        </is>
      </c>
      <c r="J10480" t="inlineStr"/>
      <c r="K10480" t="inlineStr"/>
      <c r="L10480" t="inlineStr">
        <is>
          <t>XP_041424924.1 uncharacterized protein LOC121395440 isoform X2 [Xenopus laevis]</t>
        </is>
      </c>
      <c r="M10480" t="n">
        <v>307</v>
      </c>
      <c r="N10480" t="inlineStr">
        <is>
          <t>Xenopus laevis</t>
        </is>
      </c>
      <c r="O10480" t="inlineStr">
        <is>
          <t>uncharacterized protein LOC121395440 isoform X2</t>
        </is>
      </c>
    </row>
    <row r="10481">
      <c r="A10481" t="inlineStr"/>
      <c r="B10481" t="inlineStr"/>
      <c r="C10481" t="inlineStr"/>
      <c r="D10481" t="inlineStr"/>
      <c r="E10481">
        <f>HYPERLINK("https://www.uniprot.org/uniprotkb/P79483/entry", "P79483")</f>
        <v/>
      </c>
      <c r="F10481" t="n">
        <v>42.1</v>
      </c>
      <c r="G10481" t="n">
        <v>164</v>
      </c>
      <c r="H10481" t="n">
        <v>4.71e-37</v>
      </c>
      <c r="I10481" t="inlineStr">
        <is>
          <t>Swiss-Prot</t>
        </is>
      </c>
      <c r="J10481" t="inlineStr">
        <is>
          <t>HLA-DRB3</t>
        </is>
      </c>
      <c r="K10481" t="inlineStr">
        <is>
          <t>DRB3_HUMAN</t>
        </is>
      </c>
      <c r="L10481" t="inlineStr">
        <is>
          <t>sp|P79483|DRB3_HUMAN HLA class II histocompatibility antigen, DR beta 3 chain OS=Homo sapiens OX=9606 GN=HLA-DRB3 PE=1 SV=1</t>
        </is>
      </c>
      <c r="M10481" t="n">
        <v>266</v>
      </c>
      <c r="N10481" t="inlineStr">
        <is>
          <t>Homo sapiens</t>
        </is>
      </c>
      <c r="O10481" t="inlineStr">
        <is>
          <t>HLA class II histocompatibility antigen, DR beta 3 chain</t>
        </is>
      </c>
    </row>
    <row r="10482">
      <c r="A10482" t="inlineStr"/>
      <c r="B10482" t="inlineStr"/>
      <c r="C10482" t="inlineStr"/>
      <c r="D10482" t="inlineStr"/>
      <c r="E10482">
        <f>HYPERLINK("https://www.uniprot.org/uniprotkb/P05538/entry", "P05538")</f>
        <v/>
      </c>
      <c r="F10482" t="n">
        <v>42</v>
      </c>
      <c r="G10482" t="n">
        <v>162</v>
      </c>
      <c r="H10482" t="n">
        <v>4.94e-37</v>
      </c>
      <c r="I10482" t="inlineStr">
        <is>
          <t>Swiss-Prot</t>
        </is>
      </c>
      <c r="J10482" t="inlineStr">
        <is>
          <t>HLA-DQB2</t>
        </is>
      </c>
      <c r="K10482" t="inlineStr">
        <is>
          <t>DQB2_HUMAN</t>
        </is>
      </c>
      <c r="L10482" t="inlineStr">
        <is>
          <t>sp|P05538|DQB2_HUMAN HLA class II histocompatibility antigen, DQ beta 2 chain OS=Homo sapiens OX=9606 GN=HLA-DQB2 PE=1 SV=2</t>
        </is>
      </c>
      <c r="M10482" t="n">
        <v>268</v>
      </c>
      <c r="N10482" t="inlineStr">
        <is>
          <t>Homo sapiens</t>
        </is>
      </c>
      <c r="O10482" t="inlineStr">
        <is>
          <t>HLA class II histocompatibility antigen, DQ beta 2 chain</t>
        </is>
      </c>
    </row>
    <row r="10483">
      <c r="A10483" t="inlineStr"/>
      <c r="B10483" t="inlineStr"/>
      <c r="C10483" t="inlineStr"/>
      <c r="D10483" t="inlineStr"/>
      <c r="E10483">
        <f>HYPERLINK("https://www.uniprot.org/uniprotkb/A0A1L8G9G8/entry", "A0A1L8G9G8")</f>
        <v/>
      </c>
      <c r="F10483" t="n">
        <v>46.2</v>
      </c>
      <c r="G10483" t="n">
        <v>173</v>
      </c>
      <c r="H10483" t="n">
        <v>8.200000000000001e-37</v>
      </c>
      <c r="I10483" t="inlineStr">
        <is>
          <t>TrEMBL</t>
        </is>
      </c>
      <c r="J10483" t="inlineStr">
        <is>
          <t>LOC121393712</t>
        </is>
      </c>
      <c r="K10483" t="inlineStr">
        <is>
          <t>A0A1L8G9G8_XENLA</t>
        </is>
      </c>
      <c r="L10483" t="inlineStr">
        <is>
          <t>tr|A0A1L8G9G8|A0A1L8G9G8_XENLA uncharacterized protein LOC121393712 OS=Xenopus laevis OX=8355 GN=LOC121393712 PE=4 SV=1</t>
        </is>
      </c>
      <c r="M10483" t="n">
        <v>230</v>
      </c>
      <c r="N10483" t="inlineStr">
        <is>
          <t>Xenopus laevis</t>
        </is>
      </c>
      <c r="O10483" t="inlineStr">
        <is>
          <t>uncharacterized protein LOC121393712</t>
        </is>
      </c>
    </row>
    <row r="10484">
      <c r="A10484" t="inlineStr"/>
      <c r="B10484" t="inlineStr"/>
      <c r="C10484" t="inlineStr"/>
      <c r="D10484" t="inlineStr"/>
      <c r="E10484">
        <f>HYPERLINK("https://www.ncbi.nlm.nih.gov/gene/?term=XP_041418923.1", "XP_041418923.1")</f>
        <v/>
      </c>
      <c r="F10484" t="n">
        <v>46.2</v>
      </c>
      <c r="G10484" t="n">
        <v>173</v>
      </c>
      <c r="H10484" t="n">
        <v>2.11e-36</v>
      </c>
      <c r="I10484" t="inlineStr">
        <is>
          <t>Nr</t>
        </is>
      </c>
      <c r="J10484" t="inlineStr"/>
      <c r="K10484" t="inlineStr"/>
      <c r="L10484" t="inlineStr">
        <is>
          <t>XP_041418923.1 uncharacterized protein LOC121393712 [Xenopus laevis]</t>
        </is>
      </c>
      <c r="M10484" t="n">
        <v>230</v>
      </c>
      <c r="N10484" t="inlineStr">
        <is>
          <t>Xenopus laevis</t>
        </is>
      </c>
      <c r="O10484" t="inlineStr">
        <is>
          <t>uncharacterized protein LOC121393712</t>
        </is>
      </c>
    </row>
    <row r="10485">
      <c r="A10485" t="inlineStr"/>
      <c r="B10485" t="inlineStr"/>
      <c r="C10485" t="inlineStr"/>
      <c r="D10485" t="inlineStr"/>
      <c r="E10485">
        <f>HYPERLINK("https://www.uniprot.org/uniprotkb/P04231/entry", "P04231")</f>
        <v/>
      </c>
      <c r="F10485" t="n">
        <v>40.9</v>
      </c>
      <c r="G10485" t="n">
        <v>154</v>
      </c>
      <c r="H10485" t="n">
        <v>2.24e-36</v>
      </c>
      <c r="I10485" t="inlineStr">
        <is>
          <t>Swiss-Prot</t>
        </is>
      </c>
      <c r="J10485" t="inlineStr">
        <is>
          <t>H2-Eb1</t>
        </is>
      </c>
      <c r="K10485" t="inlineStr">
        <is>
          <t>HB23_MOUSE</t>
        </is>
      </c>
      <c r="L10485" t="inlineStr">
        <is>
          <t>sp|P04231|HB23_MOUSE H-2 class II histocompatibility antigen, E-S beta chain (Fragment) OS=Mus musculus OX=10090 GN=H2-Eb1 PE=1 SV=1</t>
        </is>
      </c>
      <c r="M10485" t="n">
        <v>232</v>
      </c>
      <c r="N10485" t="inlineStr">
        <is>
          <t>Mus musculus</t>
        </is>
      </c>
      <c r="O10485" t="inlineStr">
        <is>
          <t>H-2 class II histocompatibility antigen, E-S beta chain (Fragment)</t>
        </is>
      </c>
    </row>
    <row r="10486">
      <c r="A10486" t="inlineStr"/>
      <c r="B10486" t="inlineStr"/>
      <c r="C10486" t="inlineStr"/>
      <c r="D10486" t="inlineStr"/>
      <c r="E10486">
        <f>HYPERLINK("https://www.uniprot.org/uniprotkb/Q9TVC8/entry", "Q9TVC8")</f>
        <v/>
      </c>
      <c r="F10486" t="n">
        <v>42.1</v>
      </c>
      <c r="G10486" t="n">
        <v>152</v>
      </c>
      <c r="H10486" t="n">
        <v>3.29e-36</v>
      </c>
      <c r="I10486" t="inlineStr">
        <is>
          <t>Swiss-Prot</t>
        </is>
      </c>
      <c r="J10486" t="inlineStr">
        <is>
          <t>BoLA-DQB</t>
        </is>
      </c>
      <c r="K10486" t="inlineStr">
        <is>
          <t>HB21_BOVIN</t>
        </is>
      </c>
      <c r="L10486" t="inlineStr">
        <is>
          <t>sp|Q9TVC8|HB21_BOVIN BoLa class II histocompatibility antigen, DQB*0101 beta chain OS=Bos taurus OX=9913 GN=BoLA-DQB PE=2 SV=1</t>
        </is>
      </c>
      <c r="M10486" t="n">
        <v>261</v>
      </c>
      <c r="N10486" t="inlineStr">
        <is>
          <t>Bos taurus</t>
        </is>
      </c>
      <c r="O10486" t="inlineStr">
        <is>
          <t>BoLa class II histocompatibility antigen, DQB*0101 beta chain</t>
        </is>
      </c>
    </row>
    <row r="10487">
      <c r="A10487" t="inlineStr"/>
      <c r="B10487" t="inlineStr"/>
      <c r="C10487" t="inlineStr"/>
      <c r="D10487" t="inlineStr"/>
      <c r="E10487">
        <f>HYPERLINK("https://www.ncbi.nlm.nih.gov/gene/?term=OCT59739.1", "OCT59739.1")</f>
        <v/>
      </c>
      <c r="F10487" t="n">
        <v>44.4</v>
      </c>
      <c r="G10487" t="n">
        <v>178</v>
      </c>
      <c r="H10487" t="n">
        <v>4.87e-36</v>
      </c>
      <c r="I10487" t="inlineStr">
        <is>
          <t>Nr</t>
        </is>
      </c>
      <c r="J10487" t="inlineStr"/>
      <c r="K10487" t="inlineStr"/>
      <c r="L10487" t="inlineStr">
        <is>
          <t>OCT59739.1 hypothetical protein XELAEV_18000605mg [Xenopus laevis]</t>
        </is>
      </c>
      <c r="M10487" t="n">
        <v>290</v>
      </c>
      <c r="N10487" t="inlineStr">
        <is>
          <t>Xenopus laevis</t>
        </is>
      </c>
      <c r="O10487" t="inlineStr">
        <is>
          <t>hypothetical protein XELAEV_18000605mg</t>
        </is>
      </c>
    </row>
    <row r="10488">
      <c r="A10488" t="inlineStr"/>
      <c r="B10488" t="inlineStr"/>
      <c r="C10488" t="inlineStr"/>
      <c r="D10488" t="inlineStr"/>
      <c r="E10488">
        <f>HYPERLINK("https://www.uniprot.org/uniprotkb/P23068/entry", "P23068")</f>
        <v/>
      </c>
      <c r="F10488" t="n">
        <v>44.8</v>
      </c>
      <c r="G10488" t="n">
        <v>154</v>
      </c>
      <c r="H10488" t="n">
        <v>6.16e-36</v>
      </c>
      <c r="I10488" t="inlineStr">
        <is>
          <t>Swiss-Prot</t>
        </is>
      </c>
      <c r="J10488" t="inlineStr"/>
      <c r="K10488" t="inlineStr">
        <is>
          <t>HB2L_CHICK</t>
        </is>
      </c>
      <c r="L10488" t="inlineStr">
        <is>
          <t>sp|P23068|HB2L_CHICK Class II histocompatibility antigen, B-L beta chain (Fragment) OS=Gallus gallus OX=9031 PE=3 SV=1</t>
        </is>
      </c>
      <c r="M10488" t="n">
        <v>231</v>
      </c>
      <c r="N10488" t="inlineStr">
        <is>
          <t>Gallus gallus</t>
        </is>
      </c>
      <c r="O10488" t="inlineStr">
        <is>
          <t>Class II histocompatibility antigen, B-L beta chain (Fragment)</t>
        </is>
      </c>
    </row>
    <row r="10489">
      <c r="A10489" t="inlineStr"/>
      <c r="B10489" t="inlineStr"/>
      <c r="C10489" t="inlineStr"/>
      <c r="D10489" t="inlineStr"/>
      <c r="E10489">
        <f>HYPERLINK("https://www.uniprot.org/uniprotkb/P18468/entry", "P18468")</f>
        <v/>
      </c>
      <c r="F10489" t="n">
        <v>40.9</v>
      </c>
      <c r="G10489" t="n">
        <v>154</v>
      </c>
      <c r="H10489" t="n">
        <v>7.020000000000001e-36</v>
      </c>
      <c r="I10489" t="inlineStr">
        <is>
          <t>Swiss-Prot</t>
        </is>
      </c>
      <c r="J10489" t="inlineStr">
        <is>
          <t>H2-Eb1</t>
        </is>
      </c>
      <c r="K10489" t="inlineStr">
        <is>
          <t>HB2I_MOUSE</t>
        </is>
      </c>
      <c r="L10489" t="inlineStr">
        <is>
          <t>sp|P18468|HB2I_MOUSE H-2 class II histocompatibility antigen, I-A beta chain OS=Mus musculus OX=10090 GN=H2-Eb1 PE=1 SV=1</t>
        </is>
      </c>
      <c r="M10489" t="n">
        <v>264</v>
      </c>
      <c r="N10489" t="inlineStr">
        <is>
          <t>Mus musculus</t>
        </is>
      </c>
      <c r="O10489" t="inlineStr">
        <is>
          <t>H-2 class II histocompatibility antigen, I-A beta chain</t>
        </is>
      </c>
    </row>
    <row r="10490">
      <c r="A10490" t="inlineStr"/>
      <c r="B10490" t="inlineStr"/>
      <c r="C10490" t="inlineStr"/>
      <c r="D10490" t="inlineStr"/>
      <c r="E10490">
        <f>HYPERLINK("https://www.uniprot.org/uniprotkb/P18469/entry", "P18469")</f>
        <v/>
      </c>
      <c r="F10490" t="n">
        <v>40.9</v>
      </c>
      <c r="G10490" t="n">
        <v>154</v>
      </c>
      <c r="H10490" t="n">
        <v>7.020000000000001e-36</v>
      </c>
      <c r="I10490" t="inlineStr">
        <is>
          <t>Swiss-Prot</t>
        </is>
      </c>
      <c r="J10490" t="inlineStr">
        <is>
          <t>H2-Eb1</t>
        </is>
      </c>
      <c r="K10490" t="inlineStr">
        <is>
          <t>HB2J_MOUSE</t>
        </is>
      </c>
      <c r="L10490" t="inlineStr">
        <is>
          <t>sp|P18469|HB2J_MOUSE H-2 class II histocompatibility antigen, I-E beta chain OS=Mus musculus OX=10090 GN=H2-Eb1 PE=1 SV=1</t>
        </is>
      </c>
      <c r="M10490" t="n">
        <v>264</v>
      </c>
      <c r="N10490" t="inlineStr">
        <is>
          <t>Mus musculus</t>
        </is>
      </c>
      <c r="O10490" t="inlineStr">
        <is>
          <t>H-2 class II histocompatibility antigen, I-E beta chain</t>
        </is>
      </c>
    </row>
    <row r="10491">
      <c r="A10491" t="inlineStr"/>
      <c r="B10491" t="inlineStr"/>
      <c r="C10491" t="inlineStr"/>
      <c r="D10491" t="inlineStr"/>
      <c r="E10491">
        <f>HYPERLINK("https://www.uniprot.org/uniprotkb/P20040/entry", "P20040")</f>
        <v/>
      </c>
      <c r="F10491" t="n">
        <v>40.9</v>
      </c>
      <c r="G10491" t="n">
        <v>154</v>
      </c>
      <c r="H10491" t="n">
        <v>9.9e-36</v>
      </c>
      <c r="I10491" t="inlineStr">
        <is>
          <t>Swiss-Prot</t>
        </is>
      </c>
      <c r="J10491" t="inlineStr"/>
      <c r="K10491" t="inlineStr">
        <is>
          <t>HB24_MOUSE</t>
        </is>
      </c>
      <c r="L10491" t="inlineStr">
        <is>
          <t>sp|P20040|HB24_MOUSE H-2 class II histocompatibility antigen, E-Q beta chain OS=Mus musculus OX=10090 PE=1 SV=1</t>
        </is>
      </c>
      <c r="M10491" t="n">
        <v>264</v>
      </c>
      <c r="N10491" t="inlineStr">
        <is>
          <t>Mus musculus</t>
        </is>
      </c>
      <c r="O10491" t="inlineStr">
        <is>
          <t>H-2 class II histocompatibility antigen, E-Q beta chain</t>
        </is>
      </c>
    </row>
    <row r="10492">
      <c r="A10492" t="inlineStr"/>
      <c r="B10492" t="inlineStr"/>
      <c r="C10492" t="inlineStr"/>
      <c r="D10492" t="inlineStr"/>
      <c r="E10492">
        <f>HYPERLINK("https://www.uniprot.org/uniprotkb/P18211/entry", "P18211")</f>
        <v/>
      </c>
      <c r="F10492" t="n">
        <v>40.9</v>
      </c>
      <c r="G10492" t="n">
        <v>154</v>
      </c>
      <c r="H10492" t="n">
        <v>1.4e-35</v>
      </c>
      <c r="I10492" t="inlineStr">
        <is>
          <t>Swiss-Prot</t>
        </is>
      </c>
      <c r="J10492" t="inlineStr">
        <is>
          <t>RT1-Db1</t>
        </is>
      </c>
      <c r="K10492" t="inlineStr">
        <is>
          <t>HB2D_RAT</t>
        </is>
      </c>
      <c r="L10492" t="inlineStr">
        <is>
          <t>sp|P18211|HB2D_RAT Rano class II histocompatibility antigen, D-1 beta chain OS=Rattus norvegicus OX=10116 GN=RT1-Db1 PE=2 SV=1</t>
        </is>
      </c>
      <c r="M10492" t="n">
        <v>264</v>
      </c>
      <c r="N10492" t="inlineStr">
        <is>
          <t>Rattus norvegicus</t>
        </is>
      </c>
      <c r="O10492" t="inlineStr">
        <is>
          <t>Rano class II histocompatibility antigen, D-1 beta chain</t>
        </is>
      </c>
    </row>
    <row r="10493">
      <c r="A10493" t="inlineStr"/>
      <c r="B10493" t="inlineStr"/>
      <c r="C10493" t="inlineStr"/>
      <c r="D10493" t="inlineStr"/>
      <c r="E10493">
        <f>HYPERLINK("https://www.uniprot.org/uniprotkb/P01915/entry", "P01915")</f>
        <v/>
      </c>
      <c r="F10493" t="n">
        <v>40.9</v>
      </c>
      <c r="G10493" t="n">
        <v>154</v>
      </c>
      <c r="H10493" t="n">
        <v>2.78e-35</v>
      </c>
      <c r="I10493" t="inlineStr">
        <is>
          <t>Swiss-Prot</t>
        </is>
      </c>
      <c r="J10493" t="inlineStr"/>
      <c r="K10493" t="inlineStr">
        <is>
          <t>HB22_MOUSE</t>
        </is>
      </c>
      <c r="L10493" t="inlineStr">
        <is>
          <t>sp|P01915|HB22_MOUSE H-2 class II histocompatibility antigen, E-D beta chain OS=Mus musculus OX=10090 PE=3 SV=1</t>
        </is>
      </c>
      <c r="M10493" t="n">
        <v>264</v>
      </c>
      <c r="N10493" t="inlineStr">
        <is>
          <t>Mus musculus</t>
        </is>
      </c>
      <c r="O10493" t="inlineStr">
        <is>
          <t>H-2 class II histocompatibility antigen, E-D beta chain</t>
        </is>
      </c>
    </row>
    <row r="10494">
      <c r="A10494" t="inlineStr"/>
      <c r="B10494" t="inlineStr"/>
      <c r="C10494" t="inlineStr"/>
      <c r="D10494" t="inlineStr"/>
      <c r="E10494">
        <f>HYPERLINK("https://www.ncbi.nlm.nih.gov/gene/?term=OCT74282.1", "OCT74282.1")</f>
        <v/>
      </c>
      <c r="F10494" t="n">
        <v>39.6</v>
      </c>
      <c r="G10494" t="n">
        <v>197</v>
      </c>
      <c r="H10494" t="n">
        <v>7.69e-35</v>
      </c>
      <c r="I10494" t="inlineStr">
        <is>
          <t>Nr</t>
        </is>
      </c>
      <c r="J10494" t="inlineStr"/>
      <c r="K10494" t="inlineStr"/>
      <c r="L10494" t="inlineStr">
        <is>
          <t>OCT74282.1 hypothetical protein XELAEV_18033243mg, partial [Xenopus laevis]</t>
        </is>
      </c>
      <c r="M10494" t="n">
        <v>449</v>
      </c>
      <c r="N10494" t="inlineStr">
        <is>
          <t>Xenopus laevis</t>
        </is>
      </c>
      <c r="O10494" t="inlineStr">
        <is>
          <t>hypothetical protein XELAEV_18033243mg, partial</t>
        </is>
      </c>
    </row>
    <row r="10495">
      <c r="A10495" t="inlineStr"/>
      <c r="B10495" t="inlineStr"/>
      <c r="C10495" t="inlineStr"/>
      <c r="D10495" t="inlineStr"/>
      <c r="E10495">
        <f>HYPERLINK("https://www.uniprot.org/uniprotkb/P04440/entry", "P04440")</f>
        <v/>
      </c>
      <c r="F10495" t="n">
        <v>39.6</v>
      </c>
      <c r="G10495" t="n">
        <v>154</v>
      </c>
      <c r="H10495" t="n">
        <v>9.510000000000001e-35</v>
      </c>
      <c r="I10495" t="inlineStr">
        <is>
          <t>Swiss-Prot</t>
        </is>
      </c>
      <c r="J10495" t="inlineStr">
        <is>
          <t>HLA-DPB1</t>
        </is>
      </c>
      <c r="K10495" t="inlineStr">
        <is>
          <t>DPB1_HUMAN</t>
        </is>
      </c>
      <c r="L10495" t="inlineStr">
        <is>
          <t>sp|P04440|DPB1_HUMAN HLA class II histocompatibility antigen, DP beta 1 chain OS=Homo sapiens OX=9606 GN=HLA-DPB1 PE=1 SV=1</t>
        </is>
      </c>
      <c r="M10495" t="n">
        <v>258</v>
      </c>
      <c r="N10495" t="inlineStr">
        <is>
          <t>Homo sapiens</t>
        </is>
      </c>
      <c r="O10495" t="inlineStr">
        <is>
          <t>HLA class II histocompatibility antigen, DP beta 1 chain</t>
        </is>
      </c>
    </row>
    <row r="10496">
      <c r="A10496" t="inlineStr"/>
      <c r="B10496" t="inlineStr"/>
      <c r="C10496" t="inlineStr"/>
      <c r="D10496" t="inlineStr"/>
      <c r="E10496">
        <f>HYPERLINK("https://www.uniprot.org/uniprotkb/P06341/entry", "P06341")</f>
        <v/>
      </c>
      <c r="F10496" t="n">
        <v>43.1</v>
      </c>
      <c r="G10496" t="n">
        <v>153</v>
      </c>
      <c r="H10496" t="n">
        <v>1.02e-34</v>
      </c>
      <c r="I10496" t="inlineStr">
        <is>
          <t>Swiss-Prot</t>
        </is>
      </c>
      <c r="J10496" t="inlineStr">
        <is>
          <t>RT1-B</t>
        </is>
      </c>
      <c r="K10496" t="inlineStr">
        <is>
          <t>HB2A_RAT</t>
        </is>
      </c>
      <c r="L10496" t="inlineStr">
        <is>
          <t>sp|P06341|HB2A_RAT Rano class II histocompatibility antigen, A beta chain (Fragment) OS=Rattus norvegicus OX=10116 GN=RT1-B PE=3 SV=1</t>
        </is>
      </c>
      <c r="M10496" t="n">
        <v>233</v>
      </c>
      <c r="N10496" t="inlineStr">
        <is>
          <t>Rattus norvegicus</t>
        </is>
      </c>
      <c r="O10496" t="inlineStr">
        <is>
          <t>Rano class II histocompatibility antigen, A beta chain (Fragment)</t>
        </is>
      </c>
    </row>
    <row r="10497">
      <c r="A10497" t="inlineStr"/>
      <c r="B10497" t="inlineStr"/>
      <c r="C10497" t="inlineStr"/>
      <c r="D10497" t="inlineStr"/>
      <c r="E10497">
        <f>HYPERLINK("https://www.uniprot.org/uniprotkb/P04230/entry", "P04230")</f>
        <v/>
      </c>
      <c r="F10497" t="n">
        <v>40.9</v>
      </c>
      <c r="G10497" t="n">
        <v>154</v>
      </c>
      <c r="H10497" t="n">
        <v>1.1e-34</v>
      </c>
      <c r="I10497" t="inlineStr">
        <is>
          <t>Swiss-Prot</t>
        </is>
      </c>
      <c r="J10497" t="inlineStr">
        <is>
          <t>H2-Eb1</t>
        </is>
      </c>
      <c r="K10497" t="inlineStr">
        <is>
          <t>HB21_MOUSE</t>
        </is>
      </c>
      <c r="L10497" t="inlineStr">
        <is>
          <t>sp|P04230|HB21_MOUSE H-2 class II histocompatibility antigen, E-B beta chain OS=Mus musculus OX=10090 GN=H2-Eb1 PE=1 SV=1</t>
        </is>
      </c>
      <c r="M10497" t="n">
        <v>264</v>
      </c>
      <c r="N10497" t="inlineStr">
        <is>
          <t>Mus musculus</t>
        </is>
      </c>
      <c r="O10497" t="inlineStr">
        <is>
          <t>H-2 class II histocompatibility antigen, E-B beta chain</t>
        </is>
      </c>
    </row>
    <row r="10498">
      <c r="A10498" t="inlineStr"/>
      <c r="B10498" t="inlineStr"/>
      <c r="C10498" t="inlineStr"/>
      <c r="D10498" t="inlineStr"/>
      <c r="E10498">
        <f>HYPERLINK("https://www.ncbi.nlm.nih.gov/gene/?term=OCT80133.1", "OCT80133.1")</f>
        <v/>
      </c>
      <c r="F10498" t="n">
        <v>42.5</v>
      </c>
      <c r="G10498" t="n">
        <v>193</v>
      </c>
      <c r="H10498" t="n">
        <v>1.43e-34</v>
      </c>
      <c r="I10498" t="inlineStr">
        <is>
          <t>Nr</t>
        </is>
      </c>
      <c r="J10498" t="inlineStr"/>
      <c r="K10498" t="inlineStr"/>
      <c r="L10498" t="inlineStr">
        <is>
          <t>OCT80133.1 hypothetical protein XELAEV_18026943mg [Xenopus laevis]</t>
        </is>
      </c>
      <c r="M10498" t="n">
        <v>303</v>
      </c>
      <c r="N10498" t="inlineStr">
        <is>
          <t>Xenopus laevis</t>
        </is>
      </c>
      <c r="O10498" t="inlineStr">
        <is>
          <t>hypothetical protein XELAEV_18026943mg</t>
        </is>
      </c>
    </row>
    <row r="10499">
      <c r="A10499" t="inlineStr"/>
      <c r="B10499" t="inlineStr"/>
      <c r="C10499" t="inlineStr"/>
      <c r="D10499" t="inlineStr"/>
      <c r="E10499">
        <f>HYPERLINK("https://www.uniprot.org/uniprotkb/P06342/entry", "P06342")</f>
        <v/>
      </c>
      <c r="F10499" t="n">
        <v>41.8</v>
      </c>
      <c r="G10499" t="n">
        <v>153</v>
      </c>
      <c r="H10499" t="n">
        <v>1.58e-34</v>
      </c>
      <c r="I10499" t="inlineStr">
        <is>
          <t>Swiss-Prot</t>
        </is>
      </c>
      <c r="J10499" t="inlineStr">
        <is>
          <t>H2-Ab1</t>
        </is>
      </c>
      <c r="K10499" t="inlineStr">
        <is>
          <t>HB2Q_MOUSE</t>
        </is>
      </c>
      <c r="L10499" t="inlineStr">
        <is>
          <t>sp|P06342|HB2Q_MOUSE H-2 class II histocompatibility antigen, A-Q beta chain OS=Mus musculus OX=10090 GN=H2-Ab1 PE=1 SV=1</t>
        </is>
      </c>
      <c r="M10499" t="n">
        <v>265</v>
      </c>
      <c r="N10499" t="inlineStr">
        <is>
          <t>Mus musculus</t>
        </is>
      </c>
      <c r="O10499" t="inlineStr">
        <is>
          <t>H-2 class II histocompatibility antigen, A-Q beta chain</t>
        </is>
      </c>
    </row>
    <row r="10500">
      <c r="A10500" t="inlineStr"/>
      <c r="B10500" t="inlineStr"/>
      <c r="C10500" t="inlineStr"/>
      <c r="D10500" t="inlineStr"/>
      <c r="E10500">
        <f>HYPERLINK("https://www.uniprot.org/uniprotkb/P06346/entry", "P06346")</f>
        <v/>
      </c>
      <c r="F10500" t="n">
        <v>41.8</v>
      </c>
      <c r="G10500" t="n">
        <v>153</v>
      </c>
      <c r="H10500" t="n">
        <v>4.59e-34</v>
      </c>
      <c r="I10500" t="inlineStr">
        <is>
          <t>Swiss-Prot</t>
        </is>
      </c>
      <c r="J10500" t="inlineStr">
        <is>
          <t>H2-Ab1</t>
        </is>
      </c>
      <c r="K10500" t="inlineStr">
        <is>
          <t>HB2F_MOUSE</t>
        </is>
      </c>
      <c r="L10500" t="inlineStr">
        <is>
          <t>sp|P06346|HB2F_MOUSE H-2 class II histocompatibility antigen, A-F beta chain (Fragment) OS=Mus musculus OX=10090 GN=H2-Ab1 PE=1 SV=1</t>
        </is>
      </c>
      <c r="M10500" t="n">
        <v>252</v>
      </c>
      <c r="N10500" t="inlineStr">
        <is>
          <t>Mus musculus</t>
        </is>
      </c>
      <c r="O10500" t="inlineStr">
        <is>
          <t>H-2 class II histocompatibility antigen, A-F beta chain (Fragment)</t>
        </is>
      </c>
    </row>
    <row r="10501">
      <c r="A10501" t="inlineStr"/>
      <c r="B10501" t="inlineStr"/>
      <c r="C10501" t="inlineStr"/>
      <c r="D10501" t="inlineStr"/>
      <c r="E10501">
        <f>HYPERLINK("https://www.uniprot.org/uniprotkb/P20756/entry", "P20756")</f>
        <v/>
      </c>
      <c r="F10501" t="n">
        <v>39.7</v>
      </c>
      <c r="G10501" t="n">
        <v>151</v>
      </c>
      <c r="H10501" t="n">
        <v>7.289999999999999e-34</v>
      </c>
      <c r="I10501" t="inlineStr">
        <is>
          <t>Swiss-Prot</t>
        </is>
      </c>
      <c r="J10501" t="inlineStr"/>
      <c r="K10501" t="inlineStr">
        <is>
          <t>HB2P_RABIT</t>
        </is>
      </c>
      <c r="L10501" t="inlineStr">
        <is>
          <t>sp|P20756|HB2P_RABIT RLA class II histocompatibility antigen, DP beta chain OS=Oryctolagus cuniculus OX=9986 PE=3 SV=1</t>
        </is>
      </c>
      <c r="M10501" t="n">
        <v>257</v>
      </c>
      <c r="N10501" t="inlineStr">
        <is>
          <t>Oryctolagus cuniculus</t>
        </is>
      </c>
      <c r="O10501" t="inlineStr">
        <is>
          <t>RLA class II histocompatibility antigen, DP beta chain</t>
        </is>
      </c>
    </row>
    <row r="10502">
      <c r="A10502" t="inlineStr"/>
      <c r="B10502" t="inlineStr"/>
      <c r="C10502" t="inlineStr"/>
      <c r="D10502" t="inlineStr"/>
      <c r="E10502">
        <f>HYPERLINK("https://www.uniprot.org/uniprotkb/A0A8J1LXC1/entry", "A0A8J1LXC1")</f>
        <v/>
      </c>
      <c r="F10502" t="n">
        <v>42.2</v>
      </c>
      <c r="G10502" t="n">
        <v>185</v>
      </c>
      <c r="H10502" t="n">
        <v>8.91e-34</v>
      </c>
      <c r="I10502" t="inlineStr">
        <is>
          <t>TrEMBL</t>
        </is>
      </c>
      <c r="J10502" t="inlineStr">
        <is>
          <t>LOC121398324</t>
        </is>
      </c>
      <c r="K10502" t="inlineStr">
        <is>
          <t>A0A8J1LXC1_XENLA</t>
        </is>
      </c>
      <c r="L10502" t="inlineStr">
        <is>
          <t>tr|A0A8J1LXC1|A0A8J1LXC1_XENLA uncharacterized protein LOC121398324 OS=Xenopus laevis OX=8355 GN=LOC121398324 PE=4 SV=1</t>
        </is>
      </c>
      <c r="M10502" t="n">
        <v>305</v>
      </c>
      <c r="N10502" t="inlineStr">
        <is>
          <t>Xenopus laevis</t>
        </is>
      </c>
      <c r="O10502" t="inlineStr">
        <is>
          <t>uncharacterized protein LOC121398324</t>
        </is>
      </c>
    </row>
    <row r="10503">
      <c r="A10503" t="inlineStr"/>
      <c r="B10503" t="inlineStr"/>
      <c r="C10503" t="inlineStr"/>
      <c r="D10503" t="inlineStr"/>
      <c r="E10503">
        <f>HYPERLINK("https://www.uniprot.org/uniprotkb/P01921/entry", "P01921")</f>
        <v/>
      </c>
      <c r="F10503" t="n">
        <v>41.8</v>
      </c>
      <c r="G10503" t="n">
        <v>153</v>
      </c>
      <c r="H10503" t="n">
        <v>1.24e-33</v>
      </c>
      <c r="I10503" t="inlineStr">
        <is>
          <t>Swiss-Prot</t>
        </is>
      </c>
      <c r="J10503" t="inlineStr">
        <is>
          <t>H2-Ab1</t>
        </is>
      </c>
      <c r="K10503" t="inlineStr">
        <is>
          <t>HB2D_MOUSE</t>
        </is>
      </c>
      <c r="L10503" t="inlineStr">
        <is>
          <t>sp|P01921|HB2D_MOUSE H-2 class II histocompatibility antigen, A-D beta chain OS=Mus musculus OX=10090 GN=H2-Ab1 PE=1 SV=1</t>
        </is>
      </c>
      <c r="M10503" t="n">
        <v>265</v>
      </c>
      <c r="N10503" t="inlineStr">
        <is>
          <t>Mus musculus</t>
        </is>
      </c>
      <c r="O10503" t="inlineStr">
        <is>
          <t>H-2 class II histocompatibility antigen, A-D beta chain</t>
        </is>
      </c>
    </row>
    <row r="10504">
      <c r="A10504" t="inlineStr"/>
      <c r="B10504" t="inlineStr"/>
      <c r="C10504" t="inlineStr"/>
      <c r="D10504" t="inlineStr"/>
      <c r="E10504">
        <f>HYPERLINK("https://www.ncbi.nlm.nih.gov/gene/?term=OCT62550.1", "OCT62550.1")</f>
        <v/>
      </c>
      <c r="F10504" t="n">
        <v>42.2</v>
      </c>
      <c r="G10504" t="n">
        <v>185</v>
      </c>
      <c r="H10504" t="n">
        <v>2.24e-33</v>
      </c>
      <c r="I10504" t="inlineStr">
        <is>
          <t>Nr</t>
        </is>
      </c>
      <c r="J10504" t="inlineStr"/>
      <c r="K10504" t="inlineStr"/>
      <c r="L10504" t="inlineStr">
        <is>
          <t>OCT62550.1 hypothetical protein XELAEV_18043634mg [Xenopus laevis]</t>
        </is>
      </c>
      <c r="M10504" t="n">
        <v>304</v>
      </c>
      <c r="N10504" t="inlineStr">
        <is>
          <t>Xenopus laevis</t>
        </is>
      </c>
      <c r="O10504" t="inlineStr">
        <is>
          <t>hypothetical protein XELAEV_18043634mg</t>
        </is>
      </c>
    </row>
    <row r="10505">
      <c r="A10505" t="inlineStr"/>
      <c r="B10505" t="inlineStr"/>
      <c r="C10505" t="inlineStr"/>
      <c r="D10505" t="inlineStr"/>
      <c r="E10505">
        <f>HYPERLINK("https://www.ncbi.nlm.nih.gov/gene/?term=XP_041433395.1", "XP_041433395.1")</f>
        <v/>
      </c>
      <c r="F10505" t="n">
        <v>42.2</v>
      </c>
      <c r="G10505" t="n">
        <v>185</v>
      </c>
      <c r="H10505" t="n">
        <v>2.29e-33</v>
      </c>
      <c r="I10505" t="inlineStr">
        <is>
          <t>Nr</t>
        </is>
      </c>
      <c r="J10505" t="inlineStr"/>
      <c r="K10505" t="inlineStr"/>
      <c r="L10505" t="inlineStr">
        <is>
          <t>XP_041433395.1 uncharacterized protein LOC121398324 [Xenopus laevis]</t>
        </is>
      </c>
      <c r="M10505" t="n">
        <v>305</v>
      </c>
      <c r="N10505" t="inlineStr">
        <is>
          <t>Xenopus laevis</t>
        </is>
      </c>
      <c r="O10505" t="inlineStr">
        <is>
          <t>uncharacterized protein LOC121398324</t>
        </is>
      </c>
    </row>
    <row r="10506">
      <c r="A10506" t="inlineStr"/>
      <c r="B10506" t="inlineStr"/>
      <c r="C10506" t="inlineStr"/>
      <c r="D10506" t="inlineStr"/>
      <c r="E10506">
        <f>HYPERLINK("https://www.uniprot.org/uniprotkb/A0A8J1JUH1/entry", "A0A8J1JUH1")</f>
        <v/>
      </c>
      <c r="F10506" t="n">
        <v>42.4</v>
      </c>
      <c r="G10506" t="n">
        <v>184</v>
      </c>
      <c r="H10506" t="n">
        <v>6.95e-33</v>
      </c>
      <c r="I10506" t="inlineStr">
        <is>
          <t>TrEMBL</t>
        </is>
      </c>
      <c r="J10506" t="inlineStr">
        <is>
          <t>LOC116411651</t>
        </is>
      </c>
      <c r="K10506" t="inlineStr">
        <is>
          <t>A0A8J1JUH1_XENTR</t>
        </is>
      </c>
      <c r="L10506" t="inlineStr">
        <is>
          <t>tr|A0A8J1JUH1|A0A8J1JUH1_XENTR uncharacterized protein LOC116411651 OS=Xenopus tropicalis OX=8364 GN=LOC116411651 PE=4 SV=1</t>
        </is>
      </c>
      <c r="M10506" t="n">
        <v>261</v>
      </c>
      <c r="N10506" t="inlineStr">
        <is>
          <t>Xenopus tropicalis</t>
        </is>
      </c>
      <c r="O10506" t="inlineStr">
        <is>
          <t>uncharacterized protein LOC116411651</t>
        </is>
      </c>
    </row>
    <row r="10507">
      <c r="A10507" t="inlineStr"/>
      <c r="B10507" t="inlineStr"/>
      <c r="C10507" t="inlineStr"/>
      <c r="D10507" t="inlineStr"/>
      <c r="E10507">
        <f>HYPERLINK("https://www.uniprot.org/uniprotkb/A0A8J1J457/entry", "A0A8J1J457")</f>
        <v/>
      </c>
      <c r="F10507" t="n">
        <v>42.4</v>
      </c>
      <c r="G10507" t="n">
        <v>184</v>
      </c>
      <c r="H10507" t="n">
        <v>6.95e-33</v>
      </c>
      <c r="I10507" t="inlineStr">
        <is>
          <t>TrEMBL</t>
        </is>
      </c>
      <c r="J10507" t="inlineStr">
        <is>
          <t>LOC116408814</t>
        </is>
      </c>
      <c r="K10507" t="inlineStr">
        <is>
          <t>A0A8J1J457_XENTR</t>
        </is>
      </c>
      <c r="L10507" t="inlineStr">
        <is>
          <t>tr|A0A8J1J457|A0A8J1J457_XENTR uncharacterized protein LOC116408814 isoform X2 OS=Xenopus tropicalis OX=8364 GN=LOC116408814 PE=4 SV=1</t>
        </is>
      </c>
      <c r="M10507" t="n">
        <v>261</v>
      </c>
      <c r="N10507" t="inlineStr">
        <is>
          <t>Xenopus tropicalis</t>
        </is>
      </c>
      <c r="O10507" t="inlineStr">
        <is>
          <t>uncharacterized protein LOC116408814 isoform X2</t>
        </is>
      </c>
    </row>
    <row r="10508">
      <c r="A10508" t="inlineStr"/>
      <c r="B10508" t="inlineStr"/>
      <c r="C10508" t="inlineStr"/>
      <c r="D10508" t="inlineStr"/>
      <c r="E10508">
        <f>HYPERLINK("https://www.ncbi.nlm.nih.gov/gene/?term=OCT88252.1", "OCT88252.1")</f>
        <v/>
      </c>
      <c r="F10508" t="n">
        <v>41.1</v>
      </c>
      <c r="G10508" t="n">
        <v>175</v>
      </c>
      <c r="H10508" t="n">
        <v>7.04e-33</v>
      </c>
      <c r="I10508" t="inlineStr">
        <is>
          <t>Nr</t>
        </is>
      </c>
      <c r="J10508" t="inlineStr"/>
      <c r="K10508" t="inlineStr"/>
      <c r="L10508" t="inlineStr">
        <is>
          <t>OCT88252.1 hypothetical protein XELAEV_18016882mg, partial [Xenopus laevis]</t>
        </is>
      </c>
      <c r="M10508" t="n">
        <v>186</v>
      </c>
      <c r="N10508" t="inlineStr">
        <is>
          <t>Xenopus laevis</t>
        </is>
      </c>
      <c r="O10508" t="inlineStr">
        <is>
          <t>hypothetical protein XELAEV_18016882mg, partial</t>
        </is>
      </c>
    </row>
    <row r="10509">
      <c r="A10509" t="inlineStr"/>
      <c r="B10509" t="inlineStr"/>
      <c r="C10509" t="inlineStr"/>
      <c r="D10509" t="inlineStr"/>
      <c r="E10509">
        <f>HYPERLINK("https://www.ncbi.nlm.nih.gov/gene/?term=XP_040289960.1", "XP_040289960.1")</f>
        <v/>
      </c>
      <c r="F10509" t="n">
        <v>40.6</v>
      </c>
      <c r="G10509" t="n">
        <v>170</v>
      </c>
      <c r="H10509" t="n">
        <v>7.920000000000001e-33</v>
      </c>
      <c r="I10509" t="inlineStr">
        <is>
          <t>Nr</t>
        </is>
      </c>
      <c r="J10509" t="inlineStr"/>
      <c r="K10509" t="inlineStr"/>
      <c r="L10509" t="inlineStr">
        <is>
          <t>XP_040289960.1 uncharacterized protein LOC121002581 [Bufo bufo]</t>
        </is>
      </c>
      <c r="M10509" t="n">
        <v>242</v>
      </c>
      <c r="N10509" t="inlineStr">
        <is>
          <t>Bufo bufo</t>
        </is>
      </c>
      <c r="O10509" t="inlineStr">
        <is>
          <t>uncharacterized protein LOC121002581</t>
        </is>
      </c>
    </row>
    <row r="10510">
      <c r="A10510" t="inlineStr"/>
      <c r="B10510" t="inlineStr"/>
      <c r="C10510" t="inlineStr"/>
      <c r="D10510" t="inlineStr"/>
      <c r="E10510">
        <f>HYPERLINK("https://www.ncbi.nlm.nih.gov/gene/?term=OCU01153.1", "OCU01153.1")</f>
        <v/>
      </c>
      <c r="F10510" t="n">
        <v>42.1</v>
      </c>
      <c r="G10510" t="n">
        <v>183</v>
      </c>
      <c r="H10510" t="n">
        <v>1.35e-32</v>
      </c>
      <c r="I10510" t="inlineStr">
        <is>
          <t>Nr</t>
        </is>
      </c>
      <c r="J10510" t="inlineStr"/>
      <c r="K10510" t="inlineStr"/>
      <c r="L10510" t="inlineStr">
        <is>
          <t>OCU01153.1 hypothetical protein XELAEV_18006939mg [Xenopus laevis]</t>
        </is>
      </c>
      <c r="M10510" t="n">
        <v>293</v>
      </c>
      <c r="N10510" t="inlineStr">
        <is>
          <t>Xenopus laevis</t>
        </is>
      </c>
      <c r="O10510" t="inlineStr">
        <is>
          <t>hypothetical protein XELAEV_18006939mg</t>
        </is>
      </c>
    </row>
    <row r="10511">
      <c r="A10511" t="inlineStr"/>
      <c r="B10511" t="inlineStr"/>
      <c r="C10511" t="inlineStr"/>
      <c r="D10511" t="inlineStr"/>
      <c r="E10511">
        <f>HYPERLINK("https://www.ncbi.nlm.nih.gov/gene/?term=OCT82630.1", "OCT82630.1")</f>
        <v/>
      </c>
      <c r="F10511" t="n">
        <v>41.5</v>
      </c>
      <c r="G10511" t="n">
        <v>188</v>
      </c>
      <c r="H10511" t="n">
        <v>1.7e-32</v>
      </c>
      <c r="I10511" t="inlineStr">
        <is>
          <t>Nr</t>
        </is>
      </c>
      <c r="J10511" t="inlineStr"/>
      <c r="K10511" t="inlineStr"/>
      <c r="L10511" t="inlineStr">
        <is>
          <t>OCT82630.1 hypothetical protein XELAEV_18025159mg [Xenopus laevis]</t>
        </is>
      </c>
      <c r="M10511" t="n">
        <v>245</v>
      </c>
      <c r="N10511" t="inlineStr">
        <is>
          <t>Xenopus laevis</t>
        </is>
      </c>
      <c r="O10511" t="inlineStr">
        <is>
          <t>hypothetical protein XELAEV_18025159mg</t>
        </is>
      </c>
    </row>
    <row r="10512">
      <c r="A10512" t="inlineStr"/>
      <c r="B10512" t="inlineStr"/>
      <c r="C10512" t="inlineStr"/>
      <c r="D10512" t="inlineStr"/>
      <c r="E10512">
        <f>HYPERLINK("https://www.ncbi.nlm.nih.gov/gene/?term=XP_031760251.1", "XP_031760251.1")</f>
        <v/>
      </c>
      <c r="F10512" t="n">
        <v>42.4</v>
      </c>
      <c r="G10512" t="n">
        <v>184</v>
      </c>
      <c r="H10512" t="n">
        <v>1.79e-32</v>
      </c>
      <c r="I10512" t="inlineStr">
        <is>
          <t>Nr</t>
        </is>
      </c>
      <c r="J10512" t="inlineStr"/>
      <c r="K10512" t="inlineStr"/>
      <c r="L10512" t="inlineStr">
        <is>
          <t>XP_031760251.1 uncharacterized protein LOC116411651 [Xenopus tropicalis]</t>
        </is>
      </c>
      <c r="M10512" t="n">
        <v>261</v>
      </c>
      <c r="N10512" t="inlineStr">
        <is>
          <t>Xenopus tropicalis</t>
        </is>
      </c>
      <c r="O10512" t="inlineStr">
        <is>
          <t>uncharacterized protein LOC116411651</t>
        </is>
      </c>
    </row>
    <row r="10513">
      <c r="A10513" t="inlineStr"/>
      <c r="B10513" t="inlineStr"/>
      <c r="C10513" t="inlineStr"/>
      <c r="D10513" t="inlineStr"/>
      <c r="E10513">
        <f>HYPERLINK("https://www.ncbi.nlm.nih.gov/gene/?term=XP_031752642.1", "XP_031752642.1")</f>
        <v/>
      </c>
      <c r="F10513" t="n">
        <v>42.4</v>
      </c>
      <c r="G10513" t="n">
        <v>184</v>
      </c>
      <c r="H10513" t="n">
        <v>1.79e-32</v>
      </c>
      <c r="I10513" t="inlineStr">
        <is>
          <t>Nr</t>
        </is>
      </c>
      <c r="J10513" t="inlineStr"/>
      <c r="K10513" t="inlineStr"/>
      <c r="L10513" t="inlineStr">
        <is>
          <t>XP_031752642.1 uncharacterized protein LOC116408814 isoform X2 [Xenopus tropicalis]</t>
        </is>
      </c>
      <c r="M10513" t="n">
        <v>261</v>
      </c>
      <c r="N10513" t="inlineStr">
        <is>
          <t>Xenopus tropicalis</t>
        </is>
      </c>
      <c r="O10513" t="inlineStr">
        <is>
          <t>uncharacterized protein LOC116408814 isoform X2</t>
        </is>
      </c>
    </row>
    <row r="10514">
      <c r="A10514" t="inlineStr"/>
      <c r="B10514" t="inlineStr"/>
      <c r="C10514" t="inlineStr"/>
      <c r="D10514" t="inlineStr"/>
      <c r="E10514">
        <f>HYPERLINK("https://www.uniprot.org/uniprotkb/A0A8J1J7K8/entry", "A0A8J1J7K8")</f>
        <v/>
      </c>
      <c r="F10514" t="n">
        <v>42.4</v>
      </c>
      <c r="G10514" t="n">
        <v>184</v>
      </c>
      <c r="H10514" t="n">
        <v>2.12e-32</v>
      </c>
      <c r="I10514" t="inlineStr">
        <is>
          <t>TrEMBL</t>
        </is>
      </c>
      <c r="J10514" t="inlineStr">
        <is>
          <t>LOC116408814</t>
        </is>
      </c>
      <c r="K10514" t="inlineStr">
        <is>
          <t>A0A8J1J7K8_XENTR</t>
        </is>
      </c>
      <c r="L10514" t="inlineStr">
        <is>
          <t>tr|A0A8J1J7K8|A0A8J1J7K8_XENTR uncharacterized protein LOC116408814 isoform X1 OS=Xenopus tropicalis OX=8364 GN=LOC116408814 PE=4 SV=1</t>
        </is>
      </c>
      <c r="M10514" t="n">
        <v>310</v>
      </c>
      <c r="N10514" t="inlineStr">
        <is>
          <t>Xenopus tropicalis</t>
        </is>
      </c>
      <c r="O10514" t="inlineStr">
        <is>
          <t>uncharacterized protein LOC116408814 isoform X1</t>
        </is>
      </c>
    </row>
    <row r="10515">
      <c r="A10515" t="inlineStr"/>
      <c r="B10515" t="inlineStr"/>
      <c r="C10515" t="inlineStr"/>
      <c r="D10515" t="inlineStr"/>
      <c r="E10515">
        <f>HYPERLINK("https://www.uniprot.org/uniprotkb/A0A8J1KMH9/entry", "A0A8J1KMH9")</f>
        <v/>
      </c>
      <c r="F10515" t="n">
        <v>42.6</v>
      </c>
      <c r="G10515" t="n">
        <v>190</v>
      </c>
      <c r="H10515" t="n">
        <v>1.08e-31</v>
      </c>
      <c r="I10515" t="inlineStr">
        <is>
          <t>TrEMBL</t>
        </is>
      </c>
      <c r="J10515" t="inlineStr">
        <is>
          <t>LOC121393321</t>
        </is>
      </c>
      <c r="K10515" t="inlineStr">
        <is>
          <t>A0A8J1KMH9_XENLA</t>
        </is>
      </c>
      <c r="L10515" t="inlineStr">
        <is>
          <t>tr|A0A8J1KMH9|A0A8J1KMH9_XENLA uncharacterized protein LOC121393321 OS=Xenopus laevis OX=8355 GN=LOC121393321 PE=4 SV=1</t>
        </is>
      </c>
      <c r="M10515" t="n">
        <v>323</v>
      </c>
      <c r="N10515" t="inlineStr">
        <is>
          <t>Xenopus laevis</t>
        </is>
      </c>
      <c r="O10515" t="inlineStr">
        <is>
          <t>uncharacterized protein LOC121393321</t>
        </is>
      </c>
    </row>
    <row r="10516">
      <c r="A10516" t="inlineStr"/>
      <c r="B10516" t="inlineStr"/>
      <c r="C10516" t="inlineStr"/>
      <c r="D10516" t="inlineStr"/>
      <c r="E10516">
        <f>HYPERLINK("https://www.uniprot.org/uniprotkb/A0A8J1KQU9/entry", "A0A8J1KQU9")</f>
        <v/>
      </c>
      <c r="F10516" t="n">
        <v>43.6</v>
      </c>
      <c r="G10516" t="n">
        <v>172</v>
      </c>
      <c r="H10516" t="n">
        <v>1.22e-31</v>
      </c>
      <c r="I10516" t="inlineStr">
        <is>
          <t>TrEMBL</t>
        </is>
      </c>
      <c r="J10516" t="inlineStr">
        <is>
          <t>LOC121393902</t>
        </is>
      </c>
      <c r="K10516" t="inlineStr">
        <is>
          <t>A0A8J1KQU9_XENLA</t>
        </is>
      </c>
      <c r="L10516" t="inlineStr">
        <is>
          <t>tr|A0A8J1KQU9|A0A8J1KQU9_XENLA uncharacterized protein LOC121393902 OS=Xenopus laevis OX=8355 GN=LOC121393902 PE=4 SV=1</t>
        </is>
      </c>
      <c r="M10516" t="n">
        <v>281</v>
      </c>
      <c r="N10516" t="inlineStr">
        <is>
          <t>Xenopus laevis</t>
        </is>
      </c>
      <c r="O10516" t="inlineStr">
        <is>
          <t>uncharacterized protein LOC121393902</t>
        </is>
      </c>
    </row>
    <row r="10517">
      <c r="A10517" t="inlineStr"/>
      <c r="B10517" t="inlineStr"/>
      <c r="C10517" t="inlineStr"/>
      <c r="D10517" t="inlineStr"/>
      <c r="E10517">
        <f>HYPERLINK("https://www.uniprot.org/uniprotkb/A0A8J1MA75/entry", "A0A8J1MA75")</f>
        <v/>
      </c>
      <c r="F10517" t="n">
        <v>42.5</v>
      </c>
      <c r="G10517" t="n">
        <v>193</v>
      </c>
      <c r="H10517" t="n">
        <v>1.33e-30</v>
      </c>
      <c r="I10517" t="inlineStr">
        <is>
          <t>TrEMBL</t>
        </is>
      </c>
      <c r="J10517" t="inlineStr">
        <is>
          <t>LOC121399975</t>
        </is>
      </c>
      <c r="K10517" t="inlineStr">
        <is>
          <t>A0A8J1MA75_XENLA</t>
        </is>
      </c>
      <c r="L10517" t="inlineStr">
        <is>
          <t>tr|A0A8J1MA75|A0A8J1MA75_XENLA uncharacterized protein LOC121399975 OS=Xenopus laevis OX=8355 GN=LOC121399975 PE=4 SV=1</t>
        </is>
      </c>
      <c r="M10517" t="n">
        <v>330</v>
      </c>
      <c r="N10517" t="inlineStr">
        <is>
          <t>Xenopus laevis</t>
        </is>
      </c>
      <c r="O10517" t="inlineStr">
        <is>
          <t>uncharacterized protein LOC121399975</t>
        </is>
      </c>
    </row>
    <row r="10518">
      <c r="A10518" t="inlineStr"/>
      <c r="B10518" t="inlineStr"/>
      <c r="C10518" t="inlineStr"/>
      <c r="D10518" t="inlineStr"/>
      <c r="E10518">
        <f>HYPERLINK("https://www.uniprot.org/uniprotkb/A0A8J1KUX3/entry", "A0A8J1KUX3")</f>
        <v/>
      </c>
      <c r="F10518" t="n">
        <v>44.2</v>
      </c>
      <c r="G10518" t="n">
        <v>172</v>
      </c>
      <c r="H10518" t="n">
        <v>1.41e-30</v>
      </c>
      <c r="I10518" t="inlineStr">
        <is>
          <t>TrEMBL</t>
        </is>
      </c>
      <c r="J10518" t="inlineStr">
        <is>
          <t>LOC121394352</t>
        </is>
      </c>
      <c r="K10518" t="inlineStr">
        <is>
          <t>A0A8J1KUX3_XENLA</t>
        </is>
      </c>
      <c r="L10518" t="inlineStr">
        <is>
          <t>tr|A0A8J1KUX3|A0A8J1KUX3_XENLA uncharacterized protein LOC121394352 OS=Xenopus laevis OX=8355 GN=LOC121394352 PE=4 SV=1</t>
        </is>
      </c>
      <c r="M10518" t="n">
        <v>284</v>
      </c>
      <c r="N10518" t="inlineStr">
        <is>
          <t>Xenopus laevis</t>
        </is>
      </c>
      <c r="O10518" t="inlineStr">
        <is>
          <t>uncharacterized protein LOC121394352</t>
        </is>
      </c>
    </row>
    <row r="10519">
      <c r="A10519" t="inlineStr"/>
      <c r="B10519" t="inlineStr"/>
      <c r="C10519" t="inlineStr"/>
      <c r="D10519" t="inlineStr"/>
      <c r="E10519">
        <f>HYPERLINK("https://www.uniprot.org/uniprotkb/A0A8J1LNZ4/entry", "A0A8J1LNZ4")</f>
        <v/>
      </c>
      <c r="F10519" t="n">
        <v>43.6</v>
      </c>
      <c r="G10519" t="n">
        <v>172</v>
      </c>
      <c r="H10519" t="n">
        <v>1.98e-30</v>
      </c>
      <c r="I10519" t="inlineStr">
        <is>
          <t>TrEMBL</t>
        </is>
      </c>
      <c r="J10519" t="inlineStr">
        <is>
          <t>LOC121397712</t>
        </is>
      </c>
      <c r="K10519" t="inlineStr">
        <is>
          <t>A0A8J1LNZ4_XENLA</t>
        </is>
      </c>
      <c r="L10519" t="inlineStr">
        <is>
          <t>tr|A0A8J1LNZ4|A0A8J1LNZ4_XENLA uncharacterized protein LOC121397712 OS=Xenopus laevis OX=8355 GN=LOC121397712 PE=4 SV=1</t>
        </is>
      </c>
      <c r="M10519" t="n">
        <v>284</v>
      </c>
      <c r="N10519" t="inlineStr">
        <is>
          <t>Xenopus laevis</t>
        </is>
      </c>
      <c r="O10519" t="inlineStr">
        <is>
          <t>uncharacterized protein LOC121397712</t>
        </is>
      </c>
    </row>
    <row r="10520">
      <c r="A10520" t="inlineStr"/>
      <c r="B10520" t="inlineStr"/>
      <c r="C10520" t="inlineStr"/>
      <c r="D10520" t="inlineStr"/>
      <c r="E10520">
        <f>HYPERLINK("https://www.uniprot.org/uniprotkb/A0A8J1KL40/entry", "A0A8J1KL40")</f>
        <v/>
      </c>
      <c r="F10520" t="n">
        <v>42.1</v>
      </c>
      <c r="G10520" t="n">
        <v>190</v>
      </c>
      <c r="H10520" t="n">
        <v>2.27e-30</v>
      </c>
      <c r="I10520" t="inlineStr">
        <is>
          <t>TrEMBL</t>
        </is>
      </c>
      <c r="J10520" t="inlineStr">
        <is>
          <t>LOC121393322</t>
        </is>
      </c>
      <c r="K10520" t="inlineStr">
        <is>
          <t>A0A8J1KL40_XENLA</t>
        </is>
      </c>
      <c r="L10520" t="inlineStr">
        <is>
          <t>tr|A0A8J1KL40|A0A8J1KL40_XENLA uncharacterized protein LOC121393322 OS=Xenopus laevis OX=8355 GN=LOC121393322 PE=4 SV=1</t>
        </is>
      </c>
      <c r="M10520" t="n">
        <v>323</v>
      </c>
      <c r="N10520" t="inlineStr">
        <is>
          <t>Xenopus laevis</t>
        </is>
      </c>
      <c r="O10520" t="inlineStr">
        <is>
          <t>uncharacterized protein LOC121393322</t>
        </is>
      </c>
    </row>
    <row r="10521">
      <c r="A10521" t="inlineStr"/>
      <c r="B10521" t="inlineStr"/>
      <c r="C10521" t="inlineStr"/>
      <c r="D10521" t="inlineStr"/>
      <c r="E10521">
        <f>HYPERLINK("https://www.uniprot.org/uniprotkb/A0A8J1MBW6/entry", "A0A8J1MBW6")</f>
        <v/>
      </c>
      <c r="F10521" t="n">
        <v>39.9</v>
      </c>
      <c r="G10521" t="n">
        <v>188</v>
      </c>
      <c r="H10521" t="n">
        <v>3.38e-30</v>
      </c>
      <c r="I10521" t="inlineStr">
        <is>
          <t>TrEMBL</t>
        </is>
      </c>
      <c r="J10521" t="inlineStr">
        <is>
          <t>LOC121400342</t>
        </is>
      </c>
      <c r="K10521" t="inlineStr">
        <is>
          <t>A0A8J1MBW6_XENLA</t>
        </is>
      </c>
      <c r="L10521" t="inlineStr">
        <is>
          <t>tr|A0A8J1MBW6|A0A8J1MBW6_XENLA uncharacterized protein LOC121400342 OS=Xenopus laevis OX=8355 GN=LOC121400342 PE=4 SV=1</t>
        </is>
      </c>
      <c r="M10521" t="n">
        <v>326</v>
      </c>
      <c r="N10521" t="inlineStr">
        <is>
          <t>Xenopus laevis</t>
        </is>
      </c>
      <c r="O10521" t="inlineStr">
        <is>
          <t>uncharacterized protein LOC121400342</t>
        </is>
      </c>
    </row>
    <row r="10522">
      <c r="A10522" t="inlineStr"/>
      <c r="B10522" t="inlineStr"/>
      <c r="C10522" t="inlineStr"/>
      <c r="D10522" t="inlineStr"/>
      <c r="E10522">
        <f>HYPERLINK("https://www.uniprot.org/uniprotkb/A0A1B8Y7H0/entry", "A0A1B8Y7H0")</f>
        <v/>
      </c>
      <c r="F10522" t="n">
        <v>41.2</v>
      </c>
      <c r="G10522" t="n">
        <v>170</v>
      </c>
      <c r="H10522" t="n">
        <v>4.41e-29</v>
      </c>
      <c r="I10522" t="inlineStr">
        <is>
          <t>TrEMBL</t>
        </is>
      </c>
      <c r="J10522" t="inlineStr">
        <is>
          <t>XENTR_v90030129mg</t>
        </is>
      </c>
      <c r="K10522" t="inlineStr">
        <is>
          <t>A0A1B8Y7H0_XENTR</t>
        </is>
      </c>
      <c r="L10522" t="inlineStr">
        <is>
          <t>tr|A0A1B8Y7H0|A0A1B8Y7H0_XENTR Coiled-coil domain-containing protein 62 OS=Xenopus tropicalis OX=8364 GN=XENTR_v90030129mg PE=4 SV=1</t>
        </is>
      </c>
      <c r="M10522" t="n">
        <v>286</v>
      </c>
      <c r="N10522" t="inlineStr">
        <is>
          <t>Xenopus tropicalis</t>
        </is>
      </c>
      <c r="O10522" t="inlineStr">
        <is>
          <t>Coiled-coil domain-containing protein 62</t>
        </is>
      </c>
    </row>
    <row r="10523">
      <c r="A10523" t="inlineStr"/>
      <c r="B10523" t="inlineStr"/>
      <c r="C10523" t="inlineStr"/>
      <c r="D10523" t="inlineStr"/>
      <c r="E10523">
        <f>HYPERLINK("https://www.uniprot.org/uniprotkb/A0A821IAP0/entry", "A0A821IAP0")</f>
        <v/>
      </c>
      <c r="F10523" t="n">
        <v>37</v>
      </c>
      <c r="G10523" t="n">
        <v>192</v>
      </c>
      <c r="H10523" t="n">
        <v>7.7e-29</v>
      </c>
      <c r="I10523" t="inlineStr">
        <is>
          <t>TrEMBL</t>
        </is>
      </c>
      <c r="J10523" t="inlineStr">
        <is>
          <t>RIMITATOR_LOCUS1671052</t>
        </is>
      </c>
      <c r="K10523" t="inlineStr">
        <is>
          <t>A0A821IAP0_9NEOB</t>
        </is>
      </c>
      <c r="L10523" t="inlineStr">
        <is>
          <t>tr|A0A821IAP0|A0A821IAP0_9NEOB (mimic poison frog) hypothetical protein OS=Ranitomeya imitator OX=111125 GN=RIMITATOR_LOCUS1671052 PE=4 SV=1</t>
        </is>
      </c>
      <c r="M10523" t="n">
        <v>250</v>
      </c>
      <c r="N10523" t="inlineStr">
        <is>
          <t>Ranitomeya imitator</t>
        </is>
      </c>
      <c r="O10523" t="inlineStr">
        <is>
          <t>(mimic poison frog) hypothetical protein</t>
        </is>
      </c>
    </row>
    <row r="10524">
      <c r="A10524" t="inlineStr"/>
      <c r="B10524" t="inlineStr"/>
      <c r="C10524" t="inlineStr"/>
      <c r="D10524" t="inlineStr"/>
      <c r="E10524">
        <f>HYPERLINK("https://www.uniprot.org/uniprotkb/A0A822DQ56/entry", "A0A822DQ56")</f>
        <v/>
      </c>
      <c r="F10524" t="n">
        <v>37</v>
      </c>
      <c r="G10524" t="n">
        <v>192</v>
      </c>
      <c r="H10524" t="n">
        <v>7.89e-29</v>
      </c>
      <c r="I10524" t="inlineStr">
        <is>
          <t>TrEMBL</t>
        </is>
      </c>
      <c r="J10524" t="inlineStr">
        <is>
          <t>RIMITATOR_LOCUS8623765</t>
        </is>
      </c>
      <c r="K10524" t="inlineStr">
        <is>
          <t>A0A822DQ56_9NEOB</t>
        </is>
      </c>
      <c r="L10524" t="inlineStr">
        <is>
          <t>tr|A0A822DQ56|A0A822DQ56_9NEOB (mimic poison frog) hypothetical protein OS=Ranitomeya imitator OX=111125 GN=RIMITATOR_LOCUS8623765 PE=4 SV=1</t>
        </is>
      </c>
      <c r="M10524" t="n">
        <v>251</v>
      </c>
      <c r="N10524" t="inlineStr">
        <is>
          <t>Ranitomeya imitator</t>
        </is>
      </c>
      <c r="O10524" t="inlineStr">
        <is>
          <t>(mimic poison frog) hypothetical protein</t>
        </is>
      </c>
    </row>
    <row r="10525">
      <c r="A10525" t="inlineStr"/>
      <c r="B10525" t="inlineStr"/>
      <c r="C10525" t="inlineStr"/>
      <c r="D10525" t="inlineStr"/>
      <c r="E10525">
        <f>HYPERLINK("https://www.uniprot.org/uniprotkb/A0A821LTV6/entry", "A0A821LTV6")</f>
        <v/>
      </c>
      <c r="F10525" t="n">
        <v>37.5</v>
      </c>
      <c r="G10525" t="n">
        <v>192</v>
      </c>
      <c r="H10525" t="n">
        <v>1.14e-28</v>
      </c>
      <c r="I10525" t="inlineStr">
        <is>
          <t>TrEMBL</t>
        </is>
      </c>
      <c r="J10525" t="inlineStr">
        <is>
          <t>RIMITATOR_LOCUS2604118</t>
        </is>
      </c>
      <c r="K10525" t="inlineStr">
        <is>
          <t>A0A821LTV6_9NEOB</t>
        </is>
      </c>
      <c r="L10525" t="inlineStr">
        <is>
          <t>tr|A0A821LTV6|A0A821LTV6_9NEOB (mimic poison frog) hypothetical protein OS=Ranitomeya imitator OX=111125 GN=RIMITATOR_LOCUS2604118 PE=4 SV=1</t>
        </is>
      </c>
      <c r="M10525" t="n">
        <v>252</v>
      </c>
      <c r="N10525" t="inlineStr">
        <is>
          <t>Ranitomeya imitator</t>
        </is>
      </c>
      <c r="O10525" t="inlineStr">
        <is>
          <t>(mimic poison frog) hypothetical protein</t>
        </is>
      </c>
    </row>
    <row r="10526">
      <c r="A10526" t="inlineStr"/>
      <c r="B10526" t="inlineStr"/>
      <c r="C10526" t="inlineStr"/>
      <c r="D10526" t="inlineStr"/>
      <c r="E10526">
        <f>HYPERLINK("https://www.uniprot.org/uniprotkb/A0A822GU37/entry", "A0A822GU37")</f>
        <v/>
      </c>
      <c r="F10526" t="n">
        <v>40.1</v>
      </c>
      <c r="G10526" t="n">
        <v>177</v>
      </c>
      <c r="H10526" t="n">
        <v>5.29e-28</v>
      </c>
      <c r="I10526" t="inlineStr">
        <is>
          <t>TrEMBL</t>
        </is>
      </c>
      <c r="J10526" t="inlineStr">
        <is>
          <t>RIMITATOR_LOCUS11450404</t>
        </is>
      </c>
      <c r="K10526" t="inlineStr">
        <is>
          <t>A0A822GU37_9NEOB</t>
        </is>
      </c>
      <c r="L10526" t="inlineStr">
        <is>
          <t>tr|A0A822GU37|A0A822GU37_9NEOB (mimic poison frog) hypothetical protein OS=Ranitomeya imitator OX=111125 GN=RIMITATOR_LOCUS11450404 PE=4 SV=1</t>
        </is>
      </c>
      <c r="M10526" t="n">
        <v>203</v>
      </c>
      <c r="N10526" t="inlineStr">
        <is>
          <t>Ranitomeya imitator</t>
        </is>
      </c>
      <c r="O10526" t="inlineStr">
        <is>
          <t>(mimic poison frog) hypothetical protein</t>
        </is>
      </c>
    </row>
    <row r="10527">
      <c r="A10527" t="inlineStr"/>
      <c r="B10527" t="inlineStr"/>
      <c r="C10527" t="inlineStr"/>
      <c r="D10527" t="inlineStr"/>
      <c r="E10527">
        <f>HYPERLINK("https://www.uniprot.org/uniprotkb/A0A8J1K0N8/entry", "A0A8J1K0N8")</f>
        <v/>
      </c>
      <c r="F10527" t="n">
        <v>39.4</v>
      </c>
      <c r="G10527" t="n">
        <v>180</v>
      </c>
      <c r="H10527" t="n">
        <v>2.39e-27</v>
      </c>
      <c r="I10527" t="inlineStr">
        <is>
          <t>TrEMBL</t>
        </is>
      </c>
      <c r="J10527" t="inlineStr">
        <is>
          <t>LOC116412319</t>
        </is>
      </c>
      <c r="K10527" t="inlineStr">
        <is>
          <t>A0A8J1K0N8_XENTR</t>
        </is>
      </c>
      <c r="L10527" t="inlineStr">
        <is>
          <t>tr|A0A8J1K0N8|A0A8J1K0N8_XENTR uncharacterized protein LOC116412319 OS=Xenopus tropicalis OX=8364 GN=LOC116412319 PE=4 SV=1</t>
        </is>
      </c>
      <c r="M10527" t="n">
        <v>355</v>
      </c>
      <c r="N10527" t="inlineStr">
        <is>
          <t>Xenopus tropicalis</t>
        </is>
      </c>
      <c r="O10527" t="inlineStr">
        <is>
          <t>uncharacterized protein LOC116412319</t>
        </is>
      </c>
    </row>
    <row r="10528">
      <c r="A10528" t="inlineStr"/>
      <c r="B10528" t="inlineStr"/>
      <c r="C10528" t="inlineStr"/>
      <c r="D10528" t="inlineStr"/>
      <c r="E10528">
        <f>HYPERLINK("https://www.uniprot.org/uniprotkb/A0A8J1L3B1/entry", "A0A8J1L3B1")</f>
        <v/>
      </c>
      <c r="F10528" t="n">
        <v>40.8</v>
      </c>
      <c r="G10528" t="n">
        <v>196</v>
      </c>
      <c r="H10528" t="n">
        <v>5.78e-26</v>
      </c>
      <c r="I10528" t="inlineStr">
        <is>
          <t>TrEMBL</t>
        </is>
      </c>
      <c r="J10528" t="inlineStr">
        <is>
          <t>LOC121395033</t>
        </is>
      </c>
      <c r="K10528" t="inlineStr">
        <is>
          <t>A0A8J1L3B1_XENLA</t>
        </is>
      </c>
      <c r="L10528" t="inlineStr">
        <is>
          <t>tr|A0A8J1L3B1|A0A8J1L3B1_XENLA uncharacterized protein LOC121395033 OS=Xenopus laevis OX=8355 GN=LOC121395033 PE=4 SV=1</t>
        </is>
      </c>
      <c r="M10528" t="n">
        <v>307</v>
      </c>
      <c r="N10528" t="inlineStr">
        <is>
          <t>Xenopus laevis</t>
        </is>
      </c>
      <c r="O10528" t="inlineStr">
        <is>
          <t>uncharacterized protein LOC121395033</t>
        </is>
      </c>
    </row>
    <row r="10529">
      <c r="A10529" t="inlineStr"/>
      <c r="B10529" t="inlineStr"/>
      <c r="C10529" t="inlineStr"/>
      <c r="D10529" t="inlineStr"/>
      <c r="E10529">
        <f>HYPERLINK("https://www.uniprot.org/uniprotkb/A0A8J0UHH4/entry", "A0A8J0UHH4")</f>
        <v/>
      </c>
      <c r="F10529" t="n">
        <v>39.9</v>
      </c>
      <c r="G10529" t="n">
        <v>173</v>
      </c>
      <c r="H10529" t="n">
        <v>1.53e-25</v>
      </c>
      <c r="I10529" t="inlineStr">
        <is>
          <t>TrEMBL</t>
        </is>
      </c>
      <c r="J10529" t="inlineStr">
        <is>
          <t>LOC108708906</t>
        </is>
      </c>
      <c r="K10529" t="inlineStr">
        <is>
          <t>A0A8J0UHH4_XENLA</t>
        </is>
      </c>
      <c r="L10529" t="inlineStr">
        <is>
          <t>tr|A0A8J0UHH4|A0A8J0UHH4_XENLA uncharacterized protein LOC108708906 OS=Xenopus laevis OX=8355 GN=LOC108708906 PE=4 SV=1</t>
        </is>
      </c>
      <c r="M10529" t="n">
        <v>305</v>
      </c>
      <c r="N10529" t="inlineStr">
        <is>
          <t>Xenopus laevis</t>
        </is>
      </c>
      <c r="O10529" t="inlineStr">
        <is>
          <t>uncharacterized protein LOC108708906</t>
        </is>
      </c>
    </row>
    <row r="10530">
      <c r="A10530" t="inlineStr"/>
      <c r="B10530" t="inlineStr"/>
      <c r="C10530" t="inlineStr"/>
      <c r="D10530" t="inlineStr"/>
      <c r="E10530">
        <f>HYPERLINK("https://www.uniprot.org/uniprotkb/A0A8J1LCE0/entry", "A0A8J1LCE0")</f>
        <v/>
      </c>
      <c r="F10530" t="n">
        <v>36.6</v>
      </c>
      <c r="G10530" t="n">
        <v>175</v>
      </c>
      <c r="H10530" t="n">
        <v>1.7e-20</v>
      </c>
      <c r="I10530" t="inlineStr">
        <is>
          <t>TrEMBL</t>
        </is>
      </c>
      <c r="J10530" t="inlineStr">
        <is>
          <t>LOC121396365</t>
        </is>
      </c>
      <c r="K10530" t="inlineStr">
        <is>
          <t>A0A8J1LCE0_XENLA</t>
        </is>
      </c>
      <c r="L10530" t="inlineStr">
        <is>
          <t>tr|A0A8J1LCE0|A0A8J1LCE0_XENLA uncharacterized protein LOC121396365 OS=Xenopus laevis OX=8355 GN=LOC121396365 PE=4 SV=1</t>
        </is>
      </c>
      <c r="M10530" t="n">
        <v>301</v>
      </c>
      <c r="N10530" t="inlineStr">
        <is>
          <t>Xenopus laevis</t>
        </is>
      </c>
      <c r="O10530" t="inlineStr">
        <is>
          <t>uncharacterized protein LOC121396365</t>
        </is>
      </c>
    </row>
    <row r="10531">
      <c r="A10531" t="inlineStr"/>
      <c r="B10531" t="inlineStr"/>
      <c r="C10531" t="inlineStr"/>
      <c r="D10531" t="inlineStr"/>
      <c r="E10531">
        <f>HYPERLINK("https://www.uniprot.org/uniprotkb/A0A8J1MJP3/entry", "A0A8J1MJP3")</f>
        <v/>
      </c>
      <c r="F10531" t="n">
        <v>36.9</v>
      </c>
      <c r="G10531" t="n">
        <v>176</v>
      </c>
      <c r="H10531" t="n">
        <v>2.77e-20</v>
      </c>
      <c r="I10531" t="inlineStr">
        <is>
          <t>TrEMBL</t>
        </is>
      </c>
      <c r="J10531" t="inlineStr">
        <is>
          <t>LOC108710783</t>
        </is>
      </c>
      <c r="K10531" t="inlineStr">
        <is>
          <t>A0A8J1MJP3_XENLA</t>
        </is>
      </c>
      <c r="L10531" t="inlineStr">
        <is>
          <t>tr|A0A8J1MJP3|A0A8J1MJP3_XENLA uncharacterized protein LOC108710783 OS=Xenopus laevis OX=8355 GN=LOC108710783 PE=4 SV=1</t>
        </is>
      </c>
      <c r="M10531" t="n">
        <v>311</v>
      </c>
      <c r="N10531" t="inlineStr">
        <is>
          <t>Xenopus laevis</t>
        </is>
      </c>
      <c r="O10531" t="inlineStr">
        <is>
          <t>uncharacterized protein LOC108710783</t>
        </is>
      </c>
    </row>
    <row r="10532">
      <c r="A10532" t="inlineStr"/>
      <c r="B10532" t="inlineStr"/>
      <c r="C10532" t="inlineStr"/>
      <c r="D10532" t="inlineStr"/>
      <c r="E10532">
        <f>HYPERLINK("https://www.uniprot.org/uniprotkb/A0A803JQT4/entry", "A0A803JQT4")</f>
        <v/>
      </c>
      <c r="F10532" t="n">
        <v>40.2</v>
      </c>
      <c r="G10532" t="n">
        <v>132</v>
      </c>
      <c r="H10532" t="n">
        <v>6.3e-17</v>
      </c>
      <c r="I10532" t="inlineStr">
        <is>
          <t>TrEMBL</t>
        </is>
      </c>
      <c r="J10532" t="inlineStr"/>
      <c r="K10532" t="inlineStr">
        <is>
          <t>A0A803JQT4_XENTR</t>
        </is>
      </c>
      <c r="L10532" t="inlineStr">
        <is>
          <t>tr|A0A803JQT4|A0A803JQT4_XENTR Reverse transcriptase domain-containing protein OS=Xenopus tropicalis OX=8364 PE=4 SV=1</t>
        </is>
      </c>
      <c r="M10532" t="n">
        <v>750</v>
      </c>
      <c r="N10532" t="inlineStr">
        <is>
          <t>Xenopus tropicalis</t>
        </is>
      </c>
      <c r="O10532" t="inlineStr">
        <is>
          <t>Reverse transcriptase domain-containing protein</t>
        </is>
      </c>
    </row>
    <row r="10533">
      <c r="A10533" t="inlineStr"/>
      <c r="B10533" t="inlineStr"/>
      <c r="C10533" t="inlineStr"/>
      <c r="D10533" t="inlineStr"/>
      <c r="E10533">
        <f>HYPERLINK("https://www.ncbi.nlm.nih.gov/gene/?term=XP_040294227.1", "XP_040294227.1")</f>
        <v/>
      </c>
      <c r="F10533" t="n">
        <v>40.3</v>
      </c>
      <c r="G10533" t="n">
        <v>124</v>
      </c>
      <c r="H10533" t="n">
        <v>2.23e-16</v>
      </c>
      <c r="I10533" t="inlineStr">
        <is>
          <t>Nr</t>
        </is>
      </c>
      <c r="J10533" t="inlineStr"/>
      <c r="K10533" t="inlineStr"/>
      <c r="L10533" t="inlineStr">
        <is>
          <t>XP_040294227.1 proton channel OTOP2-like [Bufo bufo]</t>
        </is>
      </c>
      <c r="M10533" t="n">
        <v>852</v>
      </c>
      <c r="N10533" t="inlineStr">
        <is>
          <t>Bufo bufo</t>
        </is>
      </c>
      <c r="O10533" t="inlineStr">
        <is>
          <t>proton channel OTOP2-like</t>
        </is>
      </c>
    </row>
    <row r="10534">
      <c r="A10534" t="inlineStr"/>
      <c r="B10534" t="inlineStr"/>
      <c r="C10534" t="inlineStr"/>
      <c r="D10534" t="inlineStr"/>
      <c r="E10534">
        <f>HYPERLINK("https://www.uniprot.org/uniprotkb/A0A8J1L5W6/entry", "A0A8J1L5W6")</f>
        <v/>
      </c>
      <c r="F10534" t="n">
        <v>42.6</v>
      </c>
      <c r="G10534" t="n">
        <v>129</v>
      </c>
      <c r="H10534" t="n">
        <v>5.29e-15</v>
      </c>
      <c r="I10534" t="inlineStr">
        <is>
          <t>TrEMBL</t>
        </is>
      </c>
      <c r="J10534" t="inlineStr">
        <is>
          <t>LOC121395440</t>
        </is>
      </c>
      <c r="K10534" t="inlineStr">
        <is>
          <t>A0A8J1L5W6_XENLA</t>
        </is>
      </c>
      <c r="L10534" t="inlineStr">
        <is>
          <t>tr|A0A8J1L5W6|A0A8J1L5W6_XENLA uncharacterized protein LOC121395440 isoform X1 OS=Xenopus laevis OX=8355 GN=LOC121395440 PE=4 SV=1</t>
        </is>
      </c>
      <c r="M10534" t="n">
        <v>355</v>
      </c>
      <c r="N10534" t="inlineStr">
        <is>
          <t>Xenopus laevis</t>
        </is>
      </c>
      <c r="O10534" t="inlineStr">
        <is>
          <t>uncharacterized protein LOC121395440 isoform X1</t>
        </is>
      </c>
    </row>
    <row r="10535">
      <c r="A10535" t="inlineStr"/>
      <c r="B10535" t="inlineStr"/>
      <c r="C10535" t="inlineStr"/>
      <c r="D10535" t="inlineStr"/>
      <c r="E10535">
        <f>HYPERLINK("https://www.ncbi.nlm.nih.gov/gene/?term=XP_041424923.1", "XP_041424923.1")</f>
        <v/>
      </c>
      <c r="F10535" t="n">
        <v>42.6</v>
      </c>
      <c r="G10535" t="n">
        <v>129</v>
      </c>
      <c r="H10535" t="n">
        <v>1.36e-14</v>
      </c>
      <c r="I10535" t="inlineStr">
        <is>
          <t>Nr</t>
        </is>
      </c>
      <c r="J10535" t="inlineStr"/>
      <c r="K10535" t="inlineStr"/>
      <c r="L10535" t="inlineStr">
        <is>
          <t>XP_041424923.1 uncharacterized protein LOC121395440 isoform X1 [Xenopus laevis]</t>
        </is>
      </c>
      <c r="M10535" t="n">
        <v>355</v>
      </c>
      <c r="N10535" t="inlineStr">
        <is>
          <t>Xenopus laevis</t>
        </is>
      </c>
      <c r="O10535" t="inlineStr">
        <is>
          <t>uncharacterized protein LOC121395440 isoform X1</t>
        </is>
      </c>
    </row>
    <row r="10536">
      <c r="A10536" t="inlineStr"/>
      <c r="B10536" t="inlineStr"/>
      <c r="C10536" t="inlineStr"/>
      <c r="D10536" t="inlineStr"/>
      <c r="E10536">
        <f>HYPERLINK("https://www.ncbi.nlm.nih.gov/gene/?term=XP_044139139.1", "XP_044139139.1")</f>
        <v/>
      </c>
      <c r="F10536" t="n">
        <v>37</v>
      </c>
      <c r="G10536" t="n">
        <v>127</v>
      </c>
      <c r="H10536" t="n">
        <v>3.26e-14</v>
      </c>
      <c r="I10536" t="inlineStr">
        <is>
          <t>Nr</t>
        </is>
      </c>
      <c r="J10536" t="inlineStr"/>
      <c r="K10536" t="inlineStr"/>
      <c r="L10536" t="inlineStr">
        <is>
          <t>XP_044139139.1 uncharacterized protein LOC122929581 [Bufo gargarizans]</t>
        </is>
      </c>
      <c r="M10536" t="n">
        <v>1065</v>
      </c>
      <c r="N10536" t="inlineStr">
        <is>
          <t>Bufo gargarizans</t>
        </is>
      </c>
      <c r="O10536" t="inlineStr">
        <is>
          <t>uncharacterized protein LOC122929581</t>
        </is>
      </c>
    </row>
    <row r="10537">
      <c r="A10537" t="inlineStr"/>
      <c r="B10537" t="inlineStr"/>
      <c r="C10537" t="inlineStr"/>
      <c r="D10537" t="inlineStr"/>
      <c r="E10537">
        <f>HYPERLINK("https://www.ncbi.nlm.nih.gov/gene/?term=XP_018410804.1", "XP_018410804.1")</f>
        <v/>
      </c>
      <c r="F10537" t="n">
        <v>40.3</v>
      </c>
      <c r="G10537" t="n">
        <v>129</v>
      </c>
      <c r="H10537" t="n">
        <v>8.150000000000001e-14</v>
      </c>
      <c r="I10537" t="inlineStr">
        <is>
          <t>Nr</t>
        </is>
      </c>
      <c r="J10537" t="inlineStr"/>
      <c r="K10537" t="inlineStr"/>
      <c r="L10537" t="inlineStr">
        <is>
          <t>XP_018410804.1 PREDICTED: meprin A subunit beta-like [Nanorana parkeri]</t>
        </is>
      </c>
      <c r="M10537" t="n">
        <v>885</v>
      </c>
      <c r="N10537" t="inlineStr">
        <is>
          <t>Nanorana parkeri</t>
        </is>
      </c>
      <c r="O10537" t="inlineStr">
        <is>
          <t>PREDICTED: meprin A subunit beta-like</t>
        </is>
      </c>
    </row>
    <row r="10538">
      <c r="A10538" t="inlineStr"/>
      <c r="B10538" t="inlineStr"/>
      <c r="C10538" t="inlineStr"/>
      <c r="D10538" t="inlineStr"/>
      <c r="E10538">
        <f>HYPERLINK("https://www.uniprot.org/uniprotkb/A0A8C5MG30/entry", "A0A8C5MG30")</f>
        <v/>
      </c>
      <c r="F10538" t="n">
        <v>39.1</v>
      </c>
      <c r="G10538" t="n">
        <v>128</v>
      </c>
      <c r="H10538" t="n">
        <v>2.01e-13</v>
      </c>
      <c r="I10538" t="inlineStr">
        <is>
          <t>TrEMBL</t>
        </is>
      </c>
      <c r="J10538" t="inlineStr"/>
      <c r="K10538" t="inlineStr">
        <is>
          <t>A0A8C5MG30_9ANUR</t>
        </is>
      </c>
      <c r="L10538" t="inlineStr">
        <is>
          <t>tr|A0A8C5MG30|A0A8C5MG30_9ANUR Reverse transcriptase domain-containing protein OS=Leptobrachium leishanense OX=445787 PE=4 SV=1</t>
        </is>
      </c>
      <c r="M10538" t="n">
        <v>769</v>
      </c>
      <c r="N10538" t="inlineStr">
        <is>
          <t>Leptobrachium leishanense</t>
        </is>
      </c>
      <c r="O10538" t="inlineStr">
        <is>
          <t>Reverse transcriptase domain-containing protein</t>
        </is>
      </c>
    </row>
    <row r="10539">
      <c r="A10539" t="inlineStr"/>
      <c r="B10539" t="inlineStr"/>
      <c r="C10539" t="inlineStr"/>
      <c r="D10539" t="inlineStr"/>
      <c r="E10539">
        <f>HYPERLINK("https://www.ncbi.nlm.nih.gov/gene/?term=OCT67848.1", "OCT67848.1")</f>
        <v/>
      </c>
      <c r="F10539" t="n">
        <v>38.8</v>
      </c>
      <c r="G10539" t="n">
        <v>129</v>
      </c>
      <c r="H10539" t="n">
        <v>5.31e-13</v>
      </c>
      <c r="I10539" t="inlineStr">
        <is>
          <t>Nr</t>
        </is>
      </c>
      <c r="J10539" t="inlineStr"/>
      <c r="K10539" t="inlineStr"/>
      <c r="L10539" t="inlineStr">
        <is>
          <t>OCT67848.1 hypothetical protein XELAEV_18039149mg [Xenopus laevis]</t>
        </is>
      </c>
      <c r="M10539" t="n">
        <v>1035</v>
      </c>
      <c r="N10539" t="inlineStr">
        <is>
          <t>Xenopus laevis</t>
        </is>
      </c>
      <c r="O10539" t="inlineStr">
        <is>
          <t>hypothetical protein XELAEV_18039149mg</t>
        </is>
      </c>
    </row>
    <row r="10540">
      <c r="A10540" t="inlineStr"/>
      <c r="B10540" t="inlineStr"/>
      <c r="C10540" t="inlineStr"/>
      <c r="D10540" t="inlineStr"/>
      <c r="E10540">
        <f>HYPERLINK("https://www.ncbi.nlm.nih.gov/gene/?term=KAJ1157731.1", "KAJ1157731.1")</f>
        <v/>
      </c>
      <c r="F10540" t="n">
        <v>39.8</v>
      </c>
      <c r="G10540" t="n">
        <v>123</v>
      </c>
      <c r="H10540" t="n">
        <v>7.55e-13</v>
      </c>
      <c r="I10540" t="inlineStr">
        <is>
          <t>Nr</t>
        </is>
      </c>
      <c r="J10540" t="inlineStr"/>
      <c r="K10540" t="inlineStr"/>
      <c r="L10540" t="inlineStr">
        <is>
          <t>KAJ1157731.1 hypothetical protein NDU88_010431 [Pleurodeles waltl]</t>
        </is>
      </c>
      <c r="M10540" t="n">
        <v>215</v>
      </c>
      <c r="N10540" t="inlineStr">
        <is>
          <t>Pleurodeles waltl</t>
        </is>
      </c>
      <c r="O10540" t="inlineStr">
        <is>
          <t>hypothetical protein NDU88_010431</t>
        </is>
      </c>
    </row>
    <row r="10541">
      <c r="A10541" t="inlineStr"/>
      <c r="B10541" t="inlineStr"/>
      <c r="C10541" t="inlineStr"/>
      <c r="D10541" t="inlineStr"/>
      <c r="E10541">
        <f>HYPERLINK("https://www.ncbi.nlm.nih.gov/gene/?term=KAJ1172431.1", "KAJ1172431.1")</f>
        <v/>
      </c>
      <c r="F10541" t="n">
        <v>39</v>
      </c>
      <c r="G10541" t="n">
        <v>123</v>
      </c>
      <c r="H10541" t="n">
        <v>2.36e-12</v>
      </c>
      <c r="I10541" t="inlineStr">
        <is>
          <t>Nr</t>
        </is>
      </c>
      <c r="J10541" t="inlineStr"/>
      <c r="K10541" t="inlineStr"/>
      <c r="L10541" t="inlineStr">
        <is>
          <t>KAJ1172431.1 hypothetical protein NDU88_004278 [Pleurodeles waltl]</t>
        </is>
      </c>
      <c r="M10541" t="n">
        <v>581</v>
      </c>
      <c r="N10541" t="inlineStr">
        <is>
          <t>Pleurodeles waltl</t>
        </is>
      </c>
      <c r="O10541" t="inlineStr">
        <is>
          <t>hypothetical protein NDU88_004278</t>
        </is>
      </c>
    </row>
    <row r="10542">
      <c r="A10542" t="inlineStr"/>
      <c r="B10542" t="inlineStr"/>
      <c r="C10542" t="inlineStr"/>
      <c r="D10542" t="inlineStr"/>
      <c r="E10542">
        <f>HYPERLINK("https://www.uniprot.org/uniprotkb/A0A8J1KPS1/entry", "A0A8J1KPS1")</f>
        <v/>
      </c>
      <c r="F10542" t="n">
        <v>37.8</v>
      </c>
      <c r="G10542" t="n">
        <v>135</v>
      </c>
      <c r="H10542" t="n">
        <v>4.47e-12</v>
      </c>
      <c r="I10542" t="inlineStr">
        <is>
          <t>TrEMBL</t>
        </is>
      </c>
      <c r="J10542" t="inlineStr">
        <is>
          <t>LOC121393680</t>
        </is>
      </c>
      <c r="K10542" t="inlineStr">
        <is>
          <t>A0A8J1KPS1_XENLA</t>
        </is>
      </c>
      <c r="L10542" t="inlineStr">
        <is>
          <t>tr|A0A8J1KPS1|A0A8J1KPS1_XENLA uncharacterized protein LOC121393680 isoform X1 OS=Xenopus laevis OX=8355 GN=LOC121393680 PE=4 SV=1</t>
        </is>
      </c>
      <c r="M10542" t="n">
        <v>753</v>
      </c>
      <c r="N10542" t="inlineStr">
        <is>
          <t>Xenopus laevis</t>
        </is>
      </c>
      <c r="O10542" t="inlineStr">
        <is>
          <t>uncharacterized protein LOC121393680 isoform X1</t>
        </is>
      </c>
    </row>
    <row r="10543">
      <c r="A10543" t="inlineStr"/>
      <c r="B10543" t="inlineStr"/>
      <c r="C10543" t="inlineStr"/>
      <c r="D10543" t="inlineStr"/>
      <c r="E10543">
        <f>HYPERLINK("https://www.ncbi.nlm.nih.gov/gene/?term=OCT72263.1", "OCT72263.1")</f>
        <v/>
      </c>
      <c r="F10543" t="n">
        <v>41.5</v>
      </c>
      <c r="G10543" t="n">
        <v>123</v>
      </c>
      <c r="H10543" t="n">
        <v>1.13e-11</v>
      </c>
      <c r="I10543" t="inlineStr">
        <is>
          <t>Nr</t>
        </is>
      </c>
      <c r="J10543" t="inlineStr"/>
      <c r="K10543" t="inlineStr"/>
      <c r="L10543" t="inlineStr">
        <is>
          <t>OCT72263.1 hypothetical protein XELAEV_18035234mg, partial [Xenopus laevis]</t>
        </is>
      </c>
      <c r="M10543" t="n">
        <v>663</v>
      </c>
      <c r="N10543" t="inlineStr">
        <is>
          <t>Xenopus laevis</t>
        </is>
      </c>
      <c r="O10543" t="inlineStr">
        <is>
          <t>hypothetical protein XELAEV_18035234mg, partial</t>
        </is>
      </c>
    </row>
    <row r="10544">
      <c r="A10544" t="inlineStr"/>
      <c r="B10544" t="inlineStr"/>
      <c r="C10544" t="inlineStr"/>
      <c r="D10544" t="inlineStr"/>
      <c r="E10544">
        <f>HYPERLINK("https://www.ncbi.nlm.nih.gov/gene/?term=XP_041418743.1", "XP_041418743.1")</f>
        <v/>
      </c>
      <c r="F10544" t="n">
        <v>37.8</v>
      </c>
      <c r="G10544" t="n">
        <v>135</v>
      </c>
      <c r="H10544" t="n">
        <v>1.15e-11</v>
      </c>
      <c r="I10544" t="inlineStr">
        <is>
          <t>Nr</t>
        </is>
      </c>
      <c r="J10544" t="inlineStr"/>
      <c r="K10544" t="inlineStr"/>
      <c r="L10544" t="inlineStr">
        <is>
          <t>XP_041418743.1 uncharacterized protein LOC121393680 isoform X1 [Xenopus laevis]</t>
        </is>
      </c>
      <c r="M10544" t="n">
        <v>753</v>
      </c>
      <c r="N10544" t="inlineStr">
        <is>
          <t>Xenopus laevis</t>
        </is>
      </c>
      <c r="O10544" t="inlineStr">
        <is>
          <t>uncharacterized protein LOC121393680 isoform X1</t>
        </is>
      </c>
    </row>
    <row r="10545">
      <c r="A10545" t="inlineStr"/>
      <c r="B10545" t="inlineStr"/>
      <c r="C10545" t="inlineStr"/>
      <c r="D10545" t="inlineStr"/>
      <c r="E10545">
        <f>HYPERLINK("https://www.uniprot.org/uniprotkb/A0A8C5MBV0/entry", "A0A8C5MBV0")</f>
        <v/>
      </c>
      <c r="F10545" t="n">
        <v>34.7</v>
      </c>
      <c r="G10545" t="n">
        <v>118</v>
      </c>
      <c r="H10545" t="n">
        <v>1.91e-11</v>
      </c>
      <c r="I10545" t="inlineStr">
        <is>
          <t>TrEMBL</t>
        </is>
      </c>
      <c r="J10545" t="inlineStr"/>
      <c r="K10545" t="inlineStr">
        <is>
          <t>A0A8C5MBV0_9ANUR</t>
        </is>
      </c>
      <c r="L10545" t="inlineStr">
        <is>
          <t>tr|A0A8C5MBV0|A0A8C5MBV0_9ANUR Reverse transcriptase domain-containing protein OS=Leptobrachium leishanense OX=445787 PE=4 SV=1</t>
        </is>
      </c>
      <c r="M10545" t="n">
        <v>328</v>
      </c>
      <c r="N10545" t="inlineStr">
        <is>
          <t>Leptobrachium leishanense</t>
        </is>
      </c>
      <c r="O10545" t="inlineStr">
        <is>
          <t>Reverse transcriptase domain-containing protein</t>
        </is>
      </c>
    </row>
    <row r="10546">
      <c r="A10546" t="inlineStr"/>
      <c r="B10546" t="inlineStr"/>
      <c r="C10546" t="inlineStr"/>
      <c r="D10546" t="inlineStr"/>
      <c r="E10546">
        <f>HYPERLINK("https://www.ncbi.nlm.nih.gov/gene/?term=XP_044125220.1", "XP_044125220.1")</f>
        <v/>
      </c>
      <c r="F10546" t="n">
        <v>38.4</v>
      </c>
      <c r="G10546" t="n">
        <v>125</v>
      </c>
      <c r="H10546" t="n">
        <v>2.28e-11</v>
      </c>
      <c r="I10546" t="inlineStr">
        <is>
          <t>Nr</t>
        </is>
      </c>
      <c r="J10546" t="inlineStr"/>
      <c r="K10546" t="inlineStr"/>
      <c r="L10546" t="inlineStr">
        <is>
          <t>XP_044125220.1 LOW QUALITY PROTEIN: low-density lipoprotein receptor-related protein 5-like [Bufo gargarizans]</t>
        </is>
      </c>
      <c r="M10546" t="n">
        <v>2150</v>
      </c>
      <c r="N10546" t="inlineStr">
        <is>
          <t>Bufo gargarizans</t>
        </is>
      </c>
      <c r="O10546" t="inlineStr">
        <is>
          <t>LOW QUALITY PROTEIN: low-density lipoprotein receptor-related protein 5-like</t>
        </is>
      </c>
    </row>
    <row r="10547">
      <c r="A10547" t="inlineStr"/>
      <c r="B10547" t="inlineStr"/>
      <c r="C10547" t="inlineStr"/>
      <c r="D10547" t="inlineStr"/>
      <c r="E10547">
        <f>HYPERLINK("https://www.uniprot.org/uniprotkb/A0A8C5M182/entry", "A0A8C5M182")</f>
        <v/>
      </c>
      <c r="F10547" t="n">
        <v>37.2</v>
      </c>
      <c r="G10547" t="n">
        <v>129</v>
      </c>
      <c r="H10547" t="n">
        <v>2.43e-11</v>
      </c>
      <c r="I10547" t="inlineStr">
        <is>
          <t>TrEMBL</t>
        </is>
      </c>
      <c r="J10547" t="inlineStr"/>
      <c r="K10547" t="inlineStr">
        <is>
          <t>A0A8C5M182_9ANUR</t>
        </is>
      </c>
      <c r="L10547" t="inlineStr">
        <is>
          <t>tr|A0A8C5M182|A0A8C5M182_9ANUR Reverse transcriptase domain-containing protein OS=Leptobrachium leishanense OX=445787 PE=4 SV=1</t>
        </is>
      </c>
      <c r="M10547" t="n">
        <v>392</v>
      </c>
      <c r="N10547" t="inlineStr">
        <is>
          <t>Leptobrachium leishanense</t>
        </is>
      </c>
      <c r="O10547" t="inlineStr">
        <is>
          <t>Reverse transcriptase domain-containing protein</t>
        </is>
      </c>
    </row>
    <row r="10548">
      <c r="A10548" t="inlineStr"/>
      <c r="B10548" t="inlineStr"/>
      <c r="C10548" t="inlineStr"/>
      <c r="D10548" t="inlineStr"/>
      <c r="E10548">
        <f>HYPERLINK("https://www.ncbi.nlm.nih.gov/gene/?term=XP_040278114.1", "XP_040278114.1")</f>
        <v/>
      </c>
      <c r="F10548" t="n">
        <v>35.2</v>
      </c>
      <c r="G10548" t="n">
        <v>125</v>
      </c>
      <c r="H10548" t="n">
        <v>3.04e-11</v>
      </c>
      <c r="I10548" t="inlineStr">
        <is>
          <t>Nr</t>
        </is>
      </c>
      <c r="J10548" t="inlineStr"/>
      <c r="K10548" t="inlineStr"/>
      <c r="L10548" t="inlineStr">
        <is>
          <t>XP_040278114.1 contactin-2 [Bufo bufo]</t>
        </is>
      </c>
      <c r="M10548" t="n">
        <v>1316</v>
      </c>
      <c r="N10548" t="inlineStr">
        <is>
          <t>Bufo bufo</t>
        </is>
      </c>
      <c r="O10548" t="inlineStr">
        <is>
          <t>contactin-2</t>
        </is>
      </c>
    </row>
    <row r="10549">
      <c r="A10549" t="inlineStr"/>
      <c r="B10549" t="inlineStr"/>
      <c r="C10549" t="inlineStr"/>
      <c r="D10549" t="inlineStr"/>
      <c r="E10549">
        <f>HYPERLINK("https://www.uniprot.org/uniprotkb/A0A803KBT2/entry", "A0A803KBT2")</f>
        <v/>
      </c>
      <c r="F10549" t="n">
        <v>37.4</v>
      </c>
      <c r="G10549" t="n">
        <v>123</v>
      </c>
      <c r="H10549" t="n">
        <v>5.33e-11</v>
      </c>
      <c r="I10549" t="inlineStr">
        <is>
          <t>TrEMBL</t>
        </is>
      </c>
      <c r="J10549" t="inlineStr"/>
      <c r="K10549" t="inlineStr">
        <is>
          <t>A0A803KBT2_XENTR</t>
        </is>
      </c>
      <c r="L10549" t="inlineStr">
        <is>
          <t>tr|A0A803KBT2|A0A803KBT2_XENTR Reverse transcriptase domain-containing protein OS=Xenopus tropicalis OX=8364 PE=4 SV=1</t>
        </is>
      </c>
      <c r="M10549" t="n">
        <v>735</v>
      </c>
      <c r="N10549" t="inlineStr">
        <is>
          <t>Xenopus tropicalis</t>
        </is>
      </c>
      <c r="O10549" t="inlineStr">
        <is>
          <t>Reverse transcriptase domain-containing protein</t>
        </is>
      </c>
    </row>
    <row r="10550">
      <c r="A10550" t="inlineStr"/>
      <c r="B10550" t="inlineStr"/>
      <c r="C10550" t="inlineStr"/>
      <c r="D10550" t="inlineStr"/>
      <c r="E10550">
        <f>HYPERLINK("https://www.ncbi.nlm.nih.gov/gene/?term=OCT60972.1", "OCT60972.1")</f>
        <v/>
      </c>
      <c r="F10550" t="n">
        <v>35.3</v>
      </c>
      <c r="G10550" t="n">
        <v>119</v>
      </c>
      <c r="H10550" t="n">
        <v>1.03e-10</v>
      </c>
      <c r="I10550" t="inlineStr">
        <is>
          <t>Nr</t>
        </is>
      </c>
      <c r="J10550" t="inlineStr"/>
      <c r="K10550" t="inlineStr"/>
      <c r="L10550" t="inlineStr">
        <is>
          <t>OCT60972.1 hypothetical protein XELAEV_18046998mg [Xenopus laevis]</t>
        </is>
      </c>
      <c r="M10550" t="n">
        <v>916</v>
      </c>
      <c r="N10550" t="inlineStr">
        <is>
          <t>Xenopus laevis</t>
        </is>
      </c>
      <c r="O10550" t="inlineStr">
        <is>
          <t>hypothetical protein XELAEV_18046998mg</t>
        </is>
      </c>
    </row>
    <row r="10551">
      <c r="A10551" t="inlineStr"/>
      <c r="B10551" t="inlineStr"/>
      <c r="C10551" t="inlineStr"/>
      <c r="D10551" t="inlineStr"/>
      <c r="E10551">
        <f>HYPERLINK("https://www.uniprot.org/uniprotkb/A0A8C5PJT7/entry", "A0A8C5PJT7")</f>
        <v/>
      </c>
      <c r="F10551" t="n">
        <v>38.5</v>
      </c>
      <c r="G10551" t="n">
        <v>122</v>
      </c>
      <c r="H10551" t="n">
        <v>2.3e-10</v>
      </c>
      <c r="I10551" t="inlineStr">
        <is>
          <t>TrEMBL</t>
        </is>
      </c>
      <c r="J10551" t="inlineStr"/>
      <c r="K10551" t="inlineStr">
        <is>
          <t>A0A8C5PJT7_9ANUR</t>
        </is>
      </c>
      <c r="L10551" t="inlineStr">
        <is>
          <t>tr|A0A8C5PJT7|A0A8C5PJT7_9ANUR Reverse transcriptase domain-containing protein OS=Leptobrachium leishanense OX=445787 PE=4 SV=1</t>
        </is>
      </c>
      <c r="M10551" t="n">
        <v>435</v>
      </c>
      <c r="N10551" t="inlineStr">
        <is>
          <t>Leptobrachium leishanense</t>
        </is>
      </c>
      <c r="O10551" t="inlineStr">
        <is>
          <t>Reverse transcriptase domain-containing protein</t>
        </is>
      </c>
    </row>
    <row r="10552">
      <c r="A10552" t="inlineStr"/>
      <c r="B10552" t="inlineStr"/>
      <c r="C10552" t="inlineStr"/>
      <c r="D10552" t="inlineStr"/>
      <c r="E10552">
        <f>HYPERLINK("https://www.ncbi.nlm.nih.gov/gene/?term=XP_044136829.1", "XP_044136829.1")</f>
        <v/>
      </c>
      <c r="F10552" t="n">
        <v>37.9</v>
      </c>
      <c r="G10552" t="n">
        <v>116</v>
      </c>
      <c r="H10552" t="n">
        <v>2.27e-09</v>
      </c>
      <c r="I10552" t="inlineStr">
        <is>
          <t>Nr</t>
        </is>
      </c>
      <c r="J10552" t="inlineStr"/>
      <c r="K10552" t="inlineStr"/>
      <c r="L10552" t="inlineStr">
        <is>
          <t>XP_044136829.1 olfactory receptor 6C75-like [Bufo gargarizans]</t>
        </is>
      </c>
      <c r="M10552" t="n">
        <v>329</v>
      </c>
      <c r="N10552" t="inlineStr">
        <is>
          <t>Bufo gargarizans</t>
        </is>
      </c>
      <c r="O10552" t="inlineStr">
        <is>
          <t>olfactory receptor 6C75-like</t>
        </is>
      </c>
    </row>
    <row r="10553">
      <c r="A10553" t="inlineStr"/>
      <c r="B10553" t="inlineStr"/>
      <c r="C10553" t="inlineStr"/>
      <c r="D10553" t="inlineStr"/>
      <c r="E10553">
        <f>HYPERLINK("https://www.ncbi.nlm.nih.gov/gene/?term=XP_033747839.1", "XP_033747839.1")</f>
        <v/>
      </c>
      <c r="F10553" t="n">
        <v>35</v>
      </c>
      <c r="G10553" t="n">
        <v>120</v>
      </c>
      <c r="H10553" t="n">
        <v>2.93e-09</v>
      </c>
      <c r="I10553" t="inlineStr">
        <is>
          <t>Nr</t>
        </is>
      </c>
      <c r="J10553" t="inlineStr"/>
      <c r="K10553" t="inlineStr"/>
      <c r="L10553" t="inlineStr">
        <is>
          <t>XP_033747839.1 uncharacterized protein LOC117332884 [Pecten maximus]</t>
        </is>
      </c>
      <c r="M10553" t="n">
        <v>550</v>
      </c>
      <c r="N10553" t="inlineStr">
        <is>
          <t>Pecten maximus</t>
        </is>
      </c>
      <c r="O10553" t="inlineStr">
        <is>
          <t>uncharacterized protein LOC117332884</t>
        </is>
      </c>
    </row>
    <row r="10554">
      <c r="A10554" t="inlineStr"/>
      <c r="B10554" t="inlineStr"/>
      <c r="C10554" t="inlineStr"/>
      <c r="D10554" t="inlineStr"/>
      <c r="E10554">
        <f>HYPERLINK("https://www.ncbi.nlm.nih.gov/gene/?term=XP_033752172.1", "XP_033752172.1")</f>
        <v/>
      </c>
      <c r="F10554" t="n">
        <v>35</v>
      </c>
      <c r="G10554" t="n">
        <v>120</v>
      </c>
      <c r="H10554" t="n">
        <v>2.94e-09</v>
      </c>
      <c r="I10554" t="inlineStr">
        <is>
          <t>Nr</t>
        </is>
      </c>
      <c r="J10554" t="inlineStr"/>
      <c r="K10554" t="inlineStr"/>
      <c r="L10554" t="inlineStr">
        <is>
          <t>XP_033752172.1 uncharacterized protein LOC117335980 [Pecten maximus]</t>
        </is>
      </c>
      <c r="M10554" t="n">
        <v>553</v>
      </c>
      <c r="N10554" t="inlineStr">
        <is>
          <t>Pecten maximus</t>
        </is>
      </c>
      <c r="O10554" t="inlineStr">
        <is>
          <t>uncharacterized protein LOC117335980</t>
        </is>
      </c>
    </row>
    <row r="10555">
      <c r="A10555" t="inlineStr"/>
      <c r="B10555" t="inlineStr"/>
      <c r="C10555" t="inlineStr"/>
      <c r="D10555" t="inlineStr"/>
      <c r="E10555">
        <f>HYPERLINK("https://www.ncbi.nlm.nih.gov/gene/?term=XP_033745667.1", "XP_033745667.1")</f>
        <v/>
      </c>
      <c r="F10555" t="n">
        <v>35</v>
      </c>
      <c r="G10555" t="n">
        <v>120</v>
      </c>
      <c r="H10555" t="n">
        <v>3.06e-09</v>
      </c>
      <c r="I10555" t="inlineStr">
        <is>
          <t>Nr</t>
        </is>
      </c>
      <c r="J10555" t="inlineStr"/>
      <c r="K10555" t="inlineStr"/>
      <c r="L10555" t="inlineStr">
        <is>
          <t>XP_033745667.1 uncharacterized protein LOC117331179 [Pecten maximus]</t>
        </is>
      </c>
      <c r="M10555" t="n">
        <v>776</v>
      </c>
      <c r="N10555" t="inlineStr">
        <is>
          <t>Pecten maximus</t>
        </is>
      </c>
      <c r="O10555" t="inlineStr">
        <is>
          <t>uncharacterized protein LOC117331179</t>
        </is>
      </c>
    </row>
    <row r="10556">
      <c r="A10556" t="inlineStr"/>
      <c r="B10556" t="inlineStr"/>
      <c r="C10556" t="inlineStr"/>
      <c r="D10556" t="inlineStr"/>
      <c r="E10556">
        <f>HYPERLINK("https://www.uniprot.org/uniprotkb/A0A1E1X3I3/entry", "A0A1E1X3I3")</f>
        <v/>
      </c>
      <c r="F10556" t="n">
        <v>38.7</v>
      </c>
      <c r="G10556" t="n">
        <v>124</v>
      </c>
      <c r="H10556" t="n">
        <v>3.41e-09</v>
      </c>
      <c r="I10556" t="inlineStr">
        <is>
          <t>TrEMBL</t>
        </is>
      </c>
      <c r="J10556" t="inlineStr"/>
      <c r="K10556" t="inlineStr">
        <is>
          <t>A0A1E1X3I3_9ACAR</t>
        </is>
      </c>
      <c r="L10556" t="inlineStr">
        <is>
          <t>tr|A0A1E1X3I3|A0A1E1X3I3_9ACAR Putative tick transposon (Fragment) OS=Amblyomma aureolatum OX=187763 PE=2 SV=1</t>
        </is>
      </c>
      <c r="M10556" t="n">
        <v>215</v>
      </c>
      <c r="N10556" t="inlineStr">
        <is>
          <t>Amblyomma aureolatum</t>
        </is>
      </c>
      <c r="O10556" t="inlineStr">
        <is>
          <t>Putative tick transposon (Fragment)</t>
        </is>
      </c>
    </row>
    <row r="10557">
      <c r="A10557" t="inlineStr"/>
      <c r="B10557" t="inlineStr"/>
      <c r="C10557" t="inlineStr"/>
      <c r="D10557" t="inlineStr"/>
      <c r="E10557">
        <f>HYPERLINK("https://www.ncbi.nlm.nih.gov/gene/?term=XP_044153146.1", "XP_044153146.1")</f>
        <v/>
      </c>
      <c r="F10557" t="n">
        <v>33.9</v>
      </c>
      <c r="G10557" t="n">
        <v>127</v>
      </c>
      <c r="H10557" t="n">
        <v>5.09e-09</v>
      </c>
      <c r="I10557" t="inlineStr">
        <is>
          <t>Nr</t>
        </is>
      </c>
      <c r="J10557" t="inlineStr"/>
      <c r="K10557" t="inlineStr"/>
      <c r="L10557" t="inlineStr">
        <is>
          <t>XP_044153146.1 uncharacterized protein LOC122940579 [Bufo gargarizans]</t>
        </is>
      </c>
      <c r="M10557" t="n">
        <v>408</v>
      </c>
      <c r="N10557" t="inlineStr">
        <is>
          <t>Bufo gargarizans</t>
        </is>
      </c>
      <c r="O10557" t="inlineStr">
        <is>
          <t>uncharacterized protein LOC122940579</t>
        </is>
      </c>
    </row>
    <row r="10558">
      <c r="A10558" t="inlineStr"/>
      <c r="B10558" t="inlineStr"/>
      <c r="C10558" t="inlineStr"/>
      <c r="D10558" t="inlineStr"/>
      <c r="E10558">
        <f>HYPERLINK("https://www.ncbi.nlm.nih.gov/gene/?term=GFR58486.1", "GFR58486.1")</f>
        <v/>
      </c>
      <c r="F10558" t="n">
        <v>40.3</v>
      </c>
      <c r="G10558" t="n">
        <v>119</v>
      </c>
      <c r="H10558" t="n">
        <v>6.08e-09</v>
      </c>
      <c r="I10558" t="inlineStr">
        <is>
          <t>Nr</t>
        </is>
      </c>
      <c r="J10558" t="inlineStr"/>
      <c r="K10558" t="inlineStr"/>
      <c r="L10558" t="inlineStr">
        <is>
          <t>GFR58486.1 hypothetical protein ElyMa_000031600 [Elysia marginata]</t>
        </is>
      </c>
      <c r="M10558" t="n">
        <v>151</v>
      </c>
      <c r="N10558" t="inlineStr">
        <is>
          <t>Elysia marginata</t>
        </is>
      </c>
      <c r="O10558" t="inlineStr">
        <is>
          <t>hypothetical protein ElyMa_000031600</t>
        </is>
      </c>
    </row>
    <row r="10559">
      <c r="A10559" t="inlineStr"/>
      <c r="B10559" t="inlineStr"/>
      <c r="C10559" t="inlineStr"/>
      <c r="D10559" t="inlineStr"/>
      <c r="E10559">
        <f>HYPERLINK("https://www.ncbi.nlm.nih.gov/gene/?term=KAJ1127875.1", "KAJ1127875.1")</f>
        <v/>
      </c>
      <c r="F10559" t="n">
        <v>40</v>
      </c>
      <c r="G10559" t="n">
        <v>120</v>
      </c>
      <c r="H10559" t="n">
        <v>8.99e-09</v>
      </c>
      <c r="I10559" t="inlineStr">
        <is>
          <t>Nr</t>
        </is>
      </c>
      <c r="J10559" t="inlineStr"/>
      <c r="K10559" t="inlineStr"/>
      <c r="L10559" t="inlineStr">
        <is>
          <t>KAJ1127875.1 hypothetical protein NDU88_006268 [Pleurodeles waltl]</t>
        </is>
      </c>
      <c r="M10559" t="n">
        <v>217</v>
      </c>
      <c r="N10559" t="inlineStr">
        <is>
          <t>Pleurodeles waltl</t>
        </is>
      </c>
      <c r="O10559" t="inlineStr">
        <is>
          <t>hypothetical protein NDU88_006268</t>
        </is>
      </c>
    </row>
    <row r="10560">
      <c r="A10560" t="inlineStr"/>
      <c r="B10560" t="inlineStr"/>
      <c r="C10560" t="inlineStr"/>
      <c r="D10560" t="inlineStr"/>
      <c r="E10560">
        <f>HYPERLINK("https://www.uniprot.org/uniprotkb/A0A8S3TQC9/entry", "A0A8S3TQC9")</f>
        <v/>
      </c>
      <c r="F10560" t="n">
        <v>39.3</v>
      </c>
      <c r="G10560" t="n">
        <v>122</v>
      </c>
      <c r="H10560" t="n">
        <v>9.61e-09</v>
      </c>
      <c r="I10560" t="inlineStr">
        <is>
          <t>TrEMBL</t>
        </is>
      </c>
      <c r="J10560" t="inlineStr">
        <is>
          <t>MEDL_46146</t>
        </is>
      </c>
      <c r="K10560" t="inlineStr">
        <is>
          <t>A0A8S3TQC9_MYTED</t>
        </is>
      </c>
      <c r="L10560" t="inlineStr">
        <is>
          <t>tr|A0A8S3TQC9|A0A8S3TQC9_MYTED Reverse transcriptase domain-containing protein OS=Mytilus edulis OX=6550 GN=MEDL_46146 PE=4 SV=1</t>
        </is>
      </c>
      <c r="M10560" t="n">
        <v>440</v>
      </c>
      <c r="N10560" t="inlineStr">
        <is>
          <t>Mytilus edulis</t>
        </is>
      </c>
      <c r="O10560" t="inlineStr">
        <is>
          <t>Reverse transcriptase domain-containing protein</t>
        </is>
      </c>
    </row>
    <row r="10561">
      <c r="A10561" t="inlineStr"/>
      <c r="B10561" t="inlineStr"/>
      <c r="C10561" t="inlineStr"/>
      <c r="D10561" t="inlineStr"/>
      <c r="E10561">
        <f>HYPERLINK("https://www.uniprot.org/uniprotkb/A0A8B6F3Q6/entry", "A0A8B6F3Q6")</f>
        <v/>
      </c>
      <c r="F10561" t="n">
        <v>39.3</v>
      </c>
      <c r="G10561" t="n">
        <v>122</v>
      </c>
      <c r="H10561" t="n">
        <v>1.04e-08</v>
      </c>
      <c r="I10561" t="inlineStr">
        <is>
          <t>TrEMBL</t>
        </is>
      </c>
      <c r="J10561" t="inlineStr">
        <is>
          <t>MGAL_10B016686</t>
        </is>
      </c>
      <c r="K10561" t="inlineStr">
        <is>
          <t>A0A8B6F3Q6_MYTGA</t>
        </is>
      </c>
      <c r="L10561" t="inlineStr">
        <is>
          <t>tr|A0A8B6F3Q6|A0A8B6F3Q6_MYTGA B box-type domain-containing protein OS=Mytilus galloprovincialis OX=29158 GN=MGAL_10B016686 PE=4 SV=1</t>
        </is>
      </c>
      <c r="M10561" t="n">
        <v>763</v>
      </c>
      <c r="N10561" t="inlineStr">
        <is>
          <t>Mytilus galloprovincialis</t>
        </is>
      </c>
      <c r="O10561" t="inlineStr">
        <is>
          <t>B box-type domain-containing protein</t>
        </is>
      </c>
    </row>
    <row r="10562">
      <c r="A10562" t="inlineStr"/>
      <c r="B10562" t="inlineStr"/>
      <c r="C10562" t="inlineStr"/>
      <c r="D10562" t="inlineStr"/>
      <c r="E10562">
        <f>HYPERLINK("https://www.ncbi.nlm.nih.gov/gene/?term=XP_034959137.1", "XP_034959137.1")</f>
        <v/>
      </c>
      <c r="F10562" t="n">
        <v>33.9</v>
      </c>
      <c r="G10562" t="n">
        <v>115</v>
      </c>
      <c r="H10562" t="n">
        <v>1.05e-08</v>
      </c>
      <c r="I10562" t="inlineStr">
        <is>
          <t>Nr</t>
        </is>
      </c>
      <c r="J10562" t="inlineStr"/>
      <c r="K10562" t="inlineStr"/>
      <c r="L10562" t="inlineStr">
        <is>
          <t>XP_034959137.1 uncharacterized protein LOC118079222 [Zootoca vivipara]</t>
        </is>
      </c>
      <c r="M10562" t="n">
        <v>695</v>
      </c>
      <c r="N10562" t="inlineStr">
        <is>
          <t>Zootoca vivipara</t>
        </is>
      </c>
      <c r="O10562" t="inlineStr">
        <is>
          <t>uncharacterized protein LOC118079222</t>
        </is>
      </c>
    </row>
    <row r="10563">
      <c r="A10563" t="inlineStr"/>
      <c r="B10563" t="inlineStr"/>
      <c r="C10563" t="inlineStr"/>
      <c r="D10563" t="inlineStr"/>
      <c r="E10563">
        <f>HYPERLINK("https://www.ncbi.nlm.nih.gov/gene/?term=XP_043938048.1", "XP_043938048.1")</f>
        <v/>
      </c>
      <c r="F10563" t="n">
        <v>36.1</v>
      </c>
      <c r="G10563" t="n">
        <v>119</v>
      </c>
      <c r="H10563" t="n">
        <v>1.08e-08</v>
      </c>
      <c r="I10563" t="inlineStr">
        <is>
          <t>Nr</t>
        </is>
      </c>
      <c r="J10563" t="inlineStr"/>
      <c r="K10563" t="inlineStr"/>
      <c r="L10563" t="inlineStr">
        <is>
          <t>XP_043938048.1 piwi-like protein 2 [Protopterus annectens]</t>
        </is>
      </c>
      <c r="M10563" t="n">
        <v>968</v>
      </c>
      <c r="N10563" t="inlineStr">
        <is>
          <t>Protopterus annectens</t>
        </is>
      </c>
      <c r="O10563" t="inlineStr">
        <is>
          <t>piwi-like protein 2</t>
        </is>
      </c>
    </row>
    <row r="10564">
      <c r="A10564" t="inlineStr"/>
      <c r="B10564" t="inlineStr"/>
      <c r="C10564" t="inlineStr"/>
      <c r="D10564" t="inlineStr"/>
      <c r="E10564">
        <f>HYPERLINK("https://www.uniprot.org/uniprotkb/A0A8C5M571/entry", "A0A8C5M571")</f>
        <v/>
      </c>
      <c r="F10564" t="n">
        <v>32.3</v>
      </c>
      <c r="G10564" t="n">
        <v>124</v>
      </c>
      <c r="H10564" t="n">
        <v>1.75e-08</v>
      </c>
      <c r="I10564" t="inlineStr">
        <is>
          <t>TrEMBL</t>
        </is>
      </c>
      <c r="J10564" t="inlineStr"/>
      <c r="K10564" t="inlineStr">
        <is>
          <t>A0A8C5M571_9ANUR</t>
        </is>
      </c>
      <c r="L10564" t="inlineStr">
        <is>
          <t>tr|A0A8C5M571|A0A8C5M571_9ANUR Reverse transcriptase domain-containing protein OS=Leptobrachium leishanense OX=445787 PE=4 SV=1</t>
        </is>
      </c>
      <c r="M10564" t="n">
        <v>406</v>
      </c>
      <c r="N10564" t="inlineStr">
        <is>
          <t>Leptobrachium leishanense</t>
        </is>
      </c>
      <c r="O10564" t="inlineStr">
        <is>
          <t>Reverse transcriptase domain-containing protein</t>
        </is>
      </c>
    </row>
    <row r="10565">
      <c r="A10565" t="inlineStr"/>
      <c r="B10565" t="inlineStr"/>
      <c r="C10565" t="inlineStr"/>
      <c r="D10565" t="inlineStr"/>
      <c r="E10565">
        <f>HYPERLINK("https://www.uniprot.org/uniprotkb/A0A8C5M3W0/entry", "A0A8C5M3W0")</f>
        <v/>
      </c>
      <c r="F10565" t="n">
        <v>38.2</v>
      </c>
      <c r="G10565" t="n">
        <v>123</v>
      </c>
      <c r="H10565" t="n">
        <v>1.78e-08</v>
      </c>
      <c r="I10565" t="inlineStr">
        <is>
          <t>TrEMBL</t>
        </is>
      </c>
      <c r="J10565" t="inlineStr"/>
      <c r="K10565" t="inlineStr">
        <is>
          <t>A0A8C5M3W0_9ANUR</t>
        </is>
      </c>
      <c r="L10565" t="inlineStr">
        <is>
          <t>tr|A0A8C5M3W0|A0A8C5M3W0_9ANUR Reverse transcriptase domain-containing protein OS=Leptobrachium leishanense OX=445787 PE=4 SV=1</t>
        </is>
      </c>
      <c r="M10565" t="n">
        <v>430</v>
      </c>
      <c r="N10565" t="inlineStr">
        <is>
          <t>Leptobrachium leishanense</t>
        </is>
      </c>
      <c r="O10565" t="inlineStr">
        <is>
          <t>Reverse transcriptase domain-containing protein</t>
        </is>
      </c>
    </row>
    <row r="10566">
      <c r="A10566" t="inlineStr"/>
      <c r="B10566" t="inlineStr"/>
      <c r="C10566" t="inlineStr"/>
      <c r="D10566" t="inlineStr"/>
      <c r="E10566">
        <f>HYPERLINK("https://www.ncbi.nlm.nih.gov/gene/?term=XP_048684800.1", "XP_048684800.1")</f>
        <v/>
      </c>
      <c r="F10566" t="n">
        <v>33.9</v>
      </c>
      <c r="G10566" t="n">
        <v>121</v>
      </c>
      <c r="H10566" t="n">
        <v>1.86e-08</v>
      </c>
      <c r="I10566" t="inlineStr">
        <is>
          <t>Nr</t>
        </is>
      </c>
      <c r="J10566" t="inlineStr"/>
      <c r="K10566" t="inlineStr"/>
      <c r="L10566" t="inlineStr">
        <is>
          <t>XP_048684800.1 uncharacterized protein LOC125626152 isoform X1 [Caretta caretta]</t>
        </is>
      </c>
      <c r="M10566" t="n">
        <v>501</v>
      </c>
      <c r="N10566" t="inlineStr">
        <is>
          <t>Caretta caretta</t>
        </is>
      </c>
      <c r="O10566" t="inlineStr">
        <is>
          <t>uncharacterized protein LOC125626152 isoform X1</t>
        </is>
      </c>
    </row>
    <row r="10567">
      <c r="A10567" t="inlineStr"/>
      <c r="B10567" t="inlineStr"/>
      <c r="C10567" t="inlineStr"/>
      <c r="D10567" t="inlineStr"/>
      <c r="E10567">
        <f>HYPERLINK("https://www.uniprot.org/uniprotkb/A0A803T5I2/entry", "A0A803T5I2")</f>
        <v/>
      </c>
      <c r="F10567" t="n">
        <v>34.7</v>
      </c>
      <c r="G10567" t="n">
        <v>124</v>
      </c>
      <c r="H10567" t="n">
        <v>1.93e-08</v>
      </c>
      <c r="I10567" t="inlineStr">
        <is>
          <t>TrEMBL</t>
        </is>
      </c>
      <c r="J10567" t="inlineStr"/>
      <c r="K10567" t="inlineStr">
        <is>
          <t>A0A803T5I2_ANOCA</t>
        </is>
      </c>
      <c r="L10567" t="inlineStr">
        <is>
          <t>tr|A0A803T5I2|A0A803T5I2_ANOCA Reverse transcriptase domain-containing protein OS=Anolis carolinensis OX=28377 PE=4 SV=1</t>
        </is>
      </c>
      <c r="M10567" t="n">
        <v>751</v>
      </c>
      <c r="N10567" t="inlineStr">
        <is>
          <t>Anolis carolinensis</t>
        </is>
      </c>
      <c r="O10567" t="inlineStr">
        <is>
          <t>Reverse transcriptase domain-containing protein</t>
        </is>
      </c>
    </row>
    <row r="10568">
      <c r="A10568" t="inlineStr"/>
      <c r="B10568" t="inlineStr"/>
      <c r="C10568" t="inlineStr"/>
      <c r="D10568" t="inlineStr"/>
      <c r="E10568">
        <f>HYPERLINK("https://www.ncbi.nlm.nih.gov/gene/?term=XP_048674874.1", "XP_048674874.1")</f>
        <v/>
      </c>
      <c r="F10568" t="n">
        <v>33.9</v>
      </c>
      <c r="G10568" t="n">
        <v>121</v>
      </c>
      <c r="H10568" t="n">
        <v>1.94e-08</v>
      </c>
      <c r="I10568" t="inlineStr">
        <is>
          <t>Nr</t>
        </is>
      </c>
      <c r="J10568" t="inlineStr"/>
      <c r="K10568" t="inlineStr"/>
      <c r="L10568" t="inlineStr">
        <is>
          <t>XP_048674874.1 uncharacterized protein LOC125621727 isoform X1 [Caretta caretta]</t>
        </is>
      </c>
      <c r="M10568" t="n">
        <v>698</v>
      </c>
      <c r="N10568" t="inlineStr">
        <is>
          <t>Caretta caretta</t>
        </is>
      </c>
      <c r="O10568" t="inlineStr">
        <is>
          <t>uncharacterized protein LOC125621727 isoform X1</t>
        </is>
      </c>
    </row>
    <row r="10569">
      <c r="A10569" t="inlineStr"/>
      <c r="B10569" t="inlineStr"/>
      <c r="C10569" t="inlineStr"/>
      <c r="D10569" t="inlineStr"/>
      <c r="E10569">
        <f>HYPERLINK("https://www.ncbi.nlm.nih.gov/gene/?term=XP_048695862.1", "XP_048695862.1")</f>
        <v/>
      </c>
      <c r="F10569" t="n">
        <v>33.9</v>
      </c>
      <c r="G10569" t="n">
        <v>121</v>
      </c>
      <c r="H10569" t="n">
        <v>1.98e-08</v>
      </c>
      <c r="I10569" t="inlineStr">
        <is>
          <t>Nr</t>
        </is>
      </c>
      <c r="J10569" t="inlineStr"/>
      <c r="K10569" t="inlineStr"/>
      <c r="L10569" t="inlineStr">
        <is>
          <t>XP_048695862.1 uncharacterized protein LOC125632159 [Caretta caretta]</t>
        </is>
      </c>
      <c r="M10569" t="n">
        <v>828</v>
      </c>
      <c r="N10569" t="inlineStr">
        <is>
          <t>Caretta caretta</t>
        </is>
      </c>
      <c r="O10569" t="inlineStr">
        <is>
          <t>uncharacterized protein LOC125632159</t>
        </is>
      </c>
    </row>
    <row r="10570">
      <c r="A10570" t="inlineStr"/>
      <c r="B10570" t="inlineStr"/>
      <c r="C10570" t="inlineStr"/>
      <c r="D10570" t="inlineStr"/>
      <c r="E10570">
        <f>HYPERLINK("https://www.ncbi.nlm.nih.gov/gene/?term=XP_048693528.1", "XP_048693528.1")</f>
        <v/>
      </c>
      <c r="F10570" t="n">
        <v>33.9</v>
      </c>
      <c r="G10570" t="n">
        <v>121</v>
      </c>
      <c r="H10570" t="n">
        <v>1.99e-08</v>
      </c>
      <c r="I10570" t="inlineStr">
        <is>
          <t>Nr</t>
        </is>
      </c>
      <c r="J10570" t="inlineStr"/>
      <c r="K10570" t="inlineStr"/>
      <c r="L10570" t="inlineStr">
        <is>
          <t>XP_048693528.1 uncharacterized protein LOC125631223 [Caretta caretta]</t>
        </is>
      </c>
      <c r="M10570" t="n">
        <v>872</v>
      </c>
      <c r="N10570" t="inlineStr">
        <is>
          <t>Caretta caretta</t>
        </is>
      </c>
      <c r="O10570" t="inlineStr">
        <is>
          <t>uncharacterized protein LOC125631223</t>
        </is>
      </c>
    </row>
    <row r="10571">
      <c r="A10571" t="inlineStr"/>
      <c r="B10571" t="inlineStr"/>
      <c r="C10571" t="inlineStr"/>
      <c r="D10571" t="inlineStr"/>
      <c r="E10571">
        <f>HYPERLINK("https://www.uniprot.org/uniprotkb/A0A8C5MAL6/entry", "A0A8C5MAL6")</f>
        <v/>
      </c>
      <c r="F10571" t="n">
        <v>40.9</v>
      </c>
      <c r="G10571" t="n">
        <v>127</v>
      </c>
      <c r="H10571" t="n">
        <v>2.6e-08</v>
      </c>
      <c r="I10571" t="inlineStr">
        <is>
          <t>TrEMBL</t>
        </is>
      </c>
      <c r="J10571" t="inlineStr"/>
      <c r="K10571" t="inlineStr">
        <is>
          <t>A0A8C5MAL6_9ANUR</t>
        </is>
      </c>
      <c r="L10571" t="inlineStr">
        <is>
          <t>tr|A0A8C5MAL6|A0A8C5MAL6_9ANUR Reverse transcriptase domain-containing protein OS=Leptobrachium leishanense OX=445787 PE=4 SV=1</t>
        </is>
      </c>
      <c r="M10571" t="n">
        <v>662</v>
      </c>
      <c r="N10571" t="inlineStr">
        <is>
          <t>Leptobrachium leishanense</t>
        </is>
      </c>
      <c r="O10571" t="inlineStr">
        <is>
          <t>Reverse transcriptase domain-containing protein</t>
        </is>
      </c>
    </row>
    <row r="10572">
      <c r="A10572" t="inlineStr"/>
      <c r="B10572" t="inlineStr"/>
      <c r="C10572" t="inlineStr"/>
      <c r="D10572" t="inlineStr"/>
      <c r="E10572">
        <f>HYPERLINK("https://www.uniprot.org/uniprotkb/A0A8C5LUC9/entry", "A0A8C5LUC9")</f>
        <v/>
      </c>
      <c r="F10572" t="n">
        <v>30.8</v>
      </c>
      <c r="G10572" t="n">
        <v>133</v>
      </c>
      <c r="H10572" t="n">
        <v>2.64e-08</v>
      </c>
      <c r="I10572" t="inlineStr">
        <is>
          <t>TrEMBL</t>
        </is>
      </c>
      <c r="J10572" t="inlineStr"/>
      <c r="K10572" t="inlineStr">
        <is>
          <t>A0A8C5LUC9_9ANUR</t>
        </is>
      </c>
      <c r="L10572" t="inlineStr">
        <is>
          <t>tr|A0A8C5LUC9|A0A8C5LUC9_9ANUR Reverse transcriptase domain-containing protein OS=Leptobrachium leishanense OX=445787 PE=4 SV=1</t>
        </is>
      </c>
      <c r="M10572" t="n">
        <v>754</v>
      </c>
      <c r="N10572" t="inlineStr">
        <is>
          <t>Leptobrachium leishanense</t>
        </is>
      </c>
      <c r="O10572" t="inlineStr">
        <is>
          <t>Reverse transcriptase domain-containing protein</t>
        </is>
      </c>
    </row>
    <row r="10573">
      <c r="A10573" t="inlineStr"/>
      <c r="B10573" t="inlineStr"/>
      <c r="C10573" t="inlineStr"/>
      <c r="D10573" t="inlineStr"/>
      <c r="E10573">
        <f>HYPERLINK("https://www.uniprot.org/uniprotkb/A0A8S3UA11/entry", "A0A8S3UA11")</f>
        <v/>
      </c>
      <c r="F10573" t="n">
        <v>38.5</v>
      </c>
      <c r="G10573" t="n">
        <v>122</v>
      </c>
      <c r="H10573" t="n">
        <v>2.66e-08</v>
      </c>
      <c r="I10573" t="inlineStr">
        <is>
          <t>TrEMBL</t>
        </is>
      </c>
      <c r="J10573" t="inlineStr">
        <is>
          <t>MEDL_54806</t>
        </is>
      </c>
      <c r="K10573" t="inlineStr">
        <is>
          <t>A0A8S3UA11_MYTED</t>
        </is>
      </c>
      <c r="L10573" t="inlineStr">
        <is>
          <t>tr|A0A8S3UA11|A0A8S3UA11_MYTED Reverse transcriptase domain-containing protein OS=Mytilus edulis OX=6550 GN=MEDL_54806 PE=4 SV=1</t>
        </is>
      </c>
      <c r="M10573" t="n">
        <v>255</v>
      </c>
      <c r="N10573" t="inlineStr">
        <is>
          <t>Mytilus edulis</t>
        </is>
      </c>
      <c r="O10573" t="inlineStr">
        <is>
          <t>Reverse transcriptase domain-containing protein</t>
        </is>
      </c>
    </row>
    <row r="10574">
      <c r="A10574" t="inlineStr"/>
      <c r="B10574" t="inlineStr"/>
      <c r="C10574" t="inlineStr"/>
      <c r="D10574" t="inlineStr"/>
      <c r="E10574">
        <f>HYPERLINK("https://www.uniprot.org/uniprotkb/A0A8S3VC13/entry", "A0A8S3VC13")</f>
        <v/>
      </c>
      <c r="F10574" t="n">
        <v>38.5</v>
      </c>
      <c r="G10574" t="n">
        <v>122</v>
      </c>
      <c r="H10574" t="n">
        <v>3.06e-08</v>
      </c>
      <c r="I10574" t="inlineStr">
        <is>
          <t>TrEMBL</t>
        </is>
      </c>
      <c r="J10574" t="inlineStr">
        <is>
          <t>MEDL_62760</t>
        </is>
      </c>
      <c r="K10574" t="inlineStr">
        <is>
          <t>A0A8S3VC13_MYTED</t>
        </is>
      </c>
      <c r="L10574" t="inlineStr">
        <is>
          <t>tr|A0A8S3VC13|A0A8S3VC13_MYTED Enkurin domain-containing protein OS=Mytilus edulis OX=6550 GN=MEDL_62760 PE=4 SV=1</t>
        </is>
      </c>
      <c r="M10574" t="n">
        <v>274</v>
      </c>
      <c r="N10574" t="inlineStr">
        <is>
          <t>Mytilus edulis</t>
        </is>
      </c>
      <c r="O10574" t="inlineStr">
        <is>
          <t>Enkurin domain-containing protein</t>
        </is>
      </c>
    </row>
    <row r="10575">
      <c r="A10575" t="inlineStr"/>
      <c r="B10575" t="inlineStr"/>
      <c r="C10575" t="inlineStr"/>
      <c r="D10575" t="inlineStr"/>
      <c r="E10575">
        <f>HYPERLINK("https://www.uniprot.org/uniprotkb/A0A8S3Q9G0/entry", "A0A8S3Q9G0")</f>
        <v/>
      </c>
      <c r="F10575" t="n">
        <v>38.5</v>
      </c>
      <c r="G10575" t="n">
        <v>122</v>
      </c>
      <c r="H10575" t="n">
        <v>3.27e-08</v>
      </c>
      <c r="I10575" t="inlineStr">
        <is>
          <t>TrEMBL</t>
        </is>
      </c>
      <c r="J10575" t="inlineStr">
        <is>
          <t>MEDL_7811</t>
        </is>
      </c>
      <c r="K10575" t="inlineStr">
        <is>
          <t>A0A8S3Q9G0_MYTED</t>
        </is>
      </c>
      <c r="L10575" t="inlineStr">
        <is>
          <t>tr|A0A8S3Q9G0|A0A8S3Q9G0_MYTED NUFIP1 domain-containing protein OS=Mytilus edulis OX=6550 GN=MEDL_7811 PE=4 SV=1</t>
        </is>
      </c>
      <c r="M10575" t="n">
        <v>285</v>
      </c>
      <c r="N10575" t="inlineStr">
        <is>
          <t>Mytilus edulis</t>
        </is>
      </c>
      <c r="O10575" t="inlineStr">
        <is>
          <t>NUFIP1 domain-containing protein</t>
        </is>
      </c>
    </row>
    <row r="10576">
      <c r="A10576" t="inlineStr"/>
      <c r="B10576" t="inlineStr"/>
      <c r="C10576" t="inlineStr"/>
      <c r="D10576" t="inlineStr"/>
      <c r="E10576">
        <f>HYPERLINK("https://www.uniprot.org/uniprotkb/A0A8C5W849/entry", "A0A8C5W849")</f>
        <v/>
      </c>
      <c r="F10576" t="n">
        <v>38.2</v>
      </c>
      <c r="G10576" t="n">
        <v>123</v>
      </c>
      <c r="H10576" t="n">
        <v>3.61e-08</v>
      </c>
      <c r="I10576" t="inlineStr">
        <is>
          <t>TrEMBL</t>
        </is>
      </c>
      <c r="J10576" t="inlineStr"/>
      <c r="K10576" t="inlineStr">
        <is>
          <t>A0A8C5W849_9ANUR</t>
        </is>
      </c>
      <c r="L10576" t="inlineStr">
        <is>
          <t>tr|A0A8C5W849|A0A8C5W849_9ANUR Reverse transcriptase domain-containing protein OS=Leptobrachium leishanense OX=445787 PE=4 SV=1</t>
        </is>
      </c>
      <c r="M10576" t="n">
        <v>797</v>
      </c>
      <c r="N10576" t="inlineStr">
        <is>
          <t>Leptobrachium leishanense</t>
        </is>
      </c>
      <c r="O10576" t="inlineStr">
        <is>
          <t>Reverse transcriptase domain-containing protein</t>
        </is>
      </c>
    </row>
    <row r="10577">
      <c r="A10577" t="inlineStr"/>
      <c r="B10577" t="inlineStr"/>
      <c r="C10577" t="inlineStr"/>
      <c r="D10577" t="inlineStr"/>
      <c r="E10577">
        <f>HYPERLINK("https://www.uniprot.org/uniprotkb/A0A8S3RRQ4/entry", "A0A8S3RRQ4")</f>
        <v/>
      </c>
      <c r="F10577" t="n">
        <v>38.5</v>
      </c>
      <c r="G10577" t="n">
        <v>122</v>
      </c>
      <c r="H10577" t="n">
        <v>4.58e-08</v>
      </c>
      <c r="I10577" t="inlineStr">
        <is>
          <t>TrEMBL</t>
        </is>
      </c>
      <c r="J10577" t="inlineStr">
        <is>
          <t>MEDL_23090</t>
        </is>
      </c>
      <c r="K10577" t="inlineStr">
        <is>
          <t>A0A8S3RRQ4_MYTED</t>
        </is>
      </c>
      <c r="L10577" t="inlineStr">
        <is>
          <t>tr|A0A8S3RRQ4|A0A8S3RRQ4_MYTED Reverse transcriptase domain-containing protein OS=Mytilus edulis OX=6550 GN=MEDL_23090 PE=4 SV=1</t>
        </is>
      </c>
      <c r="M10577" t="n">
        <v>465</v>
      </c>
      <c r="N10577" t="inlineStr">
        <is>
          <t>Mytilus edulis</t>
        </is>
      </c>
      <c r="O10577" t="inlineStr">
        <is>
          <t>Reverse transcriptase domain-containing protein</t>
        </is>
      </c>
    </row>
    <row r="10578">
      <c r="A10578" t="inlineStr"/>
      <c r="B10578" t="inlineStr"/>
      <c r="C10578" t="inlineStr"/>
      <c r="D10578" t="inlineStr"/>
      <c r="E10578">
        <f>HYPERLINK("https://www.uniprot.org/uniprotkb/A0A8S3R6B0/entry", "A0A8S3R6B0")</f>
        <v/>
      </c>
      <c r="F10578" t="n">
        <v>38.5</v>
      </c>
      <c r="G10578" t="n">
        <v>122</v>
      </c>
      <c r="H10578" t="n">
        <v>4.67e-08</v>
      </c>
      <c r="I10578" t="inlineStr">
        <is>
          <t>TrEMBL</t>
        </is>
      </c>
      <c r="J10578" t="inlineStr">
        <is>
          <t>MEDL_17195</t>
        </is>
      </c>
      <c r="K10578" t="inlineStr">
        <is>
          <t>A0A8S3R6B0_MYTED</t>
        </is>
      </c>
      <c r="L10578" t="inlineStr">
        <is>
          <t>tr|A0A8S3R6B0|A0A8S3R6B0_MYTED Reverse transcriptase domain-containing protein OS=Mytilus edulis OX=6550 GN=MEDL_17195 PE=4 SV=1</t>
        </is>
      </c>
      <c r="M10578" t="n">
        <v>517</v>
      </c>
      <c r="N10578" t="inlineStr">
        <is>
          <t>Mytilus edulis</t>
        </is>
      </c>
      <c r="O10578" t="inlineStr">
        <is>
          <t>Reverse transcriptase domain-containing protein</t>
        </is>
      </c>
    </row>
    <row r="10579">
      <c r="A10579" t="inlineStr"/>
      <c r="B10579" t="inlineStr"/>
      <c r="C10579" t="inlineStr"/>
      <c r="D10579" t="inlineStr"/>
      <c r="E10579">
        <f>HYPERLINK("https://www.uniprot.org/uniprotkb/A0A8S3S1N1/entry", "A0A8S3S1N1")</f>
        <v/>
      </c>
      <c r="F10579" t="n">
        <v>38.5</v>
      </c>
      <c r="G10579" t="n">
        <v>122</v>
      </c>
      <c r="H10579" t="n">
        <v>4.78e-08</v>
      </c>
      <c r="I10579" t="inlineStr">
        <is>
          <t>TrEMBL</t>
        </is>
      </c>
      <c r="J10579" t="inlineStr">
        <is>
          <t>MEDL_28761</t>
        </is>
      </c>
      <c r="K10579" t="inlineStr">
        <is>
          <t>A0A8S3S1N1_MYTED</t>
        </is>
      </c>
      <c r="L10579" t="inlineStr">
        <is>
          <t>tr|A0A8S3S1N1|A0A8S3S1N1_MYTED Reverse transcriptase domain-containing protein OS=Mytilus edulis OX=6550 GN=MEDL_28761 PE=4 SV=1</t>
        </is>
      </c>
      <c r="M10579" t="n">
        <v>614</v>
      </c>
      <c r="N10579" t="inlineStr">
        <is>
          <t>Mytilus edulis</t>
        </is>
      </c>
      <c r="O10579" t="inlineStr">
        <is>
          <t>Reverse transcriptase domain-containing protein</t>
        </is>
      </c>
    </row>
    <row r="10580">
      <c r="A10580" t="inlineStr"/>
      <c r="B10580" t="inlineStr"/>
      <c r="C10580" t="inlineStr"/>
      <c r="D10580" t="inlineStr"/>
      <c r="E10580">
        <f>HYPERLINK("https://www.uniprot.org/uniprotkb/A0A803JSK4/entry", "A0A803JSK4")</f>
        <v/>
      </c>
      <c r="F10580" t="n">
        <v>32.5</v>
      </c>
      <c r="G10580" t="n">
        <v>126</v>
      </c>
      <c r="H10580" t="n">
        <v>4.81e-08</v>
      </c>
      <c r="I10580" t="inlineStr">
        <is>
          <t>TrEMBL</t>
        </is>
      </c>
      <c r="J10580" t="inlineStr"/>
      <c r="K10580" t="inlineStr">
        <is>
          <t>A0A803JSK4_XENTR</t>
        </is>
      </c>
      <c r="L10580" t="inlineStr">
        <is>
          <t>tr|A0A803JSK4|A0A803JSK4_XENTR Reverse transcriptase domain-containing protein OS=Xenopus tropicalis OX=8364 PE=4 SV=1</t>
        </is>
      </c>
      <c r="M10580" t="n">
        <v>639</v>
      </c>
      <c r="N10580" t="inlineStr">
        <is>
          <t>Xenopus tropicalis</t>
        </is>
      </c>
      <c r="O10580" t="inlineStr">
        <is>
          <t>Reverse transcriptase domain-containing protein</t>
        </is>
      </c>
    </row>
    <row r="10581">
      <c r="A10581" t="inlineStr"/>
      <c r="B10581" t="inlineStr"/>
      <c r="C10581" t="inlineStr"/>
      <c r="D10581" t="inlineStr"/>
      <c r="E10581">
        <f>HYPERLINK("https://www.uniprot.org/uniprotkb/A0A8S3RZE8/entry", "A0A8S3RZE8")</f>
        <v/>
      </c>
      <c r="F10581" t="n">
        <v>38.5</v>
      </c>
      <c r="G10581" t="n">
        <v>122</v>
      </c>
      <c r="H10581" t="n">
        <v>4.82e-08</v>
      </c>
      <c r="I10581" t="inlineStr">
        <is>
          <t>TrEMBL</t>
        </is>
      </c>
      <c r="J10581" t="inlineStr">
        <is>
          <t>MEDL_28761</t>
        </is>
      </c>
      <c r="K10581" t="inlineStr">
        <is>
          <t>A0A8S3RZE8_MYTED</t>
        </is>
      </c>
      <c r="L10581" t="inlineStr">
        <is>
          <t>tr|A0A8S3RZE8|A0A8S3RZE8_MYTED Reverse transcriptase domain-containing protein OS=Mytilus edulis OX=6550 GN=MEDL_28761 PE=4 SV=1</t>
        </is>
      </c>
      <c r="M10581" t="n">
        <v>656</v>
      </c>
      <c r="N10581" t="inlineStr">
        <is>
          <t>Mytilus edulis</t>
        </is>
      </c>
      <c r="O10581" t="inlineStr">
        <is>
          <t>Reverse transcriptase domain-containing protein</t>
        </is>
      </c>
    </row>
    <row r="10582">
      <c r="A10582" t="inlineStr">
        <is>
          <t>NODE_9625_length_6335_cov_64.670708_g3520_i0</t>
        </is>
      </c>
      <c r="B10582" t="inlineStr">
        <is>
          <t>bombina_pachypus_blastx</t>
        </is>
      </c>
      <c r="C10582" t="n">
        <v>-5.89682701891556</v>
      </c>
      <c r="D10582" t="n">
        <v>6.68632381081141e-48</v>
      </c>
      <c r="E10582">
        <f>HYPERLINK("https://www.uniprot.org/uniprotkb/A0A8C5WC79/entry", "A0A8C5WC79")</f>
        <v/>
      </c>
      <c r="F10582" t="n">
        <v>38.9</v>
      </c>
      <c r="G10582" t="n">
        <v>786</v>
      </c>
      <c r="H10582" t="n">
        <v>3.25e-184</v>
      </c>
      <c r="I10582" t="inlineStr">
        <is>
          <t>TrEMBL</t>
        </is>
      </c>
      <c r="J10582" t="inlineStr"/>
      <c r="K10582" t="inlineStr">
        <is>
          <t>A0A8C5WC79_9ANUR</t>
        </is>
      </c>
      <c r="L10582" t="inlineStr">
        <is>
          <t>tr|A0A8C5WC79|A0A8C5WC79_9ANUR Reverse transcriptase domain-containing protein OS=Leptobrachium leishanense OX=445787 PE=4 SV=1</t>
        </is>
      </c>
      <c r="M10582" t="n">
        <v>949</v>
      </c>
      <c r="N10582" t="inlineStr">
        <is>
          <t>Leptobrachium leishanense</t>
        </is>
      </c>
      <c r="O10582" t="inlineStr">
        <is>
          <t>Reverse transcriptase domain-containing protein</t>
        </is>
      </c>
    </row>
    <row r="10583">
      <c r="A10583" t="inlineStr"/>
      <c r="B10583" t="inlineStr"/>
      <c r="C10583" t="inlineStr"/>
      <c r="D10583" t="inlineStr"/>
      <c r="E10583">
        <f>HYPERLINK("https://www.uniprot.org/uniprotkb/A0A8C5R0F1/entry", "A0A8C5R0F1")</f>
        <v/>
      </c>
      <c r="F10583" t="n">
        <v>39.3</v>
      </c>
      <c r="G10583" t="n">
        <v>789</v>
      </c>
      <c r="H10583" t="n">
        <v>2.55e-181</v>
      </c>
      <c r="I10583" t="inlineStr">
        <is>
          <t>TrEMBL</t>
        </is>
      </c>
      <c r="J10583" t="inlineStr"/>
      <c r="K10583" t="inlineStr">
        <is>
          <t>A0A8C5R0F1_9ANUR</t>
        </is>
      </c>
      <c r="L10583" t="inlineStr">
        <is>
          <t>tr|A0A8C5R0F1|A0A8C5R0F1_9ANUR Reverse transcriptase domain-containing protein OS=Leptobrachium leishanense OX=445787 PE=4 SV=1</t>
        </is>
      </c>
      <c r="M10583" t="n">
        <v>906</v>
      </c>
      <c r="N10583" t="inlineStr">
        <is>
          <t>Leptobrachium leishanense</t>
        </is>
      </c>
      <c r="O10583" t="inlineStr">
        <is>
          <t>Reverse transcriptase domain-containing protein</t>
        </is>
      </c>
    </row>
    <row r="10584">
      <c r="A10584" t="inlineStr"/>
      <c r="B10584" t="inlineStr"/>
      <c r="C10584" t="inlineStr"/>
      <c r="D10584" t="inlineStr"/>
      <c r="E10584">
        <f>HYPERLINK("https://www.uniprot.org/uniprotkb/A0A8C5WBY2/entry", "A0A8C5WBY2")</f>
        <v/>
      </c>
      <c r="F10584" t="n">
        <v>39.2</v>
      </c>
      <c r="G10584" t="n">
        <v>789</v>
      </c>
      <c r="H10584" t="n">
        <v>1.42e-177</v>
      </c>
      <c r="I10584" t="inlineStr">
        <is>
          <t>TrEMBL</t>
        </is>
      </c>
      <c r="J10584" t="inlineStr"/>
      <c r="K10584" t="inlineStr">
        <is>
          <t>A0A8C5WBY2_9ANUR</t>
        </is>
      </c>
      <c r="L10584" t="inlineStr">
        <is>
          <t>tr|A0A8C5WBY2|A0A8C5WBY2_9ANUR Reverse transcriptase domain-containing protein OS=Leptobrachium leishanense OX=445787 PE=4 SV=1</t>
        </is>
      </c>
      <c r="M10584" t="n">
        <v>1273</v>
      </c>
      <c r="N10584" t="inlineStr">
        <is>
          <t>Leptobrachium leishanense</t>
        </is>
      </c>
      <c r="O10584" t="inlineStr">
        <is>
          <t>Reverse transcriptase domain-containing protein</t>
        </is>
      </c>
    </row>
    <row r="10585">
      <c r="A10585" t="inlineStr"/>
      <c r="B10585" t="inlineStr"/>
      <c r="C10585" t="inlineStr"/>
      <c r="D10585" t="inlineStr"/>
      <c r="E10585">
        <f>HYPERLINK("https://www.uniprot.org/uniprotkb/A0A8C5PXM4/entry", "A0A8C5PXM4")</f>
        <v/>
      </c>
      <c r="F10585" t="n">
        <v>39.6</v>
      </c>
      <c r="G10585" t="n">
        <v>771</v>
      </c>
      <c r="H10585" t="n">
        <v>1.54e-177</v>
      </c>
      <c r="I10585" t="inlineStr">
        <is>
          <t>TrEMBL</t>
        </is>
      </c>
      <c r="J10585" t="inlineStr"/>
      <c r="K10585" t="inlineStr">
        <is>
          <t>A0A8C5PXM4_9ANUR</t>
        </is>
      </c>
      <c r="L10585" t="inlineStr">
        <is>
          <t>tr|A0A8C5PXM4|A0A8C5PXM4_9ANUR Reverse transcriptase domain-containing protein OS=Leptobrachium leishanense OX=445787 PE=4 SV=1</t>
        </is>
      </c>
      <c r="M10585" t="n">
        <v>886</v>
      </c>
      <c r="N10585" t="inlineStr">
        <is>
          <t>Leptobrachium leishanense</t>
        </is>
      </c>
      <c r="O10585" t="inlineStr">
        <is>
          <t>Reverse transcriptase domain-containing protein</t>
        </is>
      </c>
    </row>
    <row r="10586">
      <c r="A10586" t="inlineStr"/>
      <c r="B10586" t="inlineStr"/>
      <c r="C10586" t="inlineStr"/>
      <c r="D10586" t="inlineStr"/>
      <c r="E10586">
        <f>HYPERLINK("https://www.uniprot.org/uniprotkb/A0A8C5LQ71/entry", "A0A8C5LQ71")</f>
        <v/>
      </c>
      <c r="F10586" t="n">
        <v>39.5</v>
      </c>
      <c r="G10586" t="n">
        <v>788</v>
      </c>
      <c r="H10586" t="n">
        <v>2.83e-177</v>
      </c>
      <c r="I10586" t="inlineStr">
        <is>
          <t>TrEMBL</t>
        </is>
      </c>
      <c r="J10586" t="inlineStr"/>
      <c r="K10586" t="inlineStr">
        <is>
          <t>A0A8C5LQ71_9ANUR</t>
        </is>
      </c>
      <c r="L10586" t="inlineStr">
        <is>
          <t>tr|A0A8C5LQ71|A0A8C5LQ71_9ANUR Reverse transcriptase domain-containing protein OS=Leptobrachium leishanense OX=445787 PE=4 SV=1</t>
        </is>
      </c>
      <c r="M10586" t="n">
        <v>1259</v>
      </c>
      <c r="N10586" t="inlineStr">
        <is>
          <t>Leptobrachium leishanense</t>
        </is>
      </c>
      <c r="O10586" t="inlineStr">
        <is>
          <t>Reverse transcriptase domain-containing protein</t>
        </is>
      </c>
    </row>
    <row r="10587">
      <c r="A10587" t="inlineStr"/>
      <c r="B10587" t="inlineStr"/>
      <c r="C10587" t="inlineStr"/>
      <c r="D10587" t="inlineStr"/>
      <c r="E10587">
        <f>HYPERLINK("https://www.uniprot.org/uniprotkb/A0A803KD43/entry", "A0A803KD43")</f>
        <v/>
      </c>
      <c r="F10587" t="n">
        <v>38.6</v>
      </c>
      <c r="G10587" t="n">
        <v>785</v>
      </c>
      <c r="H10587" t="n">
        <v>2.91e-177</v>
      </c>
      <c r="I10587" t="inlineStr">
        <is>
          <t>TrEMBL</t>
        </is>
      </c>
      <c r="J10587" t="inlineStr"/>
      <c r="K10587" t="inlineStr">
        <is>
          <t>A0A803KD43_XENTR</t>
        </is>
      </c>
      <c r="L10587" t="inlineStr">
        <is>
          <t>tr|A0A803KD43|A0A803KD43_XENTR Reverse transcriptase domain-containing protein OS=Xenopus tropicalis OX=8364 PE=4 SV=1</t>
        </is>
      </c>
      <c r="M10587" t="n">
        <v>908</v>
      </c>
      <c r="N10587" t="inlineStr">
        <is>
          <t>Xenopus tropicalis</t>
        </is>
      </c>
      <c r="O10587" t="inlineStr">
        <is>
          <t>Reverse transcriptase domain-containing protein</t>
        </is>
      </c>
    </row>
    <row r="10588">
      <c r="A10588" t="inlineStr"/>
      <c r="B10588" t="inlineStr"/>
      <c r="C10588" t="inlineStr"/>
      <c r="D10588" t="inlineStr"/>
      <c r="E10588">
        <f>HYPERLINK("https://www.uniprot.org/uniprotkb/A0A803JLY0/entry", "A0A803JLY0")</f>
        <v/>
      </c>
      <c r="F10588" t="n">
        <v>39.1</v>
      </c>
      <c r="G10588" t="n">
        <v>785</v>
      </c>
      <c r="H10588" t="n">
        <v>5.76e-174</v>
      </c>
      <c r="I10588" t="inlineStr">
        <is>
          <t>TrEMBL</t>
        </is>
      </c>
      <c r="J10588" t="inlineStr"/>
      <c r="K10588" t="inlineStr">
        <is>
          <t>A0A803JLY0_XENTR</t>
        </is>
      </c>
      <c r="L10588" t="inlineStr">
        <is>
          <t>tr|A0A803JLY0|A0A803JLY0_XENTR Reverse transcriptase domain-containing protein OS=Xenopus tropicalis OX=8364 PE=4 SV=1</t>
        </is>
      </c>
      <c r="M10588" t="n">
        <v>1280</v>
      </c>
      <c r="N10588" t="inlineStr">
        <is>
          <t>Xenopus tropicalis</t>
        </is>
      </c>
      <c r="O10588" t="inlineStr">
        <is>
          <t>Reverse transcriptase domain-containing protein</t>
        </is>
      </c>
    </row>
    <row r="10589">
      <c r="A10589" t="inlineStr"/>
      <c r="B10589" t="inlineStr"/>
      <c r="C10589" t="inlineStr"/>
      <c r="D10589" t="inlineStr"/>
      <c r="E10589">
        <f>HYPERLINK("https://www.uniprot.org/uniprotkb/A0A8C5MJT9/entry", "A0A8C5MJT9")</f>
        <v/>
      </c>
      <c r="F10589" t="n">
        <v>38.3</v>
      </c>
      <c r="G10589" t="n">
        <v>792</v>
      </c>
      <c r="H10589" t="n">
        <v>2.78e-173</v>
      </c>
      <c r="I10589" t="inlineStr">
        <is>
          <t>TrEMBL</t>
        </is>
      </c>
      <c r="J10589" t="inlineStr"/>
      <c r="K10589" t="inlineStr">
        <is>
          <t>A0A8C5MJT9_9ANUR</t>
        </is>
      </c>
      <c r="L10589" t="inlineStr">
        <is>
          <t>tr|A0A8C5MJT9|A0A8C5MJT9_9ANUR Reverse transcriptase domain-containing protein OS=Leptobrachium leishanense OX=445787 PE=4 SV=1</t>
        </is>
      </c>
      <c r="M10589" t="n">
        <v>1028</v>
      </c>
      <c r="N10589" t="inlineStr">
        <is>
          <t>Leptobrachium leishanense</t>
        </is>
      </c>
      <c r="O10589" t="inlineStr">
        <is>
          <t>Reverse transcriptase domain-containing protein</t>
        </is>
      </c>
    </row>
    <row r="10590">
      <c r="A10590" t="inlineStr"/>
      <c r="B10590" t="inlineStr"/>
      <c r="C10590" t="inlineStr"/>
      <c r="D10590" t="inlineStr"/>
      <c r="E10590">
        <f>HYPERLINK("https://www.uniprot.org/uniprotkb/A0A6I8RW77/entry", "A0A6I8RW77")</f>
        <v/>
      </c>
      <c r="F10590" t="n">
        <v>37.7</v>
      </c>
      <c r="G10590" t="n">
        <v>787</v>
      </c>
      <c r="H10590" t="n">
        <v>8.579999999999999e-172</v>
      </c>
      <c r="I10590" t="inlineStr">
        <is>
          <t>TrEMBL</t>
        </is>
      </c>
      <c r="J10590" t="inlineStr"/>
      <c r="K10590" t="inlineStr">
        <is>
          <t>A0A6I8RW77_XENTR</t>
        </is>
      </c>
      <c r="L10590" t="inlineStr">
        <is>
          <t>tr|A0A6I8RW77|A0A6I8RW77_XENTR Reverse transcriptase domain-containing protein OS=Xenopus tropicalis OX=8364 PE=4 SV=2</t>
        </is>
      </c>
      <c r="M10590" t="n">
        <v>1148</v>
      </c>
      <c r="N10590" t="inlineStr">
        <is>
          <t>Xenopus tropicalis</t>
        </is>
      </c>
      <c r="O10590" t="inlineStr">
        <is>
          <t>Reverse transcriptase domain-containing protein</t>
        </is>
      </c>
    </row>
    <row r="10591">
      <c r="A10591" t="inlineStr"/>
      <c r="B10591" t="inlineStr"/>
      <c r="C10591" t="inlineStr"/>
      <c r="D10591" t="inlineStr"/>
      <c r="E10591">
        <f>HYPERLINK("https://www.uniprot.org/uniprotkb/A0A803J5Q1/entry", "A0A803J5Q1")</f>
        <v/>
      </c>
      <c r="F10591" t="n">
        <v>37.4</v>
      </c>
      <c r="G10591" t="n">
        <v>786</v>
      </c>
      <c r="H10591" t="n">
        <v>7.100000000000001e-169</v>
      </c>
      <c r="I10591" t="inlineStr">
        <is>
          <t>TrEMBL</t>
        </is>
      </c>
      <c r="J10591" t="inlineStr"/>
      <c r="K10591" t="inlineStr">
        <is>
          <t>A0A803J5Q1_XENTR</t>
        </is>
      </c>
      <c r="L10591" t="inlineStr">
        <is>
          <t>tr|A0A803J5Q1|A0A803J5Q1_XENTR Reverse transcriptase domain-containing protein OS=Xenopus tropicalis OX=8364 PE=4 SV=1</t>
        </is>
      </c>
      <c r="M10591" t="n">
        <v>1274</v>
      </c>
      <c r="N10591" t="inlineStr">
        <is>
          <t>Xenopus tropicalis</t>
        </is>
      </c>
      <c r="O10591" t="inlineStr">
        <is>
          <t>Reverse transcriptase domain-containing protein</t>
        </is>
      </c>
    </row>
    <row r="10592">
      <c r="A10592" t="inlineStr"/>
      <c r="B10592" t="inlineStr"/>
      <c r="C10592" t="inlineStr"/>
      <c r="D10592" t="inlineStr"/>
      <c r="E10592">
        <f>HYPERLINK("https://www.uniprot.org/uniprotkb/A0A803KB25/entry", "A0A803KB25")</f>
        <v/>
      </c>
      <c r="F10592" t="n">
        <v>37.8</v>
      </c>
      <c r="G10592" t="n">
        <v>786</v>
      </c>
      <c r="H10592" t="n">
        <v>1e-167</v>
      </c>
      <c r="I10592" t="inlineStr">
        <is>
          <t>TrEMBL</t>
        </is>
      </c>
      <c r="J10592" t="inlineStr"/>
      <c r="K10592" t="inlineStr">
        <is>
          <t>A0A803KB25_XENTR</t>
        </is>
      </c>
      <c r="L10592" t="inlineStr">
        <is>
          <t>tr|A0A803KB25|A0A803KB25_XENTR Reverse transcriptase domain-containing protein OS=Xenopus tropicalis OX=8364 PE=4 SV=1</t>
        </is>
      </c>
      <c r="M10592" t="n">
        <v>932</v>
      </c>
      <c r="N10592" t="inlineStr">
        <is>
          <t>Xenopus tropicalis</t>
        </is>
      </c>
      <c r="O10592" t="inlineStr">
        <is>
          <t>Reverse transcriptase domain-containing protein</t>
        </is>
      </c>
    </row>
    <row r="10593">
      <c r="A10593" t="inlineStr"/>
      <c r="B10593" t="inlineStr"/>
      <c r="C10593" t="inlineStr"/>
      <c r="D10593" t="inlineStr"/>
      <c r="E10593">
        <f>HYPERLINK("https://www.uniprot.org/uniprotkb/A0A8C5PKB1/entry", "A0A8C5PKB1")</f>
        <v/>
      </c>
      <c r="F10593" t="n">
        <v>39.8</v>
      </c>
      <c r="G10593" t="n">
        <v>729</v>
      </c>
      <c r="H10593" t="n">
        <v>1.07e-166</v>
      </c>
      <c r="I10593" t="inlineStr">
        <is>
          <t>TrEMBL</t>
        </is>
      </c>
      <c r="J10593" t="inlineStr"/>
      <c r="K10593" t="inlineStr">
        <is>
          <t>A0A8C5PKB1_9ANUR</t>
        </is>
      </c>
      <c r="L10593" t="inlineStr">
        <is>
          <t>tr|A0A8C5PKB1|A0A8C5PKB1_9ANUR Reverse transcriptase domain-containing protein OS=Leptobrachium leishanense OX=445787 PE=4 SV=1</t>
        </is>
      </c>
      <c r="M10593" t="n">
        <v>846</v>
      </c>
      <c r="N10593" t="inlineStr">
        <is>
          <t>Leptobrachium leishanense</t>
        </is>
      </c>
      <c r="O10593" t="inlineStr">
        <is>
          <t>Reverse transcriptase domain-containing protein</t>
        </is>
      </c>
    </row>
    <row r="10594">
      <c r="A10594" t="inlineStr"/>
      <c r="B10594" t="inlineStr"/>
      <c r="C10594" t="inlineStr"/>
      <c r="D10594" t="inlineStr"/>
      <c r="E10594">
        <f>HYPERLINK("https://www.uniprot.org/uniprotkb/A0A803K2M0/entry", "A0A803K2M0")</f>
        <v/>
      </c>
      <c r="F10594" t="n">
        <v>36.4</v>
      </c>
      <c r="G10594" t="n">
        <v>783</v>
      </c>
      <c r="H10594" t="n">
        <v>1.11e-166</v>
      </c>
      <c r="I10594" t="inlineStr">
        <is>
          <t>TrEMBL</t>
        </is>
      </c>
      <c r="J10594" t="inlineStr"/>
      <c r="K10594" t="inlineStr">
        <is>
          <t>A0A803K2M0_XENTR</t>
        </is>
      </c>
      <c r="L10594" t="inlineStr">
        <is>
          <t>tr|A0A803K2M0|A0A803K2M0_XENTR Reverse transcriptase domain-containing protein OS=Xenopus tropicalis OX=8364 PE=4 SV=1</t>
        </is>
      </c>
      <c r="M10594" t="n">
        <v>1273</v>
      </c>
      <c r="N10594" t="inlineStr">
        <is>
          <t>Xenopus tropicalis</t>
        </is>
      </c>
      <c r="O10594" t="inlineStr">
        <is>
          <t>Reverse transcriptase domain-containing protein</t>
        </is>
      </c>
    </row>
    <row r="10595">
      <c r="A10595" t="inlineStr"/>
      <c r="B10595" t="inlineStr"/>
      <c r="C10595" t="inlineStr"/>
      <c r="D10595" t="inlineStr"/>
      <c r="E10595">
        <f>HYPERLINK("https://www.uniprot.org/uniprotkb/A0A8C5MEC2/entry", "A0A8C5MEC2")</f>
        <v/>
      </c>
      <c r="F10595" t="n">
        <v>39.5</v>
      </c>
      <c r="G10595" t="n">
        <v>782</v>
      </c>
      <c r="H10595" t="n">
        <v>4.35e-165</v>
      </c>
      <c r="I10595" t="inlineStr">
        <is>
          <t>TrEMBL</t>
        </is>
      </c>
      <c r="J10595" t="inlineStr"/>
      <c r="K10595" t="inlineStr">
        <is>
          <t>A0A8C5MEC2_9ANUR</t>
        </is>
      </c>
      <c r="L10595" t="inlineStr">
        <is>
          <t>tr|A0A8C5MEC2|A0A8C5MEC2_9ANUR Reverse transcriptase domain-containing protein OS=Leptobrachium leishanense OX=445787 PE=4 SV=1</t>
        </is>
      </c>
      <c r="M10595" t="n">
        <v>904</v>
      </c>
      <c r="N10595" t="inlineStr">
        <is>
          <t>Leptobrachium leishanense</t>
        </is>
      </c>
      <c r="O10595" t="inlineStr">
        <is>
          <t>Reverse transcriptase domain-containing protein</t>
        </is>
      </c>
    </row>
    <row r="10596">
      <c r="A10596" t="inlineStr"/>
      <c r="B10596" t="inlineStr"/>
      <c r="C10596" t="inlineStr"/>
      <c r="D10596" t="inlineStr"/>
      <c r="E10596">
        <f>HYPERLINK("https://www.uniprot.org/uniprotkb/A0A8C5R857/entry", "A0A8C5R857")</f>
        <v/>
      </c>
      <c r="F10596" t="n">
        <v>39.6</v>
      </c>
      <c r="G10596" t="n">
        <v>700</v>
      </c>
      <c r="H10596" t="n">
        <v>5.78e-165</v>
      </c>
      <c r="I10596" t="inlineStr">
        <is>
          <t>TrEMBL</t>
        </is>
      </c>
      <c r="J10596" t="inlineStr"/>
      <c r="K10596" t="inlineStr">
        <is>
          <t>A0A8C5R857_9ANUR</t>
        </is>
      </c>
      <c r="L10596" t="inlineStr">
        <is>
          <t>tr|A0A8C5R857|A0A8C5R857_9ANUR Reverse transcriptase domain-containing protein OS=Leptobrachium leishanense OX=445787 PE=4 SV=1</t>
        </is>
      </c>
      <c r="M10596" t="n">
        <v>818</v>
      </c>
      <c r="N10596" t="inlineStr">
        <is>
          <t>Leptobrachium leishanense</t>
        </is>
      </c>
      <c r="O10596" t="inlineStr">
        <is>
          <t>Reverse transcriptase domain-containing protein</t>
        </is>
      </c>
    </row>
    <row r="10597">
      <c r="A10597" t="inlineStr"/>
      <c r="B10597" t="inlineStr"/>
      <c r="C10597" t="inlineStr"/>
      <c r="D10597" t="inlineStr"/>
      <c r="E10597">
        <f>HYPERLINK("https://www.uniprot.org/uniprotkb/A0A8C5PUC3/entry", "A0A8C5PUC3")</f>
        <v/>
      </c>
      <c r="F10597" t="n">
        <v>37.9</v>
      </c>
      <c r="G10597" t="n">
        <v>784</v>
      </c>
      <c r="H10597" t="n">
        <v>1.24e-164</v>
      </c>
      <c r="I10597" t="inlineStr">
        <is>
          <t>TrEMBL</t>
        </is>
      </c>
      <c r="J10597" t="inlineStr"/>
      <c r="K10597" t="inlineStr">
        <is>
          <t>A0A8C5PUC3_9ANUR</t>
        </is>
      </c>
      <c r="L10597" t="inlineStr">
        <is>
          <t>tr|A0A8C5PUC3|A0A8C5PUC3_9ANUR Reverse transcriptase domain-containing protein OS=Leptobrachium leishanense OX=445787 PE=4 SV=1</t>
        </is>
      </c>
      <c r="M10597" t="n">
        <v>967</v>
      </c>
      <c r="N10597" t="inlineStr">
        <is>
          <t>Leptobrachium leishanense</t>
        </is>
      </c>
      <c r="O10597" t="inlineStr">
        <is>
          <t>Reverse transcriptase domain-containing protein</t>
        </is>
      </c>
    </row>
    <row r="10598">
      <c r="A10598" t="inlineStr"/>
      <c r="B10598" t="inlineStr"/>
      <c r="C10598" t="inlineStr"/>
      <c r="D10598" t="inlineStr"/>
      <c r="E10598">
        <f>HYPERLINK("https://www.uniprot.org/uniprotkb/A0A8C5M4V5/entry", "A0A8C5M4V5")</f>
        <v/>
      </c>
      <c r="F10598" t="n">
        <v>37.9</v>
      </c>
      <c r="G10598" t="n">
        <v>791</v>
      </c>
      <c r="H10598" t="n">
        <v>4.85e-164</v>
      </c>
      <c r="I10598" t="inlineStr">
        <is>
          <t>TrEMBL</t>
        </is>
      </c>
      <c r="J10598" t="inlineStr"/>
      <c r="K10598" t="inlineStr">
        <is>
          <t>A0A8C5M4V5_9ANUR</t>
        </is>
      </c>
      <c r="L10598" t="inlineStr">
        <is>
          <t>tr|A0A8C5M4V5|A0A8C5M4V5_9ANUR Reverse transcriptase domain-containing protein OS=Leptobrachium leishanense OX=445787 PE=4 SV=1</t>
        </is>
      </c>
      <c r="M10598" t="n">
        <v>967</v>
      </c>
      <c r="N10598" t="inlineStr">
        <is>
          <t>Leptobrachium leishanense</t>
        </is>
      </c>
      <c r="O10598" t="inlineStr">
        <is>
          <t>Reverse transcriptase domain-containing protein</t>
        </is>
      </c>
    </row>
    <row r="10599">
      <c r="A10599" t="inlineStr"/>
      <c r="B10599" t="inlineStr"/>
      <c r="C10599" t="inlineStr"/>
      <c r="D10599" t="inlineStr"/>
      <c r="E10599">
        <f>HYPERLINK("https://www.uniprot.org/uniprotkb/A0A8C5QCS9/entry", "A0A8C5QCS9")</f>
        <v/>
      </c>
      <c r="F10599" t="n">
        <v>39.4</v>
      </c>
      <c r="G10599" t="n">
        <v>787</v>
      </c>
      <c r="H10599" t="n">
        <v>1.32e-163</v>
      </c>
      <c r="I10599" t="inlineStr">
        <is>
          <t>TrEMBL</t>
        </is>
      </c>
      <c r="J10599" t="inlineStr"/>
      <c r="K10599" t="inlineStr">
        <is>
          <t>A0A8C5QCS9_9ANUR</t>
        </is>
      </c>
      <c r="L10599" t="inlineStr">
        <is>
          <t>tr|A0A8C5QCS9|A0A8C5QCS9_9ANUR Reverse transcriptase domain-containing protein OS=Leptobrachium leishanense OX=445787 PE=4 SV=1</t>
        </is>
      </c>
      <c r="M10599" t="n">
        <v>1126</v>
      </c>
      <c r="N10599" t="inlineStr">
        <is>
          <t>Leptobrachium leishanense</t>
        </is>
      </c>
      <c r="O10599" t="inlineStr">
        <is>
          <t>Reverse transcriptase domain-containing protein</t>
        </is>
      </c>
    </row>
    <row r="10600">
      <c r="A10600" t="inlineStr"/>
      <c r="B10600" t="inlineStr"/>
      <c r="C10600" t="inlineStr"/>
      <c r="D10600" t="inlineStr"/>
      <c r="E10600">
        <f>HYPERLINK("https://www.uniprot.org/uniprotkb/A0A803K3V4/entry", "A0A803K3V4")</f>
        <v/>
      </c>
      <c r="F10600" t="n">
        <v>37.5</v>
      </c>
      <c r="G10600" t="n">
        <v>786</v>
      </c>
      <c r="H10600" t="n">
        <v>1.49e-163</v>
      </c>
      <c r="I10600" t="inlineStr">
        <is>
          <t>TrEMBL</t>
        </is>
      </c>
      <c r="J10600" t="inlineStr"/>
      <c r="K10600" t="inlineStr">
        <is>
          <t>A0A803K3V4_XENTR</t>
        </is>
      </c>
      <c r="L10600" t="inlineStr">
        <is>
          <t>tr|A0A803K3V4|A0A803K3V4_XENTR Reverse transcriptase domain-containing protein OS=Xenopus tropicalis OX=8364 PE=4 SV=1</t>
        </is>
      </c>
      <c r="M10600" t="n">
        <v>1145</v>
      </c>
      <c r="N10600" t="inlineStr">
        <is>
          <t>Xenopus tropicalis</t>
        </is>
      </c>
      <c r="O10600" t="inlineStr">
        <is>
          <t>Reverse transcriptase domain-containing protein</t>
        </is>
      </c>
    </row>
    <row r="10601">
      <c r="A10601" t="inlineStr"/>
      <c r="B10601" t="inlineStr"/>
      <c r="C10601" t="inlineStr"/>
      <c r="D10601" t="inlineStr"/>
      <c r="E10601">
        <f>HYPERLINK("https://www.uniprot.org/uniprotkb/A0A8C5PWR8/entry", "A0A8C5PWR8")</f>
        <v/>
      </c>
      <c r="F10601" t="n">
        <v>37.1</v>
      </c>
      <c r="G10601" t="n">
        <v>795</v>
      </c>
      <c r="H10601" t="n">
        <v>2.11e-163</v>
      </c>
      <c r="I10601" t="inlineStr">
        <is>
          <t>TrEMBL</t>
        </is>
      </c>
      <c r="J10601" t="inlineStr"/>
      <c r="K10601" t="inlineStr">
        <is>
          <t>A0A8C5PWR8_9ANUR</t>
        </is>
      </c>
      <c r="L10601" t="inlineStr">
        <is>
          <t>tr|A0A8C5PWR8|A0A8C5PWR8_9ANUR Reverse transcriptase domain-containing protein OS=Leptobrachium leishanense OX=445787 PE=4 SV=1</t>
        </is>
      </c>
      <c r="M10601" t="n">
        <v>1278</v>
      </c>
      <c r="N10601" t="inlineStr">
        <is>
          <t>Leptobrachium leishanense</t>
        </is>
      </c>
      <c r="O10601" t="inlineStr">
        <is>
          <t>Reverse transcriptase domain-containing protein</t>
        </is>
      </c>
    </row>
    <row r="10602">
      <c r="A10602" t="inlineStr"/>
      <c r="B10602" t="inlineStr"/>
      <c r="C10602" t="inlineStr"/>
      <c r="D10602" t="inlineStr"/>
      <c r="E10602">
        <f>HYPERLINK("https://www.uniprot.org/uniprotkb/A0A8C5LQ54/entry", "A0A8C5LQ54")</f>
        <v/>
      </c>
      <c r="F10602" t="n">
        <v>37.5</v>
      </c>
      <c r="G10602" t="n">
        <v>784</v>
      </c>
      <c r="H10602" t="n">
        <v>5.310000000000001e-163</v>
      </c>
      <c r="I10602" t="inlineStr">
        <is>
          <t>TrEMBL</t>
        </is>
      </c>
      <c r="J10602" t="inlineStr"/>
      <c r="K10602" t="inlineStr">
        <is>
          <t>A0A8C5LQ54_9ANUR</t>
        </is>
      </c>
      <c r="L10602" t="inlineStr">
        <is>
          <t>tr|A0A8C5LQ54|A0A8C5LQ54_9ANUR Reverse transcriptase domain-containing protein OS=Leptobrachium leishanense OX=445787 PE=4 SV=1</t>
        </is>
      </c>
      <c r="M10602" t="n">
        <v>967</v>
      </c>
      <c r="N10602" t="inlineStr">
        <is>
          <t>Leptobrachium leishanense</t>
        </is>
      </c>
      <c r="O10602" t="inlineStr">
        <is>
          <t>Reverse transcriptase domain-containing protein</t>
        </is>
      </c>
    </row>
    <row r="10603">
      <c r="A10603" t="inlineStr"/>
      <c r="B10603" t="inlineStr"/>
      <c r="C10603" t="inlineStr"/>
      <c r="D10603" t="inlineStr"/>
      <c r="E10603">
        <f>HYPERLINK("https://www.uniprot.org/uniprotkb/A0A803KDG0/entry", "A0A803KDG0")</f>
        <v/>
      </c>
      <c r="F10603" t="n">
        <v>37.4</v>
      </c>
      <c r="G10603" t="n">
        <v>786</v>
      </c>
      <c r="H10603" t="n">
        <v>1.84e-162</v>
      </c>
      <c r="I10603" t="inlineStr">
        <is>
          <t>TrEMBL</t>
        </is>
      </c>
      <c r="J10603" t="inlineStr"/>
      <c r="K10603" t="inlineStr">
        <is>
          <t>A0A803KDG0_XENTR</t>
        </is>
      </c>
      <c r="L10603" t="inlineStr">
        <is>
          <t>tr|A0A803KDG0|A0A803KDG0_XENTR Reverse transcriptase domain-containing protein OS=Xenopus tropicalis OX=8364 PE=4 SV=1</t>
        </is>
      </c>
      <c r="M10603" t="n">
        <v>1014</v>
      </c>
      <c r="N10603" t="inlineStr">
        <is>
          <t>Xenopus tropicalis</t>
        </is>
      </c>
      <c r="O10603" t="inlineStr">
        <is>
          <t>Reverse transcriptase domain-containing protein</t>
        </is>
      </c>
    </row>
    <row r="10604">
      <c r="A10604" t="inlineStr"/>
      <c r="B10604" t="inlineStr"/>
      <c r="C10604" t="inlineStr"/>
      <c r="D10604" t="inlineStr"/>
      <c r="E10604">
        <f>HYPERLINK("https://www.uniprot.org/uniprotkb/A0A8C5QM53/entry", "A0A8C5QM53")</f>
        <v/>
      </c>
      <c r="F10604" t="n">
        <v>39.4</v>
      </c>
      <c r="G10604" t="n">
        <v>787</v>
      </c>
      <c r="H10604" t="n">
        <v>4.64e-162</v>
      </c>
      <c r="I10604" t="inlineStr">
        <is>
          <t>TrEMBL</t>
        </is>
      </c>
      <c r="J10604" t="inlineStr"/>
      <c r="K10604" t="inlineStr">
        <is>
          <t>A0A8C5QM53_9ANUR</t>
        </is>
      </c>
      <c r="L10604" t="inlineStr">
        <is>
          <t>tr|A0A8C5QM53|A0A8C5QM53_9ANUR Reverse transcriptase domain-containing protein OS=Leptobrachium leishanense OX=445787 PE=4 SV=1</t>
        </is>
      </c>
      <c r="M10604" t="n">
        <v>1265</v>
      </c>
      <c r="N10604" t="inlineStr">
        <is>
          <t>Leptobrachium leishanense</t>
        </is>
      </c>
      <c r="O10604" t="inlineStr">
        <is>
          <t>Reverse transcriptase domain-containing protein</t>
        </is>
      </c>
    </row>
    <row r="10605">
      <c r="A10605" t="inlineStr"/>
      <c r="B10605" t="inlineStr"/>
      <c r="C10605" t="inlineStr"/>
      <c r="D10605" t="inlineStr"/>
      <c r="E10605">
        <f>HYPERLINK("https://www.uniprot.org/uniprotkb/A0A8C5QNH5/entry", "A0A8C5QNH5")</f>
        <v/>
      </c>
      <c r="F10605" t="n">
        <v>39.3</v>
      </c>
      <c r="G10605" t="n">
        <v>787</v>
      </c>
      <c r="H10605" t="n">
        <v>6.5e-162</v>
      </c>
      <c r="I10605" t="inlineStr">
        <is>
          <t>TrEMBL</t>
        </is>
      </c>
      <c r="J10605" t="inlineStr"/>
      <c r="K10605" t="inlineStr">
        <is>
          <t>A0A8C5QNH5_9ANUR</t>
        </is>
      </c>
      <c r="L10605" t="inlineStr">
        <is>
          <t>tr|A0A8C5QNH5|A0A8C5QNH5_9ANUR Reverse transcriptase domain-containing protein OS=Leptobrachium leishanense OX=445787 PE=4 SV=1</t>
        </is>
      </c>
      <c r="M10605" t="n">
        <v>1265</v>
      </c>
      <c r="N10605" t="inlineStr">
        <is>
          <t>Leptobrachium leishanense</t>
        </is>
      </c>
      <c r="O10605" t="inlineStr">
        <is>
          <t>Reverse transcriptase domain-containing protein</t>
        </is>
      </c>
    </row>
    <row r="10606">
      <c r="A10606" t="inlineStr"/>
      <c r="B10606" t="inlineStr"/>
      <c r="C10606" t="inlineStr"/>
      <c r="D10606" t="inlineStr"/>
      <c r="E10606">
        <f>HYPERLINK("https://www.uniprot.org/uniprotkb/A0A803JA29/entry", "A0A803JA29")</f>
        <v/>
      </c>
      <c r="F10606" t="n">
        <v>37.7</v>
      </c>
      <c r="G10606" t="n">
        <v>786</v>
      </c>
      <c r="H10606" t="n">
        <v>6.95e-162</v>
      </c>
      <c r="I10606" t="inlineStr">
        <is>
          <t>TrEMBL</t>
        </is>
      </c>
      <c r="J10606" t="inlineStr"/>
      <c r="K10606" t="inlineStr">
        <is>
          <t>A0A803JA29_XENTR</t>
        </is>
      </c>
      <c r="L10606" t="inlineStr">
        <is>
          <t>tr|A0A803JA29|A0A803JA29_XENTR Reverse transcriptase domain-containing protein OS=Xenopus tropicalis OX=8364 PE=4 SV=1</t>
        </is>
      </c>
      <c r="M10606" t="n">
        <v>1268</v>
      </c>
      <c r="N10606" t="inlineStr">
        <is>
          <t>Xenopus tropicalis</t>
        </is>
      </c>
      <c r="O10606" t="inlineStr">
        <is>
          <t>Reverse transcriptase domain-containing protein</t>
        </is>
      </c>
    </row>
    <row r="10607">
      <c r="A10607" t="inlineStr"/>
      <c r="B10607" t="inlineStr"/>
      <c r="C10607" t="inlineStr"/>
      <c r="D10607" t="inlineStr"/>
      <c r="E10607">
        <f>HYPERLINK("https://www.ncbi.nlm.nih.gov/gene/?term=XP_041436982.1", "XP_041436982.1")</f>
        <v/>
      </c>
      <c r="F10607" t="n">
        <v>36.9</v>
      </c>
      <c r="G10607" t="n">
        <v>769</v>
      </c>
      <c r="H10607" t="n">
        <v>6.02e-146</v>
      </c>
      <c r="I10607" t="inlineStr">
        <is>
          <t>Nr</t>
        </is>
      </c>
      <c r="J10607" t="inlineStr"/>
      <c r="K10607" t="inlineStr"/>
      <c r="L10607" t="inlineStr">
        <is>
          <t>XP_041436982.1 TRAF3 interacting protein 2 L homeolog isoform X1 [Xenopus laevis]</t>
        </is>
      </c>
      <c r="M10607" t="n">
        <v>946</v>
      </c>
      <c r="N10607" t="inlineStr">
        <is>
          <t>Xenopus laevis</t>
        </is>
      </c>
      <c r="O10607" t="inlineStr">
        <is>
          <t>TRAF3 interacting protein 2 L homeolog isoform X1</t>
        </is>
      </c>
    </row>
    <row r="10608">
      <c r="A10608" t="inlineStr"/>
      <c r="B10608" t="inlineStr"/>
      <c r="C10608" t="inlineStr"/>
      <c r="D10608" t="inlineStr"/>
      <c r="E10608">
        <f>HYPERLINK("https://www.ncbi.nlm.nih.gov/gene/?term=GGQ97020.1", "GGQ97020.1")</f>
        <v/>
      </c>
      <c r="F10608" t="n">
        <v>34.2</v>
      </c>
      <c r="G10608" t="n">
        <v>786</v>
      </c>
      <c r="H10608" t="n">
        <v>5.3e-128</v>
      </c>
      <c r="I10608" t="inlineStr">
        <is>
          <t>Nr</t>
        </is>
      </c>
      <c r="J10608" t="inlineStr"/>
      <c r="K10608" t="inlineStr"/>
      <c r="L10608" t="inlineStr">
        <is>
          <t>GGQ97020.1 hypothetical protein GCM10010267_69060 [Streptomyces griseorubens]</t>
        </is>
      </c>
      <c r="M10608" t="n">
        <v>1034</v>
      </c>
      <c r="N10608" t="inlineStr">
        <is>
          <t>Streptomyces griseorubens</t>
        </is>
      </c>
      <c r="O10608" t="inlineStr">
        <is>
          <t>hypothetical protein GCM10010267_69060</t>
        </is>
      </c>
    </row>
    <row r="10609">
      <c r="A10609" t="inlineStr"/>
      <c r="B10609" t="inlineStr"/>
      <c r="C10609" t="inlineStr"/>
      <c r="D10609" t="inlineStr"/>
      <c r="E10609">
        <f>HYPERLINK("https://www.ncbi.nlm.nih.gov/gene/?term=GGM65230.1", "GGM65230.1")</f>
        <v/>
      </c>
      <c r="F10609" t="n">
        <v>34.2</v>
      </c>
      <c r="G10609" t="n">
        <v>786</v>
      </c>
      <c r="H10609" t="n">
        <v>7.479999999999999e-128</v>
      </c>
      <c r="I10609" t="inlineStr">
        <is>
          <t>Nr</t>
        </is>
      </c>
      <c r="J10609" t="inlineStr"/>
      <c r="K10609" t="inlineStr"/>
      <c r="L10609" t="inlineStr">
        <is>
          <t>GGM65230.1 hypothetical protein GCM10010489_41010 [Microbacterium saperdae]</t>
        </is>
      </c>
      <c r="M10609" t="n">
        <v>1004</v>
      </c>
      <c r="N10609" t="inlineStr">
        <is>
          <t>Microbacterium saperdae</t>
        </is>
      </c>
      <c r="O10609" t="inlineStr">
        <is>
          <t>hypothetical protein GCM10010489_41010</t>
        </is>
      </c>
    </row>
    <row r="10610">
      <c r="A10610" t="inlineStr"/>
      <c r="B10610" t="inlineStr"/>
      <c r="C10610" t="inlineStr"/>
      <c r="D10610" t="inlineStr"/>
      <c r="E10610">
        <f>HYPERLINK("https://www.uniprot.org/uniprotkb/O00370/entry", "O00370")</f>
        <v/>
      </c>
      <c r="F10610" t="n">
        <v>34.6</v>
      </c>
      <c r="G10610" t="n">
        <v>784</v>
      </c>
      <c r="H10610" t="n">
        <v>7.939999999999999e-128</v>
      </c>
      <c r="I10610" t="inlineStr">
        <is>
          <t>Swiss-Prot</t>
        </is>
      </c>
      <c r="J10610" t="inlineStr"/>
      <c r="K10610" t="inlineStr">
        <is>
          <t>LORF2_HUMAN</t>
        </is>
      </c>
      <c r="L10610" t="inlineStr">
        <is>
          <t>sp|O00370|LORF2_HUMAN LINE-1 retrotransposable element ORF2 protein OS=Homo sapiens OX=9606 PE=1 SV=1</t>
        </is>
      </c>
      <c r="M10610" t="n">
        <v>1275</v>
      </c>
      <c r="N10610" t="inlineStr">
        <is>
          <t>Homo sapiens</t>
        </is>
      </c>
      <c r="O10610" t="inlineStr">
        <is>
          <t>LINE-1 retrotransposable element ORF2 protein</t>
        </is>
      </c>
    </row>
    <row r="10611">
      <c r="A10611" t="inlineStr"/>
      <c r="B10611" t="inlineStr"/>
      <c r="C10611" t="inlineStr"/>
      <c r="D10611" t="inlineStr"/>
      <c r="E10611">
        <f>HYPERLINK("https://www.ncbi.nlm.nih.gov/gene/?term=SGA19747.1", "SGA19747.1")</f>
        <v/>
      </c>
      <c r="F10611" t="n">
        <v>33.9</v>
      </c>
      <c r="G10611" t="n">
        <v>791</v>
      </c>
      <c r="H10611" t="n">
        <v>1.86e-127</v>
      </c>
      <c r="I10611" t="inlineStr">
        <is>
          <t>Nr</t>
        </is>
      </c>
      <c r="J10611" t="inlineStr"/>
      <c r="K10611" t="inlineStr"/>
      <c r="L10611" t="inlineStr">
        <is>
          <t>SGA19747.1 Retron-type reverse transcriptase [Chlamydia abortus]</t>
        </is>
      </c>
      <c r="M10611" t="n">
        <v>1177</v>
      </c>
      <c r="N10611" t="inlineStr">
        <is>
          <t>Chlamydia abortus</t>
        </is>
      </c>
      <c r="O10611" t="inlineStr">
        <is>
          <t>Retron-type reverse transcriptase</t>
        </is>
      </c>
    </row>
    <row r="10612">
      <c r="A10612" t="inlineStr"/>
      <c r="B10612" t="inlineStr"/>
      <c r="C10612" t="inlineStr"/>
      <c r="D10612" t="inlineStr"/>
      <c r="E10612">
        <f>HYPERLINK("https://www.ncbi.nlm.nih.gov/gene/?term=KAJ0059923.1", "KAJ0059923.1")</f>
        <v/>
      </c>
      <c r="F10612" t="n">
        <v>34.5</v>
      </c>
      <c r="G10612" t="n">
        <v>800</v>
      </c>
      <c r="H10612" t="n">
        <v>2.16e-127</v>
      </c>
      <c r="I10612" t="inlineStr">
        <is>
          <t>Nr</t>
        </is>
      </c>
      <c r="J10612" t="inlineStr"/>
      <c r="K10612" t="inlineStr"/>
      <c r="L10612" t="inlineStr">
        <is>
          <t>KAJ0059923.1 hypothetical protein NL108_015598 [Boleophthalmus pectinirostris]</t>
        </is>
      </c>
      <c r="M10612" t="n">
        <v>1258</v>
      </c>
      <c r="N10612" t="inlineStr">
        <is>
          <t>Boleophthalmus pectinirostris</t>
        </is>
      </c>
      <c r="O10612" t="inlineStr">
        <is>
          <t>hypothetical protein NL108_015598</t>
        </is>
      </c>
    </row>
    <row r="10613">
      <c r="A10613" t="inlineStr"/>
      <c r="B10613" t="inlineStr"/>
      <c r="C10613" t="inlineStr"/>
      <c r="D10613" t="inlineStr"/>
      <c r="E10613">
        <f>HYPERLINK("https://www.ncbi.nlm.nih.gov/gene/?term=WP_008930570.1", "WP_008930570.1")</f>
        <v/>
      </c>
      <c r="F10613" t="n">
        <v>34.2</v>
      </c>
      <c r="G10613" t="n">
        <v>786</v>
      </c>
      <c r="H10613" t="n">
        <v>3e-127</v>
      </c>
      <c r="I10613" t="inlineStr">
        <is>
          <t>Nr</t>
        </is>
      </c>
      <c r="J10613" t="inlineStr"/>
      <c r="K10613" t="inlineStr"/>
      <c r="L10613" t="inlineStr">
        <is>
          <t>WP_008930570.1 reverse transcriptase family protein, partial [Alcanivorax hongdengensis]</t>
        </is>
      </c>
      <c r="M10613" t="n">
        <v>991</v>
      </c>
      <c r="N10613" t="inlineStr">
        <is>
          <t>Alcanivorax hongdengensis</t>
        </is>
      </c>
      <c r="O10613" t="inlineStr">
        <is>
          <t>reverse transcriptase family protein, partial</t>
        </is>
      </c>
    </row>
    <row r="10614">
      <c r="A10614" t="inlineStr"/>
      <c r="B10614" t="inlineStr"/>
      <c r="C10614" t="inlineStr"/>
      <c r="D10614" t="inlineStr"/>
      <c r="E10614">
        <f>HYPERLINK("https://www.ncbi.nlm.nih.gov/gene/?term=WP_206601037.1", "WP_206601037.1")</f>
        <v/>
      </c>
      <c r="F10614" t="n">
        <v>33.9</v>
      </c>
      <c r="G10614" t="n">
        <v>791</v>
      </c>
      <c r="H10614" t="n">
        <v>3.51e-127</v>
      </c>
      <c r="I10614" t="inlineStr">
        <is>
          <t>Nr</t>
        </is>
      </c>
      <c r="J10614" t="inlineStr"/>
      <c r="K10614" t="inlineStr"/>
      <c r="L10614" t="inlineStr">
        <is>
          <t>WP_206601037.1 reverse transcriptase domain-containing protein, partial [Chlamydia abortus]</t>
        </is>
      </c>
      <c r="M10614" t="n">
        <v>1211</v>
      </c>
      <c r="N10614" t="inlineStr">
        <is>
          <t>Chlamydia abortus</t>
        </is>
      </c>
      <c r="O10614" t="inlineStr">
        <is>
          <t>reverse transcriptase domain-containing protein, partial</t>
        </is>
      </c>
    </row>
    <row r="10615">
      <c r="A10615" t="inlineStr"/>
      <c r="B10615" t="inlineStr"/>
      <c r="C10615" t="inlineStr"/>
      <c r="D10615" t="inlineStr"/>
      <c r="E10615">
        <f>HYPERLINK("https://www.ncbi.nlm.nih.gov/gene/?term=GGP79938.1", "GGP79938.1")</f>
        <v/>
      </c>
      <c r="F10615" t="n">
        <v>34.2</v>
      </c>
      <c r="G10615" t="n">
        <v>786</v>
      </c>
      <c r="H10615" t="n">
        <v>3.93e-127</v>
      </c>
      <c r="I10615" t="inlineStr">
        <is>
          <t>Nr</t>
        </is>
      </c>
      <c r="J10615" t="inlineStr"/>
      <c r="K10615" t="inlineStr"/>
      <c r="L10615" t="inlineStr">
        <is>
          <t>GGP79938.1 hypothetical protein GCM10010265_67030 [Streptomyces griseoincarnatus]</t>
        </is>
      </c>
      <c r="M10615" t="n">
        <v>1003</v>
      </c>
      <c r="N10615" t="inlineStr">
        <is>
          <t>Streptomyces griseoincarnatus</t>
        </is>
      </c>
      <c r="O10615" t="inlineStr">
        <is>
          <t>hypothetical protein GCM10010265_67030</t>
        </is>
      </c>
    </row>
    <row r="10616">
      <c r="A10616" t="inlineStr"/>
      <c r="B10616" t="inlineStr"/>
      <c r="C10616" t="inlineStr"/>
      <c r="D10616" t="inlineStr"/>
      <c r="E10616">
        <f>HYPERLINK("https://www.ncbi.nlm.nih.gov/gene/?term=WP_086427321.1", "WP_086427321.1")</f>
        <v/>
      </c>
      <c r="F10616" t="n">
        <v>34.1</v>
      </c>
      <c r="G10616" t="n">
        <v>791</v>
      </c>
      <c r="H10616" t="n">
        <v>4.04e-127</v>
      </c>
      <c r="I10616" t="inlineStr">
        <is>
          <t>Nr</t>
        </is>
      </c>
      <c r="J10616" t="inlineStr"/>
      <c r="K10616" t="inlineStr"/>
      <c r="L10616" t="inlineStr">
        <is>
          <t>WP_086427321.1 reverse transcriptase domain-containing protein [Chlamydia abortus]</t>
        </is>
      </c>
      <c r="M10616" t="n">
        <v>1275</v>
      </c>
      <c r="N10616" t="inlineStr">
        <is>
          <t>Chlamydia abortus</t>
        </is>
      </c>
      <c r="O10616" t="inlineStr">
        <is>
          <t>reverse transcriptase domain-containing protein</t>
        </is>
      </c>
    </row>
    <row r="10617">
      <c r="A10617" t="inlineStr"/>
      <c r="B10617" t="inlineStr"/>
      <c r="C10617" t="inlineStr"/>
      <c r="D10617" t="inlineStr"/>
      <c r="E10617">
        <f>HYPERLINK("https://www.ncbi.nlm.nih.gov/gene/?term=SGA28217.1", "SGA28217.1")</f>
        <v/>
      </c>
      <c r="F10617" t="n">
        <v>34.1</v>
      </c>
      <c r="G10617" t="n">
        <v>791</v>
      </c>
      <c r="H10617" t="n">
        <v>4.04e-127</v>
      </c>
      <c r="I10617" t="inlineStr">
        <is>
          <t>Nr</t>
        </is>
      </c>
      <c r="J10617" t="inlineStr"/>
      <c r="K10617" t="inlineStr"/>
      <c r="L10617" t="inlineStr">
        <is>
          <t>SGA28217.1 exonuclease III [Mycoplasmopsis arginini]</t>
        </is>
      </c>
      <c r="M10617" t="n">
        <v>1275</v>
      </c>
      <c r="N10617" t="inlineStr">
        <is>
          <t>Mycoplasmopsis arginini</t>
        </is>
      </c>
      <c r="O10617" t="inlineStr">
        <is>
          <t>exonuclease III</t>
        </is>
      </c>
    </row>
    <row r="10618">
      <c r="A10618" t="inlineStr"/>
      <c r="B10618" t="inlineStr"/>
      <c r="C10618" t="inlineStr"/>
      <c r="D10618" t="inlineStr"/>
      <c r="E10618">
        <f>HYPERLINK("https://www.ncbi.nlm.nih.gov/gene/?term=WP_186330846.1", "WP_186330846.1")</f>
        <v/>
      </c>
      <c r="F10618" t="n">
        <v>34.1</v>
      </c>
      <c r="G10618" t="n">
        <v>791</v>
      </c>
      <c r="H10618" t="n">
        <v>7.27e-127</v>
      </c>
      <c r="I10618" t="inlineStr">
        <is>
          <t>Nr</t>
        </is>
      </c>
      <c r="J10618" t="inlineStr"/>
      <c r="K10618" t="inlineStr"/>
      <c r="L10618" t="inlineStr">
        <is>
          <t>WP_186330846.1 reverse transcriptase domain-containing protein [Mycoplasmopsis arginini]</t>
        </is>
      </c>
      <c r="M10618" t="n">
        <v>1310</v>
      </c>
      <c r="N10618" t="inlineStr">
        <is>
          <t>Mycoplasmopsis arginini</t>
        </is>
      </c>
      <c r="O10618" t="inlineStr">
        <is>
          <t>reverse transcriptase domain-containing protein</t>
        </is>
      </c>
    </row>
    <row r="10619">
      <c r="A10619" t="inlineStr"/>
      <c r="B10619" t="inlineStr"/>
      <c r="C10619" t="inlineStr"/>
      <c r="D10619" t="inlineStr"/>
      <c r="E10619">
        <f>HYPERLINK("https://www.ncbi.nlm.nih.gov/gene/?term=GGQ38500.1", "GGQ38500.1")</f>
        <v/>
      </c>
      <c r="F10619" t="n">
        <v>34.1</v>
      </c>
      <c r="G10619" t="n">
        <v>786</v>
      </c>
      <c r="H10619" t="n">
        <v>1.54e-126</v>
      </c>
      <c r="I10619" t="inlineStr">
        <is>
          <t>Nr</t>
        </is>
      </c>
      <c r="J10619" t="inlineStr"/>
      <c r="K10619" t="inlineStr"/>
      <c r="L10619" t="inlineStr">
        <is>
          <t>GGQ38500.1 hypothetical protein GCM10010233_65370 [Streptomyces gancidicus]</t>
        </is>
      </c>
      <c r="M10619" t="n">
        <v>1004</v>
      </c>
      <c r="N10619" t="inlineStr">
        <is>
          <t>Streptomyces gancidicus</t>
        </is>
      </c>
      <c r="O10619" t="inlineStr">
        <is>
          <t>hypothetical protein GCM10010233_65370</t>
        </is>
      </c>
    </row>
    <row r="10620">
      <c r="A10620" t="inlineStr"/>
      <c r="B10620" t="inlineStr"/>
      <c r="C10620" t="inlineStr"/>
      <c r="D10620" t="inlineStr"/>
      <c r="E10620">
        <f>HYPERLINK("https://www.ncbi.nlm.nih.gov/gene/?term=OCT93828.1", "OCT93828.1")</f>
        <v/>
      </c>
      <c r="F10620" t="n">
        <v>34.7</v>
      </c>
      <c r="G10620" t="n">
        <v>731</v>
      </c>
      <c r="H10620" t="n">
        <v>2.39e-126</v>
      </c>
      <c r="I10620" t="inlineStr">
        <is>
          <t>Nr</t>
        </is>
      </c>
      <c r="J10620" t="inlineStr"/>
      <c r="K10620" t="inlineStr"/>
      <c r="L10620" t="inlineStr">
        <is>
          <t>OCT93828.1 hypothetical protein XELAEV_18011499mg [Xenopus laevis]</t>
        </is>
      </c>
      <c r="M10620" t="n">
        <v>2634</v>
      </c>
      <c r="N10620" t="inlineStr">
        <is>
          <t>Xenopus laevis</t>
        </is>
      </c>
      <c r="O10620" t="inlineStr">
        <is>
          <t>hypothetical protein XELAEV_18011499mg</t>
        </is>
      </c>
    </row>
    <row r="10621">
      <c r="A10621" t="inlineStr"/>
      <c r="B10621" t="inlineStr"/>
      <c r="C10621" t="inlineStr"/>
      <c r="D10621" t="inlineStr"/>
      <c r="E10621">
        <f>HYPERLINK("https://www.ncbi.nlm.nih.gov/gene/?term=AAA88037.1", "AAA88037.1")</f>
        <v/>
      </c>
      <c r="F10621" t="n">
        <v>34.4</v>
      </c>
      <c r="G10621" t="n">
        <v>786</v>
      </c>
      <c r="H10621" t="n">
        <v>2.53e-126</v>
      </c>
      <c r="I10621" t="inlineStr">
        <is>
          <t>Nr</t>
        </is>
      </c>
      <c r="J10621" t="inlineStr"/>
      <c r="K10621" t="inlineStr"/>
      <c r="L10621" t="inlineStr">
        <is>
          <t>AAA88037.1 unknown protein, partial [Homo sapiens]</t>
        </is>
      </c>
      <c r="M10621" t="n">
        <v>1192</v>
      </c>
      <c r="N10621" t="inlineStr">
        <is>
          <t>Homo sapiens</t>
        </is>
      </c>
      <c r="O10621" t="inlineStr">
        <is>
          <t>unknown protein, partial</t>
        </is>
      </c>
    </row>
    <row r="10622">
      <c r="A10622" t="inlineStr"/>
      <c r="B10622" t="inlineStr"/>
      <c r="C10622" t="inlineStr"/>
      <c r="D10622" t="inlineStr"/>
      <c r="E10622">
        <f>HYPERLINK("https://www.ncbi.nlm.nih.gov/gene/?term=OBA94704.1", "OBA94704.1")</f>
        <v/>
      </c>
      <c r="F10622" t="n">
        <v>34.1</v>
      </c>
      <c r="G10622" t="n">
        <v>786</v>
      </c>
      <c r="H10622" t="n">
        <v>2.63e-126</v>
      </c>
      <c r="I10622" t="inlineStr">
        <is>
          <t>Nr</t>
        </is>
      </c>
      <c r="J10622" t="inlineStr"/>
      <c r="K10622" t="inlineStr"/>
      <c r="L10622" t="inlineStr">
        <is>
          <t>OBA94704.1 endonuclease [Mycobacteriaceae bacterium 1482268.1]</t>
        </is>
      </c>
      <c r="M10622" t="n">
        <v>1108</v>
      </c>
      <c r="N10622" t="inlineStr">
        <is>
          <t>Mycobacteriaceae bacterium 1482268.1</t>
        </is>
      </c>
      <c r="O10622" t="inlineStr">
        <is>
          <t>endonuclease</t>
        </is>
      </c>
    </row>
    <row r="10623">
      <c r="A10623" t="inlineStr"/>
      <c r="B10623" t="inlineStr"/>
      <c r="C10623" t="inlineStr"/>
      <c r="D10623" t="inlineStr"/>
      <c r="E10623">
        <f>HYPERLINK("https://www.ncbi.nlm.nih.gov/gene/?term=WP_087673707.1", "WP_087673707.1")</f>
        <v/>
      </c>
      <c r="F10623" t="n">
        <v>34.1</v>
      </c>
      <c r="G10623" t="n">
        <v>786</v>
      </c>
      <c r="H10623" t="n">
        <v>3.28e-126</v>
      </c>
      <c r="I10623" t="inlineStr">
        <is>
          <t>Nr</t>
        </is>
      </c>
      <c r="J10623" t="inlineStr"/>
      <c r="K10623" t="inlineStr"/>
      <c r="L10623" t="inlineStr">
        <is>
          <t>WP_087673707.1 reverse transcriptase family protein, partial [Pseudomonas syringae]</t>
        </is>
      </c>
      <c r="M10623" t="n">
        <v>934</v>
      </c>
      <c r="N10623" t="inlineStr">
        <is>
          <t>Pseudomonas syringae</t>
        </is>
      </c>
      <c r="O10623" t="inlineStr">
        <is>
          <t>reverse transcriptase family protein, partial</t>
        </is>
      </c>
    </row>
    <row r="10624">
      <c r="A10624" t="inlineStr"/>
      <c r="B10624" t="inlineStr"/>
      <c r="C10624" t="inlineStr"/>
      <c r="D10624" t="inlineStr"/>
      <c r="E10624">
        <f>HYPERLINK("https://www.ncbi.nlm.nih.gov/gene/?term=GGV45525.1", "GGV45525.1")</f>
        <v/>
      </c>
      <c r="F10624" t="n">
        <v>34.1</v>
      </c>
      <c r="G10624" t="n">
        <v>786</v>
      </c>
      <c r="H10624" t="n">
        <v>3.45e-126</v>
      </c>
      <c r="I10624" t="inlineStr">
        <is>
          <t>Nr</t>
        </is>
      </c>
      <c r="J10624" t="inlineStr"/>
      <c r="K10624" t="inlineStr"/>
      <c r="L10624" t="inlineStr">
        <is>
          <t>GGV45525.1 hypothetical protein GCM10010182_82300 [Actinomadura cremea]</t>
        </is>
      </c>
      <c r="M10624" t="n">
        <v>1010</v>
      </c>
      <c r="N10624" t="inlineStr">
        <is>
          <t>Actinomadura cremea</t>
        </is>
      </c>
      <c r="O10624" t="inlineStr">
        <is>
          <t>hypothetical protein GCM10010182_82300</t>
        </is>
      </c>
    </row>
    <row r="10625">
      <c r="A10625" t="inlineStr"/>
      <c r="B10625" t="inlineStr"/>
      <c r="C10625" t="inlineStr"/>
      <c r="D10625" t="inlineStr"/>
      <c r="E10625">
        <f>HYPERLINK("https://www.ncbi.nlm.nih.gov/gene/?term=OBA65061.1", "OBA65061.1")</f>
        <v/>
      </c>
      <c r="F10625" t="n">
        <v>34.1</v>
      </c>
      <c r="G10625" t="n">
        <v>786</v>
      </c>
      <c r="H10625" t="n">
        <v>5.12e-126</v>
      </c>
      <c r="I10625" t="inlineStr">
        <is>
          <t>Nr</t>
        </is>
      </c>
      <c r="J10625" t="inlineStr"/>
      <c r="K10625" t="inlineStr"/>
      <c r="L10625" t="inlineStr">
        <is>
          <t>OBA65061.1 endonuclease [Mycobacterium sp. 1100029.7]</t>
        </is>
      </c>
      <c r="M10625" t="n">
        <v>1108</v>
      </c>
      <c r="N10625" t="inlineStr">
        <is>
          <t>Mycobacterium sp. 1100029.7</t>
        </is>
      </c>
      <c r="O10625" t="inlineStr">
        <is>
          <t>endonuclease</t>
        </is>
      </c>
    </row>
    <row r="10626">
      <c r="A10626" t="inlineStr"/>
      <c r="B10626" t="inlineStr"/>
      <c r="C10626" t="inlineStr"/>
      <c r="D10626" t="inlineStr"/>
      <c r="E10626">
        <f>HYPERLINK("https://www.ncbi.nlm.nih.gov/gene/?term=XP_023192802.1", "XP_023192802.1")</f>
        <v/>
      </c>
      <c r="F10626" t="n">
        <v>33.5</v>
      </c>
      <c r="G10626" t="n">
        <v>781</v>
      </c>
      <c r="H10626" t="n">
        <v>5.929999999999999e-126</v>
      </c>
      <c r="I10626" t="inlineStr">
        <is>
          <t>Nr</t>
        </is>
      </c>
      <c r="J10626" t="inlineStr"/>
      <c r="K10626" t="inlineStr"/>
      <c r="L10626" t="inlineStr">
        <is>
          <t>XP_023192802.1 WD repeat-containing protein 3 isoform X1 [Xiphophorus maculatus]</t>
        </is>
      </c>
      <c r="M10626" t="n">
        <v>1258</v>
      </c>
      <c r="N10626" t="inlineStr">
        <is>
          <t>Xiphophorus maculatus</t>
        </is>
      </c>
      <c r="O10626" t="inlineStr">
        <is>
          <t>WD repeat-containing protein 3 isoform X1</t>
        </is>
      </c>
    </row>
    <row r="10627">
      <c r="A10627" t="inlineStr"/>
      <c r="B10627" t="inlineStr"/>
      <c r="C10627" t="inlineStr"/>
      <c r="D10627" t="inlineStr"/>
      <c r="E10627">
        <f>HYPERLINK("https://www.ncbi.nlm.nih.gov/gene/?term=KHM13631.1", "KHM13631.1")</f>
        <v/>
      </c>
      <c r="F10627" t="n">
        <v>34.2</v>
      </c>
      <c r="G10627" t="n">
        <v>786</v>
      </c>
      <c r="H10627" t="n">
        <v>7.149999999999999e-126</v>
      </c>
      <c r="I10627" t="inlineStr">
        <is>
          <t>Nr</t>
        </is>
      </c>
      <c r="J10627" t="inlineStr"/>
      <c r="K10627" t="inlineStr"/>
      <c r="L10627" t="inlineStr">
        <is>
          <t>KHM13631.1 endonuclease [Enterobacter hormaechei subsp. xiangfangensis]</t>
        </is>
      </c>
      <c r="M10627" t="n">
        <v>1108</v>
      </c>
      <c r="N10627" t="inlineStr">
        <is>
          <t>Enterobacter hormaechei subsp. xiangfangensis</t>
        </is>
      </c>
      <c r="O10627" t="inlineStr">
        <is>
          <t>endonuclease</t>
        </is>
      </c>
    </row>
    <row r="10628">
      <c r="A10628" t="inlineStr"/>
      <c r="B10628" t="inlineStr"/>
      <c r="C10628" t="inlineStr"/>
      <c r="D10628" t="inlineStr"/>
      <c r="E10628">
        <f>HYPERLINK("https://www.ncbi.nlm.nih.gov/gene/?term=WP_230299888.1", "WP_230299888.1")</f>
        <v/>
      </c>
      <c r="F10628" t="n">
        <v>34.6</v>
      </c>
      <c r="G10628" t="n">
        <v>787</v>
      </c>
      <c r="H10628" t="n">
        <v>7.769999999999999e-126</v>
      </c>
      <c r="I10628" t="inlineStr">
        <is>
          <t>Nr</t>
        </is>
      </c>
      <c r="J10628" t="inlineStr"/>
      <c r="K10628" t="inlineStr"/>
      <c r="L10628" t="inlineStr">
        <is>
          <t>WP_230299888.1 reverse transcriptase domain-containing protein [Streptomyces caelestis]</t>
        </is>
      </c>
      <c r="M10628" t="n">
        <v>1217</v>
      </c>
      <c r="N10628" t="inlineStr">
        <is>
          <t>Streptomyces caelestis</t>
        </is>
      </c>
      <c r="O10628" t="inlineStr">
        <is>
          <t>reverse transcriptase domain-containing protein</t>
        </is>
      </c>
    </row>
    <row r="10629">
      <c r="A10629" t="inlineStr"/>
      <c r="B10629" t="inlineStr"/>
      <c r="C10629" t="inlineStr"/>
      <c r="D10629" t="inlineStr"/>
      <c r="E10629">
        <f>HYPERLINK("https://www.ncbi.nlm.nih.gov/gene/?term=WP_082966077.1", "WP_082966077.1")</f>
        <v/>
      </c>
      <c r="F10629" t="n">
        <v>34</v>
      </c>
      <c r="G10629" t="n">
        <v>786</v>
      </c>
      <c r="H10629" t="n">
        <v>8.22e-126</v>
      </c>
      <c r="I10629" t="inlineStr">
        <is>
          <t>Nr</t>
        </is>
      </c>
      <c r="J10629" t="inlineStr"/>
      <c r="K10629" t="inlineStr"/>
      <c r="L10629" t="inlineStr">
        <is>
          <t>WP_082966077.1 reverse transcriptase family protein, partial [Mycobacterium kubicae]</t>
        </is>
      </c>
      <c r="M10629" t="n">
        <v>959</v>
      </c>
      <c r="N10629" t="inlineStr">
        <is>
          <t>Mycobacterium kubicae</t>
        </is>
      </c>
      <c r="O10629" t="inlineStr">
        <is>
          <t>reverse transcriptase family protein, partial</t>
        </is>
      </c>
    </row>
    <row r="10630">
      <c r="A10630" t="inlineStr"/>
      <c r="B10630" t="inlineStr"/>
      <c r="C10630" t="inlineStr"/>
      <c r="D10630" t="inlineStr"/>
      <c r="E10630">
        <f>HYPERLINK("https://www.ncbi.nlm.nih.gov/gene/?term=AER41895.1", "AER41895.1")</f>
        <v/>
      </c>
      <c r="F10630" t="n">
        <v>34.7</v>
      </c>
      <c r="G10630" t="n">
        <v>787</v>
      </c>
      <c r="H10630" t="n">
        <v>1.1e-125</v>
      </c>
      <c r="I10630" t="inlineStr">
        <is>
          <t>Nr</t>
        </is>
      </c>
      <c r="J10630" t="inlineStr"/>
      <c r="K10630" t="inlineStr"/>
      <c r="L10630" t="inlineStr">
        <is>
          <t>AER41895.1 unknown [Homo sapiens]</t>
        </is>
      </c>
      <c r="M10630" t="n">
        <v>1275</v>
      </c>
      <c r="N10630" t="inlineStr">
        <is>
          <t>Homo sapiens</t>
        </is>
      </c>
      <c r="O10630" t="inlineStr">
        <is>
          <t>unknown</t>
        </is>
      </c>
    </row>
    <row r="10631">
      <c r="A10631" t="inlineStr"/>
      <c r="B10631" t="inlineStr"/>
      <c r="C10631" t="inlineStr"/>
      <c r="D10631" t="inlineStr"/>
      <c r="E10631">
        <f>HYPERLINK("https://www.ncbi.nlm.nih.gov/gene/?term=AAB59368.1", "AAB59368.1")</f>
        <v/>
      </c>
      <c r="F10631" t="n">
        <v>34.4</v>
      </c>
      <c r="G10631" t="n">
        <v>786</v>
      </c>
      <c r="H10631" t="n">
        <v>1.1e-125</v>
      </c>
      <c r="I10631" t="inlineStr">
        <is>
          <t>Nr</t>
        </is>
      </c>
      <c r="J10631" t="inlineStr"/>
      <c r="K10631" t="inlineStr"/>
      <c r="L10631" t="inlineStr">
        <is>
          <t>AAB59368.1 ORF2 contains a reverse transcriptase domain [Homo sapiens]</t>
        </is>
      </c>
      <c r="M10631" t="n">
        <v>1275</v>
      </c>
      <c r="N10631" t="inlineStr">
        <is>
          <t>Homo sapiens</t>
        </is>
      </c>
      <c r="O10631" t="inlineStr">
        <is>
          <t>ORF2 contains a reverse transcriptase domain</t>
        </is>
      </c>
    </row>
    <row r="10632">
      <c r="A10632" t="inlineStr"/>
      <c r="B10632" t="inlineStr"/>
      <c r="C10632" t="inlineStr"/>
      <c r="D10632" t="inlineStr"/>
      <c r="E10632">
        <f>HYPERLINK("https://www.ncbi.nlm.nih.gov/gene/?term=WP_000148030.1", "WP_000148030.1")</f>
        <v/>
      </c>
      <c r="F10632" t="n">
        <v>34.2</v>
      </c>
      <c r="G10632" t="n">
        <v>786</v>
      </c>
      <c r="H10632" t="n">
        <v>1.1e-125</v>
      </c>
      <c r="I10632" t="inlineStr">
        <is>
          <t>Nr</t>
        </is>
      </c>
      <c r="J10632" t="inlineStr"/>
      <c r="K10632" t="inlineStr"/>
      <c r="L10632" t="inlineStr">
        <is>
          <t>WP_000148030.1 reverse transcriptase domain-containing protein [Streptococcus agalactiae]</t>
        </is>
      </c>
      <c r="M10632" t="n">
        <v>1275</v>
      </c>
      <c r="N10632" t="inlineStr">
        <is>
          <t>Streptococcus agalactiae</t>
        </is>
      </c>
      <c r="O10632" t="inlineStr">
        <is>
          <t>reverse transcriptase domain-containing protein</t>
        </is>
      </c>
    </row>
    <row r="10633">
      <c r="A10633" t="inlineStr"/>
      <c r="B10633" t="inlineStr"/>
      <c r="C10633" t="inlineStr"/>
      <c r="D10633" t="inlineStr"/>
      <c r="E10633">
        <f>HYPERLINK("https://www.uniprot.org/uniprotkb/P08548/entry", "P08548")</f>
        <v/>
      </c>
      <c r="F10633" t="n">
        <v>32.5</v>
      </c>
      <c r="G10633" t="n">
        <v>784</v>
      </c>
      <c r="H10633" t="n">
        <v>3.23e-117</v>
      </c>
      <c r="I10633" t="inlineStr">
        <is>
          <t>Swiss-Prot</t>
        </is>
      </c>
      <c r="J10633" t="inlineStr"/>
      <c r="K10633" t="inlineStr">
        <is>
          <t>LIN1_NYCCO</t>
        </is>
      </c>
      <c r="L10633" t="inlineStr">
        <is>
          <t>sp|P08548|LIN1_NYCCO LINE-1 reverse transcriptase homolog OS=Nycticebus coucang OX=9470 PE=4 SV=1</t>
        </is>
      </c>
      <c r="M10633" t="n">
        <v>1260</v>
      </c>
      <c r="N10633" t="inlineStr">
        <is>
          <t>Nycticebus coucang</t>
        </is>
      </c>
      <c r="O10633" t="inlineStr">
        <is>
          <t>LINE-1 reverse transcriptase homolog</t>
        </is>
      </c>
    </row>
    <row r="10634">
      <c r="A10634" t="inlineStr"/>
      <c r="B10634" t="inlineStr"/>
      <c r="C10634" t="inlineStr"/>
      <c r="D10634" t="inlineStr"/>
      <c r="E10634">
        <f>HYPERLINK("https://www.uniprot.org/uniprotkb/P11369/entry", "P11369")</f>
        <v/>
      </c>
      <c r="F10634" t="n">
        <v>32.2</v>
      </c>
      <c r="G10634" t="n">
        <v>786</v>
      </c>
      <c r="H10634" t="n">
        <v>6.13e-117</v>
      </c>
      <c r="I10634" t="inlineStr">
        <is>
          <t>Swiss-Prot</t>
        </is>
      </c>
      <c r="J10634" t="inlineStr">
        <is>
          <t>Pol</t>
        </is>
      </c>
      <c r="K10634" t="inlineStr">
        <is>
          <t>LORF2_MOUSE</t>
        </is>
      </c>
      <c r="L10634" t="inlineStr">
        <is>
          <t>sp|P11369|LORF2_MOUSE LINE-1 retrotransposable element ORF2 protein OS=Mus musculus OX=10090 GN=Pol PE=1 SV=2</t>
        </is>
      </c>
      <c r="M10634" t="n">
        <v>1281</v>
      </c>
      <c r="N10634" t="inlineStr">
        <is>
          <t>Mus musculus</t>
        </is>
      </c>
      <c r="O10634" t="inlineStr">
        <is>
          <t>LINE-1 retrotransposable element ORF2 protein</t>
        </is>
      </c>
    </row>
    <row r="10635">
      <c r="A10635" t="inlineStr"/>
      <c r="B10635" t="inlineStr"/>
      <c r="C10635" t="inlineStr"/>
      <c r="D10635" t="inlineStr"/>
      <c r="E10635">
        <f>HYPERLINK("https://www.uniprot.org/uniprotkb/A0A803JBS4/entry", "A0A803JBS4")</f>
        <v/>
      </c>
      <c r="F10635" t="n">
        <v>42.2</v>
      </c>
      <c r="G10635" t="n">
        <v>232</v>
      </c>
      <c r="H10635" t="n">
        <v>1.85e-47</v>
      </c>
      <c r="I10635" t="inlineStr">
        <is>
          <t>TrEMBL</t>
        </is>
      </c>
      <c r="J10635" t="inlineStr"/>
      <c r="K10635" t="inlineStr">
        <is>
          <t>A0A803JBS4_XENTR</t>
        </is>
      </c>
      <c r="L10635" t="inlineStr">
        <is>
          <t>tr|A0A803JBS4|A0A803JBS4_XENTR Transposase_22 domain-containing protein OS=Xenopus tropicalis OX=8364 PE=4 SV=1</t>
        </is>
      </c>
      <c r="M10635" t="n">
        <v>233</v>
      </c>
      <c r="N10635" t="inlineStr">
        <is>
          <t>Xenopus tropicalis</t>
        </is>
      </c>
      <c r="O10635" t="inlineStr">
        <is>
          <t>Transposase_22 domain-containing protein</t>
        </is>
      </c>
    </row>
    <row r="10636">
      <c r="A10636" t="inlineStr"/>
      <c r="B10636" t="inlineStr"/>
      <c r="C10636" t="inlineStr"/>
      <c r="D10636" t="inlineStr"/>
      <c r="E10636">
        <f>HYPERLINK("https://www.uniprot.org/uniprotkb/P14381/entry", "P14381")</f>
        <v/>
      </c>
      <c r="F10636" t="n">
        <v>26.7</v>
      </c>
      <c r="G10636" t="n">
        <v>520</v>
      </c>
      <c r="H10636" t="n">
        <v>1.36e-43</v>
      </c>
      <c r="I10636" t="inlineStr">
        <is>
          <t>Swiss-Prot</t>
        </is>
      </c>
      <c r="J10636" t="inlineStr"/>
      <c r="K10636" t="inlineStr">
        <is>
          <t>YTX2_XENLA</t>
        </is>
      </c>
      <c r="L10636" t="inlineStr">
        <is>
          <t>sp|P14381|YTX2_XENLA Transposon TX1 uncharacterized 149 kDa protein OS=Xenopus laevis OX=8355 PE=4 SV=1</t>
        </is>
      </c>
      <c r="M10636" t="n">
        <v>1308</v>
      </c>
      <c r="N10636" t="inlineStr">
        <is>
          <t>Xenopus laevis</t>
        </is>
      </c>
      <c r="O10636" t="inlineStr">
        <is>
          <t>Transposon TX1 uncharacterized 149 kDa protein</t>
        </is>
      </c>
    </row>
    <row r="10637">
      <c r="A10637" t="inlineStr"/>
      <c r="B10637" t="inlineStr"/>
      <c r="C10637" t="inlineStr"/>
      <c r="D10637" t="inlineStr"/>
      <c r="E10637">
        <f>HYPERLINK("https://www.uniprot.org/uniprotkb/A0A803J2S0/entry", "A0A803J2S0")</f>
        <v/>
      </c>
      <c r="F10637" t="n">
        <v>39.1</v>
      </c>
      <c r="G10637" t="n">
        <v>197</v>
      </c>
      <c r="H10637" t="n">
        <v>2.38e-43</v>
      </c>
      <c r="I10637" t="inlineStr">
        <is>
          <t>TrEMBL</t>
        </is>
      </c>
      <c r="J10637" t="inlineStr"/>
      <c r="K10637" t="inlineStr">
        <is>
          <t>A0A803J2S0_XENTR</t>
        </is>
      </c>
      <c r="L10637" t="inlineStr">
        <is>
          <t>tr|A0A803J2S0|A0A803J2S0_XENTR Transposase_22 domain-containing protein OS=Xenopus tropicalis OX=8364 PE=4 SV=1</t>
        </is>
      </c>
      <c r="M10637" t="n">
        <v>329</v>
      </c>
      <c r="N10637" t="inlineStr">
        <is>
          <t>Xenopus tropicalis</t>
        </is>
      </c>
      <c r="O10637" t="inlineStr">
        <is>
          <t>Transposase_22 domain-containing protein</t>
        </is>
      </c>
    </row>
    <row r="10638">
      <c r="A10638" t="inlineStr"/>
      <c r="B10638" t="inlineStr"/>
      <c r="C10638" t="inlineStr"/>
      <c r="D10638" t="inlineStr"/>
      <c r="E10638">
        <f>HYPERLINK("https://www.uniprot.org/uniprotkb/A0A803JAK4/entry", "A0A803JAK4")</f>
        <v/>
      </c>
      <c r="F10638" t="n">
        <v>42.2</v>
      </c>
      <c r="G10638" t="n">
        <v>192</v>
      </c>
      <c r="H10638" t="n">
        <v>2.97e-39</v>
      </c>
      <c r="I10638" t="inlineStr">
        <is>
          <t>TrEMBL</t>
        </is>
      </c>
      <c r="J10638" t="inlineStr"/>
      <c r="K10638" t="inlineStr">
        <is>
          <t>A0A803JAK4_XENTR</t>
        </is>
      </c>
      <c r="L10638" t="inlineStr">
        <is>
          <t>tr|A0A803JAK4|A0A803JAK4_XENTR Transposase_22 domain-containing protein OS=Xenopus tropicalis OX=8364 PE=4 SV=1</t>
        </is>
      </c>
      <c r="M10638" t="n">
        <v>354</v>
      </c>
      <c r="N10638" t="inlineStr">
        <is>
          <t>Xenopus tropicalis</t>
        </is>
      </c>
      <c r="O10638" t="inlineStr">
        <is>
          <t>Transposase_22 domain-containing protein</t>
        </is>
      </c>
    </row>
    <row r="10639">
      <c r="A10639" t="inlineStr"/>
      <c r="B10639" t="inlineStr"/>
      <c r="C10639" t="inlineStr"/>
      <c r="D10639" t="inlineStr"/>
      <c r="E10639">
        <f>HYPERLINK("https://www.uniprot.org/uniprotkb/A0A803JX99/entry", "A0A803JX99")</f>
        <v/>
      </c>
      <c r="F10639" t="n">
        <v>41.3</v>
      </c>
      <c r="G10639" t="n">
        <v>196</v>
      </c>
      <c r="H10639" t="n">
        <v>5.59e-39</v>
      </c>
      <c r="I10639" t="inlineStr">
        <is>
          <t>TrEMBL</t>
        </is>
      </c>
      <c r="J10639" t="inlineStr"/>
      <c r="K10639" t="inlineStr">
        <is>
          <t>A0A803JX99_XENTR</t>
        </is>
      </c>
      <c r="L10639" t="inlineStr">
        <is>
          <t>tr|A0A803JX99|A0A803JX99_XENTR t-SNARE coiled-coil homology domain-containing protein OS=Xenopus tropicalis OX=8364 PE=4 SV=1</t>
        </is>
      </c>
      <c r="M10639" t="n">
        <v>384</v>
      </c>
      <c r="N10639" t="inlineStr">
        <is>
          <t>Xenopus tropicalis</t>
        </is>
      </c>
      <c r="O10639" t="inlineStr">
        <is>
          <t>t-SNARE coiled-coil homology domain-containing protein</t>
        </is>
      </c>
    </row>
    <row r="10640">
      <c r="A10640" t="inlineStr"/>
      <c r="B10640" t="inlineStr"/>
      <c r="C10640" t="inlineStr"/>
      <c r="D10640" t="inlineStr"/>
      <c r="E10640">
        <f>HYPERLINK("https://www.uniprot.org/uniprotkb/A0A822DPJ8/entry", "A0A822DPJ8")</f>
        <v/>
      </c>
      <c r="F10640" t="n">
        <v>42.5</v>
      </c>
      <c r="G10640" t="n">
        <v>200</v>
      </c>
      <c r="H10640" t="n">
        <v>7.88e-39</v>
      </c>
      <c r="I10640" t="inlineStr">
        <is>
          <t>TrEMBL</t>
        </is>
      </c>
      <c r="J10640" t="inlineStr">
        <is>
          <t>RIMITATOR_LOCUS8763645</t>
        </is>
      </c>
      <c r="K10640" t="inlineStr">
        <is>
          <t>A0A822DPJ8_9NEOB</t>
        </is>
      </c>
      <c r="L10640" t="inlineStr">
        <is>
          <t>tr|A0A822DPJ8|A0A822DPJ8_9NEOB (mimic poison frog) hypothetical protein OS=Ranitomeya imitator OX=111125 GN=RIMITATOR_LOCUS8763645 PE=4 SV=1</t>
        </is>
      </c>
      <c r="M10640" t="n">
        <v>322</v>
      </c>
      <c r="N10640" t="inlineStr">
        <is>
          <t>Ranitomeya imitator</t>
        </is>
      </c>
      <c r="O10640" t="inlineStr">
        <is>
          <t>(mimic poison frog) hypothetical protein</t>
        </is>
      </c>
    </row>
    <row r="10641">
      <c r="A10641" t="inlineStr"/>
      <c r="B10641" t="inlineStr"/>
      <c r="C10641" t="inlineStr"/>
      <c r="D10641" t="inlineStr"/>
      <c r="E10641">
        <f>HYPERLINK("https://www.uniprot.org/uniprotkb/A0A803JBI8/entry", "A0A803JBI8")</f>
        <v/>
      </c>
      <c r="F10641" t="n">
        <v>44.2</v>
      </c>
      <c r="G10641" t="n">
        <v>172</v>
      </c>
      <c r="H10641" t="n">
        <v>9.000000000000001e-37</v>
      </c>
      <c r="I10641" t="inlineStr">
        <is>
          <t>TrEMBL</t>
        </is>
      </c>
      <c r="J10641" t="inlineStr"/>
      <c r="K10641" t="inlineStr">
        <is>
          <t>A0A803JBI8_XENTR</t>
        </is>
      </c>
      <c r="L10641" t="inlineStr">
        <is>
          <t>tr|A0A803JBI8|A0A803JBI8_XENTR Transposase_22 domain-containing protein OS=Xenopus tropicalis OX=8364 PE=4 SV=1</t>
        </is>
      </c>
      <c r="M10641" t="n">
        <v>321</v>
      </c>
      <c r="N10641" t="inlineStr">
        <is>
          <t>Xenopus tropicalis</t>
        </is>
      </c>
      <c r="O10641" t="inlineStr">
        <is>
          <t>Transposase_22 domain-containing protein</t>
        </is>
      </c>
    </row>
    <row r="10642">
      <c r="A10642" t="inlineStr"/>
      <c r="B10642" t="inlineStr"/>
      <c r="C10642" t="inlineStr"/>
      <c r="D10642" t="inlineStr"/>
      <c r="E10642">
        <f>HYPERLINK("https://www.uniprot.org/uniprotkb/A0A8C5M9Y2/entry", "A0A8C5M9Y2")</f>
        <v/>
      </c>
      <c r="F10642" t="n">
        <v>43.8</v>
      </c>
      <c r="G10642" t="n">
        <v>194</v>
      </c>
      <c r="H10642" t="n">
        <v>1.06e-36</v>
      </c>
      <c r="I10642" t="inlineStr">
        <is>
          <t>TrEMBL</t>
        </is>
      </c>
      <c r="J10642" t="inlineStr"/>
      <c r="K10642" t="inlineStr">
        <is>
          <t>A0A8C5M9Y2_9ANUR</t>
        </is>
      </c>
      <c r="L10642" t="inlineStr">
        <is>
          <t>tr|A0A8C5M9Y2|A0A8C5M9Y2_9ANUR Reverse transcriptase domain-containing protein OS=Leptobrachium leishanense OX=445787 PE=4 SV=1</t>
        </is>
      </c>
      <c r="M10642" t="n">
        <v>344</v>
      </c>
      <c r="N10642" t="inlineStr">
        <is>
          <t>Leptobrachium leishanense</t>
        </is>
      </c>
      <c r="O10642" t="inlineStr">
        <is>
          <t>Reverse transcriptase domain-containing protein</t>
        </is>
      </c>
    </row>
    <row r="10643">
      <c r="A10643" t="inlineStr"/>
      <c r="B10643" t="inlineStr"/>
      <c r="C10643" t="inlineStr"/>
      <c r="D10643" t="inlineStr"/>
      <c r="E10643">
        <f>HYPERLINK("https://www.uniprot.org/uniprotkb/A0A8C5PGX0/entry", "A0A8C5PGX0")</f>
        <v/>
      </c>
      <c r="F10643" t="n">
        <v>40.7</v>
      </c>
      <c r="G10643" t="n">
        <v>199</v>
      </c>
      <c r="H10643" t="n">
        <v>1.44e-36</v>
      </c>
      <c r="I10643" t="inlineStr">
        <is>
          <t>TrEMBL</t>
        </is>
      </c>
      <c r="J10643" t="inlineStr"/>
      <c r="K10643" t="inlineStr">
        <is>
          <t>A0A8C5PGX0_9ANUR</t>
        </is>
      </c>
      <c r="L10643" t="inlineStr">
        <is>
          <t>tr|A0A8C5PGX0|A0A8C5PGX0_9ANUR LINE-1 type transposase domain-containing protein 1 OS=Leptobrachium leishanense OX=445787 PE=4 SV=1</t>
        </is>
      </c>
      <c r="M10643" t="n">
        <v>312</v>
      </c>
      <c r="N10643" t="inlineStr">
        <is>
          <t>Leptobrachium leishanense</t>
        </is>
      </c>
      <c r="O10643" t="inlineStr">
        <is>
          <t>LINE-1 type transposase domain-containing protein 1</t>
        </is>
      </c>
    </row>
    <row r="10644">
      <c r="A10644" t="inlineStr"/>
      <c r="B10644" t="inlineStr"/>
      <c r="C10644" t="inlineStr"/>
      <c r="D10644" t="inlineStr"/>
      <c r="E10644">
        <f>HYPERLINK("https://www.uniprot.org/uniprotkb/A0A803J8S4/entry", "A0A803J8S4")</f>
        <v/>
      </c>
      <c r="F10644" t="n">
        <v>37.9</v>
      </c>
      <c r="G10644" t="n">
        <v>206</v>
      </c>
      <c r="H10644" t="n">
        <v>2.51e-36</v>
      </c>
      <c r="I10644" t="inlineStr">
        <is>
          <t>TrEMBL</t>
        </is>
      </c>
      <c r="J10644" t="inlineStr"/>
      <c r="K10644" t="inlineStr">
        <is>
          <t>A0A803J8S4_XENTR</t>
        </is>
      </c>
      <c r="L10644" t="inlineStr">
        <is>
          <t>tr|A0A803J8S4|A0A803J8S4_XENTR LINE-1 retrotransposable element ORF1 protein OS=Xenopus tropicalis OX=8364 PE=4 SV=1</t>
        </is>
      </c>
      <c r="M10644" t="n">
        <v>369</v>
      </c>
      <c r="N10644" t="inlineStr">
        <is>
          <t>Xenopus tropicalis</t>
        </is>
      </c>
      <c r="O10644" t="inlineStr">
        <is>
          <t>LINE-1 retrotransposable element ORF1 protein</t>
        </is>
      </c>
    </row>
    <row r="10645">
      <c r="A10645" t="inlineStr"/>
      <c r="B10645" t="inlineStr"/>
      <c r="C10645" t="inlineStr"/>
      <c r="D10645" t="inlineStr"/>
      <c r="E10645">
        <f>HYPERLINK("https://www.uniprot.org/uniprotkb/A0A8C5PBP9/entry", "A0A8C5PBP9")</f>
        <v/>
      </c>
      <c r="F10645" t="n">
        <v>44.2</v>
      </c>
      <c r="G10645" t="n">
        <v>190</v>
      </c>
      <c r="H10645" t="n">
        <v>2.61e-36</v>
      </c>
      <c r="I10645" t="inlineStr">
        <is>
          <t>TrEMBL</t>
        </is>
      </c>
      <c r="J10645" t="inlineStr"/>
      <c r="K10645" t="inlineStr">
        <is>
          <t>A0A8C5PBP9_9ANUR</t>
        </is>
      </c>
      <c r="L10645" t="inlineStr">
        <is>
          <t>tr|A0A8C5PBP9|A0A8C5PBP9_9ANUR Transposase_22 domain-containing protein OS=Leptobrachium leishanense OX=445787 PE=4 SV=1</t>
        </is>
      </c>
      <c r="M10645" t="n">
        <v>266</v>
      </c>
      <c r="N10645" t="inlineStr">
        <is>
          <t>Leptobrachium leishanense</t>
        </is>
      </c>
      <c r="O10645" t="inlineStr">
        <is>
          <t>Transposase_22 domain-containing protein</t>
        </is>
      </c>
    </row>
    <row r="10646">
      <c r="A10646" t="inlineStr"/>
      <c r="B10646" t="inlineStr"/>
      <c r="C10646" t="inlineStr"/>
      <c r="D10646" t="inlineStr"/>
      <c r="E10646">
        <f>HYPERLINK("https://www.uniprot.org/uniprotkb/A0A803K1K1/entry", "A0A803K1K1")</f>
        <v/>
      </c>
      <c r="F10646" t="n">
        <v>41.4</v>
      </c>
      <c r="G10646" t="n">
        <v>186</v>
      </c>
      <c r="H10646" t="n">
        <v>3.25e-36</v>
      </c>
      <c r="I10646" t="inlineStr">
        <is>
          <t>TrEMBL</t>
        </is>
      </c>
      <c r="J10646" t="inlineStr"/>
      <c r="K10646" t="inlineStr">
        <is>
          <t>A0A803K1K1_XENTR</t>
        </is>
      </c>
      <c r="L10646" t="inlineStr">
        <is>
          <t>tr|A0A803K1K1|A0A803K1K1_XENTR LINE-1 retrotransposable element ORF1 protein OS=Xenopus tropicalis OX=8364 PE=4 SV=1</t>
        </is>
      </c>
      <c r="M10646" t="n">
        <v>333</v>
      </c>
      <c r="N10646" t="inlineStr">
        <is>
          <t>Xenopus tropicalis</t>
        </is>
      </c>
      <c r="O10646" t="inlineStr">
        <is>
          <t>LINE-1 retrotransposable element ORF1 protein</t>
        </is>
      </c>
    </row>
    <row r="10647">
      <c r="A10647" t="inlineStr"/>
      <c r="B10647" t="inlineStr"/>
      <c r="C10647" t="inlineStr"/>
      <c r="D10647" t="inlineStr"/>
      <c r="E10647">
        <f>HYPERLINK("https://www.uniprot.org/uniprotkb/A0A2G9RZN0/entry", "A0A2G9RZN0")</f>
        <v/>
      </c>
      <c r="F10647" t="n">
        <v>33.5</v>
      </c>
      <c r="G10647" t="n">
        <v>218</v>
      </c>
      <c r="H10647" t="n">
        <v>4.11e-36</v>
      </c>
      <c r="I10647" t="inlineStr">
        <is>
          <t>TrEMBL</t>
        </is>
      </c>
      <c r="J10647" t="inlineStr">
        <is>
          <t>AB205_0214660</t>
        </is>
      </c>
      <c r="K10647" t="inlineStr">
        <is>
          <t>A0A2G9RZN0_LITCT</t>
        </is>
      </c>
      <c r="L10647" t="inlineStr">
        <is>
          <t>tr|A0A2G9RZN0|A0A2G9RZN0_LITCT LINE-1 type transposase domain-containing protein 1 OS=Lithobates catesbeianus OX=8400 GN=AB205_0214660 PE=4 SV=1</t>
        </is>
      </c>
      <c r="M10647" t="n">
        <v>377</v>
      </c>
      <c r="N10647" t="inlineStr">
        <is>
          <t>Lithobates catesbeianus</t>
        </is>
      </c>
      <c r="O10647" t="inlineStr">
        <is>
          <t>LINE-1 type transposase domain-containing protein 1</t>
        </is>
      </c>
    </row>
    <row r="10648">
      <c r="A10648" t="inlineStr"/>
      <c r="B10648" t="inlineStr"/>
      <c r="C10648" t="inlineStr"/>
      <c r="D10648" t="inlineStr"/>
      <c r="E10648">
        <f>HYPERLINK("https://www.uniprot.org/uniprotkb/A0A803KD14/entry", "A0A803KD14")</f>
        <v/>
      </c>
      <c r="F10648" t="n">
        <v>41.4</v>
      </c>
      <c r="G10648" t="n">
        <v>186</v>
      </c>
      <c r="H10648" t="n">
        <v>5.41e-36</v>
      </c>
      <c r="I10648" t="inlineStr">
        <is>
          <t>TrEMBL</t>
        </is>
      </c>
      <c r="J10648" t="inlineStr"/>
      <c r="K10648" t="inlineStr">
        <is>
          <t>A0A803KD14_XENTR</t>
        </is>
      </c>
      <c r="L10648" t="inlineStr">
        <is>
          <t>tr|A0A803KD14|A0A803KD14_XENTR Transposase_22 domain-containing protein OS=Xenopus tropicalis OX=8364 PE=4 SV=1</t>
        </is>
      </c>
      <c r="M10648" t="n">
        <v>357</v>
      </c>
      <c r="N10648" t="inlineStr">
        <is>
          <t>Xenopus tropicalis</t>
        </is>
      </c>
      <c r="O10648" t="inlineStr">
        <is>
          <t>Transposase_22 domain-containing protein</t>
        </is>
      </c>
    </row>
    <row r="10649">
      <c r="A10649" t="inlineStr"/>
      <c r="B10649" t="inlineStr"/>
      <c r="C10649" t="inlineStr"/>
      <c r="D10649" t="inlineStr"/>
      <c r="E10649">
        <f>HYPERLINK("https://www.uniprot.org/uniprotkb/A0A8C5PJA8/entry", "A0A8C5PJA8")</f>
        <v/>
      </c>
      <c r="F10649" t="n">
        <v>41.4</v>
      </c>
      <c r="G10649" t="n">
        <v>198</v>
      </c>
      <c r="H10649" t="n">
        <v>6.02e-36</v>
      </c>
      <c r="I10649" t="inlineStr">
        <is>
          <t>TrEMBL</t>
        </is>
      </c>
      <c r="J10649" t="inlineStr"/>
      <c r="K10649" t="inlineStr">
        <is>
          <t>A0A8C5PJA8_9ANUR</t>
        </is>
      </c>
      <c r="L10649" t="inlineStr">
        <is>
          <t>tr|A0A8C5PJA8|A0A8C5PJA8_9ANUR LINE-1 type transposase domain-containing protein 1 OS=Leptobrachium leishanense OX=445787 PE=4 SV=1</t>
        </is>
      </c>
      <c r="M10649" t="n">
        <v>315</v>
      </c>
      <c r="N10649" t="inlineStr">
        <is>
          <t>Leptobrachium leishanense</t>
        </is>
      </c>
      <c r="O10649" t="inlineStr">
        <is>
          <t>LINE-1 type transposase domain-containing protein 1</t>
        </is>
      </c>
    </row>
    <row r="10650">
      <c r="A10650" t="inlineStr"/>
      <c r="B10650" t="inlineStr"/>
      <c r="C10650" t="inlineStr"/>
      <c r="D10650" t="inlineStr"/>
      <c r="E10650">
        <f>HYPERLINK("https://www.ncbi.nlm.nih.gov/gene/?term=XP_040289825.1", "XP_040289825.1")</f>
        <v/>
      </c>
      <c r="F10650" t="n">
        <v>41.5</v>
      </c>
      <c r="G10650" t="n">
        <v>200</v>
      </c>
      <c r="H10650" t="n">
        <v>8.38e-36</v>
      </c>
      <c r="I10650" t="inlineStr">
        <is>
          <t>Nr</t>
        </is>
      </c>
      <c r="J10650" t="inlineStr"/>
      <c r="K10650" t="inlineStr"/>
      <c r="L10650" t="inlineStr">
        <is>
          <t>XP_040289825.1 meprin A subunit beta-like [Bufo bufo]</t>
        </is>
      </c>
      <c r="M10650" t="n">
        <v>772</v>
      </c>
      <c r="N10650" t="inlineStr">
        <is>
          <t>Bufo bufo</t>
        </is>
      </c>
      <c r="O10650" t="inlineStr">
        <is>
          <t>meprin A subunit beta-like</t>
        </is>
      </c>
    </row>
    <row r="10651">
      <c r="A10651" t="inlineStr"/>
      <c r="B10651" t="inlineStr"/>
      <c r="C10651" t="inlineStr"/>
      <c r="D10651" t="inlineStr"/>
      <c r="E10651">
        <f>HYPERLINK("https://www.ncbi.nlm.nih.gov/gene/?term=PIO33322.1", "PIO33322.1")</f>
        <v/>
      </c>
      <c r="F10651" t="n">
        <v>33.5</v>
      </c>
      <c r="G10651" t="n">
        <v>218</v>
      </c>
      <c r="H10651" t="n">
        <v>1.06e-35</v>
      </c>
      <c r="I10651" t="inlineStr">
        <is>
          <t>Nr</t>
        </is>
      </c>
      <c r="J10651" t="inlineStr"/>
      <c r="K10651" t="inlineStr"/>
      <c r="L10651" t="inlineStr">
        <is>
          <t>PIO33322.1 hypothetical protein AB205_0214660 [Lithobates catesbeianus]</t>
        </is>
      </c>
      <c r="M10651" t="n">
        <v>377</v>
      </c>
      <c r="N10651" t="inlineStr">
        <is>
          <t>Lithobates catesbeianus</t>
        </is>
      </c>
      <c r="O10651" t="inlineStr">
        <is>
          <t>hypothetical protein AB205_0214660</t>
        </is>
      </c>
    </row>
    <row r="10652">
      <c r="A10652" t="inlineStr"/>
      <c r="B10652" t="inlineStr"/>
      <c r="C10652" t="inlineStr"/>
      <c r="D10652" t="inlineStr"/>
      <c r="E10652">
        <f>HYPERLINK("https://www.uniprot.org/uniprotkb/A0A8C5PYI5/entry", "A0A8C5PYI5")</f>
        <v/>
      </c>
      <c r="F10652" t="n">
        <v>41.4</v>
      </c>
      <c r="G10652" t="n">
        <v>198</v>
      </c>
      <c r="H10652" t="n">
        <v>1.67e-35</v>
      </c>
      <c r="I10652" t="inlineStr">
        <is>
          <t>TrEMBL</t>
        </is>
      </c>
      <c r="J10652" t="inlineStr"/>
      <c r="K10652" t="inlineStr">
        <is>
          <t>A0A8C5PYI5_9ANUR</t>
        </is>
      </c>
      <c r="L10652" t="inlineStr">
        <is>
          <t>tr|A0A8C5PYI5|A0A8C5PYI5_9ANUR LINE-1 type transposase domain-containing protein 1 OS=Leptobrachium leishanense OX=445787 PE=4 SV=1</t>
        </is>
      </c>
      <c r="M10652" t="n">
        <v>315</v>
      </c>
      <c r="N10652" t="inlineStr">
        <is>
          <t>Leptobrachium leishanense</t>
        </is>
      </c>
      <c r="O10652" t="inlineStr">
        <is>
          <t>LINE-1 type transposase domain-containing protein 1</t>
        </is>
      </c>
    </row>
    <row r="10653">
      <c r="A10653" t="inlineStr"/>
      <c r="B10653" t="inlineStr"/>
      <c r="C10653" t="inlineStr"/>
      <c r="D10653" t="inlineStr"/>
      <c r="E10653">
        <f>HYPERLINK("https://www.uniprot.org/uniprotkb/A0A8C5WGR9/entry", "A0A8C5WGR9")</f>
        <v/>
      </c>
      <c r="F10653" t="n">
        <v>43.3</v>
      </c>
      <c r="G10653" t="n">
        <v>187</v>
      </c>
      <c r="H10653" t="n">
        <v>2.03e-35</v>
      </c>
      <c r="I10653" t="inlineStr">
        <is>
          <t>TrEMBL</t>
        </is>
      </c>
      <c r="J10653" t="inlineStr"/>
      <c r="K10653" t="inlineStr">
        <is>
          <t>A0A8C5WGR9_9ANUR</t>
        </is>
      </c>
      <c r="L10653" t="inlineStr">
        <is>
          <t>tr|A0A8C5WGR9|A0A8C5WGR9_9ANUR Transposase_22 domain-containing protein OS=Leptobrachium leishanense OX=445787 PE=4 SV=1</t>
        </is>
      </c>
      <c r="M10653" t="n">
        <v>266</v>
      </c>
      <c r="N10653" t="inlineStr">
        <is>
          <t>Leptobrachium leishanense</t>
        </is>
      </c>
      <c r="O10653" t="inlineStr">
        <is>
          <t>Transposase_22 domain-containing protein</t>
        </is>
      </c>
    </row>
    <row r="10654">
      <c r="A10654" t="inlineStr"/>
      <c r="B10654" t="inlineStr"/>
      <c r="C10654" t="inlineStr"/>
      <c r="D10654" t="inlineStr"/>
      <c r="E10654">
        <f>HYPERLINK("https://www.uniprot.org/uniprotkb/A0A8C5M882/entry", "A0A8C5M882")</f>
        <v/>
      </c>
      <c r="F10654" t="n">
        <v>43.9</v>
      </c>
      <c r="G10654" t="n">
        <v>187</v>
      </c>
      <c r="H10654" t="n">
        <v>2.45e-35</v>
      </c>
      <c r="I10654" t="inlineStr">
        <is>
          <t>TrEMBL</t>
        </is>
      </c>
      <c r="J10654" t="inlineStr"/>
      <c r="K10654" t="inlineStr">
        <is>
          <t>A0A8C5M882_9ANUR</t>
        </is>
      </c>
      <c r="L10654" t="inlineStr">
        <is>
          <t>tr|A0A8C5M882|A0A8C5M882_9ANUR Transposase_22 domain-containing protein OS=Leptobrachium leishanense OX=445787 PE=4 SV=1</t>
        </is>
      </c>
      <c r="M10654" t="n">
        <v>317</v>
      </c>
      <c r="N10654" t="inlineStr">
        <is>
          <t>Leptobrachium leishanense</t>
        </is>
      </c>
      <c r="O10654" t="inlineStr">
        <is>
          <t>Transposase_22 domain-containing protein</t>
        </is>
      </c>
    </row>
    <row r="10655">
      <c r="A10655" t="inlineStr"/>
      <c r="B10655" t="inlineStr"/>
      <c r="C10655" t="inlineStr"/>
      <c r="D10655" t="inlineStr"/>
      <c r="E10655">
        <f>HYPERLINK("https://www.uniprot.org/uniprotkb/A0A8C5N0T0/entry", "A0A8C5N0T0")</f>
        <v/>
      </c>
      <c r="F10655" t="n">
        <v>42.4</v>
      </c>
      <c r="G10655" t="n">
        <v>177</v>
      </c>
      <c r="H10655" t="n">
        <v>4.39e-35</v>
      </c>
      <c r="I10655" t="inlineStr">
        <is>
          <t>TrEMBL</t>
        </is>
      </c>
      <c r="J10655" t="inlineStr"/>
      <c r="K10655" t="inlineStr">
        <is>
          <t>A0A8C5N0T0_9ANUR</t>
        </is>
      </c>
      <c r="L10655" t="inlineStr">
        <is>
          <t>tr|A0A8C5N0T0|A0A8C5N0T0_9ANUR LINE-1 type transposase domain-containing protein 1 OS=Leptobrachium leishanense OX=445787 PE=4 SV=1</t>
        </is>
      </c>
      <c r="M10655" t="n">
        <v>298</v>
      </c>
      <c r="N10655" t="inlineStr">
        <is>
          <t>Leptobrachium leishanense</t>
        </is>
      </c>
      <c r="O10655" t="inlineStr">
        <is>
          <t>LINE-1 type transposase domain-containing protein 1</t>
        </is>
      </c>
    </row>
    <row r="10656">
      <c r="A10656" t="inlineStr"/>
      <c r="B10656" t="inlineStr"/>
      <c r="C10656" t="inlineStr"/>
      <c r="D10656" t="inlineStr"/>
      <c r="E10656">
        <f>HYPERLINK("https://www.uniprot.org/uniprotkb/A0A8C5QQ06/entry", "A0A8C5QQ06")</f>
        <v/>
      </c>
      <c r="F10656" t="n">
        <v>46.7</v>
      </c>
      <c r="G10656" t="n">
        <v>169</v>
      </c>
      <c r="H10656" t="n">
        <v>8.120000000000001e-35</v>
      </c>
      <c r="I10656" t="inlineStr">
        <is>
          <t>TrEMBL</t>
        </is>
      </c>
      <c r="J10656" t="inlineStr"/>
      <c r="K10656" t="inlineStr">
        <is>
          <t>A0A8C5QQ06_9ANUR</t>
        </is>
      </c>
      <c r="L10656" t="inlineStr">
        <is>
          <t>tr|A0A8C5QQ06|A0A8C5QQ06_9ANUR Transposase_22 domain-containing protein OS=Leptobrachium leishanense OX=445787 PE=4 SV=1</t>
        </is>
      </c>
      <c r="M10656" t="n">
        <v>310</v>
      </c>
      <c r="N10656" t="inlineStr">
        <is>
          <t>Leptobrachium leishanense</t>
        </is>
      </c>
      <c r="O10656" t="inlineStr">
        <is>
          <t>Transposase_22 domain-containing protein</t>
        </is>
      </c>
    </row>
    <row r="10657">
      <c r="A10657" t="inlineStr"/>
      <c r="B10657" t="inlineStr"/>
      <c r="C10657" t="inlineStr"/>
      <c r="D10657" t="inlineStr"/>
      <c r="E10657">
        <f>HYPERLINK("https://www.uniprot.org/uniprotkb/A0A8C5WCX6/entry", "A0A8C5WCX6")</f>
        <v/>
      </c>
      <c r="F10657" t="n">
        <v>42.4</v>
      </c>
      <c r="G10657" t="n">
        <v>184</v>
      </c>
      <c r="H10657" t="n">
        <v>9.08e-35</v>
      </c>
      <c r="I10657" t="inlineStr">
        <is>
          <t>TrEMBL</t>
        </is>
      </c>
      <c r="J10657" t="inlineStr"/>
      <c r="K10657" t="inlineStr">
        <is>
          <t>A0A8C5WCX6_9ANUR</t>
        </is>
      </c>
      <c r="L10657" t="inlineStr">
        <is>
          <t>tr|A0A8C5WCX6|A0A8C5WCX6_9ANUR LINE-1 type transposase domain-containing protein 1 OS=Leptobrachium leishanense OX=445787 PE=4 SV=1</t>
        </is>
      </c>
      <c r="M10657" t="n">
        <v>300</v>
      </c>
      <c r="N10657" t="inlineStr">
        <is>
          <t>Leptobrachium leishanense</t>
        </is>
      </c>
      <c r="O10657" t="inlineStr">
        <is>
          <t>LINE-1 type transposase domain-containing protein 1</t>
        </is>
      </c>
    </row>
    <row r="10658">
      <c r="A10658" t="inlineStr"/>
      <c r="B10658" t="inlineStr"/>
      <c r="C10658" t="inlineStr"/>
      <c r="D10658" t="inlineStr"/>
      <c r="E10658">
        <f>HYPERLINK("https://www.ncbi.nlm.nih.gov/gene/?term=OCT97386.1", "OCT97386.1")</f>
        <v/>
      </c>
      <c r="F10658" t="n">
        <v>46</v>
      </c>
      <c r="G10658" t="n">
        <v>161</v>
      </c>
      <c r="H10658" t="n">
        <v>2.28e-34</v>
      </c>
      <c r="I10658" t="inlineStr">
        <is>
          <t>Nr</t>
        </is>
      </c>
      <c r="J10658" t="inlineStr"/>
      <c r="K10658" t="inlineStr"/>
      <c r="L10658" t="inlineStr">
        <is>
          <t>OCT97386.1 hypothetical protein XELAEV_180096082mg, partial [Xenopus laevis]</t>
        </is>
      </c>
      <c r="M10658" t="n">
        <v>417</v>
      </c>
      <c r="N10658" t="inlineStr">
        <is>
          <t>Xenopus laevis</t>
        </is>
      </c>
      <c r="O10658" t="inlineStr">
        <is>
          <t>hypothetical protein XELAEV_180096082mg, partial</t>
        </is>
      </c>
    </row>
    <row r="10659">
      <c r="A10659" t="inlineStr"/>
      <c r="B10659" t="inlineStr"/>
      <c r="C10659" t="inlineStr"/>
      <c r="D10659" t="inlineStr"/>
      <c r="E10659">
        <f>HYPERLINK("https://www.uniprot.org/uniprotkb/A0A8C5LQE3/entry", "A0A8C5LQE3")</f>
        <v/>
      </c>
      <c r="F10659" t="n">
        <v>44.3</v>
      </c>
      <c r="G10659" t="n">
        <v>194</v>
      </c>
      <c r="H10659" t="n">
        <v>5.3e-34</v>
      </c>
      <c r="I10659" t="inlineStr">
        <is>
          <t>TrEMBL</t>
        </is>
      </c>
      <c r="J10659" t="inlineStr"/>
      <c r="K10659" t="inlineStr">
        <is>
          <t>A0A8C5LQE3_9ANUR</t>
        </is>
      </c>
      <c r="L10659" t="inlineStr">
        <is>
          <t>tr|A0A8C5LQE3|A0A8C5LQE3_9ANUR LINE-1 type transposase domain-containing protein 1 OS=Leptobrachium leishanense OX=445787 PE=4 SV=1</t>
        </is>
      </c>
      <c r="M10659" t="n">
        <v>260</v>
      </c>
      <c r="N10659" t="inlineStr">
        <is>
          <t>Leptobrachium leishanense</t>
        </is>
      </c>
      <c r="O10659" t="inlineStr">
        <is>
          <t>LINE-1 type transposase domain-containing protein 1</t>
        </is>
      </c>
    </row>
    <row r="10660">
      <c r="A10660" t="inlineStr"/>
      <c r="B10660" t="inlineStr"/>
      <c r="C10660" t="inlineStr"/>
      <c r="D10660" t="inlineStr"/>
      <c r="E10660">
        <f>HYPERLINK("https://www.uniprot.org/uniprotkb/A0A8C5PHM2/entry", "A0A8C5PHM2")</f>
        <v/>
      </c>
      <c r="F10660" t="n">
        <v>44.8</v>
      </c>
      <c r="G10660" t="n">
        <v>194</v>
      </c>
      <c r="H10660" t="n">
        <v>1.77e-33</v>
      </c>
      <c r="I10660" t="inlineStr">
        <is>
          <t>TrEMBL</t>
        </is>
      </c>
      <c r="J10660" t="inlineStr"/>
      <c r="K10660" t="inlineStr">
        <is>
          <t>A0A8C5PHM2_9ANUR</t>
        </is>
      </c>
      <c r="L10660" t="inlineStr">
        <is>
          <t>tr|A0A8C5PHM2|A0A8C5PHM2_9ANUR LINE-1 type transposase domain-containing protein 1 OS=Leptobrachium leishanense OX=445787 PE=4 SV=1</t>
        </is>
      </c>
      <c r="M10660" t="n">
        <v>327</v>
      </c>
      <c r="N10660" t="inlineStr">
        <is>
          <t>Leptobrachium leishanense</t>
        </is>
      </c>
      <c r="O10660" t="inlineStr">
        <is>
          <t>LINE-1 type transposase domain-containing protein 1</t>
        </is>
      </c>
    </row>
    <row r="10661">
      <c r="A10661" t="inlineStr"/>
      <c r="B10661" t="inlineStr"/>
      <c r="C10661" t="inlineStr"/>
      <c r="D10661" t="inlineStr"/>
      <c r="E10661">
        <f>HYPERLINK("https://www.ncbi.nlm.nih.gov/gene/?term=KAE8602226.1", "KAE8602226.1")</f>
        <v/>
      </c>
      <c r="F10661" t="n">
        <v>44.2</v>
      </c>
      <c r="G10661" t="n">
        <v>147</v>
      </c>
      <c r="H10661" t="n">
        <v>1.85e-33</v>
      </c>
      <c r="I10661" t="inlineStr">
        <is>
          <t>Nr</t>
        </is>
      </c>
      <c r="J10661" t="inlineStr"/>
      <c r="K10661" t="inlineStr"/>
      <c r="L10661" t="inlineStr">
        <is>
          <t>KAE8602226.1 hypothetical protein XENTR_v10013917 [Xenopus tropicalis]</t>
        </is>
      </c>
      <c r="M10661" t="n">
        <v>158</v>
      </c>
      <c r="N10661" t="inlineStr">
        <is>
          <t>Xenopus tropicalis</t>
        </is>
      </c>
      <c r="O10661" t="inlineStr">
        <is>
          <t>hypothetical protein XENTR_v10013917</t>
        </is>
      </c>
    </row>
    <row r="10662">
      <c r="A10662" t="inlineStr"/>
      <c r="B10662" t="inlineStr"/>
      <c r="C10662" t="inlineStr"/>
      <c r="D10662" t="inlineStr"/>
      <c r="E10662">
        <f>HYPERLINK("https://www.uniprot.org/uniprotkb/A0A8C5P626/entry", "A0A8C5P626")</f>
        <v/>
      </c>
      <c r="F10662" t="n">
        <v>44.3</v>
      </c>
      <c r="G10662" t="n">
        <v>194</v>
      </c>
      <c r="H10662" t="n">
        <v>2.47e-33</v>
      </c>
      <c r="I10662" t="inlineStr">
        <is>
          <t>TrEMBL</t>
        </is>
      </c>
      <c r="J10662" t="inlineStr"/>
      <c r="K10662" t="inlineStr">
        <is>
          <t>A0A8C5P626_9ANUR</t>
        </is>
      </c>
      <c r="L10662" t="inlineStr">
        <is>
          <t>tr|A0A8C5P626|A0A8C5P626_9ANUR LINE-1 type transposase domain-containing protein 1 OS=Leptobrachium leishanense OX=445787 PE=4 SV=1</t>
        </is>
      </c>
      <c r="M10662" t="n">
        <v>327</v>
      </c>
      <c r="N10662" t="inlineStr">
        <is>
          <t>Leptobrachium leishanense</t>
        </is>
      </c>
      <c r="O10662" t="inlineStr">
        <is>
          <t>LINE-1 type transposase domain-containing protein 1</t>
        </is>
      </c>
    </row>
    <row r="10663">
      <c r="A10663" t="inlineStr"/>
      <c r="B10663" t="inlineStr"/>
      <c r="C10663" t="inlineStr"/>
      <c r="D10663" t="inlineStr"/>
      <c r="E10663">
        <f>HYPERLINK("https://www.uniprot.org/uniprotkb/A0A8C5LVH7/entry", "A0A8C5LVH7")</f>
        <v/>
      </c>
      <c r="F10663" t="n">
        <v>44.3</v>
      </c>
      <c r="G10663" t="n">
        <v>194</v>
      </c>
      <c r="H10663" t="n">
        <v>2.47e-33</v>
      </c>
      <c r="I10663" t="inlineStr">
        <is>
          <t>TrEMBL</t>
        </is>
      </c>
      <c r="J10663" t="inlineStr"/>
      <c r="K10663" t="inlineStr">
        <is>
          <t>A0A8C5LVH7_9ANUR</t>
        </is>
      </c>
      <c r="L10663" t="inlineStr">
        <is>
          <t>tr|A0A8C5LVH7|A0A8C5LVH7_9ANUR LINE-1 type transposase domain-containing protein 1 OS=Leptobrachium leishanense OX=445787 PE=4 SV=1</t>
        </is>
      </c>
      <c r="M10663" t="n">
        <v>327</v>
      </c>
      <c r="N10663" t="inlineStr">
        <is>
          <t>Leptobrachium leishanense</t>
        </is>
      </c>
      <c r="O10663" t="inlineStr">
        <is>
          <t>LINE-1 type transposase domain-containing protein 1</t>
        </is>
      </c>
    </row>
    <row r="10664">
      <c r="A10664" t="inlineStr"/>
      <c r="B10664" t="inlineStr"/>
      <c r="C10664" t="inlineStr"/>
      <c r="D10664" t="inlineStr"/>
      <c r="E10664">
        <f>HYPERLINK("https://www.uniprot.org/uniprotkb/A0A803JJ26/entry", "A0A803JJ26")</f>
        <v/>
      </c>
      <c r="F10664" t="n">
        <v>41.9</v>
      </c>
      <c r="G10664" t="n">
        <v>172</v>
      </c>
      <c r="H10664" t="n">
        <v>2.81e-33</v>
      </c>
      <c r="I10664" t="inlineStr">
        <is>
          <t>TrEMBL</t>
        </is>
      </c>
      <c r="J10664" t="inlineStr"/>
      <c r="K10664" t="inlineStr">
        <is>
          <t>A0A803JJ26_XENTR</t>
        </is>
      </c>
      <c r="L10664" t="inlineStr">
        <is>
          <t>tr|A0A803JJ26|A0A803JJ26_XENTR t-SNARE coiled-coil homology domain-containing protein OS=Xenopus tropicalis OX=8364 PE=4 SV=1</t>
        </is>
      </c>
      <c r="M10664" t="n">
        <v>367</v>
      </c>
      <c r="N10664" t="inlineStr">
        <is>
          <t>Xenopus tropicalis</t>
        </is>
      </c>
      <c r="O10664" t="inlineStr">
        <is>
          <t>t-SNARE coiled-coil homology domain-containing protein</t>
        </is>
      </c>
    </row>
    <row r="10665">
      <c r="A10665" t="inlineStr"/>
      <c r="B10665" t="inlineStr"/>
      <c r="C10665" t="inlineStr"/>
      <c r="D10665" t="inlineStr"/>
      <c r="E10665">
        <f>HYPERLINK("https://www.ncbi.nlm.nih.gov/gene/?term=KAE8589170.1", "KAE8589170.1")</f>
        <v/>
      </c>
      <c r="F10665" t="n">
        <v>45</v>
      </c>
      <c r="G10665" t="n">
        <v>169</v>
      </c>
      <c r="H10665" t="n">
        <v>3.7e-33</v>
      </c>
      <c r="I10665" t="inlineStr">
        <is>
          <t>Nr</t>
        </is>
      </c>
      <c r="J10665" t="inlineStr"/>
      <c r="K10665" t="inlineStr"/>
      <c r="L10665" t="inlineStr">
        <is>
          <t>KAE8589170.1 hypothetical protein XENTR_v10022906 [Xenopus tropicalis]</t>
        </is>
      </c>
      <c r="M10665" t="n">
        <v>273</v>
      </c>
      <c r="N10665" t="inlineStr">
        <is>
          <t>Xenopus tropicalis</t>
        </is>
      </c>
      <c r="O10665" t="inlineStr">
        <is>
          <t>hypothetical protein XENTR_v10022906</t>
        </is>
      </c>
    </row>
    <row r="10666">
      <c r="A10666" t="inlineStr"/>
      <c r="B10666" t="inlineStr"/>
      <c r="C10666" t="inlineStr"/>
      <c r="D10666" t="inlineStr"/>
      <c r="E10666">
        <f>HYPERLINK("https://www.ncbi.nlm.nih.gov/gene/?term=XP_040181316.1", "XP_040181316.1")</f>
        <v/>
      </c>
      <c r="F10666" t="n">
        <v>34.4</v>
      </c>
      <c r="G10666" t="n">
        <v>186</v>
      </c>
      <c r="H10666" t="n">
        <v>9.960000000000001e-33</v>
      </c>
      <c r="I10666" t="inlineStr">
        <is>
          <t>Nr</t>
        </is>
      </c>
      <c r="J10666" t="inlineStr"/>
      <c r="K10666" t="inlineStr"/>
      <c r="L10666" t="inlineStr">
        <is>
          <t>XP_040181316.1 uncharacterized protein LOC120915124 [Rana temporaria]</t>
        </is>
      </c>
      <c r="M10666" t="n">
        <v>301</v>
      </c>
      <c r="N10666" t="inlineStr">
        <is>
          <t>Rana temporaria</t>
        </is>
      </c>
      <c r="O10666" t="inlineStr">
        <is>
          <t>uncharacterized protein LOC120915124</t>
        </is>
      </c>
    </row>
    <row r="10667">
      <c r="A10667" t="inlineStr"/>
      <c r="B10667" t="inlineStr"/>
      <c r="C10667" t="inlineStr"/>
      <c r="D10667" t="inlineStr"/>
      <c r="E10667">
        <f>HYPERLINK("https://www.ncbi.nlm.nih.gov/gene/?term=OCT65781.1", "OCT65781.1")</f>
        <v/>
      </c>
      <c r="F10667" t="n">
        <v>40.9</v>
      </c>
      <c r="G10667" t="n">
        <v>186</v>
      </c>
      <c r="H10667" t="n">
        <v>3.07e-32</v>
      </c>
      <c r="I10667" t="inlineStr">
        <is>
          <t>Nr</t>
        </is>
      </c>
      <c r="J10667" t="inlineStr"/>
      <c r="K10667" t="inlineStr"/>
      <c r="L10667" t="inlineStr">
        <is>
          <t>OCT65781.1 hypothetical protein XELAEV_18042027mg [Xenopus laevis]</t>
        </is>
      </c>
      <c r="M10667" t="n">
        <v>338</v>
      </c>
      <c r="N10667" t="inlineStr">
        <is>
          <t>Xenopus laevis</t>
        </is>
      </c>
      <c r="O10667" t="inlineStr">
        <is>
          <t>hypothetical protein XELAEV_18042027mg</t>
        </is>
      </c>
    </row>
    <row r="10668">
      <c r="A10668" t="inlineStr"/>
      <c r="B10668" t="inlineStr"/>
      <c r="C10668" t="inlineStr"/>
      <c r="D10668" t="inlineStr"/>
      <c r="E10668">
        <f>HYPERLINK("https://www.ncbi.nlm.nih.gov/gene/?term=XP_044160443.1", "XP_044160443.1")</f>
        <v/>
      </c>
      <c r="F10668" t="n">
        <v>38.1</v>
      </c>
      <c r="G10668" t="n">
        <v>194</v>
      </c>
      <c r="H10668" t="n">
        <v>2.01e-31</v>
      </c>
      <c r="I10668" t="inlineStr">
        <is>
          <t>Nr</t>
        </is>
      </c>
      <c r="J10668" t="inlineStr"/>
      <c r="K10668" t="inlineStr"/>
      <c r="L10668" t="inlineStr">
        <is>
          <t>XP_044160443.1 uromodulin-like [Bufo gargarizans]</t>
        </is>
      </c>
      <c r="M10668" t="n">
        <v>1102</v>
      </c>
      <c r="N10668" t="inlineStr">
        <is>
          <t>Bufo gargarizans</t>
        </is>
      </c>
      <c r="O10668" t="inlineStr">
        <is>
          <t>uromodulin-like</t>
        </is>
      </c>
    </row>
    <row r="10669">
      <c r="A10669" t="inlineStr"/>
      <c r="B10669" t="inlineStr"/>
      <c r="C10669" t="inlineStr"/>
      <c r="D10669" t="inlineStr"/>
      <c r="E10669">
        <f>HYPERLINK("https://www.ncbi.nlm.nih.gov/gene/?term=OCT86641.1", "OCT86641.1")</f>
        <v/>
      </c>
      <c r="F10669" t="n">
        <v>42.2</v>
      </c>
      <c r="G10669" t="n">
        <v>161</v>
      </c>
      <c r="H10669" t="n">
        <v>9.430000000000001e-31</v>
      </c>
      <c r="I10669" t="inlineStr">
        <is>
          <t>Nr</t>
        </is>
      </c>
      <c r="J10669" t="inlineStr"/>
      <c r="K10669" t="inlineStr"/>
      <c r="L10669" t="inlineStr">
        <is>
          <t>OCT86641.1 hypothetical protein XELAEV_18020325mg [Xenopus laevis]</t>
        </is>
      </c>
      <c r="M10669" t="n">
        <v>359</v>
      </c>
      <c r="N10669" t="inlineStr">
        <is>
          <t>Xenopus laevis</t>
        </is>
      </c>
      <c r="O10669" t="inlineStr">
        <is>
          <t>hypothetical protein XELAEV_18020325mg</t>
        </is>
      </c>
    </row>
    <row r="10670">
      <c r="A10670" t="inlineStr"/>
      <c r="B10670" t="inlineStr"/>
      <c r="C10670" t="inlineStr"/>
      <c r="D10670" t="inlineStr"/>
      <c r="E10670">
        <f>HYPERLINK("https://www.ncbi.nlm.nih.gov/gene/?term=OCT62621.1", "OCT62621.1")</f>
        <v/>
      </c>
      <c r="F10670" t="n">
        <v>44.7</v>
      </c>
      <c r="G10670" t="n">
        <v>161</v>
      </c>
      <c r="H10670" t="n">
        <v>1.27e-30</v>
      </c>
      <c r="I10670" t="inlineStr">
        <is>
          <t>Nr</t>
        </is>
      </c>
      <c r="J10670" t="inlineStr"/>
      <c r="K10670" t="inlineStr"/>
      <c r="L10670" t="inlineStr">
        <is>
          <t>OCT62621.1 hypothetical protein XELAEV_18043707mg [Xenopus laevis]</t>
        </is>
      </c>
      <c r="M10670" t="n">
        <v>357</v>
      </c>
      <c r="N10670" t="inlineStr">
        <is>
          <t>Xenopus laevis</t>
        </is>
      </c>
      <c r="O10670" t="inlineStr">
        <is>
          <t>hypothetical protein XELAEV_18043707mg</t>
        </is>
      </c>
    </row>
    <row r="10671">
      <c r="A10671" t="inlineStr"/>
      <c r="B10671" t="inlineStr"/>
      <c r="C10671" t="inlineStr"/>
      <c r="D10671" t="inlineStr"/>
      <c r="E10671">
        <f>HYPERLINK("https://www.ncbi.nlm.nih.gov/gene/?term=PIO26594.1", "PIO26594.1")</f>
        <v/>
      </c>
      <c r="F10671" t="n">
        <v>38.2</v>
      </c>
      <c r="G10671" t="n">
        <v>186</v>
      </c>
      <c r="H10671" t="n">
        <v>2.77e-30</v>
      </c>
      <c r="I10671" t="inlineStr">
        <is>
          <t>Nr</t>
        </is>
      </c>
      <c r="J10671" t="inlineStr"/>
      <c r="K10671" t="inlineStr"/>
      <c r="L10671" t="inlineStr">
        <is>
          <t>PIO26594.1 hypothetical protein AB205_0195780 [Lithobates catesbeianus]</t>
        </is>
      </c>
      <c r="M10671" t="n">
        <v>345</v>
      </c>
      <c r="N10671" t="inlineStr">
        <is>
          <t>Lithobates catesbeianus</t>
        </is>
      </c>
      <c r="O10671" t="inlineStr">
        <is>
          <t>hypothetical protein AB205_0195780</t>
        </is>
      </c>
    </row>
    <row r="10672">
      <c r="A10672" t="inlineStr"/>
      <c r="B10672" t="inlineStr"/>
      <c r="C10672" t="inlineStr"/>
      <c r="D10672" t="inlineStr"/>
      <c r="E10672">
        <f>HYPERLINK("https://www.ncbi.nlm.nih.gov/gene/?term=KAE8597524.1", "KAE8597524.1")</f>
        <v/>
      </c>
      <c r="F10672" t="n">
        <v>37.8</v>
      </c>
      <c r="G10672" t="n">
        <v>185</v>
      </c>
      <c r="H10672" t="n">
        <v>3.17e-29</v>
      </c>
      <c r="I10672" t="inlineStr">
        <is>
          <t>Nr</t>
        </is>
      </c>
      <c r="J10672" t="inlineStr"/>
      <c r="K10672" t="inlineStr"/>
      <c r="L10672" t="inlineStr">
        <is>
          <t>KAE8597524.1 hypothetical protein XENTR_v10016494 [Xenopus tropicalis]</t>
        </is>
      </c>
      <c r="M10672" t="n">
        <v>299</v>
      </c>
      <c r="N10672" t="inlineStr">
        <is>
          <t>Xenopus tropicalis</t>
        </is>
      </c>
      <c r="O10672" t="inlineStr">
        <is>
          <t>hypothetical protein XENTR_v10016494</t>
        </is>
      </c>
    </row>
    <row r="10673">
      <c r="A10673" t="inlineStr"/>
      <c r="B10673" t="inlineStr"/>
      <c r="C10673" t="inlineStr"/>
      <c r="D10673" t="inlineStr"/>
      <c r="E10673">
        <f>HYPERLINK("https://www.ncbi.nlm.nih.gov/gene/?term=OCT88259.1", "OCT88259.1")</f>
        <v/>
      </c>
      <c r="F10673" t="n">
        <v>39.4</v>
      </c>
      <c r="G10673" t="n">
        <v>170</v>
      </c>
      <c r="H10673" t="n">
        <v>9.610000000000001e-29</v>
      </c>
      <c r="I10673" t="inlineStr">
        <is>
          <t>Nr</t>
        </is>
      </c>
      <c r="J10673" t="inlineStr"/>
      <c r="K10673" t="inlineStr"/>
      <c r="L10673" t="inlineStr">
        <is>
          <t>OCT88259.1 hypothetical protein XELAEV_18016891mg [Xenopus laevis]</t>
        </is>
      </c>
      <c r="M10673" t="n">
        <v>216</v>
      </c>
      <c r="N10673" t="inlineStr">
        <is>
          <t>Xenopus laevis</t>
        </is>
      </c>
      <c r="O10673" t="inlineStr">
        <is>
          <t>hypothetical protein XELAEV_18016891mg</t>
        </is>
      </c>
    </row>
    <row r="10674">
      <c r="A10674" t="inlineStr"/>
      <c r="B10674" t="inlineStr"/>
      <c r="C10674" t="inlineStr"/>
      <c r="D10674" t="inlineStr"/>
      <c r="E10674">
        <f>HYPERLINK("https://www.ncbi.nlm.nih.gov/gene/?term=PIO22968.1", "PIO22968.1")</f>
        <v/>
      </c>
      <c r="F10674" t="n">
        <v>39.4</v>
      </c>
      <c r="G10674" t="n">
        <v>142</v>
      </c>
      <c r="H10674" t="n">
        <v>1.92e-28</v>
      </c>
      <c r="I10674" t="inlineStr">
        <is>
          <t>Nr</t>
        </is>
      </c>
      <c r="J10674" t="inlineStr"/>
      <c r="K10674" t="inlineStr"/>
      <c r="L10674" t="inlineStr">
        <is>
          <t>PIO22968.1 hypothetical protein AB205_0211760, partial [Lithobates catesbeianus]</t>
        </is>
      </c>
      <c r="M10674" t="n">
        <v>230</v>
      </c>
      <c r="N10674" t="inlineStr">
        <is>
          <t>Lithobates catesbeianus</t>
        </is>
      </c>
      <c r="O10674" t="inlineStr">
        <is>
          <t>hypothetical protein AB205_0211760, partial</t>
        </is>
      </c>
    </row>
    <row r="10675">
      <c r="A10675" t="inlineStr"/>
      <c r="B10675" t="inlineStr"/>
      <c r="C10675" t="inlineStr"/>
      <c r="D10675" t="inlineStr"/>
      <c r="E10675">
        <f>HYPERLINK("https://www.ncbi.nlm.nih.gov/gene/?term=KAG8451976.1", "KAG8451976.1")</f>
        <v/>
      </c>
      <c r="F10675" t="n">
        <v>40</v>
      </c>
      <c r="G10675" t="n">
        <v>185</v>
      </c>
      <c r="H10675" t="n">
        <v>2.16e-28</v>
      </c>
      <c r="I10675" t="inlineStr">
        <is>
          <t>Nr</t>
        </is>
      </c>
      <c r="J10675" t="inlineStr"/>
      <c r="K10675" t="inlineStr"/>
      <c r="L10675" t="inlineStr">
        <is>
          <t>KAG8451976.1 hypothetical protein GDO86_003963 [Hymenochirus boettgeri]</t>
        </is>
      </c>
      <c r="M10675" t="n">
        <v>431</v>
      </c>
      <c r="N10675" t="inlineStr">
        <is>
          <t>Hymenochirus boettgeri</t>
        </is>
      </c>
      <c r="O10675" t="inlineStr">
        <is>
          <t>hypothetical protein GDO86_003963</t>
        </is>
      </c>
    </row>
    <row r="10676">
      <c r="A10676" t="inlineStr"/>
      <c r="B10676" t="inlineStr"/>
      <c r="C10676" t="inlineStr"/>
      <c r="D10676" t="inlineStr"/>
      <c r="E10676">
        <f>HYPERLINK("https://www.ncbi.nlm.nih.gov/gene/?term=OCT74389.1", "OCT74389.1")</f>
        <v/>
      </c>
      <c r="F10676" t="n">
        <v>35.3</v>
      </c>
      <c r="G10676" t="n">
        <v>153</v>
      </c>
      <c r="H10676" t="n">
        <v>3.57e-28</v>
      </c>
      <c r="I10676" t="inlineStr">
        <is>
          <t>Nr</t>
        </is>
      </c>
      <c r="J10676" t="inlineStr"/>
      <c r="K10676" t="inlineStr"/>
      <c r="L10676" t="inlineStr">
        <is>
          <t>OCT74389.1 hypothetical protein XELAEV_18033364mg [Xenopus laevis]</t>
        </is>
      </c>
      <c r="M10676" t="n">
        <v>214</v>
      </c>
      <c r="N10676" t="inlineStr">
        <is>
          <t>Xenopus laevis</t>
        </is>
      </c>
      <c r="O10676" t="inlineStr">
        <is>
          <t>hypothetical protein XELAEV_18033364mg</t>
        </is>
      </c>
    </row>
    <row r="10677">
      <c r="A10677" t="inlineStr"/>
      <c r="B10677" t="inlineStr"/>
      <c r="C10677" t="inlineStr"/>
      <c r="D10677" t="inlineStr"/>
      <c r="E10677">
        <f>HYPERLINK("https://www.ncbi.nlm.nih.gov/gene/?term=OCT65746.1", "OCT65746.1")</f>
        <v/>
      </c>
      <c r="F10677" t="n">
        <v>40.8</v>
      </c>
      <c r="G10677" t="n">
        <v>157</v>
      </c>
      <c r="H10677" t="n">
        <v>1.06e-27</v>
      </c>
      <c r="I10677" t="inlineStr">
        <is>
          <t>Nr</t>
        </is>
      </c>
      <c r="J10677" t="inlineStr"/>
      <c r="K10677" t="inlineStr"/>
      <c r="L10677" t="inlineStr">
        <is>
          <t>OCT65746.1 hypothetical protein XELAEV_18041989mg [Xenopus laevis]</t>
        </is>
      </c>
      <c r="M10677" t="n">
        <v>259</v>
      </c>
      <c r="N10677" t="inlineStr">
        <is>
          <t>Xenopus laevis</t>
        </is>
      </c>
      <c r="O10677" t="inlineStr">
        <is>
          <t>hypothetical protein XELAEV_18041989mg</t>
        </is>
      </c>
    </row>
    <row r="10678">
      <c r="A10678" t="inlineStr"/>
      <c r="B10678" t="inlineStr"/>
      <c r="C10678" t="inlineStr"/>
      <c r="D10678" t="inlineStr"/>
      <c r="E10678">
        <f>HYPERLINK("https://www.uniprot.org/uniprotkb/A0A8C5LQ71/entry", "A0A8C5LQ71")</f>
        <v/>
      </c>
      <c r="F10678" t="n">
        <v>40.6</v>
      </c>
      <c r="G10678" t="n">
        <v>143</v>
      </c>
      <c r="H10678" t="n">
        <v>5.58e-27</v>
      </c>
      <c r="I10678" t="inlineStr">
        <is>
          <t>TrEMBL</t>
        </is>
      </c>
      <c r="J10678" t="inlineStr"/>
      <c r="K10678" t="inlineStr">
        <is>
          <t>A0A8C5LQ71_9ANUR</t>
        </is>
      </c>
      <c r="L10678" t="inlineStr">
        <is>
          <t>tr|A0A8C5LQ71|A0A8C5LQ71_9ANUR Reverse transcriptase domain-containing protein OS=Leptobrachium leishanense OX=445787 PE=4 SV=1</t>
        </is>
      </c>
      <c r="M10678" t="n">
        <v>1259</v>
      </c>
      <c r="N10678" t="inlineStr">
        <is>
          <t>Leptobrachium leishanense</t>
        </is>
      </c>
      <c r="O10678" t="inlineStr">
        <is>
          <t>Reverse transcriptase domain-containing protein</t>
        </is>
      </c>
    </row>
    <row r="10679">
      <c r="A10679" t="inlineStr"/>
      <c r="B10679" t="inlineStr"/>
      <c r="C10679" t="inlineStr"/>
      <c r="D10679" t="inlineStr"/>
      <c r="E10679">
        <f>HYPERLINK("https://www.ncbi.nlm.nih.gov/gene/?term=OCT82282.1", "OCT82282.1")</f>
        <v/>
      </c>
      <c r="F10679" t="n">
        <v>37</v>
      </c>
      <c r="G10679" t="n">
        <v>173</v>
      </c>
      <c r="H10679" t="n">
        <v>5.81e-27</v>
      </c>
      <c r="I10679" t="inlineStr">
        <is>
          <t>Nr</t>
        </is>
      </c>
      <c r="J10679" t="inlineStr"/>
      <c r="K10679" t="inlineStr"/>
      <c r="L10679" t="inlineStr">
        <is>
          <t>OCT82282.1 hypothetical protein XELAEV_18024802mg [Xenopus laevis]</t>
        </is>
      </c>
      <c r="M10679" t="n">
        <v>325</v>
      </c>
      <c r="N10679" t="inlineStr">
        <is>
          <t>Xenopus laevis</t>
        </is>
      </c>
      <c r="O10679" t="inlineStr">
        <is>
          <t>hypothetical protein XELAEV_18024802mg</t>
        </is>
      </c>
    </row>
    <row r="10680">
      <c r="A10680" t="inlineStr"/>
      <c r="B10680" t="inlineStr"/>
      <c r="C10680" t="inlineStr"/>
      <c r="D10680" t="inlineStr"/>
      <c r="E10680">
        <f>HYPERLINK("https://www.uniprot.org/uniprotkb/A0A803JWG6/entry", "A0A803JWG6")</f>
        <v/>
      </c>
      <c r="F10680" t="n">
        <v>41.6</v>
      </c>
      <c r="G10680" t="n">
        <v>137</v>
      </c>
      <c r="H10680" t="n">
        <v>1.22e-26</v>
      </c>
      <c r="I10680" t="inlineStr">
        <is>
          <t>TrEMBL</t>
        </is>
      </c>
      <c r="J10680" t="inlineStr"/>
      <c r="K10680" t="inlineStr">
        <is>
          <t>A0A803JWG6_XENTR</t>
        </is>
      </c>
      <c r="L10680" t="inlineStr">
        <is>
          <t>tr|A0A803JWG6|A0A803JWG6_XENTR Endo/exonuclease/phosphatase domain-containing protein OS=Xenopus tropicalis OX=8364 PE=4 SV=1</t>
        </is>
      </c>
      <c r="M10680" t="n">
        <v>242</v>
      </c>
      <c r="N10680" t="inlineStr">
        <is>
          <t>Xenopus tropicalis</t>
        </is>
      </c>
      <c r="O10680" t="inlineStr">
        <is>
          <t>Endo/exonuclease/phosphatase domain-containing protein</t>
        </is>
      </c>
    </row>
    <row r="10681">
      <c r="A10681" t="inlineStr"/>
      <c r="B10681" t="inlineStr"/>
      <c r="C10681" t="inlineStr"/>
      <c r="D10681" t="inlineStr"/>
      <c r="E10681">
        <f>HYPERLINK("https://www.ncbi.nlm.nih.gov/gene/?term=OCT82894.1", "OCT82894.1")</f>
        <v/>
      </c>
      <c r="F10681" t="n">
        <v>39.2</v>
      </c>
      <c r="G10681" t="n">
        <v>171</v>
      </c>
      <c r="H10681" t="n">
        <v>2.19e-26</v>
      </c>
      <c r="I10681" t="inlineStr">
        <is>
          <t>Nr</t>
        </is>
      </c>
      <c r="J10681" t="inlineStr"/>
      <c r="K10681" t="inlineStr"/>
      <c r="L10681" t="inlineStr">
        <is>
          <t>OCT82894.1 hypothetical protein XELAEV_18025429mg [Xenopus laevis]</t>
        </is>
      </c>
      <c r="M10681" t="n">
        <v>176</v>
      </c>
      <c r="N10681" t="inlineStr">
        <is>
          <t>Xenopus laevis</t>
        </is>
      </c>
      <c r="O10681" t="inlineStr">
        <is>
          <t>hypothetical protein XELAEV_18025429mg</t>
        </is>
      </c>
    </row>
    <row r="10682">
      <c r="A10682" t="inlineStr"/>
      <c r="B10682" t="inlineStr"/>
      <c r="C10682" t="inlineStr"/>
      <c r="D10682" t="inlineStr"/>
      <c r="E10682">
        <f>HYPERLINK("https://www.ncbi.nlm.nih.gov/gene/?term=XP_031747289.1", "XP_031747289.1")</f>
        <v/>
      </c>
      <c r="F10682" t="n">
        <v>33.6</v>
      </c>
      <c r="G10682" t="n">
        <v>241</v>
      </c>
      <c r="H10682" t="n">
        <v>4.65e-26</v>
      </c>
      <c r="I10682" t="inlineStr">
        <is>
          <t>Nr</t>
        </is>
      </c>
      <c r="J10682" t="inlineStr"/>
      <c r="K10682" t="inlineStr"/>
      <c r="L10682" t="inlineStr">
        <is>
          <t>XP_031747289.1 uncharacterized protein LOC116406722 [Xenopus tropicalis]</t>
        </is>
      </c>
      <c r="M10682" t="n">
        <v>262</v>
      </c>
      <c r="N10682" t="inlineStr">
        <is>
          <t>Xenopus tropicalis</t>
        </is>
      </c>
      <c r="O10682" t="inlineStr">
        <is>
          <t>uncharacterized protein LOC116406722</t>
        </is>
      </c>
    </row>
    <row r="10683">
      <c r="A10683" t="inlineStr"/>
      <c r="B10683" t="inlineStr"/>
      <c r="C10683" t="inlineStr"/>
      <c r="D10683" t="inlineStr"/>
      <c r="E10683">
        <f>HYPERLINK("https://www.uniprot.org/uniprotkb/A0A8C5QVD2/entry", "A0A8C5QVD2")</f>
        <v/>
      </c>
      <c r="F10683" t="n">
        <v>39.2</v>
      </c>
      <c r="G10683" t="n">
        <v>143</v>
      </c>
      <c r="H10683" t="n">
        <v>6.33e-26</v>
      </c>
      <c r="I10683" t="inlineStr">
        <is>
          <t>TrEMBL</t>
        </is>
      </c>
      <c r="J10683" t="inlineStr"/>
      <c r="K10683" t="inlineStr">
        <is>
          <t>A0A8C5QVD2_9ANUR</t>
        </is>
      </c>
      <c r="L10683" t="inlineStr">
        <is>
          <t>tr|A0A8C5QVD2|A0A8C5QVD2_9ANUR Reverse transcriptase domain-containing protein OS=Leptobrachium leishanense OX=445787 PE=4 SV=1</t>
        </is>
      </c>
      <c r="M10683" t="n">
        <v>771</v>
      </c>
      <c r="N10683" t="inlineStr">
        <is>
          <t>Leptobrachium leishanense</t>
        </is>
      </c>
      <c r="O10683" t="inlineStr">
        <is>
          <t>Reverse transcriptase domain-containing protein</t>
        </is>
      </c>
    </row>
    <row r="10684">
      <c r="A10684" t="inlineStr"/>
      <c r="B10684" t="inlineStr"/>
      <c r="C10684" t="inlineStr"/>
      <c r="D10684" t="inlineStr"/>
      <c r="E10684">
        <f>HYPERLINK("https://www.ncbi.nlm.nih.gov/gene/?term=NP_001089569.1", "NP_001089569.1")</f>
        <v/>
      </c>
      <c r="F10684" t="n">
        <v>36.6</v>
      </c>
      <c r="G10684" t="n">
        <v>183</v>
      </c>
      <c r="H10684" t="n">
        <v>8.650000000000001e-26</v>
      </c>
      <c r="I10684" t="inlineStr">
        <is>
          <t>Nr</t>
        </is>
      </c>
      <c r="J10684" t="inlineStr"/>
      <c r="K10684" t="inlineStr"/>
      <c r="L10684" t="inlineStr">
        <is>
          <t>NP_001089569.1 uncharacterized protein LOC734625 [Xenopus laevis]</t>
        </is>
      </c>
      <c r="M10684" t="n">
        <v>367</v>
      </c>
      <c r="N10684" t="inlineStr">
        <is>
          <t>Xenopus laevis</t>
        </is>
      </c>
      <c r="O10684" t="inlineStr">
        <is>
          <t>uncharacterized protein LOC734625</t>
        </is>
      </c>
    </row>
    <row r="10685">
      <c r="A10685" t="inlineStr"/>
      <c r="B10685" t="inlineStr"/>
      <c r="C10685" t="inlineStr"/>
      <c r="D10685" t="inlineStr"/>
      <c r="E10685">
        <f>HYPERLINK("https://www.ncbi.nlm.nih.gov/gene/?term=OCT86463.1", "OCT86463.1")</f>
        <v/>
      </c>
      <c r="F10685" t="n">
        <v>43.4</v>
      </c>
      <c r="G10685" t="n">
        <v>159</v>
      </c>
      <c r="H10685" t="n">
        <v>9.830000000000001e-26</v>
      </c>
      <c r="I10685" t="inlineStr">
        <is>
          <t>Nr</t>
        </is>
      </c>
      <c r="J10685" t="inlineStr"/>
      <c r="K10685" t="inlineStr"/>
      <c r="L10685" t="inlineStr">
        <is>
          <t>OCT86463.1 hypothetical protein XELAEV_18020146mg [Xenopus laevis]</t>
        </is>
      </c>
      <c r="M10685" t="n">
        <v>822</v>
      </c>
      <c r="N10685" t="inlineStr">
        <is>
          <t>Xenopus laevis</t>
        </is>
      </c>
      <c r="O10685" t="inlineStr">
        <is>
          <t>hypothetical protein XELAEV_18020146mg</t>
        </is>
      </c>
    </row>
    <row r="10686">
      <c r="A10686" t="inlineStr"/>
      <c r="B10686" t="inlineStr"/>
      <c r="C10686" t="inlineStr"/>
      <c r="D10686" t="inlineStr"/>
      <c r="E10686">
        <f>HYPERLINK("https://www.ncbi.nlm.nih.gov/gene/?term=KAJ1081905.1", "KAJ1081905.1")</f>
        <v/>
      </c>
      <c r="F10686" t="n">
        <v>34.2</v>
      </c>
      <c r="G10686" t="n">
        <v>190</v>
      </c>
      <c r="H10686" t="n">
        <v>9.900000000000001e-26</v>
      </c>
      <c r="I10686" t="inlineStr">
        <is>
          <t>Nr</t>
        </is>
      </c>
      <c r="J10686" t="inlineStr"/>
      <c r="K10686" t="inlineStr"/>
      <c r="L10686" t="inlineStr">
        <is>
          <t>KAJ1081905.1 hypothetical protein NDU88_002077 [Pleurodeles waltl]</t>
        </is>
      </c>
      <c r="M10686" t="n">
        <v>316</v>
      </c>
      <c r="N10686" t="inlineStr">
        <is>
          <t>Pleurodeles waltl</t>
        </is>
      </c>
      <c r="O10686" t="inlineStr">
        <is>
          <t>hypothetical protein NDU88_002077</t>
        </is>
      </c>
    </row>
    <row r="10687">
      <c r="A10687" t="inlineStr"/>
      <c r="B10687" t="inlineStr"/>
      <c r="C10687" t="inlineStr"/>
      <c r="D10687" t="inlineStr"/>
      <c r="E10687">
        <f>HYPERLINK("https://www.uniprot.org/uniprotkb/A0A803JA29/entry", "A0A803JA29")</f>
        <v/>
      </c>
      <c r="F10687" t="n">
        <v>42.7</v>
      </c>
      <c r="G10687" t="n">
        <v>143</v>
      </c>
      <c r="H10687" t="n">
        <v>1.24e-25</v>
      </c>
      <c r="I10687" t="inlineStr">
        <is>
          <t>TrEMBL</t>
        </is>
      </c>
      <c r="J10687" t="inlineStr"/>
      <c r="K10687" t="inlineStr">
        <is>
          <t>A0A803JA29_XENTR</t>
        </is>
      </c>
      <c r="L10687" t="inlineStr">
        <is>
          <t>tr|A0A803JA29|A0A803JA29_XENTR Reverse transcriptase domain-containing protein OS=Xenopus tropicalis OX=8364 PE=4 SV=1</t>
        </is>
      </c>
      <c r="M10687" t="n">
        <v>1268</v>
      </c>
      <c r="N10687" t="inlineStr">
        <is>
          <t>Xenopus tropicalis</t>
        </is>
      </c>
      <c r="O10687" t="inlineStr">
        <is>
          <t>Reverse transcriptase domain-containing protein</t>
        </is>
      </c>
    </row>
    <row r="10688">
      <c r="A10688" t="inlineStr"/>
      <c r="B10688" t="inlineStr"/>
      <c r="C10688" t="inlineStr"/>
      <c r="D10688" t="inlineStr"/>
      <c r="E10688">
        <f>HYPERLINK("https://www.uniprot.org/uniprotkb/A0A803J359/entry", "A0A803J359")</f>
        <v/>
      </c>
      <c r="F10688" t="n">
        <v>42.7</v>
      </c>
      <c r="G10688" t="n">
        <v>143</v>
      </c>
      <c r="H10688" t="n">
        <v>1.24e-25</v>
      </c>
      <c r="I10688" t="inlineStr">
        <is>
          <t>TrEMBL</t>
        </is>
      </c>
      <c r="J10688" t="inlineStr"/>
      <c r="K10688" t="inlineStr">
        <is>
          <t>A0A803J359_XENTR</t>
        </is>
      </c>
      <c r="L10688" t="inlineStr">
        <is>
          <t>tr|A0A803J359|A0A803J359_XENTR Reverse transcriptase domain-containing protein OS=Xenopus tropicalis OX=8364 PE=4 SV=1</t>
        </is>
      </c>
      <c r="M10688" t="n">
        <v>1268</v>
      </c>
      <c r="N10688" t="inlineStr">
        <is>
          <t>Xenopus tropicalis</t>
        </is>
      </c>
      <c r="O10688" t="inlineStr">
        <is>
          <t>Reverse transcriptase domain-containing protein</t>
        </is>
      </c>
    </row>
    <row r="10689">
      <c r="A10689" t="inlineStr"/>
      <c r="B10689" t="inlineStr"/>
      <c r="C10689" t="inlineStr"/>
      <c r="D10689" t="inlineStr"/>
      <c r="E10689">
        <f>HYPERLINK("https://www.ncbi.nlm.nih.gov/gene/?term=OCT57869.1", "OCT57869.1")</f>
        <v/>
      </c>
      <c r="F10689" t="n">
        <v>36.8</v>
      </c>
      <c r="G10689" t="n">
        <v>171</v>
      </c>
      <c r="H10689" t="n">
        <v>1.31e-25</v>
      </c>
      <c r="I10689" t="inlineStr">
        <is>
          <t>Nr</t>
        </is>
      </c>
      <c r="J10689" t="inlineStr"/>
      <c r="K10689" t="inlineStr"/>
      <c r="L10689" t="inlineStr">
        <is>
          <t>OCT57869.1 hypothetical protein XELAEV_18002959mg, partial [Xenopus laevis]</t>
        </is>
      </c>
      <c r="M10689" t="n">
        <v>279</v>
      </c>
      <c r="N10689" t="inlineStr">
        <is>
          <t>Xenopus laevis</t>
        </is>
      </c>
      <c r="O10689" t="inlineStr">
        <is>
          <t>hypothetical protein XELAEV_18002959mg, partial</t>
        </is>
      </c>
    </row>
    <row r="10690">
      <c r="A10690" t="inlineStr"/>
      <c r="B10690" t="inlineStr"/>
      <c r="C10690" t="inlineStr"/>
      <c r="D10690" t="inlineStr"/>
      <c r="E10690">
        <f>HYPERLINK("https://www.ncbi.nlm.nih.gov/gene/?term=OCU01584.1", "OCU01584.1")</f>
        <v/>
      </c>
      <c r="F10690" t="n">
        <v>40.2</v>
      </c>
      <c r="G10690" t="n">
        <v>179</v>
      </c>
      <c r="H10690" t="n">
        <v>1.57e-25</v>
      </c>
      <c r="I10690" t="inlineStr">
        <is>
          <t>Nr</t>
        </is>
      </c>
      <c r="J10690" t="inlineStr"/>
      <c r="K10690" t="inlineStr"/>
      <c r="L10690" t="inlineStr">
        <is>
          <t>OCU01584.1 hypothetical protein XELAEV_18007375mg [Xenopus laevis]</t>
        </is>
      </c>
      <c r="M10690" t="n">
        <v>288</v>
      </c>
      <c r="N10690" t="inlineStr">
        <is>
          <t>Xenopus laevis</t>
        </is>
      </c>
      <c r="O10690" t="inlineStr">
        <is>
          <t>hypothetical protein XELAEV_18007375mg</t>
        </is>
      </c>
    </row>
    <row r="10691">
      <c r="A10691" t="inlineStr"/>
      <c r="B10691" t="inlineStr"/>
      <c r="C10691" t="inlineStr"/>
      <c r="D10691" t="inlineStr"/>
      <c r="E10691">
        <f>HYPERLINK("https://www.uniprot.org/uniprotkb/A0A803JMW2/entry", "A0A803JMW2")</f>
        <v/>
      </c>
      <c r="F10691" t="n">
        <v>42.7</v>
      </c>
      <c r="G10691" t="n">
        <v>143</v>
      </c>
      <c r="H10691" t="n">
        <v>5.83e-25</v>
      </c>
      <c r="I10691" t="inlineStr">
        <is>
          <t>TrEMBL</t>
        </is>
      </c>
      <c r="J10691" t="inlineStr"/>
      <c r="K10691" t="inlineStr">
        <is>
          <t>A0A803JMW2_XENTR</t>
        </is>
      </c>
      <c r="L10691" t="inlineStr">
        <is>
          <t>tr|A0A803JMW2|A0A803JMW2_XENTR Reverse transcriptase domain-containing protein OS=Xenopus tropicalis OX=8364 PE=4 SV=1</t>
        </is>
      </c>
      <c r="M10691" t="n">
        <v>1268</v>
      </c>
      <c r="N10691" t="inlineStr">
        <is>
          <t>Xenopus tropicalis</t>
        </is>
      </c>
      <c r="O10691" t="inlineStr">
        <is>
          <t>Reverse transcriptase domain-containing protein</t>
        </is>
      </c>
    </row>
    <row r="10692">
      <c r="A10692" t="inlineStr"/>
      <c r="B10692" t="inlineStr"/>
      <c r="C10692" t="inlineStr"/>
      <c r="D10692" t="inlineStr"/>
      <c r="E10692">
        <f>HYPERLINK("https://www.uniprot.org/uniprotkb/A0A8C5PNK2/entry", "A0A8C5PNK2")</f>
        <v/>
      </c>
      <c r="F10692" t="n">
        <v>40.3</v>
      </c>
      <c r="G10692" t="n">
        <v>144</v>
      </c>
      <c r="H10692" t="n">
        <v>2.47e-24</v>
      </c>
      <c r="I10692" t="inlineStr">
        <is>
          <t>TrEMBL</t>
        </is>
      </c>
      <c r="J10692" t="inlineStr"/>
      <c r="K10692" t="inlineStr">
        <is>
          <t>A0A8C5PNK2_9ANUR</t>
        </is>
      </c>
      <c r="L10692" t="inlineStr">
        <is>
          <t>tr|A0A8C5PNK2|A0A8C5PNK2_9ANUR Endo/exonuclease/phosphatase domain-containing protein OS=Leptobrachium leishanense OX=445787 PE=4 SV=1</t>
        </is>
      </c>
      <c r="M10692" t="n">
        <v>467</v>
      </c>
      <c r="N10692" t="inlineStr">
        <is>
          <t>Leptobrachium leishanense</t>
        </is>
      </c>
      <c r="O10692" t="inlineStr">
        <is>
          <t>Endo/exonuclease/phosphatase domain-containing protein</t>
        </is>
      </c>
    </row>
    <row r="10693">
      <c r="A10693" t="inlineStr"/>
      <c r="B10693" t="inlineStr"/>
      <c r="C10693" t="inlineStr"/>
      <c r="D10693" t="inlineStr"/>
      <c r="E10693">
        <f>HYPERLINK("https://www.uniprot.org/uniprotkb/A0A8C5MK55/entry", "A0A8C5MK55")</f>
        <v/>
      </c>
      <c r="F10693" t="n">
        <v>39.6</v>
      </c>
      <c r="G10693" t="n">
        <v>144</v>
      </c>
      <c r="H10693" t="n">
        <v>3.2e-24</v>
      </c>
      <c r="I10693" t="inlineStr">
        <is>
          <t>TrEMBL</t>
        </is>
      </c>
      <c r="J10693" t="inlineStr"/>
      <c r="K10693" t="inlineStr">
        <is>
          <t>A0A8C5MK55_9ANUR</t>
        </is>
      </c>
      <c r="L10693" t="inlineStr">
        <is>
          <t>tr|A0A8C5MK55|A0A8C5MK55_9ANUR Endo/exonuclease/phosphatase domain-containing protein OS=Leptobrachium leishanense OX=445787 PE=4 SV=1</t>
        </is>
      </c>
      <c r="M10693" t="n">
        <v>340</v>
      </c>
      <c r="N10693" t="inlineStr">
        <is>
          <t>Leptobrachium leishanense</t>
        </is>
      </c>
      <c r="O10693" t="inlineStr">
        <is>
          <t>Endo/exonuclease/phosphatase domain-containing protein</t>
        </is>
      </c>
    </row>
    <row r="10694">
      <c r="A10694" t="inlineStr"/>
      <c r="B10694" t="inlineStr"/>
      <c r="C10694" t="inlineStr"/>
      <c r="D10694" t="inlineStr"/>
      <c r="E10694">
        <f>HYPERLINK("https://www.uniprot.org/uniprotkb/A0A8C5N4V0/entry", "A0A8C5N4V0")</f>
        <v/>
      </c>
      <c r="F10694" t="n">
        <v>39.6</v>
      </c>
      <c r="G10694" t="n">
        <v>144</v>
      </c>
      <c r="H10694" t="n">
        <v>3.63e-24</v>
      </c>
      <c r="I10694" t="inlineStr">
        <is>
          <t>TrEMBL</t>
        </is>
      </c>
      <c r="J10694" t="inlineStr"/>
      <c r="K10694" t="inlineStr">
        <is>
          <t>A0A8C5N4V0_9ANUR</t>
        </is>
      </c>
      <c r="L10694" t="inlineStr">
        <is>
          <t>tr|A0A8C5N4V0|A0A8C5N4V0_9ANUR Endo/exonuclease/phosphatase domain-containing protein OS=Leptobrachium leishanense OX=445787 PE=4 SV=1</t>
        </is>
      </c>
      <c r="M10694" t="n">
        <v>476</v>
      </c>
      <c r="N10694" t="inlineStr">
        <is>
          <t>Leptobrachium leishanense</t>
        </is>
      </c>
      <c r="O10694" t="inlineStr">
        <is>
          <t>Endo/exonuclease/phosphatase domain-containing protein</t>
        </is>
      </c>
    </row>
    <row r="10695">
      <c r="A10695" t="inlineStr"/>
      <c r="B10695" t="inlineStr"/>
      <c r="C10695" t="inlineStr"/>
      <c r="D10695" t="inlineStr"/>
      <c r="E10695">
        <f>HYPERLINK("https://www.uniprot.org/uniprotkb/A0A8C5WCW4/entry", "A0A8C5WCW4")</f>
        <v/>
      </c>
      <c r="F10695" t="n">
        <v>38.9</v>
      </c>
      <c r="G10695" t="n">
        <v>144</v>
      </c>
      <c r="H10695" t="n">
        <v>4.91e-24</v>
      </c>
      <c r="I10695" t="inlineStr">
        <is>
          <t>TrEMBL</t>
        </is>
      </c>
      <c r="J10695" t="inlineStr"/>
      <c r="K10695" t="inlineStr">
        <is>
          <t>A0A8C5WCW4_9ANUR</t>
        </is>
      </c>
      <c r="L10695" t="inlineStr">
        <is>
          <t>tr|A0A8C5WCW4|A0A8C5WCW4_9ANUR Endo/exonuclease/phosphatase domain-containing protein OS=Leptobrachium leishanense OX=445787 PE=4 SV=1</t>
        </is>
      </c>
      <c r="M10695" t="n">
        <v>371</v>
      </c>
      <c r="N10695" t="inlineStr">
        <is>
          <t>Leptobrachium leishanense</t>
        </is>
      </c>
      <c r="O10695" t="inlineStr">
        <is>
          <t>Endo/exonuclease/phosphatase domain-containing protein</t>
        </is>
      </c>
    </row>
    <row r="10696">
      <c r="A10696" t="inlineStr"/>
      <c r="B10696" t="inlineStr"/>
      <c r="C10696" t="inlineStr"/>
      <c r="D10696" t="inlineStr"/>
      <c r="E10696">
        <f>HYPERLINK("https://www.uniprot.org/uniprotkb/A0A8C5WC05/entry", "A0A8C5WC05")</f>
        <v/>
      </c>
      <c r="F10696" t="n">
        <v>40.3</v>
      </c>
      <c r="G10696" t="n">
        <v>144</v>
      </c>
      <c r="H10696" t="n">
        <v>5.1e-24</v>
      </c>
      <c r="I10696" t="inlineStr">
        <is>
          <t>TrEMBL</t>
        </is>
      </c>
      <c r="J10696" t="inlineStr"/>
      <c r="K10696" t="inlineStr">
        <is>
          <t>A0A8C5WC05_9ANUR</t>
        </is>
      </c>
      <c r="L10696" t="inlineStr">
        <is>
          <t>tr|A0A8C5WC05|A0A8C5WC05_9ANUR Reverse transcriptase domain-containing protein OS=Leptobrachium leishanense OX=445787 PE=4 SV=1</t>
        </is>
      </c>
      <c r="M10696" t="n">
        <v>1266</v>
      </c>
      <c r="N10696" t="inlineStr">
        <is>
          <t>Leptobrachium leishanense</t>
        </is>
      </c>
      <c r="O10696" t="inlineStr">
        <is>
          <t>Reverse transcriptase domain-containing protein</t>
        </is>
      </c>
    </row>
    <row r="10697">
      <c r="A10697" t="inlineStr"/>
      <c r="B10697" t="inlineStr"/>
      <c r="C10697" t="inlineStr"/>
      <c r="D10697" t="inlineStr"/>
      <c r="E10697">
        <f>HYPERLINK("https://www.uniprot.org/uniprotkb/A0A8C5LXQ1/entry", "A0A8C5LXQ1")</f>
        <v/>
      </c>
      <c r="F10697" t="n">
        <v>40.3</v>
      </c>
      <c r="G10697" t="n">
        <v>144</v>
      </c>
      <c r="H10697" t="n">
        <v>5.58e-24</v>
      </c>
      <c r="I10697" t="inlineStr">
        <is>
          <t>TrEMBL</t>
        </is>
      </c>
      <c r="J10697" t="inlineStr"/>
      <c r="K10697" t="inlineStr">
        <is>
          <t>A0A8C5LXQ1_9ANUR</t>
        </is>
      </c>
      <c r="L10697" t="inlineStr">
        <is>
          <t>tr|A0A8C5LXQ1|A0A8C5LXQ1_9ANUR Endo/exonuclease/phosphatase domain-containing protein OS=Leptobrachium leishanense OX=445787 PE=4 SV=1</t>
        </is>
      </c>
      <c r="M10697" t="n">
        <v>494</v>
      </c>
      <c r="N10697" t="inlineStr">
        <is>
          <t>Leptobrachium leishanense</t>
        </is>
      </c>
      <c r="O10697" t="inlineStr">
        <is>
          <t>Endo/exonuclease/phosphatase domain-containing protein</t>
        </is>
      </c>
    </row>
    <row r="10698">
      <c r="A10698" t="inlineStr"/>
      <c r="B10698" t="inlineStr"/>
      <c r="C10698" t="inlineStr"/>
      <c r="D10698" t="inlineStr"/>
      <c r="E10698">
        <f>HYPERLINK("https://www.uniprot.org/uniprotkb/A0A8C5M1S0/entry", "A0A8C5M1S0")</f>
        <v/>
      </c>
      <c r="F10698" t="n">
        <v>39.6</v>
      </c>
      <c r="G10698" t="n">
        <v>144</v>
      </c>
      <c r="H10698" t="n">
        <v>6.5e-24</v>
      </c>
      <c r="I10698" t="inlineStr">
        <is>
          <t>TrEMBL</t>
        </is>
      </c>
      <c r="J10698" t="inlineStr"/>
      <c r="K10698" t="inlineStr">
        <is>
          <t>A0A8C5M1S0_9ANUR</t>
        </is>
      </c>
      <c r="L10698" t="inlineStr">
        <is>
          <t>tr|A0A8C5M1S0|A0A8C5M1S0_9ANUR Endo/exonuclease/phosphatase domain-containing protein OS=Leptobrachium leishanense OX=445787 PE=4 SV=1</t>
        </is>
      </c>
      <c r="M10698" t="n">
        <v>467</v>
      </c>
      <c r="N10698" t="inlineStr">
        <is>
          <t>Leptobrachium leishanense</t>
        </is>
      </c>
      <c r="O10698" t="inlineStr">
        <is>
          <t>Endo/exonuclease/phosphatase domain-containing protein</t>
        </is>
      </c>
    </row>
    <row r="10699">
      <c r="A10699" t="inlineStr"/>
      <c r="B10699" t="inlineStr"/>
      <c r="C10699" t="inlineStr"/>
      <c r="D10699" t="inlineStr"/>
      <c r="E10699">
        <f>HYPERLINK("https://www.uniprot.org/uniprotkb/A0A8C5M1J1/entry", "A0A8C5M1J1")</f>
        <v/>
      </c>
      <c r="F10699" t="n">
        <v>39.6</v>
      </c>
      <c r="G10699" t="n">
        <v>144</v>
      </c>
      <c r="H10699" t="n">
        <v>8.89e-24</v>
      </c>
      <c r="I10699" t="inlineStr">
        <is>
          <t>TrEMBL</t>
        </is>
      </c>
      <c r="J10699" t="inlineStr"/>
      <c r="K10699" t="inlineStr">
        <is>
          <t>A0A8C5M1J1_9ANUR</t>
        </is>
      </c>
      <c r="L10699" t="inlineStr">
        <is>
          <t>tr|A0A8C5M1J1|A0A8C5M1J1_9ANUR Reverse transcriptase domain-containing protein OS=Leptobrachium leishanense OX=445787 PE=4 SV=1</t>
        </is>
      </c>
      <c r="M10699" t="n">
        <v>711</v>
      </c>
      <c r="N10699" t="inlineStr">
        <is>
          <t>Leptobrachium leishanense</t>
        </is>
      </c>
      <c r="O10699" t="inlineStr">
        <is>
          <t>Reverse transcriptase domain-containing protein</t>
        </is>
      </c>
    </row>
    <row r="10700">
      <c r="A10700" t="inlineStr"/>
      <c r="B10700" t="inlineStr"/>
      <c r="C10700" t="inlineStr"/>
      <c r="D10700" t="inlineStr"/>
      <c r="E10700">
        <f>HYPERLINK("https://www.uniprot.org/uniprotkb/A0A8C5WHT6/entry", "A0A8C5WHT6")</f>
        <v/>
      </c>
      <c r="F10700" t="n">
        <v>39.6</v>
      </c>
      <c r="G10700" t="n">
        <v>144</v>
      </c>
      <c r="H10700" t="n">
        <v>9.48e-24</v>
      </c>
      <c r="I10700" t="inlineStr">
        <is>
          <t>TrEMBL</t>
        </is>
      </c>
      <c r="J10700" t="inlineStr"/>
      <c r="K10700" t="inlineStr">
        <is>
          <t>A0A8C5WHT6_9ANUR</t>
        </is>
      </c>
      <c r="L10700" t="inlineStr">
        <is>
          <t>tr|A0A8C5WHT6|A0A8C5WHT6_9ANUR Reverse transcriptase domain-containing protein OS=Leptobrachium leishanense OX=445787 PE=4 SV=1</t>
        </is>
      </c>
      <c r="M10700" t="n">
        <v>1266</v>
      </c>
      <c r="N10700" t="inlineStr">
        <is>
          <t>Leptobrachium leishanense</t>
        </is>
      </c>
      <c r="O10700" t="inlineStr">
        <is>
          <t>Reverse transcriptase domain-containing protein</t>
        </is>
      </c>
    </row>
    <row r="10701">
      <c r="A10701" t="inlineStr"/>
      <c r="B10701" t="inlineStr"/>
      <c r="C10701" t="inlineStr"/>
      <c r="D10701" t="inlineStr"/>
      <c r="E10701">
        <f>HYPERLINK("https://www.uniprot.org/uniprotkb/A0A8C5N2E9/entry", "A0A8C5N2E9")</f>
        <v/>
      </c>
      <c r="F10701" t="n">
        <v>39.6</v>
      </c>
      <c r="G10701" t="n">
        <v>144</v>
      </c>
      <c r="H10701" t="n">
        <v>1.29e-23</v>
      </c>
      <c r="I10701" t="inlineStr">
        <is>
          <t>TrEMBL</t>
        </is>
      </c>
      <c r="J10701" t="inlineStr"/>
      <c r="K10701" t="inlineStr">
        <is>
          <t>A0A8C5N2E9_9ANUR</t>
        </is>
      </c>
      <c r="L10701" t="inlineStr">
        <is>
          <t>tr|A0A8C5N2E9|A0A8C5N2E9_9ANUR Reverse transcriptase domain-containing protein OS=Leptobrachium leishanense OX=445787 PE=4 SV=1</t>
        </is>
      </c>
      <c r="M10701" t="n">
        <v>1266</v>
      </c>
      <c r="N10701" t="inlineStr">
        <is>
          <t>Leptobrachium leishanense</t>
        </is>
      </c>
      <c r="O10701" t="inlineStr">
        <is>
          <t>Reverse transcriptase domain-containing protein</t>
        </is>
      </c>
    </row>
    <row r="10702">
      <c r="A10702" t="inlineStr"/>
      <c r="B10702" t="inlineStr"/>
      <c r="C10702" t="inlineStr"/>
      <c r="D10702" t="inlineStr"/>
      <c r="E10702">
        <f>HYPERLINK("https://www.uniprot.org/uniprotkb/A0A8C2WBB2/entry", "A0A8C2WBB2")</f>
        <v/>
      </c>
      <c r="F10702" t="n">
        <v>38.2</v>
      </c>
      <c r="G10702" t="n">
        <v>144</v>
      </c>
      <c r="H10702" t="n">
        <v>1.31e-23</v>
      </c>
      <c r="I10702" t="inlineStr">
        <is>
          <t>TrEMBL</t>
        </is>
      </c>
      <c r="J10702" t="inlineStr"/>
      <c r="K10702" t="inlineStr">
        <is>
          <t>A0A8C2WBB2_CYCLU</t>
        </is>
      </c>
      <c r="L10702" t="inlineStr">
        <is>
          <t>tr|A0A8C2WBB2|A0A8C2WBB2_CYCLU Endo/exonuclease/phosphatase domain-containing protein OS=Cyclopterus lumpus OX=8103 PE=4 SV=1</t>
        </is>
      </c>
      <c r="M10702" t="n">
        <v>432</v>
      </c>
      <c r="N10702" t="inlineStr">
        <is>
          <t>Cyclopterus lumpus</t>
        </is>
      </c>
      <c r="O10702" t="inlineStr">
        <is>
          <t>Endo/exonuclease/phosphatase domain-containing protein</t>
        </is>
      </c>
    </row>
    <row r="10703">
      <c r="A10703" t="inlineStr"/>
      <c r="B10703" t="inlineStr"/>
      <c r="C10703" t="inlineStr"/>
      <c r="D10703" t="inlineStr"/>
      <c r="E10703">
        <f>HYPERLINK("https://www.uniprot.org/uniprotkb/P16423/entry", "P16423")</f>
        <v/>
      </c>
      <c r="F10703" t="n">
        <v>28.4</v>
      </c>
      <c r="G10703" t="n">
        <v>299</v>
      </c>
      <c r="H10703" t="n">
        <v>1.37e-23</v>
      </c>
      <c r="I10703" t="inlineStr">
        <is>
          <t>Swiss-Prot</t>
        </is>
      </c>
      <c r="J10703" t="inlineStr">
        <is>
          <t>pol</t>
        </is>
      </c>
      <c r="K10703" t="inlineStr">
        <is>
          <t>POLR_DROME</t>
        </is>
      </c>
      <c r="L10703" t="inlineStr">
        <is>
          <t>sp|P16423|POLR_DROME Retrovirus-related Pol polyprotein from type-2 retrotransposable element R2DM OS=Drosophila melanogaster OX=7227 GN=pol PE=4 SV=1</t>
        </is>
      </c>
      <c r="M10703" t="n">
        <v>1057</v>
      </c>
      <c r="N10703" t="inlineStr">
        <is>
          <t>Drosophila melanogaster</t>
        </is>
      </c>
      <c r="O10703" t="inlineStr">
        <is>
          <t>Retrovirus-related Pol polyprotein from type-2 retrotransposable element R2DM</t>
        </is>
      </c>
    </row>
    <row r="10704">
      <c r="A10704" t="inlineStr"/>
      <c r="B10704" t="inlineStr"/>
      <c r="C10704" t="inlineStr"/>
      <c r="D10704" t="inlineStr"/>
      <c r="E10704">
        <f>HYPERLINK("https://www.uniprot.org/uniprotkb/A0A8C5Q5N5/entry", "A0A8C5Q5N5")</f>
        <v/>
      </c>
      <c r="F10704" t="n">
        <v>39.6</v>
      </c>
      <c r="G10704" t="n">
        <v>144</v>
      </c>
      <c r="H10704" t="n">
        <v>2.3e-23</v>
      </c>
      <c r="I10704" t="inlineStr">
        <is>
          <t>TrEMBL</t>
        </is>
      </c>
      <c r="J10704" t="inlineStr"/>
      <c r="K10704" t="inlineStr">
        <is>
          <t>A0A8C5Q5N5_9ANUR</t>
        </is>
      </c>
      <c r="L10704" t="inlineStr">
        <is>
          <t>tr|A0A8C5Q5N5|A0A8C5Q5N5_9ANUR Reverse transcriptase domain-containing protein OS=Leptobrachium leishanense OX=445787 PE=4 SV=1</t>
        </is>
      </c>
      <c r="M10704" t="n">
        <v>802</v>
      </c>
      <c r="N10704" t="inlineStr">
        <is>
          <t>Leptobrachium leishanense</t>
        </is>
      </c>
      <c r="O10704" t="inlineStr">
        <is>
          <t>Reverse transcriptase domain-containing protein</t>
        </is>
      </c>
    </row>
    <row r="10705">
      <c r="A10705" t="inlineStr"/>
      <c r="B10705" t="inlineStr"/>
      <c r="C10705" t="inlineStr"/>
      <c r="D10705" t="inlineStr"/>
      <c r="E10705">
        <f>HYPERLINK("https://www.uniprot.org/uniprotkb/A0A8C5LTM8/entry", "A0A8C5LTM8")</f>
        <v/>
      </c>
      <c r="F10705" t="n">
        <v>39.6</v>
      </c>
      <c r="G10705" t="n">
        <v>144</v>
      </c>
      <c r="H10705" t="n">
        <v>2.31e-23</v>
      </c>
      <c r="I10705" t="inlineStr">
        <is>
          <t>TrEMBL</t>
        </is>
      </c>
      <c r="J10705" t="inlineStr"/>
      <c r="K10705" t="inlineStr">
        <is>
          <t>A0A8C5LTM8_9ANUR</t>
        </is>
      </c>
      <c r="L10705" t="inlineStr">
        <is>
          <t>tr|A0A8C5LTM8|A0A8C5LTM8_9ANUR Reverse transcriptase domain-containing protein OS=Leptobrachium leishanense OX=445787 PE=4 SV=1</t>
        </is>
      </c>
      <c r="M10705" t="n">
        <v>836</v>
      </c>
      <c r="N10705" t="inlineStr">
        <is>
          <t>Leptobrachium leishanense</t>
        </is>
      </c>
      <c r="O10705" t="inlineStr">
        <is>
          <t>Reverse transcriptase domain-containing protein</t>
        </is>
      </c>
    </row>
    <row r="10706">
      <c r="A10706" t="inlineStr"/>
      <c r="B10706" t="inlineStr"/>
      <c r="C10706" t="inlineStr"/>
      <c r="D10706" t="inlineStr"/>
      <c r="E10706">
        <f>HYPERLINK("https://www.uniprot.org/uniprotkb/A0A8C5WDE7/entry", "A0A8C5WDE7")</f>
        <v/>
      </c>
      <c r="F10706" t="n">
        <v>39.6</v>
      </c>
      <c r="G10706" t="n">
        <v>144</v>
      </c>
      <c r="H10706" t="n">
        <v>3.28e-23</v>
      </c>
      <c r="I10706" t="inlineStr">
        <is>
          <t>TrEMBL</t>
        </is>
      </c>
      <c r="J10706" t="inlineStr"/>
      <c r="K10706" t="inlineStr">
        <is>
          <t>A0A8C5WDE7_9ANUR</t>
        </is>
      </c>
      <c r="L10706" t="inlineStr">
        <is>
          <t>tr|A0A8C5WDE7|A0A8C5WDE7_9ANUR Reverse transcriptase domain-containing protein OS=Leptobrachium leishanense OX=445787 PE=4 SV=1</t>
        </is>
      </c>
      <c r="M10706" t="n">
        <v>1266</v>
      </c>
      <c r="N10706" t="inlineStr">
        <is>
          <t>Leptobrachium leishanense</t>
        </is>
      </c>
      <c r="O10706" t="inlineStr">
        <is>
          <t>Reverse transcriptase domain-containing protein</t>
        </is>
      </c>
    </row>
    <row r="10707">
      <c r="A10707" t="inlineStr"/>
      <c r="B10707" t="inlineStr"/>
      <c r="C10707" t="inlineStr"/>
      <c r="D10707" t="inlineStr"/>
      <c r="E10707">
        <f>HYPERLINK("https://www.uniprot.org/uniprotkb/A0A3P9KHC2/entry", "A0A3P9KHC2")</f>
        <v/>
      </c>
      <c r="F10707" t="n">
        <v>39.4</v>
      </c>
      <c r="G10707" t="n">
        <v>137</v>
      </c>
      <c r="H10707" t="n">
        <v>1.11e-22</v>
      </c>
      <c r="I10707" t="inlineStr">
        <is>
          <t>TrEMBL</t>
        </is>
      </c>
      <c r="J10707" t="inlineStr"/>
      <c r="K10707" t="inlineStr">
        <is>
          <t>A0A3P9KHC2_ORYLA</t>
        </is>
      </c>
      <c r="L10707" t="inlineStr">
        <is>
          <t>tr|A0A3P9KHC2|A0A3P9KHC2_ORYLA Endo/exonuclease/phosphatase domain-containing protein OS=Oryzias latipes OX=8090 PE=4 SV=1</t>
        </is>
      </c>
      <c r="M10707" t="n">
        <v>191</v>
      </c>
      <c r="N10707" t="inlineStr">
        <is>
          <t>Oryzias latipes</t>
        </is>
      </c>
      <c r="O10707" t="inlineStr">
        <is>
          <t>Endo/exonuclease/phosphatase domain-containing protein</t>
        </is>
      </c>
    </row>
    <row r="10708">
      <c r="A10708" t="inlineStr"/>
      <c r="B10708" t="inlineStr"/>
      <c r="C10708" t="inlineStr"/>
      <c r="D10708" t="inlineStr"/>
      <c r="E10708">
        <f>HYPERLINK("https://www.uniprot.org/uniprotkb/A0A8C5PPP5/entry", "A0A8C5PPP5")</f>
        <v/>
      </c>
      <c r="F10708" t="n">
        <v>36.7</v>
      </c>
      <c r="G10708" t="n">
        <v>139</v>
      </c>
      <c r="H10708" t="n">
        <v>1.76e-22</v>
      </c>
      <c r="I10708" t="inlineStr">
        <is>
          <t>TrEMBL</t>
        </is>
      </c>
      <c r="J10708" t="inlineStr"/>
      <c r="K10708" t="inlineStr">
        <is>
          <t>A0A8C5PPP5_9ANUR</t>
        </is>
      </c>
      <c r="L10708" t="inlineStr">
        <is>
          <t>tr|A0A8C5PPP5|A0A8C5PPP5_9ANUR Endo/exonuclease/phosphatase domain-containing protein OS=Leptobrachium leishanense OX=445787 PE=4 SV=1</t>
        </is>
      </c>
      <c r="M10708" t="n">
        <v>259</v>
      </c>
      <c r="N10708" t="inlineStr">
        <is>
          <t>Leptobrachium leishanense</t>
        </is>
      </c>
      <c r="O10708" t="inlineStr">
        <is>
          <t>Endo/exonuclease/phosphatase domain-containing protein</t>
        </is>
      </c>
    </row>
    <row r="10709">
      <c r="A10709" t="inlineStr"/>
      <c r="B10709" t="inlineStr"/>
      <c r="C10709" t="inlineStr"/>
      <c r="D10709" t="inlineStr"/>
      <c r="E10709">
        <f>HYPERLINK("https://www.uniprot.org/uniprotkb/A0A3Q1F2K2/entry", "A0A3Q1F2K2")</f>
        <v/>
      </c>
      <c r="F10709" t="n">
        <v>40.9</v>
      </c>
      <c r="G10709" t="n">
        <v>137</v>
      </c>
      <c r="H10709" t="n">
        <v>2.86e-22</v>
      </c>
      <c r="I10709" t="inlineStr">
        <is>
          <t>TrEMBL</t>
        </is>
      </c>
      <c r="J10709" t="inlineStr"/>
      <c r="K10709" t="inlineStr">
        <is>
          <t>A0A3Q1F2K2_9TELE</t>
        </is>
      </c>
      <c r="L10709" t="inlineStr">
        <is>
          <t>tr|A0A3Q1F2K2|A0A3Q1F2K2_9TELE Reverse transcriptase domain-containing protein OS=Acanthochromis polyacanthus OX=80966 PE=4 SV=1</t>
        </is>
      </c>
      <c r="M10709" t="n">
        <v>1254</v>
      </c>
      <c r="N10709" t="inlineStr">
        <is>
          <t>Acanthochromis polyacanthus</t>
        </is>
      </c>
      <c r="O10709" t="inlineStr">
        <is>
          <t>Reverse transcriptase domain-containing protein</t>
        </is>
      </c>
    </row>
    <row r="10710">
      <c r="A10710" t="inlineStr"/>
      <c r="B10710" t="inlineStr"/>
      <c r="C10710" t="inlineStr"/>
      <c r="D10710" t="inlineStr"/>
      <c r="E10710">
        <f>HYPERLINK("https://www.uniprot.org/uniprotkb/A0A803JHJ3/entry", "A0A803JHJ3")</f>
        <v/>
      </c>
      <c r="F10710" t="n">
        <v>39.4</v>
      </c>
      <c r="G10710" t="n">
        <v>137</v>
      </c>
      <c r="H10710" t="n">
        <v>2.96e-22</v>
      </c>
      <c r="I10710" t="inlineStr">
        <is>
          <t>TrEMBL</t>
        </is>
      </c>
      <c r="J10710" t="inlineStr"/>
      <c r="K10710" t="inlineStr">
        <is>
          <t>A0A803JHJ3_XENTR</t>
        </is>
      </c>
      <c r="L10710" t="inlineStr">
        <is>
          <t>tr|A0A803JHJ3|A0A803JHJ3_XENTR Endo/exonuclease/phosphatase domain-containing protein OS=Xenopus tropicalis OX=8364 PE=4 SV=1</t>
        </is>
      </c>
      <c r="M10710" t="n">
        <v>460</v>
      </c>
      <c r="N10710" t="inlineStr">
        <is>
          <t>Xenopus tropicalis</t>
        </is>
      </c>
      <c r="O10710" t="inlineStr">
        <is>
          <t>Endo/exonuclease/phosphatase domain-containing protein</t>
        </is>
      </c>
    </row>
    <row r="10711">
      <c r="A10711" t="inlineStr"/>
      <c r="B10711" t="inlineStr"/>
      <c r="C10711" t="inlineStr"/>
      <c r="D10711" t="inlineStr"/>
      <c r="E10711">
        <f>HYPERLINK("https://www.uniprot.org/uniprotkb/A0A803STM2/entry", "A0A803STM2")</f>
        <v/>
      </c>
      <c r="F10711" t="n">
        <v>41.4</v>
      </c>
      <c r="G10711" t="n">
        <v>140</v>
      </c>
      <c r="H10711" t="n">
        <v>3.06e-22</v>
      </c>
      <c r="I10711" t="inlineStr">
        <is>
          <t>TrEMBL</t>
        </is>
      </c>
      <c r="J10711" t="inlineStr"/>
      <c r="K10711" t="inlineStr">
        <is>
          <t>A0A803STM2_ANOCA</t>
        </is>
      </c>
      <c r="L10711" t="inlineStr">
        <is>
          <t>tr|A0A803STM2|A0A803STM2_ANOCA Endo/exonuclease/phosphatase domain-containing protein OS=Anolis carolinensis OX=28377 PE=4 SV=1</t>
        </is>
      </c>
      <c r="M10711" t="n">
        <v>386</v>
      </c>
      <c r="N10711" t="inlineStr">
        <is>
          <t>Anolis carolinensis</t>
        </is>
      </c>
      <c r="O10711" t="inlineStr">
        <is>
          <t>Endo/exonuclease/phosphatase domain-containing protein</t>
        </is>
      </c>
    </row>
    <row r="10712">
      <c r="A10712" t="inlineStr"/>
      <c r="B10712" t="inlineStr"/>
      <c r="C10712" t="inlineStr"/>
      <c r="D10712" t="inlineStr"/>
      <c r="E10712">
        <f>HYPERLINK("https://www.uniprot.org/uniprotkb/P21329/entry", "P21329")</f>
        <v/>
      </c>
      <c r="F10712" t="n">
        <v>25.7</v>
      </c>
      <c r="G10712" t="n">
        <v>381</v>
      </c>
      <c r="H10712" t="n">
        <v>1.33e-21</v>
      </c>
      <c r="I10712" t="inlineStr">
        <is>
          <t>Swiss-Prot</t>
        </is>
      </c>
      <c r="J10712" t="inlineStr">
        <is>
          <t>jockey\pol</t>
        </is>
      </c>
      <c r="K10712" t="inlineStr">
        <is>
          <t>RTJK_DROFU</t>
        </is>
      </c>
      <c r="L10712" t="inlineStr">
        <is>
          <t>sp|P21329|RTJK_DROFU RNA-directed DNA polymerase from mobile element jockey OS=Drosophila funebris OX=7221 GN=jockey\pol PE=1 SV=1</t>
        </is>
      </c>
      <c r="M10712" t="n">
        <v>916</v>
      </c>
      <c r="N10712" t="inlineStr">
        <is>
          <t>Drosophila funebris</t>
        </is>
      </c>
      <c r="O10712" t="inlineStr">
        <is>
          <t>RNA-directed DNA polymerase from mobile element jockey</t>
        </is>
      </c>
    </row>
    <row r="10713">
      <c r="A10713" t="inlineStr"/>
      <c r="B10713" t="inlineStr"/>
      <c r="C10713" t="inlineStr"/>
      <c r="D10713" t="inlineStr"/>
      <c r="E10713">
        <f>HYPERLINK("https://www.ncbi.nlm.nih.gov/gene/?term=CAI5685855.1", "CAI5685855.1")</f>
        <v/>
      </c>
      <c r="F10713" t="n">
        <v>38.8</v>
      </c>
      <c r="G10713" t="n">
        <v>147</v>
      </c>
      <c r="H10713" t="n">
        <v>1.86e-21</v>
      </c>
      <c r="I10713" t="inlineStr">
        <is>
          <t>Nr</t>
        </is>
      </c>
      <c r="J10713" t="inlineStr"/>
      <c r="K10713" t="inlineStr"/>
      <c r="L10713" t="inlineStr">
        <is>
          <t>CAI5685855.1 unnamed protein product [Mustela putorius furo]</t>
        </is>
      </c>
      <c r="M10713" t="n">
        <v>1267</v>
      </c>
      <c r="N10713" t="inlineStr">
        <is>
          <t>Mustela putorius furo</t>
        </is>
      </c>
      <c r="O10713" t="inlineStr">
        <is>
          <t>unnamed protein product</t>
        </is>
      </c>
    </row>
    <row r="10714">
      <c r="A10714" t="inlineStr"/>
      <c r="B10714" t="inlineStr"/>
      <c r="C10714" t="inlineStr"/>
      <c r="D10714" t="inlineStr"/>
      <c r="E10714">
        <f>HYPERLINK("https://www.ncbi.nlm.nih.gov/gene/?term=ACO51577.1", "ACO51577.1")</f>
        <v/>
      </c>
      <c r="F10714" t="n">
        <v>36.7</v>
      </c>
      <c r="G10714" t="n">
        <v>139</v>
      </c>
      <c r="H10714" t="n">
        <v>2.65e-21</v>
      </c>
      <c r="I10714" t="inlineStr">
        <is>
          <t>Nr</t>
        </is>
      </c>
      <c r="J10714" t="inlineStr"/>
      <c r="K10714" t="inlineStr"/>
      <c r="L10714" t="inlineStr">
        <is>
          <t>ACO51577.1 Retrovirus-related Pol polyprotein LINE-1 [Lithobates catesbeianus]</t>
        </is>
      </c>
      <c r="M10714" t="n">
        <v>156</v>
      </c>
      <c r="N10714" t="inlineStr">
        <is>
          <t>Lithobates catesbeianus</t>
        </is>
      </c>
      <c r="O10714" t="inlineStr">
        <is>
          <t>Retrovirus-related Pol polyprotein LINE-1</t>
        </is>
      </c>
    </row>
    <row r="10715">
      <c r="A10715" t="inlineStr"/>
      <c r="B10715" t="inlineStr"/>
      <c r="C10715" t="inlineStr"/>
      <c r="D10715" t="inlineStr"/>
      <c r="E10715">
        <f>HYPERLINK("https://www.ncbi.nlm.nih.gov/gene/?term=OCT86463.1", "OCT86463.1")</f>
        <v/>
      </c>
      <c r="F10715" t="n">
        <v>38</v>
      </c>
      <c r="G10715" t="n">
        <v>137</v>
      </c>
      <c r="H10715" t="n">
        <v>4.53e-21</v>
      </c>
      <c r="I10715" t="inlineStr">
        <is>
          <t>Nr</t>
        </is>
      </c>
      <c r="J10715" t="inlineStr"/>
      <c r="K10715" t="inlineStr"/>
      <c r="L10715" t="inlineStr">
        <is>
          <t>OCT86463.1 hypothetical protein XELAEV_18020146mg [Xenopus laevis]</t>
        </is>
      </c>
      <c r="M10715" t="n">
        <v>822</v>
      </c>
      <c r="N10715" t="inlineStr">
        <is>
          <t>Xenopus laevis</t>
        </is>
      </c>
      <c r="O10715" t="inlineStr">
        <is>
          <t>hypothetical protein XELAEV_18020146mg</t>
        </is>
      </c>
    </row>
    <row r="10716">
      <c r="A10716" t="inlineStr"/>
      <c r="B10716" t="inlineStr"/>
      <c r="C10716" t="inlineStr"/>
      <c r="D10716" t="inlineStr"/>
      <c r="E10716">
        <f>HYPERLINK("https://www.ncbi.nlm.nih.gov/gene/?term=OCT72159.1", "OCT72159.1")</f>
        <v/>
      </c>
      <c r="F10716" t="n">
        <v>35.8</v>
      </c>
      <c r="G10716" t="n">
        <v>137</v>
      </c>
      <c r="H10716" t="n">
        <v>1.29e-20</v>
      </c>
      <c r="I10716" t="inlineStr">
        <is>
          <t>Nr</t>
        </is>
      </c>
      <c r="J10716" t="inlineStr"/>
      <c r="K10716" t="inlineStr"/>
      <c r="L10716" t="inlineStr">
        <is>
          <t>OCT72159.1 hypothetical protein XELAEV_18035126mg [Xenopus laevis]</t>
        </is>
      </c>
      <c r="M10716" t="n">
        <v>371</v>
      </c>
      <c r="N10716" t="inlineStr">
        <is>
          <t>Xenopus laevis</t>
        </is>
      </c>
      <c r="O10716" t="inlineStr">
        <is>
          <t>hypothetical protein XELAEV_18035126mg</t>
        </is>
      </c>
    </row>
    <row r="10717">
      <c r="A10717" t="inlineStr"/>
      <c r="B10717" t="inlineStr"/>
      <c r="C10717" t="inlineStr"/>
      <c r="D10717" t="inlineStr"/>
      <c r="E10717">
        <f>HYPERLINK("https://www.ncbi.nlm.nih.gov/gene/?term=OCT99674.1", "OCT99674.1")</f>
        <v/>
      </c>
      <c r="F10717" t="n">
        <v>40.6</v>
      </c>
      <c r="G10717" t="n">
        <v>138</v>
      </c>
      <c r="H10717" t="n">
        <v>2.16e-20</v>
      </c>
      <c r="I10717" t="inlineStr">
        <is>
          <t>Nr</t>
        </is>
      </c>
      <c r="J10717" t="inlineStr"/>
      <c r="K10717" t="inlineStr"/>
      <c r="L10717" t="inlineStr">
        <is>
          <t>OCT99674.1 hypothetical protein XELAEV_18005457mg [Xenopus laevis]</t>
        </is>
      </c>
      <c r="M10717" t="n">
        <v>431</v>
      </c>
      <c r="N10717" t="inlineStr">
        <is>
          <t>Xenopus laevis</t>
        </is>
      </c>
      <c r="O10717" t="inlineStr">
        <is>
          <t>hypothetical protein XELAEV_18005457mg</t>
        </is>
      </c>
    </row>
    <row r="10718">
      <c r="A10718" t="inlineStr"/>
      <c r="B10718" t="inlineStr"/>
      <c r="C10718" t="inlineStr"/>
      <c r="D10718" t="inlineStr"/>
      <c r="E10718">
        <f>HYPERLINK("https://www.ncbi.nlm.nih.gov/gene/?term=KAG8550417.1", "KAG8550417.1")</f>
        <v/>
      </c>
      <c r="F10718" t="n">
        <v>38</v>
      </c>
      <c r="G10718" t="n">
        <v>137</v>
      </c>
      <c r="H10718" t="n">
        <v>1.93e-19</v>
      </c>
      <c r="I10718" t="inlineStr">
        <is>
          <t>Nr</t>
        </is>
      </c>
      <c r="J10718" t="inlineStr"/>
      <c r="K10718" t="inlineStr"/>
      <c r="L10718" t="inlineStr">
        <is>
          <t>KAG8550417.1 hypothetical protein GDO81_026131 [Engystomops pustulosus]</t>
        </is>
      </c>
      <c r="M10718" t="n">
        <v>148</v>
      </c>
      <c r="N10718" t="inlineStr">
        <is>
          <t>Engystomops pustulosus</t>
        </is>
      </c>
      <c r="O10718" t="inlineStr">
        <is>
          <t>hypothetical protein GDO81_026131</t>
        </is>
      </c>
    </row>
    <row r="10719">
      <c r="A10719" t="inlineStr"/>
      <c r="B10719" t="inlineStr"/>
      <c r="C10719" t="inlineStr"/>
      <c r="D10719" t="inlineStr"/>
      <c r="E10719">
        <f>HYPERLINK("https://www.ncbi.nlm.nih.gov/gene/?term=KAJ0022356.1", "KAJ0022356.1")</f>
        <v/>
      </c>
      <c r="F10719" t="n">
        <v>38</v>
      </c>
      <c r="G10719" t="n">
        <v>137</v>
      </c>
      <c r="H10719" t="n">
        <v>2.51e-19</v>
      </c>
      <c r="I10719" t="inlineStr">
        <is>
          <t>Nr</t>
        </is>
      </c>
      <c r="J10719" t="inlineStr"/>
      <c r="K10719" t="inlineStr"/>
      <c r="L10719" t="inlineStr">
        <is>
          <t>KAJ0022356.1 hypothetical protein NQD34_009846 [Periophthalmus magnuspinnatus]</t>
        </is>
      </c>
      <c r="M10719" t="n">
        <v>235</v>
      </c>
      <c r="N10719" t="inlineStr">
        <is>
          <t>Periophthalmus magnuspinnatus</t>
        </is>
      </c>
      <c r="O10719" t="inlineStr">
        <is>
          <t>hypothetical protein NQD34_009846</t>
        </is>
      </c>
    </row>
    <row r="10720">
      <c r="A10720" t="inlineStr"/>
      <c r="B10720" t="inlineStr"/>
      <c r="C10720" t="inlineStr"/>
      <c r="D10720" t="inlineStr"/>
      <c r="E10720">
        <f>HYPERLINK("https://www.ncbi.nlm.nih.gov/gene/?term=PIO40409.1", "PIO40409.1")</f>
        <v/>
      </c>
      <c r="F10720" t="n">
        <v>37.6</v>
      </c>
      <c r="G10720" t="n">
        <v>141</v>
      </c>
      <c r="H10720" t="n">
        <v>3.43e-19</v>
      </c>
      <c r="I10720" t="inlineStr">
        <is>
          <t>Nr</t>
        </is>
      </c>
      <c r="J10720" t="inlineStr"/>
      <c r="K10720" t="inlineStr"/>
      <c r="L10720" t="inlineStr">
        <is>
          <t>PIO40409.1 hypothetical protein AB205_0134110 [Lithobates catesbeianus]</t>
        </is>
      </c>
      <c r="M10720" t="n">
        <v>411</v>
      </c>
      <c r="N10720" t="inlineStr">
        <is>
          <t>Lithobates catesbeianus</t>
        </is>
      </c>
      <c r="O10720" t="inlineStr">
        <is>
          <t>hypothetical protein AB205_0134110</t>
        </is>
      </c>
    </row>
    <row r="10721">
      <c r="A10721" t="inlineStr"/>
      <c r="B10721" t="inlineStr"/>
      <c r="C10721" t="inlineStr"/>
      <c r="D10721" t="inlineStr"/>
      <c r="E10721">
        <f>HYPERLINK("https://www.ncbi.nlm.nih.gov/gene/?term=KAF2374899.1", "KAF2374899.1")</f>
        <v/>
      </c>
      <c r="F10721" t="n">
        <v>35.9</v>
      </c>
      <c r="G10721" t="n">
        <v>131</v>
      </c>
      <c r="H10721" t="n">
        <v>4.26e-19</v>
      </c>
      <c r="I10721" t="inlineStr">
        <is>
          <t>Nr</t>
        </is>
      </c>
      <c r="J10721" t="inlineStr"/>
      <c r="K10721" t="inlineStr"/>
      <c r="L10721" t="inlineStr">
        <is>
          <t>KAF2374899.1 hypothetical protein BSN81_16695, partial [Acinetobacter baylyi]</t>
        </is>
      </c>
      <c r="M10721" t="n">
        <v>152</v>
      </c>
      <c r="N10721" t="inlineStr">
        <is>
          <t>Acinetobacter baylyi</t>
        </is>
      </c>
      <c r="O10721" t="inlineStr">
        <is>
          <t>hypothetical protein BSN81_16695, partial</t>
        </is>
      </c>
    </row>
    <row r="10722">
      <c r="A10722" t="inlineStr"/>
      <c r="B10722" t="inlineStr"/>
      <c r="C10722" t="inlineStr"/>
      <c r="D10722" t="inlineStr"/>
      <c r="E10722">
        <f>HYPERLINK("https://www.ncbi.nlm.nih.gov/gene/?term=CAI5668015.1", "CAI5668015.1")</f>
        <v/>
      </c>
      <c r="F10722" t="n">
        <v>35.8</v>
      </c>
      <c r="G10722" t="n">
        <v>137</v>
      </c>
      <c r="H10722" t="n">
        <v>6.67e-19</v>
      </c>
      <c r="I10722" t="inlineStr">
        <is>
          <t>Nr</t>
        </is>
      </c>
      <c r="J10722" t="inlineStr"/>
      <c r="K10722" t="inlineStr"/>
      <c r="L10722" t="inlineStr">
        <is>
          <t>CAI5668015.1 unnamed protein product [Mustela putorius furo]</t>
        </is>
      </c>
      <c r="M10722" t="n">
        <v>1180</v>
      </c>
      <c r="N10722" t="inlineStr">
        <is>
          <t>Mustela putorius furo</t>
        </is>
      </c>
      <c r="O10722" t="inlineStr">
        <is>
          <t>unnamed protein product</t>
        </is>
      </c>
    </row>
    <row r="10723">
      <c r="A10723" t="inlineStr"/>
      <c r="B10723" t="inlineStr"/>
      <c r="C10723" t="inlineStr"/>
      <c r="D10723" t="inlineStr"/>
      <c r="E10723">
        <f>HYPERLINK("https://www.ncbi.nlm.nih.gov/gene/?term=KAA0723022.1", "KAA0723022.1")</f>
        <v/>
      </c>
      <c r="F10723" t="n">
        <v>33.6</v>
      </c>
      <c r="G10723" t="n">
        <v>137</v>
      </c>
      <c r="H10723" t="n">
        <v>6.71e-19</v>
      </c>
      <c r="I10723" t="inlineStr">
        <is>
          <t>Nr</t>
        </is>
      </c>
      <c r="J10723" t="inlineStr"/>
      <c r="K10723" t="inlineStr"/>
      <c r="L10723" t="inlineStr">
        <is>
          <t>KAA0723022.1 LINE-1 reverse transcriptase -like protein [Triplophysa tibetana]</t>
        </is>
      </c>
      <c r="M10723" t="n">
        <v>1273</v>
      </c>
      <c r="N10723" t="inlineStr">
        <is>
          <t>Triplophysa tibetana</t>
        </is>
      </c>
      <c r="O10723" t="inlineStr">
        <is>
          <t>LINE-1 reverse transcriptase -like protein</t>
        </is>
      </c>
    </row>
    <row r="10724">
      <c r="A10724" t="inlineStr"/>
      <c r="B10724" t="inlineStr"/>
      <c r="C10724" t="inlineStr"/>
      <c r="D10724" t="inlineStr"/>
      <c r="E10724">
        <f>HYPERLINK("https://www.ncbi.nlm.nih.gov/gene/?term=KAA0709662.1", "KAA0709662.1")</f>
        <v/>
      </c>
      <c r="F10724" t="n">
        <v>33.6</v>
      </c>
      <c r="G10724" t="n">
        <v>137</v>
      </c>
      <c r="H10724" t="n">
        <v>6.71e-19</v>
      </c>
      <c r="I10724" t="inlineStr">
        <is>
          <t>Nr</t>
        </is>
      </c>
      <c r="J10724" t="inlineStr"/>
      <c r="K10724" t="inlineStr"/>
      <c r="L10724" t="inlineStr">
        <is>
          <t>KAA0709662.1 LINE-1 reverse transcriptase -like protein [Triplophysa tibetana]</t>
        </is>
      </c>
      <c r="M10724" t="n">
        <v>1273</v>
      </c>
      <c r="N10724" t="inlineStr">
        <is>
          <t>Triplophysa tibetana</t>
        </is>
      </c>
      <c r="O10724" t="inlineStr">
        <is>
          <t>LINE-1 reverse transcriptase -like protein</t>
        </is>
      </c>
    </row>
    <row r="10725">
      <c r="A10725" t="inlineStr"/>
      <c r="B10725" t="inlineStr"/>
      <c r="C10725" t="inlineStr"/>
      <c r="D10725" t="inlineStr"/>
      <c r="E10725">
        <f>HYPERLINK("https://www.ncbi.nlm.nih.gov/gene/?term=KAA0701525.1", "KAA0701525.1")</f>
        <v/>
      </c>
      <c r="F10725" t="n">
        <v>33.6</v>
      </c>
      <c r="G10725" t="n">
        <v>137</v>
      </c>
      <c r="H10725" t="n">
        <v>6.71e-19</v>
      </c>
      <c r="I10725" t="inlineStr">
        <is>
          <t>Nr</t>
        </is>
      </c>
      <c r="J10725" t="inlineStr"/>
      <c r="K10725" t="inlineStr"/>
      <c r="L10725" t="inlineStr">
        <is>
          <t>KAA0701525.1 LINE-1 reverse transcriptase -like protein [Triplophysa tibetana]</t>
        </is>
      </c>
      <c r="M10725" t="n">
        <v>1273</v>
      </c>
      <c r="N10725" t="inlineStr">
        <is>
          <t>Triplophysa tibetana</t>
        </is>
      </c>
      <c r="O10725" t="inlineStr">
        <is>
          <t>LINE-1 reverse transcriptase -like protein</t>
        </is>
      </c>
    </row>
    <row r="10726">
      <c r="A10726" t="inlineStr"/>
      <c r="B10726" t="inlineStr"/>
      <c r="C10726" t="inlineStr"/>
      <c r="D10726" t="inlineStr"/>
      <c r="E10726">
        <f>HYPERLINK("https://www.ncbi.nlm.nih.gov/gene/?term=CAI5681772.1", "CAI5681772.1")</f>
        <v/>
      </c>
      <c r="F10726" t="n">
        <v>35.8</v>
      </c>
      <c r="G10726" t="n">
        <v>137</v>
      </c>
      <c r="H10726" t="n">
        <v>6.71e-19</v>
      </c>
      <c r="I10726" t="inlineStr">
        <is>
          <t>Nr</t>
        </is>
      </c>
      <c r="J10726" t="inlineStr"/>
      <c r="K10726" t="inlineStr"/>
      <c r="L10726" t="inlineStr">
        <is>
          <t>CAI5681772.1 unnamed protein product [Mustela putorius furo]</t>
        </is>
      </c>
      <c r="M10726" t="n">
        <v>1273</v>
      </c>
      <c r="N10726" t="inlineStr">
        <is>
          <t>Mustela putorius furo</t>
        </is>
      </c>
      <c r="O10726" t="inlineStr">
        <is>
          <t>unnamed protein product</t>
        </is>
      </c>
    </row>
    <row r="10727">
      <c r="A10727" t="inlineStr"/>
      <c r="B10727" t="inlineStr"/>
      <c r="C10727" t="inlineStr"/>
      <c r="D10727" t="inlineStr"/>
      <c r="E10727">
        <f>HYPERLINK("https://www.ncbi.nlm.nih.gov/gene/?term=CAI5680005.1", "CAI5680005.1")</f>
        <v/>
      </c>
      <c r="F10727" t="n">
        <v>35.8</v>
      </c>
      <c r="G10727" t="n">
        <v>137</v>
      </c>
      <c r="H10727" t="n">
        <v>6.71e-19</v>
      </c>
      <c r="I10727" t="inlineStr">
        <is>
          <t>Nr</t>
        </is>
      </c>
      <c r="J10727" t="inlineStr"/>
      <c r="K10727" t="inlineStr"/>
      <c r="L10727" t="inlineStr">
        <is>
          <t>CAI5680005.1 unnamed protein product [Mustela putorius furo]</t>
        </is>
      </c>
      <c r="M10727" t="n">
        <v>1273</v>
      </c>
      <c r="N10727" t="inlineStr">
        <is>
          <t>Mustela putorius furo</t>
        </is>
      </c>
      <c r="O10727" t="inlineStr">
        <is>
          <t>unnamed protein product</t>
        </is>
      </c>
    </row>
    <row r="10728">
      <c r="A10728" t="inlineStr"/>
      <c r="B10728" t="inlineStr"/>
      <c r="C10728" t="inlineStr"/>
      <c r="D10728" t="inlineStr"/>
      <c r="E10728">
        <f>HYPERLINK("https://www.ncbi.nlm.nih.gov/gene/?term=WP_216072239.1", "WP_216072239.1")</f>
        <v/>
      </c>
      <c r="F10728" t="n">
        <v>35.9</v>
      </c>
      <c r="G10728" t="n">
        <v>131</v>
      </c>
      <c r="H10728" t="n">
        <v>6.97e-19</v>
      </c>
      <c r="I10728" t="inlineStr">
        <is>
          <t>Nr</t>
        </is>
      </c>
      <c r="J10728" t="inlineStr"/>
      <c r="K10728" t="inlineStr"/>
      <c r="L10728" t="inlineStr">
        <is>
          <t>WP_216072239.1 endonuclease/exonuclease/phosphatase family protein, partial [Acinetobacter baylyi]</t>
        </is>
      </c>
      <c r="M10728" t="n">
        <v>172</v>
      </c>
      <c r="N10728" t="inlineStr">
        <is>
          <t>Acinetobacter baylyi</t>
        </is>
      </c>
      <c r="O10728" t="inlineStr">
        <is>
          <t>endonuclease/exonuclease/phosphatase family protein, partial</t>
        </is>
      </c>
    </row>
    <row r="10729">
      <c r="A10729" t="inlineStr"/>
      <c r="B10729" t="inlineStr"/>
      <c r="C10729" t="inlineStr"/>
      <c r="D10729" t="inlineStr"/>
      <c r="E10729">
        <f>HYPERLINK("https://www.ncbi.nlm.nih.gov/gene/?term=CAI5667737.1", "CAI5667737.1")</f>
        <v/>
      </c>
      <c r="F10729" t="n">
        <v>35.5</v>
      </c>
      <c r="G10729" t="n">
        <v>141</v>
      </c>
      <c r="H10729" t="n">
        <v>9.139999999999999e-19</v>
      </c>
      <c r="I10729" t="inlineStr">
        <is>
          <t>Nr</t>
        </is>
      </c>
      <c r="J10729" t="inlineStr"/>
      <c r="K10729" t="inlineStr"/>
      <c r="L10729" t="inlineStr">
        <is>
          <t>CAI5667737.1 unnamed protein product [Mustela putorius furo]</t>
        </is>
      </c>
      <c r="M10729" t="n">
        <v>1271</v>
      </c>
      <c r="N10729" t="inlineStr">
        <is>
          <t>Mustela putorius furo</t>
        </is>
      </c>
      <c r="O10729" t="inlineStr">
        <is>
          <t>unnamed protein product</t>
        </is>
      </c>
    </row>
    <row r="10730">
      <c r="A10730" t="inlineStr"/>
      <c r="B10730" t="inlineStr"/>
      <c r="C10730" t="inlineStr"/>
      <c r="D10730" t="inlineStr"/>
      <c r="E10730">
        <f>HYPERLINK("https://www.ncbi.nlm.nih.gov/gene/?term=CAI5655336.1", "CAI5655336.1")</f>
        <v/>
      </c>
      <c r="F10730" t="n">
        <v>35.8</v>
      </c>
      <c r="G10730" t="n">
        <v>137</v>
      </c>
      <c r="H10730" t="n">
        <v>9.139999999999999e-19</v>
      </c>
      <c r="I10730" t="inlineStr">
        <is>
          <t>Nr</t>
        </is>
      </c>
      <c r="J10730" t="inlineStr"/>
      <c r="K10730" t="inlineStr"/>
      <c r="L10730" t="inlineStr">
        <is>
          <t>CAI5655336.1 unnamed protein product [Mustela putorius furo]</t>
        </is>
      </c>
      <c r="M10730" t="n">
        <v>1273</v>
      </c>
      <c r="N10730" t="inlineStr">
        <is>
          <t>Mustela putorius furo</t>
        </is>
      </c>
      <c r="O10730" t="inlineStr">
        <is>
          <t>unnamed protein product</t>
        </is>
      </c>
    </row>
    <row r="10731">
      <c r="A10731" t="inlineStr"/>
      <c r="B10731" t="inlineStr"/>
      <c r="C10731" t="inlineStr"/>
      <c r="D10731" t="inlineStr"/>
      <c r="E10731">
        <f>HYPERLINK("https://www.ncbi.nlm.nih.gov/gene/?term=CAH2330160.1", "CAH2330160.1")</f>
        <v/>
      </c>
      <c r="F10731" t="n">
        <v>38.3</v>
      </c>
      <c r="G10731" t="n">
        <v>120</v>
      </c>
      <c r="H10731" t="n">
        <v>1.04e-18</v>
      </c>
      <c r="I10731" t="inlineStr">
        <is>
          <t>Nr</t>
        </is>
      </c>
      <c r="J10731" t="inlineStr"/>
      <c r="K10731" t="inlineStr"/>
      <c r="L10731" t="inlineStr">
        <is>
          <t>CAH2330160.1 Hypothetical predicted protein, partial [Pelobates cultripes]</t>
        </is>
      </c>
      <c r="M10731" t="n">
        <v>120</v>
      </c>
      <c r="N10731" t="inlineStr">
        <is>
          <t>Pelobates cultripes</t>
        </is>
      </c>
      <c r="O10731" t="inlineStr">
        <is>
          <t>Hypothetical predicted protein, partial</t>
        </is>
      </c>
    </row>
    <row r="10732">
      <c r="A10732" t="inlineStr"/>
      <c r="B10732" t="inlineStr"/>
      <c r="C10732" t="inlineStr"/>
      <c r="D10732" t="inlineStr"/>
      <c r="E10732">
        <f>HYPERLINK("https://www.ncbi.nlm.nih.gov/gene/?term=XP_040197552.1", "XP_040197552.1")</f>
        <v/>
      </c>
      <c r="F10732" t="n">
        <v>38.6</v>
      </c>
      <c r="G10732" t="n">
        <v>140</v>
      </c>
      <c r="H10732" t="n">
        <v>2.32e-18</v>
      </c>
      <c r="I10732" t="inlineStr">
        <is>
          <t>Nr</t>
        </is>
      </c>
      <c r="J10732" t="inlineStr"/>
      <c r="K10732" t="inlineStr"/>
      <c r="L10732" t="inlineStr">
        <is>
          <t>XP_040197552.1 sulfate transporter-like [Rana temporaria]</t>
        </is>
      </c>
      <c r="M10732" t="n">
        <v>1289</v>
      </c>
      <c r="N10732" t="inlineStr">
        <is>
          <t>Rana temporaria</t>
        </is>
      </c>
      <c r="O10732" t="inlineStr">
        <is>
          <t>sulfate transporter-like</t>
        </is>
      </c>
    </row>
    <row r="10733">
      <c r="A10733" t="inlineStr"/>
      <c r="B10733" t="inlineStr"/>
      <c r="C10733" t="inlineStr"/>
      <c r="D10733" t="inlineStr"/>
      <c r="E10733">
        <f>HYPERLINK("https://www.ncbi.nlm.nih.gov/gene/?term=KAJ0033658.1", "KAJ0033658.1")</f>
        <v/>
      </c>
      <c r="F10733" t="n">
        <v>33.8</v>
      </c>
      <c r="G10733" t="n">
        <v>145</v>
      </c>
      <c r="H10733" t="n">
        <v>2.38e-18</v>
      </c>
      <c r="I10733" t="inlineStr">
        <is>
          <t>Nr</t>
        </is>
      </c>
      <c r="J10733" t="inlineStr"/>
      <c r="K10733" t="inlineStr"/>
      <c r="L10733" t="inlineStr">
        <is>
          <t>KAJ0033658.1 hypothetical protein NQD34_000765 [Periophthalmus magnuspinnatus]</t>
        </is>
      </c>
      <c r="M10733" t="n">
        <v>412</v>
      </c>
      <c r="N10733" t="inlineStr">
        <is>
          <t>Periophthalmus magnuspinnatus</t>
        </is>
      </c>
      <c r="O10733" t="inlineStr">
        <is>
          <t>hypothetical protein NQD34_000765</t>
        </is>
      </c>
    </row>
    <row r="10734">
      <c r="A10734" t="inlineStr"/>
      <c r="B10734" t="inlineStr"/>
      <c r="C10734" t="inlineStr"/>
      <c r="D10734" t="inlineStr"/>
      <c r="E10734">
        <f>HYPERLINK("https://www.ncbi.nlm.nih.gov/gene/?term=OCT94959.1", "OCT94959.1")</f>
        <v/>
      </c>
      <c r="F10734" t="n">
        <v>35.2</v>
      </c>
      <c r="G10734" t="n">
        <v>125</v>
      </c>
      <c r="H10734" t="n">
        <v>9.870000000000001e-18</v>
      </c>
      <c r="I10734" t="inlineStr">
        <is>
          <t>Nr</t>
        </is>
      </c>
      <c r="J10734" t="inlineStr"/>
      <c r="K10734" t="inlineStr"/>
      <c r="L10734" t="inlineStr">
        <is>
          <t>OCT94959.1 hypothetical protein XELAEV_18012643mg [Xenopus laevis]</t>
        </is>
      </c>
      <c r="M10734" t="n">
        <v>385</v>
      </c>
      <c r="N10734" t="inlineStr">
        <is>
          <t>Xenopus laevis</t>
        </is>
      </c>
      <c r="O10734" t="inlineStr">
        <is>
          <t>hypothetical protein XELAEV_18012643mg</t>
        </is>
      </c>
    </row>
    <row r="10735">
      <c r="A10735" t="inlineStr"/>
      <c r="B10735" t="inlineStr"/>
      <c r="C10735" t="inlineStr"/>
      <c r="D10735" t="inlineStr"/>
      <c r="E10735">
        <f>HYPERLINK("https://www.ncbi.nlm.nih.gov/gene/?term=XP_045881491.1", "XP_045881491.1")</f>
        <v/>
      </c>
      <c r="F10735" t="n">
        <v>35.1</v>
      </c>
      <c r="G10735" t="n">
        <v>131</v>
      </c>
      <c r="H10735" t="n">
        <v>1.54e-17</v>
      </c>
      <c r="I10735" t="inlineStr">
        <is>
          <t>Nr</t>
        </is>
      </c>
      <c r="J10735" t="inlineStr"/>
      <c r="K10735" t="inlineStr"/>
      <c r="L10735" t="inlineStr">
        <is>
          <t>XP_045881491.1 LOW QUALITY PROTEIN: uncharacterized protein LOC123954405 [Meles meles]</t>
        </is>
      </c>
      <c r="M10735" t="n">
        <v>2862</v>
      </c>
      <c r="N10735" t="inlineStr">
        <is>
          <t>Meles meles</t>
        </is>
      </c>
      <c r="O10735" t="inlineStr">
        <is>
          <t>LOW QUALITY PROTEIN: uncharacterized protein LOC123954405</t>
        </is>
      </c>
    </row>
    <row r="10736">
      <c r="A10736" t="inlineStr"/>
      <c r="B10736" t="inlineStr"/>
      <c r="C10736" t="inlineStr"/>
      <c r="D10736" t="inlineStr"/>
      <c r="E10736">
        <f>HYPERLINK("https://www.uniprot.org/uniprotkb/Q03274/entry", "Q03274")</f>
        <v/>
      </c>
      <c r="F10736" t="n">
        <v>26.4</v>
      </c>
      <c r="G10736" t="n">
        <v>383</v>
      </c>
      <c r="H10736" t="n">
        <v>1.64e-17</v>
      </c>
      <c r="I10736" t="inlineStr">
        <is>
          <t>Swiss-Prot</t>
        </is>
      </c>
      <c r="J10736" t="inlineStr"/>
      <c r="K10736" t="inlineStr">
        <is>
          <t>PO22_POPJA</t>
        </is>
      </c>
      <c r="L10736" t="inlineStr">
        <is>
          <t>sp|Q03274|PO22_POPJA Retrovirus-related Pol polyprotein from type-1 retrotransposable element R2 (Fragment) OS=Popillia japonica OX=7064 PE=4 SV=1</t>
        </is>
      </c>
      <c r="M10736" t="n">
        <v>711</v>
      </c>
      <c r="N10736" t="inlineStr">
        <is>
          <t>Popillia japonica</t>
        </is>
      </c>
      <c r="O10736" t="inlineStr">
        <is>
          <t>Retrovirus-related Pol polyprotein from type-1 retrotransposable element R2 (Fragment)</t>
        </is>
      </c>
    </row>
    <row r="10737">
      <c r="A10737" t="inlineStr"/>
      <c r="B10737" t="inlineStr"/>
      <c r="C10737" t="inlineStr"/>
      <c r="D10737" t="inlineStr"/>
      <c r="E10737">
        <f>HYPERLINK("https://www.ncbi.nlm.nih.gov/gene/?term=XP_040181210.1", "XP_040181210.1")</f>
        <v/>
      </c>
      <c r="F10737" t="n">
        <v>37.9</v>
      </c>
      <c r="G10737" t="n">
        <v>140</v>
      </c>
      <c r="H10737" t="n">
        <v>1.87e-17</v>
      </c>
      <c r="I10737" t="inlineStr">
        <is>
          <t>Nr</t>
        </is>
      </c>
      <c r="J10737" t="inlineStr"/>
      <c r="K10737" t="inlineStr"/>
      <c r="L10737" t="inlineStr">
        <is>
          <t>XP_040181210.1 P2Y purinoceptor 4-like [Rana temporaria]</t>
        </is>
      </c>
      <c r="M10737" t="n">
        <v>636</v>
      </c>
      <c r="N10737" t="inlineStr">
        <is>
          <t>Rana temporaria</t>
        </is>
      </c>
      <c r="O10737" t="inlineStr">
        <is>
          <t>P2Y purinoceptor 4-like</t>
        </is>
      </c>
    </row>
    <row r="10738">
      <c r="A10738" t="inlineStr"/>
      <c r="B10738" t="inlineStr"/>
      <c r="C10738" t="inlineStr"/>
      <c r="D10738" t="inlineStr"/>
      <c r="E10738">
        <f>HYPERLINK("https://www.ncbi.nlm.nih.gov/gene/?term=ACO51943.1", "ACO51943.1")</f>
        <v/>
      </c>
      <c r="F10738" t="n">
        <v>38.1</v>
      </c>
      <c r="G10738" t="n">
        <v>139</v>
      </c>
      <c r="H10738" t="n">
        <v>2.99e-17</v>
      </c>
      <c r="I10738" t="inlineStr">
        <is>
          <t>Nr</t>
        </is>
      </c>
      <c r="J10738" t="inlineStr"/>
      <c r="K10738" t="inlineStr"/>
      <c r="L10738" t="inlineStr">
        <is>
          <t>ACO51943.1 LINE-1 reverse transcriptase homolog [Lithobates catesbeianus]</t>
        </is>
      </c>
      <c r="M10738" t="n">
        <v>237</v>
      </c>
      <c r="N10738" t="inlineStr">
        <is>
          <t>Lithobates catesbeianus</t>
        </is>
      </c>
      <c r="O10738" t="inlineStr">
        <is>
          <t>LINE-1 reverse transcriptase homolog</t>
        </is>
      </c>
    </row>
    <row r="10739">
      <c r="A10739" t="inlineStr"/>
      <c r="B10739" t="inlineStr"/>
      <c r="C10739" t="inlineStr"/>
      <c r="D10739" t="inlineStr"/>
      <c r="E10739">
        <f>HYPERLINK("https://www.uniprot.org/uniprotkb/Q95SX7/entry", "Q95SX7")</f>
        <v/>
      </c>
      <c r="F10739" t="n">
        <v>28.2</v>
      </c>
      <c r="G10739" t="n">
        <v>259</v>
      </c>
      <c r="H10739" t="n">
        <v>6.11e-17</v>
      </c>
      <c r="I10739" t="inlineStr">
        <is>
          <t>Swiss-Prot</t>
        </is>
      </c>
      <c r="J10739" t="inlineStr">
        <is>
          <t>RTase</t>
        </is>
      </c>
      <c r="K10739" t="inlineStr">
        <is>
          <t>RTBS_DROME</t>
        </is>
      </c>
      <c r="L10739" t="inlineStr">
        <is>
          <t>sp|Q95SX7|RTBS_DROME Probable RNA-directed DNA polymerase from transposon BS OS=Drosophila melanogaster OX=7227 GN=RTase PE=2 SV=1</t>
        </is>
      </c>
      <c r="M10739" t="n">
        <v>906</v>
      </c>
      <c r="N10739" t="inlineStr">
        <is>
          <t>Drosophila melanogaster</t>
        </is>
      </c>
      <c r="O10739" t="inlineStr">
        <is>
          <t>Probable RNA-directed DNA polymerase from transposon BS</t>
        </is>
      </c>
    </row>
    <row r="10740">
      <c r="A10740" t="inlineStr"/>
      <c r="B10740" t="inlineStr"/>
      <c r="C10740" t="inlineStr"/>
      <c r="D10740" t="inlineStr"/>
      <c r="E10740">
        <f>HYPERLINK("https://www.uniprot.org/uniprotkb/O00370/entry", "O00370")</f>
        <v/>
      </c>
      <c r="F10740" t="n">
        <v>32.8</v>
      </c>
      <c r="G10740" t="n">
        <v>137</v>
      </c>
      <c r="H10740" t="n">
        <v>2.94e-16</v>
      </c>
      <c r="I10740" t="inlineStr">
        <is>
          <t>Swiss-Prot</t>
        </is>
      </c>
      <c r="J10740" t="inlineStr"/>
      <c r="K10740" t="inlineStr">
        <is>
          <t>LORF2_HUMAN</t>
        </is>
      </c>
      <c r="L10740" t="inlineStr">
        <is>
          <t>sp|O00370|LORF2_HUMAN LINE-1 retrotransposable element ORF2 protein OS=Homo sapiens OX=9606 PE=1 SV=1</t>
        </is>
      </c>
      <c r="M10740" t="n">
        <v>1275</v>
      </c>
      <c r="N10740" t="inlineStr">
        <is>
          <t>Homo sapiens</t>
        </is>
      </c>
      <c r="O10740" t="inlineStr">
        <is>
          <t>LINE-1 retrotransposable element ORF2 protein</t>
        </is>
      </c>
    </row>
    <row r="10741">
      <c r="A10741" t="inlineStr"/>
      <c r="B10741" t="inlineStr"/>
      <c r="C10741" t="inlineStr"/>
      <c r="D10741" t="inlineStr"/>
      <c r="E10741">
        <f>HYPERLINK("https://www.uniprot.org/uniprotkb/P21328/entry", "P21328")</f>
        <v/>
      </c>
      <c r="F10741" t="n">
        <v>24.3</v>
      </c>
      <c r="G10741" t="n">
        <v>333</v>
      </c>
      <c r="H10741" t="n">
        <v>2.19e-15</v>
      </c>
      <c r="I10741" t="inlineStr">
        <is>
          <t>Swiss-Prot</t>
        </is>
      </c>
      <c r="J10741" t="inlineStr">
        <is>
          <t>pol</t>
        </is>
      </c>
      <c r="K10741" t="inlineStr">
        <is>
          <t>RTJK_DROME</t>
        </is>
      </c>
      <c r="L10741" t="inlineStr">
        <is>
          <t>sp|P21328|RTJK_DROME RNA-directed DNA polymerase from mobile element jockey OS=Drosophila melanogaster OX=7227 GN=pol PE=1 SV=1</t>
        </is>
      </c>
      <c r="M10741" t="n">
        <v>916</v>
      </c>
      <c r="N10741" t="inlineStr">
        <is>
          <t>Drosophila melanogaster</t>
        </is>
      </c>
      <c r="O10741" t="inlineStr">
        <is>
          <t>RNA-directed DNA polymerase from mobile element jockey</t>
        </is>
      </c>
    </row>
    <row r="10742">
      <c r="A10742" t="inlineStr"/>
      <c r="B10742" t="inlineStr"/>
      <c r="C10742" t="inlineStr"/>
      <c r="D10742" t="inlineStr"/>
      <c r="E10742">
        <f>HYPERLINK("https://www.uniprot.org/uniprotkb/Q03278/entry", "Q03278")</f>
        <v/>
      </c>
      <c r="F10742" t="n">
        <v>28.6</v>
      </c>
      <c r="G10742" t="n">
        <v>273</v>
      </c>
      <c r="H10742" t="n">
        <v>5.3e-15</v>
      </c>
      <c r="I10742" t="inlineStr">
        <is>
          <t>Swiss-Prot</t>
        </is>
      </c>
      <c r="J10742" t="inlineStr"/>
      <c r="K10742" t="inlineStr">
        <is>
          <t>PO21_NASVI</t>
        </is>
      </c>
      <c r="L10742" t="inlineStr">
        <is>
          <t>sp|Q03278|PO21_NASVI Retrovirus-related Pol polyprotein from type-1 retrotransposable element R2 (Fragment) OS=Nasonia vitripennis OX=7425 PE=4 SV=2</t>
        </is>
      </c>
      <c r="M10742" t="n">
        <v>1025</v>
      </c>
      <c r="N10742" t="inlineStr">
        <is>
          <t>Nasonia vitripennis</t>
        </is>
      </c>
      <c r="O10742" t="inlineStr">
        <is>
          <t>Retrovirus-related Pol polyprotein from type-1 retrotransposable element R2 (Fragment)</t>
        </is>
      </c>
    </row>
    <row r="10743">
      <c r="A10743" t="inlineStr"/>
      <c r="B10743" t="inlineStr"/>
      <c r="C10743" t="inlineStr"/>
      <c r="D10743" t="inlineStr"/>
      <c r="E10743">
        <f>HYPERLINK("https://www.uniprot.org/uniprotkb/P11369/entry", "P11369")</f>
        <v/>
      </c>
      <c r="F10743" t="n">
        <v>31.9</v>
      </c>
      <c r="G10743" t="n">
        <v>135</v>
      </c>
      <c r="H10743" t="n">
        <v>6.68e-13</v>
      </c>
      <c r="I10743" t="inlineStr">
        <is>
          <t>Swiss-Prot</t>
        </is>
      </c>
      <c r="J10743" t="inlineStr">
        <is>
          <t>Pol</t>
        </is>
      </c>
      <c r="K10743" t="inlineStr">
        <is>
          <t>LORF2_MOUSE</t>
        </is>
      </c>
      <c r="L10743" t="inlineStr">
        <is>
          <t>sp|P11369|LORF2_MOUSE LINE-1 retrotransposable element ORF2 protein OS=Mus musculus OX=10090 GN=Pol PE=1 SV=2</t>
        </is>
      </c>
      <c r="M10743" t="n">
        <v>1281</v>
      </c>
      <c r="N10743" t="inlineStr">
        <is>
          <t>Mus musculus</t>
        </is>
      </c>
      <c r="O10743" t="inlineStr">
        <is>
          <t>LINE-1 retrotransposable element ORF2 protein</t>
        </is>
      </c>
    </row>
    <row r="10744">
      <c r="A10744" t="inlineStr"/>
      <c r="B10744" t="inlineStr"/>
      <c r="C10744" t="inlineStr"/>
      <c r="D10744" t="inlineStr"/>
      <c r="E10744">
        <f>HYPERLINK("https://www.uniprot.org/uniprotkb/Q9NBX4/entry", "Q9NBX4")</f>
        <v/>
      </c>
      <c r="F10744" t="n">
        <v>25.7</v>
      </c>
      <c r="G10744" t="n">
        <v>284</v>
      </c>
      <c r="H10744" t="n">
        <v>4.7e-12</v>
      </c>
      <c r="I10744" t="inlineStr">
        <is>
          <t>Swiss-Prot</t>
        </is>
      </c>
      <c r="J10744" t="inlineStr">
        <is>
          <t>X-element\ORF2</t>
        </is>
      </c>
      <c r="K10744" t="inlineStr">
        <is>
          <t>RTXE_DROME</t>
        </is>
      </c>
      <c r="L10744" t="inlineStr">
        <is>
          <t>sp|Q9NBX4|RTXE_DROME Probable RNA-directed DNA polymerase from transposon X-element OS=Drosophila melanogaster OX=7227 GN=X-element\ORF2 PE=3 SV=1</t>
        </is>
      </c>
      <c r="M10744" t="n">
        <v>908</v>
      </c>
      <c r="N10744" t="inlineStr">
        <is>
          <t>Drosophila melanogaster</t>
        </is>
      </c>
      <c r="O10744" t="inlineStr">
        <is>
          <t>Probable RNA-directed DNA polymerase from transposon X-element</t>
        </is>
      </c>
    </row>
    <row r="10745">
      <c r="A10745" t="inlineStr"/>
      <c r="B10745" t="inlineStr"/>
      <c r="C10745" t="inlineStr"/>
      <c r="D10745" t="inlineStr"/>
      <c r="E10745">
        <f>HYPERLINK("https://www.uniprot.org/uniprotkb/P08548/entry", "P08548")</f>
        <v/>
      </c>
      <c r="F10745" t="n">
        <v>29.8</v>
      </c>
      <c r="G10745" t="n">
        <v>131</v>
      </c>
      <c r="H10745" t="n">
        <v>1.99e-11</v>
      </c>
      <c r="I10745" t="inlineStr">
        <is>
          <t>Swiss-Prot</t>
        </is>
      </c>
      <c r="J10745" t="inlineStr"/>
      <c r="K10745" t="inlineStr">
        <is>
          <t>LIN1_NYCCO</t>
        </is>
      </c>
      <c r="L10745" t="inlineStr">
        <is>
          <t>sp|P08548|LIN1_NYCCO LINE-1 reverse transcriptase homolog OS=Nycticebus coucang OX=9470 PE=4 SV=1</t>
        </is>
      </c>
      <c r="M10745" t="n">
        <v>1260</v>
      </c>
      <c r="N10745" t="inlineStr">
        <is>
          <t>Nycticebus coucang</t>
        </is>
      </c>
      <c r="O10745" t="inlineStr">
        <is>
          <t>LINE-1 reverse transcriptase homolog</t>
        </is>
      </c>
    </row>
    <row r="10746">
      <c r="A10746" t="inlineStr"/>
      <c r="B10746" t="inlineStr"/>
      <c r="C10746" t="inlineStr"/>
      <c r="D10746" t="inlineStr"/>
      <c r="E10746">
        <f>HYPERLINK("https://www.uniprot.org/uniprotkb/P16425/entry", "P16425")</f>
        <v/>
      </c>
      <c r="F10746" t="n">
        <v>25.7</v>
      </c>
      <c r="G10746" t="n">
        <v>257</v>
      </c>
      <c r="H10746" t="n">
        <v>1e-10</v>
      </c>
      <c r="I10746" t="inlineStr">
        <is>
          <t>Swiss-Prot</t>
        </is>
      </c>
      <c r="J10746" t="inlineStr">
        <is>
          <t>R1A1-element\ORF2</t>
        </is>
      </c>
      <c r="K10746" t="inlineStr">
        <is>
          <t>Y2R2_DROME</t>
        </is>
      </c>
      <c r="L10746" t="inlineStr">
        <is>
          <t>sp|P16425|Y2R2_DROME Putative 115 kDa protein in type-1 retrotransposable element R1DM OS=Drosophila melanogaster OX=7227 GN=R1A1-element\ORF2 PE=4 SV=1</t>
        </is>
      </c>
      <c r="M10746" t="n">
        <v>1021</v>
      </c>
      <c r="N10746" t="inlineStr">
        <is>
          <t>Drosophila melanogaster</t>
        </is>
      </c>
      <c r="O10746" t="inlineStr">
        <is>
          <t>Putative 115 kDa protein in type-1 retrotransposable element R1DM</t>
        </is>
      </c>
    </row>
    <row r="10747">
      <c r="A10747" t="inlineStr"/>
      <c r="B10747" t="inlineStr"/>
      <c r="C10747" t="inlineStr"/>
      <c r="D10747" t="inlineStr"/>
      <c r="E10747">
        <f>HYPERLINK("https://www.uniprot.org/uniprotkb/Q05118/entry", "Q05118")</f>
        <v/>
      </c>
      <c r="F10747" t="n">
        <v>30.3</v>
      </c>
      <c r="G10747" t="n">
        <v>145</v>
      </c>
      <c r="H10747" t="n">
        <v>1.17e-09</v>
      </c>
      <c r="I10747" t="inlineStr">
        <is>
          <t>Swiss-Prot</t>
        </is>
      </c>
      <c r="J10747" t="inlineStr"/>
      <c r="K10747" t="inlineStr">
        <is>
          <t>PO23_POPJA</t>
        </is>
      </c>
      <c r="L10747" t="inlineStr">
        <is>
          <t>sp|Q05118|PO23_POPJA Retrovirus-related Pol polyprotein from type-1 retrotransposable element R2 (Fragment) OS=Popillia japonica OX=7064 PE=4 SV=1</t>
        </is>
      </c>
      <c r="M10747" t="n">
        <v>606</v>
      </c>
      <c r="N10747" t="inlineStr">
        <is>
          <t>Popillia japonica</t>
        </is>
      </c>
      <c r="O10747" t="inlineStr">
        <is>
          <t>Retrovirus-related Pol polyprotein from type-1 retrotransposable element R2 (Fragment)</t>
        </is>
      </c>
    </row>
    <row r="10748">
      <c r="A10748" t="inlineStr"/>
      <c r="B10748" t="inlineStr"/>
      <c r="C10748" t="inlineStr"/>
      <c r="D10748" t="inlineStr"/>
      <c r="E10748">
        <f>HYPERLINK("https://www.uniprot.org/uniprotkb/P0CV25/entry", "P0CV25")</f>
        <v/>
      </c>
      <c r="F10748" t="n">
        <v>34.9</v>
      </c>
      <c r="G10748" t="n">
        <v>86</v>
      </c>
      <c r="H10748" t="n">
        <v>2.21e-08</v>
      </c>
      <c r="I10748" t="inlineStr">
        <is>
          <t>Swiss-Prot</t>
        </is>
      </c>
      <c r="J10748" t="inlineStr">
        <is>
          <t>RXLR78</t>
        </is>
      </c>
      <c r="K10748" t="inlineStr">
        <is>
          <t>RLR78_PLAVT</t>
        </is>
      </c>
      <c r="L10748" t="inlineStr">
        <is>
          <t>sp|P0CV25|RLR78_PLAVT Secreted RxLR effector protein 78 OS=Plasmopara viticola OX=143451 GN=RXLR78 PE=3 SV=1</t>
        </is>
      </c>
      <c r="M10748" t="n">
        <v>113</v>
      </c>
      <c r="N10748" t="inlineStr">
        <is>
          <t>Plasmopara viticola</t>
        </is>
      </c>
      <c r="O10748" t="inlineStr">
        <is>
          <t>Secreted RxLR effector protein 78</t>
        </is>
      </c>
    </row>
    <row r="10749">
      <c r="A10749" t="inlineStr"/>
      <c r="B10749" t="inlineStr"/>
      <c r="C10749" t="inlineStr"/>
      <c r="D10749" t="inlineStr"/>
      <c r="E10749">
        <f>HYPERLINK("https://www.uniprot.org/uniprotkb/Q587J6/entry", "Q587J6")</f>
        <v/>
      </c>
      <c r="F10749" t="n">
        <v>25.8</v>
      </c>
      <c r="G10749" t="n">
        <v>155</v>
      </c>
      <c r="H10749" t="n">
        <v>5.06e-07</v>
      </c>
      <c r="I10749" t="inlineStr">
        <is>
          <t>Swiss-Prot</t>
        </is>
      </c>
      <c r="J10749" t="inlineStr">
        <is>
          <t>L1td1</t>
        </is>
      </c>
      <c r="K10749" t="inlineStr">
        <is>
          <t>LITD1_MOUSE</t>
        </is>
      </c>
      <c r="L10749" t="inlineStr">
        <is>
          <t>sp|Q587J6|LITD1_MOUSE LINE-1 type transposase domain-containing protein 1 OS=Mus musculus OX=10090 GN=L1td1 PE=2 SV=1</t>
        </is>
      </c>
      <c r="M10749" t="n">
        <v>782</v>
      </c>
      <c r="N10749" t="inlineStr">
        <is>
          <t>Mus musculus</t>
        </is>
      </c>
      <c r="O10749" t="inlineStr">
        <is>
          <t>LINE-1 type transposase domain-containing protein 1</t>
        </is>
      </c>
    </row>
    <row r="10750">
      <c r="A10750" t="inlineStr"/>
      <c r="B10750" t="inlineStr"/>
      <c r="C10750" t="inlineStr"/>
      <c r="D10750" t="inlineStr"/>
      <c r="E10750">
        <f>HYPERLINK("https://www.uniprot.org/uniprotkb/Q9UN81/entry", "Q9UN81")</f>
        <v/>
      </c>
      <c r="F10750" t="n">
        <v>28.3</v>
      </c>
      <c r="G10750" t="n">
        <v>152</v>
      </c>
      <c r="H10750" t="n">
        <v>2.12e-05</v>
      </c>
      <c r="I10750" t="inlineStr">
        <is>
          <t>Swiss-Prot</t>
        </is>
      </c>
      <c r="J10750" t="inlineStr">
        <is>
          <t>L1RE1</t>
        </is>
      </c>
      <c r="K10750" t="inlineStr">
        <is>
          <t>LORF1_HUMAN</t>
        </is>
      </c>
      <c r="L10750" t="inlineStr">
        <is>
          <t>sp|Q9UN81|LORF1_HUMAN LINE-1 retrotransposable element ORF1 protein OS=Homo sapiens OX=9606 GN=L1RE1 PE=1 SV=1</t>
        </is>
      </c>
      <c r="M10750" t="n">
        <v>338</v>
      </c>
      <c r="N10750" t="inlineStr">
        <is>
          <t>Homo sapiens</t>
        </is>
      </c>
      <c r="O10750" t="inlineStr">
        <is>
          <t>LINE-1 retrotransposable element ORF1 protein</t>
        </is>
      </c>
    </row>
    <row r="10751">
      <c r="A10751" t="inlineStr"/>
      <c r="B10751" t="inlineStr"/>
      <c r="C10751" t="inlineStr"/>
      <c r="D10751" t="inlineStr"/>
      <c r="E10751">
        <f>HYPERLINK("https://www.uniprot.org/uniprotkb/Q5T7N2/entry", "Q5T7N2")</f>
        <v/>
      </c>
      <c r="F10751" t="n">
        <v>25</v>
      </c>
      <c r="G10751" t="n">
        <v>164</v>
      </c>
      <c r="H10751" t="n">
        <v>0.00041</v>
      </c>
      <c r="I10751" t="inlineStr">
        <is>
          <t>Swiss-Prot</t>
        </is>
      </c>
      <c r="J10751" t="inlineStr">
        <is>
          <t>L1TD1</t>
        </is>
      </c>
      <c r="K10751" t="inlineStr">
        <is>
          <t>LITD1_HUMAN</t>
        </is>
      </c>
      <c r="L10751" t="inlineStr">
        <is>
          <t>sp|Q5T7N2|LITD1_HUMAN LINE-1 type transposase domain-containing protein 1 OS=Homo sapiens OX=9606 GN=L1TD1 PE=1 SV=1</t>
        </is>
      </c>
      <c r="M10751" t="n">
        <v>865</v>
      </c>
      <c r="N10751" t="inlineStr">
        <is>
          <t>Homo sapiens</t>
        </is>
      </c>
      <c r="O10751" t="inlineStr">
        <is>
          <t>LINE-1 type transposase domain-containing protein 1</t>
        </is>
      </c>
    </row>
    <row r="10752">
      <c r="A10752" t="inlineStr">
        <is>
          <t>NODE_992_length_11364_cov_50.579623_g436_i0</t>
        </is>
      </c>
      <c r="B10752" t="inlineStr">
        <is>
          <t>bombina_pachypus_blastx</t>
        </is>
      </c>
      <c r="C10752" t="n">
        <v>-3.35899757667844</v>
      </c>
      <c r="D10752" t="n">
        <v>1.62214196640926e-14</v>
      </c>
      <c r="E10752">
        <f>HYPERLINK("https://www.ncbi.nlm.nih.gov/gene/?term=XP_044130116.1", "XP_044130116.1")</f>
        <v/>
      </c>
      <c r="F10752" t="n">
        <v>46</v>
      </c>
      <c r="G10752" t="n">
        <v>315</v>
      </c>
      <c r="H10752" t="n">
        <v>6.85e-74</v>
      </c>
      <c r="I10752" t="inlineStr">
        <is>
          <t>Nr</t>
        </is>
      </c>
      <c r="J10752" t="inlineStr"/>
      <c r="K10752" t="inlineStr"/>
      <c r="L10752" t="inlineStr">
        <is>
          <t>XP_044130116.1 solute carrier family 35 member F5 [Bufo gargarizans]</t>
        </is>
      </c>
      <c r="M10752" t="n">
        <v>1106</v>
      </c>
      <c r="N10752" t="inlineStr">
        <is>
          <t>Bufo gargarizans</t>
        </is>
      </c>
      <c r="O10752" t="inlineStr">
        <is>
          <t>solute carrier family 35 member F5</t>
        </is>
      </c>
    </row>
    <row r="10753">
      <c r="A10753" t="inlineStr"/>
      <c r="B10753" t="inlineStr"/>
      <c r="C10753" t="inlineStr"/>
      <c r="D10753" t="inlineStr"/>
      <c r="E10753">
        <f>HYPERLINK("https://www.uniprot.org/uniprotkb/A0A8J1MZ44/entry", "A0A8J1MZ44")</f>
        <v/>
      </c>
      <c r="F10753" t="n">
        <v>44.9</v>
      </c>
      <c r="G10753" t="n">
        <v>274</v>
      </c>
      <c r="H10753" t="n">
        <v>2.38e-73</v>
      </c>
      <c r="I10753" t="inlineStr">
        <is>
          <t>TrEMBL</t>
        </is>
      </c>
      <c r="J10753" t="inlineStr">
        <is>
          <t>LOC121403038</t>
        </is>
      </c>
      <c r="K10753" t="inlineStr">
        <is>
          <t>A0A8J1MZ44_XENLA</t>
        </is>
      </c>
      <c r="L10753" t="inlineStr">
        <is>
          <t>tr|A0A8J1MZ44|A0A8J1MZ44_XENLA ribonuclease H OS=Xenopus laevis OX=8355 GN=LOC121403038 PE=3 SV=1</t>
        </is>
      </c>
      <c r="M10753" t="n">
        <v>852</v>
      </c>
      <c r="N10753" t="inlineStr">
        <is>
          <t>Xenopus laevis</t>
        </is>
      </c>
      <c r="O10753" t="inlineStr">
        <is>
          <t>ribonuclease H</t>
        </is>
      </c>
    </row>
    <row r="10754">
      <c r="A10754" t="inlineStr"/>
      <c r="B10754" t="inlineStr"/>
      <c r="C10754" t="inlineStr"/>
      <c r="D10754" t="inlineStr"/>
      <c r="E10754">
        <f>HYPERLINK("https://www.ncbi.nlm.nih.gov/gene/?term=XP_041446270.1", "XP_041446270.1")</f>
        <v/>
      </c>
      <c r="F10754" t="n">
        <v>44.9</v>
      </c>
      <c r="G10754" t="n">
        <v>274</v>
      </c>
      <c r="H10754" t="n">
        <v>6.1e-73</v>
      </c>
      <c r="I10754" t="inlineStr">
        <is>
          <t>Nr</t>
        </is>
      </c>
      <c r="J10754" t="inlineStr"/>
      <c r="K10754" t="inlineStr"/>
      <c r="L10754" t="inlineStr">
        <is>
          <t>XP_041446270.1 uncharacterized protein LOC121403038 [Xenopus laevis]</t>
        </is>
      </c>
      <c r="M10754" t="n">
        <v>852</v>
      </c>
      <c r="N10754" t="inlineStr">
        <is>
          <t>Xenopus laevis</t>
        </is>
      </c>
      <c r="O10754" t="inlineStr">
        <is>
          <t>uncharacterized protein LOC121403038</t>
        </is>
      </c>
    </row>
    <row r="10755">
      <c r="A10755" t="inlineStr"/>
      <c r="B10755" t="inlineStr"/>
      <c r="C10755" t="inlineStr"/>
      <c r="D10755" t="inlineStr"/>
      <c r="E10755">
        <f>HYPERLINK("https://www.uniprot.org/uniprotkb/A0A8J1KMD2/entry", "A0A8J1KMD2")</f>
        <v/>
      </c>
      <c r="F10755" t="n">
        <v>47.1</v>
      </c>
      <c r="G10755" t="n">
        <v>291</v>
      </c>
      <c r="H10755" t="n">
        <v>5.24e-71</v>
      </c>
      <c r="I10755" t="inlineStr">
        <is>
          <t>TrEMBL</t>
        </is>
      </c>
      <c r="J10755" t="inlineStr">
        <is>
          <t>LOC121393601</t>
        </is>
      </c>
      <c r="K10755" t="inlineStr">
        <is>
          <t>A0A8J1KMD2_XENLA</t>
        </is>
      </c>
      <c r="L10755" t="inlineStr">
        <is>
          <t>tr|A0A8J1KMD2|A0A8J1KMD2_XENLA ribonuclease H OS=Xenopus laevis OX=8355 GN=LOC121393601 PE=3 SV=1</t>
        </is>
      </c>
      <c r="M10755" t="n">
        <v>1091</v>
      </c>
      <c r="N10755" t="inlineStr">
        <is>
          <t>Xenopus laevis</t>
        </is>
      </c>
      <c r="O10755" t="inlineStr">
        <is>
          <t>ribonuclease H</t>
        </is>
      </c>
    </row>
    <row r="10756">
      <c r="A10756" t="inlineStr"/>
      <c r="B10756" t="inlineStr"/>
      <c r="C10756" t="inlineStr"/>
      <c r="D10756" t="inlineStr"/>
      <c r="E10756">
        <f>HYPERLINK("https://www.ncbi.nlm.nih.gov/gene/?term=XP_041418470.1", "XP_041418470.1")</f>
        <v/>
      </c>
      <c r="F10756" t="n">
        <v>47.1</v>
      </c>
      <c r="G10756" t="n">
        <v>291</v>
      </c>
      <c r="H10756" t="n">
        <v>1.35e-70</v>
      </c>
      <c r="I10756" t="inlineStr">
        <is>
          <t>Nr</t>
        </is>
      </c>
      <c r="J10756" t="inlineStr"/>
      <c r="K10756" t="inlineStr"/>
      <c r="L10756" t="inlineStr">
        <is>
          <t>XP_041418470.1 uncharacterized protein LOC121393601 [Xenopus laevis]</t>
        </is>
      </c>
      <c r="M10756" t="n">
        <v>1091</v>
      </c>
      <c r="N10756" t="inlineStr">
        <is>
          <t>Xenopus laevis</t>
        </is>
      </c>
      <c r="O10756" t="inlineStr">
        <is>
          <t>uncharacterized protein LOC121393601</t>
        </is>
      </c>
    </row>
    <row r="10757">
      <c r="A10757" t="inlineStr"/>
      <c r="B10757" t="inlineStr"/>
      <c r="C10757" t="inlineStr"/>
      <c r="D10757" t="inlineStr"/>
      <c r="E10757">
        <f>HYPERLINK("https://www.ncbi.nlm.nih.gov/gene/?term=XP_029441229.1", "XP_029441229.1")</f>
        <v/>
      </c>
      <c r="F10757" t="n">
        <v>46.2</v>
      </c>
      <c r="G10757" t="n">
        <v>292</v>
      </c>
      <c r="H10757" t="n">
        <v>1.34e-69</v>
      </c>
      <c r="I10757" t="inlineStr">
        <is>
          <t>Nr</t>
        </is>
      </c>
      <c r="J10757" t="inlineStr"/>
      <c r="K10757" t="inlineStr"/>
      <c r="L10757" t="inlineStr">
        <is>
          <t>XP_029441229.1 uncharacterized protein LOC115080906 [Rhinatrema bivittatum]</t>
        </is>
      </c>
      <c r="M10757" t="n">
        <v>654</v>
      </c>
      <c r="N10757" t="inlineStr">
        <is>
          <t>Rhinatrema bivittatum</t>
        </is>
      </c>
      <c r="O10757" t="inlineStr">
        <is>
          <t>uncharacterized protein LOC115080906</t>
        </is>
      </c>
    </row>
    <row r="10758">
      <c r="A10758" t="inlineStr"/>
      <c r="B10758" t="inlineStr"/>
      <c r="C10758" t="inlineStr"/>
      <c r="D10758" t="inlineStr"/>
      <c r="E10758">
        <f>HYPERLINK("https://www.ncbi.nlm.nih.gov/gene/?term=XP_029455053.1", "XP_029455053.1")</f>
        <v/>
      </c>
      <c r="F10758" t="n">
        <v>46.2</v>
      </c>
      <c r="G10758" t="n">
        <v>292</v>
      </c>
      <c r="H10758" t="n">
        <v>3.69e-69</v>
      </c>
      <c r="I10758" t="inlineStr">
        <is>
          <t>Nr</t>
        </is>
      </c>
      <c r="J10758" t="inlineStr"/>
      <c r="K10758" t="inlineStr"/>
      <c r="L10758" t="inlineStr">
        <is>
          <t>XP_029455053.1 uncharacterized protein LOC115090287 [Rhinatrema bivittatum]</t>
        </is>
      </c>
      <c r="M10758" t="n">
        <v>654</v>
      </c>
      <c r="N10758" t="inlineStr">
        <is>
          <t>Rhinatrema bivittatum</t>
        </is>
      </c>
      <c r="O10758" t="inlineStr">
        <is>
          <t>uncharacterized protein LOC115090287</t>
        </is>
      </c>
    </row>
    <row r="10759">
      <c r="A10759" t="inlineStr"/>
      <c r="B10759" t="inlineStr"/>
      <c r="C10759" t="inlineStr"/>
      <c r="D10759" t="inlineStr"/>
      <c r="E10759">
        <f>HYPERLINK("https://www.ncbi.nlm.nih.gov/gene/?term=XP_029451018.1", "XP_029451018.1")</f>
        <v/>
      </c>
      <c r="F10759" t="n">
        <v>45.2</v>
      </c>
      <c r="G10759" t="n">
        <v>292</v>
      </c>
      <c r="H10759" t="n">
        <v>2.1e-68</v>
      </c>
      <c r="I10759" t="inlineStr">
        <is>
          <t>Nr</t>
        </is>
      </c>
      <c r="J10759" t="inlineStr"/>
      <c r="K10759" t="inlineStr"/>
      <c r="L10759" t="inlineStr">
        <is>
          <t>XP_029451018.1 heterogeneous nuclear ribonucleoprotein A1 isoform X2 [Rhinatrema bivittatum]</t>
        </is>
      </c>
      <c r="M10759" t="n">
        <v>407</v>
      </c>
      <c r="N10759" t="inlineStr">
        <is>
          <t>Rhinatrema bivittatum</t>
        </is>
      </c>
      <c r="O10759" t="inlineStr">
        <is>
          <t>heterogeneous nuclear ribonucleoprotein A1 isoform X2</t>
        </is>
      </c>
    </row>
    <row r="10760">
      <c r="A10760" t="inlineStr"/>
      <c r="B10760" t="inlineStr"/>
      <c r="C10760" t="inlineStr"/>
      <c r="D10760" t="inlineStr"/>
      <c r="E10760">
        <f>HYPERLINK("https://www.uniprot.org/uniprotkb/A0A8J1LR62/entry", "A0A8J1LR62")</f>
        <v/>
      </c>
      <c r="F10760" t="n">
        <v>45.9</v>
      </c>
      <c r="G10760" t="n">
        <v>259</v>
      </c>
      <c r="H10760" t="n">
        <v>2.79e-65</v>
      </c>
      <c r="I10760" t="inlineStr">
        <is>
          <t>TrEMBL</t>
        </is>
      </c>
      <c r="J10760" t="inlineStr">
        <is>
          <t>LOC121397903</t>
        </is>
      </c>
      <c r="K10760" t="inlineStr">
        <is>
          <t>A0A8J1LR62_XENLA</t>
        </is>
      </c>
      <c r="L10760" t="inlineStr">
        <is>
          <t>tr|A0A8J1LR62|A0A8J1LR62_XENLA ribonuclease H OS=Xenopus laevis OX=8355 GN=LOC121397903 PE=3 SV=1</t>
        </is>
      </c>
      <c r="M10760" t="n">
        <v>513</v>
      </c>
      <c r="N10760" t="inlineStr">
        <is>
          <t>Xenopus laevis</t>
        </is>
      </c>
      <c r="O10760" t="inlineStr">
        <is>
          <t>ribonuclease H</t>
        </is>
      </c>
    </row>
    <row r="10761">
      <c r="A10761" t="inlineStr"/>
      <c r="B10761" t="inlineStr"/>
      <c r="C10761" t="inlineStr"/>
      <c r="D10761" t="inlineStr"/>
      <c r="E10761">
        <f>HYPERLINK("https://www.ncbi.nlm.nih.gov/gene/?term=XP_041432012.1", "XP_041432012.1")</f>
        <v/>
      </c>
      <c r="F10761" t="n">
        <v>45.9</v>
      </c>
      <c r="G10761" t="n">
        <v>259</v>
      </c>
      <c r="H10761" t="n">
        <v>7.17e-65</v>
      </c>
      <c r="I10761" t="inlineStr">
        <is>
          <t>Nr</t>
        </is>
      </c>
      <c r="J10761" t="inlineStr"/>
      <c r="K10761" t="inlineStr"/>
      <c r="L10761" t="inlineStr">
        <is>
          <t>XP_041432012.1 uncharacterized protein LOC121397903 isoform X2 [Xenopus laevis]</t>
        </is>
      </c>
      <c r="M10761" t="n">
        <v>513</v>
      </c>
      <c r="N10761" t="inlineStr">
        <is>
          <t>Xenopus laevis</t>
        </is>
      </c>
      <c r="O10761" t="inlineStr">
        <is>
          <t>uncharacterized protein LOC121397903 isoform X2</t>
        </is>
      </c>
    </row>
    <row r="10762">
      <c r="A10762" t="inlineStr"/>
      <c r="B10762" t="inlineStr"/>
      <c r="C10762" t="inlineStr"/>
      <c r="D10762" t="inlineStr"/>
      <c r="E10762">
        <f>HYPERLINK("https://www.uniprot.org/uniprotkb/A0A2D4EJC9/entry", "A0A2D4EJC9")</f>
        <v/>
      </c>
      <c r="F10762" t="n">
        <v>42.6</v>
      </c>
      <c r="G10762" t="n">
        <v>270</v>
      </c>
      <c r="H10762" t="n">
        <v>9.66e-63</v>
      </c>
      <c r="I10762" t="inlineStr">
        <is>
          <t>TrEMBL</t>
        </is>
      </c>
      <c r="J10762" t="inlineStr"/>
      <c r="K10762" t="inlineStr">
        <is>
          <t>A0A2D4EJC9_MICCO</t>
        </is>
      </c>
      <c r="L10762" t="inlineStr">
        <is>
          <t>tr|A0A2D4EJC9|A0A2D4EJC9_MICCO ribonuclease H (Fragment) OS=Micrurus corallinus OX=54390 PE=3 SV=1</t>
        </is>
      </c>
      <c r="M10762" t="n">
        <v>580</v>
      </c>
      <c r="N10762" t="inlineStr">
        <is>
          <t>Micrurus corallinus</t>
        </is>
      </c>
      <c r="O10762" t="inlineStr">
        <is>
          <t>ribonuclease H (Fragment)</t>
        </is>
      </c>
    </row>
    <row r="10763">
      <c r="A10763" t="inlineStr"/>
      <c r="B10763" t="inlineStr"/>
      <c r="C10763" t="inlineStr"/>
      <c r="D10763" t="inlineStr"/>
      <c r="E10763">
        <f>HYPERLINK("https://www.ncbi.nlm.nih.gov/gene/?term=XP_053149582.1", "XP_053149582.1")</f>
        <v/>
      </c>
      <c r="F10763" t="n">
        <v>46.1</v>
      </c>
      <c r="G10763" t="n">
        <v>254</v>
      </c>
      <c r="H10763" t="n">
        <v>1.23e-60</v>
      </c>
      <c r="I10763" t="inlineStr">
        <is>
          <t>Nr</t>
        </is>
      </c>
      <c r="J10763" t="inlineStr"/>
      <c r="K10763" t="inlineStr"/>
      <c r="L10763" t="inlineStr">
        <is>
          <t>XP_053149582.1 uncharacterized protein LOC128344105 [Hemicordylus capensis]</t>
        </is>
      </c>
      <c r="M10763" t="n">
        <v>834</v>
      </c>
      <c r="N10763" t="inlineStr">
        <is>
          <t>Hemicordylus capensis</t>
        </is>
      </c>
      <c r="O10763" t="inlineStr">
        <is>
          <t>uncharacterized protein LOC128344105</t>
        </is>
      </c>
    </row>
    <row r="10764">
      <c r="A10764" t="inlineStr"/>
      <c r="B10764" t="inlineStr"/>
      <c r="C10764" t="inlineStr"/>
      <c r="D10764" t="inlineStr"/>
      <c r="E10764">
        <f>HYPERLINK("https://www.uniprot.org/uniprotkb/A0A2D4J0A8/entry", "A0A2D4J0A8")</f>
        <v/>
      </c>
      <c r="F10764" t="n">
        <v>43</v>
      </c>
      <c r="G10764" t="n">
        <v>265</v>
      </c>
      <c r="H10764" t="n">
        <v>6.75e-60</v>
      </c>
      <c r="I10764" t="inlineStr">
        <is>
          <t>TrEMBL</t>
        </is>
      </c>
      <c r="J10764" t="inlineStr"/>
      <c r="K10764" t="inlineStr">
        <is>
          <t>A0A2D4J0A8_MICLE</t>
        </is>
      </c>
      <c r="L10764" t="inlineStr">
        <is>
          <t>tr|A0A2D4J0A8|A0A2D4J0A8_MICLE ribonuclease H OS=Micrurus lemniscatus lemniscatus OX=129467 PE=3 SV=1</t>
        </is>
      </c>
      <c r="M10764" t="n">
        <v>664</v>
      </c>
      <c r="N10764" t="inlineStr">
        <is>
          <t>Micrurus lemniscatus lemniscatus</t>
        </is>
      </c>
      <c r="O10764" t="inlineStr">
        <is>
          <t>ribonuclease H</t>
        </is>
      </c>
    </row>
    <row r="10765">
      <c r="A10765" t="inlineStr"/>
      <c r="B10765" t="inlineStr"/>
      <c r="C10765" t="inlineStr"/>
      <c r="D10765" t="inlineStr"/>
      <c r="E10765">
        <f>HYPERLINK("https://www.uniprot.org/uniprotkb/A0A8J1L8U5/entry", "A0A8J1L8U5")</f>
        <v/>
      </c>
      <c r="F10765" t="n">
        <v>46.5</v>
      </c>
      <c r="G10765" t="n">
        <v>226</v>
      </c>
      <c r="H10765" t="n">
        <v>6.819999999999999e-60</v>
      </c>
      <c r="I10765" t="inlineStr">
        <is>
          <t>TrEMBL</t>
        </is>
      </c>
      <c r="J10765" t="inlineStr">
        <is>
          <t>LOC121395599</t>
        </is>
      </c>
      <c r="K10765" t="inlineStr">
        <is>
          <t>A0A8J1L8U5_XENLA</t>
        </is>
      </c>
      <c r="L10765" t="inlineStr">
        <is>
          <t>tr|A0A8J1L8U5|A0A8J1L8U5_XENLA ribonuclease H OS=Xenopus laevis OX=8355 GN=LOC121395599 PE=3 SV=1</t>
        </is>
      </c>
      <c r="M10765" t="n">
        <v>910</v>
      </c>
      <c r="N10765" t="inlineStr">
        <is>
          <t>Xenopus laevis</t>
        </is>
      </c>
      <c r="O10765" t="inlineStr">
        <is>
          <t>ribonuclease H</t>
        </is>
      </c>
    </row>
    <row r="10766">
      <c r="A10766" t="inlineStr"/>
      <c r="B10766" t="inlineStr"/>
      <c r="C10766" t="inlineStr"/>
      <c r="D10766" t="inlineStr"/>
      <c r="E10766">
        <f>HYPERLINK("https://www.ncbi.nlm.nih.gov/gene/?term=XP_041425389.1", "XP_041425389.1")</f>
        <v/>
      </c>
      <c r="F10766" t="n">
        <v>46.5</v>
      </c>
      <c r="G10766" t="n">
        <v>226</v>
      </c>
      <c r="H10766" t="n">
        <v>1.75e-59</v>
      </c>
      <c r="I10766" t="inlineStr">
        <is>
          <t>Nr</t>
        </is>
      </c>
      <c r="J10766" t="inlineStr"/>
      <c r="K10766" t="inlineStr"/>
      <c r="L10766" t="inlineStr">
        <is>
          <t>XP_041425389.1 uncharacterized protein LOC121395599 [Xenopus laevis]</t>
        </is>
      </c>
      <c r="M10766" t="n">
        <v>910</v>
      </c>
      <c r="N10766" t="inlineStr">
        <is>
          <t>Xenopus laevis</t>
        </is>
      </c>
      <c r="O10766" t="inlineStr">
        <is>
          <t>uncharacterized protein LOC121395599</t>
        </is>
      </c>
    </row>
    <row r="10767">
      <c r="A10767" t="inlineStr"/>
      <c r="B10767" t="inlineStr"/>
      <c r="C10767" t="inlineStr"/>
      <c r="D10767" t="inlineStr"/>
      <c r="E10767">
        <f>HYPERLINK("https://www.uniprot.org/uniprotkb/A0A8J1LK19/entry", "A0A8J1LK19")</f>
        <v/>
      </c>
      <c r="F10767" t="n">
        <v>43.8</v>
      </c>
      <c r="G10767" t="n">
        <v>272</v>
      </c>
      <c r="H10767" t="n">
        <v>4.07e-59</v>
      </c>
      <c r="I10767" t="inlineStr">
        <is>
          <t>TrEMBL</t>
        </is>
      </c>
      <c r="J10767" t="inlineStr">
        <is>
          <t>LOC121397309</t>
        </is>
      </c>
      <c r="K10767" t="inlineStr">
        <is>
          <t>A0A8J1LK19_XENLA</t>
        </is>
      </c>
      <c r="L10767" t="inlineStr">
        <is>
          <t>tr|A0A8J1LK19|A0A8J1LK19_XENLA ribonuclease H OS=Xenopus laevis OX=8355 GN=LOC121397309 PE=3 SV=1</t>
        </is>
      </c>
      <c r="M10767" t="n">
        <v>856</v>
      </c>
      <c r="N10767" t="inlineStr">
        <is>
          <t>Xenopus laevis</t>
        </is>
      </c>
      <c r="O10767" t="inlineStr">
        <is>
          <t>ribonuclease H</t>
        </is>
      </c>
    </row>
    <row r="10768">
      <c r="A10768" t="inlineStr"/>
      <c r="B10768" t="inlineStr"/>
      <c r="C10768" t="inlineStr"/>
      <c r="D10768" t="inlineStr"/>
      <c r="E10768">
        <f>HYPERLINK("https://www.uniprot.org/uniprotkb/A0A8J1N0T7/entry", "A0A8J1N0T7")</f>
        <v/>
      </c>
      <c r="F10768" t="n">
        <v>44.5</v>
      </c>
      <c r="G10768" t="n">
        <v>272</v>
      </c>
      <c r="H10768" t="n">
        <v>4.62e-59</v>
      </c>
      <c r="I10768" t="inlineStr">
        <is>
          <t>TrEMBL</t>
        </is>
      </c>
      <c r="J10768" t="inlineStr">
        <is>
          <t>LOC121403130</t>
        </is>
      </c>
      <c r="K10768" t="inlineStr">
        <is>
          <t>A0A8J1N0T7_XENLA</t>
        </is>
      </c>
      <c r="L10768" t="inlineStr">
        <is>
          <t>tr|A0A8J1N0T7|A0A8J1N0T7_XENLA ribonuclease H OS=Xenopus laevis OX=8355 GN=LOC121403130 PE=3 SV=1</t>
        </is>
      </c>
      <c r="M10768" t="n">
        <v>1010</v>
      </c>
      <c r="N10768" t="inlineStr">
        <is>
          <t>Xenopus laevis</t>
        </is>
      </c>
      <c r="O10768" t="inlineStr">
        <is>
          <t>ribonuclease H</t>
        </is>
      </c>
    </row>
    <row r="10769">
      <c r="A10769" t="inlineStr"/>
      <c r="B10769" t="inlineStr"/>
      <c r="C10769" t="inlineStr"/>
      <c r="D10769" t="inlineStr"/>
      <c r="E10769">
        <f>HYPERLINK("https://www.ncbi.nlm.nih.gov/gene/?term=XP_041429862.1", "XP_041429862.1")</f>
        <v/>
      </c>
      <c r="F10769" t="n">
        <v>43.8</v>
      </c>
      <c r="G10769" t="n">
        <v>272</v>
      </c>
      <c r="H10769" t="n">
        <v>1.04e-58</v>
      </c>
      <c r="I10769" t="inlineStr">
        <is>
          <t>Nr</t>
        </is>
      </c>
      <c r="J10769" t="inlineStr"/>
      <c r="K10769" t="inlineStr"/>
      <c r="L10769" t="inlineStr">
        <is>
          <t>XP_041429862.1 uncharacterized protein LOC121397309 [Xenopus laevis]</t>
        </is>
      </c>
      <c r="M10769" t="n">
        <v>856</v>
      </c>
      <c r="N10769" t="inlineStr">
        <is>
          <t>Xenopus laevis</t>
        </is>
      </c>
      <c r="O10769" t="inlineStr">
        <is>
          <t>uncharacterized protein LOC121397309</t>
        </is>
      </c>
    </row>
    <row r="10770">
      <c r="A10770" t="inlineStr"/>
      <c r="B10770" t="inlineStr"/>
      <c r="C10770" t="inlineStr"/>
      <c r="D10770" t="inlineStr"/>
      <c r="E10770">
        <f>HYPERLINK("https://www.ncbi.nlm.nih.gov/gene/?term=XP_041446855.1", "XP_041446855.1")</f>
        <v/>
      </c>
      <c r="F10770" t="n">
        <v>44.5</v>
      </c>
      <c r="G10770" t="n">
        <v>272</v>
      </c>
      <c r="H10770" t="n">
        <v>1.19e-58</v>
      </c>
      <c r="I10770" t="inlineStr">
        <is>
          <t>Nr</t>
        </is>
      </c>
      <c r="J10770" t="inlineStr"/>
      <c r="K10770" t="inlineStr"/>
      <c r="L10770" t="inlineStr">
        <is>
          <t>XP_041446855.1 uncharacterized protein LOC121403130 [Xenopus laevis]</t>
        </is>
      </c>
      <c r="M10770" t="n">
        <v>1010</v>
      </c>
      <c r="N10770" t="inlineStr">
        <is>
          <t>Xenopus laevis</t>
        </is>
      </c>
      <c r="O10770" t="inlineStr">
        <is>
          <t>uncharacterized protein LOC121403130</t>
        </is>
      </c>
    </row>
    <row r="10771">
      <c r="A10771" t="inlineStr"/>
      <c r="B10771" t="inlineStr"/>
      <c r="C10771" t="inlineStr"/>
      <c r="D10771" t="inlineStr"/>
      <c r="E10771">
        <f>HYPERLINK("https://www.ncbi.nlm.nih.gov/gene/?term=XP_044134874.1", "XP_044134874.1")</f>
        <v/>
      </c>
      <c r="F10771" t="n">
        <v>48</v>
      </c>
      <c r="G10771" t="n">
        <v>229</v>
      </c>
      <c r="H10771" t="n">
        <v>1.28e-56</v>
      </c>
      <c r="I10771" t="inlineStr">
        <is>
          <t>Nr</t>
        </is>
      </c>
      <c r="J10771" t="inlineStr"/>
      <c r="K10771" t="inlineStr"/>
      <c r="L10771" t="inlineStr">
        <is>
          <t>XP_044134874.1 F-box/WD repeat-containing protein 9 isoform X1 [Bufo gargarizans]</t>
        </is>
      </c>
      <c r="M10771" t="n">
        <v>787</v>
      </c>
      <c r="N10771" t="inlineStr">
        <is>
          <t>Bufo gargarizans</t>
        </is>
      </c>
      <c r="O10771" t="inlineStr">
        <is>
          <t>F-box/WD repeat-containing protein 9 isoform X1</t>
        </is>
      </c>
    </row>
    <row r="10772">
      <c r="A10772" t="inlineStr"/>
      <c r="B10772" t="inlineStr"/>
      <c r="C10772" t="inlineStr"/>
      <c r="D10772" t="inlineStr"/>
      <c r="E10772">
        <f>HYPERLINK("https://www.uniprot.org/uniprotkb/A0A8T1TFL3/entry", "A0A8T1TFL3")</f>
        <v/>
      </c>
      <c r="F10772" t="n">
        <v>40.1</v>
      </c>
      <c r="G10772" t="n">
        <v>262</v>
      </c>
      <c r="H10772" t="n">
        <v>9.720000000000001e-56</v>
      </c>
      <c r="I10772" t="inlineStr">
        <is>
          <t>TrEMBL</t>
        </is>
      </c>
      <c r="J10772" t="inlineStr">
        <is>
          <t>G0U57_000749</t>
        </is>
      </c>
      <c r="K10772" t="inlineStr">
        <is>
          <t>A0A8T1TFL3_CHESE</t>
        </is>
      </c>
      <c r="L10772" t="inlineStr">
        <is>
          <t>tr|A0A8T1TFL3|A0A8T1TFL3_CHESE ribonuclease H OS=Chelydra serpentina OX=8475 GN=G0U57_000749 PE=3 SV=1</t>
        </is>
      </c>
      <c r="M10772" t="n">
        <v>684</v>
      </c>
      <c r="N10772" t="inlineStr">
        <is>
          <t>Chelydra serpentina</t>
        </is>
      </c>
      <c r="O10772" t="inlineStr">
        <is>
          <t>ribonuclease H</t>
        </is>
      </c>
    </row>
    <row r="10773">
      <c r="A10773" t="inlineStr"/>
      <c r="B10773" t="inlineStr"/>
      <c r="C10773" t="inlineStr"/>
      <c r="D10773" t="inlineStr"/>
      <c r="E10773">
        <f>HYPERLINK("https://www.ncbi.nlm.nih.gov/gene/?term=KAG6939595.1", "KAG6939595.1")</f>
        <v/>
      </c>
      <c r="F10773" t="n">
        <v>40.1</v>
      </c>
      <c r="G10773" t="n">
        <v>262</v>
      </c>
      <c r="H10773" t="n">
        <v>2.5e-55</v>
      </c>
      <c r="I10773" t="inlineStr">
        <is>
          <t>Nr</t>
        </is>
      </c>
      <c r="J10773" t="inlineStr"/>
      <c r="K10773" t="inlineStr"/>
      <c r="L10773" t="inlineStr">
        <is>
          <t>KAG6939595.1 ORF 3 [Chelydra serpentina]</t>
        </is>
      </c>
      <c r="M10773" t="n">
        <v>684</v>
      </c>
      <c r="N10773" t="inlineStr">
        <is>
          <t>Chelydra serpentina</t>
        </is>
      </c>
      <c r="O10773" t="inlineStr">
        <is>
          <t>ORF 3</t>
        </is>
      </c>
    </row>
    <row r="10774">
      <c r="A10774" t="inlineStr"/>
      <c r="B10774" t="inlineStr"/>
      <c r="C10774" t="inlineStr"/>
      <c r="D10774" t="inlineStr"/>
      <c r="E10774">
        <f>HYPERLINK("https://www.uniprot.org/uniprotkb/A0A2D4M3Y6/entry", "A0A2D4M3Y6")</f>
        <v/>
      </c>
      <c r="F10774" t="n">
        <v>41.1</v>
      </c>
      <c r="G10774" t="n">
        <v>265</v>
      </c>
      <c r="H10774" t="n">
        <v>4.44e-55</v>
      </c>
      <c r="I10774" t="inlineStr">
        <is>
          <t>TrEMBL</t>
        </is>
      </c>
      <c r="J10774" t="inlineStr"/>
      <c r="K10774" t="inlineStr">
        <is>
          <t>A0A2D4M3Y6_9SAUR</t>
        </is>
      </c>
      <c r="L10774" t="inlineStr">
        <is>
          <t>tr|A0A2D4M3Y6|A0A2D4M3Y6_9SAUR ribonuclease H (Fragment) OS=Micrurus spixii OX=129469 PE=3 SV=1</t>
        </is>
      </c>
      <c r="M10774" t="n">
        <v>372</v>
      </c>
      <c r="N10774" t="inlineStr">
        <is>
          <t>Micrurus spixii</t>
        </is>
      </c>
      <c r="O10774" t="inlineStr">
        <is>
          <t>ribonuclease H (Fragment)</t>
        </is>
      </c>
    </row>
    <row r="10775">
      <c r="A10775" t="inlineStr"/>
      <c r="B10775" t="inlineStr"/>
      <c r="C10775" t="inlineStr"/>
      <c r="D10775" t="inlineStr"/>
      <c r="E10775">
        <f>HYPERLINK("https://www.uniprot.org/uniprotkb/A0A8J1MS43/entry", "A0A8J1MS43")</f>
        <v/>
      </c>
      <c r="F10775" t="n">
        <v>42.4</v>
      </c>
      <c r="G10775" t="n">
        <v>255</v>
      </c>
      <c r="H10775" t="n">
        <v>1.28e-54</v>
      </c>
      <c r="I10775" t="inlineStr">
        <is>
          <t>TrEMBL</t>
        </is>
      </c>
      <c r="J10775" t="inlineStr">
        <is>
          <t>LOC121402168</t>
        </is>
      </c>
      <c r="K10775" t="inlineStr">
        <is>
          <t>A0A8J1MS43_XENLA</t>
        </is>
      </c>
      <c r="L10775" t="inlineStr">
        <is>
          <t>tr|A0A8J1MS43|A0A8J1MS43_XENLA ribonuclease H OS=Xenopus laevis OX=8355 GN=LOC121402168 PE=3 SV=1</t>
        </is>
      </c>
      <c r="M10775" t="n">
        <v>1068</v>
      </c>
      <c r="N10775" t="inlineStr">
        <is>
          <t>Xenopus laevis</t>
        </is>
      </c>
      <c r="O10775" t="inlineStr">
        <is>
          <t>ribonuclease H</t>
        </is>
      </c>
    </row>
    <row r="10776">
      <c r="A10776" t="inlineStr"/>
      <c r="B10776" t="inlineStr"/>
      <c r="C10776" t="inlineStr"/>
      <c r="D10776" t="inlineStr"/>
      <c r="E10776">
        <f>HYPERLINK("https://www.ncbi.nlm.nih.gov/gene/?term=XP_039189596.1", "XP_039189596.1")</f>
        <v/>
      </c>
      <c r="F10776" t="n">
        <v>39.6</v>
      </c>
      <c r="G10776" t="n">
        <v>265</v>
      </c>
      <c r="H10776" t="n">
        <v>2.829999999999999e-54</v>
      </c>
      <c r="I10776" t="inlineStr">
        <is>
          <t>Nr</t>
        </is>
      </c>
      <c r="J10776" t="inlineStr"/>
      <c r="K10776" t="inlineStr"/>
      <c r="L10776" t="inlineStr">
        <is>
          <t>XP_039189596.1 kelch-like protein 14 isoform X2 [Crotalus tigris]</t>
        </is>
      </c>
      <c r="M10776" t="n">
        <v>549</v>
      </c>
      <c r="N10776" t="inlineStr">
        <is>
          <t>Crotalus tigris</t>
        </is>
      </c>
      <c r="O10776" t="inlineStr">
        <is>
          <t>kelch-like protein 14 isoform X2</t>
        </is>
      </c>
    </row>
    <row r="10777">
      <c r="A10777" t="inlineStr"/>
      <c r="B10777" t="inlineStr"/>
      <c r="C10777" t="inlineStr"/>
      <c r="D10777" t="inlineStr"/>
      <c r="E10777">
        <f>HYPERLINK("https://www.ncbi.nlm.nih.gov/gene/?term=XP_041444275.1", "XP_041444275.1")</f>
        <v/>
      </c>
      <c r="F10777" t="n">
        <v>42.4</v>
      </c>
      <c r="G10777" t="n">
        <v>255</v>
      </c>
      <c r="H10777" t="n">
        <v>3.29e-54</v>
      </c>
      <c r="I10777" t="inlineStr">
        <is>
          <t>Nr</t>
        </is>
      </c>
      <c r="J10777" t="inlineStr"/>
      <c r="K10777" t="inlineStr"/>
      <c r="L10777" t="inlineStr">
        <is>
          <t>XP_041444275.1 uncharacterized protein LOC121402168 [Xenopus laevis]</t>
        </is>
      </c>
      <c r="M10777" t="n">
        <v>1068</v>
      </c>
      <c r="N10777" t="inlineStr">
        <is>
          <t>Xenopus laevis</t>
        </is>
      </c>
      <c r="O10777" t="inlineStr">
        <is>
          <t>uncharacterized protein LOC121402168</t>
        </is>
      </c>
    </row>
    <row r="10778">
      <c r="A10778" t="inlineStr"/>
      <c r="B10778" t="inlineStr"/>
      <c r="C10778" t="inlineStr"/>
      <c r="D10778" t="inlineStr"/>
      <c r="E10778">
        <f>HYPERLINK("https://www.uniprot.org/uniprotkb/A0A2D4KEW8/entry", "A0A2D4KEW8")</f>
        <v/>
      </c>
      <c r="F10778" t="n">
        <v>41.8</v>
      </c>
      <c r="G10778" t="n">
        <v>237</v>
      </c>
      <c r="H10778" t="n">
        <v>3.87e-54</v>
      </c>
      <c r="I10778" t="inlineStr">
        <is>
          <t>TrEMBL</t>
        </is>
      </c>
      <c r="J10778" t="inlineStr"/>
      <c r="K10778" t="inlineStr">
        <is>
          <t>A0A2D4KEW8_9SAUR</t>
        </is>
      </c>
      <c r="L10778" t="inlineStr">
        <is>
          <t>tr|A0A2D4KEW8|A0A2D4KEW8_9SAUR ribonuclease H (Fragment) OS=Micrurus paraensis OX=1970185 PE=3 SV=1</t>
        </is>
      </c>
      <c r="M10778" t="n">
        <v>288</v>
      </c>
      <c r="N10778" t="inlineStr">
        <is>
          <t>Micrurus paraensis</t>
        </is>
      </c>
      <c r="O10778" t="inlineStr">
        <is>
          <t>ribonuclease H (Fragment)</t>
        </is>
      </c>
    </row>
    <row r="10779">
      <c r="A10779" t="inlineStr"/>
      <c r="B10779" t="inlineStr"/>
      <c r="C10779" t="inlineStr"/>
      <c r="D10779" t="inlineStr"/>
      <c r="E10779">
        <f>HYPERLINK("https://www.uniprot.org/uniprotkb/A0A6P9D0P1/entry", "A0A6P9D0P1")</f>
        <v/>
      </c>
      <c r="F10779" t="n">
        <v>38.7</v>
      </c>
      <c r="G10779" t="n">
        <v>310</v>
      </c>
      <c r="H10779" t="n">
        <v>5.299999999999999e-54</v>
      </c>
      <c r="I10779" t="inlineStr">
        <is>
          <t>TrEMBL</t>
        </is>
      </c>
      <c r="J10779" t="inlineStr">
        <is>
          <t>LOC117675085</t>
        </is>
      </c>
      <c r="K10779" t="inlineStr">
        <is>
          <t>A0A6P9D0P1_PANGU</t>
        </is>
      </c>
      <c r="L10779" t="inlineStr">
        <is>
          <t>tr|A0A6P9D0P1|A0A6P9D0P1_PANGU ribonuclease H OS=Pantherophis guttatus OX=94885 GN=LOC117675085 PE=3 SV=1</t>
        </is>
      </c>
      <c r="M10779" t="n">
        <v>1211</v>
      </c>
      <c r="N10779" t="inlineStr">
        <is>
          <t>Pantherophis guttatus</t>
        </is>
      </c>
      <c r="O10779" t="inlineStr">
        <is>
          <t>ribonuclease H</t>
        </is>
      </c>
    </row>
    <row r="10780">
      <c r="A10780" t="inlineStr"/>
      <c r="B10780" t="inlineStr"/>
      <c r="C10780" t="inlineStr"/>
      <c r="D10780" t="inlineStr"/>
      <c r="E10780">
        <f>HYPERLINK("https://www.ncbi.nlm.nih.gov/gene/?term=XP_034289304.1", "XP_034289304.1")</f>
        <v/>
      </c>
      <c r="F10780" t="n">
        <v>38.7</v>
      </c>
      <c r="G10780" t="n">
        <v>310</v>
      </c>
      <c r="H10780" t="n">
        <v>1.36e-53</v>
      </c>
      <c r="I10780" t="inlineStr">
        <is>
          <t>Nr</t>
        </is>
      </c>
      <c r="J10780" t="inlineStr"/>
      <c r="K10780" t="inlineStr"/>
      <c r="L10780" t="inlineStr">
        <is>
          <t>XP_034289304.1 uncharacterized protein LOC117675085 [Pantherophis guttatus]</t>
        </is>
      </c>
      <c r="M10780" t="n">
        <v>1211</v>
      </c>
      <c r="N10780" t="inlineStr">
        <is>
          <t>Pantherophis guttatus</t>
        </is>
      </c>
      <c r="O10780" t="inlineStr">
        <is>
          <t>uncharacterized protein LOC117675085</t>
        </is>
      </c>
    </row>
    <row r="10781">
      <c r="A10781" t="inlineStr"/>
      <c r="B10781" t="inlineStr"/>
      <c r="C10781" t="inlineStr"/>
      <c r="D10781" t="inlineStr"/>
      <c r="E10781">
        <f>HYPERLINK("https://www.ncbi.nlm.nih.gov/gene/?term=XP_030262951.1", "XP_030262951.1")</f>
        <v/>
      </c>
      <c r="F10781" t="n">
        <v>41</v>
      </c>
      <c r="G10781" t="n">
        <v>290</v>
      </c>
      <c r="H10781" t="n">
        <v>1.75e-53</v>
      </c>
      <c r="I10781" t="inlineStr">
        <is>
          <t>Nr</t>
        </is>
      </c>
      <c r="J10781" t="inlineStr"/>
      <c r="K10781" t="inlineStr"/>
      <c r="L10781" t="inlineStr">
        <is>
          <t>XP_030262951.1 uncharacterized protein LOC115575226 [Sparus aurata]</t>
        </is>
      </c>
      <c r="M10781" t="n">
        <v>1141</v>
      </c>
      <c r="N10781" t="inlineStr">
        <is>
          <t>Sparus aurata</t>
        </is>
      </c>
      <c r="O10781" t="inlineStr">
        <is>
          <t>uncharacterized protein LOC115575226</t>
        </is>
      </c>
    </row>
    <row r="10782">
      <c r="A10782" t="inlineStr"/>
      <c r="B10782" t="inlineStr"/>
      <c r="C10782" t="inlineStr"/>
      <c r="D10782" t="inlineStr"/>
      <c r="E10782">
        <f>HYPERLINK("https://www.uniprot.org/uniprotkb/A0A803JUN8/entry", "A0A803JUN8")</f>
        <v/>
      </c>
      <c r="F10782" t="n">
        <v>39.2</v>
      </c>
      <c r="G10782" t="n">
        <v>288</v>
      </c>
      <c r="H10782" t="n">
        <v>4.72e-53</v>
      </c>
      <c r="I10782" t="inlineStr">
        <is>
          <t>TrEMBL</t>
        </is>
      </c>
      <c r="J10782" t="inlineStr"/>
      <c r="K10782" t="inlineStr">
        <is>
          <t>A0A803JUN8_XENTR</t>
        </is>
      </c>
      <c r="L10782" t="inlineStr">
        <is>
          <t>tr|A0A803JUN8|A0A803JUN8_XENTR ribonuclease H OS=Xenopus tropicalis OX=8364 PE=3 SV=1</t>
        </is>
      </c>
      <c r="M10782" t="n">
        <v>1308</v>
      </c>
      <c r="N10782" t="inlineStr">
        <is>
          <t>Xenopus tropicalis</t>
        </is>
      </c>
      <c r="O10782" t="inlineStr">
        <is>
          <t>ribonuclease H</t>
        </is>
      </c>
    </row>
    <row r="10783">
      <c r="A10783" t="inlineStr"/>
      <c r="B10783" t="inlineStr"/>
      <c r="C10783" t="inlineStr"/>
      <c r="D10783" t="inlineStr"/>
      <c r="E10783">
        <f>HYPERLINK("https://www.uniprot.org/uniprotkb/A0A8J1MUG6/entry", "A0A8J1MUG6")</f>
        <v/>
      </c>
      <c r="F10783" t="n">
        <v>35.9</v>
      </c>
      <c r="G10783" t="n">
        <v>295</v>
      </c>
      <c r="H10783" t="n">
        <v>5.05e-53</v>
      </c>
      <c r="I10783" t="inlineStr">
        <is>
          <t>TrEMBL</t>
        </is>
      </c>
      <c r="J10783" t="inlineStr">
        <is>
          <t>LOC121402804</t>
        </is>
      </c>
      <c r="K10783" t="inlineStr">
        <is>
          <t>A0A8J1MUG6_XENLA</t>
        </is>
      </c>
      <c r="L10783" t="inlineStr">
        <is>
          <t>tr|A0A8J1MUG6|A0A8J1MUG6_XENLA ribonuclease H OS=Xenopus laevis OX=8355 GN=LOC121402804 PE=3 SV=1</t>
        </is>
      </c>
      <c r="M10783" t="n">
        <v>1044</v>
      </c>
      <c r="N10783" t="inlineStr">
        <is>
          <t>Xenopus laevis</t>
        </is>
      </c>
      <c r="O10783" t="inlineStr">
        <is>
          <t>ribonuclease H</t>
        </is>
      </c>
    </row>
    <row r="10784">
      <c r="A10784" t="inlineStr"/>
      <c r="B10784" t="inlineStr"/>
      <c r="C10784" t="inlineStr"/>
      <c r="D10784" t="inlineStr"/>
      <c r="E10784">
        <f>HYPERLINK("https://www.ncbi.nlm.nih.gov/gene/?term=XP_053138354.1", "XP_053138354.1")</f>
        <v/>
      </c>
      <c r="F10784" t="n">
        <v>42.9</v>
      </c>
      <c r="G10784" t="n">
        <v>268</v>
      </c>
      <c r="H10784" t="n">
        <v>6.52e-53</v>
      </c>
      <c r="I10784" t="inlineStr">
        <is>
          <t>Nr</t>
        </is>
      </c>
      <c r="J10784" t="inlineStr"/>
      <c r="K10784" t="inlineStr"/>
      <c r="L10784" t="inlineStr">
        <is>
          <t>XP_053138354.1 uncharacterized protein LOC128339002 [Hemicordylus capensis]</t>
        </is>
      </c>
      <c r="M10784" t="n">
        <v>1282</v>
      </c>
      <c r="N10784" t="inlineStr">
        <is>
          <t>Hemicordylus capensis</t>
        </is>
      </c>
      <c r="O10784" t="inlineStr">
        <is>
          <t>uncharacterized protein LOC128339002</t>
        </is>
      </c>
    </row>
    <row r="10785">
      <c r="A10785" t="inlineStr"/>
      <c r="B10785" t="inlineStr"/>
      <c r="C10785" t="inlineStr"/>
      <c r="D10785" t="inlineStr"/>
      <c r="E10785">
        <f>HYPERLINK("https://www.ncbi.nlm.nih.gov/gene/?term=XP_041445392.1", "XP_041445392.1")</f>
        <v/>
      </c>
      <c r="F10785" t="n">
        <v>35.9</v>
      </c>
      <c r="G10785" t="n">
        <v>295</v>
      </c>
      <c r="H10785" t="n">
        <v>1.3e-52</v>
      </c>
      <c r="I10785" t="inlineStr">
        <is>
          <t>Nr</t>
        </is>
      </c>
      <c r="J10785" t="inlineStr"/>
      <c r="K10785" t="inlineStr"/>
      <c r="L10785" t="inlineStr">
        <is>
          <t>XP_041445392.1 uncharacterized protein LOC121402804 [Xenopus laevis]</t>
        </is>
      </c>
      <c r="M10785" t="n">
        <v>1044</v>
      </c>
      <c r="N10785" t="inlineStr">
        <is>
          <t>Xenopus laevis</t>
        </is>
      </c>
      <c r="O10785" t="inlineStr">
        <is>
          <t>uncharacterized protein LOC121402804</t>
        </is>
      </c>
    </row>
    <row r="10786">
      <c r="A10786" t="inlineStr"/>
      <c r="B10786" t="inlineStr"/>
      <c r="C10786" t="inlineStr"/>
      <c r="D10786" t="inlineStr"/>
      <c r="E10786">
        <f>HYPERLINK("https://www.ncbi.nlm.nih.gov/gene/?term=XP_018418463.1", "XP_018418463.1")</f>
        <v/>
      </c>
      <c r="F10786" t="n">
        <v>49.6</v>
      </c>
      <c r="G10786" t="n">
        <v>224</v>
      </c>
      <c r="H10786" t="n">
        <v>1.44e-52</v>
      </c>
      <c r="I10786" t="inlineStr">
        <is>
          <t>Nr</t>
        </is>
      </c>
      <c r="J10786" t="inlineStr"/>
      <c r="K10786" t="inlineStr"/>
      <c r="L10786" t="inlineStr">
        <is>
          <t>XP_018418463.1 PREDICTED: DNA-dependent protein kinase catalytic subunit [Nanorana parkeri]</t>
        </is>
      </c>
      <c r="M10786" t="n">
        <v>4481</v>
      </c>
      <c r="N10786" t="inlineStr">
        <is>
          <t>Nanorana parkeri</t>
        </is>
      </c>
      <c r="O10786" t="inlineStr">
        <is>
          <t>PREDICTED: DNA-dependent protein kinase catalytic subunit</t>
        </is>
      </c>
    </row>
    <row r="10787">
      <c r="A10787" t="inlineStr"/>
      <c r="B10787" t="inlineStr"/>
      <c r="C10787" t="inlineStr"/>
      <c r="D10787" t="inlineStr"/>
      <c r="E10787">
        <f>HYPERLINK("https://www.ncbi.nlm.nih.gov/gene/?term=XP_037611715.1", "XP_037611715.1")</f>
        <v/>
      </c>
      <c r="F10787" t="n">
        <v>39.7</v>
      </c>
      <c r="G10787" t="n">
        <v>277</v>
      </c>
      <c r="H10787" t="n">
        <v>2.87e-52</v>
      </c>
      <c r="I10787" t="inlineStr">
        <is>
          <t>Nr</t>
        </is>
      </c>
      <c r="J10787" t="inlineStr"/>
      <c r="K10787" t="inlineStr"/>
      <c r="L10787" t="inlineStr">
        <is>
          <t>XP_037611715.1 uncharacterized protein LOC119479819 [Sebastes umbrosus]</t>
        </is>
      </c>
      <c r="M10787" t="n">
        <v>918</v>
      </c>
      <c r="N10787" t="inlineStr">
        <is>
          <t>Sebastes umbrosus</t>
        </is>
      </c>
      <c r="O10787" t="inlineStr">
        <is>
          <t>uncharacterized protein LOC119479819</t>
        </is>
      </c>
    </row>
    <row r="10788">
      <c r="A10788" t="inlineStr"/>
      <c r="B10788" t="inlineStr"/>
      <c r="C10788" t="inlineStr"/>
      <c r="D10788" t="inlineStr"/>
      <c r="E10788">
        <f>HYPERLINK("https://www.ncbi.nlm.nih.gov/gene/?term=XP_044153533.1", "XP_044153533.1")</f>
        <v/>
      </c>
      <c r="F10788" t="n">
        <v>39.1</v>
      </c>
      <c r="G10788" t="n">
        <v>276</v>
      </c>
      <c r="H10788" t="n">
        <v>4.05e-52</v>
      </c>
      <c r="I10788" t="inlineStr">
        <is>
          <t>Nr</t>
        </is>
      </c>
      <c r="J10788" t="inlineStr"/>
      <c r="K10788" t="inlineStr"/>
      <c r="L10788" t="inlineStr">
        <is>
          <t>XP_044153533.1 uncharacterized protein LOC122940815 [Bufo gargarizans]</t>
        </is>
      </c>
      <c r="M10788" t="n">
        <v>528</v>
      </c>
      <c r="N10788" t="inlineStr">
        <is>
          <t>Bufo gargarizans</t>
        </is>
      </c>
      <c r="O10788" t="inlineStr">
        <is>
          <t>uncharacterized protein LOC122940815</t>
        </is>
      </c>
    </row>
    <row r="10789">
      <c r="A10789" t="inlineStr"/>
      <c r="B10789" t="inlineStr"/>
      <c r="C10789" t="inlineStr"/>
      <c r="D10789" t="inlineStr"/>
      <c r="E10789">
        <f>HYPERLINK("https://www.ncbi.nlm.nih.gov/gene/?term=XP_044155370.1", "XP_044155370.1")</f>
        <v/>
      </c>
      <c r="F10789" t="n">
        <v>40.1</v>
      </c>
      <c r="G10789" t="n">
        <v>269</v>
      </c>
      <c r="H10789" t="n">
        <v>4.07e-52</v>
      </c>
      <c r="I10789" t="inlineStr">
        <is>
          <t>Nr</t>
        </is>
      </c>
      <c r="J10789" t="inlineStr"/>
      <c r="K10789" t="inlineStr"/>
      <c r="L10789" t="inlineStr">
        <is>
          <t>XP_044155370.1 uncharacterized protein LOC122941935 [Bufo gargarizans]</t>
        </is>
      </c>
      <c r="M10789" t="n">
        <v>697</v>
      </c>
      <c r="N10789" t="inlineStr">
        <is>
          <t>Bufo gargarizans</t>
        </is>
      </c>
      <c r="O10789" t="inlineStr">
        <is>
          <t>uncharacterized protein LOC122941935</t>
        </is>
      </c>
    </row>
    <row r="10790">
      <c r="A10790" t="inlineStr"/>
      <c r="B10790" t="inlineStr"/>
      <c r="C10790" t="inlineStr"/>
      <c r="D10790" t="inlineStr"/>
      <c r="E10790">
        <f>HYPERLINK("https://www.ncbi.nlm.nih.gov/gene/?term=XP_044131826.1", "XP_044131826.1")</f>
        <v/>
      </c>
      <c r="F10790" t="n">
        <v>40.1</v>
      </c>
      <c r="G10790" t="n">
        <v>269</v>
      </c>
      <c r="H10790" t="n">
        <v>4.07e-52</v>
      </c>
      <c r="I10790" t="inlineStr">
        <is>
          <t>Nr</t>
        </is>
      </c>
      <c r="J10790" t="inlineStr"/>
      <c r="K10790" t="inlineStr"/>
      <c r="L10790" t="inlineStr">
        <is>
          <t>XP_044131826.1 uncharacterized protein LOC122924618 [Bufo gargarizans]</t>
        </is>
      </c>
      <c r="M10790" t="n">
        <v>697</v>
      </c>
      <c r="N10790" t="inlineStr">
        <is>
          <t>Bufo gargarizans</t>
        </is>
      </c>
      <c r="O10790" t="inlineStr">
        <is>
          <t>uncharacterized protein LOC122924618</t>
        </is>
      </c>
    </row>
    <row r="10791">
      <c r="A10791" t="inlineStr"/>
      <c r="B10791" t="inlineStr"/>
      <c r="C10791" t="inlineStr"/>
      <c r="D10791" t="inlineStr"/>
      <c r="E10791">
        <f>HYPERLINK("https://www.ncbi.nlm.nih.gov/gene/?term=XP_037637109.1", "XP_037637109.1")</f>
        <v/>
      </c>
      <c r="F10791" t="n">
        <v>39.5</v>
      </c>
      <c r="G10791" t="n">
        <v>281</v>
      </c>
      <c r="H10791" t="n">
        <v>5.05e-52</v>
      </c>
      <c r="I10791" t="inlineStr">
        <is>
          <t>Nr</t>
        </is>
      </c>
      <c r="J10791" t="inlineStr"/>
      <c r="K10791" t="inlineStr"/>
      <c r="L10791" t="inlineStr">
        <is>
          <t>XP_037637109.1 uncharacterized protein LOC119494940 [Sebastes umbrosus]</t>
        </is>
      </c>
      <c r="M10791" t="n">
        <v>1116</v>
      </c>
      <c r="N10791" t="inlineStr">
        <is>
          <t>Sebastes umbrosus</t>
        </is>
      </c>
      <c r="O10791" t="inlineStr">
        <is>
          <t>uncharacterized protein LOC119494940</t>
        </is>
      </c>
    </row>
    <row r="10792">
      <c r="A10792" t="inlineStr"/>
      <c r="B10792" t="inlineStr"/>
      <c r="C10792" t="inlineStr"/>
      <c r="D10792" t="inlineStr"/>
      <c r="E10792">
        <f>HYPERLINK("https://www.ncbi.nlm.nih.gov/gene/?term=XP_044151545.1", "XP_044151545.1")</f>
        <v/>
      </c>
      <c r="F10792" t="n">
        <v>53.2</v>
      </c>
      <c r="G10792" t="n">
        <v>173</v>
      </c>
      <c r="H10792" t="n">
        <v>1.24e-51</v>
      </c>
      <c r="I10792" t="inlineStr">
        <is>
          <t>Nr</t>
        </is>
      </c>
      <c r="J10792" t="inlineStr"/>
      <c r="K10792" t="inlineStr"/>
      <c r="L10792" t="inlineStr">
        <is>
          <t>XP_044151545.1 nuclear pore complex protein Nup155 [Bufo gargarizans]</t>
        </is>
      </c>
      <c r="M10792" t="n">
        <v>1594</v>
      </c>
      <c r="N10792" t="inlineStr">
        <is>
          <t>Bufo gargarizans</t>
        </is>
      </c>
      <c r="O10792" t="inlineStr">
        <is>
          <t>nuclear pore complex protein Nup155</t>
        </is>
      </c>
    </row>
    <row r="10793">
      <c r="A10793" t="inlineStr"/>
      <c r="B10793" t="inlineStr"/>
      <c r="C10793" t="inlineStr"/>
      <c r="D10793" t="inlineStr"/>
      <c r="E10793">
        <f>HYPERLINK("https://www.uniprot.org/uniprotkb/A0A803KCG1/entry", "A0A803KCG1")</f>
        <v/>
      </c>
      <c r="F10793" t="n">
        <v>38</v>
      </c>
      <c r="G10793" t="n">
        <v>276</v>
      </c>
      <c r="H10793" t="n">
        <v>2.01e-51</v>
      </c>
      <c r="I10793" t="inlineStr">
        <is>
          <t>TrEMBL</t>
        </is>
      </c>
      <c r="J10793" t="inlineStr"/>
      <c r="K10793" t="inlineStr">
        <is>
          <t>A0A803KCG1_XENTR</t>
        </is>
      </c>
      <c r="L10793" t="inlineStr">
        <is>
          <t>tr|A0A803KCG1|A0A803KCG1_XENTR ribonuclease H OS=Xenopus tropicalis OX=8364 PE=3 SV=1</t>
        </is>
      </c>
      <c r="M10793" t="n">
        <v>1026</v>
      </c>
      <c r="N10793" t="inlineStr">
        <is>
          <t>Xenopus tropicalis</t>
        </is>
      </c>
      <c r="O10793" t="inlineStr">
        <is>
          <t>ribonuclease H</t>
        </is>
      </c>
    </row>
    <row r="10794">
      <c r="A10794" t="inlineStr"/>
      <c r="B10794" t="inlineStr"/>
      <c r="C10794" t="inlineStr"/>
      <c r="D10794" t="inlineStr"/>
      <c r="E10794">
        <f>HYPERLINK("https://www.uniprot.org/uniprotkb/A0A6I9X478/entry", "A0A6I9X478")</f>
        <v/>
      </c>
      <c r="F10794" t="n">
        <v>43</v>
      </c>
      <c r="G10794" t="n">
        <v>265</v>
      </c>
      <c r="H10794" t="n">
        <v>1.22e-50</v>
      </c>
      <c r="I10794" t="inlineStr">
        <is>
          <t>TrEMBL</t>
        </is>
      </c>
      <c r="J10794" t="inlineStr">
        <is>
          <t>LOC106538964</t>
        </is>
      </c>
      <c r="K10794" t="inlineStr">
        <is>
          <t>A0A6I9X478_9SAUR</t>
        </is>
      </c>
      <c r="L10794" t="inlineStr">
        <is>
          <t>tr|A0A6I9X478|A0A6I9X478_9SAUR ubiquitin carboxyl-terminal hydrolase 7-like OS=Thamnophis sirtalis OX=35019 GN=LOC106538964 PE=3 SV=1</t>
        </is>
      </c>
      <c r="M10794" t="n">
        <v>1509</v>
      </c>
      <c r="N10794" t="inlineStr">
        <is>
          <t>Thamnophis sirtalis</t>
        </is>
      </c>
      <c r="O10794" t="inlineStr">
        <is>
          <t>ubiquitin carboxyl-terminal hydrolase 7-like</t>
        </is>
      </c>
    </row>
    <row r="10795">
      <c r="A10795" t="inlineStr"/>
      <c r="B10795" t="inlineStr"/>
      <c r="C10795" t="inlineStr"/>
      <c r="D10795" t="inlineStr"/>
      <c r="E10795">
        <f>HYPERLINK("https://www.uniprot.org/uniprotkb/A0A8B6C3Z9/entry", "A0A8B6C3Z9")</f>
        <v/>
      </c>
      <c r="F10795" t="n">
        <v>39</v>
      </c>
      <c r="G10795" t="n">
        <v>272</v>
      </c>
      <c r="H10795" t="n">
        <v>4.47e-49</v>
      </c>
      <c r="I10795" t="inlineStr">
        <is>
          <t>TrEMBL</t>
        </is>
      </c>
      <c r="J10795" t="inlineStr">
        <is>
          <t>MGAL_10B024451</t>
        </is>
      </c>
      <c r="K10795" t="inlineStr">
        <is>
          <t>A0A8B6C3Z9_MYTGA</t>
        </is>
      </c>
      <c r="L10795" t="inlineStr">
        <is>
          <t>tr|A0A8B6C3Z9|A0A8B6C3Z9_MYTGA Reverse transcriptase domain-containing protein (Fragment) OS=Mytilus galloprovincialis OX=29158 GN=MGAL_10B024451 PE=4 SV=1</t>
        </is>
      </c>
      <c r="M10795" t="n">
        <v>506</v>
      </c>
      <c r="N10795" t="inlineStr">
        <is>
          <t>Mytilus galloprovincialis</t>
        </is>
      </c>
      <c r="O10795" t="inlineStr">
        <is>
          <t>Reverse transcriptase domain-containing protein (Fragment)</t>
        </is>
      </c>
    </row>
    <row r="10796">
      <c r="A10796" t="inlineStr"/>
      <c r="B10796" t="inlineStr"/>
      <c r="C10796" t="inlineStr"/>
      <c r="D10796" t="inlineStr"/>
      <c r="E10796">
        <f>HYPERLINK("https://www.uniprot.org/uniprotkb/A0A6P9D7Z7/entry", "A0A6P9D7Z7")</f>
        <v/>
      </c>
      <c r="F10796" t="n">
        <v>41.1</v>
      </c>
      <c r="G10796" t="n">
        <v>258</v>
      </c>
      <c r="H10796" t="n">
        <v>9.520000000000001e-49</v>
      </c>
      <c r="I10796" t="inlineStr">
        <is>
          <t>TrEMBL</t>
        </is>
      </c>
      <c r="J10796" t="inlineStr">
        <is>
          <t>THSD7B</t>
        </is>
      </c>
      <c r="K10796" t="inlineStr">
        <is>
          <t>A0A6P9D7Z7_PANGU</t>
        </is>
      </c>
      <c r="L10796" t="inlineStr">
        <is>
          <t>tr|A0A6P9D7Z7|A0A6P9D7Z7_PANGU ribonuclease H OS=Pantherophis guttatus OX=94885 GN=THSD7B PE=3 SV=1</t>
        </is>
      </c>
      <c r="M10796" t="n">
        <v>2236</v>
      </c>
      <c r="N10796" t="inlineStr">
        <is>
          <t>Pantherophis guttatus</t>
        </is>
      </c>
      <c r="O10796" t="inlineStr">
        <is>
          <t>ribonuclease H</t>
        </is>
      </c>
    </row>
    <row r="10797">
      <c r="A10797" t="inlineStr"/>
      <c r="B10797" t="inlineStr"/>
      <c r="C10797" t="inlineStr"/>
      <c r="D10797" t="inlineStr"/>
      <c r="E10797">
        <f>HYPERLINK("https://www.uniprot.org/uniprotkb/A0A8M1KDK6/entry", "A0A8M1KDK6")</f>
        <v/>
      </c>
      <c r="F10797" t="n">
        <v>39.6</v>
      </c>
      <c r="G10797" t="n">
        <v>283</v>
      </c>
      <c r="H10797" t="n">
        <v>1.34e-48</v>
      </c>
      <c r="I10797" t="inlineStr">
        <is>
          <t>TrEMBL</t>
        </is>
      </c>
      <c r="J10797" t="inlineStr">
        <is>
          <t>LOC122131476</t>
        </is>
      </c>
      <c r="K10797" t="inlineStr">
        <is>
          <t>A0A8M1KDK6_CLUHA</t>
        </is>
      </c>
      <c r="L10797" t="inlineStr">
        <is>
          <t>tr|A0A8M1KDK6|A0A8M1KDK6_CLUHA LOW QUALITY PROTEIN: uncharacterized protein LOC122131476 OS=Clupea harengus OX=7950 GN=LOC122131476 PE=4 SV=1</t>
        </is>
      </c>
      <c r="M10797" t="n">
        <v>909</v>
      </c>
      <c r="N10797" t="inlineStr">
        <is>
          <t>Clupea harengus</t>
        </is>
      </c>
      <c r="O10797" t="inlineStr">
        <is>
          <t>LOW QUALITY PROTEIN: uncharacterized protein LOC122131476</t>
        </is>
      </c>
    </row>
    <row r="10798">
      <c r="A10798" t="inlineStr"/>
      <c r="B10798" t="inlineStr"/>
      <c r="C10798" t="inlineStr"/>
      <c r="D10798" t="inlineStr"/>
      <c r="E10798">
        <f>HYPERLINK("https://www.uniprot.org/uniprotkb/A0A8B6GIE5/entry", "A0A8B6GIE5")</f>
        <v/>
      </c>
      <c r="F10798" t="n">
        <v>39</v>
      </c>
      <c r="G10798" t="n">
        <v>272</v>
      </c>
      <c r="H10798" t="n">
        <v>1.7e-48</v>
      </c>
      <c r="I10798" t="inlineStr">
        <is>
          <t>TrEMBL</t>
        </is>
      </c>
      <c r="J10798" t="inlineStr">
        <is>
          <t>MGAL_10B009438</t>
        </is>
      </c>
      <c r="K10798" t="inlineStr">
        <is>
          <t>A0A8B6GIE5_MYTGA</t>
        </is>
      </c>
      <c r="L10798" t="inlineStr">
        <is>
          <t>tr|A0A8B6GIE5|A0A8B6GIE5_MYTGA Reverse transcriptase domain-containing protein (Fragment) OS=Mytilus galloprovincialis OX=29158 GN=MGAL_10B009438 PE=4 SV=1</t>
        </is>
      </c>
      <c r="M10798" t="n">
        <v>506</v>
      </c>
      <c r="N10798" t="inlineStr">
        <is>
          <t>Mytilus galloprovincialis</t>
        </is>
      </c>
      <c r="O10798" t="inlineStr">
        <is>
          <t>Reverse transcriptase domain-containing protein (Fragment)</t>
        </is>
      </c>
    </row>
    <row r="10799">
      <c r="A10799" t="inlineStr"/>
      <c r="B10799" t="inlineStr"/>
      <c r="C10799" t="inlineStr"/>
      <c r="D10799" t="inlineStr"/>
      <c r="E10799">
        <f>HYPERLINK("https://www.uniprot.org/uniprotkb/A0A8J1LVD3/entry", "A0A8J1LVD3")</f>
        <v/>
      </c>
      <c r="F10799" t="n">
        <v>49.1</v>
      </c>
      <c r="G10799" t="n">
        <v>175</v>
      </c>
      <c r="H10799" t="n">
        <v>2.16e-48</v>
      </c>
      <c r="I10799" t="inlineStr">
        <is>
          <t>TrEMBL</t>
        </is>
      </c>
      <c r="J10799" t="inlineStr">
        <is>
          <t>LOC121398305</t>
        </is>
      </c>
      <c r="K10799" t="inlineStr">
        <is>
          <t>A0A8J1LVD3_XENLA</t>
        </is>
      </c>
      <c r="L10799" t="inlineStr">
        <is>
          <t>tr|A0A8J1LVD3|A0A8J1LVD3_XENLA uncharacterized protein LOC121398305 OS=Xenopus laevis OX=8355 GN=LOC121398305 PE=4 SV=1</t>
        </is>
      </c>
      <c r="M10799" t="n">
        <v>485</v>
      </c>
      <c r="N10799" t="inlineStr">
        <is>
          <t>Xenopus laevis</t>
        </is>
      </c>
      <c r="O10799" t="inlineStr">
        <is>
          <t>uncharacterized protein LOC121398305</t>
        </is>
      </c>
    </row>
    <row r="10800">
      <c r="A10800" t="inlineStr"/>
      <c r="B10800" t="inlineStr"/>
      <c r="C10800" t="inlineStr"/>
      <c r="D10800" t="inlineStr"/>
      <c r="E10800">
        <f>HYPERLINK("https://www.ncbi.nlm.nih.gov/gene/?term=XP_041433304.1", "XP_041433304.1")</f>
        <v/>
      </c>
      <c r="F10800" t="n">
        <v>49.1</v>
      </c>
      <c r="G10800" t="n">
        <v>175</v>
      </c>
      <c r="H10800" t="n">
        <v>5.539999999999999e-48</v>
      </c>
      <c r="I10800" t="inlineStr">
        <is>
          <t>Nr</t>
        </is>
      </c>
      <c r="J10800" t="inlineStr"/>
      <c r="K10800" t="inlineStr"/>
      <c r="L10800" t="inlineStr">
        <is>
          <t>XP_041433304.1 uncharacterized protein LOC121398305 [Xenopus laevis]</t>
        </is>
      </c>
      <c r="M10800" t="n">
        <v>485</v>
      </c>
      <c r="N10800" t="inlineStr">
        <is>
          <t>Xenopus laevis</t>
        </is>
      </c>
      <c r="O10800" t="inlineStr">
        <is>
          <t>uncharacterized protein LOC121398305</t>
        </is>
      </c>
    </row>
    <row r="10801">
      <c r="A10801" t="inlineStr"/>
      <c r="B10801" t="inlineStr"/>
      <c r="C10801" t="inlineStr"/>
      <c r="D10801" t="inlineStr"/>
      <c r="E10801">
        <f>HYPERLINK("https://www.uniprot.org/uniprotkb/A0A8J1MIB1/entry", "A0A8J1MIB1")</f>
        <v/>
      </c>
      <c r="F10801" t="n">
        <v>47.9</v>
      </c>
      <c r="G10801" t="n">
        <v>194</v>
      </c>
      <c r="H10801" t="n">
        <v>7.03e-48</v>
      </c>
      <c r="I10801" t="inlineStr">
        <is>
          <t>TrEMBL</t>
        </is>
      </c>
      <c r="J10801" t="inlineStr">
        <is>
          <t>LOC121401203</t>
        </is>
      </c>
      <c r="K10801" t="inlineStr">
        <is>
          <t>A0A8J1MIB1_XENLA</t>
        </is>
      </c>
      <c r="L10801" t="inlineStr">
        <is>
          <t>tr|A0A8J1MIB1|A0A8J1MIB1_XENLA ribonuclease H OS=Xenopus laevis OX=8355 GN=LOC121401203 PE=3 SV=1</t>
        </is>
      </c>
      <c r="M10801" t="n">
        <v>804</v>
      </c>
      <c r="N10801" t="inlineStr">
        <is>
          <t>Xenopus laevis</t>
        </is>
      </c>
      <c r="O10801" t="inlineStr">
        <is>
          <t>ribonuclease H</t>
        </is>
      </c>
    </row>
    <row r="10802">
      <c r="A10802" t="inlineStr"/>
      <c r="B10802" t="inlineStr"/>
      <c r="C10802" t="inlineStr"/>
      <c r="D10802" t="inlineStr"/>
      <c r="E10802">
        <f>HYPERLINK("https://www.uniprot.org/uniprotkb/A0A803TMU2/entry", "A0A803TMU2")</f>
        <v/>
      </c>
      <c r="F10802" t="n">
        <v>39.3</v>
      </c>
      <c r="G10802" t="n">
        <v>262</v>
      </c>
      <c r="H10802" t="n">
        <v>7.36e-48</v>
      </c>
      <c r="I10802" t="inlineStr">
        <is>
          <t>TrEMBL</t>
        </is>
      </c>
      <c r="J10802" t="inlineStr"/>
      <c r="K10802" t="inlineStr">
        <is>
          <t>A0A803TMU2_ANOCA</t>
        </is>
      </c>
      <c r="L10802" t="inlineStr">
        <is>
          <t>tr|A0A803TMU2|A0A803TMU2_ANOCA ribonuclease H OS=Anolis carolinensis OX=28377 PE=3 SV=1</t>
        </is>
      </c>
      <c r="M10802" t="n">
        <v>730</v>
      </c>
      <c r="N10802" t="inlineStr">
        <is>
          <t>Anolis carolinensis</t>
        </is>
      </c>
      <c r="O10802" t="inlineStr">
        <is>
          <t>ribonuclease H</t>
        </is>
      </c>
    </row>
    <row r="10803">
      <c r="A10803" t="inlineStr"/>
      <c r="B10803" t="inlineStr"/>
      <c r="C10803" t="inlineStr"/>
      <c r="D10803" t="inlineStr"/>
      <c r="E10803">
        <f>HYPERLINK("https://www.uniprot.org/uniprotkb/A0A0S7GS98/entry", "A0A0S7GS98")</f>
        <v/>
      </c>
      <c r="F10803" t="n">
        <v>38.5</v>
      </c>
      <c r="G10803" t="n">
        <v>273</v>
      </c>
      <c r="H10803" t="n">
        <v>1.06e-47</v>
      </c>
      <c r="I10803" t="inlineStr">
        <is>
          <t>TrEMBL</t>
        </is>
      </c>
      <c r="J10803" t="inlineStr">
        <is>
          <t>POL</t>
        </is>
      </c>
      <c r="K10803" t="inlineStr">
        <is>
          <t>A0A0S7GS98_9TELE</t>
        </is>
      </c>
      <c r="L10803" t="inlineStr">
        <is>
          <t>tr|A0A0S7GS98|A0A0S7GS98_9TELE ribonuclease H (Fragment) OS=Poeciliopsis prolifica OX=188132 GN=POL PE=3 SV=1</t>
        </is>
      </c>
      <c r="M10803" t="n">
        <v>534</v>
      </c>
      <c r="N10803" t="inlineStr">
        <is>
          <t>Poeciliopsis prolifica</t>
        </is>
      </c>
      <c r="O10803" t="inlineStr">
        <is>
          <t>ribonuclease H (Fragment)</t>
        </is>
      </c>
    </row>
    <row r="10804">
      <c r="A10804" t="inlineStr"/>
      <c r="B10804" t="inlineStr"/>
      <c r="C10804" t="inlineStr"/>
      <c r="D10804" t="inlineStr"/>
      <c r="E10804">
        <f>HYPERLINK("https://www.uniprot.org/uniprotkb/A0A8J1M3F4/entry", "A0A8J1M3F4")</f>
        <v/>
      </c>
      <c r="F10804" t="n">
        <v>48.9</v>
      </c>
      <c r="G10804" t="n">
        <v>178</v>
      </c>
      <c r="H10804" t="n">
        <v>1.79e-47</v>
      </c>
      <c r="I10804" t="inlineStr">
        <is>
          <t>TrEMBL</t>
        </is>
      </c>
      <c r="J10804" t="inlineStr">
        <is>
          <t>LOC121399363</t>
        </is>
      </c>
      <c r="K10804" t="inlineStr">
        <is>
          <t>A0A8J1M3F4_XENLA</t>
        </is>
      </c>
      <c r="L10804" t="inlineStr">
        <is>
          <t>tr|A0A8J1M3F4|A0A8J1M3F4_XENLA uncharacterized protein LOC121399363 OS=Xenopus laevis OX=8355 GN=LOC121399363 PE=4 SV=1</t>
        </is>
      </c>
      <c r="M10804" t="n">
        <v>682</v>
      </c>
      <c r="N10804" t="inlineStr">
        <is>
          <t>Xenopus laevis</t>
        </is>
      </c>
      <c r="O10804" t="inlineStr">
        <is>
          <t>uncharacterized protein LOC121399363</t>
        </is>
      </c>
    </row>
    <row r="10805">
      <c r="A10805" t="inlineStr"/>
      <c r="B10805" t="inlineStr"/>
      <c r="C10805" t="inlineStr"/>
      <c r="D10805" t="inlineStr"/>
      <c r="E10805">
        <f>HYPERLINK("https://www.uniprot.org/uniprotkb/A0A8B6GHV4/entry", "A0A8B6GHV4")</f>
        <v/>
      </c>
      <c r="F10805" t="n">
        <v>39</v>
      </c>
      <c r="G10805" t="n">
        <v>272</v>
      </c>
      <c r="H10805" t="n">
        <v>2.61e-47</v>
      </c>
      <c r="I10805" t="inlineStr">
        <is>
          <t>TrEMBL</t>
        </is>
      </c>
      <c r="J10805" t="inlineStr">
        <is>
          <t>MGAL_10B009438</t>
        </is>
      </c>
      <c r="K10805" t="inlineStr">
        <is>
          <t>A0A8B6GHV4_MYTGA</t>
        </is>
      </c>
      <c r="L10805" t="inlineStr">
        <is>
          <t>tr|A0A8B6GHV4|A0A8B6GHV4_MYTGA Reverse transcriptase domain-containing protein OS=Mytilus galloprovincialis OX=29158 GN=MGAL_10B009438 PE=4 SV=1</t>
        </is>
      </c>
      <c r="M10805" t="n">
        <v>695</v>
      </c>
      <c r="N10805" t="inlineStr">
        <is>
          <t>Mytilus galloprovincialis</t>
        </is>
      </c>
      <c r="O10805" t="inlineStr">
        <is>
          <t>Reverse transcriptase domain-containing protein</t>
        </is>
      </c>
    </row>
    <row r="10806">
      <c r="A10806" t="inlineStr"/>
      <c r="B10806" t="inlineStr"/>
      <c r="C10806" t="inlineStr"/>
      <c r="D10806" t="inlineStr"/>
      <c r="E10806">
        <f>HYPERLINK("https://www.ncbi.nlm.nih.gov/gene/?term=XP_041435826.1", "XP_041435826.1")</f>
        <v/>
      </c>
      <c r="F10806" t="n">
        <v>48.9</v>
      </c>
      <c r="G10806" t="n">
        <v>178</v>
      </c>
      <c r="H10806" t="n">
        <v>4.600000000000001e-47</v>
      </c>
      <c r="I10806" t="inlineStr">
        <is>
          <t>Nr</t>
        </is>
      </c>
      <c r="J10806" t="inlineStr"/>
      <c r="K10806" t="inlineStr"/>
      <c r="L10806" t="inlineStr">
        <is>
          <t>XP_041435826.1 uncharacterized protein LOC121399363 [Xenopus laevis]</t>
        </is>
      </c>
      <c r="M10806" t="n">
        <v>682</v>
      </c>
      <c r="N10806" t="inlineStr">
        <is>
          <t>Xenopus laevis</t>
        </is>
      </c>
      <c r="O10806" t="inlineStr">
        <is>
          <t>uncharacterized protein LOC121399363</t>
        </is>
      </c>
    </row>
    <row r="10807">
      <c r="A10807" t="inlineStr"/>
      <c r="B10807" t="inlineStr"/>
      <c r="C10807" t="inlineStr"/>
      <c r="D10807" t="inlineStr"/>
      <c r="E10807">
        <f>HYPERLINK("https://www.uniprot.org/uniprotkb/A0A8J1KMD2/entry", "A0A8J1KMD2")</f>
        <v/>
      </c>
      <c r="F10807" t="n">
        <v>47.8</v>
      </c>
      <c r="G10807" t="n">
        <v>178</v>
      </c>
      <c r="H10807" t="n">
        <v>1.58e-44</v>
      </c>
      <c r="I10807" t="inlineStr">
        <is>
          <t>TrEMBL</t>
        </is>
      </c>
      <c r="J10807" t="inlineStr">
        <is>
          <t>LOC121393601</t>
        </is>
      </c>
      <c r="K10807" t="inlineStr">
        <is>
          <t>A0A8J1KMD2_XENLA</t>
        </is>
      </c>
      <c r="L10807" t="inlineStr">
        <is>
          <t>tr|A0A8J1KMD2|A0A8J1KMD2_XENLA ribonuclease H OS=Xenopus laevis OX=8355 GN=LOC121393601 PE=3 SV=1</t>
        </is>
      </c>
      <c r="M10807" t="n">
        <v>1091</v>
      </c>
      <c r="N10807" t="inlineStr">
        <is>
          <t>Xenopus laevis</t>
        </is>
      </c>
      <c r="O10807" t="inlineStr">
        <is>
          <t>ribonuclease H</t>
        </is>
      </c>
    </row>
    <row r="10808">
      <c r="A10808" t="inlineStr"/>
      <c r="B10808" t="inlineStr"/>
      <c r="C10808" t="inlineStr"/>
      <c r="D10808" t="inlineStr"/>
      <c r="E10808">
        <f>HYPERLINK("https://www.uniprot.org/uniprotkb/A0A8J1M8F0/entry", "A0A8J1M8F0")</f>
        <v/>
      </c>
      <c r="F10808" t="n">
        <v>48.6</v>
      </c>
      <c r="G10808" t="n">
        <v>173</v>
      </c>
      <c r="H10808" t="n">
        <v>1.67e-44</v>
      </c>
      <c r="I10808" t="inlineStr">
        <is>
          <t>TrEMBL</t>
        </is>
      </c>
      <c r="J10808" t="inlineStr">
        <is>
          <t>pfkfb2.L</t>
        </is>
      </c>
      <c r="K10808" t="inlineStr">
        <is>
          <t>A0A8J1M8F0_XENLA</t>
        </is>
      </c>
      <c r="L10808" t="inlineStr">
        <is>
          <t>tr|A0A8J1M8F0|A0A8J1M8F0_XENLA ribonuclease H OS=Xenopus laevis OX=8355 GN=pfkfb2.L PE=3 SV=1</t>
        </is>
      </c>
      <c r="M10808" t="n">
        <v>615</v>
      </c>
      <c r="N10808" t="inlineStr">
        <is>
          <t>Xenopus laevis</t>
        </is>
      </c>
      <c r="O10808" t="inlineStr">
        <is>
          <t>ribonuclease H</t>
        </is>
      </c>
    </row>
    <row r="10809">
      <c r="A10809" t="inlineStr"/>
      <c r="B10809" t="inlineStr"/>
      <c r="C10809" t="inlineStr"/>
      <c r="D10809" t="inlineStr"/>
      <c r="E10809">
        <f>HYPERLINK("https://www.uniprot.org/uniprotkb/A0A8J1J4M0/entry", "A0A8J1J4M0")</f>
        <v/>
      </c>
      <c r="F10809" t="n">
        <v>44.6</v>
      </c>
      <c r="G10809" t="n">
        <v>175</v>
      </c>
      <c r="H10809" t="n">
        <v>1.73e-44</v>
      </c>
      <c r="I10809" t="inlineStr">
        <is>
          <t>TrEMBL</t>
        </is>
      </c>
      <c r="J10809" t="inlineStr">
        <is>
          <t>LOC101731022</t>
        </is>
      </c>
      <c r="K10809" t="inlineStr">
        <is>
          <t>A0A8J1J4M0_XENTR</t>
        </is>
      </c>
      <c r="L10809" t="inlineStr">
        <is>
          <t>tr|A0A8J1J4M0|A0A8J1J4M0_XENTR uncharacterized protein LOC101731022 isoform X4 OS=Xenopus tropicalis OX=8364 GN=LOC101731022 PE=4 SV=1</t>
        </is>
      </c>
      <c r="M10809" t="n">
        <v>375</v>
      </c>
      <c r="N10809" t="inlineStr">
        <is>
          <t>Xenopus tropicalis</t>
        </is>
      </c>
      <c r="O10809" t="inlineStr">
        <is>
          <t>uncharacterized protein LOC101731022 isoform X4</t>
        </is>
      </c>
    </row>
    <row r="10810">
      <c r="A10810" t="inlineStr"/>
      <c r="B10810" t="inlineStr"/>
      <c r="C10810" t="inlineStr"/>
      <c r="D10810" t="inlineStr"/>
      <c r="E10810">
        <f>HYPERLINK("https://www.ncbi.nlm.nih.gov/gene/?term=XP_041418470.1", "XP_041418470.1")</f>
        <v/>
      </c>
      <c r="F10810" t="n">
        <v>47.8</v>
      </c>
      <c r="G10810" t="n">
        <v>178</v>
      </c>
      <c r="H10810" t="n">
        <v>4.06e-44</v>
      </c>
      <c r="I10810" t="inlineStr">
        <is>
          <t>Nr</t>
        </is>
      </c>
      <c r="J10810" t="inlineStr"/>
      <c r="K10810" t="inlineStr"/>
      <c r="L10810" t="inlineStr">
        <is>
          <t>XP_041418470.1 uncharacterized protein LOC121393601 [Xenopus laevis]</t>
        </is>
      </c>
      <c r="M10810" t="n">
        <v>1091</v>
      </c>
      <c r="N10810" t="inlineStr">
        <is>
          <t>Xenopus laevis</t>
        </is>
      </c>
      <c r="O10810" t="inlineStr">
        <is>
          <t>uncharacterized protein LOC121393601</t>
        </is>
      </c>
    </row>
    <row r="10811">
      <c r="A10811" t="inlineStr"/>
      <c r="B10811" t="inlineStr"/>
      <c r="C10811" t="inlineStr"/>
      <c r="D10811" t="inlineStr"/>
      <c r="E10811">
        <f>HYPERLINK("https://www.ncbi.nlm.nih.gov/gene/?term=XP_041437982.1", "XP_041437982.1")</f>
        <v/>
      </c>
      <c r="F10811" t="n">
        <v>48.6</v>
      </c>
      <c r="G10811" t="n">
        <v>173</v>
      </c>
      <c r="H10811" t="n">
        <v>4.28e-44</v>
      </c>
      <c r="I10811" t="inlineStr">
        <is>
          <t>Nr</t>
        </is>
      </c>
      <c r="J10811" t="inlineStr"/>
      <c r="K10811" t="inlineStr"/>
      <c r="L10811" t="inlineStr">
        <is>
          <t>XP_041437982.1 uncharacterized protein pfkfb2.L isoform X1 [Xenopus laevis]</t>
        </is>
      </c>
      <c r="M10811" t="n">
        <v>615</v>
      </c>
      <c r="N10811" t="inlineStr">
        <is>
          <t>Xenopus laevis</t>
        </is>
      </c>
      <c r="O10811" t="inlineStr">
        <is>
          <t>uncharacterized protein pfkfb2.L isoform X1</t>
        </is>
      </c>
    </row>
    <row r="10812">
      <c r="A10812" t="inlineStr"/>
      <c r="B10812" t="inlineStr"/>
      <c r="C10812" t="inlineStr"/>
      <c r="D10812" t="inlineStr"/>
      <c r="E10812">
        <f>HYPERLINK("https://www.ncbi.nlm.nih.gov/gene/?term=XP_031752829.1", "XP_031752829.1")</f>
        <v/>
      </c>
      <c r="F10812" t="n">
        <v>44.6</v>
      </c>
      <c r="G10812" t="n">
        <v>175</v>
      </c>
      <c r="H10812" t="n">
        <v>4.45e-44</v>
      </c>
      <c r="I10812" t="inlineStr">
        <is>
          <t>Nr</t>
        </is>
      </c>
      <c r="J10812" t="inlineStr"/>
      <c r="K10812" t="inlineStr"/>
      <c r="L10812" t="inlineStr">
        <is>
          <t>XP_031752829.1 uncharacterized protein LOC101731022 isoform X4 [Xenopus tropicalis]</t>
        </is>
      </c>
      <c r="M10812" t="n">
        <v>375</v>
      </c>
      <c r="N10812" t="inlineStr">
        <is>
          <t>Xenopus tropicalis</t>
        </is>
      </c>
      <c r="O10812" t="inlineStr">
        <is>
          <t>uncharacterized protein LOC101731022 isoform X4</t>
        </is>
      </c>
    </row>
    <row r="10813">
      <c r="A10813" t="inlineStr"/>
      <c r="B10813" t="inlineStr"/>
      <c r="C10813" t="inlineStr"/>
      <c r="D10813" t="inlineStr"/>
      <c r="E10813">
        <f>HYPERLINK("https://www.uniprot.org/uniprotkb/A0A2D4KIM1/entry", "A0A2D4KIM1")</f>
        <v/>
      </c>
      <c r="F10813" t="n">
        <v>41.6</v>
      </c>
      <c r="G10813" t="n">
        <v>178</v>
      </c>
      <c r="H10813" t="n">
        <v>5.73e-44</v>
      </c>
      <c r="I10813" t="inlineStr">
        <is>
          <t>TrEMBL</t>
        </is>
      </c>
      <c r="J10813" t="inlineStr"/>
      <c r="K10813" t="inlineStr">
        <is>
          <t>A0A2D4KIM1_9SAUR</t>
        </is>
      </c>
      <c r="L10813" t="inlineStr">
        <is>
          <t>tr|A0A2D4KIM1|A0A2D4KIM1_9SAUR HTH cro/C1-type domain-containing protein (Fragment) OS=Micrurus paraensis OX=1970185 PE=4 SV=1</t>
        </is>
      </c>
      <c r="M10813" t="n">
        <v>184</v>
      </c>
      <c r="N10813" t="inlineStr">
        <is>
          <t>Micrurus paraensis</t>
        </is>
      </c>
      <c r="O10813" t="inlineStr">
        <is>
          <t>HTH cro/C1-type domain-containing protein (Fragment)</t>
        </is>
      </c>
    </row>
    <row r="10814">
      <c r="A10814" t="inlineStr"/>
      <c r="B10814" t="inlineStr"/>
      <c r="C10814" t="inlineStr"/>
      <c r="D10814" t="inlineStr"/>
      <c r="E10814">
        <f>HYPERLINK("https://www.uniprot.org/uniprotkb/A0A8J1MZ44/entry", "A0A8J1MZ44")</f>
        <v/>
      </c>
      <c r="F10814" t="n">
        <v>47.1</v>
      </c>
      <c r="G10814" t="n">
        <v>172</v>
      </c>
      <c r="H10814" t="n">
        <v>1.09e-43</v>
      </c>
      <c r="I10814" t="inlineStr">
        <is>
          <t>TrEMBL</t>
        </is>
      </c>
      <c r="J10814" t="inlineStr">
        <is>
          <t>LOC121403038</t>
        </is>
      </c>
      <c r="K10814" t="inlineStr">
        <is>
          <t>A0A8J1MZ44_XENLA</t>
        </is>
      </c>
      <c r="L10814" t="inlineStr">
        <is>
          <t>tr|A0A8J1MZ44|A0A8J1MZ44_XENLA ribonuclease H OS=Xenopus laevis OX=8355 GN=LOC121403038 PE=3 SV=1</t>
        </is>
      </c>
      <c r="M10814" t="n">
        <v>852</v>
      </c>
      <c r="N10814" t="inlineStr">
        <is>
          <t>Xenopus laevis</t>
        </is>
      </c>
      <c r="O10814" t="inlineStr">
        <is>
          <t>ribonuclease H</t>
        </is>
      </c>
    </row>
    <row r="10815">
      <c r="A10815" t="inlineStr"/>
      <c r="B10815" t="inlineStr"/>
      <c r="C10815" t="inlineStr"/>
      <c r="D10815" t="inlineStr"/>
      <c r="E10815">
        <f>HYPERLINK("https://www.uniprot.org/uniprotkb/A0A2D4IZH6/entry", "A0A2D4IZH6")</f>
        <v/>
      </c>
      <c r="F10815" t="n">
        <v>43.4</v>
      </c>
      <c r="G10815" t="n">
        <v>175</v>
      </c>
      <c r="H10815" t="n">
        <v>2.53e-43</v>
      </c>
      <c r="I10815" t="inlineStr">
        <is>
          <t>TrEMBL</t>
        </is>
      </c>
      <c r="J10815" t="inlineStr"/>
      <c r="K10815" t="inlineStr">
        <is>
          <t>A0A2D4IZH6_MICLE</t>
        </is>
      </c>
      <c r="L10815" t="inlineStr">
        <is>
          <t>tr|A0A2D4IZH6|A0A2D4IZH6_MICLE Reverse transcriptase (Fragment) OS=Micrurus lemniscatus lemniscatus OX=129467 PE=4 SV=1</t>
        </is>
      </c>
      <c r="M10815" t="n">
        <v>187</v>
      </c>
      <c r="N10815" t="inlineStr">
        <is>
          <t>Micrurus lemniscatus lemniscatus</t>
        </is>
      </c>
      <c r="O10815" t="inlineStr">
        <is>
          <t>Reverse transcriptase (Fragment)</t>
        </is>
      </c>
    </row>
    <row r="10816">
      <c r="A10816" t="inlineStr"/>
      <c r="B10816" t="inlineStr"/>
      <c r="C10816" t="inlineStr"/>
      <c r="D10816" t="inlineStr"/>
      <c r="E10816">
        <f>HYPERLINK("https://www.ncbi.nlm.nih.gov/gene/?term=XP_041446270.1", "XP_041446270.1")</f>
        <v/>
      </c>
      <c r="F10816" t="n">
        <v>47.1</v>
      </c>
      <c r="G10816" t="n">
        <v>172</v>
      </c>
      <c r="H10816" t="n">
        <v>2.81e-43</v>
      </c>
      <c r="I10816" t="inlineStr">
        <is>
          <t>Nr</t>
        </is>
      </c>
      <c r="J10816" t="inlineStr"/>
      <c r="K10816" t="inlineStr"/>
      <c r="L10816" t="inlineStr">
        <is>
          <t>XP_041446270.1 uncharacterized protein LOC121403038 [Xenopus laevis]</t>
        </is>
      </c>
      <c r="M10816" t="n">
        <v>852</v>
      </c>
      <c r="N10816" t="inlineStr">
        <is>
          <t>Xenopus laevis</t>
        </is>
      </c>
      <c r="O10816" t="inlineStr">
        <is>
          <t>uncharacterized protein LOC121403038</t>
        </is>
      </c>
    </row>
    <row r="10817">
      <c r="A10817" t="inlineStr"/>
      <c r="B10817" t="inlineStr"/>
      <c r="C10817" t="inlineStr"/>
      <c r="D10817" t="inlineStr"/>
      <c r="E10817">
        <f>HYPERLINK("https://www.uniprot.org/uniprotkb/A0A2D4KIP0/entry", "A0A2D4KIP0")</f>
        <v/>
      </c>
      <c r="F10817" t="n">
        <v>41</v>
      </c>
      <c r="G10817" t="n">
        <v>178</v>
      </c>
      <c r="H10817" t="n">
        <v>5.55e-43</v>
      </c>
      <c r="I10817" t="inlineStr">
        <is>
          <t>TrEMBL</t>
        </is>
      </c>
      <c r="J10817" t="inlineStr"/>
      <c r="K10817" t="inlineStr">
        <is>
          <t>A0A2D4KIP0_9SAUR</t>
        </is>
      </c>
      <c r="L10817" t="inlineStr">
        <is>
          <t>tr|A0A2D4KIP0|A0A2D4KIP0_9SAUR Endonuclease (Fragment) OS=Micrurus paraensis OX=1970185 PE=4 SV=1</t>
        </is>
      </c>
      <c r="M10817" t="n">
        <v>190</v>
      </c>
      <c r="N10817" t="inlineStr">
        <is>
          <t>Micrurus paraensis</t>
        </is>
      </c>
      <c r="O10817" t="inlineStr">
        <is>
          <t>Endonuclease (Fragment)</t>
        </is>
      </c>
    </row>
    <row r="10818">
      <c r="A10818" t="inlineStr"/>
      <c r="B10818" t="inlineStr"/>
      <c r="C10818" t="inlineStr"/>
      <c r="D10818" t="inlineStr"/>
      <c r="E10818">
        <f>HYPERLINK("https://www.uniprot.org/uniprotkb/A0A2D4J0A8/entry", "A0A2D4J0A8")</f>
        <v/>
      </c>
      <c r="F10818" t="n">
        <v>43.6</v>
      </c>
      <c r="G10818" t="n">
        <v>179</v>
      </c>
      <c r="H10818" t="n">
        <v>7.13e-43</v>
      </c>
      <c r="I10818" t="inlineStr">
        <is>
          <t>TrEMBL</t>
        </is>
      </c>
      <c r="J10818" t="inlineStr"/>
      <c r="K10818" t="inlineStr">
        <is>
          <t>A0A2D4J0A8_MICLE</t>
        </is>
      </c>
      <c r="L10818" t="inlineStr">
        <is>
          <t>tr|A0A2D4J0A8|A0A2D4J0A8_MICLE ribonuclease H OS=Micrurus lemniscatus lemniscatus OX=129467 PE=3 SV=1</t>
        </is>
      </c>
      <c r="M10818" t="n">
        <v>664</v>
      </c>
      <c r="N10818" t="inlineStr">
        <is>
          <t>Micrurus lemniscatus lemniscatus</t>
        </is>
      </c>
      <c r="O10818" t="inlineStr">
        <is>
          <t>ribonuclease H</t>
        </is>
      </c>
    </row>
    <row r="10819">
      <c r="A10819" t="inlineStr"/>
      <c r="B10819" t="inlineStr"/>
      <c r="C10819" t="inlineStr"/>
      <c r="D10819" t="inlineStr"/>
      <c r="E10819">
        <f>HYPERLINK("https://www.uniprot.org/uniprotkb/A0A2D4KII9/entry", "A0A2D4KII9")</f>
        <v/>
      </c>
      <c r="F10819" t="n">
        <v>40.4</v>
      </c>
      <c r="G10819" t="n">
        <v>178</v>
      </c>
      <c r="H10819" t="n">
        <v>2.65e-42</v>
      </c>
      <c r="I10819" t="inlineStr">
        <is>
          <t>TrEMBL</t>
        </is>
      </c>
      <c r="J10819" t="inlineStr"/>
      <c r="K10819" t="inlineStr">
        <is>
          <t>A0A2D4KII9_9SAUR</t>
        </is>
      </c>
      <c r="L10819" t="inlineStr">
        <is>
          <t>tr|A0A2D4KII9|A0A2D4KII9_9SAUR HTH cro/C1-type domain-containing protein (Fragment) OS=Micrurus paraensis OX=1970185 PE=4 SV=1</t>
        </is>
      </c>
      <c r="M10819" t="n">
        <v>184</v>
      </c>
      <c r="N10819" t="inlineStr">
        <is>
          <t>Micrurus paraensis</t>
        </is>
      </c>
      <c r="O10819" t="inlineStr">
        <is>
          <t>HTH cro/C1-type domain-containing protein (Fragment)</t>
        </is>
      </c>
    </row>
    <row r="10820">
      <c r="A10820" t="inlineStr"/>
      <c r="B10820" t="inlineStr"/>
      <c r="C10820" t="inlineStr"/>
      <c r="D10820" t="inlineStr"/>
      <c r="E10820">
        <f>HYPERLINK("https://www.uniprot.org/uniprotkb/A0A2D4KIK5/entry", "A0A2D4KIK5")</f>
        <v/>
      </c>
      <c r="F10820" t="n">
        <v>41.9</v>
      </c>
      <c r="G10820" t="n">
        <v>172</v>
      </c>
      <c r="H10820" t="n">
        <v>2.95e-42</v>
      </c>
      <c r="I10820" t="inlineStr">
        <is>
          <t>TrEMBL</t>
        </is>
      </c>
      <c r="J10820" t="inlineStr"/>
      <c r="K10820" t="inlineStr">
        <is>
          <t>A0A2D4KIK5_9SAUR</t>
        </is>
      </c>
      <c r="L10820" t="inlineStr">
        <is>
          <t>tr|A0A2D4KIK5|A0A2D4KIK5_9SAUR Lipopolysaccharide heptosyltransferase III OS=Micrurus paraensis OX=1970185 PE=4 SV=1</t>
        </is>
      </c>
      <c r="M10820" t="n">
        <v>176</v>
      </c>
      <c r="N10820" t="inlineStr">
        <is>
          <t>Micrurus paraensis</t>
        </is>
      </c>
      <c r="O10820" t="inlineStr">
        <is>
          <t>Lipopolysaccharide heptosyltransferase III</t>
        </is>
      </c>
    </row>
    <row r="10821">
      <c r="A10821" t="inlineStr"/>
      <c r="B10821" t="inlineStr"/>
      <c r="C10821" t="inlineStr"/>
      <c r="D10821" t="inlineStr"/>
      <c r="E10821">
        <f>HYPERLINK("https://www.uniprot.org/uniprotkb/A0A1W7RDQ0/entry", "A0A1W7RDQ0")</f>
        <v/>
      </c>
      <c r="F10821" t="n">
        <v>44.7</v>
      </c>
      <c r="G10821" t="n">
        <v>170</v>
      </c>
      <c r="H10821" t="n">
        <v>6.99e-41</v>
      </c>
      <c r="I10821" t="inlineStr">
        <is>
          <t>TrEMBL</t>
        </is>
      </c>
      <c r="J10821" t="inlineStr"/>
      <c r="K10821" t="inlineStr">
        <is>
          <t>A0A1W7RDQ0_AGKCO</t>
        </is>
      </c>
      <c r="L10821" t="inlineStr">
        <is>
          <t>tr|A0A1W7RDQ0|A0A1W7RDQ0_AGKCO ribonuclease H OS=Agkistrodon contortrix contortrix OX=8713 PE=3 SV=1</t>
        </is>
      </c>
      <c r="M10821" t="n">
        <v>567</v>
      </c>
      <c r="N10821" t="inlineStr">
        <is>
          <t>Agkistrodon contortrix contortrix</t>
        </is>
      </c>
      <c r="O10821" t="inlineStr">
        <is>
          <t>ribonuclease H</t>
        </is>
      </c>
    </row>
    <row r="10822">
      <c r="A10822" t="inlineStr"/>
      <c r="B10822" t="inlineStr"/>
      <c r="C10822" t="inlineStr"/>
      <c r="D10822" t="inlineStr"/>
      <c r="E10822">
        <f>HYPERLINK("https://www.ncbi.nlm.nih.gov/gene/?term=XP_014353257.1", "XP_014353257.1")</f>
        <v/>
      </c>
      <c r="F10822" t="n">
        <v>44.5</v>
      </c>
      <c r="G10822" t="n">
        <v>173</v>
      </c>
      <c r="H10822" t="n">
        <v>3.92e-40</v>
      </c>
      <c r="I10822" t="inlineStr">
        <is>
          <t>Nr</t>
        </is>
      </c>
      <c r="J10822" t="inlineStr"/>
      <c r="K10822" t="inlineStr"/>
      <c r="L10822" t="inlineStr">
        <is>
          <t>XP_014353257.1 PREDICTED: uncharacterized protein LOC106706602 [Latimeria chalumnae]</t>
        </is>
      </c>
      <c r="M10822" t="n">
        <v>308</v>
      </c>
      <c r="N10822" t="inlineStr">
        <is>
          <t>Latimeria chalumnae</t>
        </is>
      </c>
      <c r="O10822" t="inlineStr">
        <is>
          <t>PREDICTED: uncharacterized protein LOC106706602</t>
        </is>
      </c>
    </row>
    <row r="10823">
      <c r="A10823" t="inlineStr"/>
      <c r="B10823" t="inlineStr"/>
      <c r="C10823" t="inlineStr"/>
      <c r="D10823" t="inlineStr"/>
      <c r="E10823">
        <f>HYPERLINK("https://www.ncbi.nlm.nih.gov/gene/?term=KAG8583453.1", "KAG8583453.1")</f>
        <v/>
      </c>
      <c r="F10823" t="n">
        <v>42.8</v>
      </c>
      <c r="G10823" t="n">
        <v>173</v>
      </c>
      <c r="H10823" t="n">
        <v>6.4e-40</v>
      </c>
      <c r="I10823" t="inlineStr">
        <is>
          <t>Nr</t>
        </is>
      </c>
      <c r="J10823" t="inlineStr"/>
      <c r="K10823" t="inlineStr"/>
      <c r="L10823" t="inlineStr">
        <is>
          <t>KAG8583453.1 hypothetical protein GDO81_008420 [Engystomops pustulosus]</t>
        </is>
      </c>
      <c r="M10823" t="n">
        <v>563</v>
      </c>
      <c r="N10823" t="inlineStr">
        <is>
          <t>Engystomops pustulosus</t>
        </is>
      </c>
      <c r="O10823" t="inlineStr">
        <is>
          <t>hypothetical protein GDO81_008420</t>
        </is>
      </c>
    </row>
    <row r="10824">
      <c r="A10824" t="inlineStr"/>
      <c r="B10824" t="inlineStr"/>
      <c r="C10824" t="inlineStr"/>
      <c r="D10824" t="inlineStr"/>
      <c r="E10824">
        <f>HYPERLINK("https://www.uniprot.org/uniprotkb/A0A803J9S3/entry", "A0A803J9S3")</f>
        <v/>
      </c>
      <c r="F10824" t="n">
        <v>46.7</v>
      </c>
      <c r="G10824" t="n">
        <v>152</v>
      </c>
      <c r="H10824" t="n">
        <v>6.71e-40</v>
      </c>
      <c r="I10824" t="inlineStr">
        <is>
          <t>TrEMBL</t>
        </is>
      </c>
      <c r="J10824" t="inlineStr"/>
      <c r="K10824" t="inlineStr">
        <is>
          <t>A0A803J9S3_XENTR</t>
        </is>
      </c>
      <c r="L10824" t="inlineStr">
        <is>
          <t>tr|A0A803J9S3|A0A803J9S3_XENTR Integrase catalytic domain-containing protein OS=Xenopus tropicalis OX=8364 PE=4 SV=1</t>
        </is>
      </c>
      <c r="M10824" t="n">
        <v>358</v>
      </c>
      <c r="N10824" t="inlineStr">
        <is>
          <t>Xenopus tropicalis</t>
        </is>
      </c>
      <c r="O10824" t="inlineStr">
        <is>
          <t>Integrase catalytic domain-containing protein</t>
        </is>
      </c>
    </row>
    <row r="10825">
      <c r="A10825" t="inlineStr"/>
      <c r="B10825" t="inlineStr"/>
      <c r="C10825" t="inlineStr"/>
      <c r="D10825" t="inlineStr"/>
      <c r="E10825">
        <f>HYPERLINK("https://www.uniprot.org/uniprotkb/A0A8J1JP68/entry", "A0A8J1JP68")</f>
        <v/>
      </c>
      <c r="F10825" t="n">
        <v>63</v>
      </c>
      <c r="G10825" t="n">
        <v>119</v>
      </c>
      <c r="H10825" t="n">
        <v>2.26e-39</v>
      </c>
      <c r="I10825" t="inlineStr">
        <is>
          <t>TrEMBL</t>
        </is>
      </c>
      <c r="J10825" t="inlineStr">
        <is>
          <t>LOC116410921</t>
        </is>
      </c>
      <c r="K10825" t="inlineStr">
        <is>
          <t>A0A8J1JP68_XENTR</t>
        </is>
      </c>
      <c r="L10825" t="inlineStr">
        <is>
          <t>tr|A0A8J1JP68|A0A8J1JP68_XENTR uncharacterized protein LOC116410921 OS=Xenopus tropicalis OX=8364 GN=LOC116410921 PE=4 SV=1</t>
        </is>
      </c>
      <c r="M10825" t="n">
        <v>423</v>
      </c>
      <c r="N10825" t="inlineStr">
        <is>
          <t>Xenopus tropicalis</t>
        </is>
      </c>
      <c r="O10825" t="inlineStr">
        <is>
          <t>uncharacterized protein LOC116410921</t>
        </is>
      </c>
    </row>
    <row r="10826">
      <c r="A10826" t="inlineStr"/>
      <c r="B10826" t="inlineStr"/>
      <c r="C10826" t="inlineStr"/>
      <c r="D10826" t="inlineStr"/>
      <c r="E10826">
        <f>HYPERLINK("https://www.ncbi.nlm.nih.gov/gene/?term=XP_031758406.1", "XP_031758406.1")</f>
        <v/>
      </c>
      <c r="F10826" t="n">
        <v>63</v>
      </c>
      <c r="G10826" t="n">
        <v>119</v>
      </c>
      <c r="H10826" t="n">
        <v>5.82e-39</v>
      </c>
      <c r="I10826" t="inlineStr">
        <is>
          <t>Nr</t>
        </is>
      </c>
      <c r="J10826" t="inlineStr"/>
      <c r="K10826" t="inlineStr"/>
      <c r="L10826" t="inlineStr">
        <is>
          <t>XP_031758406.1 uncharacterized protein LOC116410921 [Xenopus tropicalis]</t>
        </is>
      </c>
      <c r="M10826" t="n">
        <v>423</v>
      </c>
      <c r="N10826" t="inlineStr">
        <is>
          <t>Xenopus tropicalis</t>
        </is>
      </c>
      <c r="O10826" t="inlineStr">
        <is>
          <t>uncharacterized protein LOC116410921</t>
        </is>
      </c>
    </row>
    <row r="10827">
      <c r="A10827" t="inlineStr"/>
      <c r="B10827" t="inlineStr"/>
      <c r="C10827" t="inlineStr"/>
      <c r="D10827" t="inlineStr"/>
      <c r="E10827">
        <f>HYPERLINK("https://www.uniprot.org/uniprotkb/A0A6P9ANZ3/entry", "A0A6P9ANZ3")</f>
        <v/>
      </c>
      <c r="F10827" t="n">
        <v>42.2</v>
      </c>
      <c r="G10827" t="n">
        <v>180</v>
      </c>
      <c r="H10827" t="n">
        <v>7.79e-39</v>
      </c>
      <c r="I10827" t="inlineStr">
        <is>
          <t>TrEMBL</t>
        </is>
      </c>
      <c r="J10827" t="inlineStr">
        <is>
          <t>LOC117655422</t>
        </is>
      </c>
      <c r="K10827" t="inlineStr">
        <is>
          <t>A0A6P9ANZ3_PANGU</t>
        </is>
      </c>
      <c r="L10827" t="inlineStr">
        <is>
          <t>tr|A0A6P9ANZ3|A0A6P9ANZ3_PANGU uncharacterized protein LOC117655422 OS=Pantherophis guttatus OX=94885 GN=LOC117655422 PE=4 SV=1</t>
        </is>
      </c>
      <c r="M10827" t="n">
        <v>413</v>
      </c>
      <c r="N10827" t="inlineStr">
        <is>
          <t>Pantherophis guttatus</t>
        </is>
      </c>
      <c r="O10827" t="inlineStr">
        <is>
          <t>uncharacterized protein LOC117655422</t>
        </is>
      </c>
    </row>
    <row r="10828">
      <c r="A10828" t="inlineStr"/>
      <c r="B10828" t="inlineStr"/>
      <c r="C10828" t="inlineStr"/>
      <c r="D10828" t="inlineStr"/>
      <c r="E10828">
        <f>HYPERLINK("https://www.ncbi.nlm.nih.gov/gene/?term=XP_040188033.1", "XP_040188033.1")</f>
        <v/>
      </c>
      <c r="F10828" t="n">
        <v>43.2</v>
      </c>
      <c r="G10828" t="n">
        <v>176</v>
      </c>
      <c r="H10828" t="n">
        <v>9.34e-39</v>
      </c>
      <c r="I10828" t="inlineStr">
        <is>
          <t>Nr</t>
        </is>
      </c>
      <c r="J10828" t="inlineStr"/>
      <c r="K10828" t="inlineStr"/>
      <c r="L10828" t="inlineStr">
        <is>
          <t>XP_040188033.1 uncharacterized protein LOC120920173 [Rana temporaria]</t>
        </is>
      </c>
      <c r="M10828" t="n">
        <v>513</v>
      </c>
      <c r="N10828" t="inlineStr">
        <is>
          <t>Rana temporaria</t>
        </is>
      </c>
      <c r="O10828" t="inlineStr">
        <is>
          <t>uncharacterized protein LOC120920173</t>
        </is>
      </c>
    </row>
    <row r="10829">
      <c r="A10829" t="inlineStr"/>
      <c r="B10829" t="inlineStr"/>
      <c r="C10829" t="inlineStr"/>
      <c r="D10829" t="inlineStr"/>
      <c r="E10829">
        <f>HYPERLINK("https://www.uniprot.org/uniprotkb/A0A8J1ISA0/entry", "A0A8J1ISA0")</f>
        <v/>
      </c>
      <c r="F10829" t="n">
        <v>62.2</v>
      </c>
      <c r="G10829" t="n">
        <v>119</v>
      </c>
      <c r="H10829" t="n">
        <v>1.15e-38</v>
      </c>
      <c r="I10829" t="inlineStr">
        <is>
          <t>TrEMBL</t>
        </is>
      </c>
      <c r="J10829" t="inlineStr">
        <is>
          <t>LOC116406738</t>
        </is>
      </c>
      <c r="K10829" t="inlineStr">
        <is>
          <t>A0A8J1ISA0_XENTR</t>
        </is>
      </c>
      <c r="L10829" t="inlineStr">
        <is>
          <t>tr|A0A8J1ISA0|A0A8J1ISA0_XENTR uncharacterized protein LOC116406738 OS=Xenopus tropicalis OX=8364 GN=LOC116406738 PE=4 SV=1</t>
        </is>
      </c>
      <c r="M10829" t="n">
        <v>460</v>
      </c>
      <c r="N10829" t="inlineStr">
        <is>
          <t>Xenopus tropicalis</t>
        </is>
      </c>
      <c r="O10829" t="inlineStr">
        <is>
          <t>uncharacterized protein LOC116406738</t>
        </is>
      </c>
    </row>
    <row r="10830">
      <c r="A10830" t="inlineStr"/>
      <c r="B10830" t="inlineStr"/>
      <c r="C10830" t="inlineStr"/>
      <c r="D10830" t="inlineStr"/>
      <c r="E10830">
        <f>HYPERLINK("https://www.ncbi.nlm.nih.gov/gene/?term=XP_034258760.1", "XP_034258760.1")</f>
        <v/>
      </c>
      <c r="F10830" t="n">
        <v>42.2</v>
      </c>
      <c r="G10830" t="n">
        <v>180</v>
      </c>
      <c r="H10830" t="n">
        <v>2e-38</v>
      </c>
      <c r="I10830" t="inlineStr">
        <is>
          <t>Nr</t>
        </is>
      </c>
      <c r="J10830" t="inlineStr"/>
      <c r="K10830" t="inlineStr"/>
      <c r="L10830" t="inlineStr">
        <is>
          <t>XP_034258760.1 uncharacterized protein LOC117655422 [Pantherophis guttatus]</t>
        </is>
      </c>
      <c r="M10830" t="n">
        <v>413</v>
      </c>
      <c r="N10830" t="inlineStr">
        <is>
          <t>Pantherophis guttatus</t>
        </is>
      </c>
      <c r="O10830" t="inlineStr">
        <is>
          <t>uncharacterized protein LOC117655422</t>
        </is>
      </c>
    </row>
    <row r="10831">
      <c r="A10831" t="inlineStr"/>
      <c r="B10831" t="inlineStr"/>
      <c r="C10831" t="inlineStr"/>
      <c r="D10831" t="inlineStr"/>
      <c r="E10831">
        <f>HYPERLINK("https://www.ncbi.nlm.nih.gov/gene/?term=XP_031747366.1", "XP_031747366.1")</f>
        <v/>
      </c>
      <c r="F10831" t="n">
        <v>62.2</v>
      </c>
      <c r="G10831" t="n">
        <v>119</v>
      </c>
      <c r="H10831" t="n">
        <v>2.96e-38</v>
      </c>
      <c r="I10831" t="inlineStr">
        <is>
          <t>Nr</t>
        </is>
      </c>
      <c r="J10831" t="inlineStr"/>
      <c r="K10831" t="inlineStr"/>
      <c r="L10831" t="inlineStr">
        <is>
          <t>XP_031747366.1 uncharacterized protein LOC116406738 [Xenopus tropicalis]</t>
        </is>
      </c>
      <c r="M10831" t="n">
        <v>460</v>
      </c>
      <c r="N10831" t="inlineStr">
        <is>
          <t>Xenopus tropicalis</t>
        </is>
      </c>
      <c r="O10831" t="inlineStr">
        <is>
          <t>uncharacterized protein LOC116406738</t>
        </is>
      </c>
    </row>
    <row r="10832">
      <c r="A10832" t="inlineStr"/>
      <c r="B10832" t="inlineStr"/>
      <c r="C10832" t="inlineStr"/>
      <c r="D10832" t="inlineStr"/>
      <c r="E10832">
        <f>HYPERLINK("https://www.uniprot.org/uniprotkb/A0A6I8RCF9/entry", "A0A6I8RCF9")</f>
        <v/>
      </c>
      <c r="F10832" t="n">
        <v>60.5</v>
      </c>
      <c r="G10832" t="n">
        <v>119</v>
      </c>
      <c r="H10832" t="n">
        <v>3.61e-38</v>
      </c>
      <c r="I10832" t="inlineStr">
        <is>
          <t>TrEMBL</t>
        </is>
      </c>
      <c r="J10832" t="inlineStr"/>
      <c r="K10832" t="inlineStr">
        <is>
          <t>A0A6I8RCF9_XENTR</t>
        </is>
      </c>
      <c r="L10832" t="inlineStr">
        <is>
          <t>tr|A0A6I8RCF9|A0A6I8RCF9_XENTR Tyr recombinase domain-containing protein OS=Xenopus tropicalis OX=8364 PE=4 SV=2</t>
        </is>
      </c>
      <c r="M10832" t="n">
        <v>917</v>
      </c>
      <c r="N10832" t="inlineStr">
        <is>
          <t>Xenopus tropicalis</t>
        </is>
      </c>
      <c r="O10832" t="inlineStr">
        <is>
          <t>Tyr recombinase domain-containing protein</t>
        </is>
      </c>
    </row>
    <row r="10833">
      <c r="A10833" t="inlineStr"/>
      <c r="B10833" t="inlineStr"/>
      <c r="C10833" t="inlineStr"/>
      <c r="D10833" t="inlineStr"/>
      <c r="E10833">
        <f>HYPERLINK("https://www.uniprot.org/uniprotkb/A0A803JGC4/entry", "A0A803JGC4")</f>
        <v/>
      </c>
      <c r="F10833" t="n">
        <v>58.9</v>
      </c>
      <c r="G10833" t="n">
        <v>124</v>
      </c>
      <c r="H10833" t="n">
        <v>3.8e-38</v>
      </c>
      <c r="I10833" t="inlineStr">
        <is>
          <t>TrEMBL</t>
        </is>
      </c>
      <c r="J10833" t="inlineStr"/>
      <c r="K10833" t="inlineStr">
        <is>
          <t>A0A803JGC4_XENTR</t>
        </is>
      </c>
      <c r="L10833" t="inlineStr">
        <is>
          <t>tr|A0A803JGC4|A0A803JGC4_XENTR Core-binding (CB) domain-containing protein OS=Xenopus tropicalis OX=8364 PE=4 SV=1</t>
        </is>
      </c>
      <c r="M10833" t="n">
        <v>743</v>
      </c>
      <c r="N10833" t="inlineStr">
        <is>
          <t>Xenopus tropicalis</t>
        </is>
      </c>
      <c r="O10833" t="inlineStr">
        <is>
          <t>Core-binding (CB) domain-containing protein</t>
        </is>
      </c>
    </row>
    <row r="10834">
      <c r="A10834" t="inlineStr"/>
      <c r="B10834" t="inlineStr"/>
      <c r="C10834" t="inlineStr"/>
      <c r="D10834" t="inlineStr"/>
      <c r="E10834">
        <f>HYPERLINK("https://www.uniprot.org/uniprotkb/A0A8J1J4S9/entry", "A0A8J1J4S9")</f>
        <v/>
      </c>
      <c r="F10834" t="n">
        <v>63</v>
      </c>
      <c r="G10834" t="n">
        <v>119</v>
      </c>
      <c r="H10834" t="n">
        <v>4.7e-38</v>
      </c>
      <c r="I10834" t="inlineStr">
        <is>
          <t>TrEMBL</t>
        </is>
      </c>
      <c r="J10834" t="inlineStr">
        <is>
          <t>LOC116408870</t>
        </is>
      </c>
      <c r="K10834" t="inlineStr">
        <is>
          <t>A0A8J1J4S9_XENTR</t>
        </is>
      </c>
      <c r="L10834" t="inlineStr">
        <is>
          <t>tr|A0A8J1J4S9|A0A8J1J4S9_XENTR filaggrin-2-like OS=Xenopus tropicalis OX=8364 GN=LOC116408870 PE=4 SV=1</t>
        </is>
      </c>
      <c r="M10834" t="n">
        <v>714</v>
      </c>
      <c r="N10834" t="inlineStr">
        <is>
          <t>Xenopus tropicalis</t>
        </is>
      </c>
      <c r="O10834" t="inlineStr">
        <is>
          <t>filaggrin-2-like</t>
        </is>
      </c>
    </row>
    <row r="10835">
      <c r="A10835" t="inlineStr"/>
      <c r="B10835" t="inlineStr"/>
      <c r="C10835" t="inlineStr"/>
      <c r="D10835" t="inlineStr"/>
      <c r="E10835">
        <f>HYPERLINK("https://www.uniprot.org/uniprotkb/A0A6I8RND0/entry", "A0A6I8RND0")</f>
        <v/>
      </c>
      <c r="F10835" t="n">
        <v>60.5</v>
      </c>
      <c r="G10835" t="n">
        <v>124</v>
      </c>
      <c r="H10835" t="n">
        <v>4.98e-38</v>
      </c>
      <c r="I10835" t="inlineStr">
        <is>
          <t>TrEMBL</t>
        </is>
      </c>
      <c r="J10835" t="inlineStr"/>
      <c r="K10835" t="inlineStr">
        <is>
          <t>A0A6I8RND0_XENTR</t>
        </is>
      </c>
      <c r="L10835" t="inlineStr">
        <is>
          <t>tr|A0A6I8RND0|A0A6I8RND0_XENTR Movement protein OS=Xenopus tropicalis OX=8364 PE=4 SV=2</t>
        </is>
      </c>
      <c r="M10835" t="n">
        <v>951</v>
      </c>
      <c r="N10835" t="inlineStr">
        <is>
          <t>Xenopus tropicalis</t>
        </is>
      </c>
      <c r="O10835" t="inlineStr">
        <is>
          <t>Movement protein</t>
        </is>
      </c>
    </row>
    <row r="10836">
      <c r="A10836" t="inlineStr"/>
      <c r="B10836" t="inlineStr"/>
      <c r="C10836" t="inlineStr"/>
      <c r="D10836" t="inlineStr"/>
      <c r="E10836">
        <f>HYPERLINK("https://www.uniprot.org/uniprotkb/A0A6P9B2X4/entry", "A0A6P9B2X4")</f>
        <v/>
      </c>
      <c r="F10836" t="n">
        <v>42.2</v>
      </c>
      <c r="G10836" t="n">
        <v>180</v>
      </c>
      <c r="H10836" t="n">
        <v>6.69e-38</v>
      </c>
      <c r="I10836" t="inlineStr">
        <is>
          <t>TrEMBL</t>
        </is>
      </c>
      <c r="J10836" t="inlineStr">
        <is>
          <t>LOC117658467</t>
        </is>
      </c>
      <c r="K10836" t="inlineStr">
        <is>
          <t>A0A6P9B2X4_PANGU</t>
        </is>
      </c>
      <c r="L10836" t="inlineStr">
        <is>
          <t>tr|A0A6P9B2X4|A0A6P9B2X4_PANGU uncharacterized protein LOC117658467 OS=Pantherophis guttatus OX=94885 GN=LOC117658467 PE=4 SV=1</t>
        </is>
      </c>
      <c r="M10836" t="n">
        <v>420</v>
      </c>
      <c r="N10836" t="inlineStr">
        <is>
          <t>Pantherophis guttatus</t>
        </is>
      </c>
      <c r="O10836" t="inlineStr">
        <is>
          <t>uncharacterized protein LOC117658467</t>
        </is>
      </c>
    </row>
    <row r="10837">
      <c r="A10837" t="inlineStr"/>
      <c r="B10837" t="inlineStr"/>
      <c r="C10837" t="inlineStr"/>
      <c r="D10837" t="inlineStr"/>
      <c r="E10837">
        <f>HYPERLINK("https://www.ncbi.nlm.nih.gov/gene/?term=KAE8586429.1", "KAE8586429.1")</f>
        <v/>
      </c>
      <c r="F10837" t="n">
        <v>63</v>
      </c>
      <c r="G10837" t="n">
        <v>119</v>
      </c>
      <c r="H10837" t="n">
        <v>8.51e-38</v>
      </c>
      <c r="I10837" t="inlineStr">
        <is>
          <t>Nr</t>
        </is>
      </c>
      <c r="J10837" t="inlineStr"/>
      <c r="K10837" t="inlineStr"/>
      <c r="L10837" t="inlineStr">
        <is>
          <t>KAE8586429.1 hypothetical protein XENTR_v10021668 [Xenopus tropicalis]</t>
        </is>
      </c>
      <c r="M10837" t="n">
        <v>648</v>
      </c>
      <c r="N10837" t="inlineStr">
        <is>
          <t>Xenopus tropicalis</t>
        </is>
      </c>
      <c r="O10837" t="inlineStr">
        <is>
          <t>hypothetical protein XENTR_v10021668</t>
        </is>
      </c>
    </row>
    <row r="10838">
      <c r="A10838" t="inlineStr"/>
      <c r="B10838" t="inlineStr"/>
      <c r="C10838" t="inlineStr"/>
      <c r="D10838" t="inlineStr"/>
      <c r="E10838">
        <f>HYPERLINK("https://www.uniprot.org/uniprotkb/A0A8J1LAE2/entry", "A0A8J1LAE2")</f>
        <v/>
      </c>
      <c r="F10838" t="n">
        <v>43</v>
      </c>
      <c r="G10838" t="n">
        <v>172</v>
      </c>
      <c r="H10838" t="n">
        <v>1.13e-37</v>
      </c>
      <c r="I10838" t="inlineStr">
        <is>
          <t>TrEMBL</t>
        </is>
      </c>
      <c r="J10838" t="inlineStr">
        <is>
          <t>MGC115313</t>
        </is>
      </c>
      <c r="K10838" t="inlineStr">
        <is>
          <t>A0A8J1LAE2_XENLA</t>
        </is>
      </c>
      <c r="L10838" t="inlineStr">
        <is>
          <t>tr|A0A8J1LAE2|A0A8J1LAE2_XENLA uncharacterized protein LOC734383 isoform X1 OS=Xenopus laevis OX=8355 GN=MGC115313 PE=4 SV=1</t>
        </is>
      </c>
      <c r="M10838" t="n">
        <v>393</v>
      </c>
      <c r="N10838" t="inlineStr">
        <is>
          <t>Xenopus laevis</t>
        </is>
      </c>
      <c r="O10838" t="inlineStr">
        <is>
          <t>uncharacterized protein LOC734383 isoform X1</t>
        </is>
      </c>
    </row>
    <row r="10839">
      <c r="A10839" t="inlineStr"/>
      <c r="B10839" t="inlineStr"/>
      <c r="C10839" t="inlineStr"/>
      <c r="D10839" t="inlineStr"/>
      <c r="E10839">
        <f>HYPERLINK("https://www.ncbi.nlm.nih.gov/gene/?term=XP_031752878.1", "XP_031752878.1")</f>
        <v/>
      </c>
      <c r="F10839" t="n">
        <v>63</v>
      </c>
      <c r="G10839" t="n">
        <v>119</v>
      </c>
      <c r="H10839" t="n">
        <v>1.21e-37</v>
      </c>
      <c r="I10839" t="inlineStr">
        <is>
          <t>Nr</t>
        </is>
      </c>
      <c r="J10839" t="inlineStr"/>
      <c r="K10839" t="inlineStr"/>
      <c r="L10839" t="inlineStr">
        <is>
          <t>XP_031752878.1 filaggrin-2-like [Xenopus tropicalis]</t>
        </is>
      </c>
      <c r="M10839" t="n">
        <v>714</v>
      </c>
      <c r="N10839" t="inlineStr">
        <is>
          <t>Xenopus tropicalis</t>
        </is>
      </c>
      <c r="O10839" t="inlineStr">
        <is>
          <t>filaggrin-2-like</t>
        </is>
      </c>
    </row>
    <row r="10840">
      <c r="A10840" t="inlineStr"/>
      <c r="B10840" t="inlineStr"/>
      <c r="C10840" t="inlineStr"/>
      <c r="D10840" t="inlineStr"/>
      <c r="E10840">
        <f>HYPERLINK("https://www.uniprot.org/uniprotkb/A0A8J1LJD0/entry", "A0A8J1LJD0")</f>
        <v/>
      </c>
      <c r="F10840" t="n">
        <v>59.7</v>
      </c>
      <c r="G10840" t="n">
        <v>119</v>
      </c>
      <c r="H10840" t="n">
        <v>1.6e-37</v>
      </c>
      <c r="I10840" t="inlineStr">
        <is>
          <t>TrEMBL</t>
        </is>
      </c>
      <c r="J10840" t="inlineStr">
        <is>
          <t>LOC121397238</t>
        </is>
      </c>
      <c r="K10840" t="inlineStr">
        <is>
          <t>A0A8J1LJD0_XENLA</t>
        </is>
      </c>
      <c r="L10840" t="inlineStr">
        <is>
          <t>tr|A0A8J1LJD0|A0A8J1LJD0_XENLA uncharacterized protein LOC121397238 OS=Xenopus laevis OX=8355 GN=LOC121397238 PE=4 SV=1</t>
        </is>
      </c>
      <c r="M10840" t="n">
        <v>642</v>
      </c>
      <c r="N10840" t="inlineStr">
        <is>
          <t>Xenopus laevis</t>
        </is>
      </c>
      <c r="O10840" t="inlineStr">
        <is>
          <t>uncharacterized protein LOC121397238</t>
        </is>
      </c>
    </row>
    <row r="10841">
      <c r="A10841" t="inlineStr"/>
      <c r="B10841" t="inlineStr"/>
      <c r="C10841" t="inlineStr"/>
      <c r="D10841" t="inlineStr"/>
      <c r="E10841">
        <f>HYPERLINK("https://www.ncbi.nlm.nih.gov/gene/?term=XP_034262485.1", "XP_034262485.1")</f>
        <v/>
      </c>
      <c r="F10841" t="n">
        <v>42.2</v>
      </c>
      <c r="G10841" t="n">
        <v>180</v>
      </c>
      <c r="H10841" t="n">
        <v>1.72e-37</v>
      </c>
      <c r="I10841" t="inlineStr">
        <is>
          <t>Nr</t>
        </is>
      </c>
      <c r="J10841" t="inlineStr"/>
      <c r="K10841" t="inlineStr"/>
      <c r="L10841" t="inlineStr">
        <is>
          <t>XP_034262485.1 uncharacterized protein LOC117658467 [Pantherophis guttatus]</t>
        </is>
      </c>
      <c r="M10841" t="n">
        <v>420</v>
      </c>
      <c r="N10841" t="inlineStr">
        <is>
          <t>Pantherophis guttatus</t>
        </is>
      </c>
      <c r="O10841" t="inlineStr">
        <is>
          <t>uncharacterized protein LOC117658467</t>
        </is>
      </c>
    </row>
    <row r="10842">
      <c r="A10842" t="inlineStr"/>
      <c r="B10842" t="inlineStr"/>
      <c r="C10842" t="inlineStr"/>
      <c r="D10842" t="inlineStr"/>
      <c r="E10842">
        <f>HYPERLINK("https://www.ncbi.nlm.nih.gov/gene/?term=XP_041426492.1", "XP_041426492.1")</f>
        <v/>
      </c>
      <c r="F10842" t="n">
        <v>43</v>
      </c>
      <c r="G10842" t="n">
        <v>172</v>
      </c>
      <c r="H10842" t="n">
        <v>2.9e-37</v>
      </c>
      <c r="I10842" t="inlineStr">
        <is>
          <t>Nr</t>
        </is>
      </c>
      <c r="J10842" t="inlineStr"/>
      <c r="K10842" t="inlineStr"/>
      <c r="L10842" t="inlineStr">
        <is>
          <t>XP_041426492.1 uncharacterized protein LOC734383 isoform X1 [Xenopus laevis]</t>
        </is>
      </c>
      <c r="M10842" t="n">
        <v>393</v>
      </c>
      <c r="N10842" t="inlineStr">
        <is>
          <t>Xenopus laevis</t>
        </is>
      </c>
      <c r="O10842" t="inlineStr">
        <is>
          <t>uncharacterized protein LOC734383 isoform X1</t>
        </is>
      </c>
    </row>
    <row r="10843">
      <c r="A10843" t="inlineStr"/>
      <c r="B10843" t="inlineStr"/>
      <c r="C10843" t="inlineStr"/>
      <c r="D10843" t="inlineStr"/>
      <c r="E10843">
        <f>HYPERLINK("https://www.uniprot.org/uniprotkb/A0A8J1LQ31/entry", "A0A8J1LQ31")</f>
        <v/>
      </c>
      <c r="F10843" t="n">
        <v>56.7</v>
      </c>
      <c r="G10843" t="n">
        <v>127</v>
      </c>
      <c r="H10843" t="n">
        <v>3.31e-37</v>
      </c>
      <c r="I10843" t="inlineStr">
        <is>
          <t>TrEMBL</t>
        </is>
      </c>
      <c r="J10843" t="inlineStr">
        <is>
          <t>LOC121397804</t>
        </is>
      </c>
      <c r="K10843" t="inlineStr">
        <is>
          <t>A0A8J1LQ31_XENLA</t>
        </is>
      </c>
      <c r="L10843" t="inlineStr">
        <is>
          <t>tr|A0A8J1LQ31|A0A8J1LQ31_XENLA uncharacterized protein LOC121397804 OS=Xenopus laevis OX=8355 GN=LOC121397804 PE=4 SV=1</t>
        </is>
      </c>
      <c r="M10843" t="n">
        <v>1421</v>
      </c>
      <c r="N10843" t="inlineStr">
        <is>
          <t>Xenopus laevis</t>
        </is>
      </c>
      <c r="O10843" t="inlineStr">
        <is>
          <t>uncharacterized protein LOC121397804</t>
        </is>
      </c>
    </row>
    <row r="10844">
      <c r="A10844" t="inlineStr"/>
      <c r="B10844" t="inlineStr"/>
      <c r="C10844" t="inlineStr"/>
      <c r="D10844" t="inlineStr"/>
      <c r="E10844">
        <f>HYPERLINK("https://www.uniprot.org/uniprotkb/A0A6P9D0P1/entry", "A0A6P9D0P1")</f>
        <v/>
      </c>
      <c r="F10844" t="n">
        <v>42.5</v>
      </c>
      <c r="G10844" t="n">
        <v>179</v>
      </c>
      <c r="H10844" t="n">
        <v>4e-37</v>
      </c>
      <c r="I10844" t="inlineStr">
        <is>
          <t>TrEMBL</t>
        </is>
      </c>
      <c r="J10844" t="inlineStr">
        <is>
          <t>LOC117675085</t>
        </is>
      </c>
      <c r="K10844" t="inlineStr">
        <is>
          <t>A0A6P9D0P1_PANGU</t>
        </is>
      </c>
      <c r="L10844" t="inlineStr">
        <is>
          <t>tr|A0A6P9D0P1|A0A6P9D0P1_PANGU ribonuclease H OS=Pantherophis guttatus OX=94885 GN=LOC117675085 PE=3 SV=1</t>
        </is>
      </c>
      <c r="M10844" t="n">
        <v>1211</v>
      </c>
      <c r="N10844" t="inlineStr">
        <is>
          <t>Pantherophis guttatus</t>
        </is>
      </c>
      <c r="O10844" t="inlineStr">
        <is>
          <t>ribonuclease H</t>
        </is>
      </c>
    </row>
    <row r="10845">
      <c r="A10845" t="inlineStr"/>
      <c r="B10845" t="inlineStr"/>
      <c r="C10845" t="inlineStr"/>
      <c r="D10845" t="inlineStr"/>
      <c r="E10845">
        <f>HYPERLINK("https://www.ncbi.nlm.nih.gov/gene/?term=XP_041429632.1", "XP_041429632.1")</f>
        <v/>
      </c>
      <c r="F10845" t="n">
        <v>59.7</v>
      </c>
      <c r="G10845" t="n">
        <v>119</v>
      </c>
      <c r="H10845" t="n">
        <v>4.100000000000001e-37</v>
      </c>
      <c r="I10845" t="inlineStr">
        <is>
          <t>Nr</t>
        </is>
      </c>
      <c r="J10845" t="inlineStr"/>
      <c r="K10845" t="inlineStr"/>
      <c r="L10845" t="inlineStr">
        <is>
          <t>XP_041429632.1 uncharacterized protein LOC121397238 [Xenopus laevis]</t>
        </is>
      </c>
      <c r="M10845" t="n">
        <v>642</v>
      </c>
      <c r="N10845" t="inlineStr">
        <is>
          <t>Xenopus laevis</t>
        </is>
      </c>
      <c r="O10845" t="inlineStr">
        <is>
          <t>uncharacterized protein LOC121397238</t>
        </is>
      </c>
    </row>
    <row r="10846">
      <c r="A10846" t="inlineStr"/>
      <c r="B10846" t="inlineStr"/>
      <c r="C10846" t="inlineStr"/>
      <c r="D10846" t="inlineStr"/>
      <c r="E10846">
        <f>HYPERLINK("https://www.ncbi.nlm.nih.gov/gene/?term=XP_039203951.1", "XP_039203951.1")</f>
        <v/>
      </c>
      <c r="F10846" t="n">
        <v>43.8</v>
      </c>
      <c r="G10846" t="n">
        <v>169</v>
      </c>
      <c r="H10846" t="n">
        <v>4.68e-37</v>
      </c>
      <c r="I10846" t="inlineStr">
        <is>
          <t>Nr</t>
        </is>
      </c>
      <c r="J10846" t="inlineStr"/>
      <c r="K10846" t="inlineStr"/>
      <c r="L10846" t="inlineStr">
        <is>
          <t>XP_039203951.1 bromodomain-containing protein 9 isoform X10 [Crotalus tigris]</t>
        </is>
      </c>
      <c r="M10846" t="n">
        <v>508</v>
      </c>
      <c r="N10846" t="inlineStr">
        <is>
          <t>Crotalus tigris</t>
        </is>
      </c>
      <c r="O10846" t="inlineStr">
        <is>
          <t>bromodomain-containing protein 9 isoform X10</t>
        </is>
      </c>
    </row>
    <row r="10847">
      <c r="A10847" t="inlineStr"/>
      <c r="B10847" t="inlineStr"/>
      <c r="C10847" t="inlineStr"/>
      <c r="D10847" t="inlineStr"/>
      <c r="E10847">
        <f>HYPERLINK("https://www.ncbi.nlm.nih.gov/gene/?term=KAE8579987.1", "KAE8579987.1")</f>
        <v/>
      </c>
      <c r="F10847" t="n">
        <v>59.7</v>
      </c>
      <c r="G10847" t="n">
        <v>124</v>
      </c>
      <c r="H10847" t="n">
        <v>7.37e-37</v>
      </c>
      <c r="I10847" t="inlineStr">
        <is>
          <t>Nr</t>
        </is>
      </c>
      <c r="J10847" t="inlineStr"/>
      <c r="K10847" t="inlineStr"/>
      <c r="L10847" t="inlineStr">
        <is>
          <t>KAE8579987.1 hypothetical protein XENTR_v10024262 [Xenopus tropicalis]</t>
        </is>
      </c>
      <c r="M10847" t="n">
        <v>797</v>
      </c>
      <c r="N10847" t="inlineStr">
        <is>
          <t>Xenopus tropicalis</t>
        </is>
      </c>
      <c r="O10847" t="inlineStr">
        <is>
          <t>hypothetical protein XENTR_v10024262</t>
        </is>
      </c>
    </row>
    <row r="10848">
      <c r="A10848" t="inlineStr"/>
      <c r="B10848" t="inlineStr"/>
      <c r="C10848" t="inlineStr"/>
      <c r="D10848" t="inlineStr"/>
      <c r="E10848">
        <f>HYPERLINK("https://www.ncbi.nlm.nih.gov/gene/?term=XP_044130116.1", "XP_044130116.1")</f>
        <v/>
      </c>
      <c r="F10848" t="n">
        <v>51.4</v>
      </c>
      <c r="G10848" t="n">
        <v>148</v>
      </c>
      <c r="H10848" t="n">
        <v>7.480000000000001e-37</v>
      </c>
      <c r="I10848" t="inlineStr">
        <is>
          <t>Nr</t>
        </is>
      </c>
      <c r="J10848" t="inlineStr"/>
      <c r="K10848" t="inlineStr"/>
      <c r="L10848" t="inlineStr">
        <is>
          <t>XP_044130116.1 solute carrier family 35 member F5 [Bufo gargarizans]</t>
        </is>
      </c>
      <c r="M10848" t="n">
        <v>1106</v>
      </c>
      <c r="N10848" t="inlineStr">
        <is>
          <t>Bufo gargarizans</t>
        </is>
      </c>
      <c r="O10848" t="inlineStr">
        <is>
          <t>solute carrier family 35 member F5</t>
        </is>
      </c>
    </row>
    <row r="10849">
      <c r="A10849" t="inlineStr"/>
      <c r="B10849" t="inlineStr"/>
      <c r="C10849" t="inlineStr"/>
      <c r="D10849" t="inlineStr"/>
      <c r="E10849">
        <f>HYPERLINK("https://www.ncbi.nlm.nih.gov/gene/?term=XP_041431344.1", "XP_041431344.1")</f>
        <v/>
      </c>
      <c r="F10849" t="n">
        <v>56.7</v>
      </c>
      <c r="G10849" t="n">
        <v>127</v>
      </c>
      <c r="H10849" t="n">
        <v>8.51e-37</v>
      </c>
      <c r="I10849" t="inlineStr">
        <is>
          <t>Nr</t>
        </is>
      </c>
      <c r="J10849" t="inlineStr"/>
      <c r="K10849" t="inlineStr"/>
      <c r="L10849" t="inlineStr">
        <is>
          <t>XP_041431344.1 uncharacterized protein LOC121397804 [Xenopus laevis]</t>
        </is>
      </c>
      <c r="M10849" t="n">
        <v>1421</v>
      </c>
      <c r="N10849" t="inlineStr">
        <is>
          <t>Xenopus laevis</t>
        </is>
      </c>
      <c r="O10849" t="inlineStr">
        <is>
          <t>uncharacterized protein LOC121397804</t>
        </is>
      </c>
    </row>
    <row r="10850">
      <c r="A10850" t="inlineStr"/>
      <c r="B10850" t="inlineStr"/>
      <c r="C10850" t="inlineStr"/>
      <c r="D10850" t="inlineStr"/>
      <c r="E10850">
        <f>HYPERLINK("https://www.ncbi.nlm.nih.gov/gene/?term=XP_034289304.1", "XP_034289304.1")</f>
        <v/>
      </c>
      <c r="F10850" t="n">
        <v>42.5</v>
      </c>
      <c r="G10850" t="n">
        <v>179</v>
      </c>
      <c r="H10850" t="n">
        <v>1.03e-36</v>
      </c>
      <c r="I10850" t="inlineStr">
        <is>
          <t>Nr</t>
        </is>
      </c>
      <c r="J10850" t="inlineStr"/>
      <c r="K10850" t="inlineStr"/>
      <c r="L10850" t="inlineStr">
        <is>
          <t>XP_034289304.1 uncharacterized protein LOC117675085 [Pantherophis guttatus]</t>
        </is>
      </c>
      <c r="M10850" t="n">
        <v>1211</v>
      </c>
      <c r="N10850" t="inlineStr">
        <is>
          <t>Pantherophis guttatus</t>
        </is>
      </c>
      <c r="O10850" t="inlineStr">
        <is>
          <t>uncharacterized protein LOC117675085</t>
        </is>
      </c>
    </row>
    <row r="10851">
      <c r="A10851" t="inlineStr"/>
      <c r="B10851" t="inlineStr"/>
      <c r="C10851" t="inlineStr"/>
      <c r="D10851" t="inlineStr"/>
      <c r="E10851">
        <f>HYPERLINK("https://www.ncbi.nlm.nih.gov/gene/?term=KAE8603543.1", "KAE8603543.1")</f>
        <v/>
      </c>
      <c r="F10851" t="n">
        <v>58.4</v>
      </c>
      <c r="G10851" t="n">
        <v>125</v>
      </c>
      <c r="H10851" t="n">
        <v>1.06e-36</v>
      </c>
      <c r="I10851" t="inlineStr">
        <is>
          <t>Nr</t>
        </is>
      </c>
      <c r="J10851" t="inlineStr"/>
      <c r="K10851" t="inlineStr"/>
      <c r="L10851" t="inlineStr">
        <is>
          <t>KAE8603543.1 hypothetical protein XENTR_v10014362 [Xenopus tropicalis]</t>
        </is>
      </c>
      <c r="M10851" t="n">
        <v>325</v>
      </c>
      <c r="N10851" t="inlineStr">
        <is>
          <t>Xenopus tropicalis</t>
        </is>
      </c>
      <c r="O10851" t="inlineStr">
        <is>
          <t>hypothetical protein XENTR_v10014362</t>
        </is>
      </c>
    </row>
    <row r="10852">
      <c r="A10852" t="inlineStr"/>
      <c r="B10852" t="inlineStr"/>
      <c r="C10852" t="inlineStr"/>
      <c r="D10852" t="inlineStr"/>
      <c r="E10852">
        <f>HYPERLINK("https://www.uniprot.org/uniprotkb/A0A8J1KMJ4/entry", "A0A8J1KMJ4")</f>
        <v/>
      </c>
      <c r="F10852" t="n">
        <v>48.2</v>
      </c>
      <c r="G10852" t="n">
        <v>137</v>
      </c>
      <c r="H10852" t="n">
        <v>1.12e-36</v>
      </c>
      <c r="I10852" t="inlineStr">
        <is>
          <t>TrEMBL</t>
        </is>
      </c>
      <c r="J10852" t="inlineStr">
        <is>
          <t>LOC121393326</t>
        </is>
      </c>
      <c r="K10852" t="inlineStr">
        <is>
          <t>A0A8J1KMJ4_XENLA</t>
        </is>
      </c>
      <c r="L10852" t="inlineStr">
        <is>
          <t>tr|A0A8J1KMJ4|A0A8J1KMJ4_XENLA uncharacterized protein LOC121393326 OS=Xenopus laevis OX=8355 GN=LOC121393326 PE=4 SV=1</t>
        </is>
      </c>
      <c r="M10852" t="n">
        <v>626</v>
      </c>
      <c r="N10852" t="inlineStr">
        <is>
          <t>Xenopus laevis</t>
        </is>
      </c>
      <c r="O10852" t="inlineStr">
        <is>
          <t>uncharacterized protein LOC121393326</t>
        </is>
      </c>
    </row>
    <row r="10853">
      <c r="A10853" t="inlineStr"/>
      <c r="B10853" t="inlineStr"/>
      <c r="C10853" t="inlineStr"/>
      <c r="D10853" t="inlineStr"/>
      <c r="E10853">
        <f>HYPERLINK("https://www.ncbi.nlm.nih.gov/gene/?term=KAJ1145423.1", "KAJ1145423.1")</f>
        <v/>
      </c>
      <c r="F10853" t="n">
        <v>41.7</v>
      </c>
      <c r="G10853" t="n">
        <v>180</v>
      </c>
      <c r="H10853" t="n">
        <v>2.03e-36</v>
      </c>
      <c r="I10853" t="inlineStr">
        <is>
          <t>Nr</t>
        </is>
      </c>
      <c r="J10853" t="inlineStr"/>
      <c r="K10853" t="inlineStr"/>
      <c r="L10853" t="inlineStr">
        <is>
          <t>KAJ1145423.1 hypothetical protein NDU88_011710 [Pleurodeles waltl]</t>
        </is>
      </c>
      <c r="M10853" t="n">
        <v>199</v>
      </c>
      <c r="N10853" t="inlineStr">
        <is>
          <t>Pleurodeles waltl</t>
        </is>
      </c>
      <c r="O10853" t="inlineStr">
        <is>
          <t>hypothetical protein NDU88_011710</t>
        </is>
      </c>
    </row>
    <row r="10854">
      <c r="A10854" t="inlineStr"/>
      <c r="B10854" t="inlineStr"/>
      <c r="C10854" t="inlineStr"/>
      <c r="D10854" t="inlineStr"/>
      <c r="E10854">
        <f>HYPERLINK("https://www.uniprot.org/uniprotkb/A0A6I8QMF2/entry", "A0A6I8QMF2")</f>
        <v/>
      </c>
      <c r="F10854" t="n">
        <v>58</v>
      </c>
      <c r="G10854" t="n">
        <v>119</v>
      </c>
      <c r="H10854" t="n">
        <v>2.45e-36</v>
      </c>
      <c r="I10854" t="inlineStr">
        <is>
          <t>TrEMBL</t>
        </is>
      </c>
      <c r="J10854" t="inlineStr"/>
      <c r="K10854" t="inlineStr">
        <is>
          <t>A0A6I8QMF2_XENTR</t>
        </is>
      </c>
      <c r="L10854" t="inlineStr">
        <is>
          <t>tr|A0A6I8QMF2|A0A6I8QMF2_XENTR Tyr recombinase domain-containing protein OS=Xenopus tropicalis OX=8364 PE=4 SV=1</t>
        </is>
      </c>
      <c r="M10854" t="n">
        <v>417</v>
      </c>
      <c r="N10854" t="inlineStr">
        <is>
          <t>Xenopus tropicalis</t>
        </is>
      </c>
      <c r="O10854" t="inlineStr">
        <is>
          <t>Tyr recombinase domain-containing protein</t>
        </is>
      </c>
    </row>
    <row r="10855">
      <c r="A10855" t="inlineStr"/>
      <c r="B10855" t="inlineStr"/>
      <c r="C10855" t="inlineStr"/>
      <c r="D10855" t="inlineStr"/>
      <c r="E10855">
        <f>HYPERLINK("https://www.uniprot.org/uniprotkb/A0A2D4M837/entry", "A0A2D4M837")</f>
        <v/>
      </c>
      <c r="F10855" t="n">
        <v>41.7</v>
      </c>
      <c r="G10855" t="n">
        <v>163</v>
      </c>
      <c r="H10855" t="n">
        <v>2.53e-36</v>
      </c>
      <c r="I10855" t="inlineStr">
        <is>
          <t>TrEMBL</t>
        </is>
      </c>
      <c r="J10855" t="inlineStr"/>
      <c r="K10855" t="inlineStr">
        <is>
          <t>A0A2D4M837_9SAUR</t>
        </is>
      </c>
      <c r="L10855" t="inlineStr">
        <is>
          <t>tr|A0A2D4M837|A0A2D4M837_9SAUR Reverse transcriptase (Fragment) OS=Micrurus spixii OX=129469 PE=4 SV=1</t>
        </is>
      </c>
      <c r="M10855" t="n">
        <v>167</v>
      </c>
      <c r="N10855" t="inlineStr">
        <is>
          <t>Micrurus spixii</t>
        </is>
      </c>
      <c r="O10855" t="inlineStr">
        <is>
          <t>Reverse transcriptase (Fragment)</t>
        </is>
      </c>
    </row>
    <row r="10856">
      <c r="A10856" t="inlineStr"/>
      <c r="B10856" t="inlineStr"/>
      <c r="C10856" t="inlineStr"/>
      <c r="D10856" t="inlineStr"/>
      <c r="E10856">
        <f>HYPERLINK("https://www.ncbi.nlm.nih.gov/gene/?term=XP_041417454.1", "XP_041417454.1")</f>
        <v/>
      </c>
      <c r="F10856" t="n">
        <v>48.2</v>
      </c>
      <c r="G10856" t="n">
        <v>137</v>
      </c>
      <c r="H10856" t="n">
        <v>2.88e-36</v>
      </c>
      <c r="I10856" t="inlineStr">
        <is>
          <t>Nr</t>
        </is>
      </c>
      <c r="J10856" t="inlineStr"/>
      <c r="K10856" t="inlineStr"/>
      <c r="L10856" t="inlineStr">
        <is>
          <t>XP_041417454.1 uncharacterized protein LOC121393326 [Xenopus laevis]</t>
        </is>
      </c>
      <c r="M10856" t="n">
        <v>626</v>
      </c>
      <c r="N10856" t="inlineStr">
        <is>
          <t>Xenopus laevis</t>
        </is>
      </c>
      <c r="O10856" t="inlineStr">
        <is>
          <t>uncharacterized protein LOC121393326</t>
        </is>
      </c>
    </row>
    <row r="10857">
      <c r="A10857" t="inlineStr"/>
      <c r="B10857" t="inlineStr"/>
      <c r="C10857" t="inlineStr"/>
      <c r="D10857" t="inlineStr"/>
      <c r="E10857">
        <f>HYPERLINK("https://www.uniprot.org/uniprotkb/A0A8J1KQ25/entry", "A0A8J1KQ25")</f>
        <v/>
      </c>
      <c r="F10857" t="n">
        <v>38.8</v>
      </c>
      <c r="G10857" t="n">
        <v>178</v>
      </c>
      <c r="H10857" t="n">
        <v>4.94e-36</v>
      </c>
      <c r="I10857" t="inlineStr">
        <is>
          <t>TrEMBL</t>
        </is>
      </c>
      <c r="J10857" t="inlineStr">
        <is>
          <t>LOC121393829</t>
        </is>
      </c>
      <c r="K10857" t="inlineStr">
        <is>
          <t>A0A8J1KQ25_XENLA</t>
        </is>
      </c>
      <c r="L10857" t="inlineStr">
        <is>
          <t>tr|A0A8J1KQ25|A0A8J1KQ25_XENLA ribonuclease H OS=Xenopus laevis OX=8355 GN=LOC121393829 PE=3 SV=1</t>
        </is>
      </c>
      <c r="M10857" t="n">
        <v>569</v>
      </c>
      <c r="N10857" t="inlineStr">
        <is>
          <t>Xenopus laevis</t>
        </is>
      </c>
      <c r="O10857" t="inlineStr">
        <is>
          <t>ribonuclease H</t>
        </is>
      </c>
    </row>
    <row r="10858">
      <c r="A10858" t="inlineStr"/>
      <c r="B10858" t="inlineStr"/>
      <c r="C10858" t="inlineStr"/>
      <c r="D10858" t="inlineStr"/>
      <c r="E10858">
        <f>HYPERLINK("https://www.ncbi.nlm.nih.gov/gene/?term=KAE8602875.1", "KAE8602875.1")</f>
        <v/>
      </c>
      <c r="F10858" t="n">
        <v>40</v>
      </c>
      <c r="G10858" t="n">
        <v>180</v>
      </c>
      <c r="H10858" t="n">
        <v>5.35e-36</v>
      </c>
      <c r="I10858" t="inlineStr">
        <is>
          <t>Nr</t>
        </is>
      </c>
      <c r="J10858" t="inlineStr"/>
      <c r="K10858" t="inlineStr"/>
      <c r="L10858" t="inlineStr">
        <is>
          <t>KAE8602875.1 hypothetical protein XENTR_v10014161 [Xenopus tropicalis]</t>
        </is>
      </c>
      <c r="M10858" t="n">
        <v>518</v>
      </c>
      <c r="N10858" t="inlineStr">
        <is>
          <t>Xenopus tropicalis</t>
        </is>
      </c>
      <c r="O10858" t="inlineStr">
        <is>
          <t>hypothetical protein XENTR_v10014161</t>
        </is>
      </c>
    </row>
    <row r="10859">
      <c r="A10859" t="inlineStr"/>
      <c r="B10859" t="inlineStr"/>
      <c r="C10859" t="inlineStr"/>
      <c r="D10859" t="inlineStr"/>
      <c r="E10859">
        <f>HYPERLINK("https://www.ncbi.nlm.nih.gov/gene/?term=KAE8585753.1", "KAE8585753.1")</f>
        <v/>
      </c>
      <c r="F10859" t="n">
        <v>59.7</v>
      </c>
      <c r="G10859" t="n">
        <v>119</v>
      </c>
      <c r="H10859" t="n">
        <v>5.75e-36</v>
      </c>
      <c r="I10859" t="inlineStr">
        <is>
          <t>Nr</t>
        </is>
      </c>
      <c r="J10859" t="inlineStr"/>
      <c r="K10859" t="inlineStr"/>
      <c r="L10859" t="inlineStr">
        <is>
          <t>KAE8585753.1 hypothetical protein XENTR_v10021442 [Xenopus tropicalis]</t>
        </is>
      </c>
      <c r="M10859" t="n">
        <v>731</v>
      </c>
      <c r="N10859" t="inlineStr">
        <is>
          <t>Xenopus tropicalis</t>
        </is>
      </c>
      <c r="O10859" t="inlineStr">
        <is>
          <t>hypothetical protein XENTR_v10021442</t>
        </is>
      </c>
    </row>
    <row r="10860">
      <c r="A10860" t="inlineStr"/>
      <c r="B10860" t="inlineStr"/>
      <c r="C10860" t="inlineStr"/>
      <c r="D10860" t="inlineStr"/>
      <c r="E10860">
        <f>HYPERLINK("https://www.ncbi.nlm.nih.gov/gene/?term=KAJ1109073.1", "KAJ1109073.1")</f>
        <v/>
      </c>
      <c r="F10860" t="n">
        <v>40</v>
      </c>
      <c r="G10860" t="n">
        <v>180</v>
      </c>
      <c r="H10860" t="n">
        <v>8.13e-36</v>
      </c>
      <c r="I10860" t="inlineStr">
        <is>
          <t>Nr</t>
        </is>
      </c>
      <c r="J10860" t="inlineStr"/>
      <c r="K10860" t="inlineStr"/>
      <c r="L10860" t="inlineStr">
        <is>
          <t>KAJ1109073.1 hypothetical protein NDU88_006440 [Pleurodeles waltl]</t>
        </is>
      </c>
      <c r="M10860" t="n">
        <v>199</v>
      </c>
      <c r="N10860" t="inlineStr">
        <is>
          <t>Pleurodeles waltl</t>
        </is>
      </c>
      <c r="O10860" t="inlineStr">
        <is>
          <t>hypothetical protein NDU88_006440</t>
        </is>
      </c>
    </row>
    <row r="10861">
      <c r="A10861" t="inlineStr"/>
      <c r="B10861" t="inlineStr"/>
      <c r="C10861" t="inlineStr"/>
      <c r="D10861" t="inlineStr"/>
      <c r="E10861">
        <f>HYPERLINK("https://www.uniprot.org/uniprotkb/A0A803JUY8/entry", "A0A803JUY8")</f>
        <v/>
      </c>
      <c r="F10861" t="n">
        <v>54.3</v>
      </c>
      <c r="G10861" t="n">
        <v>127</v>
      </c>
      <c r="H10861" t="n">
        <v>9.040000000000001e-36</v>
      </c>
      <c r="I10861" t="inlineStr">
        <is>
          <t>TrEMBL</t>
        </is>
      </c>
      <c r="J10861" t="inlineStr"/>
      <c r="K10861" t="inlineStr">
        <is>
          <t>A0A803JUY8_XENTR</t>
        </is>
      </c>
      <c r="L10861" t="inlineStr">
        <is>
          <t>tr|A0A803JUY8|A0A803JUY8_XENTR Tyr recombinase domain-containing protein OS=Xenopus tropicalis OX=8364 PE=4 SV=1</t>
        </is>
      </c>
      <c r="M10861" t="n">
        <v>540</v>
      </c>
      <c r="N10861" t="inlineStr">
        <is>
          <t>Xenopus tropicalis</t>
        </is>
      </c>
      <c r="O10861" t="inlineStr">
        <is>
          <t>Tyr recombinase domain-containing protein</t>
        </is>
      </c>
    </row>
    <row r="10862">
      <c r="A10862" t="inlineStr"/>
      <c r="B10862" t="inlineStr"/>
      <c r="C10862" t="inlineStr"/>
      <c r="D10862" t="inlineStr"/>
      <c r="E10862">
        <f>HYPERLINK("https://www.ncbi.nlm.nih.gov/gene/?term=XP_041419427.1", "XP_041419427.1")</f>
        <v/>
      </c>
      <c r="F10862" t="n">
        <v>38.8</v>
      </c>
      <c r="G10862" t="n">
        <v>178</v>
      </c>
      <c r="H10862" t="n">
        <v>1.27e-35</v>
      </c>
      <c r="I10862" t="inlineStr">
        <is>
          <t>Nr</t>
        </is>
      </c>
      <c r="J10862" t="inlineStr"/>
      <c r="K10862" t="inlineStr"/>
      <c r="L10862" t="inlineStr">
        <is>
          <t>XP_041419427.1 uncharacterized protein LOC121393829 isoform X1 [Xenopus laevis]</t>
        </is>
      </c>
      <c r="M10862" t="n">
        <v>569</v>
      </c>
      <c r="N10862" t="inlineStr">
        <is>
          <t>Xenopus laevis</t>
        </is>
      </c>
      <c r="O10862" t="inlineStr">
        <is>
          <t>uncharacterized protein LOC121393829 isoform X1</t>
        </is>
      </c>
    </row>
    <row r="10863">
      <c r="A10863" t="inlineStr"/>
      <c r="B10863" t="inlineStr"/>
      <c r="C10863" t="inlineStr"/>
      <c r="D10863" t="inlineStr"/>
      <c r="E10863">
        <f>HYPERLINK("https://www.uniprot.org/uniprotkb/A0A8J1L692/entry", "A0A8J1L692")</f>
        <v/>
      </c>
      <c r="F10863" t="n">
        <v>56.5</v>
      </c>
      <c r="G10863" t="n">
        <v>124</v>
      </c>
      <c r="H10863" t="n">
        <v>1.62e-35</v>
      </c>
      <c r="I10863" t="inlineStr">
        <is>
          <t>TrEMBL</t>
        </is>
      </c>
      <c r="J10863" t="inlineStr">
        <is>
          <t>LOC121395521</t>
        </is>
      </c>
      <c r="K10863" t="inlineStr">
        <is>
          <t>A0A8J1L692_XENLA</t>
        </is>
      </c>
      <c r="L10863" t="inlineStr">
        <is>
          <t>tr|A0A8J1L692|A0A8J1L692_XENLA uncharacterized protein LOC121395521 OS=Xenopus laevis OX=8355 GN=LOC121395521 PE=4 SV=1</t>
        </is>
      </c>
      <c r="M10863" t="n">
        <v>430</v>
      </c>
      <c r="N10863" t="inlineStr">
        <is>
          <t>Xenopus laevis</t>
        </is>
      </c>
      <c r="O10863" t="inlineStr">
        <is>
          <t>uncharacterized protein LOC121395521</t>
        </is>
      </c>
    </row>
    <row r="10864">
      <c r="A10864" t="inlineStr"/>
      <c r="B10864" t="inlineStr"/>
      <c r="C10864" t="inlineStr"/>
      <c r="D10864" t="inlineStr"/>
      <c r="E10864">
        <f>HYPERLINK("https://www.uniprot.org/uniprotkb/A0A8J1LB69/entry", "A0A8J1LB69")</f>
        <v/>
      </c>
      <c r="F10864" t="n">
        <v>58</v>
      </c>
      <c r="G10864" t="n">
        <v>119</v>
      </c>
      <c r="H10864" t="n">
        <v>1.79e-35</v>
      </c>
      <c r="I10864" t="inlineStr">
        <is>
          <t>TrEMBL</t>
        </is>
      </c>
      <c r="J10864" t="inlineStr">
        <is>
          <t>LOC121395697</t>
        </is>
      </c>
      <c r="K10864" t="inlineStr">
        <is>
          <t>A0A8J1LB69_XENLA</t>
        </is>
      </c>
      <c r="L10864" t="inlineStr">
        <is>
          <t>tr|A0A8J1LB69|A0A8J1LB69_XENLA uncharacterized protein LOC121395697 OS=Xenopus laevis OX=8355 GN=LOC121395697 PE=4 SV=1</t>
        </is>
      </c>
      <c r="M10864" t="n">
        <v>325</v>
      </c>
      <c r="N10864" t="inlineStr">
        <is>
          <t>Xenopus laevis</t>
        </is>
      </c>
      <c r="O10864" t="inlineStr">
        <is>
          <t>uncharacterized protein LOC121395697</t>
        </is>
      </c>
    </row>
    <row r="10865">
      <c r="A10865" t="inlineStr"/>
      <c r="B10865" t="inlineStr"/>
      <c r="C10865" t="inlineStr"/>
      <c r="D10865" t="inlineStr"/>
      <c r="E10865">
        <f>HYPERLINK("https://www.ncbi.nlm.nih.gov/gene/?term=XP_041425048.1", "XP_041425048.1")</f>
        <v/>
      </c>
      <c r="F10865" t="n">
        <v>56.5</v>
      </c>
      <c r="G10865" t="n">
        <v>124</v>
      </c>
      <c r="H10865" t="n">
        <v>4.16e-35</v>
      </c>
      <c r="I10865" t="inlineStr">
        <is>
          <t>Nr</t>
        </is>
      </c>
      <c r="J10865" t="inlineStr"/>
      <c r="K10865" t="inlineStr"/>
      <c r="L10865" t="inlineStr">
        <is>
          <t>XP_041425048.1 uncharacterized protein LOC121395521 [Xenopus laevis]</t>
        </is>
      </c>
      <c r="M10865" t="n">
        <v>430</v>
      </c>
      <c r="N10865" t="inlineStr">
        <is>
          <t>Xenopus laevis</t>
        </is>
      </c>
      <c r="O10865" t="inlineStr">
        <is>
          <t>uncharacterized protein LOC121395521</t>
        </is>
      </c>
    </row>
    <row r="10866">
      <c r="A10866" t="inlineStr"/>
      <c r="B10866" t="inlineStr"/>
      <c r="C10866" t="inlineStr"/>
      <c r="D10866" t="inlineStr"/>
      <c r="E10866">
        <f>HYPERLINK("https://www.ncbi.nlm.nih.gov/gene/?term=XP_041961423.1", "XP_041961423.1")</f>
        <v/>
      </c>
      <c r="F10866" t="n">
        <v>41.4</v>
      </c>
      <c r="G10866" t="n">
        <v>181</v>
      </c>
      <c r="H10866" t="n">
        <v>4.3e-35</v>
      </c>
      <c r="I10866" t="inlineStr">
        <is>
          <t>Nr</t>
        </is>
      </c>
      <c r="J10866" t="inlineStr"/>
      <c r="K10866" t="inlineStr"/>
      <c r="L10866" t="inlineStr">
        <is>
          <t>XP_041961423.1 uncharacterized protein LOC121719692 [Alosa sapidissima]</t>
        </is>
      </c>
      <c r="M10866" t="n">
        <v>262</v>
      </c>
      <c r="N10866" t="inlineStr">
        <is>
          <t>Alosa sapidissima</t>
        </is>
      </c>
      <c r="O10866" t="inlineStr">
        <is>
          <t>uncharacterized protein LOC121719692</t>
        </is>
      </c>
    </row>
    <row r="10867">
      <c r="A10867" t="inlineStr"/>
      <c r="B10867" t="inlineStr"/>
      <c r="C10867" t="inlineStr"/>
      <c r="D10867" t="inlineStr"/>
      <c r="E10867">
        <f>HYPERLINK("https://www.ncbi.nlm.nih.gov/gene/?term=XP_018432223.1", "XP_018432223.1")</f>
        <v/>
      </c>
      <c r="F10867" t="n">
        <v>48.6</v>
      </c>
      <c r="G10867" t="n">
        <v>146</v>
      </c>
      <c r="H10867" t="n">
        <v>4.44e-35</v>
      </c>
      <c r="I10867" t="inlineStr">
        <is>
          <t>Nr</t>
        </is>
      </c>
      <c r="J10867" t="inlineStr"/>
      <c r="K10867" t="inlineStr"/>
      <c r="L10867" t="inlineStr">
        <is>
          <t>XP_018432223.1 PREDICTED: gamma-tubulin complex component 6 [Nanorana parkeri]</t>
        </is>
      </c>
      <c r="M10867" t="n">
        <v>2620</v>
      </c>
      <c r="N10867" t="inlineStr">
        <is>
          <t>Nanorana parkeri</t>
        </is>
      </c>
      <c r="O10867" t="inlineStr">
        <is>
          <t>PREDICTED: gamma-tubulin complex component 6</t>
        </is>
      </c>
    </row>
    <row r="10868">
      <c r="A10868" t="inlineStr"/>
      <c r="B10868" t="inlineStr"/>
      <c r="C10868" t="inlineStr"/>
      <c r="D10868" t="inlineStr"/>
      <c r="E10868">
        <f>HYPERLINK("https://www.uniprot.org/uniprotkb/A0A803JVB7/entry", "A0A803JVB7")</f>
        <v/>
      </c>
      <c r="F10868" t="n">
        <v>56.5</v>
      </c>
      <c r="G10868" t="n">
        <v>124</v>
      </c>
      <c r="H10868" t="n">
        <v>4.49e-35</v>
      </c>
      <c r="I10868" t="inlineStr">
        <is>
          <t>TrEMBL</t>
        </is>
      </c>
      <c r="J10868" t="inlineStr"/>
      <c r="K10868" t="inlineStr">
        <is>
          <t>A0A803JVB7_XENTR</t>
        </is>
      </c>
      <c r="L10868" t="inlineStr">
        <is>
          <t>tr|A0A803JVB7|A0A803JVB7_XENTR RING-type domain-containing protein OS=Xenopus tropicalis OX=8364 PE=4 SV=1</t>
        </is>
      </c>
      <c r="M10868" t="n">
        <v>854</v>
      </c>
      <c r="N10868" t="inlineStr">
        <is>
          <t>Xenopus tropicalis</t>
        </is>
      </c>
      <c r="O10868" t="inlineStr">
        <is>
          <t>RING-type domain-containing protein</t>
        </is>
      </c>
    </row>
    <row r="10869">
      <c r="A10869" t="inlineStr"/>
      <c r="B10869" t="inlineStr"/>
      <c r="C10869" t="inlineStr"/>
      <c r="D10869" t="inlineStr"/>
      <c r="E10869">
        <f>HYPERLINK("https://www.ncbi.nlm.nih.gov/gene/?term=XP_041425895.1", "XP_041425895.1")</f>
        <v/>
      </c>
      <c r="F10869" t="n">
        <v>58</v>
      </c>
      <c r="G10869" t="n">
        <v>119</v>
      </c>
      <c r="H10869" t="n">
        <v>4.6e-35</v>
      </c>
      <c r="I10869" t="inlineStr">
        <is>
          <t>Nr</t>
        </is>
      </c>
      <c r="J10869" t="inlineStr"/>
      <c r="K10869" t="inlineStr"/>
      <c r="L10869" t="inlineStr">
        <is>
          <t>XP_041425895.1 uncharacterized protein LOC121395697 [Xenopus laevis]</t>
        </is>
      </c>
      <c r="M10869" t="n">
        <v>325</v>
      </c>
      <c r="N10869" t="inlineStr">
        <is>
          <t>Xenopus laevis</t>
        </is>
      </c>
      <c r="O10869" t="inlineStr">
        <is>
          <t>uncharacterized protein LOC121395697</t>
        </is>
      </c>
    </row>
    <row r="10870">
      <c r="A10870" t="inlineStr"/>
      <c r="B10870" t="inlineStr"/>
      <c r="C10870" t="inlineStr"/>
      <c r="D10870" t="inlineStr"/>
      <c r="E10870">
        <f>HYPERLINK("https://www.uniprot.org/uniprotkb/A0A8J1LT71/entry", "A0A8J1LT71")</f>
        <v/>
      </c>
      <c r="F10870" t="n">
        <v>55.1</v>
      </c>
      <c r="G10870" t="n">
        <v>127</v>
      </c>
      <c r="H10870" t="n">
        <v>4.61e-35</v>
      </c>
      <c r="I10870" t="inlineStr">
        <is>
          <t>TrEMBL</t>
        </is>
      </c>
      <c r="J10870" t="inlineStr">
        <is>
          <t>LOC121398141</t>
        </is>
      </c>
      <c r="K10870" t="inlineStr">
        <is>
          <t>A0A8J1LT71_XENLA</t>
        </is>
      </c>
      <c r="L10870" t="inlineStr">
        <is>
          <t>tr|A0A8J1LT71|A0A8J1LT71_XENLA uncharacterized protein LOC121398141 OS=Xenopus laevis OX=8355 GN=LOC121398141 PE=4 SV=1</t>
        </is>
      </c>
      <c r="M10870" t="n">
        <v>948</v>
      </c>
      <c r="N10870" t="inlineStr">
        <is>
          <t>Xenopus laevis</t>
        </is>
      </c>
      <c r="O10870" t="inlineStr">
        <is>
          <t>uncharacterized protein LOC121398141</t>
        </is>
      </c>
    </row>
    <row r="10871">
      <c r="A10871" t="inlineStr"/>
      <c r="B10871" t="inlineStr"/>
      <c r="C10871" t="inlineStr"/>
      <c r="D10871" t="inlineStr"/>
      <c r="E10871">
        <f>HYPERLINK("https://www.uniprot.org/uniprotkb/A0A6I8SDM4/entry", "A0A6I8SDM4")</f>
        <v/>
      </c>
      <c r="F10871" t="n">
        <v>54.5</v>
      </c>
      <c r="G10871" t="n">
        <v>123</v>
      </c>
      <c r="H10871" t="n">
        <v>4.61e-35</v>
      </c>
      <c r="I10871" t="inlineStr">
        <is>
          <t>TrEMBL</t>
        </is>
      </c>
      <c r="J10871" t="inlineStr"/>
      <c r="K10871" t="inlineStr">
        <is>
          <t>A0A6I8SDM4_XENTR</t>
        </is>
      </c>
      <c r="L10871" t="inlineStr">
        <is>
          <t>tr|A0A6I8SDM4|A0A6I8SDM4_XENTR Core-binding (CB) domain-containing protein OS=Xenopus tropicalis OX=8364 PE=4 SV=2</t>
        </is>
      </c>
      <c r="M10871" t="n">
        <v>949</v>
      </c>
      <c r="N10871" t="inlineStr">
        <is>
          <t>Xenopus tropicalis</t>
        </is>
      </c>
      <c r="O10871" t="inlineStr">
        <is>
          <t>Core-binding (CB) domain-containing protein</t>
        </is>
      </c>
    </row>
    <row r="10872">
      <c r="A10872" t="inlineStr"/>
      <c r="B10872" t="inlineStr"/>
      <c r="C10872" t="inlineStr"/>
      <c r="D10872" t="inlineStr"/>
      <c r="E10872">
        <f>HYPERLINK("https://www.uniprot.org/uniprotkb/A0A1B8XUR9/entry", "A0A1B8XUR9")</f>
        <v/>
      </c>
      <c r="F10872" t="n">
        <v>54.5</v>
      </c>
      <c r="G10872" t="n">
        <v>123</v>
      </c>
      <c r="H10872" t="n">
        <v>4.69e-35</v>
      </c>
      <c r="I10872" t="inlineStr">
        <is>
          <t>TrEMBL</t>
        </is>
      </c>
      <c r="J10872" t="inlineStr">
        <is>
          <t>XENTR_v90026850mg</t>
        </is>
      </c>
      <c r="K10872" t="inlineStr">
        <is>
          <t>A0A1B8XUR9_XENTR</t>
        </is>
      </c>
      <c r="L10872" t="inlineStr">
        <is>
          <t>tr|A0A1B8XUR9|A0A1B8XUR9_XENTR LAP2alpha domain-containing protein OS=Xenopus tropicalis OX=8364 GN=XENTR_v90026850mg PE=4 SV=1</t>
        </is>
      </c>
      <c r="M10872" t="n">
        <v>1182</v>
      </c>
      <c r="N10872" t="inlineStr">
        <is>
          <t>Xenopus tropicalis</t>
        </is>
      </c>
      <c r="O10872" t="inlineStr">
        <is>
          <t>LAP2alpha domain-containing protein</t>
        </is>
      </c>
    </row>
    <row r="10873">
      <c r="A10873" t="inlineStr"/>
      <c r="B10873" t="inlineStr"/>
      <c r="C10873" t="inlineStr"/>
      <c r="D10873" t="inlineStr"/>
      <c r="E10873">
        <f>HYPERLINK("https://www.ncbi.nlm.nih.gov/gene/?term=KAE8636869.1", "KAE8636869.1")</f>
        <v/>
      </c>
      <c r="F10873" t="n">
        <v>58.5</v>
      </c>
      <c r="G10873" t="n">
        <v>118</v>
      </c>
      <c r="H10873" t="n">
        <v>6.09e-35</v>
      </c>
      <c r="I10873" t="inlineStr">
        <is>
          <t>Nr</t>
        </is>
      </c>
      <c r="J10873" t="inlineStr"/>
      <c r="K10873" t="inlineStr"/>
      <c r="L10873" t="inlineStr">
        <is>
          <t>KAE8636869.1 hypothetical protein XENTR_v10003178 [Xenopus tropicalis]</t>
        </is>
      </c>
      <c r="M10873" t="n">
        <v>830</v>
      </c>
      <c r="N10873" t="inlineStr">
        <is>
          <t>Xenopus tropicalis</t>
        </is>
      </c>
      <c r="O10873" t="inlineStr">
        <is>
          <t>hypothetical protein XENTR_v10003178</t>
        </is>
      </c>
    </row>
    <row r="10874">
      <c r="A10874" t="inlineStr"/>
      <c r="B10874" t="inlineStr"/>
      <c r="C10874" t="inlineStr"/>
      <c r="D10874" t="inlineStr"/>
      <c r="E10874">
        <f>HYPERLINK("https://www.uniprot.org/uniprotkb/A0A803J2D4/entry", "A0A803J2D4")</f>
        <v/>
      </c>
      <c r="F10874" t="n">
        <v>56.9</v>
      </c>
      <c r="G10874" t="n">
        <v>123</v>
      </c>
      <c r="H10874" t="n">
        <v>6.29e-35</v>
      </c>
      <c r="I10874" t="inlineStr">
        <is>
          <t>TrEMBL</t>
        </is>
      </c>
      <c r="J10874" t="inlineStr"/>
      <c r="K10874" t="inlineStr">
        <is>
          <t>A0A803J2D4_XENTR</t>
        </is>
      </c>
      <c r="L10874" t="inlineStr">
        <is>
          <t>tr|A0A803J2D4|A0A803J2D4_XENTR Core-binding (CB) domain-containing protein OS=Xenopus tropicalis OX=8364 PE=4 SV=1</t>
        </is>
      </c>
      <c r="M10874" t="n">
        <v>951</v>
      </c>
      <c r="N10874" t="inlineStr">
        <is>
          <t>Xenopus tropicalis</t>
        </is>
      </c>
      <c r="O10874" t="inlineStr">
        <is>
          <t>Core-binding (CB) domain-containing protein</t>
        </is>
      </c>
    </row>
    <row r="10875">
      <c r="A10875" t="inlineStr"/>
      <c r="B10875" t="inlineStr"/>
      <c r="C10875" t="inlineStr"/>
      <c r="D10875" t="inlineStr"/>
      <c r="E10875">
        <f>HYPERLINK("https://www.uniprot.org/uniprotkb/A0A803K8J8/entry", "A0A803K8J8")</f>
        <v/>
      </c>
      <c r="F10875" t="n">
        <v>54.3</v>
      </c>
      <c r="G10875" t="n">
        <v>127</v>
      </c>
      <c r="H10875" t="n">
        <v>6.400000000000001e-35</v>
      </c>
      <c r="I10875" t="inlineStr">
        <is>
          <t>TrEMBL</t>
        </is>
      </c>
      <c r="J10875" t="inlineStr"/>
      <c r="K10875" t="inlineStr">
        <is>
          <t>A0A803K8J8_XENTR</t>
        </is>
      </c>
      <c r="L10875" t="inlineStr">
        <is>
          <t>tr|A0A803K8J8|A0A803K8J8_XENTR Core-binding (CB) domain-containing protein OS=Xenopus tropicalis OX=8364 PE=4 SV=1</t>
        </is>
      </c>
      <c r="M10875" t="n">
        <v>691</v>
      </c>
      <c r="N10875" t="inlineStr">
        <is>
          <t>Xenopus tropicalis</t>
        </is>
      </c>
      <c r="O10875" t="inlineStr">
        <is>
          <t>Core-binding (CB) domain-containing protein</t>
        </is>
      </c>
    </row>
    <row r="10876">
      <c r="A10876" t="inlineStr"/>
      <c r="B10876" t="inlineStr"/>
      <c r="C10876" t="inlineStr"/>
      <c r="D10876" t="inlineStr"/>
      <c r="E10876">
        <f>HYPERLINK("https://www.ncbi.nlm.nih.gov/gene/?term=KAE8598289.1", "KAE8598289.1")</f>
        <v/>
      </c>
      <c r="F10876" t="n">
        <v>56.8</v>
      </c>
      <c r="G10876" t="n">
        <v>125</v>
      </c>
      <c r="H10876" t="n">
        <v>6.47e-35</v>
      </c>
      <c r="I10876" t="inlineStr">
        <is>
          <t>Nr</t>
        </is>
      </c>
      <c r="J10876" t="inlineStr"/>
      <c r="K10876" t="inlineStr"/>
      <c r="L10876" t="inlineStr">
        <is>
          <t>KAE8598289.1 hypothetical protein XENTR_v10016787 [Xenopus tropicalis]</t>
        </is>
      </c>
      <c r="M10876" t="n">
        <v>325</v>
      </c>
      <c r="N10876" t="inlineStr">
        <is>
          <t>Xenopus tropicalis</t>
        </is>
      </c>
      <c r="O10876" t="inlineStr">
        <is>
          <t>hypothetical protein XENTR_v10016787</t>
        </is>
      </c>
    </row>
    <row r="10877">
      <c r="A10877" t="inlineStr"/>
      <c r="B10877" t="inlineStr"/>
      <c r="C10877" t="inlineStr"/>
      <c r="D10877" t="inlineStr"/>
      <c r="E10877">
        <f>HYPERLINK("https://www.uniprot.org/uniprotkb/A0A803JKH4/entry", "A0A803JKH4")</f>
        <v/>
      </c>
      <c r="F10877" t="n">
        <v>54.3</v>
      </c>
      <c r="G10877" t="n">
        <v>127</v>
      </c>
      <c r="H10877" t="n">
        <v>6.7e-35</v>
      </c>
      <c r="I10877" t="inlineStr">
        <is>
          <t>TrEMBL</t>
        </is>
      </c>
      <c r="J10877" t="inlineStr"/>
      <c r="K10877" t="inlineStr">
        <is>
          <t>A0A803JKH4_XENTR</t>
        </is>
      </c>
      <c r="L10877" t="inlineStr">
        <is>
          <t>tr|A0A803JKH4|A0A803JKH4_XENTR Core-binding (CB) domain-containing protein OS=Xenopus tropicalis OX=8364 PE=4 SV=1</t>
        </is>
      </c>
      <c r="M10877" t="n">
        <v>705</v>
      </c>
      <c r="N10877" t="inlineStr">
        <is>
          <t>Xenopus tropicalis</t>
        </is>
      </c>
      <c r="O10877" t="inlineStr">
        <is>
          <t>Core-binding (CB) domain-containing protein</t>
        </is>
      </c>
    </row>
    <row r="10878">
      <c r="A10878" t="inlineStr"/>
      <c r="B10878" t="inlineStr"/>
      <c r="C10878" t="inlineStr"/>
      <c r="D10878" t="inlineStr"/>
      <c r="E10878">
        <f>HYPERLINK("https://www.ncbi.nlm.nih.gov/gene/?term=KAG8536531.1", "KAG8536531.1")</f>
        <v/>
      </c>
      <c r="F10878" t="n">
        <v>40.4</v>
      </c>
      <c r="G10878" t="n">
        <v>178</v>
      </c>
      <c r="H10878" t="n">
        <v>6.93e-35</v>
      </c>
      <c r="I10878" t="inlineStr">
        <is>
          <t>Nr</t>
        </is>
      </c>
      <c r="J10878" t="inlineStr"/>
      <c r="K10878" t="inlineStr"/>
      <c r="L10878" t="inlineStr">
        <is>
          <t>KAG8536531.1 hypothetical protein GDO81_026159 [Engystomops pustulosus]</t>
        </is>
      </c>
      <c r="M10878" t="n">
        <v>577</v>
      </c>
      <c r="N10878" t="inlineStr">
        <is>
          <t>Engystomops pustulosus</t>
        </is>
      </c>
      <c r="O10878" t="inlineStr">
        <is>
          <t>hypothetical protein GDO81_026159</t>
        </is>
      </c>
    </row>
    <row r="10879">
      <c r="A10879" t="inlineStr"/>
      <c r="B10879" t="inlineStr"/>
      <c r="C10879" t="inlineStr"/>
      <c r="D10879" t="inlineStr"/>
      <c r="E10879">
        <f>HYPERLINK("https://www.ncbi.nlm.nih.gov/gene/?term=KAG8573945.1", "KAG8573945.1")</f>
        <v/>
      </c>
      <c r="F10879" t="n">
        <v>39</v>
      </c>
      <c r="G10879" t="n">
        <v>177</v>
      </c>
      <c r="H10879" t="n">
        <v>9.59e-35</v>
      </c>
      <c r="I10879" t="inlineStr">
        <is>
          <t>Nr</t>
        </is>
      </c>
      <c r="J10879" t="inlineStr"/>
      <c r="K10879" t="inlineStr"/>
      <c r="L10879" t="inlineStr">
        <is>
          <t>KAG8573945.1 hypothetical protein GDO81_008956 [Engystomops pustulosus]</t>
        </is>
      </c>
      <c r="M10879" t="n">
        <v>226</v>
      </c>
      <c r="N10879" t="inlineStr">
        <is>
          <t>Engystomops pustulosus</t>
        </is>
      </c>
      <c r="O10879" t="inlineStr">
        <is>
          <t>hypothetical protein GDO81_008956</t>
        </is>
      </c>
    </row>
    <row r="10880">
      <c r="A10880" t="inlineStr"/>
      <c r="B10880" t="inlineStr"/>
      <c r="C10880" t="inlineStr"/>
      <c r="D10880" t="inlineStr"/>
      <c r="E10880">
        <f>HYPERLINK("https://www.ncbi.nlm.nih.gov/gene/?term=XP_041432732.1", "XP_041432732.1")</f>
        <v/>
      </c>
      <c r="F10880" t="n">
        <v>55.1</v>
      </c>
      <c r="G10880" t="n">
        <v>127</v>
      </c>
      <c r="H10880" t="n">
        <v>1.18e-34</v>
      </c>
      <c r="I10880" t="inlineStr">
        <is>
          <t>Nr</t>
        </is>
      </c>
      <c r="J10880" t="inlineStr"/>
      <c r="K10880" t="inlineStr"/>
      <c r="L10880" t="inlineStr">
        <is>
          <t>XP_041432732.1 uncharacterized protein LOC121398141 [Xenopus laevis]</t>
        </is>
      </c>
      <c r="M10880" t="n">
        <v>948</v>
      </c>
      <c r="N10880" t="inlineStr">
        <is>
          <t>Xenopus laevis</t>
        </is>
      </c>
      <c r="O10880" t="inlineStr">
        <is>
          <t>uncharacterized protein LOC121398141</t>
        </is>
      </c>
    </row>
    <row r="10881">
      <c r="A10881" t="inlineStr"/>
      <c r="B10881" t="inlineStr"/>
      <c r="C10881" t="inlineStr"/>
      <c r="D10881" t="inlineStr"/>
      <c r="E10881">
        <f>HYPERLINK("https://www.uniprot.org/uniprotkb/A0A803JRM4/entry", "A0A803JRM4")</f>
        <v/>
      </c>
      <c r="F10881" t="n">
        <v>54.5</v>
      </c>
      <c r="G10881" t="n">
        <v>123</v>
      </c>
      <c r="H10881" t="n">
        <v>1.59e-34</v>
      </c>
      <c r="I10881" t="inlineStr">
        <is>
          <t>TrEMBL</t>
        </is>
      </c>
      <c r="J10881" t="inlineStr"/>
      <c r="K10881" t="inlineStr">
        <is>
          <t>A0A803JRM4_XENTR</t>
        </is>
      </c>
      <c r="L10881" t="inlineStr">
        <is>
          <t>tr|A0A803JRM4|A0A803JRM4_XENTR Core-binding (CB) domain-containing protein OS=Xenopus tropicalis OX=8364 PE=4 SV=1</t>
        </is>
      </c>
      <c r="M10881" t="n">
        <v>945</v>
      </c>
      <c r="N10881" t="inlineStr">
        <is>
          <t>Xenopus tropicalis</t>
        </is>
      </c>
      <c r="O10881" t="inlineStr">
        <is>
          <t>Core-binding (CB) domain-containing protein</t>
        </is>
      </c>
    </row>
    <row r="10882">
      <c r="A10882" t="inlineStr"/>
      <c r="B10882" t="inlineStr"/>
      <c r="C10882" t="inlineStr"/>
      <c r="D10882" t="inlineStr"/>
      <c r="E10882">
        <f>HYPERLINK("https://www.uniprot.org/uniprotkb/A0A8J1L8U5/entry", "A0A8J1L8U5")</f>
        <v/>
      </c>
      <c r="F10882" t="n">
        <v>58</v>
      </c>
      <c r="G10882" t="n">
        <v>119</v>
      </c>
      <c r="H10882" t="n">
        <v>2.16e-34</v>
      </c>
      <c r="I10882" t="inlineStr">
        <is>
          <t>TrEMBL</t>
        </is>
      </c>
      <c r="J10882" t="inlineStr">
        <is>
          <t>LOC121395599</t>
        </is>
      </c>
      <c r="K10882" t="inlineStr">
        <is>
          <t>A0A8J1L8U5_XENLA</t>
        </is>
      </c>
      <c r="L10882" t="inlineStr">
        <is>
          <t>tr|A0A8J1L8U5|A0A8J1L8U5_XENLA ribonuclease H OS=Xenopus laevis OX=8355 GN=LOC121395599 PE=3 SV=1</t>
        </is>
      </c>
      <c r="M10882" t="n">
        <v>910</v>
      </c>
      <c r="N10882" t="inlineStr">
        <is>
          <t>Xenopus laevis</t>
        </is>
      </c>
      <c r="O10882" t="inlineStr">
        <is>
          <t>ribonuclease H</t>
        </is>
      </c>
    </row>
    <row r="10883">
      <c r="A10883" t="inlineStr"/>
      <c r="B10883" t="inlineStr"/>
      <c r="C10883" t="inlineStr"/>
      <c r="D10883" t="inlineStr"/>
      <c r="E10883">
        <f>HYPERLINK("https://www.uniprot.org/uniprotkb/A0A8J1KY38/entry", "A0A8J1KY38")</f>
        <v/>
      </c>
      <c r="F10883" t="n">
        <v>57.1</v>
      </c>
      <c r="G10883" t="n">
        <v>119</v>
      </c>
      <c r="H10883" t="n">
        <v>5.52e-34</v>
      </c>
      <c r="I10883" t="inlineStr">
        <is>
          <t>TrEMBL</t>
        </is>
      </c>
      <c r="J10883" t="inlineStr">
        <is>
          <t>LOC121394688</t>
        </is>
      </c>
      <c r="K10883" t="inlineStr">
        <is>
          <t>A0A8J1KY38_XENLA</t>
        </is>
      </c>
      <c r="L10883" t="inlineStr">
        <is>
          <t>tr|A0A8J1KY38|A0A8J1KY38_XENLA uncharacterized protein LOC121394688 isoform X1 OS=Xenopus laevis OX=8355 GN=LOC121394688 PE=4 SV=1</t>
        </is>
      </c>
      <c r="M10883" t="n">
        <v>948</v>
      </c>
      <c r="N10883" t="inlineStr">
        <is>
          <t>Xenopus laevis</t>
        </is>
      </c>
      <c r="O10883" t="inlineStr">
        <is>
          <t>uncharacterized protein LOC121394688 isoform X1</t>
        </is>
      </c>
    </row>
    <row r="10884">
      <c r="A10884" t="inlineStr"/>
      <c r="B10884" t="inlineStr"/>
      <c r="C10884" t="inlineStr"/>
      <c r="D10884" t="inlineStr"/>
      <c r="E10884">
        <f>HYPERLINK("https://www.uniprot.org/uniprotkb/A0A8J1KV65/entry", "A0A8J1KV65")</f>
        <v/>
      </c>
      <c r="F10884" t="n">
        <v>54.5</v>
      </c>
      <c r="G10884" t="n">
        <v>123</v>
      </c>
      <c r="H10884" t="n">
        <v>5.52e-34</v>
      </c>
      <c r="I10884" t="inlineStr">
        <is>
          <t>TrEMBL</t>
        </is>
      </c>
      <c r="J10884" t="inlineStr">
        <is>
          <t>LOC121394150</t>
        </is>
      </c>
      <c r="K10884" t="inlineStr">
        <is>
          <t>A0A8J1KV65_XENLA</t>
        </is>
      </c>
      <c r="L10884" t="inlineStr">
        <is>
          <t>tr|A0A8J1KV65|A0A8J1KV65_XENLA uncharacterized protein LOC121394150 isoform X1 OS=Xenopus laevis OX=8355 GN=LOC121394150 PE=4 SV=1</t>
        </is>
      </c>
      <c r="M10884" t="n">
        <v>950</v>
      </c>
      <c r="N10884" t="inlineStr">
        <is>
          <t>Xenopus laevis</t>
        </is>
      </c>
      <c r="O10884" t="inlineStr">
        <is>
          <t>uncharacterized protein LOC121394150 isoform X1</t>
        </is>
      </c>
    </row>
    <row r="10885">
      <c r="A10885" t="inlineStr"/>
      <c r="B10885" t="inlineStr"/>
      <c r="C10885" t="inlineStr"/>
      <c r="D10885" t="inlineStr"/>
      <c r="E10885">
        <f>HYPERLINK("https://www.ncbi.nlm.nih.gov/gene/?term=XP_041425389.1", "XP_041425389.1")</f>
        <v/>
      </c>
      <c r="F10885" t="n">
        <v>58</v>
      </c>
      <c r="G10885" t="n">
        <v>119</v>
      </c>
      <c r="H10885" t="n">
        <v>5.55e-34</v>
      </c>
      <c r="I10885" t="inlineStr">
        <is>
          <t>Nr</t>
        </is>
      </c>
      <c r="J10885" t="inlineStr"/>
      <c r="K10885" t="inlineStr"/>
      <c r="L10885" t="inlineStr">
        <is>
          <t>XP_041425389.1 uncharacterized protein LOC121395599 [Xenopus laevis]</t>
        </is>
      </c>
      <c r="M10885" t="n">
        <v>910</v>
      </c>
      <c r="N10885" t="inlineStr">
        <is>
          <t>Xenopus laevis</t>
        </is>
      </c>
      <c r="O10885" t="inlineStr">
        <is>
          <t>uncharacterized protein LOC121395599</t>
        </is>
      </c>
    </row>
    <row r="10886">
      <c r="A10886" t="inlineStr"/>
      <c r="B10886" t="inlineStr"/>
      <c r="C10886" t="inlineStr"/>
      <c r="D10886" t="inlineStr"/>
      <c r="E10886">
        <f>HYPERLINK("https://www.uniprot.org/uniprotkb/A0A5A9PFB5/entry", "A0A5A9PFB5")</f>
        <v/>
      </c>
      <c r="F10886" t="n">
        <v>41.9</v>
      </c>
      <c r="G10886" t="n">
        <v>172</v>
      </c>
      <c r="H10886" t="n">
        <v>6.41e-34</v>
      </c>
      <c r="I10886" t="inlineStr">
        <is>
          <t>TrEMBL</t>
        </is>
      </c>
      <c r="J10886" t="inlineStr">
        <is>
          <t>E1301_Tti016824</t>
        </is>
      </c>
      <c r="K10886" t="inlineStr">
        <is>
          <t>A0A5A9PFB5_9TELE</t>
        </is>
      </c>
      <c r="L10886" t="inlineStr">
        <is>
          <t>tr|A0A5A9PFB5|A0A5A9PFB5_9TELE RT_RNaseH domain-containing protein OS=Triplophysa tibetana OX=1572043 GN=E1301_Tti016824 PE=4 SV=1</t>
        </is>
      </c>
      <c r="M10886" t="n">
        <v>332</v>
      </c>
      <c r="N10886" t="inlineStr">
        <is>
          <t>Triplophysa tibetana</t>
        </is>
      </c>
      <c r="O10886" t="inlineStr">
        <is>
          <t>RT_RNaseH domain-containing protein</t>
        </is>
      </c>
    </row>
    <row r="10887">
      <c r="A10887" t="inlineStr"/>
      <c r="B10887" t="inlineStr"/>
      <c r="C10887" t="inlineStr"/>
      <c r="D10887" t="inlineStr"/>
      <c r="E10887">
        <f>HYPERLINK("https://www.uniprot.org/uniprotkb/A0A6I8RMS6/entry", "A0A6I8RMS6")</f>
        <v/>
      </c>
      <c r="F10887" t="n">
        <v>56</v>
      </c>
      <c r="G10887" t="n">
        <v>125</v>
      </c>
      <c r="H10887" t="n">
        <v>7.329999999999999e-34</v>
      </c>
      <c r="I10887" t="inlineStr">
        <is>
          <t>TrEMBL</t>
        </is>
      </c>
      <c r="J10887" t="inlineStr"/>
      <c r="K10887" t="inlineStr">
        <is>
          <t>A0A6I8RMS6_XENTR</t>
        </is>
      </c>
      <c r="L10887" t="inlineStr">
        <is>
          <t>tr|A0A6I8RMS6|A0A6I8RMS6_XENTR Core-binding (CB) domain-containing protein OS=Xenopus tropicalis OX=8364 PE=4 SV=1</t>
        </is>
      </c>
      <c r="M10887" t="n">
        <v>463</v>
      </c>
      <c r="N10887" t="inlineStr">
        <is>
          <t>Xenopus tropicalis</t>
        </is>
      </c>
      <c r="O10887" t="inlineStr">
        <is>
          <t>Core-binding (CB) domain-containing protein</t>
        </is>
      </c>
    </row>
    <row r="10888">
      <c r="A10888" t="inlineStr"/>
      <c r="B10888" t="inlineStr"/>
      <c r="C10888" t="inlineStr"/>
      <c r="D10888" t="inlineStr"/>
      <c r="E10888">
        <f>HYPERLINK("https://www.uniprot.org/uniprotkb/A0A803JZG3/entry", "A0A803JZG3")</f>
        <v/>
      </c>
      <c r="F10888" t="n">
        <v>53.2</v>
      </c>
      <c r="G10888" t="n">
        <v>124</v>
      </c>
      <c r="H10888" t="n">
        <v>7.369999999999999e-34</v>
      </c>
      <c r="I10888" t="inlineStr">
        <is>
          <t>TrEMBL</t>
        </is>
      </c>
      <c r="J10888" t="inlineStr"/>
      <c r="K10888" t="inlineStr">
        <is>
          <t>A0A803JZG3_XENTR</t>
        </is>
      </c>
      <c r="L10888" t="inlineStr">
        <is>
          <t>tr|A0A803JZG3|A0A803JZG3_XENTR Tyr recombinase domain-containing protein OS=Xenopus tropicalis OX=8364 PE=4 SV=1</t>
        </is>
      </c>
      <c r="M10888" t="n">
        <v>854</v>
      </c>
      <c r="N10888" t="inlineStr">
        <is>
          <t>Xenopus tropicalis</t>
        </is>
      </c>
      <c r="O10888" t="inlineStr">
        <is>
          <t>Tyr recombinase domain-containing protein</t>
        </is>
      </c>
    </row>
    <row r="10889">
      <c r="A10889" t="inlineStr"/>
      <c r="B10889" t="inlineStr"/>
      <c r="C10889" t="inlineStr"/>
      <c r="D10889" t="inlineStr"/>
      <c r="E10889">
        <f>HYPERLINK("https://www.ncbi.nlm.nih.gov/gene/?term=KAE8606559.1", "KAE8606559.1")</f>
        <v/>
      </c>
      <c r="F10889" t="n">
        <v>57.5</v>
      </c>
      <c r="G10889" t="n">
        <v>120</v>
      </c>
      <c r="H10889" t="n">
        <v>8.99e-34</v>
      </c>
      <c r="I10889" t="inlineStr">
        <is>
          <t>Nr</t>
        </is>
      </c>
      <c r="J10889" t="inlineStr"/>
      <c r="K10889" t="inlineStr"/>
      <c r="L10889" t="inlineStr">
        <is>
          <t>KAE8606559.1 hypothetical protein XENTR_v10010779 [Xenopus tropicalis]</t>
        </is>
      </c>
      <c r="M10889" t="n">
        <v>736</v>
      </c>
      <c r="N10889" t="inlineStr">
        <is>
          <t>Xenopus tropicalis</t>
        </is>
      </c>
      <c r="O10889" t="inlineStr">
        <is>
          <t>hypothetical protein XENTR_v10010779</t>
        </is>
      </c>
    </row>
    <row r="10890">
      <c r="A10890" t="inlineStr"/>
      <c r="B10890" t="inlineStr"/>
      <c r="C10890" t="inlineStr"/>
      <c r="D10890" t="inlineStr"/>
      <c r="E10890">
        <f>HYPERLINK("https://www.uniprot.org/uniprotkb/A0A6P9BY85/entry", "A0A6P9BY85")</f>
        <v/>
      </c>
      <c r="F10890" t="n">
        <v>40.5</v>
      </c>
      <c r="G10890" t="n">
        <v>158</v>
      </c>
      <c r="H10890" t="n">
        <v>1.24e-33</v>
      </c>
      <c r="I10890" t="inlineStr">
        <is>
          <t>TrEMBL</t>
        </is>
      </c>
      <c r="J10890" t="inlineStr">
        <is>
          <t>MAP3K3</t>
        </is>
      </c>
      <c r="K10890" t="inlineStr">
        <is>
          <t>A0A6P9BY85_PANGU</t>
        </is>
      </c>
      <c r="L10890" t="inlineStr">
        <is>
          <t>tr|A0A6P9BY85|A0A6P9BY85_PANGU mitogen-activated protein kinase kinase kinase 3 OS=Pantherophis guttatus OX=94885 GN=MAP3K3 PE=4 SV=1</t>
        </is>
      </c>
      <c r="M10890" t="n">
        <v>1051</v>
      </c>
      <c r="N10890" t="inlineStr">
        <is>
          <t>Pantherophis guttatus</t>
        </is>
      </c>
      <c r="O10890" t="inlineStr">
        <is>
          <t>mitogen-activated protein kinase kinase kinase 3</t>
        </is>
      </c>
    </row>
    <row r="10891">
      <c r="A10891" t="inlineStr"/>
      <c r="B10891" t="inlineStr"/>
      <c r="C10891" t="inlineStr"/>
      <c r="D10891" t="inlineStr"/>
      <c r="E10891">
        <f>HYPERLINK("https://www.ncbi.nlm.nih.gov/gene/?term=XP_041422215.1", "XP_041422215.1")</f>
        <v/>
      </c>
      <c r="F10891" t="n">
        <v>57.1</v>
      </c>
      <c r="G10891" t="n">
        <v>119</v>
      </c>
      <c r="H10891" t="n">
        <v>1.42e-33</v>
      </c>
      <c r="I10891" t="inlineStr">
        <is>
          <t>Nr</t>
        </is>
      </c>
      <c r="J10891" t="inlineStr"/>
      <c r="K10891" t="inlineStr"/>
      <c r="L10891" t="inlineStr">
        <is>
          <t>XP_041422215.1 uncharacterized protein LOC121394688 isoform X1 [Xenopus laevis]</t>
        </is>
      </c>
      <c r="M10891" t="n">
        <v>948</v>
      </c>
      <c r="N10891" t="inlineStr">
        <is>
          <t>Xenopus laevis</t>
        </is>
      </c>
      <c r="O10891" t="inlineStr">
        <is>
          <t>uncharacterized protein LOC121394688 isoform X1</t>
        </is>
      </c>
    </row>
    <row r="10892">
      <c r="A10892" t="inlineStr"/>
      <c r="B10892" t="inlineStr"/>
      <c r="C10892" t="inlineStr"/>
      <c r="D10892" t="inlineStr"/>
      <c r="E10892">
        <f>HYPERLINK("https://www.ncbi.nlm.nih.gov/gene/?term=XP_041420124.1", "XP_041420124.1")</f>
        <v/>
      </c>
      <c r="F10892" t="n">
        <v>54.5</v>
      </c>
      <c r="G10892" t="n">
        <v>123</v>
      </c>
      <c r="H10892" t="n">
        <v>1.42e-33</v>
      </c>
      <c r="I10892" t="inlineStr">
        <is>
          <t>Nr</t>
        </is>
      </c>
      <c r="J10892" t="inlineStr"/>
      <c r="K10892" t="inlineStr"/>
      <c r="L10892" t="inlineStr">
        <is>
          <t>XP_041420124.1 uncharacterized protein LOC121394150 isoform X1 [Xenopus laevis]</t>
        </is>
      </c>
      <c r="M10892" t="n">
        <v>950</v>
      </c>
      <c r="N10892" t="inlineStr">
        <is>
          <t>Xenopus laevis</t>
        </is>
      </c>
      <c r="O10892" t="inlineStr">
        <is>
          <t>uncharacterized protein LOC121394150 isoform X1</t>
        </is>
      </c>
    </row>
    <row r="10893">
      <c r="A10893" t="inlineStr"/>
      <c r="B10893" t="inlineStr"/>
      <c r="C10893" t="inlineStr"/>
      <c r="D10893" t="inlineStr"/>
      <c r="E10893">
        <f>HYPERLINK("https://www.ncbi.nlm.nih.gov/gene/?term=KAE8636279.1", "KAE8636279.1")</f>
        <v/>
      </c>
      <c r="F10893" t="n">
        <v>52</v>
      </c>
      <c r="G10893" t="n">
        <v>127</v>
      </c>
      <c r="H10893" t="n">
        <v>1.44e-33</v>
      </c>
      <c r="I10893" t="inlineStr">
        <is>
          <t>Nr</t>
        </is>
      </c>
      <c r="J10893" t="inlineStr"/>
      <c r="K10893" t="inlineStr"/>
      <c r="L10893" t="inlineStr">
        <is>
          <t>KAE8636279.1 hypothetical protein XENTR_v10002921 [Xenopus tropicalis]</t>
        </is>
      </c>
      <c r="M10893" t="n">
        <v>677</v>
      </c>
      <c r="N10893" t="inlineStr">
        <is>
          <t>Xenopus tropicalis</t>
        </is>
      </c>
      <c r="O10893" t="inlineStr">
        <is>
          <t>hypothetical protein XENTR_v10002921</t>
        </is>
      </c>
    </row>
    <row r="10894">
      <c r="A10894" t="inlineStr"/>
      <c r="B10894" t="inlineStr"/>
      <c r="C10894" t="inlineStr"/>
      <c r="D10894" t="inlineStr"/>
      <c r="E10894">
        <f>HYPERLINK("https://www.ncbi.nlm.nih.gov/gene/?term=XP_041417586.1", "XP_041417586.1")</f>
        <v/>
      </c>
      <c r="F10894" t="n">
        <v>53.5</v>
      </c>
      <c r="G10894" t="n">
        <v>127</v>
      </c>
      <c r="H10894" t="n">
        <v>5.29e-33</v>
      </c>
      <c r="I10894" t="inlineStr">
        <is>
          <t>Nr</t>
        </is>
      </c>
      <c r="J10894" t="inlineStr"/>
      <c r="K10894" t="inlineStr"/>
      <c r="L10894" t="inlineStr">
        <is>
          <t>XP_041417586.1 uncharacterized protein LOC121393347 [Xenopus laevis]</t>
        </is>
      </c>
      <c r="M10894" t="n">
        <v>466</v>
      </c>
      <c r="N10894" t="inlineStr">
        <is>
          <t>Xenopus laevis</t>
        </is>
      </c>
      <c r="O10894" t="inlineStr">
        <is>
          <t>uncharacterized protein LOC121393347</t>
        </is>
      </c>
    </row>
    <row r="10895">
      <c r="A10895" t="inlineStr"/>
      <c r="B10895" t="inlineStr"/>
      <c r="C10895" t="inlineStr"/>
      <c r="D10895" t="inlineStr"/>
      <c r="E10895">
        <f>HYPERLINK("https://www.ncbi.nlm.nih.gov/gene/?term=XP_041446068.1", "XP_041446068.1")</f>
        <v/>
      </c>
      <c r="F10895" t="n">
        <v>52</v>
      </c>
      <c r="G10895" t="n">
        <v>127</v>
      </c>
      <c r="H10895" t="n">
        <v>7.72e-33</v>
      </c>
      <c r="I10895" t="inlineStr">
        <is>
          <t>Nr</t>
        </is>
      </c>
      <c r="J10895" t="inlineStr"/>
      <c r="K10895" t="inlineStr"/>
      <c r="L10895" t="inlineStr">
        <is>
          <t>XP_041446068.1 uncharacterized protein LOC121403002 [Xenopus laevis]</t>
        </is>
      </c>
      <c r="M10895" t="n">
        <v>325</v>
      </c>
      <c r="N10895" t="inlineStr">
        <is>
          <t>Xenopus laevis</t>
        </is>
      </c>
      <c r="O10895" t="inlineStr">
        <is>
          <t>uncharacterized protein LOC121403002</t>
        </is>
      </c>
    </row>
    <row r="10896">
      <c r="A10896" t="inlineStr"/>
      <c r="B10896" t="inlineStr"/>
      <c r="C10896" t="inlineStr"/>
      <c r="D10896" t="inlineStr"/>
      <c r="E10896">
        <f>HYPERLINK("https://www.uniprot.org/uniprotkb/R4GCJ8/entry", "R4GCJ8")</f>
        <v/>
      </c>
      <c r="F10896" t="n">
        <v>39.8</v>
      </c>
      <c r="G10896" t="n">
        <v>186</v>
      </c>
      <c r="H10896" t="n">
        <v>9.980000000000001e-33</v>
      </c>
      <c r="I10896" t="inlineStr">
        <is>
          <t>TrEMBL</t>
        </is>
      </c>
      <c r="J10896" t="inlineStr"/>
      <c r="K10896" t="inlineStr">
        <is>
          <t>R4GCJ8_ANOCA</t>
        </is>
      </c>
      <c r="L10896" t="inlineStr">
        <is>
          <t>tr|R4GCJ8|R4GCJ8_ANOCA ribonuclease H OS=Anolis carolinensis OX=28377 PE=3 SV=2</t>
        </is>
      </c>
      <c r="M10896" t="n">
        <v>512</v>
      </c>
      <c r="N10896" t="inlineStr">
        <is>
          <t>Anolis carolinensis</t>
        </is>
      </c>
      <c r="O10896" t="inlineStr">
        <is>
          <t>ribonuclease H</t>
        </is>
      </c>
    </row>
    <row r="10897">
      <c r="A10897" t="inlineStr"/>
      <c r="B10897" t="inlineStr"/>
      <c r="C10897" t="inlineStr"/>
      <c r="D10897" t="inlineStr"/>
      <c r="E10897">
        <f>HYPERLINK("https://www.uniprot.org/uniprotkb/A0A8J1JBZ2/entry", "A0A8J1JBZ2")</f>
        <v/>
      </c>
      <c r="F10897" t="n">
        <v>40.4</v>
      </c>
      <c r="G10897" t="n">
        <v>178</v>
      </c>
      <c r="H10897" t="n">
        <v>1.06e-32</v>
      </c>
      <c r="I10897" t="inlineStr">
        <is>
          <t>TrEMBL</t>
        </is>
      </c>
      <c r="J10897" t="inlineStr">
        <is>
          <t>LOC116409839</t>
        </is>
      </c>
      <c r="K10897" t="inlineStr">
        <is>
          <t>A0A8J1JBZ2_XENTR</t>
        </is>
      </c>
      <c r="L10897" t="inlineStr">
        <is>
          <t>tr|A0A8J1JBZ2|A0A8J1JBZ2_XENTR uncharacterized protein LOC116409839 OS=Xenopus tropicalis OX=8364 GN=LOC116409839 PE=4 SV=1</t>
        </is>
      </c>
      <c r="M10897" t="n">
        <v>666</v>
      </c>
      <c r="N10897" t="inlineStr">
        <is>
          <t>Xenopus tropicalis</t>
        </is>
      </c>
      <c r="O10897" t="inlineStr">
        <is>
          <t>uncharacterized protein LOC116409839</t>
        </is>
      </c>
    </row>
    <row r="10898">
      <c r="A10898" t="inlineStr"/>
      <c r="B10898" t="inlineStr"/>
      <c r="C10898" t="inlineStr"/>
      <c r="D10898" t="inlineStr"/>
      <c r="E10898">
        <f>HYPERLINK("https://www.ncbi.nlm.nih.gov/gene/?term=KAE8610918.1", "KAE8610918.1")</f>
        <v/>
      </c>
      <c r="F10898" t="n">
        <v>56</v>
      </c>
      <c r="G10898" t="n">
        <v>125</v>
      </c>
      <c r="H10898" t="n">
        <v>2.68e-32</v>
      </c>
      <c r="I10898" t="inlineStr">
        <is>
          <t>Nr</t>
        </is>
      </c>
      <c r="J10898" t="inlineStr"/>
      <c r="K10898" t="inlineStr"/>
      <c r="L10898" t="inlineStr">
        <is>
          <t>KAE8610918.1 hypothetical protein XENTR_v10012279 [Xenopus tropicalis]</t>
        </is>
      </c>
      <c r="M10898" t="n">
        <v>463</v>
      </c>
      <c r="N10898" t="inlineStr">
        <is>
          <t>Xenopus tropicalis</t>
        </is>
      </c>
      <c r="O10898" t="inlineStr">
        <is>
          <t>hypothetical protein XENTR_v10012279</t>
        </is>
      </c>
    </row>
    <row r="10899">
      <c r="A10899" t="inlineStr"/>
      <c r="B10899" t="inlineStr"/>
      <c r="C10899" t="inlineStr"/>
      <c r="D10899" t="inlineStr"/>
      <c r="E10899">
        <f>HYPERLINK("https://www.ncbi.nlm.nih.gov/gene/?term=XP_041417032.1", "XP_041417032.1")</f>
        <v/>
      </c>
      <c r="F10899" t="n">
        <v>53.5</v>
      </c>
      <c r="G10899" t="n">
        <v>127</v>
      </c>
      <c r="H10899" t="n">
        <v>3e-32</v>
      </c>
      <c r="I10899" t="inlineStr">
        <is>
          <t>Nr</t>
        </is>
      </c>
      <c r="J10899" t="inlineStr"/>
      <c r="K10899" t="inlineStr"/>
      <c r="L10899" t="inlineStr">
        <is>
          <t>XP_041417032.1 uncharacterized protein LOC121393209 [Xenopus laevis]</t>
        </is>
      </c>
      <c r="M10899" t="n">
        <v>580</v>
      </c>
      <c r="N10899" t="inlineStr">
        <is>
          <t>Xenopus laevis</t>
        </is>
      </c>
      <c r="O10899" t="inlineStr">
        <is>
          <t>uncharacterized protein LOC121393209</t>
        </is>
      </c>
    </row>
    <row r="10900">
      <c r="A10900" t="inlineStr"/>
      <c r="B10900" t="inlineStr"/>
      <c r="C10900" t="inlineStr"/>
      <c r="D10900" t="inlineStr"/>
      <c r="E10900">
        <f>HYPERLINK("https://www.ncbi.nlm.nih.gov/gene/?term=XP_041436799.1", "XP_041436799.1")</f>
        <v/>
      </c>
      <c r="F10900" t="n">
        <v>52.8</v>
      </c>
      <c r="G10900" t="n">
        <v>127</v>
      </c>
      <c r="H10900" t="n">
        <v>3.17e-32</v>
      </c>
      <c r="I10900" t="inlineStr">
        <is>
          <t>Nr</t>
        </is>
      </c>
      <c r="J10900" t="inlineStr"/>
      <c r="K10900" t="inlineStr"/>
      <c r="L10900" t="inlineStr">
        <is>
          <t>XP_041436799.1 CTP synthase 1-B isoform X1 [Xenopus laevis]</t>
        </is>
      </c>
      <c r="M10900" t="n">
        <v>982</v>
      </c>
      <c r="N10900" t="inlineStr">
        <is>
          <t>Xenopus laevis</t>
        </is>
      </c>
      <c r="O10900" t="inlineStr">
        <is>
          <t>CTP synthase 1-B isoform X1</t>
        </is>
      </c>
    </row>
    <row r="10901">
      <c r="A10901" t="inlineStr"/>
      <c r="B10901" t="inlineStr"/>
      <c r="C10901" t="inlineStr"/>
      <c r="D10901" t="inlineStr"/>
      <c r="E10901">
        <f>HYPERLINK("https://www.ncbi.nlm.nih.gov/gene/?term=KAE8584967.1", "KAE8584967.1")</f>
        <v/>
      </c>
      <c r="F10901" t="n">
        <v>55.5</v>
      </c>
      <c r="G10901" t="n">
        <v>119</v>
      </c>
      <c r="H10901" t="n">
        <v>4.46e-32</v>
      </c>
      <c r="I10901" t="inlineStr">
        <is>
          <t>Nr</t>
        </is>
      </c>
      <c r="J10901" t="inlineStr"/>
      <c r="K10901" t="inlineStr"/>
      <c r="L10901" t="inlineStr">
        <is>
          <t>KAE8584967.1 hypothetical protein XENTR_v10021175 [Xenopus tropicalis]</t>
        </is>
      </c>
      <c r="M10901" t="n">
        <v>345</v>
      </c>
      <c r="N10901" t="inlineStr">
        <is>
          <t>Xenopus tropicalis</t>
        </is>
      </c>
      <c r="O10901" t="inlineStr">
        <is>
          <t>hypothetical protein XENTR_v10021175</t>
        </is>
      </c>
    </row>
    <row r="10902">
      <c r="A10902" t="inlineStr"/>
      <c r="B10902" t="inlineStr"/>
      <c r="C10902" t="inlineStr"/>
      <c r="D10902" t="inlineStr"/>
      <c r="E10902">
        <f>HYPERLINK("https://www.ncbi.nlm.nih.gov/gene/?term=OCT98704.1", "OCT98704.1")</f>
        <v/>
      </c>
      <c r="F10902" t="n">
        <v>34.6</v>
      </c>
      <c r="G10902" t="n">
        <v>217</v>
      </c>
      <c r="H10902" t="n">
        <v>2.98e-28</v>
      </c>
      <c r="I10902" t="inlineStr">
        <is>
          <t>Nr</t>
        </is>
      </c>
      <c r="J10902" t="inlineStr"/>
      <c r="K10902" t="inlineStr"/>
      <c r="L10902" t="inlineStr">
        <is>
          <t>OCT98704.1 hypothetical protein XELAEV_18010935mg, partial [Xenopus laevis]</t>
        </is>
      </c>
      <c r="M10902" t="n">
        <v>322</v>
      </c>
      <c r="N10902" t="inlineStr">
        <is>
          <t>Xenopus laevis</t>
        </is>
      </c>
      <c r="O10902" t="inlineStr">
        <is>
          <t>hypothetical protein XELAEV_18010935mg, partial</t>
        </is>
      </c>
    </row>
    <row r="10903">
      <c r="A10903" t="inlineStr"/>
      <c r="B10903" t="inlineStr"/>
      <c r="C10903" t="inlineStr"/>
      <c r="D10903" t="inlineStr"/>
      <c r="E10903">
        <f>HYPERLINK("https://www.ncbi.nlm.nih.gov/gene/?term=OCT70275.1", "OCT70275.1")</f>
        <v/>
      </c>
      <c r="F10903" t="n">
        <v>36.1</v>
      </c>
      <c r="G10903" t="n">
        <v>216</v>
      </c>
      <c r="H10903" t="n">
        <v>1.38e-26</v>
      </c>
      <c r="I10903" t="inlineStr">
        <is>
          <t>Nr</t>
        </is>
      </c>
      <c r="J10903" t="inlineStr"/>
      <c r="K10903" t="inlineStr"/>
      <c r="L10903" t="inlineStr">
        <is>
          <t>OCT70275.1 hypothetical protein XELAEV_18037196mg [Xenopus laevis]</t>
        </is>
      </c>
      <c r="M10903" t="n">
        <v>370</v>
      </c>
      <c r="N10903" t="inlineStr">
        <is>
          <t>Xenopus laevis</t>
        </is>
      </c>
      <c r="O10903" t="inlineStr">
        <is>
          <t>hypothetical protein XELAEV_18037196mg</t>
        </is>
      </c>
    </row>
    <row r="10904">
      <c r="A10904" t="inlineStr"/>
      <c r="B10904" t="inlineStr"/>
      <c r="C10904" t="inlineStr"/>
      <c r="D10904" t="inlineStr"/>
      <c r="E10904">
        <f>HYPERLINK("https://www.ncbi.nlm.nih.gov/gene/?term=OCT65627.1", "OCT65627.1")</f>
        <v/>
      </c>
      <c r="F10904" t="n">
        <v>34.1</v>
      </c>
      <c r="G10904" t="n">
        <v>217</v>
      </c>
      <c r="H10904" t="n">
        <v>7.66e-26</v>
      </c>
      <c r="I10904" t="inlineStr">
        <is>
          <t>Nr</t>
        </is>
      </c>
      <c r="J10904" t="inlineStr"/>
      <c r="K10904" t="inlineStr"/>
      <c r="L10904" t="inlineStr">
        <is>
          <t>OCT65627.1 hypothetical protein XELAEV_18041866mg, partial [Xenopus laevis]</t>
        </is>
      </c>
      <c r="M10904" t="n">
        <v>374</v>
      </c>
      <c r="N10904" t="inlineStr">
        <is>
          <t>Xenopus laevis</t>
        </is>
      </c>
      <c r="O10904" t="inlineStr">
        <is>
          <t>hypothetical protein XELAEV_18041866mg, partial</t>
        </is>
      </c>
    </row>
    <row r="10905">
      <c r="A10905" t="inlineStr"/>
      <c r="B10905" t="inlineStr"/>
      <c r="C10905" t="inlineStr"/>
      <c r="D10905" t="inlineStr"/>
      <c r="E10905">
        <f>HYPERLINK("https://www.ncbi.nlm.nih.gov/gene/?term=OCT74329.1", "OCT74329.1")</f>
        <v/>
      </c>
      <c r="F10905" t="n">
        <v>32.9</v>
      </c>
      <c r="G10905" t="n">
        <v>216</v>
      </c>
      <c r="H10905" t="n">
        <v>8.44e-25</v>
      </c>
      <c r="I10905" t="inlineStr">
        <is>
          <t>Nr</t>
        </is>
      </c>
      <c r="J10905" t="inlineStr"/>
      <c r="K10905" t="inlineStr"/>
      <c r="L10905" t="inlineStr">
        <is>
          <t>OCT74329.1 hypothetical protein XELAEV_18033295mg [Xenopus laevis]</t>
        </is>
      </c>
      <c r="M10905" t="n">
        <v>513</v>
      </c>
      <c r="N10905" t="inlineStr">
        <is>
          <t>Xenopus laevis</t>
        </is>
      </c>
      <c r="O10905" t="inlineStr">
        <is>
          <t>hypothetical protein XELAEV_18033295mg</t>
        </is>
      </c>
    </row>
    <row r="10906">
      <c r="A10906" t="inlineStr"/>
      <c r="B10906" t="inlineStr"/>
      <c r="C10906" t="inlineStr"/>
      <c r="D10906" t="inlineStr"/>
      <c r="E10906">
        <f>HYPERLINK("https://www.ncbi.nlm.nih.gov/gene/?term=OCT58440.1", "OCT58440.1")</f>
        <v/>
      </c>
      <c r="F10906" t="n">
        <v>33.3</v>
      </c>
      <c r="G10906" t="n">
        <v>213</v>
      </c>
      <c r="H10906" t="n">
        <v>2.28e-24</v>
      </c>
      <c r="I10906" t="inlineStr">
        <is>
          <t>Nr</t>
        </is>
      </c>
      <c r="J10906" t="inlineStr"/>
      <c r="K10906" t="inlineStr"/>
      <c r="L10906" t="inlineStr">
        <is>
          <t>OCT58440.1 hypothetical protein XELAEV_18002112mg [Xenopus laevis]</t>
        </is>
      </c>
      <c r="M10906" t="n">
        <v>381</v>
      </c>
      <c r="N10906" t="inlineStr">
        <is>
          <t>Xenopus laevis</t>
        </is>
      </c>
      <c r="O10906" t="inlineStr">
        <is>
          <t>hypothetical protein XELAEV_18002112mg</t>
        </is>
      </c>
    </row>
    <row r="10907">
      <c r="A10907" t="inlineStr"/>
      <c r="B10907" t="inlineStr"/>
      <c r="C10907" t="inlineStr"/>
      <c r="D10907" t="inlineStr"/>
      <c r="E10907">
        <f>HYPERLINK("https://www.ncbi.nlm.nih.gov/gene/?term=XP_044129795.1", "XP_044129795.1")</f>
        <v/>
      </c>
      <c r="F10907" t="n">
        <v>34.3</v>
      </c>
      <c r="G10907" t="n">
        <v>198</v>
      </c>
      <c r="H10907" t="n">
        <v>3.07e-24</v>
      </c>
      <c r="I10907" t="inlineStr">
        <is>
          <t>Nr</t>
        </is>
      </c>
      <c r="J10907" t="inlineStr"/>
      <c r="K10907" t="inlineStr"/>
      <c r="L10907" t="inlineStr">
        <is>
          <t>XP_044129795.1 uncharacterized protein LOC122923137 [Bufo gargarizans]</t>
        </is>
      </c>
      <c r="M10907" t="n">
        <v>334</v>
      </c>
      <c r="N10907" t="inlineStr">
        <is>
          <t>Bufo gargarizans</t>
        </is>
      </c>
      <c r="O10907" t="inlineStr">
        <is>
          <t>uncharacterized protein LOC122923137</t>
        </is>
      </c>
    </row>
    <row r="10908">
      <c r="A10908" t="inlineStr"/>
      <c r="B10908" t="inlineStr"/>
      <c r="C10908" t="inlineStr"/>
      <c r="D10908" t="inlineStr"/>
      <c r="E10908">
        <f>HYPERLINK("https://www.uniprot.org/uniprotkb/A0A821ZHX4/entry", "A0A821ZHX4")</f>
        <v/>
      </c>
      <c r="F10908" t="n">
        <v>35.7</v>
      </c>
      <c r="G10908" t="n">
        <v>185</v>
      </c>
      <c r="H10908" t="n">
        <v>3.83e-24</v>
      </c>
      <c r="I10908" t="inlineStr">
        <is>
          <t>TrEMBL</t>
        </is>
      </c>
      <c r="J10908" t="inlineStr">
        <is>
          <t>RIMITATOR_LOCUS6463379</t>
        </is>
      </c>
      <c r="K10908" t="inlineStr">
        <is>
          <t>A0A821ZHX4_9NEOB</t>
        </is>
      </c>
      <c r="L10908" t="inlineStr">
        <is>
          <t>tr|A0A821ZHX4|A0A821ZHX4_9NEOB (mimic poison frog) hypothetical protein OS=Ranitomeya imitator OX=111125 GN=RIMITATOR_LOCUS6463379 PE=4 SV=1</t>
        </is>
      </c>
      <c r="M10908" t="n">
        <v>324</v>
      </c>
      <c r="N10908" t="inlineStr">
        <is>
          <t>Ranitomeya imitator</t>
        </is>
      </c>
      <c r="O10908" t="inlineStr">
        <is>
          <t>(mimic poison frog) hypothetical protein</t>
        </is>
      </c>
    </row>
    <row r="10909">
      <c r="A10909" t="inlineStr"/>
      <c r="B10909" t="inlineStr"/>
      <c r="C10909" t="inlineStr"/>
      <c r="D10909" t="inlineStr"/>
      <c r="E10909">
        <f>HYPERLINK("https://www.ncbi.nlm.nih.gov/gene/?term=OCT65597.1", "OCT65597.1")</f>
        <v/>
      </c>
      <c r="F10909" t="n">
        <v>33.5</v>
      </c>
      <c r="G10909" t="n">
        <v>209</v>
      </c>
      <c r="H10909" t="n">
        <v>3.9e-24</v>
      </c>
      <c r="I10909" t="inlineStr">
        <is>
          <t>Nr</t>
        </is>
      </c>
      <c r="J10909" t="inlineStr"/>
      <c r="K10909" t="inlineStr"/>
      <c r="L10909" t="inlineStr">
        <is>
          <t>OCT65597.1 hypothetical protein XELAEV_18041835mg [Xenopus laevis]</t>
        </is>
      </c>
      <c r="M10909" t="n">
        <v>426</v>
      </c>
      <c r="N10909" t="inlineStr">
        <is>
          <t>Xenopus laevis</t>
        </is>
      </c>
      <c r="O10909" t="inlineStr">
        <is>
          <t>hypothetical protein XELAEV_18041835mg</t>
        </is>
      </c>
    </row>
    <row r="10910">
      <c r="A10910" t="inlineStr"/>
      <c r="B10910" t="inlineStr"/>
      <c r="C10910" t="inlineStr"/>
      <c r="D10910" t="inlineStr"/>
      <c r="E10910">
        <f>HYPERLINK("https://www.uniprot.org/uniprotkb/A0A8J1L5X3/entry", "A0A8J1L5X3")</f>
        <v/>
      </c>
      <c r="F10910" t="n">
        <v>31.4</v>
      </c>
      <c r="G10910" t="n">
        <v>204</v>
      </c>
      <c r="H10910" t="n">
        <v>1.32e-23</v>
      </c>
      <c r="I10910" t="inlineStr">
        <is>
          <t>TrEMBL</t>
        </is>
      </c>
      <c r="J10910" t="inlineStr">
        <is>
          <t>LOC121395456</t>
        </is>
      </c>
      <c r="K10910" t="inlineStr">
        <is>
          <t>A0A8J1L5X3_XENLA</t>
        </is>
      </c>
      <c r="L10910" t="inlineStr">
        <is>
          <t>tr|A0A8J1L5X3|A0A8J1L5X3_XENLA uncharacterized protein LOC121395456 isoform X1 OS=Xenopus laevis OX=8355 GN=LOC121395456 PE=4 SV=1</t>
        </is>
      </c>
      <c r="M10910" t="n">
        <v>494</v>
      </c>
      <c r="N10910" t="inlineStr">
        <is>
          <t>Xenopus laevis</t>
        </is>
      </c>
      <c r="O10910" t="inlineStr">
        <is>
          <t>uncharacterized protein LOC121395456 isoform X1</t>
        </is>
      </c>
    </row>
    <row r="10911">
      <c r="A10911" t="inlineStr"/>
      <c r="B10911" t="inlineStr"/>
      <c r="C10911" t="inlineStr"/>
      <c r="D10911" t="inlineStr"/>
      <c r="E10911">
        <f>HYPERLINK("https://www.ncbi.nlm.nih.gov/gene/?term=XP_041424947.1", "XP_041424947.1")</f>
        <v/>
      </c>
      <c r="F10911" t="n">
        <v>31.4</v>
      </c>
      <c r="G10911" t="n">
        <v>204</v>
      </c>
      <c r="H10911" t="n">
        <v>3.399999999999999e-23</v>
      </c>
      <c r="I10911" t="inlineStr">
        <is>
          <t>Nr</t>
        </is>
      </c>
      <c r="J10911" t="inlineStr"/>
      <c r="K10911" t="inlineStr"/>
      <c r="L10911" t="inlineStr">
        <is>
          <t>XP_041424947.1 uncharacterized protein LOC121395456 isoform X1 [Xenopus laevis]</t>
        </is>
      </c>
      <c r="M10911" t="n">
        <v>494</v>
      </c>
      <c r="N10911" t="inlineStr">
        <is>
          <t>Xenopus laevis</t>
        </is>
      </c>
      <c r="O10911" t="inlineStr">
        <is>
          <t>uncharacterized protein LOC121395456 isoform X1</t>
        </is>
      </c>
    </row>
    <row r="10912">
      <c r="A10912" t="inlineStr"/>
      <c r="B10912" t="inlineStr"/>
      <c r="C10912" t="inlineStr"/>
      <c r="D10912" t="inlineStr"/>
      <c r="E10912">
        <f>HYPERLINK("https://www.uniprot.org/uniprotkb/A0A8C5MP19/entry", "A0A8C5MP19")</f>
        <v/>
      </c>
      <c r="F10912" t="n">
        <v>31</v>
      </c>
      <c r="G10912" t="n">
        <v>216</v>
      </c>
      <c r="H10912" t="n">
        <v>5.85e-23</v>
      </c>
      <c r="I10912" t="inlineStr">
        <is>
          <t>TrEMBL</t>
        </is>
      </c>
      <c r="J10912" t="inlineStr"/>
      <c r="K10912" t="inlineStr">
        <is>
          <t>A0A8C5MP19_9ANUR</t>
        </is>
      </c>
      <c r="L10912" t="inlineStr">
        <is>
          <t>tr|A0A8C5MP19|A0A8C5MP19_9ANUR Reverse transcriptase domain-containing protein OS=Leptobrachium leishanense OX=445787 PE=4 SV=1</t>
        </is>
      </c>
      <c r="M10912" t="n">
        <v>729</v>
      </c>
      <c r="N10912" t="inlineStr">
        <is>
          <t>Leptobrachium leishanense</t>
        </is>
      </c>
      <c r="O10912" t="inlineStr">
        <is>
          <t>Reverse transcriptase domain-containing protein</t>
        </is>
      </c>
    </row>
    <row r="10913">
      <c r="A10913" t="inlineStr"/>
      <c r="B10913" t="inlineStr"/>
      <c r="C10913" t="inlineStr"/>
      <c r="D10913" t="inlineStr"/>
      <c r="E10913">
        <f>HYPERLINK("https://www.ncbi.nlm.nih.gov/gene/?term=OCT55832.1", "OCT55832.1")</f>
        <v/>
      </c>
      <c r="F10913" t="n">
        <v>38.4</v>
      </c>
      <c r="G10913" t="n">
        <v>146</v>
      </c>
      <c r="H10913" t="n">
        <v>7.919999999999999e-23</v>
      </c>
      <c r="I10913" t="inlineStr">
        <is>
          <t>Nr</t>
        </is>
      </c>
      <c r="J10913" t="inlineStr"/>
      <c r="K10913" t="inlineStr"/>
      <c r="L10913" t="inlineStr">
        <is>
          <t>OCT55832.1 hypothetical protein XELAEV_18003247mg [Xenopus laevis]</t>
        </is>
      </c>
      <c r="M10913" t="n">
        <v>404</v>
      </c>
      <c r="N10913" t="inlineStr">
        <is>
          <t>Xenopus laevis</t>
        </is>
      </c>
      <c r="O10913" t="inlineStr">
        <is>
          <t>hypothetical protein XELAEV_18003247mg</t>
        </is>
      </c>
    </row>
    <row r="10914">
      <c r="A10914" t="inlineStr"/>
      <c r="B10914" t="inlineStr"/>
      <c r="C10914" t="inlineStr"/>
      <c r="D10914" t="inlineStr"/>
      <c r="E10914">
        <f>HYPERLINK("https://www.uniprot.org/uniprotkb/A0A8C5QN04/entry", "A0A8C5QN04")</f>
        <v/>
      </c>
      <c r="F10914" t="n">
        <v>31.5</v>
      </c>
      <c r="G10914" t="n">
        <v>216</v>
      </c>
      <c r="H10914" t="n">
        <v>1.52e-22</v>
      </c>
      <c r="I10914" t="inlineStr">
        <is>
          <t>TrEMBL</t>
        </is>
      </c>
      <c r="J10914" t="inlineStr"/>
      <c r="K10914" t="inlineStr">
        <is>
          <t>A0A8C5QN04_9ANUR</t>
        </is>
      </c>
      <c r="L10914" t="inlineStr">
        <is>
          <t>tr|A0A8C5QN04|A0A8C5QN04_9ANUR GIY-YIG domain-containing protein OS=Leptobrachium leishanense OX=445787 PE=4 SV=1</t>
        </is>
      </c>
      <c r="M10914" t="n">
        <v>815</v>
      </c>
      <c r="N10914" t="inlineStr">
        <is>
          <t>Leptobrachium leishanense</t>
        </is>
      </c>
      <c r="O10914" t="inlineStr">
        <is>
          <t>GIY-YIG domain-containing protein</t>
        </is>
      </c>
    </row>
    <row r="10915">
      <c r="A10915" t="inlineStr"/>
      <c r="B10915" t="inlineStr"/>
      <c r="C10915" t="inlineStr"/>
      <c r="D10915" t="inlineStr"/>
      <c r="E10915">
        <f>HYPERLINK("https://www.uniprot.org/uniprotkb/A0A803J844/entry", "A0A803J844")</f>
        <v/>
      </c>
      <c r="F10915" t="n">
        <v>39.3</v>
      </c>
      <c r="G10915" t="n">
        <v>145</v>
      </c>
      <c r="H10915" t="n">
        <v>3.57e-22</v>
      </c>
      <c r="I10915" t="inlineStr">
        <is>
          <t>TrEMBL</t>
        </is>
      </c>
      <c r="J10915" t="inlineStr"/>
      <c r="K10915" t="inlineStr">
        <is>
          <t>A0A803J844_XENTR</t>
        </is>
      </c>
      <c r="L10915" t="inlineStr">
        <is>
          <t>tr|A0A803J844|A0A803J844_XENTR Reverse transcriptase domain-containing protein OS=Xenopus tropicalis OX=8364 PE=4 SV=1</t>
        </is>
      </c>
      <c r="M10915" t="n">
        <v>673</v>
      </c>
      <c r="N10915" t="inlineStr">
        <is>
          <t>Xenopus tropicalis</t>
        </is>
      </c>
      <c r="O10915" t="inlineStr">
        <is>
          <t>Reverse transcriptase domain-containing protein</t>
        </is>
      </c>
    </row>
    <row r="10916">
      <c r="A10916" t="inlineStr"/>
      <c r="B10916" t="inlineStr"/>
      <c r="C10916" t="inlineStr"/>
      <c r="D10916" t="inlineStr"/>
      <c r="E10916">
        <f>HYPERLINK("https://www.ncbi.nlm.nih.gov/gene/?term=OCT89306.1", "OCT89306.1")</f>
        <v/>
      </c>
      <c r="F10916" t="n">
        <v>32.5</v>
      </c>
      <c r="G10916" t="n">
        <v>212</v>
      </c>
      <c r="H10916" t="n">
        <v>5.11e-22</v>
      </c>
      <c r="I10916" t="inlineStr">
        <is>
          <t>Nr</t>
        </is>
      </c>
      <c r="J10916" t="inlineStr"/>
      <c r="K10916" t="inlineStr"/>
      <c r="L10916" t="inlineStr">
        <is>
          <t>OCT89306.1 hypothetical protein XELAEV_18017926mg [Xenopus laevis]</t>
        </is>
      </c>
      <c r="M10916" t="n">
        <v>723</v>
      </c>
      <c r="N10916" t="inlineStr">
        <is>
          <t>Xenopus laevis</t>
        </is>
      </c>
      <c r="O10916" t="inlineStr">
        <is>
          <t>hypothetical protein XELAEV_18017926mg</t>
        </is>
      </c>
    </row>
    <row r="10917">
      <c r="A10917" t="inlineStr"/>
      <c r="B10917" t="inlineStr"/>
      <c r="C10917" t="inlineStr"/>
      <c r="D10917" t="inlineStr"/>
      <c r="E10917">
        <f>HYPERLINK("https://www.ncbi.nlm.nih.gov/gene/?term=XP_040178228.1", "XP_040178228.1")</f>
        <v/>
      </c>
      <c r="F10917" t="n">
        <v>37.6</v>
      </c>
      <c r="G10917" t="n">
        <v>149</v>
      </c>
      <c r="H10917" t="n">
        <v>1.97e-21</v>
      </c>
      <c r="I10917" t="inlineStr">
        <is>
          <t>Nr</t>
        </is>
      </c>
      <c r="J10917" t="inlineStr"/>
      <c r="K10917" t="inlineStr"/>
      <c r="L10917" t="inlineStr">
        <is>
          <t>XP_040178228.1 uncharacterized protein LOC120910536 [Rana temporaria]</t>
        </is>
      </c>
      <c r="M10917" t="n">
        <v>1334</v>
      </c>
      <c r="N10917" t="inlineStr">
        <is>
          <t>Rana temporaria</t>
        </is>
      </c>
      <c r="O10917" t="inlineStr">
        <is>
          <t>uncharacterized protein LOC120910536</t>
        </is>
      </c>
    </row>
    <row r="10918">
      <c r="A10918" t="inlineStr"/>
      <c r="B10918" t="inlineStr"/>
      <c r="C10918" t="inlineStr"/>
      <c r="D10918" t="inlineStr"/>
      <c r="E10918">
        <f>HYPERLINK("https://www.ncbi.nlm.nih.gov/gene/?term=XP_040203731.1", "XP_040203731.1")</f>
        <v/>
      </c>
      <c r="F10918" t="n">
        <v>40.8</v>
      </c>
      <c r="G10918" t="n">
        <v>142</v>
      </c>
      <c r="H10918" t="n">
        <v>7.070000000000001e-21</v>
      </c>
      <c r="I10918" t="inlineStr">
        <is>
          <t>Nr</t>
        </is>
      </c>
      <c r="J10918" t="inlineStr"/>
      <c r="K10918" t="inlineStr"/>
      <c r="L10918" t="inlineStr">
        <is>
          <t>XP_040203731.1 uncharacterized protein LOC120935737 [Rana temporaria]</t>
        </is>
      </c>
      <c r="M10918" t="n">
        <v>580</v>
      </c>
      <c r="N10918" t="inlineStr">
        <is>
          <t>Rana temporaria</t>
        </is>
      </c>
      <c r="O10918" t="inlineStr">
        <is>
          <t>uncharacterized protein LOC120935737</t>
        </is>
      </c>
    </row>
    <row r="10919">
      <c r="A10919" t="inlineStr"/>
      <c r="B10919" t="inlineStr"/>
      <c r="C10919" t="inlineStr"/>
      <c r="D10919" t="inlineStr"/>
      <c r="E10919">
        <f>HYPERLINK("https://www.ncbi.nlm.nih.gov/gene/?term=OCT97713.1", "OCT97713.1")</f>
        <v/>
      </c>
      <c r="F10919" t="n">
        <v>35.3</v>
      </c>
      <c r="G10919" t="n">
        <v>201</v>
      </c>
      <c r="H10919" t="n">
        <v>8.910000000000001e-21</v>
      </c>
      <c r="I10919" t="inlineStr">
        <is>
          <t>Nr</t>
        </is>
      </c>
      <c r="J10919" t="inlineStr"/>
      <c r="K10919" t="inlineStr"/>
      <c r="L10919" t="inlineStr">
        <is>
          <t>OCT97713.1 hypothetical protein XELAEV_18009942mg [Xenopus laevis]</t>
        </is>
      </c>
      <c r="M10919" t="n">
        <v>362</v>
      </c>
      <c r="N10919" t="inlineStr">
        <is>
          <t>Xenopus laevis</t>
        </is>
      </c>
      <c r="O10919" t="inlineStr">
        <is>
          <t>hypothetical protein XELAEV_18009942mg</t>
        </is>
      </c>
    </row>
    <row r="10920">
      <c r="A10920" t="inlineStr"/>
      <c r="B10920" t="inlineStr"/>
      <c r="C10920" t="inlineStr"/>
      <c r="D10920" t="inlineStr"/>
      <c r="E10920">
        <f>HYPERLINK("https://www.uniprot.org/uniprotkb/A0A8C5LIJ5/entry", "A0A8C5LIJ5")</f>
        <v/>
      </c>
      <c r="F10920" t="n">
        <v>34.3</v>
      </c>
      <c r="G10920" t="n">
        <v>213</v>
      </c>
      <c r="H10920" t="n">
        <v>4.96e-20</v>
      </c>
      <c r="I10920" t="inlineStr">
        <is>
          <t>TrEMBL</t>
        </is>
      </c>
      <c r="J10920" t="inlineStr"/>
      <c r="K10920" t="inlineStr">
        <is>
          <t>A0A8C5LIJ5_9ANUR</t>
        </is>
      </c>
      <c r="L10920" t="inlineStr">
        <is>
          <t>tr|A0A8C5LIJ5|A0A8C5LIJ5_9ANUR GIY-YIG domain-containing protein OS=Leptobrachium leishanense OX=445787 PE=4 SV=1</t>
        </is>
      </c>
      <c r="M10920" t="n">
        <v>721</v>
      </c>
      <c r="N10920" t="inlineStr">
        <is>
          <t>Leptobrachium leishanense</t>
        </is>
      </c>
      <c r="O10920" t="inlineStr">
        <is>
          <t>GIY-YIG domain-containing protein</t>
        </is>
      </c>
    </row>
    <row r="10921">
      <c r="A10921" t="inlineStr"/>
      <c r="B10921" t="inlineStr"/>
      <c r="C10921" t="inlineStr"/>
      <c r="D10921" t="inlineStr"/>
      <c r="E10921">
        <f>HYPERLINK("https://www.ncbi.nlm.nih.gov/gene/?term=OCT92849.1", "OCT92849.1")</f>
        <v/>
      </c>
      <c r="F10921" t="n">
        <v>37.7</v>
      </c>
      <c r="G10921" t="n">
        <v>122</v>
      </c>
      <c r="H10921" t="n">
        <v>6.7e-20</v>
      </c>
      <c r="I10921" t="inlineStr">
        <is>
          <t>Nr</t>
        </is>
      </c>
      <c r="J10921" t="inlineStr"/>
      <c r="K10921" t="inlineStr"/>
      <c r="L10921" t="inlineStr">
        <is>
          <t>OCT92849.1 hypothetical protein XELAEV_18015915mg, partial [Xenopus laevis]</t>
        </is>
      </c>
      <c r="M10921" t="n">
        <v>276</v>
      </c>
      <c r="N10921" t="inlineStr">
        <is>
          <t>Xenopus laevis</t>
        </is>
      </c>
      <c r="O10921" t="inlineStr">
        <is>
          <t>hypothetical protein XELAEV_18015915mg, partial</t>
        </is>
      </c>
    </row>
    <row r="10922">
      <c r="A10922" t="inlineStr"/>
      <c r="B10922" t="inlineStr"/>
      <c r="C10922" t="inlineStr"/>
      <c r="D10922" t="inlineStr"/>
      <c r="E10922">
        <f>HYPERLINK("https://www.uniprot.org/uniprotkb/A0A803K1E2/entry", "A0A803K1E2")</f>
        <v/>
      </c>
      <c r="F10922" t="n">
        <v>42.7</v>
      </c>
      <c r="G10922" t="n">
        <v>117</v>
      </c>
      <c r="H10922" t="n">
        <v>8.73e-20</v>
      </c>
      <c r="I10922" t="inlineStr">
        <is>
          <t>TrEMBL</t>
        </is>
      </c>
      <c r="J10922" t="inlineStr"/>
      <c r="K10922" t="inlineStr">
        <is>
          <t>A0A803K1E2_XENTR</t>
        </is>
      </c>
      <c r="L10922" t="inlineStr">
        <is>
          <t>tr|A0A803K1E2|A0A803K1E2_XENTR LAP2alpha domain-containing protein OS=Xenopus tropicalis OX=8364 PE=4 SV=1</t>
        </is>
      </c>
      <c r="M10922" t="n">
        <v>496</v>
      </c>
      <c r="N10922" t="inlineStr">
        <is>
          <t>Xenopus tropicalis</t>
        </is>
      </c>
      <c r="O10922" t="inlineStr">
        <is>
          <t>LAP2alpha domain-containing protein</t>
        </is>
      </c>
    </row>
    <row r="10923">
      <c r="A10923" t="inlineStr"/>
      <c r="B10923" t="inlineStr"/>
      <c r="C10923" t="inlineStr"/>
      <c r="D10923" t="inlineStr"/>
      <c r="E10923">
        <f>HYPERLINK("https://www.ncbi.nlm.nih.gov/gene/?term=OCU00192.1", "OCU00192.1")</f>
        <v/>
      </c>
      <c r="F10923" t="n">
        <v>33.8</v>
      </c>
      <c r="G10923" t="n">
        <v>145</v>
      </c>
      <c r="H10923" t="n">
        <v>9.409999999999999e-20</v>
      </c>
      <c r="I10923" t="inlineStr">
        <is>
          <t>Nr</t>
        </is>
      </c>
      <c r="J10923" t="inlineStr"/>
      <c r="K10923" t="inlineStr"/>
      <c r="L10923" t="inlineStr">
        <is>
          <t>OCU00192.1 hypothetical protein XELAEV_18005966mg [Xenopus laevis]</t>
        </is>
      </c>
      <c r="M10923" t="n">
        <v>258</v>
      </c>
      <c r="N10923" t="inlineStr">
        <is>
          <t>Xenopus laevis</t>
        </is>
      </c>
      <c r="O10923" t="inlineStr">
        <is>
          <t>hypothetical protein XELAEV_18005966mg</t>
        </is>
      </c>
    </row>
    <row r="10924">
      <c r="A10924" t="inlineStr"/>
      <c r="B10924" t="inlineStr"/>
      <c r="C10924" t="inlineStr"/>
      <c r="D10924" t="inlineStr"/>
      <c r="E10924">
        <f>HYPERLINK("https://www.ncbi.nlm.nih.gov/gene/?term=OCU02282.1", "OCU02282.1")</f>
        <v/>
      </c>
      <c r="F10924" t="n">
        <v>33.1</v>
      </c>
      <c r="G10924" t="n">
        <v>145</v>
      </c>
      <c r="H10924" t="n">
        <v>2.79e-19</v>
      </c>
      <c r="I10924" t="inlineStr">
        <is>
          <t>Nr</t>
        </is>
      </c>
      <c r="J10924" t="inlineStr"/>
      <c r="K10924" t="inlineStr"/>
      <c r="L10924" t="inlineStr">
        <is>
          <t>OCU02282.1 hypothetical protein XELAEV_18008043mg [Xenopus laevis]</t>
        </is>
      </c>
      <c r="M10924" t="n">
        <v>169</v>
      </c>
      <c r="N10924" t="inlineStr">
        <is>
          <t>Xenopus laevis</t>
        </is>
      </c>
      <c r="O10924" t="inlineStr">
        <is>
          <t>hypothetical protein XELAEV_18008043mg</t>
        </is>
      </c>
    </row>
    <row r="10925">
      <c r="A10925" t="inlineStr"/>
      <c r="B10925" t="inlineStr"/>
      <c r="C10925" t="inlineStr"/>
      <c r="D10925" t="inlineStr"/>
      <c r="E10925">
        <f>HYPERLINK("https://www.ncbi.nlm.nih.gov/gene/?term=XP_040183666.1", "XP_040183666.1")</f>
        <v/>
      </c>
      <c r="F10925" t="n">
        <v>38.4</v>
      </c>
      <c r="G10925" t="n">
        <v>146</v>
      </c>
      <c r="H10925" t="n">
        <v>4.92e-19</v>
      </c>
      <c r="I10925" t="inlineStr">
        <is>
          <t>Nr</t>
        </is>
      </c>
      <c r="J10925" t="inlineStr"/>
      <c r="K10925" t="inlineStr"/>
      <c r="L10925" t="inlineStr">
        <is>
          <t>XP_040183666.1 uncharacterized protein LOC120916795 [Rana temporaria]</t>
        </is>
      </c>
      <c r="M10925" t="n">
        <v>1424</v>
      </c>
      <c r="N10925" t="inlineStr">
        <is>
          <t>Rana temporaria</t>
        </is>
      </c>
      <c r="O10925" t="inlineStr">
        <is>
          <t>uncharacterized protein LOC120916795</t>
        </is>
      </c>
    </row>
    <row r="10926">
      <c r="A10926" t="inlineStr"/>
      <c r="B10926" t="inlineStr"/>
      <c r="C10926" t="inlineStr"/>
      <c r="D10926" t="inlineStr"/>
      <c r="E10926">
        <f>HYPERLINK("https://www.uniprot.org/uniprotkb/A0A6I8SMB5/entry", "A0A6I8SMB5")</f>
        <v/>
      </c>
      <c r="F10926" t="n">
        <v>41</v>
      </c>
      <c r="G10926" t="n">
        <v>117</v>
      </c>
      <c r="H10926" t="n">
        <v>1.49e-18</v>
      </c>
      <c r="I10926" t="inlineStr">
        <is>
          <t>TrEMBL</t>
        </is>
      </c>
      <c r="J10926" t="inlineStr"/>
      <c r="K10926" t="inlineStr">
        <is>
          <t>A0A6I8SMB5_XENTR</t>
        </is>
      </c>
      <c r="L10926" t="inlineStr">
        <is>
          <t>tr|A0A6I8SMB5|A0A6I8SMB5_XENTR LAP2alpha domain-containing protein OS=Xenopus tropicalis OX=8364 PE=4 SV=1</t>
        </is>
      </c>
      <c r="M10926" t="n">
        <v>498</v>
      </c>
      <c r="N10926" t="inlineStr">
        <is>
          <t>Xenopus tropicalis</t>
        </is>
      </c>
      <c r="O10926" t="inlineStr">
        <is>
          <t>LAP2alpha domain-containing protein</t>
        </is>
      </c>
    </row>
    <row r="10927">
      <c r="A10927" t="inlineStr"/>
      <c r="B10927" t="inlineStr"/>
      <c r="C10927" t="inlineStr"/>
      <c r="D10927" t="inlineStr"/>
      <c r="E10927">
        <f>HYPERLINK("https://www.ncbi.nlm.nih.gov/gene/?term=XP_040204899.1", "XP_040204899.1")</f>
        <v/>
      </c>
      <c r="F10927" t="n">
        <v>30.6</v>
      </c>
      <c r="G10927" t="n">
        <v>222</v>
      </c>
      <c r="H10927" t="n">
        <v>2.55e-18</v>
      </c>
      <c r="I10927" t="inlineStr">
        <is>
          <t>Nr</t>
        </is>
      </c>
      <c r="J10927" t="inlineStr"/>
      <c r="K10927" t="inlineStr"/>
      <c r="L10927" t="inlineStr">
        <is>
          <t>XP_040204899.1 uncharacterized protein LOC120936529 [Rana temporaria]</t>
        </is>
      </c>
      <c r="M10927" t="n">
        <v>608</v>
      </c>
      <c r="N10927" t="inlineStr">
        <is>
          <t>Rana temporaria</t>
        </is>
      </c>
      <c r="O10927" t="inlineStr">
        <is>
          <t>uncharacterized protein LOC120936529</t>
        </is>
      </c>
    </row>
    <row r="10928">
      <c r="A10928" t="inlineStr"/>
      <c r="B10928" t="inlineStr"/>
      <c r="C10928" t="inlineStr"/>
      <c r="D10928" t="inlineStr"/>
      <c r="E10928">
        <f>HYPERLINK("https://www.uniprot.org/uniprotkb/A0A8C5WDY6/entry", "A0A8C5WDY6")</f>
        <v/>
      </c>
      <c r="F10928" t="n">
        <v>32.4</v>
      </c>
      <c r="G10928" t="n">
        <v>179</v>
      </c>
      <c r="H10928" t="n">
        <v>6.48e-18</v>
      </c>
      <c r="I10928" t="inlineStr">
        <is>
          <t>TrEMBL</t>
        </is>
      </c>
      <c r="J10928" t="inlineStr"/>
      <c r="K10928" t="inlineStr">
        <is>
          <t>A0A8C5WDY6_9ANUR</t>
        </is>
      </c>
      <c r="L10928" t="inlineStr">
        <is>
          <t>tr|A0A8C5WDY6|A0A8C5WDY6_9ANUR Reverse transcriptase domain-containing protein OS=Leptobrachium leishanense OX=445787 PE=4 SV=1</t>
        </is>
      </c>
      <c r="M10928" t="n">
        <v>668</v>
      </c>
      <c r="N10928" t="inlineStr">
        <is>
          <t>Leptobrachium leishanense</t>
        </is>
      </c>
      <c r="O10928" t="inlineStr">
        <is>
          <t>Reverse transcriptase domain-containing protein</t>
        </is>
      </c>
    </row>
    <row r="10929">
      <c r="A10929" t="inlineStr"/>
      <c r="B10929" t="inlineStr"/>
      <c r="C10929" t="inlineStr"/>
      <c r="D10929" t="inlineStr"/>
      <c r="E10929">
        <f>HYPERLINK("https://www.uniprot.org/uniprotkb/A0A8C5PLW3/entry", "A0A8C5PLW3")</f>
        <v/>
      </c>
      <c r="F10929" t="n">
        <v>34.8</v>
      </c>
      <c r="G10929" t="n">
        <v>178</v>
      </c>
      <c r="H10929" t="n">
        <v>8.38e-18</v>
      </c>
      <c r="I10929" t="inlineStr">
        <is>
          <t>TrEMBL</t>
        </is>
      </c>
      <c r="J10929" t="inlineStr"/>
      <c r="K10929" t="inlineStr">
        <is>
          <t>A0A8C5PLW3_9ANUR</t>
        </is>
      </c>
      <c r="L10929" t="inlineStr">
        <is>
          <t>tr|A0A8C5PLW3|A0A8C5PLW3_9ANUR Reverse transcriptase domain-containing protein OS=Leptobrachium leishanense OX=445787 PE=4 SV=1</t>
        </is>
      </c>
      <c r="M10929" t="n">
        <v>594</v>
      </c>
      <c r="N10929" t="inlineStr">
        <is>
          <t>Leptobrachium leishanense</t>
        </is>
      </c>
      <c r="O10929" t="inlineStr">
        <is>
          <t>Reverse transcriptase domain-containing protein</t>
        </is>
      </c>
    </row>
    <row r="10930">
      <c r="A10930" t="inlineStr"/>
      <c r="B10930" t="inlineStr"/>
      <c r="C10930" t="inlineStr"/>
      <c r="D10930" t="inlineStr"/>
      <c r="E10930">
        <f>HYPERLINK("https://www.uniprot.org/uniprotkb/A0A8J1LCA1/entry", "A0A8J1LCA1")</f>
        <v/>
      </c>
      <c r="F10930" t="n">
        <v>36.8</v>
      </c>
      <c r="G10930" t="n">
        <v>117</v>
      </c>
      <c r="H10930" t="n">
        <v>8.61e-18</v>
      </c>
      <c r="I10930" t="inlineStr">
        <is>
          <t>TrEMBL</t>
        </is>
      </c>
      <c r="J10930" t="inlineStr">
        <is>
          <t>LOC121396066</t>
        </is>
      </c>
      <c r="K10930" t="inlineStr">
        <is>
          <t>A0A8J1LCA1_XENLA</t>
        </is>
      </c>
      <c r="L10930" t="inlineStr">
        <is>
          <t>tr|A0A8J1LCA1|A0A8J1LCA1_XENLA uncharacterized protein LOC121396066 OS=Xenopus laevis OX=8355 GN=LOC121396066 PE=4 SV=1</t>
        </is>
      </c>
      <c r="M10930" t="n">
        <v>390</v>
      </c>
      <c r="N10930" t="inlineStr">
        <is>
          <t>Xenopus laevis</t>
        </is>
      </c>
      <c r="O10930" t="inlineStr">
        <is>
          <t>uncharacterized protein LOC121396066</t>
        </is>
      </c>
    </row>
    <row r="10931">
      <c r="A10931" t="inlineStr"/>
      <c r="B10931" t="inlineStr"/>
      <c r="C10931" t="inlineStr"/>
      <c r="D10931" t="inlineStr"/>
      <c r="E10931">
        <f>HYPERLINK("https://www.uniprot.org/uniprotkb/A0A8J1L557/entry", "A0A8J1L557")</f>
        <v/>
      </c>
      <c r="F10931" t="n">
        <v>42.7</v>
      </c>
      <c r="G10931" t="n">
        <v>124</v>
      </c>
      <c r="H10931" t="n">
        <v>9.97e-18</v>
      </c>
      <c r="I10931" t="inlineStr">
        <is>
          <t>TrEMBL</t>
        </is>
      </c>
      <c r="J10931" t="inlineStr">
        <is>
          <t>LOC121395370</t>
        </is>
      </c>
      <c r="K10931" t="inlineStr">
        <is>
          <t>A0A8J1L557_XENLA</t>
        </is>
      </c>
      <c r="L10931" t="inlineStr">
        <is>
          <t>tr|A0A8J1L557|A0A8J1L557_XENLA lamina-associated polypeptide 2, isoforms alpha/zeta-like OS=Xenopus laevis OX=8355 GN=LOC121395370 PE=4 SV=1</t>
        </is>
      </c>
      <c r="M10931" t="n">
        <v>506</v>
      </c>
      <c r="N10931" t="inlineStr">
        <is>
          <t>Xenopus laevis</t>
        </is>
      </c>
      <c r="O10931" t="inlineStr">
        <is>
          <t>lamina-associated polypeptide 2, isoforms alpha/zeta-like</t>
        </is>
      </c>
    </row>
    <row r="10932">
      <c r="A10932" t="inlineStr"/>
      <c r="B10932" t="inlineStr"/>
      <c r="C10932" t="inlineStr"/>
      <c r="D10932" t="inlineStr"/>
      <c r="E10932">
        <f>HYPERLINK("https://www.uniprot.org/uniprotkb/A0A8J1MEF7/entry", "A0A8J1MEF7")</f>
        <v/>
      </c>
      <c r="F10932" t="n">
        <v>36.8</v>
      </c>
      <c r="G10932" t="n">
        <v>117</v>
      </c>
      <c r="H10932" t="n">
        <v>1.18e-17</v>
      </c>
      <c r="I10932" t="inlineStr">
        <is>
          <t>TrEMBL</t>
        </is>
      </c>
      <c r="J10932" t="inlineStr">
        <is>
          <t>LOC121400600</t>
        </is>
      </c>
      <c r="K10932" t="inlineStr">
        <is>
          <t>A0A8J1MEF7_XENLA</t>
        </is>
      </c>
      <c r="L10932" t="inlineStr">
        <is>
          <t>tr|A0A8J1MEF7|A0A8J1MEF7_XENLA uncharacterized protein LOC121399189 OS=Xenopus laevis OX=8355 GN=LOC121400600 PE=4 SV=1</t>
        </is>
      </c>
      <c r="M10932" t="n">
        <v>450</v>
      </c>
      <c r="N10932" t="inlineStr">
        <is>
          <t>Xenopus laevis</t>
        </is>
      </c>
      <c r="O10932" t="inlineStr">
        <is>
          <t>uncharacterized protein LOC121399189</t>
        </is>
      </c>
    </row>
    <row r="10933">
      <c r="A10933" t="inlineStr"/>
      <c r="B10933" t="inlineStr"/>
      <c r="C10933" t="inlineStr"/>
      <c r="D10933" t="inlineStr"/>
      <c r="E10933">
        <f>HYPERLINK("https://www.uniprot.org/uniprotkb/A0A8J1LMM9/entry", "A0A8J1LMM9")</f>
        <v/>
      </c>
      <c r="F10933" t="n">
        <v>36.8</v>
      </c>
      <c r="G10933" t="n">
        <v>117</v>
      </c>
      <c r="H10933" t="n">
        <v>1.23e-17</v>
      </c>
      <c r="I10933" t="inlineStr">
        <is>
          <t>TrEMBL</t>
        </is>
      </c>
      <c r="J10933" t="inlineStr">
        <is>
          <t>LOC121397579</t>
        </is>
      </c>
      <c r="K10933" t="inlineStr">
        <is>
          <t>A0A8J1LMM9_XENLA</t>
        </is>
      </c>
      <c r="L10933" t="inlineStr">
        <is>
          <t>tr|A0A8J1LMM9|A0A8J1LMM9_XENLA uncharacterized protein LOC121397579 isoform X2 OS=Xenopus laevis OX=8355 GN=LOC121397579 PE=4 SV=1</t>
        </is>
      </c>
      <c r="M10933" t="n">
        <v>464</v>
      </c>
      <c r="N10933" t="inlineStr">
        <is>
          <t>Xenopus laevis</t>
        </is>
      </c>
      <c r="O10933" t="inlineStr">
        <is>
          <t>uncharacterized protein LOC121397579 isoform X2</t>
        </is>
      </c>
    </row>
    <row r="10934">
      <c r="A10934" t="inlineStr"/>
      <c r="B10934" t="inlineStr"/>
      <c r="C10934" t="inlineStr"/>
      <c r="D10934" t="inlineStr"/>
      <c r="E10934">
        <f>HYPERLINK("https://www.uniprot.org/uniprotkb/A0A8J1KT47/entry", "A0A8J1KT47")</f>
        <v/>
      </c>
      <c r="F10934" t="n">
        <v>36.8</v>
      </c>
      <c r="G10934" t="n">
        <v>117</v>
      </c>
      <c r="H10934" t="n">
        <v>1.23e-17</v>
      </c>
      <c r="I10934" t="inlineStr">
        <is>
          <t>TrEMBL</t>
        </is>
      </c>
      <c r="J10934" t="inlineStr">
        <is>
          <t>LOC121394217</t>
        </is>
      </c>
      <c r="K10934" t="inlineStr">
        <is>
          <t>A0A8J1KT47_XENLA</t>
        </is>
      </c>
      <c r="L10934" t="inlineStr">
        <is>
          <t>tr|A0A8J1KT47|A0A8J1KT47_XENLA uncharacterized protein LOC121394217 isoform X2 OS=Xenopus laevis OX=8355 GN=LOC121394217 PE=4 SV=1</t>
        </is>
      </c>
      <c r="M10934" t="n">
        <v>464</v>
      </c>
      <c r="N10934" t="inlineStr">
        <is>
          <t>Xenopus laevis</t>
        </is>
      </c>
      <c r="O10934" t="inlineStr">
        <is>
          <t>uncharacterized protein LOC121394217 isoform X2</t>
        </is>
      </c>
    </row>
    <row r="10935">
      <c r="A10935" t="inlineStr"/>
      <c r="B10935" t="inlineStr"/>
      <c r="C10935" t="inlineStr"/>
      <c r="D10935" t="inlineStr"/>
      <c r="E10935">
        <f>HYPERLINK("https://www.uniprot.org/uniprotkb/A0A8J1KTA1/entry", "A0A8J1KTA1")</f>
        <v/>
      </c>
      <c r="F10935" t="n">
        <v>36.8</v>
      </c>
      <c r="G10935" t="n">
        <v>117</v>
      </c>
      <c r="H10935" t="n">
        <v>1.23e-17</v>
      </c>
      <c r="I10935" t="inlineStr">
        <is>
          <t>TrEMBL</t>
        </is>
      </c>
      <c r="J10935" t="inlineStr">
        <is>
          <t>LOC121394228</t>
        </is>
      </c>
      <c r="K10935" t="inlineStr">
        <is>
          <t>A0A8J1KTA1_XENLA</t>
        </is>
      </c>
      <c r="L10935" t="inlineStr">
        <is>
          <t>tr|A0A8J1KTA1|A0A8J1KTA1_XENLA uncharacterized protein LOC121394228 isoform X2 OS=Xenopus laevis OX=8355 GN=LOC121394228 PE=4 SV=1</t>
        </is>
      </c>
      <c r="M10935" t="n">
        <v>464</v>
      </c>
      <c r="N10935" t="inlineStr">
        <is>
          <t>Xenopus laevis</t>
        </is>
      </c>
      <c r="O10935" t="inlineStr">
        <is>
          <t>uncharacterized protein LOC121394228 isoform X2</t>
        </is>
      </c>
    </row>
    <row r="10936">
      <c r="A10936" t="inlineStr"/>
      <c r="B10936" t="inlineStr"/>
      <c r="C10936" t="inlineStr"/>
      <c r="D10936" t="inlineStr"/>
      <c r="E10936">
        <f>HYPERLINK("https://www.uniprot.org/uniprotkb/A0A8J1MEG2/entry", "A0A8J1MEG2")</f>
        <v/>
      </c>
      <c r="F10936" t="n">
        <v>36.8</v>
      </c>
      <c r="G10936" t="n">
        <v>117</v>
      </c>
      <c r="H10936" t="n">
        <v>1.32e-17</v>
      </c>
      <c r="I10936" t="inlineStr">
        <is>
          <t>TrEMBL</t>
        </is>
      </c>
      <c r="J10936" t="inlineStr">
        <is>
          <t>LOC121400601</t>
        </is>
      </c>
      <c r="K10936" t="inlineStr">
        <is>
          <t>A0A8J1MEG2_XENLA</t>
        </is>
      </c>
      <c r="L10936" t="inlineStr">
        <is>
          <t>tr|A0A8J1MEG2|A0A8J1MEG2_XENLA uncharacterized protein LOC121397579 isoform X1 OS=Xenopus laevis OX=8355 GN=LOC121400601 PE=4 SV=1</t>
        </is>
      </c>
      <c r="M10936" t="n">
        <v>490</v>
      </c>
      <c r="N10936" t="inlineStr">
        <is>
          <t>Xenopus laevis</t>
        </is>
      </c>
      <c r="O10936" t="inlineStr">
        <is>
          <t>uncharacterized protein LOC121397579 isoform X1</t>
        </is>
      </c>
    </row>
    <row r="10937">
      <c r="A10937" t="inlineStr"/>
      <c r="B10937" t="inlineStr"/>
      <c r="C10937" t="inlineStr"/>
      <c r="D10937" t="inlineStr"/>
      <c r="E10937">
        <f>HYPERLINK("https://www.uniprot.org/uniprotkb/A0A8J1KT66/entry", "A0A8J1KT66")</f>
        <v/>
      </c>
      <c r="F10937" t="n">
        <v>36.8</v>
      </c>
      <c r="G10937" t="n">
        <v>117</v>
      </c>
      <c r="H10937" t="n">
        <v>1.32e-17</v>
      </c>
      <c r="I10937" t="inlineStr">
        <is>
          <t>TrEMBL</t>
        </is>
      </c>
      <c r="J10937" t="inlineStr">
        <is>
          <t>LOC121394217</t>
        </is>
      </c>
      <c r="K10937" t="inlineStr">
        <is>
          <t>A0A8J1KT66_XENLA</t>
        </is>
      </c>
      <c r="L10937" t="inlineStr">
        <is>
          <t>tr|A0A8J1KT66|A0A8J1KT66_XENLA uncharacterized protein LOC121394217 isoform X1 OS=Xenopus laevis OX=8355 GN=LOC121394217 PE=4 SV=1</t>
        </is>
      </c>
      <c r="M10937" t="n">
        <v>490</v>
      </c>
      <c r="N10937" t="inlineStr">
        <is>
          <t>Xenopus laevis</t>
        </is>
      </c>
      <c r="O10937" t="inlineStr">
        <is>
          <t>uncharacterized protein LOC121394217 isoform X1</t>
        </is>
      </c>
    </row>
    <row r="10938">
      <c r="A10938" t="inlineStr"/>
      <c r="B10938" t="inlineStr"/>
      <c r="C10938" t="inlineStr"/>
      <c r="D10938" t="inlineStr"/>
      <c r="E10938">
        <f>HYPERLINK("https://www.uniprot.org/uniprotkb/A0A8J1KT93/entry", "A0A8J1KT93")</f>
        <v/>
      </c>
      <c r="F10938" t="n">
        <v>36.8</v>
      </c>
      <c r="G10938" t="n">
        <v>117</v>
      </c>
      <c r="H10938" t="n">
        <v>1.32e-17</v>
      </c>
      <c r="I10938" t="inlineStr">
        <is>
          <t>TrEMBL</t>
        </is>
      </c>
      <c r="J10938" t="inlineStr">
        <is>
          <t>LOC121394228</t>
        </is>
      </c>
      <c r="K10938" t="inlineStr">
        <is>
          <t>A0A8J1KT93_XENLA</t>
        </is>
      </c>
      <c r="L10938" t="inlineStr">
        <is>
          <t>tr|A0A8J1KT93|A0A8J1KT93_XENLA uncharacterized protein LOC121394228 isoform X1 OS=Xenopus laevis OX=8355 GN=LOC121394228 PE=4 SV=1</t>
        </is>
      </c>
      <c r="M10938" t="n">
        <v>490</v>
      </c>
      <c r="N10938" t="inlineStr">
        <is>
          <t>Xenopus laevis</t>
        </is>
      </c>
      <c r="O10938" t="inlineStr">
        <is>
          <t>uncharacterized protein LOC121394228 isoform X1</t>
        </is>
      </c>
    </row>
    <row r="10939">
      <c r="A10939" t="inlineStr"/>
      <c r="B10939" t="inlineStr"/>
      <c r="C10939" t="inlineStr"/>
      <c r="D10939" t="inlineStr"/>
      <c r="E10939">
        <f>HYPERLINK("https://www.ncbi.nlm.nih.gov/gene/?term=XP_040260923.1", "XP_040260923.1")</f>
        <v/>
      </c>
      <c r="F10939" t="n">
        <v>35.7</v>
      </c>
      <c r="G10939" t="n">
        <v>140</v>
      </c>
      <c r="H10939" t="n">
        <v>2.06e-17</v>
      </c>
      <c r="I10939" t="inlineStr">
        <is>
          <t>Nr</t>
        </is>
      </c>
      <c r="J10939" t="inlineStr"/>
      <c r="K10939" t="inlineStr"/>
      <c r="L10939" t="inlineStr">
        <is>
          <t>XP_040260923.1 uncharacterized protein LOC120977182 [Bufo bufo]</t>
        </is>
      </c>
      <c r="M10939" t="n">
        <v>282</v>
      </c>
      <c r="N10939" t="inlineStr">
        <is>
          <t>Bufo bufo</t>
        </is>
      </c>
      <c r="O10939" t="inlineStr">
        <is>
          <t>uncharacterized protein LOC120977182</t>
        </is>
      </c>
    </row>
    <row r="10940">
      <c r="A10940" t="inlineStr"/>
      <c r="B10940" t="inlineStr"/>
      <c r="C10940" t="inlineStr"/>
      <c r="D10940" t="inlineStr"/>
      <c r="E10940">
        <f>HYPERLINK("https://www.ncbi.nlm.nih.gov/gene/?term=XP_041426594.1", "XP_041426594.1")</f>
        <v/>
      </c>
      <c r="F10940" t="n">
        <v>36.8</v>
      </c>
      <c r="G10940" t="n">
        <v>117</v>
      </c>
      <c r="H10940" t="n">
        <v>2.21e-17</v>
      </c>
      <c r="I10940" t="inlineStr">
        <is>
          <t>Nr</t>
        </is>
      </c>
      <c r="J10940" t="inlineStr"/>
      <c r="K10940" t="inlineStr"/>
      <c r="L10940" t="inlineStr">
        <is>
          <t>XP_041426594.1 uncharacterized protein LOC121396066 [Xenopus laevis]</t>
        </is>
      </c>
      <c r="M10940" t="n">
        <v>390</v>
      </c>
      <c r="N10940" t="inlineStr">
        <is>
          <t>Xenopus laevis</t>
        </is>
      </c>
      <c r="O10940" t="inlineStr">
        <is>
          <t>uncharacterized protein LOC121396066</t>
        </is>
      </c>
    </row>
    <row r="10941">
      <c r="A10941" t="inlineStr"/>
      <c r="B10941" t="inlineStr"/>
      <c r="C10941" t="inlineStr"/>
      <c r="D10941" t="inlineStr"/>
      <c r="E10941">
        <f>HYPERLINK("https://www.uniprot.org/uniprotkb/A0A8C5QEN8/entry", "A0A8C5QEN8")</f>
        <v/>
      </c>
      <c r="F10941" t="n">
        <v>31.2</v>
      </c>
      <c r="G10941" t="n">
        <v>189</v>
      </c>
      <c r="H10941" t="n">
        <v>2.3e-17</v>
      </c>
      <c r="I10941" t="inlineStr">
        <is>
          <t>TrEMBL</t>
        </is>
      </c>
      <c r="J10941" t="inlineStr"/>
      <c r="K10941" t="inlineStr">
        <is>
          <t>A0A8C5QEN8_9ANUR</t>
        </is>
      </c>
      <c r="L10941" t="inlineStr">
        <is>
          <t>tr|A0A8C5QEN8|A0A8C5QEN8_9ANUR Reverse transcriptase domain-containing protein OS=Leptobrachium leishanense OX=445787 PE=4 SV=1</t>
        </is>
      </c>
      <c r="M10941" t="n">
        <v>780</v>
      </c>
      <c r="N10941" t="inlineStr">
        <is>
          <t>Leptobrachium leishanense</t>
        </is>
      </c>
      <c r="O10941" t="inlineStr">
        <is>
          <t>Reverse transcriptase domain-containing protein</t>
        </is>
      </c>
    </row>
    <row r="10942">
      <c r="A10942" t="inlineStr"/>
      <c r="B10942" t="inlineStr"/>
      <c r="C10942" t="inlineStr"/>
      <c r="D10942" t="inlineStr"/>
      <c r="E10942">
        <f>HYPERLINK("https://www.uniprot.org/uniprotkb/A0A8J1MKE6/entry", "A0A8J1MKE6")</f>
        <v/>
      </c>
      <c r="F10942" t="n">
        <v>36.8</v>
      </c>
      <c r="G10942" t="n">
        <v>117</v>
      </c>
      <c r="H10942" t="n">
        <v>2.32e-17</v>
      </c>
      <c r="I10942" t="inlineStr">
        <is>
          <t>TrEMBL</t>
        </is>
      </c>
      <c r="J10942" t="inlineStr">
        <is>
          <t>LOC121401378</t>
        </is>
      </c>
      <c r="K10942" t="inlineStr">
        <is>
          <t>A0A8J1MKE6_XENLA</t>
        </is>
      </c>
      <c r="L10942" t="inlineStr">
        <is>
          <t>tr|A0A8J1MKE6|A0A8J1MKE6_XENLA uncharacterized protein LOC121401378 isoform X2 OS=Xenopus laevis OX=8355 GN=LOC121401378 PE=4 SV=1</t>
        </is>
      </c>
      <c r="M10942" t="n">
        <v>464</v>
      </c>
      <c r="N10942" t="inlineStr">
        <is>
          <t>Xenopus laevis</t>
        </is>
      </c>
      <c r="O10942" t="inlineStr">
        <is>
          <t>uncharacterized protein LOC121401378 isoform X2</t>
        </is>
      </c>
    </row>
    <row r="10943">
      <c r="A10943" t="inlineStr"/>
      <c r="B10943" t="inlineStr"/>
      <c r="C10943" t="inlineStr"/>
      <c r="D10943" t="inlineStr"/>
      <c r="E10943">
        <f>HYPERLINK("https://www.uniprot.org/uniprotkb/A0A8J1LF15/entry", "A0A8J1LF15")</f>
        <v/>
      </c>
      <c r="F10943" t="n">
        <v>36.8</v>
      </c>
      <c r="G10943" t="n">
        <v>117</v>
      </c>
      <c r="H10943" t="n">
        <v>2.48e-17</v>
      </c>
      <c r="I10943" t="inlineStr">
        <is>
          <t>TrEMBL</t>
        </is>
      </c>
      <c r="J10943" t="inlineStr">
        <is>
          <t>LOC121396587</t>
        </is>
      </c>
      <c r="K10943" t="inlineStr">
        <is>
          <t>A0A8J1LF15_XENLA</t>
        </is>
      </c>
      <c r="L10943" t="inlineStr">
        <is>
          <t>tr|A0A8J1LF15|A0A8J1LF15_XENLA uncharacterized protein LOC121396587 OS=Xenopus laevis OX=8355 GN=LOC121396587 PE=4 SV=1</t>
        </is>
      </c>
      <c r="M10943" t="n">
        <v>490</v>
      </c>
      <c r="N10943" t="inlineStr">
        <is>
          <t>Xenopus laevis</t>
        </is>
      </c>
      <c r="O10943" t="inlineStr">
        <is>
          <t>uncharacterized protein LOC121396587</t>
        </is>
      </c>
    </row>
    <row r="10944">
      <c r="A10944" t="inlineStr"/>
      <c r="B10944" t="inlineStr"/>
      <c r="C10944" t="inlineStr"/>
      <c r="D10944" t="inlineStr"/>
      <c r="E10944">
        <f>HYPERLINK("https://www.ncbi.nlm.nih.gov/gene/?term=XP_041424692.1", "XP_041424692.1")</f>
        <v/>
      </c>
      <c r="F10944" t="n">
        <v>42.7</v>
      </c>
      <c r="G10944" t="n">
        <v>124</v>
      </c>
      <c r="H10944" t="n">
        <v>2.56e-17</v>
      </c>
      <c r="I10944" t="inlineStr">
        <is>
          <t>Nr</t>
        </is>
      </c>
      <c r="J10944" t="inlineStr"/>
      <c r="K10944" t="inlineStr"/>
      <c r="L10944" t="inlineStr">
        <is>
          <t>XP_041424692.1 lamina-associated polypeptide 2, isoforms alpha/zeta-like [Xenopus laevis]</t>
        </is>
      </c>
      <c r="M10944" t="n">
        <v>506</v>
      </c>
      <c r="N10944" t="inlineStr">
        <is>
          <t>Xenopus laevis</t>
        </is>
      </c>
      <c r="O10944" t="inlineStr">
        <is>
          <t>lamina-associated polypeptide 2, isoforms alpha/zeta-like</t>
        </is>
      </c>
    </row>
    <row r="10945">
      <c r="A10945" t="inlineStr"/>
      <c r="B10945" t="inlineStr"/>
      <c r="C10945" t="inlineStr"/>
      <c r="D10945" t="inlineStr"/>
      <c r="E10945">
        <f>HYPERLINK("https://www.ncbi.nlm.nih.gov/gene/?term=XP_041435114.1", "XP_041435114.1")</f>
        <v/>
      </c>
      <c r="F10945" t="n">
        <v>36.8</v>
      </c>
      <c r="G10945" t="n">
        <v>117</v>
      </c>
      <c r="H10945" t="n">
        <v>3.02e-17</v>
      </c>
      <c r="I10945" t="inlineStr">
        <is>
          <t>Nr</t>
        </is>
      </c>
      <c r="J10945" t="inlineStr"/>
      <c r="K10945" t="inlineStr"/>
      <c r="L10945" t="inlineStr">
        <is>
          <t>XP_041435114.1 uncharacterized protein LOC121399189 [Xenopus laevis]</t>
        </is>
      </c>
      <c r="M10945" t="n">
        <v>450</v>
      </c>
      <c r="N10945" t="inlineStr">
        <is>
          <t>Xenopus laevis</t>
        </is>
      </c>
      <c r="O10945" t="inlineStr">
        <is>
          <t>uncharacterized protein LOC121399189</t>
        </is>
      </c>
    </row>
    <row r="10946">
      <c r="A10946" t="inlineStr"/>
      <c r="B10946" t="inlineStr"/>
      <c r="C10946" t="inlineStr"/>
      <c r="D10946" t="inlineStr"/>
      <c r="E10946">
        <f>HYPERLINK("https://www.ncbi.nlm.nih.gov/gene/?term=XP_041430451.1", "XP_041430451.1")</f>
        <v/>
      </c>
      <c r="F10946" t="n">
        <v>36.8</v>
      </c>
      <c r="G10946" t="n">
        <v>117</v>
      </c>
      <c r="H10946" t="n">
        <v>3.17e-17</v>
      </c>
      <c r="I10946" t="inlineStr">
        <is>
          <t>Nr</t>
        </is>
      </c>
      <c r="J10946" t="inlineStr"/>
      <c r="K10946" t="inlineStr"/>
      <c r="L10946" t="inlineStr">
        <is>
          <t>XP_041430451.1 uncharacterized protein LOC121397579 isoform X2 [Xenopus laevis]</t>
        </is>
      </c>
      <c r="M10946" t="n">
        <v>464</v>
      </c>
      <c r="N10946" t="inlineStr">
        <is>
          <t>Xenopus laevis</t>
        </is>
      </c>
      <c r="O10946" t="inlineStr">
        <is>
          <t>uncharacterized protein LOC121397579 isoform X2</t>
        </is>
      </c>
    </row>
    <row r="10947">
      <c r="A10947" t="inlineStr"/>
      <c r="B10947" t="inlineStr"/>
      <c r="C10947" t="inlineStr"/>
      <c r="D10947" t="inlineStr"/>
      <c r="E10947">
        <f>HYPERLINK("https://www.ncbi.nlm.nih.gov/gene/?term=XP_041420536.1", "XP_041420536.1")</f>
        <v/>
      </c>
      <c r="F10947" t="n">
        <v>36.8</v>
      </c>
      <c r="G10947" t="n">
        <v>117</v>
      </c>
      <c r="H10947" t="n">
        <v>3.17e-17</v>
      </c>
      <c r="I10947" t="inlineStr">
        <is>
          <t>Nr</t>
        </is>
      </c>
      <c r="J10947" t="inlineStr"/>
      <c r="K10947" t="inlineStr"/>
      <c r="L10947" t="inlineStr">
        <is>
          <t>XP_041420536.1 uncharacterized protein LOC121394228 isoform X2 [Xenopus laevis]</t>
        </is>
      </c>
      <c r="M10947" t="n">
        <v>464</v>
      </c>
      <c r="N10947" t="inlineStr">
        <is>
          <t>Xenopus laevis</t>
        </is>
      </c>
      <c r="O10947" t="inlineStr">
        <is>
          <t>uncharacterized protein LOC121394228 isoform X2</t>
        </is>
      </c>
    </row>
    <row r="10948">
      <c r="A10948" t="inlineStr"/>
      <c r="B10948" t="inlineStr"/>
      <c r="C10948" t="inlineStr"/>
      <c r="D10948" t="inlineStr"/>
      <c r="E10948">
        <f>HYPERLINK("https://www.ncbi.nlm.nih.gov/gene/?term=XP_041420502.1", "XP_041420502.1")</f>
        <v/>
      </c>
      <c r="F10948" t="n">
        <v>36.8</v>
      </c>
      <c r="G10948" t="n">
        <v>117</v>
      </c>
      <c r="H10948" t="n">
        <v>3.17e-17</v>
      </c>
      <c r="I10948" t="inlineStr">
        <is>
          <t>Nr</t>
        </is>
      </c>
      <c r="J10948" t="inlineStr"/>
      <c r="K10948" t="inlineStr"/>
      <c r="L10948" t="inlineStr">
        <is>
          <t>XP_041420502.1 uncharacterized protein LOC121394217 isoform X2 [Xenopus laevis]</t>
        </is>
      </c>
      <c r="M10948" t="n">
        <v>464</v>
      </c>
      <c r="N10948" t="inlineStr">
        <is>
          <t>Xenopus laevis</t>
        </is>
      </c>
      <c r="O10948" t="inlineStr">
        <is>
          <t>uncharacterized protein LOC121394217 isoform X2</t>
        </is>
      </c>
    </row>
    <row r="10949">
      <c r="A10949" t="inlineStr"/>
      <c r="B10949" t="inlineStr"/>
      <c r="C10949" t="inlineStr"/>
      <c r="D10949" t="inlineStr"/>
      <c r="E10949">
        <f>HYPERLINK("https://www.ncbi.nlm.nih.gov/gene/?term=XP_041420535.1", "XP_041420535.1")</f>
        <v/>
      </c>
      <c r="F10949" t="n">
        <v>36.8</v>
      </c>
      <c r="G10949" t="n">
        <v>117</v>
      </c>
      <c r="H10949" t="n">
        <v>3.4e-17</v>
      </c>
      <c r="I10949" t="inlineStr">
        <is>
          <t>Nr</t>
        </is>
      </c>
      <c r="J10949" t="inlineStr"/>
      <c r="K10949" t="inlineStr"/>
      <c r="L10949" t="inlineStr">
        <is>
          <t>XP_041420535.1 uncharacterized protein LOC121394228 isoform X1 [Xenopus laevis]</t>
        </is>
      </c>
      <c r="M10949" t="n">
        <v>490</v>
      </c>
      <c r="N10949" t="inlineStr">
        <is>
          <t>Xenopus laevis</t>
        </is>
      </c>
      <c r="O10949" t="inlineStr">
        <is>
          <t>uncharacterized protein LOC121394228 isoform X1</t>
        </is>
      </c>
    </row>
    <row r="10950">
      <c r="A10950" t="inlineStr"/>
      <c r="B10950" t="inlineStr"/>
      <c r="C10950" t="inlineStr"/>
      <c r="D10950" t="inlineStr"/>
      <c r="E10950">
        <f>HYPERLINK("https://www.ncbi.nlm.nih.gov/gene/?term=XP_041430450.1", "XP_041430450.1")</f>
        <v/>
      </c>
      <c r="F10950" t="n">
        <v>36.8</v>
      </c>
      <c r="G10950" t="n">
        <v>117</v>
      </c>
      <c r="H10950" t="n">
        <v>3.4e-17</v>
      </c>
      <c r="I10950" t="inlineStr">
        <is>
          <t>Nr</t>
        </is>
      </c>
      <c r="J10950" t="inlineStr"/>
      <c r="K10950" t="inlineStr"/>
      <c r="L10950" t="inlineStr">
        <is>
          <t>XP_041430450.1 uncharacterized protein LOC121397579 isoform X1 [Xenopus laevis]</t>
        </is>
      </c>
      <c r="M10950" t="n">
        <v>490</v>
      </c>
      <c r="N10950" t="inlineStr">
        <is>
          <t>Xenopus laevis</t>
        </is>
      </c>
      <c r="O10950" t="inlineStr">
        <is>
          <t>uncharacterized protein LOC121397579 isoform X1</t>
        </is>
      </c>
    </row>
    <row r="10951">
      <c r="A10951" t="inlineStr"/>
      <c r="B10951" t="inlineStr"/>
      <c r="C10951" t="inlineStr"/>
      <c r="D10951" t="inlineStr"/>
      <c r="E10951">
        <f>HYPERLINK("https://www.ncbi.nlm.nih.gov/gene/?term=XP_041420501.1", "XP_041420501.1")</f>
        <v/>
      </c>
      <c r="F10951" t="n">
        <v>36.8</v>
      </c>
      <c r="G10951" t="n">
        <v>117</v>
      </c>
      <c r="H10951" t="n">
        <v>3.4e-17</v>
      </c>
      <c r="I10951" t="inlineStr">
        <is>
          <t>Nr</t>
        </is>
      </c>
      <c r="J10951" t="inlineStr"/>
      <c r="K10951" t="inlineStr"/>
      <c r="L10951" t="inlineStr">
        <is>
          <t>XP_041420501.1 uncharacterized protein LOC121394217 isoform X1 [Xenopus laevis]</t>
        </is>
      </c>
      <c r="M10951" t="n">
        <v>490</v>
      </c>
      <c r="N10951" t="inlineStr">
        <is>
          <t>Xenopus laevis</t>
        </is>
      </c>
      <c r="O10951" t="inlineStr">
        <is>
          <t>uncharacterized protein LOC121394217 isoform X1</t>
        </is>
      </c>
    </row>
    <row r="10952">
      <c r="A10952" t="inlineStr"/>
      <c r="B10952" t="inlineStr"/>
      <c r="C10952" t="inlineStr"/>
      <c r="D10952" t="inlineStr"/>
      <c r="E10952">
        <f>HYPERLINK("https://www.uniprot.org/uniprotkb/A0A8J1MZ44/entry", "A0A8J1MZ44")</f>
        <v/>
      </c>
      <c r="F10952" t="n">
        <v>36.9</v>
      </c>
      <c r="G10952" t="n">
        <v>122</v>
      </c>
      <c r="H10952" t="n">
        <v>3.97e-17</v>
      </c>
      <c r="I10952" t="inlineStr">
        <is>
          <t>TrEMBL</t>
        </is>
      </c>
      <c r="J10952" t="inlineStr">
        <is>
          <t>LOC121403038</t>
        </is>
      </c>
      <c r="K10952" t="inlineStr">
        <is>
          <t>A0A8J1MZ44_XENLA</t>
        </is>
      </c>
      <c r="L10952" t="inlineStr">
        <is>
          <t>tr|A0A8J1MZ44|A0A8J1MZ44_XENLA ribonuclease H OS=Xenopus laevis OX=8355 GN=LOC121403038 PE=3 SV=1</t>
        </is>
      </c>
      <c r="M10952" t="n">
        <v>852</v>
      </c>
      <c r="N10952" t="inlineStr">
        <is>
          <t>Xenopus laevis</t>
        </is>
      </c>
      <c r="O10952" t="inlineStr">
        <is>
          <t>ribonuclease H</t>
        </is>
      </c>
    </row>
    <row r="10953">
      <c r="A10953" t="inlineStr"/>
      <c r="B10953" t="inlineStr"/>
      <c r="C10953" t="inlineStr"/>
      <c r="D10953" t="inlineStr"/>
      <c r="E10953">
        <f>HYPERLINK("https://www.uniprot.org/uniprotkb/A0A8C5Q1A3/entry", "A0A8C5Q1A3")</f>
        <v/>
      </c>
      <c r="F10953" t="n">
        <v>30.5</v>
      </c>
      <c r="G10953" t="n">
        <v>213</v>
      </c>
      <c r="H10953" t="n">
        <v>4.12e-17</v>
      </c>
      <c r="I10953" t="inlineStr">
        <is>
          <t>TrEMBL</t>
        </is>
      </c>
      <c r="J10953" t="inlineStr"/>
      <c r="K10953" t="inlineStr">
        <is>
          <t>A0A8C5Q1A3_9ANUR</t>
        </is>
      </c>
      <c r="L10953" t="inlineStr">
        <is>
          <t>tr|A0A8C5Q1A3|A0A8C5Q1A3_9ANUR Reverse transcriptase domain-containing protein OS=Leptobrachium leishanense OX=445787 PE=4 SV=1</t>
        </is>
      </c>
      <c r="M10953" t="n">
        <v>706</v>
      </c>
      <c r="N10953" t="inlineStr">
        <is>
          <t>Leptobrachium leishanense</t>
        </is>
      </c>
      <c r="O10953" t="inlineStr">
        <is>
          <t>Reverse transcriptase domain-containing protein</t>
        </is>
      </c>
    </row>
    <row r="10954">
      <c r="A10954" t="inlineStr"/>
      <c r="B10954" t="inlineStr"/>
      <c r="C10954" t="inlineStr"/>
      <c r="D10954" t="inlineStr"/>
      <c r="E10954">
        <f>HYPERLINK("https://www.ncbi.nlm.nih.gov/gene/?term=OCU02648.1", "OCU02648.1")</f>
        <v/>
      </c>
      <c r="F10954" t="n">
        <v>29.8</v>
      </c>
      <c r="G10954" t="n">
        <v>215</v>
      </c>
      <c r="H10954" t="n">
        <v>4.5e-17</v>
      </c>
      <c r="I10954" t="inlineStr">
        <is>
          <t>Nr</t>
        </is>
      </c>
      <c r="J10954" t="inlineStr"/>
      <c r="K10954" t="inlineStr"/>
      <c r="L10954" t="inlineStr">
        <is>
          <t>OCU02648.1 hypothetical protein XELAEV_18008412mg [Xenopus laevis]</t>
        </is>
      </c>
      <c r="M10954" t="n">
        <v>374</v>
      </c>
      <c r="N10954" t="inlineStr">
        <is>
          <t>Xenopus laevis</t>
        </is>
      </c>
      <c r="O10954" t="inlineStr">
        <is>
          <t>hypothetical protein XELAEV_18008412mg</t>
        </is>
      </c>
    </row>
    <row r="10955">
      <c r="A10955" t="inlineStr"/>
      <c r="B10955" t="inlineStr"/>
      <c r="C10955" t="inlineStr"/>
      <c r="D10955" t="inlineStr"/>
      <c r="E10955">
        <f>HYPERLINK("https://www.ncbi.nlm.nih.gov/gene/?term=CAH2329928.1", "CAH2329928.1")</f>
        <v/>
      </c>
      <c r="F10955" t="n">
        <v>29.4</v>
      </c>
      <c r="G10955" t="n">
        <v>214</v>
      </c>
      <c r="H10955" t="n">
        <v>5.02e-17</v>
      </c>
      <c r="I10955" t="inlineStr">
        <is>
          <t>Nr</t>
        </is>
      </c>
      <c r="J10955" t="inlineStr"/>
      <c r="K10955" t="inlineStr"/>
      <c r="L10955" t="inlineStr">
        <is>
          <t>CAH2329928.1 Hypothetical predicted protein, partial [Pelobates cultripes]</t>
        </is>
      </c>
      <c r="M10955" t="n">
        <v>535</v>
      </c>
      <c r="N10955" t="inlineStr">
        <is>
          <t>Pelobates cultripes</t>
        </is>
      </c>
      <c r="O10955" t="inlineStr">
        <is>
          <t>Hypothetical predicted protein, partial</t>
        </is>
      </c>
    </row>
    <row r="10956">
      <c r="A10956" t="inlineStr"/>
      <c r="B10956" t="inlineStr"/>
      <c r="C10956" t="inlineStr"/>
      <c r="D10956" t="inlineStr"/>
      <c r="E10956">
        <f>HYPERLINK("https://www.uniprot.org/uniprotkb/A0A3S5BFT5/entry", "A0A3S5BFT5")</f>
        <v/>
      </c>
      <c r="F10956" t="n">
        <v>37.2</v>
      </c>
      <c r="G10956" t="n">
        <v>121</v>
      </c>
      <c r="H10956" t="n">
        <v>5.16e-17</v>
      </c>
      <c r="I10956" t="inlineStr">
        <is>
          <t>TrEMBL</t>
        </is>
      </c>
      <c r="J10956" t="inlineStr">
        <is>
          <t>PXEA_LOCUS16103</t>
        </is>
      </c>
      <c r="K10956" t="inlineStr">
        <is>
          <t>A0A3S5BFT5_9PLAT</t>
        </is>
      </c>
      <c r="L10956" t="inlineStr">
        <is>
          <t>tr|A0A3S5BFT5|A0A3S5BFT5_9PLAT LAP2alpha domain-containing protein (Fragment) OS=Protopolystoma xenopodis OX=117903 GN=PXEA_LOCUS16103 PE=4 SV=1</t>
        </is>
      </c>
      <c r="M10956" t="n">
        <v>607</v>
      </c>
      <c r="N10956" t="inlineStr">
        <is>
          <t>Protopolystoma xenopodis</t>
        </is>
      </c>
      <c r="O10956" t="inlineStr">
        <is>
          <t>LAP2alpha domain-containing protein (Fragment)</t>
        </is>
      </c>
    </row>
    <row r="10957">
      <c r="A10957" t="inlineStr"/>
      <c r="B10957" t="inlineStr"/>
      <c r="C10957" t="inlineStr"/>
      <c r="D10957" t="inlineStr"/>
      <c r="E10957">
        <f>HYPERLINK("https://www.uniprot.org/uniprotkb/A0A8J1M324/entry", "A0A8J1M324")</f>
        <v/>
      </c>
      <c r="F10957" t="n">
        <v>35.6</v>
      </c>
      <c r="G10957" t="n">
        <v>118</v>
      </c>
      <c r="H10957" t="n">
        <v>5.710000000000001e-17</v>
      </c>
      <c r="I10957" t="inlineStr">
        <is>
          <t>TrEMBL</t>
        </is>
      </c>
      <c r="J10957" t="inlineStr">
        <is>
          <t>LOC121399443</t>
        </is>
      </c>
      <c r="K10957" t="inlineStr">
        <is>
          <t>A0A8J1M324_XENLA</t>
        </is>
      </c>
      <c r="L10957" t="inlineStr">
        <is>
          <t>tr|A0A8J1M324|A0A8J1M324_XENLA lamina-associated polypeptide 2-like OS=Xenopus laevis OX=8355 GN=LOC121399443 PE=4 SV=1</t>
        </is>
      </c>
      <c r="M10957" t="n">
        <v>449</v>
      </c>
      <c r="N10957" t="inlineStr">
        <is>
          <t>Xenopus laevis</t>
        </is>
      </c>
      <c r="O10957" t="inlineStr">
        <is>
          <t>lamina-associated polypeptide 2-like</t>
        </is>
      </c>
    </row>
    <row r="10958">
      <c r="A10958" t="inlineStr"/>
      <c r="B10958" t="inlineStr"/>
      <c r="C10958" t="inlineStr"/>
      <c r="D10958" t="inlineStr"/>
      <c r="E10958">
        <f>HYPERLINK("https://www.ncbi.nlm.nih.gov/gene/?term=XP_041441871.1", "XP_041441871.1")</f>
        <v/>
      </c>
      <c r="F10958" t="n">
        <v>36.8</v>
      </c>
      <c r="G10958" t="n">
        <v>117</v>
      </c>
      <c r="H10958" t="n">
        <v>5.96e-17</v>
      </c>
      <c r="I10958" t="inlineStr">
        <is>
          <t>Nr</t>
        </is>
      </c>
      <c r="J10958" t="inlineStr"/>
      <c r="K10958" t="inlineStr"/>
      <c r="L10958" t="inlineStr">
        <is>
          <t>XP_041441871.1 uncharacterized protein LOC121401378 isoform X2 [Xenopus laevis]</t>
        </is>
      </c>
      <c r="M10958" t="n">
        <v>464</v>
      </c>
      <c r="N10958" t="inlineStr">
        <is>
          <t>Xenopus laevis</t>
        </is>
      </c>
      <c r="O10958" t="inlineStr">
        <is>
          <t>uncharacterized protein LOC121401378 isoform X2</t>
        </is>
      </c>
    </row>
    <row r="10959">
      <c r="A10959" t="inlineStr"/>
      <c r="B10959" t="inlineStr"/>
      <c r="C10959" t="inlineStr"/>
      <c r="D10959" t="inlineStr"/>
      <c r="E10959">
        <f>HYPERLINK("https://www.ncbi.nlm.nih.gov/gene/?term=XP_008114451.1", "XP_008114451.1")</f>
        <v/>
      </c>
      <c r="F10959" t="n">
        <v>33.8</v>
      </c>
      <c r="G10959" t="n">
        <v>157</v>
      </c>
      <c r="H10959" t="n">
        <v>6.35e-17</v>
      </c>
      <c r="I10959" t="inlineStr">
        <is>
          <t>Nr</t>
        </is>
      </c>
      <c r="J10959" t="inlineStr"/>
      <c r="K10959" t="inlineStr"/>
      <c r="L10959" t="inlineStr">
        <is>
          <t>XP_008114451.1 PREDICTED: uncharacterized protein LOC103279723 [Anolis carolinensis]</t>
        </is>
      </c>
      <c r="M10959" t="n">
        <v>422</v>
      </c>
      <c r="N10959" t="inlineStr">
        <is>
          <t>Anolis carolinensis</t>
        </is>
      </c>
      <c r="O10959" t="inlineStr">
        <is>
          <t>PREDICTED: uncharacterized protein LOC103279723</t>
        </is>
      </c>
    </row>
    <row r="10960">
      <c r="A10960" t="inlineStr"/>
      <c r="B10960" t="inlineStr"/>
      <c r="C10960" t="inlineStr"/>
      <c r="D10960" t="inlineStr"/>
      <c r="E10960">
        <f>HYPERLINK("https://www.ncbi.nlm.nih.gov/gene/?term=XP_041427614.1", "XP_041427614.1")</f>
        <v/>
      </c>
      <c r="F10960" t="n">
        <v>36.8</v>
      </c>
      <c r="G10960" t="n">
        <v>117</v>
      </c>
      <c r="H10960" t="n">
        <v>6.36e-17</v>
      </c>
      <c r="I10960" t="inlineStr">
        <is>
          <t>Nr</t>
        </is>
      </c>
      <c r="J10960" t="inlineStr"/>
      <c r="K10960" t="inlineStr"/>
      <c r="L10960" t="inlineStr">
        <is>
          <t>XP_041427614.1 uncharacterized protein LOC121396587 [Xenopus laevis]</t>
        </is>
      </c>
      <c r="M10960" t="n">
        <v>490</v>
      </c>
      <c r="N10960" t="inlineStr">
        <is>
          <t>Xenopus laevis</t>
        </is>
      </c>
      <c r="O10960" t="inlineStr">
        <is>
          <t>uncharacterized protein LOC121396587</t>
        </is>
      </c>
    </row>
    <row r="10961">
      <c r="A10961" t="inlineStr"/>
      <c r="B10961" t="inlineStr"/>
      <c r="C10961" t="inlineStr"/>
      <c r="D10961" t="inlineStr"/>
      <c r="E10961">
        <f>HYPERLINK("https://www.ncbi.nlm.nih.gov/gene/?term=XP_027135760.1", "XP_027135760.1")</f>
        <v/>
      </c>
      <c r="F10961" t="n">
        <v>35.9</v>
      </c>
      <c r="G10961" t="n">
        <v>145</v>
      </c>
      <c r="H10961" t="n">
        <v>7.369999999999999e-17</v>
      </c>
      <c r="I10961" t="inlineStr">
        <is>
          <t>Nr</t>
        </is>
      </c>
      <c r="J10961" t="inlineStr"/>
      <c r="K10961" t="inlineStr"/>
      <c r="L10961" t="inlineStr">
        <is>
          <t>XP_027135760.1 uncharacterized protein LOC113745982 isoform X2 [Larimichthys crocea]</t>
        </is>
      </c>
      <c r="M10961" t="n">
        <v>302</v>
      </c>
      <c r="N10961" t="inlineStr">
        <is>
          <t>Larimichthys crocea</t>
        </is>
      </c>
      <c r="O10961" t="inlineStr">
        <is>
          <t>uncharacterized protein LOC113745982 isoform X2</t>
        </is>
      </c>
    </row>
    <row r="10962">
      <c r="A10962" t="inlineStr"/>
      <c r="B10962" t="inlineStr"/>
      <c r="C10962" t="inlineStr"/>
      <c r="D10962" t="inlineStr"/>
      <c r="E10962">
        <f>HYPERLINK("https://www.ncbi.nlm.nih.gov/gene/?term=XP_040212985.1", "XP_040212985.1")</f>
        <v/>
      </c>
      <c r="F10962" t="n">
        <v>33.5</v>
      </c>
      <c r="G10962" t="n">
        <v>176</v>
      </c>
      <c r="H10962" t="n">
        <v>7.579999999999999e-17</v>
      </c>
      <c r="I10962" t="inlineStr">
        <is>
          <t>Nr</t>
        </is>
      </c>
      <c r="J10962" t="inlineStr"/>
      <c r="K10962" t="inlineStr"/>
      <c r="L10962" t="inlineStr">
        <is>
          <t>XP_040212985.1 uncharacterized protein LOC120943646 [Rana temporaria]</t>
        </is>
      </c>
      <c r="M10962" t="n">
        <v>646</v>
      </c>
      <c r="N10962" t="inlineStr">
        <is>
          <t>Rana temporaria</t>
        </is>
      </c>
      <c r="O10962" t="inlineStr">
        <is>
          <t>uncharacterized protein LOC120943646</t>
        </is>
      </c>
    </row>
    <row r="10963">
      <c r="A10963" t="inlineStr"/>
      <c r="B10963" t="inlineStr"/>
      <c r="C10963" t="inlineStr"/>
      <c r="D10963" t="inlineStr"/>
      <c r="E10963">
        <f>HYPERLINK("https://www.uniprot.org/uniprotkb/A0A8J1MT70/entry", "A0A8J1MT70")</f>
        <v/>
      </c>
      <c r="F10963" t="n">
        <v>35.6</v>
      </c>
      <c r="G10963" t="n">
        <v>118</v>
      </c>
      <c r="H10963" t="n">
        <v>7.83e-17</v>
      </c>
      <c r="I10963" t="inlineStr">
        <is>
          <t>TrEMBL</t>
        </is>
      </c>
      <c r="J10963" t="inlineStr">
        <is>
          <t>LOC121402196</t>
        </is>
      </c>
      <c r="K10963" t="inlineStr">
        <is>
          <t>A0A8J1MT70_XENLA</t>
        </is>
      </c>
      <c r="L10963" t="inlineStr">
        <is>
          <t>tr|A0A8J1MT70|A0A8J1MT70_XENLA lamina-associated polypeptide 2-like OS=Xenopus laevis OX=8355 GN=LOC121402196 PE=4 SV=1</t>
        </is>
      </c>
      <c r="M10963" t="n">
        <v>449</v>
      </c>
      <c r="N10963" t="inlineStr">
        <is>
          <t>Xenopus laevis</t>
        </is>
      </c>
      <c r="O10963" t="inlineStr">
        <is>
          <t>lamina-associated polypeptide 2-like</t>
        </is>
      </c>
    </row>
    <row r="10964">
      <c r="A10964" t="inlineStr"/>
      <c r="B10964" t="inlineStr"/>
      <c r="C10964" t="inlineStr"/>
      <c r="D10964" t="inlineStr"/>
      <c r="E10964">
        <f>HYPERLINK("https://www.uniprot.org/uniprotkb/A0A8J1KRW9/entry", "A0A8J1KRW9")</f>
        <v/>
      </c>
      <c r="F10964" t="n">
        <v>35.6</v>
      </c>
      <c r="G10964" t="n">
        <v>118</v>
      </c>
      <c r="H10964" t="n">
        <v>7.83e-17</v>
      </c>
      <c r="I10964" t="inlineStr">
        <is>
          <t>TrEMBL</t>
        </is>
      </c>
      <c r="J10964" t="inlineStr">
        <is>
          <t>LOC121394105</t>
        </is>
      </c>
      <c r="K10964" t="inlineStr">
        <is>
          <t>A0A8J1KRW9_XENLA</t>
        </is>
      </c>
      <c r="L10964" t="inlineStr">
        <is>
          <t>tr|A0A8J1KRW9|A0A8J1KRW9_XENLA lamina-associated polypeptide 2-like OS=Xenopus laevis OX=8355 GN=LOC121394105 PE=4 SV=1</t>
        </is>
      </c>
      <c r="M10964" t="n">
        <v>449</v>
      </c>
      <c r="N10964" t="inlineStr">
        <is>
          <t>Xenopus laevis</t>
        </is>
      </c>
      <c r="O10964" t="inlineStr">
        <is>
          <t>lamina-associated polypeptide 2-like</t>
        </is>
      </c>
    </row>
    <row r="10965">
      <c r="A10965" t="inlineStr"/>
      <c r="B10965" t="inlineStr"/>
      <c r="C10965" t="inlineStr"/>
      <c r="D10965" t="inlineStr"/>
      <c r="E10965">
        <f>HYPERLINK("https://www.uniprot.org/uniprotkb/A0A8J1LRH6/entry", "A0A8J1LRH6")</f>
        <v/>
      </c>
      <c r="F10965" t="n">
        <v>35.6</v>
      </c>
      <c r="G10965" t="n">
        <v>118</v>
      </c>
      <c r="H10965" t="n">
        <v>7.83e-17</v>
      </c>
      <c r="I10965" t="inlineStr">
        <is>
          <t>TrEMBL</t>
        </is>
      </c>
      <c r="J10965" t="inlineStr">
        <is>
          <t>LOC121397925</t>
        </is>
      </c>
      <c r="K10965" t="inlineStr">
        <is>
          <t>A0A8J1LRH6_XENLA</t>
        </is>
      </c>
      <c r="L10965" t="inlineStr">
        <is>
          <t>tr|A0A8J1LRH6|A0A8J1LRH6_XENLA lamina-associated polypeptide 2-like isoform X2 OS=Xenopus laevis OX=8355 GN=LOC121397925 PE=4 SV=1</t>
        </is>
      </c>
      <c r="M10965" t="n">
        <v>449</v>
      </c>
      <c r="N10965" t="inlineStr">
        <is>
          <t>Xenopus laevis</t>
        </is>
      </c>
      <c r="O10965" t="inlineStr">
        <is>
          <t>lamina-associated polypeptide 2-like isoform X2</t>
        </is>
      </c>
    </row>
    <row r="10966">
      <c r="A10966" t="inlineStr"/>
      <c r="B10966" t="inlineStr"/>
      <c r="C10966" t="inlineStr"/>
      <c r="D10966" t="inlineStr"/>
      <c r="E10966">
        <f>HYPERLINK("https://www.ncbi.nlm.nih.gov/gene/?term=XP_040212877.1", "XP_040212877.1")</f>
        <v/>
      </c>
      <c r="F10966" t="n">
        <v>33.5</v>
      </c>
      <c r="G10966" t="n">
        <v>176</v>
      </c>
      <c r="H10966" t="n">
        <v>7.970000000000001e-17</v>
      </c>
      <c r="I10966" t="inlineStr">
        <is>
          <t>Nr</t>
        </is>
      </c>
      <c r="J10966" t="inlineStr"/>
      <c r="K10966" t="inlineStr"/>
      <c r="L10966" t="inlineStr">
        <is>
          <t>XP_040212877.1 uncharacterized protein LOC120943569 [Rana temporaria]</t>
        </is>
      </c>
      <c r="M10966" t="n">
        <v>765</v>
      </c>
      <c r="N10966" t="inlineStr">
        <is>
          <t>Rana temporaria</t>
        </is>
      </c>
      <c r="O10966" t="inlineStr">
        <is>
          <t>uncharacterized protein LOC120943569</t>
        </is>
      </c>
    </row>
    <row r="10967">
      <c r="A10967" t="inlineStr"/>
      <c r="B10967" t="inlineStr"/>
      <c r="C10967" t="inlineStr"/>
      <c r="D10967" t="inlineStr"/>
      <c r="E10967">
        <f>HYPERLINK("https://www.uniprot.org/uniprotkb/A0A8J0SWZ9/entry", "A0A8J0SWZ9")</f>
        <v/>
      </c>
      <c r="F10967" t="n">
        <v>36.9</v>
      </c>
      <c r="G10967" t="n">
        <v>122</v>
      </c>
      <c r="H10967" t="n">
        <v>9.56e-17</v>
      </c>
      <c r="I10967" t="inlineStr">
        <is>
          <t>TrEMBL</t>
        </is>
      </c>
      <c r="J10967" t="inlineStr">
        <is>
          <t>LOC105948176</t>
        </is>
      </c>
      <c r="K10967" t="inlineStr">
        <is>
          <t>A0A8J0SWZ9_XENTR</t>
        </is>
      </c>
      <c r="L10967" t="inlineStr">
        <is>
          <t>tr|A0A8J0SWZ9|A0A8J0SWZ9_XENTR lamina-associated polypeptide 2-like OS=Xenopus tropicalis OX=8364 GN=LOC105948176 PE=4 SV=1</t>
        </is>
      </c>
      <c r="M10967" t="n">
        <v>300</v>
      </c>
      <c r="N10967" t="inlineStr">
        <is>
          <t>Xenopus tropicalis</t>
        </is>
      </c>
      <c r="O10967" t="inlineStr">
        <is>
          <t>lamina-associated polypeptide 2-like</t>
        </is>
      </c>
    </row>
    <row r="10968">
      <c r="A10968" t="inlineStr"/>
      <c r="B10968" t="inlineStr"/>
      <c r="C10968" t="inlineStr"/>
      <c r="D10968" t="inlineStr"/>
      <c r="E10968">
        <f>HYPERLINK("https://www.ncbi.nlm.nih.gov/gene/?term=XP_041446270.1", "XP_041446270.1")</f>
        <v/>
      </c>
      <c r="F10968" t="n">
        <v>36.9</v>
      </c>
      <c r="G10968" t="n">
        <v>122</v>
      </c>
      <c r="H10968" t="n">
        <v>1.02e-16</v>
      </c>
      <c r="I10968" t="inlineStr">
        <is>
          <t>Nr</t>
        </is>
      </c>
      <c r="J10968" t="inlineStr"/>
      <c r="K10968" t="inlineStr"/>
      <c r="L10968" t="inlineStr">
        <is>
          <t>XP_041446270.1 uncharacterized protein LOC121403038 [Xenopus laevis]</t>
        </is>
      </c>
      <c r="M10968" t="n">
        <v>852</v>
      </c>
      <c r="N10968" t="inlineStr">
        <is>
          <t>Xenopus laevis</t>
        </is>
      </c>
      <c r="O10968" t="inlineStr">
        <is>
          <t>uncharacterized protein LOC121403038</t>
        </is>
      </c>
    </row>
    <row r="10969">
      <c r="A10969" t="inlineStr"/>
      <c r="B10969" t="inlineStr"/>
      <c r="C10969" t="inlineStr"/>
      <c r="D10969" t="inlineStr"/>
      <c r="E10969">
        <f>HYPERLINK("https://www.ncbi.nlm.nih.gov/gene/?term=VEL22663.1", "VEL22663.1")</f>
        <v/>
      </c>
      <c r="F10969" t="n">
        <v>37.2</v>
      </c>
      <c r="G10969" t="n">
        <v>121</v>
      </c>
      <c r="H10969" t="n">
        <v>1.33e-16</v>
      </c>
      <c r="I10969" t="inlineStr">
        <is>
          <t>Nr</t>
        </is>
      </c>
      <c r="J10969" t="inlineStr"/>
      <c r="K10969" t="inlineStr"/>
      <c r="L10969" t="inlineStr">
        <is>
          <t>VEL22663.1 unnamed protein product, partial [Protopolystoma xenopodis]</t>
        </is>
      </c>
      <c r="M10969" t="n">
        <v>607</v>
      </c>
      <c r="N10969" t="inlineStr">
        <is>
          <t>Protopolystoma xenopodis</t>
        </is>
      </c>
      <c r="O10969" t="inlineStr">
        <is>
          <t>unnamed protein product, partial</t>
        </is>
      </c>
    </row>
    <row r="10970">
      <c r="A10970" t="inlineStr"/>
      <c r="B10970" t="inlineStr"/>
      <c r="C10970" t="inlineStr"/>
      <c r="D10970" t="inlineStr"/>
      <c r="E10970">
        <f>HYPERLINK("https://www.uniprot.org/uniprotkb/A0A8J1KMD2/entry", "A0A8J1KMD2")</f>
        <v/>
      </c>
      <c r="F10970" t="n">
        <v>41.9</v>
      </c>
      <c r="G10970" t="n">
        <v>117</v>
      </c>
      <c r="H10970" t="n">
        <v>1.4e-16</v>
      </c>
      <c r="I10970" t="inlineStr">
        <is>
          <t>TrEMBL</t>
        </is>
      </c>
      <c r="J10970" t="inlineStr">
        <is>
          <t>LOC121393601</t>
        </is>
      </c>
      <c r="K10970" t="inlineStr">
        <is>
          <t>A0A8J1KMD2_XENLA</t>
        </is>
      </c>
      <c r="L10970" t="inlineStr">
        <is>
          <t>tr|A0A8J1KMD2|A0A8J1KMD2_XENLA ribonuclease H OS=Xenopus laevis OX=8355 GN=LOC121393601 PE=3 SV=1</t>
        </is>
      </c>
      <c r="M10970" t="n">
        <v>1091</v>
      </c>
      <c r="N10970" t="inlineStr">
        <is>
          <t>Xenopus laevis</t>
        </is>
      </c>
      <c r="O10970" t="inlineStr">
        <is>
          <t>ribonuclease H</t>
        </is>
      </c>
    </row>
    <row r="10971">
      <c r="A10971" t="inlineStr"/>
      <c r="B10971" t="inlineStr"/>
      <c r="C10971" t="inlineStr"/>
      <c r="D10971" t="inlineStr"/>
      <c r="E10971">
        <f>HYPERLINK("https://www.uniprot.org/uniprotkb/A0A8C5W849/entry", "A0A8C5W849")</f>
        <v/>
      </c>
      <c r="F10971" t="n">
        <v>35.6</v>
      </c>
      <c r="G10971" t="n">
        <v>146</v>
      </c>
      <c r="H10971" t="n">
        <v>1.44e-16</v>
      </c>
      <c r="I10971" t="inlineStr">
        <is>
          <t>TrEMBL</t>
        </is>
      </c>
      <c r="J10971" t="inlineStr"/>
      <c r="K10971" t="inlineStr">
        <is>
          <t>A0A8C5W849_9ANUR</t>
        </is>
      </c>
      <c r="L10971" t="inlineStr">
        <is>
          <t>tr|A0A8C5W849|A0A8C5W849_9ANUR Reverse transcriptase domain-containing protein OS=Leptobrachium leishanense OX=445787 PE=4 SV=1</t>
        </is>
      </c>
      <c r="M10971" t="n">
        <v>797</v>
      </c>
      <c r="N10971" t="inlineStr">
        <is>
          <t>Leptobrachium leishanense</t>
        </is>
      </c>
      <c r="O10971" t="inlineStr">
        <is>
          <t>Reverse transcriptase domain-containing protein</t>
        </is>
      </c>
    </row>
    <row r="10972">
      <c r="A10972" t="inlineStr"/>
      <c r="B10972" t="inlineStr"/>
      <c r="C10972" t="inlineStr"/>
      <c r="D10972" t="inlineStr"/>
      <c r="E10972">
        <f>HYPERLINK("https://www.ncbi.nlm.nih.gov/gene/?term=XP_041436098.1", "XP_041436098.1")</f>
        <v/>
      </c>
      <c r="F10972" t="n">
        <v>35.6</v>
      </c>
      <c r="G10972" t="n">
        <v>118</v>
      </c>
      <c r="H10972" t="n">
        <v>1.47e-16</v>
      </c>
      <c r="I10972" t="inlineStr">
        <is>
          <t>Nr</t>
        </is>
      </c>
      <c r="J10972" t="inlineStr"/>
      <c r="K10972" t="inlineStr"/>
      <c r="L10972" t="inlineStr">
        <is>
          <t>XP_041436098.1 lamina-associated polypeptide 2-like [Xenopus laevis]</t>
        </is>
      </c>
      <c r="M10972" t="n">
        <v>449</v>
      </c>
      <c r="N10972" t="inlineStr">
        <is>
          <t>Xenopus laevis</t>
        </is>
      </c>
      <c r="O10972" t="inlineStr">
        <is>
          <t>lamina-associated polypeptide 2-like</t>
        </is>
      </c>
    </row>
    <row r="10973">
      <c r="A10973" t="inlineStr"/>
      <c r="B10973" t="inlineStr"/>
      <c r="C10973" t="inlineStr"/>
      <c r="D10973" t="inlineStr"/>
      <c r="E10973">
        <f>HYPERLINK("https://www.uniprot.org/uniprotkb/A0A803JZ17/entry", "A0A803JZ17")</f>
        <v/>
      </c>
      <c r="F10973" t="n">
        <v>41.1</v>
      </c>
      <c r="G10973" t="n">
        <v>124</v>
      </c>
      <c r="H10973" t="n">
        <v>1.59e-16</v>
      </c>
      <c r="I10973" t="inlineStr">
        <is>
          <t>TrEMBL</t>
        </is>
      </c>
      <c r="J10973" t="inlineStr"/>
      <c r="K10973" t="inlineStr">
        <is>
          <t>A0A803JZ17_XENTR</t>
        </is>
      </c>
      <c r="L10973" t="inlineStr">
        <is>
          <t>tr|A0A803JZ17|A0A803JZ17_XENTR LAP2alpha domain-containing protein OS=Xenopus tropicalis OX=8364 PE=4 SV=1</t>
        </is>
      </c>
      <c r="M10973" t="n">
        <v>481</v>
      </c>
      <c r="N10973" t="inlineStr">
        <is>
          <t>Xenopus tropicalis</t>
        </is>
      </c>
      <c r="O10973" t="inlineStr">
        <is>
          <t>LAP2alpha domain-containing protein</t>
        </is>
      </c>
    </row>
    <row r="10974">
      <c r="A10974" t="inlineStr"/>
      <c r="B10974" t="inlineStr"/>
      <c r="C10974" t="inlineStr"/>
      <c r="D10974" t="inlineStr"/>
      <c r="E10974">
        <f>HYPERLINK("https://www.uniprot.org/uniprotkb/A0A293M3X2/entry", "A0A293M3X2")</f>
        <v/>
      </c>
      <c r="F10974" t="n">
        <v>38.6</v>
      </c>
      <c r="G10974" t="n">
        <v>145</v>
      </c>
      <c r="H10974" t="n">
        <v>1.61e-16</v>
      </c>
      <c r="I10974" t="inlineStr">
        <is>
          <t>TrEMBL</t>
        </is>
      </c>
      <c r="J10974" t="inlineStr"/>
      <c r="K10974" t="inlineStr">
        <is>
          <t>A0A293M3X2_ORNER</t>
        </is>
      </c>
      <c r="L10974" t="inlineStr">
        <is>
          <t>tr|A0A293M3X2|A0A293M3X2_ORNER Reverse transcriptase domain-containing protein (Fragment) OS=Ornithodoros erraticus OX=265619 PE=4 SV=1</t>
        </is>
      </c>
      <c r="M10974" t="n">
        <v>419</v>
      </c>
      <c r="N10974" t="inlineStr">
        <is>
          <t>Ornithodoros erraticus</t>
        </is>
      </c>
      <c r="O10974" t="inlineStr">
        <is>
          <t>Reverse transcriptase domain-containing protein (Fragment)</t>
        </is>
      </c>
    </row>
    <row r="10975">
      <c r="A10975" t="inlineStr"/>
      <c r="B10975" t="inlineStr"/>
      <c r="C10975" t="inlineStr"/>
      <c r="D10975" t="inlineStr"/>
      <c r="E10975">
        <f>HYPERLINK("https://www.ncbi.nlm.nih.gov/gene/?term=XP_041420040.1", "XP_041420040.1")</f>
        <v/>
      </c>
      <c r="F10975" t="n">
        <v>35.6</v>
      </c>
      <c r="G10975" t="n">
        <v>118</v>
      </c>
      <c r="H10975" t="n">
        <v>2.01e-16</v>
      </c>
      <c r="I10975" t="inlineStr">
        <is>
          <t>Nr</t>
        </is>
      </c>
      <c r="J10975" t="inlineStr"/>
      <c r="K10975" t="inlineStr"/>
      <c r="L10975" t="inlineStr">
        <is>
          <t>XP_041420040.1 lamina-associated polypeptide 2-like [Xenopus laevis]</t>
        </is>
      </c>
      <c r="M10975" t="n">
        <v>449</v>
      </c>
      <c r="N10975" t="inlineStr">
        <is>
          <t>Xenopus laevis</t>
        </is>
      </c>
      <c r="O10975" t="inlineStr">
        <is>
          <t>lamina-associated polypeptide 2-like</t>
        </is>
      </c>
    </row>
    <row r="10976">
      <c r="A10976" t="inlineStr"/>
      <c r="B10976" t="inlineStr"/>
      <c r="C10976" t="inlineStr"/>
      <c r="D10976" t="inlineStr"/>
      <c r="E10976">
        <f>HYPERLINK("https://www.ncbi.nlm.nih.gov/gene/?term=XP_041432127.1", "XP_041432127.1")</f>
        <v/>
      </c>
      <c r="F10976" t="n">
        <v>35.6</v>
      </c>
      <c r="G10976" t="n">
        <v>118</v>
      </c>
      <c r="H10976" t="n">
        <v>2.01e-16</v>
      </c>
      <c r="I10976" t="inlineStr">
        <is>
          <t>Nr</t>
        </is>
      </c>
      <c r="J10976" t="inlineStr"/>
      <c r="K10976" t="inlineStr"/>
      <c r="L10976" t="inlineStr">
        <is>
          <t>XP_041432127.1 lamina-associated polypeptide 2-like isoform X2 [Xenopus laevis]</t>
        </is>
      </c>
      <c r="M10976" t="n">
        <v>449</v>
      </c>
      <c r="N10976" t="inlineStr">
        <is>
          <t>Xenopus laevis</t>
        </is>
      </c>
      <c r="O10976" t="inlineStr">
        <is>
          <t>lamina-associated polypeptide 2-like isoform X2</t>
        </is>
      </c>
    </row>
    <row r="10977">
      <c r="A10977" t="inlineStr"/>
      <c r="B10977" t="inlineStr"/>
      <c r="C10977" t="inlineStr"/>
      <c r="D10977" t="inlineStr"/>
      <c r="E10977">
        <f>HYPERLINK("https://www.ncbi.nlm.nih.gov/gene/?term=XP_041444543.1", "XP_041444543.1")</f>
        <v/>
      </c>
      <c r="F10977" t="n">
        <v>35.6</v>
      </c>
      <c r="G10977" t="n">
        <v>118</v>
      </c>
      <c r="H10977" t="n">
        <v>2.01e-16</v>
      </c>
      <c r="I10977" t="inlineStr">
        <is>
          <t>Nr</t>
        </is>
      </c>
      <c r="J10977" t="inlineStr"/>
      <c r="K10977" t="inlineStr"/>
      <c r="L10977" t="inlineStr">
        <is>
          <t>XP_041444543.1 lamina-associated polypeptide 2-like [Xenopus laevis]</t>
        </is>
      </c>
      <c r="M10977" t="n">
        <v>449</v>
      </c>
      <c r="N10977" t="inlineStr">
        <is>
          <t>Xenopus laevis</t>
        </is>
      </c>
      <c r="O10977" t="inlineStr">
        <is>
          <t>lamina-associated polypeptide 2-like</t>
        </is>
      </c>
    </row>
    <row r="10978">
      <c r="A10978" t="inlineStr"/>
      <c r="B10978" t="inlineStr"/>
      <c r="C10978" t="inlineStr"/>
      <c r="D10978" t="inlineStr"/>
      <c r="E10978">
        <f>HYPERLINK("https://www.uniprot.org/uniprotkb/A0A8J1LBP2/entry", "A0A8J1LBP2")</f>
        <v/>
      </c>
      <c r="F10978" t="n">
        <v>41</v>
      </c>
      <c r="G10978" t="n">
        <v>117</v>
      </c>
      <c r="H10978" t="n">
        <v>2.07e-16</v>
      </c>
      <c r="I10978" t="inlineStr">
        <is>
          <t>TrEMBL</t>
        </is>
      </c>
      <c r="J10978" t="inlineStr">
        <is>
          <t>LOC121396240</t>
        </is>
      </c>
      <c r="K10978" t="inlineStr">
        <is>
          <t>A0A8J1LBP2_XENLA</t>
        </is>
      </c>
      <c r="L10978" t="inlineStr">
        <is>
          <t>tr|A0A8J1LBP2|A0A8J1LBP2_XENLA uncharacterized protein LOC121396240 OS=Xenopus laevis OX=8355 GN=LOC121396240 PE=4 SV=1</t>
        </is>
      </c>
      <c r="M10978" t="n">
        <v>458</v>
      </c>
      <c r="N10978" t="inlineStr">
        <is>
          <t>Xenopus laevis</t>
        </is>
      </c>
      <c r="O10978" t="inlineStr">
        <is>
          <t>uncharacterized protein LOC121396240</t>
        </is>
      </c>
    </row>
    <row r="10979">
      <c r="A10979" t="inlineStr"/>
      <c r="B10979" t="inlineStr"/>
      <c r="C10979" t="inlineStr"/>
      <c r="D10979" t="inlineStr"/>
      <c r="E10979">
        <f>HYPERLINK("https://www.uniprot.org/uniprotkb/A0A8J1IUL2/entry", "A0A8J1IUL2")</f>
        <v/>
      </c>
      <c r="F10979" t="n">
        <v>36.4</v>
      </c>
      <c r="G10979" t="n">
        <v>118</v>
      </c>
      <c r="H10979" t="n">
        <v>2.36e-16</v>
      </c>
      <c r="I10979" t="inlineStr">
        <is>
          <t>TrEMBL</t>
        </is>
      </c>
      <c r="J10979" t="inlineStr">
        <is>
          <t>LOC101733799</t>
        </is>
      </c>
      <c r="K10979" t="inlineStr">
        <is>
          <t>A0A8J1IUL2_XENTR</t>
        </is>
      </c>
      <c r="L10979" t="inlineStr">
        <is>
          <t>tr|A0A8J1IUL2|A0A8J1IUL2_XENTR lamina-associated polypeptide 2, isoforms alpha/zeta-like OS=Xenopus tropicalis OX=8364 GN=LOC101733799 PE=4 SV=1</t>
        </is>
      </c>
      <c r="M10979" t="n">
        <v>408</v>
      </c>
      <c r="N10979" t="inlineStr">
        <is>
          <t>Xenopus tropicalis</t>
        </is>
      </c>
      <c r="O10979" t="inlineStr">
        <is>
          <t>lamina-associated polypeptide 2, isoforms alpha/zeta-like</t>
        </is>
      </c>
    </row>
    <row r="10980">
      <c r="A10980" t="inlineStr"/>
      <c r="B10980" t="inlineStr"/>
      <c r="C10980" t="inlineStr"/>
      <c r="D10980" t="inlineStr"/>
      <c r="E10980">
        <f>HYPERLINK("https://www.uniprot.org/uniprotkb/A0A8J1LIC0/entry", "A0A8J1LIC0")</f>
        <v/>
      </c>
      <c r="F10980" t="n">
        <v>38.2</v>
      </c>
      <c r="G10980" t="n">
        <v>123</v>
      </c>
      <c r="H10980" t="n">
        <v>2.41e-16</v>
      </c>
      <c r="I10980" t="inlineStr">
        <is>
          <t>TrEMBL</t>
        </is>
      </c>
      <c r="J10980" t="inlineStr">
        <is>
          <t>LOC121397049</t>
        </is>
      </c>
      <c r="K10980" t="inlineStr">
        <is>
          <t>A0A8J1LIC0_XENLA</t>
        </is>
      </c>
      <c r="L10980" t="inlineStr">
        <is>
          <t>tr|A0A8J1LIC0|A0A8J1LIC0_XENLA uncharacterized protein LOC121397049 OS=Xenopus laevis OX=8355 GN=LOC121397049 PE=4 SV=1</t>
        </is>
      </c>
      <c r="M10980" t="n">
        <v>412</v>
      </c>
      <c r="N10980" t="inlineStr">
        <is>
          <t>Xenopus laevis</t>
        </is>
      </c>
      <c r="O10980" t="inlineStr">
        <is>
          <t>uncharacterized protein LOC121397049</t>
        </is>
      </c>
    </row>
    <row r="10981">
      <c r="A10981" t="inlineStr"/>
      <c r="B10981" t="inlineStr"/>
      <c r="C10981" t="inlineStr"/>
      <c r="D10981" t="inlineStr"/>
      <c r="E10981">
        <f>HYPERLINK("https://www.ncbi.nlm.nih.gov/gene/?term=XP_012824552.1", "XP_012824552.1")</f>
        <v/>
      </c>
      <c r="F10981" t="n">
        <v>36.9</v>
      </c>
      <c r="G10981" t="n">
        <v>122</v>
      </c>
      <c r="H10981" t="n">
        <v>2.45e-16</v>
      </c>
      <c r="I10981" t="inlineStr">
        <is>
          <t>Nr</t>
        </is>
      </c>
      <c r="J10981" t="inlineStr"/>
      <c r="K10981" t="inlineStr"/>
      <c r="L10981" t="inlineStr">
        <is>
          <t>XP_012824552.1 lamina-associated polypeptide 2-like [Xenopus tropicalis]</t>
        </is>
      </c>
      <c r="M10981" t="n">
        <v>300</v>
      </c>
      <c r="N10981" t="inlineStr">
        <is>
          <t>Xenopus tropicalis</t>
        </is>
      </c>
      <c r="O10981" t="inlineStr">
        <is>
          <t>lamina-associated polypeptide 2-like</t>
        </is>
      </c>
    </row>
    <row r="10982">
      <c r="A10982" t="inlineStr"/>
      <c r="B10982" t="inlineStr"/>
      <c r="C10982" t="inlineStr"/>
      <c r="D10982" t="inlineStr"/>
      <c r="E10982">
        <f>HYPERLINK("https://www.ncbi.nlm.nih.gov/gene/?term=KAG8539055.1", "KAG8539055.1")</f>
        <v/>
      </c>
      <c r="F10982" t="n">
        <v>37.3</v>
      </c>
      <c r="G10982" t="n">
        <v>118</v>
      </c>
      <c r="H10982" t="n">
        <v>2.83e-16</v>
      </c>
      <c r="I10982" t="inlineStr">
        <is>
          <t>Nr</t>
        </is>
      </c>
      <c r="J10982" t="inlineStr"/>
      <c r="K10982" t="inlineStr"/>
      <c r="L10982" t="inlineStr">
        <is>
          <t>KAG8539055.1 hypothetical protein GDO81_021544 [Engystomops pustulosus]</t>
        </is>
      </c>
      <c r="M10982" t="n">
        <v>386</v>
      </c>
      <c r="N10982" t="inlineStr">
        <is>
          <t>Engystomops pustulosus</t>
        </is>
      </c>
      <c r="O10982" t="inlineStr">
        <is>
          <t>hypothetical protein GDO81_021544</t>
        </is>
      </c>
    </row>
    <row r="10983">
      <c r="A10983" t="inlineStr"/>
      <c r="B10983" t="inlineStr"/>
      <c r="C10983" t="inlineStr"/>
      <c r="D10983" t="inlineStr"/>
      <c r="E10983">
        <f>HYPERLINK("https://www.ncbi.nlm.nih.gov/gene/?term=XP_040277784.1", "XP_040277784.1")</f>
        <v/>
      </c>
      <c r="F10983" t="n">
        <v>38.1</v>
      </c>
      <c r="G10983" t="n">
        <v>118</v>
      </c>
      <c r="H10983" t="n">
        <v>3.22e-16</v>
      </c>
      <c r="I10983" t="inlineStr">
        <is>
          <t>Nr</t>
        </is>
      </c>
      <c r="J10983" t="inlineStr"/>
      <c r="K10983" t="inlineStr"/>
      <c r="L10983" t="inlineStr">
        <is>
          <t>XP_040277784.1 lamina-associated polypeptide 2, isoforms alpha/zeta-like [Bufo bufo]</t>
        </is>
      </c>
      <c r="M10983" t="n">
        <v>409</v>
      </c>
      <c r="N10983" t="inlineStr">
        <is>
          <t>Bufo bufo</t>
        </is>
      </c>
      <c r="O10983" t="inlineStr">
        <is>
          <t>lamina-associated polypeptide 2, isoforms alpha/zeta-like</t>
        </is>
      </c>
    </row>
    <row r="10984">
      <c r="A10984" t="inlineStr"/>
      <c r="B10984" t="inlineStr"/>
      <c r="C10984" t="inlineStr"/>
      <c r="D10984" t="inlineStr"/>
      <c r="E10984">
        <f>HYPERLINK("https://www.ncbi.nlm.nih.gov/gene/?term=XP_040279486.1", "XP_040279486.1")</f>
        <v/>
      </c>
      <c r="F10984" t="n">
        <v>38.1</v>
      </c>
      <c r="G10984" t="n">
        <v>118</v>
      </c>
      <c r="H10984" t="n">
        <v>3.22e-16</v>
      </c>
      <c r="I10984" t="inlineStr">
        <is>
          <t>Nr</t>
        </is>
      </c>
      <c r="J10984" t="inlineStr"/>
      <c r="K10984" t="inlineStr"/>
      <c r="L10984" t="inlineStr">
        <is>
          <t>XP_040279486.1 lamina-associated polypeptide 2, isoforms alpha/zeta-like [Bufo bufo]</t>
        </is>
      </c>
      <c r="M10984" t="n">
        <v>409</v>
      </c>
      <c r="N10984" t="inlineStr">
        <is>
          <t>Bufo bufo</t>
        </is>
      </c>
      <c r="O10984" t="inlineStr">
        <is>
          <t>lamina-associated polypeptide 2, isoforms alpha/zeta-like</t>
        </is>
      </c>
    </row>
    <row r="10985">
      <c r="A10985" t="inlineStr"/>
      <c r="B10985" t="inlineStr"/>
      <c r="C10985" t="inlineStr"/>
      <c r="D10985" t="inlineStr"/>
      <c r="E10985">
        <f>HYPERLINK("https://www.uniprot.org/uniprotkb/A0A8J1M466/entry", "A0A8J1M466")</f>
        <v/>
      </c>
      <c r="F10985" t="n">
        <v>33.6</v>
      </c>
      <c r="G10985" t="n">
        <v>146</v>
      </c>
      <c r="H10985" t="n">
        <v>3.44e-16</v>
      </c>
      <c r="I10985" t="inlineStr">
        <is>
          <t>TrEMBL</t>
        </is>
      </c>
      <c r="J10985" t="inlineStr">
        <is>
          <t>LOC121399362</t>
        </is>
      </c>
      <c r="K10985" t="inlineStr">
        <is>
          <t>A0A8J1M466_XENLA</t>
        </is>
      </c>
      <c r="L10985" t="inlineStr">
        <is>
          <t>tr|A0A8J1M466|A0A8J1M466_XENLA uncharacterized protein LOC121399362 OS=Xenopus laevis OX=8355 GN=LOC121399362 PE=4 SV=1</t>
        </is>
      </c>
      <c r="M10985" t="n">
        <v>389</v>
      </c>
      <c r="N10985" t="inlineStr">
        <is>
          <t>Xenopus laevis</t>
        </is>
      </c>
      <c r="O10985" t="inlineStr">
        <is>
          <t>uncharacterized protein LOC121399362</t>
        </is>
      </c>
    </row>
    <row r="10986">
      <c r="A10986" t="inlineStr"/>
      <c r="B10986" t="inlineStr"/>
      <c r="C10986" t="inlineStr"/>
      <c r="D10986" t="inlineStr"/>
      <c r="E10986">
        <f>HYPERLINK("https://www.ncbi.nlm.nih.gov/gene/?term=XP_041418470.1", "XP_041418470.1")</f>
        <v/>
      </c>
      <c r="F10986" t="n">
        <v>41.9</v>
      </c>
      <c r="G10986" t="n">
        <v>117</v>
      </c>
      <c r="H10986" t="n">
        <v>3.6e-16</v>
      </c>
      <c r="I10986" t="inlineStr">
        <is>
          <t>Nr</t>
        </is>
      </c>
      <c r="J10986" t="inlineStr"/>
      <c r="K10986" t="inlineStr"/>
      <c r="L10986" t="inlineStr">
        <is>
          <t>XP_041418470.1 uncharacterized protein LOC121393601 [Xenopus laevis]</t>
        </is>
      </c>
      <c r="M10986" t="n">
        <v>1091</v>
      </c>
      <c r="N10986" t="inlineStr">
        <is>
          <t>Xenopus laevis</t>
        </is>
      </c>
      <c r="O10986" t="inlineStr">
        <is>
          <t>uncharacterized protein LOC121393601</t>
        </is>
      </c>
    </row>
    <row r="10987">
      <c r="A10987" t="inlineStr"/>
      <c r="B10987" t="inlineStr"/>
      <c r="C10987" t="inlineStr"/>
      <c r="D10987" t="inlineStr"/>
      <c r="E10987">
        <f>HYPERLINK("https://www.ncbi.nlm.nih.gov/gene/?term=XP_040290023.1", "XP_040290023.1")</f>
        <v/>
      </c>
      <c r="F10987" t="n">
        <v>40.8</v>
      </c>
      <c r="G10987" t="n">
        <v>120</v>
      </c>
      <c r="H10987" t="n">
        <v>3.64e-16</v>
      </c>
      <c r="I10987" t="inlineStr">
        <is>
          <t>Nr</t>
        </is>
      </c>
      <c r="J10987" t="inlineStr"/>
      <c r="K10987" t="inlineStr"/>
      <c r="L10987" t="inlineStr">
        <is>
          <t>XP_040290023.1 LOW QUALITY PROTEIN: uncharacterized protein LOC121002655, partial [Bufo bufo]</t>
        </is>
      </c>
      <c r="M10987" t="n">
        <v>1249</v>
      </c>
      <c r="N10987" t="inlineStr">
        <is>
          <t>Bufo bufo</t>
        </is>
      </c>
      <c r="O10987" t="inlineStr">
        <is>
          <t>LOW QUALITY PROTEIN: uncharacterized protein LOC121002655, partial</t>
        </is>
      </c>
    </row>
    <row r="10988">
      <c r="A10988" t="inlineStr"/>
      <c r="B10988" t="inlineStr"/>
      <c r="C10988" t="inlineStr"/>
      <c r="D10988" t="inlineStr"/>
      <c r="E10988">
        <f>HYPERLINK("https://www.ncbi.nlm.nih.gov/gene/?term=XP_040264286.1", "XP_040264286.1")</f>
        <v/>
      </c>
      <c r="F10988" t="n">
        <v>38.1</v>
      </c>
      <c r="G10988" t="n">
        <v>118</v>
      </c>
      <c r="H10988" t="n">
        <v>3.74e-16</v>
      </c>
      <c r="I10988" t="inlineStr">
        <is>
          <t>Nr</t>
        </is>
      </c>
      <c r="J10988" t="inlineStr"/>
      <c r="K10988" t="inlineStr"/>
      <c r="L10988" t="inlineStr">
        <is>
          <t>XP_040264286.1 lamina-associated polypeptide 2, isoforms alpha/zeta-like [Bufo bufo]</t>
        </is>
      </c>
      <c r="M10988" t="n">
        <v>446</v>
      </c>
      <c r="N10988" t="inlineStr">
        <is>
          <t>Bufo bufo</t>
        </is>
      </c>
      <c r="O10988" t="inlineStr">
        <is>
          <t>lamina-associated polypeptide 2, isoforms alpha/zeta-like</t>
        </is>
      </c>
    </row>
    <row r="10989">
      <c r="A10989" t="inlineStr"/>
      <c r="B10989" t="inlineStr"/>
      <c r="C10989" t="inlineStr"/>
      <c r="D10989" t="inlineStr"/>
      <c r="E10989">
        <f>HYPERLINK("https://www.ncbi.nlm.nih.gov/gene/?term=XP_040266410.1", "XP_040266410.1")</f>
        <v/>
      </c>
      <c r="F10989" t="n">
        <v>38.1</v>
      </c>
      <c r="G10989" t="n">
        <v>118</v>
      </c>
      <c r="H10989" t="n">
        <v>3.74e-16</v>
      </c>
      <c r="I10989" t="inlineStr">
        <is>
          <t>Nr</t>
        </is>
      </c>
      <c r="J10989" t="inlineStr"/>
      <c r="K10989" t="inlineStr"/>
      <c r="L10989" t="inlineStr">
        <is>
          <t>XP_040266410.1 lamina-associated polypeptide 2, isoforms alpha/zeta-like [Bufo bufo]</t>
        </is>
      </c>
      <c r="M10989" t="n">
        <v>446</v>
      </c>
      <c r="N10989" t="inlineStr">
        <is>
          <t>Bufo bufo</t>
        </is>
      </c>
      <c r="O10989" t="inlineStr">
        <is>
          <t>lamina-associated polypeptide 2, isoforms alpha/zeta-like</t>
        </is>
      </c>
    </row>
    <row r="10990">
      <c r="A10990" t="inlineStr"/>
      <c r="B10990" t="inlineStr"/>
      <c r="C10990" t="inlineStr"/>
      <c r="D10990" t="inlineStr"/>
      <c r="E10990">
        <f>HYPERLINK("https://www.uniprot.org/uniprotkb/A0A8C5M1L9/entry", "A0A8C5M1L9")</f>
        <v/>
      </c>
      <c r="F10990" t="n">
        <v>29.9</v>
      </c>
      <c r="G10990" t="n">
        <v>211</v>
      </c>
      <c r="H10990" t="n">
        <v>4.77e-16</v>
      </c>
      <c r="I10990" t="inlineStr">
        <is>
          <t>TrEMBL</t>
        </is>
      </c>
      <c r="J10990" t="inlineStr"/>
      <c r="K10990" t="inlineStr">
        <is>
          <t>A0A8C5M1L9_9ANUR</t>
        </is>
      </c>
      <c r="L10990" t="inlineStr">
        <is>
          <t>tr|A0A8C5M1L9|A0A8C5M1L9_9ANUR Reverse transcriptase domain-containing protein OS=Leptobrachium leishanense OX=445787 PE=4 SV=1</t>
        </is>
      </c>
      <c r="M10990" t="n">
        <v>725</v>
      </c>
      <c r="N10990" t="inlineStr">
        <is>
          <t>Leptobrachium leishanense</t>
        </is>
      </c>
      <c r="O10990" t="inlineStr">
        <is>
          <t>Reverse transcriptase domain-containing protein</t>
        </is>
      </c>
    </row>
    <row r="10991">
      <c r="A10991" t="inlineStr"/>
      <c r="B10991" t="inlineStr"/>
      <c r="C10991" t="inlineStr"/>
      <c r="D10991" t="inlineStr"/>
      <c r="E10991">
        <f>HYPERLINK("https://www.uniprot.org/uniprotkb/A0A8C5QWJ2/entry", "A0A8C5QWJ2")</f>
        <v/>
      </c>
      <c r="F10991" t="n">
        <v>35.8</v>
      </c>
      <c r="G10991" t="n">
        <v>159</v>
      </c>
      <c r="H10991" t="n">
        <v>6.38e-16</v>
      </c>
      <c r="I10991" t="inlineStr">
        <is>
          <t>TrEMBL</t>
        </is>
      </c>
      <c r="J10991" t="inlineStr"/>
      <c r="K10991" t="inlineStr">
        <is>
          <t>A0A8C5QWJ2_9ANUR</t>
        </is>
      </c>
      <c r="L10991" t="inlineStr">
        <is>
          <t>tr|A0A8C5QWJ2|A0A8C5QWJ2_9ANUR Reverse transcriptase domain-containing protein OS=Leptobrachium leishanense OX=445787 PE=4 SV=1</t>
        </is>
      </c>
      <c r="M10991" t="n">
        <v>688</v>
      </c>
      <c r="N10991" t="inlineStr">
        <is>
          <t>Leptobrachium leishanense</t>
        </is>
      </c>
      <c r="O10991" t="inlineStr">
        <is>
          <t>Reverse transcriptase domain-containing protein</t>
        </is>
      </c>
    </row>
    <row r="10992">
      <c r="A10992" t="inlineStr"/>
      <c r="B10992" t="inlineStr"/>
      <c r="C10992" t="inlineStr"/>
      <c r="D10992" t="inlineStr"/>
      <c r="E10992">
        <f>HYPERLINK("https://www.uniprot.org/uniprotkb/A0A8C5WHQ7/entry", "A0A8C5WHQ7")</f>
        <v/>
      </c>
      <c r="F10992" t="n">
        <v>34.2</v>
      </c>
      <c r="G10992" t="n">
        <v>155</v>
      </c>
      <c r="H10992" t="n">
        <v>6.43e-16</v>
      </c>
      <c r="I10992" t="inlineStr">
        <is>
          <t>TrEMBL</t>
        </is>
      </c>
      <c r="J10992" t="inlineStr"/>
      <c r="K10992" t="inlineStr">
        <is>
          <t>A0A8C5WHQ7_9ANUR</t>
        </is>
      </c>
      <c r="L10992" t="inlineStr">
        <is>
          <t>tr|A0A8C5WHQ7|A0A8C5WHQ7_9ANUR Reverse transcriptase domain-containing protein OS=Leptobrachium leishanense OX=445787 PE=4 SV=1</t>
        </is>
      </c>
      <c r="M10992" t="n">
        <v>710</v>
      </c>
      <c r="N10992" t="inlineStr">
        <is>
          <t>Leptobrachium leishanense</t>
        </is>
      </c>
      <c r="O10992" t="inlineStr">
        <is>
          <t>Reverse transcriptase domain-containing protein</t>
        </is>
      </c>
    </row>
    <row r="10993">
      <c r="A10993" t="inlineStr"/>
      <c r="B10993" t="inlineStr"/>
      <c r="C10993" t="inlineStr"/>
      <c r="D10993" t="inlineStr"/>
      <c r="E10993">
        <f>HYPERLINK("https://www.uniprot.org/uniprotkb/A0A8C5N004/entry", "A0A8C5N004")</f>
        <v/>
      </c>
      <c r="F10993" t="n">
        <v>34.5</v>
      </c>
      <c r="G10993" t="n">
        <v>142</v>
      </c>
      <c r="H10993" t="n">
        <v>1.07e-15</v>
      </c>
      <c r="I10993" t="inlineStr">
        <is>
          <t>TrEMBL</t>
        </is>
      </c>
      <c r="J10993" t="inlineStr"/>
      <c r="K10993" t="inlineStr">
        <is>
          <t>A0A8C5N004_9ANUR</t>
        </is>
      </c>
      <c r="L10993" t="inlineStr">
        <is>
          <t>tr|A0A8C5N004|A0A8C5N004_9ANUR Reverse transcriptase domain-containing protein OS=Leptobrachium leishanense OX=445787 PE=4 SV=1</t>
        </is>
      </c>
      <c r="M10993" t="n">
        <v>547</v>
      </c>
      <c r="N10993" t="inlineStr">
        <is>
          <t>Leptobrachium leishanense</t>
        </is>
      </c>
      <c r="O10993" t="inlineStr">
        <is>
          <t>Reverse transcriptase domain-containing protein</t>
        </is>
      </c>
    </row>
    <row r="10994">
      <c r="A10994" t="inlineStr"/>
      <c r="B10994" t="inlineStr"/>
      <c r="C10994" t="inlineStr"/>
      <c r="D10994" t="inlineStr"/>
      <c r="E10994">
        <f>HYPERLINK("https://www.uniprot.org/uniprotkb/A0A8C5PV95/entry", "A0A8C5PV95")</f>
        <v/>
      </c>
      <c r="F10994" t="n">
        <v>29.7</v>
      </c>
      <c r="G10994" t="n">
        <v>209</v>
      </c>
      <c r="H10994" t="n">
        <v>1.15e-15</v>
      </c>
      <c r="I10994" t="inlineStr">
        <is>
          <t>TrEMBL</t>
        </is>
      </c>
      <c r="J10994" t="inlineStr"/>
      <c r="K10994" t="inlineStr">
        <is>
          <t>A0A8C5PV95_9ANUR</t>
        </is>
      </c>
      <c r="L10994" t="inlineStr">
        <is>
          <t>tr|A0A8C5PV95|A0A8C5PV95_9ANUR Reverse transcriptase domain-containing protein OS=Leptobrachium leishanense OX=445787 PE=4 SV=1</t>
        </is>
      </c>
      <c r="M10994" t="n">
        <v>637</v>
      </c>
      <c r="N10994" t="inlineStr">
        <is>
          <t>Leptobrachium leishanense</t>
        </is>
      </c>
      <c r="O10994" t="inlineStr">
        <is>
          <t>Reverse transcriptase domain-containing protein</t>
        </is>
      </c>
    </row>
    <row r="10995">
      <c r="A10995" t="inlineStr"/>
      <c r="B10995" t="inlineStr"/>
      <c r="C10995" t="inlineStr"/>
      <c r="D10995" t="inlineStr"/>
      <c r="E10995">
        <f>HYPERLINK("https://www.uniprot.org/uniprotkb/A0A2G9R804/entry", "A0A2G9R804")</f>
        <v/>
      </c>
      <c r="F10995" t="n">
        <v>31.2</v>
      </c>
      <c r="G10995" t="n">
        <v>202</v>
      </c>
      <c r="H10995" t="n">
        <v>2.84e-15</v>
      </c>
      <c r="I10995" t="inlineStr">
        <is>
          <t>TrEMBL</t>
        </is>
      </c>
      <c r="J10995" t="inlineStr">
        <is>
          <t>AB205_0084290</t>
        </is>
      </c>
      <c r="K10995" t="inlineStr">
        <is>
          <t>A0A2G9R804_LITCT</t>
        </is>
      </c>
      <c r="L10995" t="inlineStr">
        <is>
          <t>tr|A0A2G9R804|A0A2G9R804_LITCT GIY-YIG domain-containing protein OS=Lithobates catesbeianus OX=8400 GN=AB205_0084290 PE=4 SV=1</t>
        </is>
      </c>
      <c r="M10995" t="n">
        <v>624</v>
      </c>
      <c r="N10995" t="inlineStr">
        <is>
          <t>Lithobates catesbeianus</t>
        </is>
      </c>
      <c r="O10995" t="inlineStr">
        <is>
          <t>GIY-YIG domain-containing protein</t>
        </is>
      </c>
    </row>
    <row r="10996">
      <c r="A10996" t="inlineStr"/>
      <c r="B10996" t="inlineStr"/>
      <c r="C10996" t="inlineStr"/>
      <c r="D10996" t="inlineStr"/>
      <c r="E10996">
        <f>HYPERLINK("https://www.uniprot.org/uniprotkb/A0A1A8V764/entry", "A0A1A8V764")</f>
        <v/>
      </c>
      <c r="F10996" t="n">
        <v>31.6</v>
      </c>
      <c r="G10996" t="n">
        <v>206</v>
      </c>
      <c r="H10996" t="n">
        <v>3.29e-15</v>
      </c>
      <c r="I10996" t="inlineStr">
        <is>
          <t>TrEMBL</t>
        </is>
      </c>
      <c r="J10996" t="inlineStr">
        <is>
          <t>Nfu_g_1_024880</t>
        </is>
      </c>
      <c r="K10996" t="inlineStr">
        <is>
          <t>A0A1A8V764_NOTFU</t>
        </is>
      </c>
      <c r="L10996" t="inlineStr">
        <is>
          <t>tr|A0A1A8V764|A0A1A8V764_NOTFU GIY-YIG catalytic domain (Fragment) OS=Nothobranchius furzeri OX=105023 GN=Nfu_g_1_024880 PE=4 SV=1</t>
        </is>
      </c>
      <c r="M10996" t="n">
        <v>480</v>
      </c>
      <c r="N10996" t="inlineStr">
        <is>
          <t>Nothobranchius furzeri</t>
        </is>
      </c>
      <c r="O10996" t="inlineStr">
        <is>
          <t>GIY-YIG catalytic domain (Fragment)</t>
        </is>
      </c>
    </row>
    <row r="10997">
      <c r="A10997" t="inlineStr"/>
      <c r="B10997" t="inlineStr"/>
      <c r="C10997" t="inlineStr"/>
      <c r="D10997" t="inlineStr"/>
      <c r="E10997">
        <f>HYPERLINK("https://www.uniprot.org/uniprotkb/A0A1D2AIA0/entry", "A0A1D2AIA0")</f>
        <v/>
      </c>
      <c r="F10997" t="n">
        <v>33.1</v>
      </c>
      <c r="G10997" t="n">
        <v>142</v>
      </c>
      <c r="H10997" t="n">
        <v>4.35e-15</v>
      </c>
      <c r="I10997" t="inlineStr">
        <is>
          <t>TrEMBL</t>
        </is>
      </c>
      <c r="J10997" t="inlineStr"/>
      <c r="K10997" t="inlineStr">
        <is>
          <t>A0A1D2AIA0_ORNBR</t>
        </is>
      </c>
      <c r="L10997" t="inlineStr">
        <is>
          <t>tr|A0A1D2AIA0|A0A1D2AIA0_ORNBR Polyphosphoinositide phosphatase (Fragment) OS=Ornithodoros brasiliensis OX=888526 PE=4 SV=1</t>
        </is>
      </c>
      <c r="M10997" t="n">
        <v>175</v>
      </c>
      <c r="N10997" t="inlineStr">
        <is>
          <t>Ornithodoros brasiliensis</t>
        </is>
      </c>
      <c r="O10997" t="inlineStr">
        <is>
          <t>Polyphosphoinositide phosphatase (Fragment)</t>
        </is>
      </c>
    </row>
    <row r="10998">
      <c r="A10998" t="inlineStr"/>
      <c r="B10998" t="inlineStr"/>
      <c r="C10998" t="inlineStr"/>
      <c r="D10998" t="inlineStr"/>
      <c r="E10998">
        <f>HYPERLINK("https://www.uniprot.org/uniprotkb/A0A8C5M2E7/entry", "A0A8C5M2E7")</f>
        <v/>
      </c>
      <c r="F10998" t="n">
        <v>29.6</v>
      </c>
      <c r="G10998" t="n">
        <v>199</v>
      </c>
      <c r="H10998" t="n">
        <v>5.37e-15</v>
      </c>
      <c r="I10998" t="inlineStr">
        <is>
          <t>TrEMBL</t>
        </is>
      </c>
      <c r="J10998" t="inlineStr"/>
      <c r="K10998" t="inlineStr">
        <is>
          <t>A0A8C5M2E7_9ANUR</t>
        </is>
      </c>
      <c r="L10998" t="inlineStr">
        <is>
          <t>tr|A0A8C5M2E7|A0A8C5M2E7_9ANUR Reverse transcriptase domain-containing protein OS=Leptobrachium leishanense OX=445787 PE=4 SV=1</t>
        </is>
      </c>
      <c r="M10998" t="n">
        <v>683</v>
      </c>
      <c r="N10998" t="inlineStr">
        <is>
          <t>Leptobrachium leishanense</t>
        </is>
      </c>
      <c r="O10998" t="inlineStr">
        <is>
          <t>Reverse transcriptase domain-containing protein</t>
        </is>
      </c>
    </row>
    <row r="10999">
      <c r="A10999" t="inlineStr"/>
      <c r="B10999" t="inlineStr"/>
      <c r="C10999" t="inlineStr"/>
      <c r="D10999" t="inlineStr"/>
      <c r="E10999">
        <f>HYPERLINK("https://www.uniprot.org/uniprotkb/A0A803JHQ6/entry", "A0A803JHQ6")</f>
        <v/>
      </c>
      <c r="F10999" t="n">
        <v>40.8</v>
      </c>
      <c r="G10999" t="n">
        <v>120</v>
      </c>
      <c r="H10999" t="n">
        <v>6.91e-15</v>
      </c>
      <c r="I10999" t="inlineStr">
        <is>
          <t>TrEMBL</t>
        </is>
      </c>
      <c r="J10999" t="inlineStr"/>
      <c r="K10999" t="inlineStr">
        <is>
          <t>A0A803JHQ6_XENTR</t>
        </is>
      </c>
      <c r="L10999" t="inlineStr">
        <is>
          <t>tr|A0A803JHQ6|A0A803JHQ6_XENTR Reverse transcriptase domain-containing protein OS=Xenopus tropicalis OX=8364 PE=4 SV=1</t>
        </is>
      </c>
      <c r="M10999" t="n">
        <v>584</v>
      </c>
      <c r="N10999" t="inlineStr">
        <is>
          <t>Xenopus tropicalis</t>
        </is>
      </c>
      <c r="O10999" t="inlineStr">
        <is>
          <t>Reverse transcriptase domain-containing protein</t>
        </is>
      </c>
    </row>
    <row r="11000">
      <c r="A11000" t="inlineStr"/>
      <c r="B11000" t="inlineStr"/>
      <c r="C11000" t="inlineStr"/>
      <c r="D11000" t="inlineStr"/>
      <c r="E11000">
        <f>HYPERLINK("https://www.uniprot.org/uniprotkb/A0A6B0VEQ2/entry", "A0A6B0VEQ2")</f>
        <v/>
      </c>
      <c r="F11000" t="n">
        <v>30.2</v>
      </c>
      <c r="G11000" t="n">
        <v>202</v>
      </c>
      <c r="H11000" t="n">
        <v>7.120000000000001e-15</v>
      </c>
      <c r="I11000" t="inlineStr">
        <is>
          <t>TrEMBL</t>
        </is>
      </c>
      <c r="J11000" t="inlineStr"/>
      <c r="K11000" t="inlineStr">
        <is>
          <t>A0A6B0VEQ2_IXORI</t>
        </is>
      </c>
      <c r="L11000" t="inlineStr">
        <is>
          <t>tr|A0A6B0VEQ2|A0A6B0VEQ2_IXORI Putative catalytic giy-yig endonuclease domain of penelope-like elements (Fragment) OS=Ixodes ricinus OX=34613 PE=4 SV=1</t>
        </is>
      </c>
      <c r="M11000" t="n">
        <v>632</v>
      </c>
      <c r="N11000" t="inlineStr">
        <is>
          <t>Ixodes ricinus</t>
        </is>
      </c>
      <c r="O11000" t="inlineStr">
        <is>
          <t>Putative catalytic giy-yig endonuclease domain of penelope-like elements (Fragment)</t>
        </is>
      </c>
    </row>
    <row r="11001">
      <c r="A11001" t="inlineStr"/>
      <c r="B11001" t="inlineStr"/>
      <c r="C11001" t="inlineStr"/>
      <c r="D11001" t="inlineStr"/>
      <c r="E11001">
        <f>HYPERLINK("https://www.uniprot.org/uniprotkb/A0A8C5W8X4/entry", "A0A8C5W8X4")</f>
        <v/>
      </c>
      <c r="F11001" t="n">
        <v>27.6</v>
      </c>
      <c r="G11001" t="n">
        <v>217</v>
      </c>
      <c r="H11001" t="n">
        <v>7.390000000000001e-15</v>
      </c>
      <c r="I11001" t="inlineStr">
        <is>
          <t>TrEMBL</t>
        </is>
      </c>
      <c r="J11001" t="inlineStr"/>
      <c r="K11001" t="inlineStr">
        <is>
          <t>A0A8C5W8X4_9ANUR</t>
        </is>
      </c>
      <c r="L11001" t="inlineStr">
        <is>
          <t>tr|A0A8C5W8X4|A0A8C5W8X4_9ANUR Reverse transcriptase domain-containing protein OS=Leptobrachium leishanense OX=445787 PE=4 SV=1</t>
        </is>
      </c>
      <c r="M11001" t="n">
        <v>716</v>
      </c>
      <c r="N11001" t="inlineStr">
        <is>
          <t>Leptobrachium leishanense</t>
        </is>
      </c>
      <c r="O11001" t="inlineStr">
        <is>
          <t>Reverse transcriptase domain-containing protein</t>
        </is>
      </c>
    </row>
    <row r="11002">
      <c r="A11002" t="inlineStr"/>
      <c r="B11002" t="inlineStr"/>
      <c r="C11002" t="inlineStr"/>
      <c r="D11002" t="inlineStr"/>
      <c r="E11002">
        <f>HYPERLINK("https://www.uniprot.org/uniprotkb/P0CT41/entry", "P0CT41")</f>
        <v/>
      </c>
      <c r="F11002" t="n">
        <v>24.1</v>
      </c>
      <c r="G11002" t="n">
        <v>228</v>
      </c>
      <c r="H11002" t="n">
        <v>1.91e-08</v>
      </c>
      <c r="I11002" t="inlineStr">
        <is>
          <t>Swiss-Prot</t>
        </is>
      </c>
      <c r="J11002" t="inlineStr">
        <is>
          <t>Tf2-12</t>
        </is>
      </c>
      <c r="K11002" t="inlineStr">
        <is>
          <t>TF212_SCHPO</t>
        </is>
      </c>
      <c r="L11002" t="inlineStr">
        <is>
          <t>sp|P0CT41|TF212_SCHPO Transposon Tf2-12 polyprotein OS=Schizosaccharomyces pombe (strain 972 / ATCC 24843) OX=284812 GN=Tf2-12 PE=3 SV=1</t>
        </is>
      </c>
      <c r="M11002" t="n">
        <v>1333</v>
      </c>
      <c r="N11002" t="inlineStr">
        <is>
          <t>Schizosaccharomyces pombe (strain 972 / ATCC 24843)</t>
        </is>
      </c>
      <c r="O11002" t="inlineStr">
        <is>
          <t>Transposon Tf2-12 polyprotein</t>
        </is>
      </c>
    </row>
    <row r="11003">
      <c r="A11003" t="inlineStr"/>
      <c r="B11003" t="inlineStr"/>
      <c r="C11003" t="inlineStr"/>
      <c r="D11003" t="inlineStr"/>
      <c r="E11003">
        <f>HYPERLINK("https://www.uniprot.org/uniprotkb/P0CT34/entry", "P0CT34")</f>
        <v/>
      </c>
      <c r="F11003" t="n">
        <v>24.1</v>
      </c>
      <c r="G11003" t="n">
        <v>228</v>
      </c>
      <c r="H11003" t="n">
        <v>1.91e-08</v>
      </c>
      <c r="I11003" t="inlineStr">
        <is>
          <t>Swiss-Prot</t>
        </is>
      </c>
      <c r="J11003" t="inlineStr">
        <is>
          <t>Tf2-1</t>
        </is>
      </c>
      <c r="K11003" t="inlineStr">
        <is>
          <t>TF21_SCHPO</t>
        </is>
      </c>
      <c r="L11003" t="inlineStr">
        <is>
          <t>sp|P0CT34|TF21_SCHPO Transposon Tf2-1 polyprotein OS=Schizosaccharomyces pombe (strain 972 / ATCC 24843) OX=284812 GN=Tf2-1 PE=3 SV=1</t>
        </is>
      </c>
      <c r="M11003" t="n">
        <v>1333</v>
      </c>
      <c r="N11003" t="inlineStr">
        <is>
          <t>Schizosaccharomyces pombe (strain 972 / ATCC 24843)</t>
        </is>
      </c>
      <c r="O11003" t="inlineStr">
        <is>
          <t>Transposon Tf2-1 polyprotein</t>
        </is>
      </c>
    </row>
    <row r="11004">
      <c r="A11004" t="inlineStr"/>
      <c r="B11004" t="inlineStr"/>
      <c r="C11004" t="inlineStr"/>
      <c r="D11004" t="inlineStr"/>
      <c r="E11004">
        <f>HYPERLINK("https://www.uniprot.org/uniprotkb/P0CT35/entry", "P0CT35")</f>
        <v/>
      </c>
      <c r="F11004" t="n">
        <v>24.1</v>
      </c>
      <c r="G11004" t="n">
        <v>228</v>
      </c>
      <c r="H11004" t="n">
        <v>1.91e-08</v>
      </c>
      <c r="I11004" t="inlineStr">
        <is>
          <t>Swiss-Prot</t>
        </is>
      </c>
      <c r="J11004" t="inlineStr">
        <is>
          <t>Tf2-2</t>
        </is>
      </c>
      <c r="K11004" t="inlineStr">
        <is>
          <t>TF22_SCHPO</t>
        </is>
      </c>
      <c r="L11004" t="inlineStr">
        <is>
          <t>sp|P0CT35|TF22_SCHPO Transposon Tf2-2 polyprotein OS=Schizosaccharomyces pombe (strain 972 / ATCC 24843) OX=284812 GN=Tf2-2 PE=3 SV=1</t>
        </is>
      </c>
      <c r="M11004" t="n">
        <v>1333</v>
      </c>
      <c r="N11004" t="inlineStr">
        <is>
          <t>Schizosaccharomyces pombe (strain 972 / ATCC 24843)</t>
        </is>
      </c>
      <c r="O11004" t="inlineStr">
        <is>
          <t>Transposon Tf2-2 polyprotein</t>
        </is>
      </c>
    </row>
    <row r="11005">
      <c r="A11005" t="inlineStr"/>
      <c r="B11005" t="inlineStr"/>
      <c r="C11005" t="inlineStr"/>
      <c r="D11005" t="inlineStr"/>
      <c r="E11005">
        <f>HYPERLINK("https://www.uniprot.org/uniprotkb/P0CT36/entry", "P0CT36")</f>
        <v/>
      </c>
      <c r="F11005" t="n">
        <v>24.1</v>
      </c>
      <c r="G11005" t="n">
        <v>228</v>
      </c>
      <c r="H11005" t="n">
        <v>1.91e-08</v>
      </c>
      <c r="I11005" t="inlineStr">
        <is>
          <t>Swiss-Prot</t>
        </is>
      </c>
      <c r="J11005" t="inlineStr">
        <is>
          <t>Tf2-3</t>
        </is>
      </c>
      <c r="K11005" t="inlineStr">
        <is>
          <t>TF23_SCHPO</t>
        </is>
      </c>
      <c r="L11005" t="inlineStr">
        <is>
          <t>sp|P0CT36|TF23_SCHPO Transposon Tf2-3 polyprotein OS=Schizosaccharomyces pombe (strain 972 / ATCC 24843) OX=284812 GN=Tf2-3 PE=1 SV=1</t>
        </is>
      </c>
      <c r="M11005" t="n">
        <v>1333</v>
      </c>
      <c r="N11005" t="inlineStr">
        <is>
          <t>Schizosaccharomyces pombe (strain 972 / ATCC 24843)</t>
        </is>
      </c>
      <c r="O11005" t="inlineStr">
        <is>
          <t>Transposon Tf2-3 polyprotein</t>
        </is>
      </c>
    </row>
    <row r="11006">
      <c r="A11006" t="inlineStr"/>
      <c r="B11006" t="inlineStr"/>
      <c r="C11006" t="inlineStr"/>
      <c r="D11006" t="inlineStr"/>
      <c r="E11006">
        <f>HYPERLINK("https://www.uniprot.org/uniprotkb/P0CT37/entry", "P0CT37")</f>
        <v/>
      </c>
      <c r="F11006" t="n">
        <v>24.1</v>
      </c>
      <c r="G11006" t="n">
        <v>228</v>
      </c>
      <c r="H11006" t="n">
        <v>1.91e-08</v>
      </c>
      <c r="I11006" t="inlineStr">
        <is>
          <t>Swiss-Prot</t>
        </is>
      </c>
      <c r="J11006" t="inlineStr">
        <is>
          <t>Tf2-4</t>
        </is>
      </c>
      <c r="K11006" t="inlineStr">
        <is>
          <t>TF24_SCHPO</t>
        </is>
      </c>
      <c r="L11006" t="inlineStr">
        <is>
          <t>sp|P0CT37|TF24_SCHPO Transposon Tf2-4 polyprotein OS=Schizosaccharomyces pombe (strain 972 / ATCC 24843) OX=284812 GN=Tf2-4 PE=3 SV=1</t>
        </is>
      </c>
      <c r="M11006" t="n">
        <v>1333</v>
      </c>
      <c r="N11006" t="inlineStr">
        <is>
          <t>Schizosaccharomyces pombe (strain 972 / ATCC 24843)</t>
        </is>
      </c>
      <c r="O11006" t="inlineStr">
        <is>
          <t>Transposon Tf2-4 polyprotein</t>
        </is>
      </c>
    </row>
    <row r="11007">
      <c r="A11007" t="inlineStr"/>
      <c r="B11007" t="inlineStr"/>
      <c r="C11007" t="inlineStr"/>
      <c r="D11007" t="inlineStr"/>
      <c r="E11007">
        <f>HYPERLINK("https://www.uniprot.org/uniprotkb/P0CT38/entry", "P0CT38")</f>
        <v/>
      </c>
      <c r="F11007" t="n">
        <v>24.1</v>
      </c>
      <c r="G11007" t="n">
        <v>228</v>
      </c>
      <c r="H11007" t="n">
        <v>1.91e-08</v>
      </c>
      <c r="I11007" t="inlineStr">
        <is>
          <t>Swiss-Prot</t>
        </is>
      </c>
      <c r="J11007" t="inlineStr">
        <is>
          <t>Tf2-5</t>
        </is>
      </c>
      <c r="K11007" t="inlineStr">
        <is>
          <t>TF25_SCHPO</t>
        </is>
      </c>
      <c r="L11007" t="inlineStr">
        <is>
          <t>sp|P0CT38|TF25_SCHPO Transposon Tf2-5 polyprotein OS=Schizosaccharomyces pombe (strain 972 / ATCC 24843) OX=284812 GN=Tf2-5 PE=3 SV=1</t>
        </is>
      </c>
      <c r="M11007" t="n">
        <v>1333</v>
      </c>
      <c r="N11007" t="inlineStr">
        <is>
          <t>Schizosaccharomyces pombe (strain 972 / ATCC 24843)</t>
        </is>
      </c>
      <c r="O11007" t="inlineStr">
        <is>
          <t>Transposon Tf2-5 polyprotein</t>
        </is>
      </c>
    </row>
    <row r="11008">
      <c r="A11008" t="inlineStr"/>
      <c r="B11008" t="inlineStr"/>
      <c r="C11008" t="inlineStr"/>
      <c r="D11008" t="inlineStr"/>
      <c r="E11008">
        <f>HYPERLINK("https://www.uniprot.org/uniprotkb/P0CT39/entry", "P0CT39")</f>
        <v/>
      </c>
      <c r="F11008" t="n">
        <v>24.1</v>
      </c>
      <c r="G11008" t="n">
        <v>228</v>
      </c>
      <c r="H11008" t="n">
        <v>1.91e-08</v>
      </c>
      <c r="I11008" t="inlineStr">
        <is>
          <t>Swiss-Prot</t>
        </is>
      </c>
      <c r="J11008" t="inlineStr">
        <is>
          <t>Tf2-6</t>
        </is>
      </c>
      <c r="K11008" t="inlineStr">
        <is>
          <t>TF26_SCHPO</t>
        </is>
      </c>
      <c r="L11008" t="inlineStr">
        <is>
          <t>sp|P0CT39|TF26_SCHPO Transposon Tf2-6 polyprotein OS=Schizosaccharomyces pombe (strain 972 / ATCC 24843) OX=284812 GN=Tf2-6 PE=3 SV=1</t>
        </is>
      </c>
      <c r="M11008" t="n">
        <v>1333</v>
      </c>
      <c r="N11008" t="inlineStr">
        <is>
          <t>Schizosaccharomyces pombe (strain 972 / ATCC 24843)</t>
        </is>
      </c>
      <c r="O11008" t="inlineStr">
        <is>
          <t>Transposon Tf2-6 polyprotein</t>
        </is>
      </c>
    </row>
    <row r="11009">
      <c r="A11009" t="inlineStr"/>
      <c r="B11009" t="inlineStr"/>
      <c r="C11009" t="inlineStr"/>
      <c r="D11009" t="inlineStr"/>
      <c r="E11009">
        <f>HYPERLINK("https://www.uniprot.org/uniprotkb/P0CT40/entry", "P0CT40")</f>
        <v/>
      </c>
      <c r="F11009" t="n">
        <v>24.1</v>
      </c>
      <c r="G11009" t="n">
        <v>228</v>
      </c>
      <c r="H11009" t="n">
        <v>1.91e-08</v>
      </c>
      <c r="I11009" t="inlineStr">
        <is>
          <t>Swiss-Prot</t>
        </is>
      </c>
      <c r="J11009" t="inlineStr">
        <is>
          <t>Tf2-9</t>
        </is>
      </c>
      <c r="K11009" t="inlineStr">
        <is>
          <t>TF29_SCHPO</t>
        </is>
      </c>
      <c r="L11009" t="inlineStr">
        <is>
          <t>sp|P0CT40|TF29_SCHPO Transposon Tf2-9 polyprotein OS=Schizosaccharomyces pombe (strain 972 / ATCC 24843) OX=284812 GN=Tf2-9 PE=3 SV=1</t>
        </is>
      </c>
      <c r="M11009" t="n">
        <v>1333</v>
      </c>
      <c r="N11009" t="inlineStr">
        <is>
          <t>Schizosaccharomyces pombe (strain 972 / ATCC 24843)</t>
        </is>
      </c>
      <c r="O11009" t="inlineStr">
        <is>
          <t>Transposon Tf2-9 polyprotein</t>
        </is>
      </c>
    </row>
    <row r="11010">
      <c r="A11010" t="inlineStr"/>
      <c r="B11010" t="inlineStr"/>
      <c r="C11010" t="inlineStr"/>
      <c r="D11010" t="inlineStr"/>
      <c r="E11010">
        <f>HYPERLINK("https://www.uniprot.org/uniprotkb/P27401/entry", "P27401")</f>
        <v/>
      </c>
      <c r="F11010" t="n">
        <v>24.8</v>
      </c>
      <c r="G11010" t="n">
        <v>202</v>
      </c>
      <c r="H11010" t="n">
        <v>2.47e-08</v>
      </c>
      <c r="I11010" t="inlineStr">
        <is>
          <t>Swiss-Prot</t>
        </is>
      </c>
      <c r="J11010" t="inlineStr">
        <is>
          <t>pol</t>
        </is>
      </c>
      <c r="K11010" t="inlineStr">
        <is>
          <t>POL_SFV3L</t>
        </is>
      </c>
      <c r="L11010" t="inlineStr">
        <is>
          <t>sp|P27401|POL_SFV3L Pro-Pol polyprotein OS=Simian foamy virus type 3 (strain LK3) OX=11644 GN=pol PE=3 SV=2</t>
        </is>
      </c>
      <c r="M11010" t="n">
        <v>1143</v>
      </c>
      <c r="N11010" t="inlineStr">
        <is>
          <t>Simian foamy virus type 3 (strain LK3)</t>
        </is>
      </c>
      <c r="O11010" t="inlineStr">
        <is>
          <t>Pro-Pol polyprotein</t>
        </is>
      </c>
    </row>
    <row r="11011">
      <c r="A11011" t="inlineStr"/>
      <c r="B11011" t="inlineStr"/>
      <c r="C11011" t="inlineStr"/>
      <c r="D11011" t="inlineStr"/>
      <c r="E11011">
        <f>HYPERLINK("https://www.uniprot.org/uniprotkb/Q61033/entry", "Q61033")</f>
        <v/>
      </c>
      <c r="F11011" t="n">
        <v>31.2</v>
      </c>
      <c r="G11011" t="n">
        <v>138</v>
      </c>
      <c r="H11011" t="n">
        <v>2.57e-08</v>
      </c>
      <c r="I11011" t="inlineStr">
        <is>
          <t>Swiss-Prot</t>
        </is>
      </c>
      <c r="J11011" t="inlineStr">
        <is>
          <t>Tmpo</t>
        </is>
      </c>
      <c r="K11011" t="inlineStr">
        <is>
          <t>LAP2A_MOUSE</t>
        </is>
      </c>
      <c r="L11011" t="inlineStr">
        <is>
          <t>sp|Q61033|LAP2A_MOUSE Lamina-associated polypeptide 2, isoforms alpha/zeta OS=Mus musculus OX=10090 GN=Tmpo PE=1 SV=4</t>
        </is>
      </c>
      <c r="M11011" t="n">
        <v>693</v>
      </c>
      <c r="N11011" t="inlineStr">
        <is>
          <t>Mus musculus</t>
        </is>
      </c>
      <c r="O11011" t="inlineStr">
        <is>
          <t>Lamina-associated polypeptide 2, isoforms alpha/zeta</t>
        </is>
      </c>
    </row>
    <row r="11012">
      <c r="A11012" t="inlineStr"/>
      <c r="B11012" t="inlineStr"/>
      <c r="C11012" t="inlineStr"/>
      <c r="D11012" t="inlineStr"/>
      <c r="E11012">
        <f>HYPERLINK("https://www.uniprot.org/uniprotkb/Q09575/entry", "Q09575")</f>
        <v/>
      </c>
      <c r="F11012" t="n">
        <v>29.7</v>
      </c>
      <c r="G11012" t="n">
        <v>195</v>
      </c>
      <c r="H11012" t="n">
        <v>4.45e-08</v>
      </c>
      <c r="I11012" t="inlineStr">
        <is>
          <t>Swiss-Prot</t>
        </is>
      </c>
      <c r="J11012" t="inlineStr">
        <is>
          <t>K02A2.6</t>
        </is>
      </c>
      <c r="K11012" t="inlineStr">
        <is>
          <t>YRD6_CAEEL</t>
        </is>
      </c>
      <c r="L11012" t="inlineStr">
        <is>
          <t>sp|Q09575|YRD6_CAEEL Uncharacterized protein K02A2.6 OS=Caenorhabditis elegans OX=6239 GN=K02A2.6 PE=4 SV=1</t>
        </is>
      </c>
      <c r="M11012" t="n">
        <v>1268</v>
      </c>
      <c r="N11012" t="inlineStr">
        <is>
          <t>Caenorhabditis elegans</t>
        </is>
      </c>
      <c r="O11012" t="inlineStr">
        <is>
          <t>Uncharacterized protein K02A2.6</t>
        </is>
      </c>
    </row>
    <row r="11013">
      <c r="A11013" t="inlineStr"/>
      <c r="B11013" t="inlineStr"/>
      <c r="C11013" t="inlineStr"/>
      <c r="D11013" t="inlineStr"/>
      <c r="E11013">
        <f>HYPERLINK("https://www.uniprot.org/uniprotkb/Q8I7P9/entry", "Q8I7P9")</f>
        <v/>
      </c>
      <c r="F11013" t="n">
        <v>26.7</v>
      </c>
      <c r="G11013" t="n">
        <v>176</v>
      </c>
      <c r="H11013" t="n">
        <v>7.479999999999999e-08</v>
      </c>
      <c r="I11013" t="inlineStr">
        <is>
          <t>Swiss-Prot</t>
        </is>
      </c>
      <c r="J11013" t="inlineStr">
        <is>
          <t>pol</t>
        </is>
      </c>
      <c r="K11013" t="inlineStr">
        <is>
          <t>POL5_DROME</t>
        </is>
      </c>
      <c r="L11013" t="inlineStr">
        <is>
          <t>sp|Q8I7P9|POL5_DROME Retrovirus-related Pol polyprotein from transposon opus OS=Drosophila melanogaster OX=7227 GN=pol PE=4 SV=1</t>
        </is>
      </c>
      <c r="M11013" t="n">
        <v>1003</v>
      </c>
      <c r="N11013" t="inlineStr">
        <is>
          <t>Drosophila melanogaster</t>
        </is>
      </c>
      <c r="O11013" t="inlineStr">
        <is>
          <t>Retrovirus-related Pol polyprotein from transposon opus</t>
        </is>
      </c>
    </row>
    <row r="11014">
      <c r="A11014" t="inlineStr"/>
      <c r="B11014" t="inlineStr"/>
      <c r="C11014" t="inlineStr"/>
      <c r="D11014" t="inlineStr"/>
      <c r="E11014">
        <f>HYPERLINK("https://www.uniprot.org/uniprotkb/P0C211/entry", "P0C211")</f>
        <v/>
      </c>
      <c r="F11014" t="n">
        <v>27.2</v>
      </c>
      <c r="G11014" t="n">
        <v>228</v>
      </c>
      <c r="H11014" t="n">
        <v>8.040000000000001e-08</v>
      </c>
      <c r="I11014" t="inlineStr">
        <is>
          <t>Swiss-Prot</t>
        </is>
      </c>
      <c r="J11014" t="inlineStr">
        <is>
          <t>gag-pro-pol</t>
        </is>
      </c>
      <c r="K11014" t="inlineStr">
        <is>
          <t>POL_HTL1L</t>
        </is>
      </c>
      <c r="L11014" t="inlineStr">
        <is>
          <t>sp|P0C211|POL_HTL1L Gag-Pro-Pol polyprotein OS=Human T-cell leukemia virus 1 (isolate Melanesia mel5 subtype C) OX=402046 GN=gag-pro-pol PE=3 SV=2</t>
        </is>
      </c>
      <c r="M11014" t="n">
        <v>1462</v>
      </c>
      <c r="N11014" t="inlineStr">
        <is>
          <t>Human T-cell leukemia virus 1 (isolate Melanesia mel5 subtype C)</t>
        </is>
      </c>
      <c r="O11014" t="inlineStr">
        <is>
          <t>Gag-Pro-Pol polyprotein</t>
        </is>
      </c>
    </row>
    <row r="11015">
      <c r="A11015" t="inlineStr"/>
      <c r="B11015" t="inlineStr"/>
      <c r="C11015" t="inlineStr"/>
      <c r="D11015" t="inlineStr"/>
      <c r="E11015">
        <f>HYPERLINK("https://www.uniprot.org/uniprotkb/P03365/entry", "P03365")</f>
        <v/>
      </c>
      <c r="F11015" t="n">
        <v>25</v>
      </c>
      <c r="G11015" t="n">
        <v>232</v>
      </c>
      <c r="H11015" t="n">
        <v>1.09e-07</v>
      </c>
      <c r="I11015" t="inlineStr">
        <is>
          <t>Swiss-Prot</t>
        </is>
      </c>
      <c r="J11015" t="inlineStr">
        <is>
          <t>gag-pro-pol</t>
        </is>
      </c>
      <c r="K11015" t="inlineStr">
        <is>
          <t>POL_MMTVB</t>
        </is>
      </c>
      <c r="L11015" t="inlineStr">
        <is>
          <t>sp|P03365|POL_MMTVB Gag-Pro-Pol polyprotein OS=Mouse mammary tumor virus (strain BR6) OX=11758 GN=gag-pro-pol PE=1 SV=3</t>
        </is>
      </c>
      <c r="M11015" t="n">
        <v>1755</v>
      </c>
      <c r="N11015" t="inlineStr">
        <is>
          <t>Mouse mammary tumor virus (strain BR6)</t>
        </is>
      </c>
      <c r="O11015" t="inlineStr">
        <is>
          <t>Gag-Pro-Pol polyprotein</t>
        </is>
      </c>
    </row>
    <row r="11016">
      <c r="A11016" t="inlineStr"/>
      <c r="B11016" t="inlineStr"/>
      <c r="C11016" t="inlineStr"/>
      <c r="D11016" t="inlineStr"/>
      <c r="E11016">
        <f>HYPERLINK("https://www.uniprot.org/uniprotkb/P11283/entry", "P11283")</f>
        <v/>
      </c>
      <c r="F11016" t="n">
        <v>24.6</v>
      </c>
      <c r="G11016" t="n">
        <v>232</v>
      </c>
      <c r="H11016" t="n">
        <v>2.56e-07</v>
      </c>
      <c r="I11016" t="inlineStr">
        <is>
          <t>Swiss-Prot</t>
        </is>
      </c>
      <c r="J11016" t="inlineStr">
        <is>
          <t>gag-pro-pol</t>
        </is>
      </c>
      <c r="K11016" t="inlineStr">
        <is>
          <t>POL_MMTVC</t>
        </is>
      </c>
      <c r="L11016" t="inlineStr">
        <is>
          <t>sp|P11283|POL_MMTVC Gag-Pro-Pol polyprotein OS=Mouse mammary tumor virus (strain C3H) OX=11759 GN=gag-pro-pol PE=1 SV=2</t>
        </is>
      </c>
      <c r="M11016" t="n">
        <v>1755</v>
      </c>
      <c r="N11016" t="inlineStr">
        <is>
          <t>Mouse mammary tumor virus (strain C3H)</t>
        </is>
      </c>
      <c r="O11016" t="inlineStr">
        <is>
          <t>Gag-Pro-Pol polyprotein</t>
        </is>
      </c>
    </row>
    <row r="11017">
      <c r="A11017" t="inlineStr"/>
      <c r="B11017" t="inlineStr"/>
      <c r="C11017" t="inlineStr"/>
      <c r="D11017" t="inlineStr"/>
      <c r="E11017">
        <f>HYPERLINK("https://www.uniprot.org/uniprotkb/P14078/entry", "P14078")</f>
        <v/>
      </c>
      <c r="F11017" t="n">
        <v>27.2</v>
      </c>
      <c r="G11017" t="n">
        <v>228</v>
      </c>
      <c r="H11017" t="n">
        <v>3.31e-07</v>
      </c>
      <c r="I11017" t="inlineStr">
        <is>
          <t>Swiss-Prot</t>
        </is>
      </c>
      <c r="J11017" t="inlineStr">
        <is>
          <t>gag-pro-pol</t>
        </is>
      </c>
      <c r="K11017" t="inlineStr">
        <is>
          <t>POL_HTL1C</t>
        </is>
      </c>
      <c r="L11017" t="inlineStr">
        <is>
          <t>sp|P14078|POL_HTL1C Gag-Pro-Pol polyprotein OS=Human T-cell leukemia virus 1 (isolate Caribbea HS-35 subtype A) OX=11927 GN=gag-pro-pol PE=1 SV=3</t>
        </is>
      </c>
      <c r="M11017" t="n">
        <v>1462</v>
      </c>
      <c r="N11017" t="inlineStr">
        <is>
          <t>Human T-cell leukemia virus 1 (isolate Caribbea HS-35 subtype A)</t>
        </is>
      </c>
      <c r="O11017" t="inlineStr">
        <is>
          <t>Gag-Pro-Pol polyprotein</t>
        </is>
      </c>
    </row>
    <row r="11018">
      <c r="A11018" t="inlineStr"/>
      <c r="B11018" t="inlineStr"/>
      <c r="C11018" t="inlineStr"/>
      <c r="D11018" t="inlineStr"/>
      <c r="E11018">
        <f>HYPERLINK("https://www.uniprot.org/uniprotkb/P09523/entry", "P09523")</f>
        <v/>
      </c>
      <c r="F11018" t="n">
        <v>23.2</v>
      </c>
      <c r="G11018" t="n">
        <v>207</v>
      </c>
      <c r="H11018" t="n">
        <v>4.82e-07</v>
      </c>
      <c r="I11018" t="inlineStr">
        <is>
          <t>Swiss-Prot</t>
        </is>
      </c>
      <c r="J11018" t="inlineStr">
        <is>
          <t>ORF V</t>
        </is>
      </c>
      <c r="K11018" t="inlineStr">
        <is>
          <t>POL_FMVD</t>
        </is>
      </c>
      <c r="L11018" t="inlineStr">
        <is>
          <t>sp|P09523|POL_FMVD Enzymatic polyprotein OS=Figwort mosaic virus (strain DxS) OX=10650 GN=ORF V PE=3 SV=1</t>
        </is>
      </c>
      <c r="M11018" t="n">
        <v>666</v>
      </c>
      <c r="N11018" t="inlineStr">
        <is>
          <t>Figwort mosaic virus (strain DxS)</t>
        </is>
      </c>
      <c r="O11018" t="inlineStr">
        <is>
          <t>Enzymatic polyprotein</t>
        </is>
      </c>
    </row>
    <row r="11019">
      <c r="A11019" t="inlineStr"/>
      <c r="B11019" t="inlineStr"/>
      <c r="C11019" t="inlineStr"/>
      <c r="D11019" t="inlineStr"/>
      <c r="E11019">
        <f>HYPERLINK("https://www.uniprot.org/uniprotkb/P23074/entry", "P23074")</f>
        <v/>
      </c>
      <c r="F11019" t="n">
        <v>22.8</v>
      </c>
      <c r="G11019" t="n">
        <v>202</v>
      </c>
      <c r="H11019" t="n">
        <v>7.43e-07</v>
      </c>
      <c r="I11019" t="inlineStr">
        <is>
          <t>Swiss-Prot</t>
        </is>
      </c>
      <c r="J11019" t="inlineStr">
        <is>
          <t>pol</t>
        </is>
      </c>
      <c r="K11019" t="inlineStr">
        <is>
          <t>POL_SFV1</t>
        </is>
      </c>
      <c r="L11019" t="inlineStr">
        <is>
          <t>sp|P23074|POL_SFV1 Pro-Pol polyprotein OS=Simian foamy virus type 1 OX=338478 GN=pol PE=1 SV=3</t>
        </is>
      </c>
      <c r="M11019" t="n">
        <v>1149</v>
      </c>
      <c r="N11019" t="inlineStr">
        <is>
          <t>Simian foamy virus type 1</t>
        </is>
      </c>
      <c r="O11019" t="inlineStr">
        <is>
          <t>Pro-Pol polyprotein</t>
        </is>
      </c>
    </row>
    <row r="11020">
      <c r="A11020" t="inlineStr"/>
      <c r="B11020" t="inlineStr"/>
      <c r="C11020" t="inlineStr"/>
      <c r="D11020" t="inlineStr"/>
      <c r="E11020">
        <f>HYPERLINK("https://www.uniprot.org/uniprotkb/Q9UR07/entry", "Q9UR07")</f>
        <v/>
      </c>
      <c r="F11020" t="n">
        <v>22.8</v>
      </c>
      <c r="G11020" t="n">
        <v>228</v>
      </c>
      <c r="H11020" t="n">
        <v>1.34e-06</v>
      </c>
      <c r="I11020" t="inlineStr">
        <is>
          <t>Swiss-Prot</t>
        </is>
      </c>
      <c r="J11020" t="inlineStr">
        <is>
          <t>Tf2-11</t>
        </is>
      </c>
      <c r="K11020" t="inlineStr">
        <is>
          <t>TF211_SCHPO</t>
        </is>
      </c>
      <c r="L11020" t="inlineStr">
        <is>
          <t>sp|Q9UR07|TF211_SCHPO Transposon Tf2-11 polyprotein OS=Schizosaccharomyces pombe (strain 972 / ATCC 24843) OX=284812 GN=Tf2-11 PE=3 SV=1</t>
        </is>
      </c>
      <c r="M11020" t="n">
        <v>1333</v>
      </c>
      <c r="N11020" t="inlineStr">
        <is>
          <t>Schizosaccharomyces pombe (strain 972 / ATCC 24843)</t>
        </is>
      </c>
      <c r="O11020" t="inlineStr">
        <is>
          <t>Transposon Tf2-11 polyprotein</t>
        </is>
      </c>
    </row>
    <row r="11021">
      <c r="A11021" t="inlineStr"/>
      <c r="B11021" t="inlineStr"/>
      <c r="C11021" t="inlineStr"/>
      <c r="D11021" t="inlineStr"/>
      <c r="E11021">
        <f>HYPERLINK("https://www.uniprot.org/uniprotkb/P0CT42/entry", "P0CT42")</f>
        <v/>
      </c>
      <c r="F11021" t="n">
        <v>22.8</v>
      </c>
      <c r="G11021" t="n">
        <v>228</v>
      </c>
      <c r="H11021" t="n">
        <v>1.34e-06</v>
      </c>
      <c r="I11021" t="inlineStr">
        <is>
          <t>Swiss-Prot</t>
        </is>
      </c>
      <c r="J11021" t="inlineStr">
        <is>
          <t>Tf2-7</t>
        </is>
      </c>
      <c r="K11021" t="inlineStr">
        <is>
          <t>TF27_SCHPO</t>
        </is>
      </c>
      <c r="L11021" t="inlineStr">
        <is>
          <t>sp|P0CT42|TF27_SCHPO Transposon Tf2-7 polyprotein OS=Schizosaccharomyces pombe (strain 972 / ATCC 24843) OX=284812 GN=Tf2-7 PE=3 SV=1</t>
        </is>
      </c>
      <c r="M11021" t="n">
        <v>1333</v>
      </c>
      <c r="N11021" t="inlineStr">
        <is>
          <t>Schizosaccharomyces pombe (strain 972 / ATCC 24843)</t>
        </is>
      </c>
      <c r="O11021" t="inlineStr">
        <is>
          <t>Transposon Tf2-7 polyprotein</t>
        </is>
      </c>
    </row>
    <row r="11022">
      <c r="A11022" t="inlineStr"/>
      <c r="B11022" t="inlineStr"/>
      <c r="C11022" t="inlineStr"/>
      <c r="D11022" t="inlineStr"/>
      <c r="E11022">
        <f>HYPERLINK("https://www.uniprot.org/uniprotkb/P0CT43/entry", "P0CT43")</f>
        <v/>
      </c>
      <c r="F11022" t="n">
        <v>22.8</v>
      </c>
      <c r="G11022" t="n">
        <v>228</v>
      </c>
      <c r="H11022" t="n">
        <v>1.34e-06</v>
      </c>
      <c r="I11022" t="inlineStr">
        <is>
          <t>Swiss-Prot</t>
        </is>
      </c>
      <c r="J11022" t="inlineStr">
        <is>
          <t>Tf2-8</t>
        </is>
      </c>
      <c r="K11022" t="inlineStr">
        <is>
          <t>TF28_SCHPO</t>
        </is>
      </c>
      <c r="L11022" t="inlineStr">
        <is>
          <t>sp|P0CT43|TF28_SCHPO Transposon Tf2-8 polyprotein OS=Schizosaccharomyces pombe (strain 972 / ATCC 24843) OX=284812 GN=Tf2-8 PE=3 SV=1</t>
        </is>
      </c>
      <c r="M11022" t="n">
        <v>1333</v>
      </c>
      <c r="N11022" t="inlineStr">
        <is>
          <t>Schizosaccharomyces pombe (strain 972 / ATCC 24843)</t>
        </is>
      </c>
      <c r="O11022" t="inlineStr">
        <is>
          <t>Transposon Tf2-8 polyprotein</t>
        </is>
      </c>
    </row>
    <row r="11023">
      <c r="A11023" t="inlineStr"/>
      <c r="B11023" t="inlineStr"/>
      <c r="C11023" t="inlineStr"/>
      <c r="D11023" t="inlineStr"/>
      <c r="E11023">
        <f>HYPERLINK("https://www.uniprot.org/uniprotkb/O93209/entry", "O93209")</f>
        <v/>
      </c>
      <c r="F11023" t="n">
        <v>24.8</v>
      </c>
      <c r="G11023" t="n">
        <v>202</v>
      </c>
      <c r="H11023" t="n">
        <v>1.74e-06</v>
      </c>
      <c r="I11023" t="inlineStr">
        <is>
          <t>Swiss-Prot</t>
        </is>
      </c>
      <c r="J11023" t="inlineStr">
        <is>
          <t>pol</t>
        </is>
      </c>
      <c r="K11023" t="inlineStr">
        <is>
          <t>POL_FFV</t>
        </is>
      </c>
      <c r="L11023" t="inlineStr">
        <is>
          <t>sp|O93209|POL_FFV Pro-Pol polyprotein OS=Feline foamy virus OX=53182 GN=pol PE=3 SV=1</t>
        </is>
      </c>
      <c r="M11023" t="n">
        <v>1156</v>
      </c>
      <c r="N11023" t="inlineStr">
        <is>
          <t>Feline foamy virus</t>
        </is>
      </c>
      <c r="O11023" t="inlineStr">
        <is>
          <t>Pro-Pol polyprotein</t>
        </is>
      </c>
    </row>
    <row r="11024">
      <c r="A11024" t="inlineStr"/>
      <c r="B11024" t="inlineStr"/>
      <c r="C11024" t="inlineStr"/>
      <c r="D11024" t="inlineStr"/>
      <c r="E11024">
        <f>HYPERLINK("https://www.uniprot.org/uniprotkb/P03362/entry", "P03362")</f>
        <v/>
      </c>
      <c r="F11024" t="n">
        <v>27.6</v>
      </c>
      <c r="G11024" t="n">
        <v>232</v>
      </c>
      <c r="H11024" t="n">
        <v>1.8e-06</v>
      </c>
      <c r="I11024" t="inlineStr">
        <is>
          <t>Swiss-Prot</t>
        </is>
      </c>
      <c r="J11024" t="inlineStr">
        <is>
          <t>gag-pro-pol</t>
        </is>
      </c>
      <c r="K11024" t="inlineStr">
        <is>
          <t>POL_HTL1A</t>
        </is>
      </c>
      <c r="L11024" t="inlineStr">
        <is>
          <t>sp|P03362|POL_HTL1A Gag-Pro-Pol polyprotein OS=Human T-cell leukemia virus 1 (strain Japan ATK-1 subtype A) OX=11926 GN=gag-pro-pol PE=1 SV=3</t>
        </is>
      </c>
      <c r="M11024" t="n">
        <v>1462</v>
      </c>
      <c r="N11024" t="inlineStr">
        <is>
          <t>Human T-cell leukemia virus 1 (strain Japan ATK-1 subtype A)</t>
        </is>
      </c>
      <c r="O11024" t="inlineStr">
        <is>
          <t>Gag-Pro-Pol polyprotein</t>
        </is>
      </c>
    </row>
    <row r="11025">
      <c r="A11025" t="inlineStr"/>
      <c r="B11025" t="inlineStr"/>
      <c r="C11025" t="inlineStr"/>
      <c r="D11025" t="inlineStr"/>
      <c r="E11025">
        <f>HYPERLINK("https://www.uniprot.org/uniprotkb/P42166/entry", "P42166")</f>
        <v/>
      </c>
      <c r="F11025" t="n">
        <v>41.1</v>
      </c>
      <c r="G11025" t="n">
        <v>56</v>
      </c>
      <c r="H11025" t="n">
        <v>1.92e-06</v>
      </c>
      <c r="I11025" t="inlineStr">
        <is>
          <t>Swiss-Prot</t>
        </is>
      </c>
      <c r="J11025" t="inlineStr">
        <is>
          <t>TMPO</t>
        </is>
      </c>
      <c r="K11025" t="inlineStr">
        <is>
          <t>LAP2A_HUMAN</t>
        </is>
      </c>
      <c r="L11025" t="inlineStr">
        <is>
          <t>sp|P42166|LAP2A_HUMAN Lamina-associated polypeptide 2, isoform alpha OS=Homo sapiens OX=9606 GN=TMPO PE=1 SV=2</t>
        </is>
      </c>
      <c r="M11025" t="n">
        <v>694</v>
      </c>
      <c r="N11025" t="inlineStr">
        <is>
          <t>Homo sapiens</t>
        </is>
      </c>
      <c r="O11025" t="inlineStr">
        <is>
          <t>Lamina-associated polypeptide 2, isoform alpha</t>
        </is>
      </c>
    </row>
    <row r="11026">
      <c r="A11026" t="inlineStr"/>
      <c r="B11026" t="inlineStr"/>
      <c r="C11026" t="inlineStr"/>
      <c r="D11026" t="inlineStr"/>
      <c r="E11026">
        <f>HYPERLINK("https://www.uniprot.org/uniprotkb/P30028/entry", "P30028")</f>
        <v/>
      </c>
      <c r="F11026" t="n">
        <v>27.1</v>
      </c>
      <c r="G11026" t="n">
        <v>170</v>
      </c>
      <c r="H11026" t="n">
        <v>2.1e-06</v>
      </c>
      <c r="I11026" t="inlineStr">
        <is>
          <t>Swiss-Prot</t>
        </is>
      </c>
      <c r="J11026" t="inlineStr">
        <is>
          <t>P</t>
        </is>
      </c>
      <c r="K11026" t="inlineStr">
        <is>
          <t>DPOL_HPBDC</t>
        </is>
      </c>
      <c r="L11026" t="inlineStr">
        <is>
          <t>sp|P30028|DPOL_HPBDC Protein P OS=Duck hepatitis B virus (strain China) OX=31510 GN=P PE=3 SV=1</t>
        </is>
      </c>
      <c r="M11026" t="n">
        <v>787</v>
      </c>
      <c r="N11026" t="inlineStr">
        <is>
          <t>Duck hepatitis B virus (strain China)</t>
        </is>
      </c>
      <c r="O11026" t="inlineStr">
        <is>
          <t>Protein P</t>
        </is>
      </c>
    </row>
    <row r="11027">
      <c r="A11027" t="inlineStr"/>
      <c r="B11027" t="inlineStr"/>
      <c r="C11027" t="inlineStr"/>
      <c r="D11027" t="inlineStr"/>
      <c r="E11027">
        <f>HYPERLINK("https://www.uniprot.org/uniprotkb/P0C691/entry", "P0C691")</f>
        <v/>
      </c>
      <c r="F11027" t="n">
        <v>27.1</v>
      </c>
      <c r="G11027" t="n">
        <v>170</v>
      </c>
      <c r="H11027" t="n">
        <v>4.91e-06</v>
      </c>
      <c r="I11027" t="inlineStr">
        <is>
          <t>Swiss-Prot</t>
        </is>
      </c>
      <c r="J11027" t="inlineStr">
        <is>
          <t>P</t>
        </is>
      </c>
      <c r="K11027" t="inlineStr">
        <is>
          <t>DPOL_DHBV3</t>
        </is>
      </c>
      <c r="L11027" t="inlineStr">
        <is>
          <t>sp|P0C691|DPOL_DHBV3 Protein P OS=Duck hepatitis B virus (strain Germany/DHBV-3) OX=489542 GN=P PE=1 SV=1</t>
        </is>
      </c>
      <c r="M11027" t="n">
        <v>786</v>
      </c>
      <c r="N11027" t="inlineStr">
        <is>
          <t>Duck hepatitis B virus (strain Germany/DHBV-3)</t>
        </is>
      </c>
      <c r="O11027" t="inlineStr">
        <is>
          <t>Protein P</t>
        </is>
      </c>
    </row>
    <row r="11028">
      <c r="A11028" t="inlineStr"/>
      <c r="B11028" t="inlineStr"/>
      <c r="C11028" t="inlineStr"/>
      <c r="D11028" t="inlineStr"/>
      <c r="E11028">
        <f>HYPERLINK("https://www.uniprot.org/uniprotkb/P17192/entry", "P17192")</f>
        <v/>
      </c>
      <c r="F11028" t="n">
        <v>27.6</v>
      </c>
      <c r="G11028" t="n">
        <v>170</v>
      </c>
      <c r="H11028" t="n">
        <v>6.52e-06</v>
      </c>
      <c r="I11028" t="inlineStr">
        <is>
          <t>Swiss-Prot</t>
        </is>
      </c>
      <c r="J11028" t="inlineStr">
        <is>
          <t>P</t>
        </is>
      </c>
      <c r="K11028" t="inlineStr">
        <is>
          <t>DPOL_HPBDB</t>
        </is>
      </c>
      <c r="L11028" t="inlineStr">
        <is>
          <t>sp|P17192|DPOL_HPBDB Protein P OS=Duck hepatitis B virus (isolate brown Shanghai duck S5) OX=10439 GN=P PE=3 SV=1</t>
        </is>
      </c>
      <c r="M11028" t="n">
        <v>788</v>
      </c>
      <c r="N11028" t="inlineStr">
        <is>
          <t>Duck hepatitis B virus (isolate brown Shanghai duck S5)</t>
        </is>
      </c>
      <c r="O11028" t="inlineStr">
        <is>
          <t>Protein P</t>
        </is>
      </c>
    </row>
    <row r="11029">
      <c r="A11029" t="inlineStr">
        <is>
          <t>NODE_99745_length_1674_cov_163.548227_g6045_i3</t>
        </is>
      </c>
      <c r="B11029" t="inlineStr">
        <is>
          <t>bombina_pachypus_blastx</t>
        </is>
      </c>
      <c r="C11029" t="n">
        <v>-7.86288508927164</v>
      </c>
      <c r="D11029" t="n">
        <v>1.57782459139768e-05</v>
      </c>
      <c r="E11029">
        <f>HYPERLINK("https://www.ncbi.nlm.nih.gov/gene/?term=XP_018425635.1", "XP_018425635.1")</f>
        <v/>
      </c>
      <c r="F11029" t="n">
        <v>98.3</v>
      </c>
      <c r="G11029" t="n">
        <v>119</v>
      </c>
      <c r="H11029" t="n">
        <v>1.94e-76</v>
      </c>
      <c r="I11029" t="inlineStr">
        <is>
          <t>Nr</t>
        </is>
      </c>
      <c r="J11029" t="inlineStr"/>
      <c r="K11029" t="inlineStr"/>
      <c r="L11029" t="inlineStr">
        <is>
          <t>XP_018425635.1 PREDICTED: F-box only protein 41, partial [Nanorana parkeri]</t>
        </is>
      </c>
      <c r="M11029" t="n">
        <v>183</v>
      </c>
      <c r="N11029" t="inlineStr">
        <is>
          <t>Nanorana parkeri</t>
        </is>
      </c>
      <c r="O11029" t="inlineStr">
        <is>
          <t>PREDICTED: F-box only protein 41, partial</t>
        </is>
      </c>
    </row>
    <row r="11030">
      <c r="A11030" t="inlineStr"/>
      <c r="B11030" t="inlineStr"/>
      <c r="C11030" t="inlineStr"/>
      <c r="D11030" t="inlineStr"/>
      <c r="E11030">
        <f>HYPERLINK("https://www.uniprot.org/uniprotkb/A0A6G1RCK9/entry", "A0A6G1RCK9")</f>
        <v/>
      </c>
      <c r="F11030" t="n">
        <v>92.40000000000001</v>
      </c>
      <c r="G11030" t="n">
        <v>119</v>
      </c>
      <c r="H11030" t="n">
        <v>3.59e-74</v>
      </c>
      <c r="I11030" t="inlineStr">
        <is>
          <t>TrEMBL</t>
        </is>
      </c>
      <c r="J11030" t="inlineStr"/>
      <c r="K11030" t="inlineStr">
        <is>
          <t>A0A6G1RCK9_9GRUI</t>
        </is>
      </c>
      <c r="L11030" t="inlineStr">
        <is>
          <t>tr|A0A6G1RCK9|A0A6G1RCK9_9GRUI F-box protein 41 (Fragment) OS=Hypotaenidia okinawae OX=2861861 PE=4 SV=1</t>
        </is>
      </c>
      <c r="M11030" t="n">
        <v>168</v>
      </c>
      <c r="N11030" t="inlineStr">
        <is>
          <t>Hypotaenidia okinawae</t>
        </is>
      </c>
      <c r="O11030" t="inlineStr">
        <is>
          <t>F-box protein 41 (Fragment)</t>
        </is>
      </c>
    </row>
    <row r="11031">
      <c r="A11031" t="inlineStr"/>
      <c r="B11031" t="inlineStr"/>
      <c r="C11031" t="inlineStr"/>
      <c r="D11031" t="inlineStr"/>
      <c r="E11031">
        <f>HYPERLINK("https://www.uniprot.org/uniprotkb/A0A6I9PCI4/entry", "A0A6I9PCI4")</f>
        <v/>
      </c>
      <c r="F11031" t="n">
        <v>91.5</v>
      </c>
      <c r="G11031" t="n">
        <v>118</v>
      </c>
      <c r="H11031" t="n">
        <v>8.639999999999999e-74</v>
      </c>
      <c r="I11031" t="inlineStr">
        <is>
          <t>TrEMBL</t>
        </is>
      </c>
      <c r="J11031" t="inlineStr">
        <is>
          <t>LOC104959694</t>
        </is>
      </c>
      <c r="K11031" t="inlineStr">
        <is>
          <t>A0A6I9PCI4_9TELE</t>
        </is>
      </c>
      <c r="L11031" t="inlineStr">
        <is>
          <t>tr|A0A6I9PCI4|A0A6I9PCI4_9TELE F-box only protein 41-like OS=Notothenia coriiceps OX=8208 GN=LOC104959694 PE=4 SV=1</t>
        </is>
      </c>
      <c r="M11031" t="n">
        <v>131</v>
      </c>
      <c r="N11031" t="inlineStr">
        <is>
          <t>Notothenia coriiceps</t>
        </is>
      </c>
      <c r="O11031" t="inlineStr">
        <is>
          <t>F-box only protein 41-like</t>
        </is>
      </c>
    </row>
    <row r="11032">
      <c r="A11032" t="inlineStr"/>
      <c r="B11032" t="inlineStr"/>
      <c r="C11032" t="inlineStr"/>
      <c r="D11032" t="inlineStr"/>
      <c r="E11032">
        <f>HYPERLINK("https://www.ncbi.nlm.nih.gov/gene/?term=XP_010785897.1", "XP_010785897.1")</f>
        <v/>
      </c>
      <c r="F11032" t="n">
        <v>91.5</v>
      </c>
      <c r="G11032" t="n">
        <v>118</v>
      </c>
      <c r="H11032" t="n">
        <v>2.22e-73</v>
      </c>
      <c r="I11032" t="inlineStr">
        <is>
          <t>Nr</t>
        </is>
      </c>
      <c r="J11032" t="inlineStr"/>
      <c r="K11032" t="inlineStr"/>
      <c r="L11032" t="inlineStr">
        <is>
          <t>XP_010785897.1 PREDICTED: F-box only protein 41-like, partial [Notothenia coriiceps]</t>
        </is>
      </c>
      <c r="M11032" t="n">
        <v>131</v>
      </c>
      <c r="N11032" t="inlineStr">
        <is>
          <t>Notothenia coriiceps</t>
        </is>
      </c>
      <c r="O11032" t="inlineStr">
        <is>
          <t>PREDICTED: F-box only protein 41-like, partial</t>
        </is>
      </c>
    </row>
    <row r="11033">
      <c r="A11033" t="inlineStr"/>
      <c r="B11033" t="inlineStr"/>
      <c r="C11033" t="inlineStr"/>
      <c r="D11033" t="inlineStr"/>
      <c r="E11033">
        <f>HYPERLINK("https://www.uniprot.org/uniprotkb/A0A6B0RKR5/entry", "A0A6B0RKR5")</f>
        <v/>
      </c>
      <c r="F11033" t="n">
        <v>90.8</v>
      </c>
      <c r="G11033" t="n">
        <v>119</v>
      </c>
      <c r="H11033" t="n">
        <v>2.96e-73</v>
      </c>
      <c r="I11033" t="inlineStr">
        <is>
          <t>TrEMBL</t>
        </is>
      </c>
      <c r="J11033" t="inlineStr">
        <is>
          <t>E5288_WYG017331</t>
        </is>
      </c>
      <c r="K11033" t="inlineStr">
        <is>
          <t>A0A6B0RKR5_9CETA</t>
        </is>
      </c>
      <c r="L11033" t="inlineStr">
        <is>
          <t>tr|A0A6B0RKR5|A0A6B0RKR5_9CETA F-box only protein 41 OS=Bos mutus OX=72004 GN=E5288_WYG017331 PE=4 SV=1</t>
        </is>
      </c>
      <c r="M11033" t="n">
        <v>147</v>
      </c>
      <c r="N11033" t="inlineStr">
        <is>
          <t>Bos mutus</t>
        </is>
      </c>
      <c r="O11033" t="inlineStr">
        <is>
          <t>F-box only protein 41</t>
        </is>
      </c>
    </row>
    <row r="11034">
      <c r="A11034" t="inlineStr"/>
      <c r="B11034" t="inlineStr"/>
      <c r="C11034" t="inlineStr"/>
      <c r="D11034" t="inlineStr"/>
      <c r="E11034">
        <f>HYPERLINK("https://www.ncbi.nlm.nih.gov/gene/?term=MXQ90082.1", "MXQ90082.1")</f>
        <v/>
      </c>
      <c r="F11034" t="n">
        <v>90.8</v>
      </c>
      <c r="G11034" t="n">
        <v>119</v>
      </c>
      <c r="H11034" t="n">
        <v>7.610000000000001e-73</v>
      </c>
      <c r="I11034" t="inlineStr">
        <is>
          <t>Nr</t>
        </is>
      </c>
      <c r="J11034" t="inlineStr"/>
      <c r="K11034" t="inlineStr"/>
      <c r="L11034" t="inlineStr">
        <is>
          <t>MXQ90082.1 hypothetical protein [Bos mutus]</t>
        </is>
      </c>
      <c r="M11034" t="n">
        <v>147</v>
      </c>
      <c r="N11034" t="inlineStr">
        <is>
          <t>Bos mutus</t>
        </is>
      </c>
      <c r="O11034" t="inlineStr">
        <is>
          <t>hypothetical protein</t>
        </is>
      </c>
    </row>
    <row r="11035">
      <c r="A11035" t="inlineStr"/>
      <c r="B11035" t="inlineStr"/>
      <c r="C11035" t="inlineStr"/>
      <c r="D11035" t="inlineStr"/>
      <c r="E11035">
        <f>HYPERLINK("https://www.uniprot.org/uniprotkb/A0A8T2K9F5/entry", "A0A8T2K9F5")</f>
        <v/>
      </c>
      <c r="F11035" t="n">
        <v>98.3</v>
      </c>
      <c r="G11035" t="n">
        <v>120</v>
      </c>
      <c r="H11035" t="n">
        <v>1.47e-72</v>
      </c>
      <c r="I11035" t="inlineStr">
        <is>
          <t>TrEMBL</t>
        </is>
      </c>
      <c r="J11035" t="inlineStr">
        <is>
          <t>GDO86_000026</t>
        </is>
      </c>
      <c r="K11035" t="inlineStr">
        <is>
          <t>A0A8T2K9F5_9PIPI</t>
        </is>
      </c>
      <c r="L11035" t="inlineStr">
        <is>
          <t>tr|A0A8T2K9F5|A0A8T2K9F5_9PIPI F-box domain-containing protein (Fragment) OS=Hymenochirus boettgeri OX=247094 GN=GDO86_000026 PE=4 SV=1</t>
        </is>
      </c>
      <c r="M11035" t="n">
        <v>669</v>
      </c>
      <c r="N11035" t="inlineStr">
        <is>
          <t>Hymenochirus boettgeri</t>
        </is>
      </c>
      <c r="O11035" t="inlineStr">
        <is>
          <t>F-box domain-containing protein (Fragment)</t>
        </is>
      </c>
    </row>
    <row r="11036">
      <c r="A11036" t="inlineStr"/>
      <c r="B11036" t="inlineStr"/>
      <c r="C11036" t="inlineStr"/>
      <c r="D11036" t="inlineStr"/>
      <c r="E11036">
        <f>HYPERLINK("https://www.ncbi.nlm.nih.gov/gene/?term=XP_010118628.1", "XP_010118628.1")</f>
        <v/>
      </c>
      <c r="F11036" t="n">
        <v>94.09999999999999</v>
      </c>
      <c r="G11036" t="n">
        <v>119</v>
      </c>
      <c r="H11036" t="n">
        <v>2.6e-72</v>
      </c>
      <c r="I11036" t="inlineStr">
        <is>
          <t>Nr</t>
        </is>
      </c>
      <c r="J11036" t="inlineStr"/>
      <c r="K11036" t="inlineStr"/>
      <c r="L11036" t="inlineStr">
        <is>
          <t>XP_010118628.1 PREDICTED: LOW QUALITY PROTEIN: F-box only protein 41, partial [Chlamydotis macqueenii]</t>
        </is>
      </c>
      <c r="M11036" t="n">
        <v>328</v>
      </c>
      <c r="N11036" t="inlineStr">
        <is>
          <t>Chlamydotis macqueenii</t>
        </is>
      </c>
      <c r="O11036" t="inlineStr">
        <is>
          <t>PREDICTED: LOW QUALITY PROTEIN: F-box only protein 41, partial</t>
        </is>
      </c>
    </row>
    <row r="11037">
      <c r="A11037" t="inlineStr"/>
      <c r="B11037" t="inlineStr"/>
      <c r="C11037" t="inlineStr"/>
      <c r="D11037" t="inlineStr"/>
      <c r="E11037">
        <f>HYPERLINK("https://www.ncbi.nlm.nih.gov/gene/?term=KAG8453238.1", "KAG8453238.1")</f>
        <v/>
      </c>
      <c r="F11037" t="n">
        <v>98.3</v>
      </c>
      <c r="G11037" t="n">
        <v>120</v>
      </c>
      <c r="H11037" t="n">
        <v>3.79e-72</v>
      </c>
      <c r="I11037" t="inlineStr">
        <is>
          <t>Nr</t>
        </is>
      </c>
      <c r="J11037" t="inlineStr"/>
      <c r="K11037" t="inlineStr"/>
      <c r="L11037" t="inlineStr">
        <is>
          <t>KAG8453238.1 hypothetical protein GDO86_000026, partial [Hymenochirus boettgeri]</t>
        </is>
      </c>
      <c r="M11037" t="n">
        <v>669</v>
      </c>
      <c r="N11037" t="inlineStr">
        <is>
          <t>Hymenochirus boettgeri</t>
        </is>
      </c>
      <c r="O11037" t="inlineStr">
        <is>
          <t>hypothetical protein GDO86_000026, partial</t>
        </is>
      </c>
    </row>
    <row r="11038">
      <c r="A11038" t="inlineStr"/>
      <c r="B11038" t="inlineStr"/>
      <c r="C11038" t="inlineStr"/>
      <c r="D11038" t="inlineStr"/>
      <c r="E11038">
        <f>HYPERLINK("https://www.uniprot.org/uniprotkb/F7DX79/entry", "F7DX79")</f>
        <v/>
      </c>
      <c r="F11038" t="n">
        <v>99.2</v>
      </c>
      <c r="G11038" t="n">
        <v>120</v>
      </c>
      <c r="H11038" t="n">
        <v>6.010000000000001e-72</v>
      </c>
      <c r="I11038" t="inlineStr">
        <is>
          <t>TrEMBL</t>
        </is>
      </c>
      <c r="J11038" t="inlineStr">
        <is>
          <t>fbxo41</t>
        </is>
      </c>
      <c r="K11038" t="inlineStr">
        <is>
          <t>F7DX79_XENTR</t>
        </is>
      </c>
      <c r="L11038" t="inlineStr">
        <is>
          <t>tr|F7DX79|F7DX79_XENTR F-box protein 41 OS=Xenopus tropicalis OX=8364 GN=fbxo41 PE=4 SV=4</t>
        </is>
      </c>
      <c r="M11038" t="n">
        <v>817</v>
      </c>
      <c r="N11038" t="inlineStr">
        <is>
          <t>Xenopus tropicalis</t>
        </is>
      </c>
      <c r="O11038" t="inlineStr">
        <is>
          <t>F-box protein 41</t>
        </is>
      </c>
    </row>
    <row r="11039">
      <c r="A11039" t="inlineStr"/>
      <c r="B11039" t="inlineStr"/>
      <c r="C11039" t="inlineStr"/>
      <c r="D11039" t="inlineStr"/>
      <c r="E11039">
        <f>HYPERLINK("https://www.uniprot.org/uniprotkb/A0A8T2KCW1/entry", "A0A8T2KCW1")</f>
        <v/>
      </c>
      <c r="F11039" t="n">
        <v>98.3</v>
      </c>
      <c r="G11039" t="n">
        <v>120</v>
      </c>
      <c r="H11039" t="n">
        <v>9.170000000000001e-72</v>
      </c>
      <c r="I11039" t="inlineStr">
        <is>
          <t>TrEMBL</t>
        </is>
      </c>
      <c r="J11039" t="inlineStr">
        <is>
          <t>GDO86_000026</t>
        </is>
      </c>
      <c r="K11039" t="inlineStr">
        <is>
          <t>A0A8T2KCW1_9PIPI</t>
        </is>
      </c>
      <c r="L11039" t="inlineStr">
        <is>
          <t>tr|A0A8T2KCW1|A0A8T2KCW1_9PIPI F-box domain-containing protein (Fragment) OS=Hymenochirus boettgeri OX=247094 GN=GDO86_000026 PE=4 SV=1</t>
        </is>
      </c>
      <c r="M11039" t="n">
        <v>777</v>
      </c>
      <c r="N11039" t="inlineStr">
        <is>
          <t>Hymenochirus boettgeri</t>
        </is>
      </c>
      <c r="O11039" t="inlineStr">
        <is>
          <t>F-box domain-containing protein (Fragment)</t>
        </is>
      </c>
    </row>
    <row r="11040">
      <c r="A11040" t="inlineStr"/>
      <c r="B11040" t="inlineStr"/>
      <c r="C11040" t="inlineStr"/>
      <c r="D11040" t="inlineStr"/>
      <c r="E11040">
        <f>HYPERLINK("https://www.uniprot.org/uniprotkb/H3DL15/entry", "H3DL15")</f>
        <v/>
      </c>
      <c r="F11040" t="n">
        <v>92.40000000000001</v>
      </c>
      <c r="G11040" t="n">
        <v>118</v>
      </c>
      <c r="H11040" t="n">
        <v>9.990000000000001e-72</v>
      </c>
      <c r="I11040" t="inlineStr">
        <is>
          <t>TrEMBL</t>
        </is>
      </c>
      <c r="J11040" t="inlineStr"/>
      <c r="K11040" t="inlineStr">
        <is>
          <t>H3DL15_TETNG</t>
        </is>
      </c>
      <c r="L11040" t="inlineStr">
        <is>
          <t>tr|H3DL15|H3DL15_TETNG F-box protein 41 OS=Tetraodon nigroviridis OX=99883 PE=4 SV=1</t>
        </is>
      </c>
      <c r="M11040" t="n">
        <v>323</v>
      </c>
      <c r="N11040" t="inlineStr">
        <is>
          <t>Tetraodon nigroviridis</t>
        </is>
      </c>
      <c r="O11040" t="inlineStr">
        <is>
          <t>F-box protein 41</t>
        </is>
      </c>
    </row>
    <row r="11041">
      <c r="A11041" t="inlineStr"/>
      <c r="B11041" t="inlineStr"/>
      <c r="C11041" t="inlineStr"/>
      <c r="D11041" t="inlineStr"/>
      <c r="E11041">
        <f>HYPERLINK("https://www.ncbi.nlm.nih.gov/gene/?term=KAE8628764.1", "KAE8628764.1")</f>
        <v/>
      </c>
      <c r="F11041" t="n">
        <v>99.2</v>
      </c>
      <c r="G11041" t="n">
        <v>120</v>
      </c>
      <c r="H11041" t="n">
        <v>1.55e-71</v>
      </c>
      <c r="I11041" t="inlineStr">
        <is>
          <t>Nr</t>
        </is>
      </c>
      <c r="J11041" t="inlineStr"/>
      <c r="K11041" t="inlineStr"/>
      <c r="L11041" t="inlineStr">
        <is>
          <t>KAE8628764.1 hypothetical protein XENTR_v10000210 [Xenopus tropicalis]</t>
        </is>
      </c>
      <c r="M11041" t="n">
        <v>817</v>
      </c>
      <c r="N11041" t="inlineStr">
        <is>
          <t>Xenopus tropicalis</t>
        </is>
      </c>
      <c r="O11041" t="inlineStr">
        <is>
          <t>hypothetical protein XENTR_v10000210</t>
        </is>
      </c>
    </row>
    <row r="11042">
      <c r="A11042" t="inlineStr"/>
      <c r="B11042" t="inlineStr"/>
      <c r="C11042" t="inlineStr"/>
      <c r="D11042" t="inlineStr"/>
      <c r="E11042">
        <f>HYPERLINK("https://www.ncbi.nlm.nih.gov/gene/?term=XP_010294236.1", "XP_010294236.1")</f>
        <v/>
      </c>
      <c r="F11042" t="n">
        <v>93.3</v>
      </c>
      <c r="G11042" t="n">
        <v>119</v>
      </c>
      <c r="H11042" t="n">
        <v>1.63e-71</v>
      </c>
      <c r="I11042" t="inlineStr">
        <is>
          <t>Nr</t>
        </is>
      </c>
      <c r="J11042" t="inlineStr"/>
      <c r="K11042" t="inlineStr"/>
      <c r="L11042" t="inlineStr">
        <is>
          <t>XP_010294236.1 PREDICTED: F-box only protein 41, partial [Phaethon lepturus]</t>
        </is>
      </c>
      <c r="M11042" t="n">
        <v>343</v>
      </c>
      <c r="N11042" t="inlineStr">
        <is>
          <t>Phaethon lepturus</t>
        </is>
      </c>
      <c r="O11042" t="inlineStr">
        <is>
          <t>PREDICTED: F-box only protein 41, partial</t>
        </is>
      </c>
    </row>
    <row r="11043">
      <c r="A11043" t="inlineStr"/>
      <c r="B11043" t="inlineStr"/>
      <c r="C11043" t="inlineStr"/>
      <c r="D11043" t="inlineStr"/>
      <c r="E11043">
        <f>HYPERLINK("https://www.uniprot.org/uniprotkb/A0A8T1SBC5/entry", "A0A8T1SBC5")</f>
        <v/>
      </c>
      <c r="F11043" t="n">
        <v>94.09999999999999</v>
      </c>
      <c r="G11043" t="n">
        <v>119</v>
      </c>
      <c r="H11043" t="n">
        <v>1.68e-71</v>
      </c>
      <c r="I11043" t="inlineStr">
        <is>
          <t>TrEMBL</t>
        </is>
      </c>
      <c r="J11043" t="inlineStr">
        <is>
          <t>FBXO41</t>
        </is>
      </c>
      <c r="K11043" t="inlineStr">
        <is>
          <t>A0A8T1SBC5_CHESE</t>
        </is>
      </c>
      <c r="L11043" t="inlineStr">
        <is>
          <t>tr|A0A8T1SBC5|A0A8T1SBC5_CHESE F-box protein 41 (Fragment) OS=Chelydra serpentina OX=8475 GN=FBXO41 PE=4 SV=1</t>
        </is>
      </c>
      <c r="M11043" t="n">
        <v>496</v>
      </c>
      <c r="N11043" t="inlineStr">
        <is>
          <t>Chelydra serpentina</t>
        </is>
      </c>
      <c r="O11043" t="inlineStr">
        <is>
          <t>F-box protein 41 (Fragment)</t>
        </is>
      </c>
    </row>
    <row r="11044">
      <c r="A11044" t="inlineStr"/>
      <c r="B11044" t="inlineStr"/>
      <c r="C11044" t="inlineStr"/>
      <c r="D11044" t="inlineStr"/>
      <c r="E11044">
        <f>HYPERLINK("https://www.uniprot.org/uniprotkb/A0A1L8HSS3/entry", "A0A1L8HSS3")</f>
        <v/>
      </c>
      <c r="F11044" t="n">
        <v>99.2</v>
      </c>
      <c r="G11044" t="n">
        <v>119</v>
      </c>
      <c r="H11044" t="n">
        <v>1.85e-71</v>
      </c>
      <c r="I11044" t="inlineStr">
        <is>
          <t>TrEMBL</t>
        </is>
      </c>
      <c r="J11044" t="inlineStr">
        <is>
          <t>fbxo41.L</t>
        </is>
      </c>
      <c r="K11044" t="inlineStr">
        <is>
          <t>A0A1L8HSS3_XENLA</t>
        </is>
      </c>
      <c r="L11044" t="inlineStr">
        <is>
          <t>tr|A0A1L8HSS3|A0A1L8HSS3_XENLA F-box only protein 41 OS=Xenopus laevis OX=8355 GN=fbxo41.L PE=4 SV=1</t>
        </is>
      </c>
      <c r="M11044" t="n">
        <v>802</v>
      </c>
      <c r="N11044" t="inlineStr">
        <is>
          <t>Xenopus laevis</t>
        </is>
      </c>
      <c r="O11044" t="inlineStr">
        <is>
          <t>F-box only protein 41</t>
        </is>
      </c>
    </row>
    <row r="11045">
      <c r="A11045" t="inlineStr"/>
      <c r="B11045" t="inlineStr"/>
      <c r="C11045" t="inlineStr"/>
      <c r="D11045" t="inlineStr"/>
      <c r="E11045">
        <f>HYPERLINK("https://www.uniprot.org/uniprotkb/Q0D2D6/entry", "Q0D2D6")</f>
        <v/>
      </c>
      <c r="F11045" t="n">
        <v>99.2</v>
      </c>
      <c r="G11045" t="n">
        <v>119</v>
      </c>
      <c r="H11045" t="n">
        <v>2.04e-71</v>
      </c>
      <c r="I11045" t="inlineStr">
        <is>
          <t>TrEMBL</t>
        </is>
      </c>
      <c r="J11045" t="inlineStr">
        <is>
          <t>fbxo41</t>
        </is>
      </c>
      <c r="K11045" t="inlineStr">
        <is>
          <t>Q0D2D6_XENTR</t>
        </is>
      </c>
      <c r="L11045" t="inlineStr">
        <is>
          <t>tr|Q0D2D6|Q0D2D6_XENTR F-box only protein 41 OS=Xenopus tropicalis OX=8364 GN=fbxo41 PE=2 SV=1</t>
        </is>
      </c>
      <c r="M11045" t="n">
        <v>809</v>
      </c>
      <c r="N11045" t="inlineStr">
        <is>
          <t>Xenopus tropicalis</t>
        </is>
      </c>
      <c r="O11045" t="inlineStr">
        <is>
          <t>F-box only protein 41</t>
        </is>
      </c>
    </row>
    <row r="11046">
      <c r="A11046" t="inlineStr"/>
      <c r="B11046" t="inlineStr"/>
      <c r="C11046" t="inlineStr"/>
      <c r="D11046" t="inlineStr"/>
      <c r="E11046">
        <f>HYPERLINK("https://www.ncbi.nlm.nih.gov/gene/?term=KAG8453237.1", "KAG8453237.1")</f>
        <v/>
      </c>
      <c r="F11046" t="n">
        <v>98.3</v>
      </c>
      <c r="G11046" t="n">
        <v>120</v>
      </c>
      <c r="H11046" t="n">
        <v>2.36e-71</v>
      </c>
      <c r="I11046" t="inlineStr">
        <is>
          <t>Nr</t>
        </is>
      </c>
      <c r="J11046" t="inlineStr"/>
      <c r="K11046" t="inlineStr"/>
      <c r="L11046" t="inlineStr">
        <is>
          <t>KAG8453237.1 hypothetical protein GDO86_000026, partial [Hymenochirus boettgeri]</t>
        </is>
      </c>
      <c r="M11046" t="n">
        <v>777</v>
      </c>
      <c r="N11046" t="inlineStr">
        <is>
          <t>Hymenochirus boettgeri</t>
        </is>
      </c>
      <c r="O11046" t="inlineStr">
        <is>
          <t>hypothetical protein GDO86_000026, partial</t>
        </is>
      </c>
    </row>
    <row r="11047">
      <c r="A11047" t="inlineStr"/>
      <c r="B11047" t="inlineStr"/>
      <c r="C11047" t="inlineStr"/>
      <c r="D11047" t="inlineStr"/>
      <c r="E11047">
        <f>HYPERLINK("https://www.ncbi.nlm.nih.gov/gene/?term=XP_010298307.1", "XP_010298307.1")</f>
        <v/>
      </c>
      <c r="F11047" t="n">
        <v>92.40000000000001</v>
      </c>
      <c r="G11047" t="n">
        <v>119</v>
      </c>
      <c r="H11047" t="n">
        <v>2.66e-71</v>
      </c>
      <c r="I11047" t="inlineStr">
        <is>
          <t>Nr</t>
        </is>
      </c>
      <c r="J11047" t="inlineStr"/>
      <c r="K11047" t="inlineStr"/>
      <c r="L11047" t="inlineStr">
        <is>
          <t>XP_010298307.1 PREDICTED: F-box only protein 41, partial [Balearica regulorum gibbericeps]</t>
        </is>
      </c>
      <c r="M11047" t="n">
        <v>348</v>
      </c>
      <c r="N11047" t="inlineStr">
        <is>
          <t>Balearica regulorum gibbericeps</t>
        </is>
      </c>
      <c r="O11047" t="inlineStr">
        <is>
          <t>PREDICTED: F-box only protein 41, partial</t>
        </is>
      </c>
    </row>
    <row r="11048">
      <c r="A11048" t="inlineStr"/>
      <c r="B11048" t="inlineStr"/>
      <c r="C11048" t="inlineStr"/>
      <c r="D11048" t="inlineStr"/>
      <c r="E11048">
        <f>HYPERLINK("https://www.ncbi.nlm.nih.gov/gene/?term=XP_009476919.1", "XP_009476919.1")</f>
        <v/>
      </c>
      <c r="F11048" t="n">
        <v>92.40000000000001</v>
      </c>
      <c r="G11048" t="n">
        <v>119</v>
      </c>
      <c r="H11048" t="n">
        <v>3.45e-71</v>
      </c>
      <c r="I11048" t="inlineStr">
        <is>
          <t>Nr</t>
        </is>
      </c>
      <c r="J11048" t="inlineStr"/>
      <c r="K11048" t="inlineStr"/>
      <c r="L11048" t="inlineStr">
        <is>
          <t>XP_009476919.1 PREDICTED: F-box only protein 41, partial [Pelecanus crispus]</t>
        </is>
      </c>
      <c r="M11048" t="n">
        <v>333</v>
      </c>
      <c r="N11048" t="inlineStr">
        <is>
          <t>Pelecanus crispus</t>
        </is>
      </c>
      <c r="O11048" t="inlineStr">
        <is>
          <t>PREDICTED: F-box only protein 41, partial</t>
        </is>
      </c>
    </row>
    <row r="11049">
      <c r="A11049" t="inlineStr"/>
      <c r="B11049" t="inlineStr"/>
      <c r="C11049" t="inlineStr"/>
      <c r="D11049" t="inlineStr"/>
      <c r="E11049">
        <f>HYPERLINK("https://www.uniprot.org/uniprotkb/A0A8J1M0J8/entry", "A0A8J1M0J8")</f>
        <v/>
      </c>
      <c r="F11049" t="n">
        <v>98.3</v>
      </c>
      <c r="G11049" t="n">
        <v>119</v>
      </c>
      <c r="H11049" t="n">
        <v>3.75e-71</v>
      </c>
      <c r="I11049" t="inlineStr">
        <is>
          <t>TrEMBL</t>
        </is>
      </c>
      <c r="J11049" t="inlineStr">
        <is>
          <t>fbxo41.S</t>
        </is>
      </c>
      <c r="K11049" t="inlineStr">
        <is>
          <t>A0A8J1M0J8_XENLA</t>
        </is>
      </c>
      <c r="L11049" t="inlineStr">
        <is>
          <t>tr|A0A8J1M0J8|A0A8J1M0J8_XENLA F-box only protein 41 OS=Xenopus laevis OX=8355 GN=fbxo41.S PE=4 SV=1</t>
        </is>
      </c>
      <c r="M11049" t="n">
        <v>805</v>
      </c>
      <c r="N11049" t="inlineStr">
        <is>
          <t>Xenopus laevis</t>
        </is>
      </c>
      <c r="O11049" t="inlineStr">
        <is>
          <t>F-box only protein 41</t>
        </is>
      </c>
    </row>
    <row r="11050">
      <c r="A11050" t="inlineStr"/>
      <c r="B11050" t="inlineStr"/>
      <c r="C11050" t="inlineStr"/>
      <c r="D11050" t="inlineStr"/>
      <c r="E11050">
        <f>HYPERLINK("https://www.uniprot.org/uniprotkb/U6D7T2/entry", "U6D7T2")</f>
        <v/>
      </c>
      <c r="F11050" t="n">
        <v>90.8</v>
      </c>
      <c r="G11050" t="n">
        <v>119</v>
      </c>
      <c r="H11050" t="n">
        <v>3.93e-71</v>
      </c>
      <c r="I11050" t="inlineStr">
        <is>
          <t>TrEMBL</t>
        </is>
      </c>
      <c r="J11050" t="inlineStr">
        <is>
          <t>G3V0Z7</t>
        </is>
      </c>
      <c r="K11050" t="inlineStr">
        <is>
          <t>U6D7T2_NEOVI</t>
        </is>
      </c>
      <c r="L11050" t="inlineStr">
        <is>
          <t>tr|U6D7T2|U6D7T2_NEOVI HCG1776403 (Fragment) OS=Neovison vison OX=452646 GN=G3V0Z7 PE=2 SV=1</t>
        </is>
      </c>
      <c r="M11050" t="n">
        <v>299</v>
      </c>
      <c r="N11050" t="inlineStr">
        <is>
          <t>Neovison vison</t>
        </is>
      </c>
      <c r="O11050" t="inlineStr">
        <is>
          <t>HCG1776403 (Fragment)</t>
        </is>
      </c>
    </row>
    <row r="11051">
      <c r="A11051" t="inlineStr"/>
      <c r="B11051" t="inlineStr"/>
      <c r="C11051" t="inlineStr"/>
      <c r="D11051" t="inlineStr"/>
      <c r="E11051">
        <f>HYPERLINK("https://www.ncbi.nlm.nih.gov/gene/?term=KAG6926256.1", "KAG6926256.1")</f>
        <v/>
      </c>
      <c r="F11051" t="n">
        <v>94.09999999999999</v>
      </c>
      <c r="G11051" t="n">
        <v>119</v>
      </c>
      <c r="H11051" t="n">
        <v>4.31e-71</v>
      </c>
      <c r="I11051" t="inlineStr">
        <is>
          <t>Nr</t>
        </is>
      </c>
      <c r="J11051" t="inlineStr"/>
      <c r="K11051" t="inlineStr"/>
      <c r="L11051" t="inlineStr">
        <is>
          <t>KAG6926256.1 F-box protein 41, partial [Chelydra serpentina]</t>
        </is>
      </c>
      <c r="M11051" t="n">
        <v>496</v>
      </c>
      <c r="N11051" t="inlineStr">
        <is>
          <t>Chelydra serpentina</t>
        </is>
      </c>
      <c r="O11051" t="inlineStr">
        <is>
          <t>F-box protein 41, partial</t>
        </is>
      </c>
    </row>
    <row r="11052">
      <c r="A11052" t="inlineStr"/>
      <c r="B11052" t="inlineStr"/>
      <c r="C11052" t="inlineStr"/>
      <c r="D11052" t="inlineStr"/>
      <c r="E11052">
        <f>HYPERLINK("https://www.ncbi.nlm.nih.gov/gene/?term=XP_018083108.1", "XP_018083108.1")</f>
        <v/>
      </c>
      <c r="F11052" t="n">
        <v>99.2</v>
      </c>
      <c r="G11052" t="n">
        <v>119</v>
      </c>
      <c r="H11052" t="n">
        <v>4.74e-71</v>
      </c>
      <c r="I11052" t="inlineStr">
        <is>
          <t>Nr</t>
        </is>
      </c>
      <c r="J11052" t="inlineStr"/>
      <c r="K11052" t="inlineStr"/>
      <c r="L11052" t="inlineStr">
        <is>
          <t>XP_018083108.1 F-box only protein 41 [Xenopus laevis]</t>
        </is>
      </c>
      <c r="M11052" t="n">
        <v>802</v>
      </c>
      <c r="N11052" t="inlineStr">
        <is>
          <t>Xenopus laevis</t>
        </is>
      </c>
      <c r="O11052" t="inlineStr">
        <is>
          <t>F-box only protein 41</t>
        </is>
      </c>
    </row>
    <row r="11053">
      <c r="A11053" t="inlineStr"/>
      <c r="B11053" t="inlineStr"/>
      <c r="C11053" t="inlineStr"/>
      <c r="D11053" t="inlineStr"/>
      <c r="E11053">
        <f>HYPERLINK("https://www.ncbi.nlm.nih.gov/gene/?term=NP_001072511.1", "NP_001072511.1")</f>
        <v/>
      </c>
      <c r="F11053" t="n">
        <v>99.2</v>
      </c>
      <c r="G11053" t="n">
        <v>119</v>
      </c>
      <c r="H11053" t="n">
        <v>5.23e-71</v>
      </c>
      <c r="I11053" t="inlineStr">
        <is>
          <t>Nr</t>
        </is>
      </c>
      <c r="J11053" t="inlineStr"/>
      <c r="K11053" t="inlineStr"/>
      <c r="L11053" t="inlineStr">
        <is>
          <t>NP_001072511.1 F-box only protein 41 [Xenopus tropicalis]</t>
        </is>
      </c>
      <c r="M11053" t="n">
        <v>809</v>
      </c>
      <c r="N11053" t="inlineStr">
        <is>
          <t>Xenopus tropicalis</t>
        </is>
      </c>
      <c r="O11053" t="inlineStr">
        <is>
          <t>F-box only protein 41</t>
        </is>
      </c>
    </row>
    <row r="11054">
      <c r="A11054" t="inlineStr"/>
      <c r="B11054" t="inlineStr"/>
      <c r="C11054" t="inlineStr"/>
      <c r="D11054" t="inlineStr"/>
      <c r="E11054">
        <f>HYPERLINK("https://www.ncbi.nlm.nih.gov/gene/?term=XP_009696611.1", "XP_009696611.1")</f>
        <v/>
      </c>
      <c r="F11054" t="n">
        <v>91.59999999999999</v>
      </c>
      <c r="G11054" t="n">
        <v>119</v>
      </c>
      <c r="H11054" t="n">
        <v>5.33e-71</v>
      </c>
      <c r="I11054" t="inlineStr">
        <is>
          <t>Nr</t>
        </is>
      </c>
      <c r="J11054" t="inlineStr"/>
      <c r="K11054" t="inlineStr"/>
      <c r="L11054" t="inlineStr">
        <is>
          <t>XP_009696611.1 PREDICTED: F-box only protein 41, partial [Cariama cristata]</t>
        </is>
      </c>
      <c r="M11054" t="n">
        <v>336</v>
      </c>
      <c r="N11054" t="inlineStr">
        <is>
          <t>Cariama cristata</t>
        </is>
      </c>
      <c r="O11054" t="inlineStr">
        <is>
          <t>PREDICTED: F-box only protein 41, partial</t>
        </is>
      </c>
    </row>
    <row r="11055">
      <c r="A11055" t="inlineStr"/>
      <c r="B11055" t="inlineStr"/>
      <c r="C11055" t="inlineStr"/>
      <c r="D11055" t="inlineStr"/>
      <c r="E11055">
        <f>HYPERLINK("https://www.ncbi.nlm.nih.gov/gene/?term=XP_040191521.1", "XP_040191521.1")</f>
        <v/>
      </c>
      <c r="F11055" t="n">
        <v>99.2</v>
      </c>
      <c r="G11055" t="n">
        <v>119</v>
      </c>
      <c r="H11055" t="n">
        <v>5.61e-71</v>
      </c>
      <c r="I11055" t="inlineStr">
        <is>
          <t>Nr</t>
        </is>
      </c>
      <c r="J11055" t="inlineStr"/>
      <c r="K11055" t="inlineStr"/>
      <c r="L11055" t="inlineStr">
        <is>
          <t>XP_040191521.1 F-box only protein 41 [Rana temporaria]</t>
        </is>
      </c>
      <c r="M11055" t="n">
        <v>814</v>
      </c>
      <c r="N11055" t="inlineStr">
        <is>
          <t>Rana temporaria</t>
        </is>
      </c>
      <c r="O11055" t="inlineStr">
        <is>
          <t>F-box only protein 41</t>
        </is>
      </c>
    </row>
    <row r="11056">
      <c r="A11056" t="inlineStr"/>
      <c r="B11056" t="inlineStr"/>
      <c r="C11056" t="inlineStr"/>
      <c r="D11056" t="inlineStr"/>
      <c r="E11056">
        <f>HYPERLINK("https://www.uniprot.org/uniprotkb/A0A7K9KXF3/entry", "A0A7K9KXF3")</f>
        <v/>
      </c>
      <c r="F11056" t="n">
        <v>94.09999999999999</v>
      </c>
      <c r="G11056" t="n">
        <v>119</v>
      </c>
      <c r="H11056" t="n">
        <v>6.32e-71</v>
      </c>
      <c r="I11056" t="inlineStr">
        <is>
          <t>TrEMBL</t>
        </is>
      </c>
      <c r="J11056" t="inlineStr">
        <is>
          <t>Fbxo41</t>
        </is>
      </c>
      <c r="K11056" t="inlineStr">
        <is>
          <t>A0A7K9KXF3_9PASS</t>
        </is>
      </c>
      <c r="L11056" t="inlineStr">
        <is>
          <t>tr|A0A7K9KXF3|A0A7K9KXF3_9PASS FBX41 protein (Fragment) OS=Rhabdornis inornatus OX=237438 GN=Fbxo41 PE=4 SV=1</t>
        </is>
      </c>
      <c r="M11056" t="n">
        <v>466</v>
      </c>
      <c r="N11056" t="inlineStr">
        <is>
          <t>Rhabdornis inornatus</t>
        </is>
      </c>
      <c r="O11056" t="inlineStr">
        <is>
          <t>FBX41 protein (Fragment)</t>
        </is>
      </c>
    </row>
    <row r="11057">
      <c r="A11057" t="inlineStr"/>
      <c r="B11057" t="inlineStr"/>
      <c r="C11057" t="inlineStr"/>
      <c r="D11057" t="inlineStr"/>
      <c r="E11057">
        <f>HYPERLINK("https://www.ncbi.nlm.nih.gov/gene/?term=XP_032094186.1", "XP_032094186.1")</f>
        <v/>
      </c>
      <c r="F11057" t="n">
        <v>89.90000000000001</v>
      </c>
      <c r="G11057" t="n">
        <v>119</v>
      </c>
      <c r="H11057" t="n">
        <v>6.44e-71</v>
      </c>
      <c r="I11057" t="inlineStr">
        <is>
          <t>Nr</t>
        </is>
      </c>
      <c r="J11057" t="inlineStr"/>
      <c r="K11057" t="inlineStr"/>
      <c r="L11057" t="inlineStr">
        <is>
          <t>XP_032094186.1 F-box only protein 41, partial [Thamnophis elegans]</t>
        </is>
      </c>
      <c r="M11057" t="n">
        <v>273</v>
      </c>
      <c r="N11057" t="inlineStr">
        <is>
          <t>Thamnophis elegans</t>
        </is>
      </c>
      <c r="O11057" t="inlineStr">
        <is>
          <t>F-box only protein 41, partial</t>
        </is>
      </c>
    </row>
    <row r="11058">
      <c r="A11058" t="inlineStr"/>
      <c r="B11058" t="inlineStr"/>
      <c r="C11058" t="inlineStr"/>
      <c r="D11058" t="inlineStr"/>
      <c r="E11058">
        <f>HYPERLINK("https://www.uniprot.org/uniprotkb/A0A091NJU0/entry", "A0A091NJU0")</f>
        <v/>
      </c>
      <c r="F11058" t="n">
        <v>93.3</v>
      </c>
      <c r="G11058" t="n">
        <v>119</v>
      </c>
      <c r="H11058" t="n">
        <v>8.060000000000001e-71</v>
      </c>
      <c r="I11058" t="inlineStr">
        <is>
          <t>TrEMBL</t>
        </is>
      </c>
      <c r="J11058" t="inlineStr">
        <is>
          <t>N311_07253</t>
        </is>
      </c>
      <c r="K11058" t="inlineStr">
        <is>
          <t>A0A091NJU0_APAVI</t>
        </is>
      </c>
      <c r="L11058" t="inlineStr">
        <is>
          <t>tr|A0A091NJU0|A0A091NJU0_APAVI F-box only protein 41 (Fragment) OS=Apaloderma vittatum OX=57397 GN=N311_07253 PE=4 SV=1</t>
        </is>
      </c>
      <c r="M11058" t="n">
        <v>435</v>
      </c>
      <c r="N11058" t="inlineStr">
        <is>
          <t>Apaloderma vittatum</t>
        </is>
      </c>
      <c r="O11058" t="inlineStr">
        <is>
          <t>F-box only protein 41 (Fragment)</t>
        </is>
      </c>
    </row>
    <row r="11059">
      <c r="A11059" t="inlineStr"/>
      <c r="B11059" t="inlineStr"/>
      <c r="C11059" t="inlineStr"/>
      <c r="D11059" t="inlineStr"/>
      <c r="E11059">
        <f>HYPERLINK("https://www.ncbi.nlm.nih.gov/gene/?term=OCT96540.1", "OCT96540.1")</f>
        <v/>
      </c>
      <c r="F11059" t="n">
        <v>98.3</v>
      </c>
      <c r="G11059" t="n">
        <v>119</v>
      </c>
      <c r="H11059" t="n">
        <v>8.599999999999999e-71</v>
      </c>
      <c r="I11059" t="inlineStr">
        <is>
          <t>Nr</t>
        </is>
      </c>
      <c r="J11059" t="inlineStr"/>
      <c r="K11059" t="inlineStr"/>
      <c r="L11059" t="inlineStr">
        <is>
          <t>OCT96540.1 hypothetical protein XELAEV_18008746mg [Xenopus laevis]</t>
        </is>
      </c>
      <c r="M11059" t="n">
        <v>797</v>
      </c>
      <c r="N11059" t="inlineStr">
        <is>
          <t>Xenopus laevis</t>
        </is>
      </c>
      <c r="O11059" t="inlineStr">
        <is>
          <t>hypothetical protein XELAEV_18008746mg</t>
        </is>
      </c>
    </row>
    <row r="11060">
      <c r="A11060" t="inlineStr"/>
      <c r="B11060" t="inlineStr"/>
      <c r="C11060" t="inlineStr"/>
      <c r="D11060" t="inlineStr"/>
      <c r="E11060">
        <f>HYPERLINK("https://www.uniprot.org/uniprotkb/K7F8P8/entry", "K7F8P8")</f>
        <v/>
      </c>
      <c r="F11060" t="n">
        <v>94.09999999999999</v>
      </c>
      <c r="G11060" t="n">
        <v>119</v>
      </c>
      <c r="H11060" t="n">
        <v>9.139999999999999e-71</v>
      </c>
      <c r="I11060" t="inlineStr">
        <is>
          <t>TrEMBL</t>
        </is>
      </c>
      <c r="J11060" t="inlineStr">
        <is>
          <t>FBXO41</t>
        </is>
      </c>
      <c r="K11060" t="inlineStr">
        <is>
          <t>K7F8P8_PELSI</t>
        </is>
      </c>
      <c r="L11060" t="inlineStr">
        <is>
          <t>tr|K7F8P8|K7F8P8_PELSI F-box protein 41 OS=Pelodiscus sinensis OX=13735 GN=FBXO41 PE=4 SV=1</t>
        </is>
      </c>
      <c r="M11060" t="n">
        <v>570</v>
      </c>
      <c r="N11060" t="inlineStr">
        <is>
          <t>Pelodiscus sinensis</t>
        </is>
      </c>
      <c r="O11060" t="inlineStr">
        <is>
          <t>F-box protein 41</t>
        </is>
      </c>
    </row>
    <row r="11061">
      <c r="A11061" t="inlineStr"/>
      <c r="B11061" t="inlineStr"/>
      <c r="C11061" t="inlineStr"/>
      <c r="D11061" t="inlineStr"/>
      <c r="E11061">
        <f>HYPERLINK("https://www.uniprot.org/uniprotkb/A0A5E4BH91/entry", "A0A5E4BH91")</f>
        <v/>
      </c>
      <c r="F11061" t="n">
        <v>90.8</v>
      </c>
      <c r="G11061" t="n">
        <v>119</v>
      </c>
      <c r="H11061" t="n">
        <v>9.36e-71</v>
      </c>
      <c r="I11061" t="inlineStr">
        <is>
          <t>TrEMBL</t>
        </is>
      </c>
      <c r="J11061" t="inlineStr">
        <is>
          <t>GHT09_012694</t>
        </is>
      </c>
      <c r="K11061" t="inlineStr">
        <is>
          <t>A0A5E4BH91_MARMO</t>
        </is>
      </c>
      <c r="L11061" t="inlineStr">
        <is>
          <t>tr|A0A5E4BH91|A0A5E4BH91_MARMO F-box domain-containing protein OS=Marmota monax OX=9995 GN=GHT09_012694 PE=4 SV=1</t>
        </is>
      </c>
      <c r="M11061" t="n">
        <v>328</v>
      </c>
      <c r="N11061" t="inlineStr">
        <is>
          <t>Marmota monax</t>
        </is>
      </c>
      <c r="O11061" t="inlineStr">
        <is>
          <t>F-box domain-containing protein</t>
        </is>
      </c>
    </row>
    <row r="11062">
      <c r="A11062" t="inlineStr"/>
      <c r="B11062" t="inlineStr"/>
      <c r="C11062" t="inlineStr"/>
      <c r="D11062" t="inlineStr"/>
      <c r="E11062">
        <f>HYPERLINK("https://www.ncbi.nlm.nih.gov/gene/?term=XP_041435263.1", "XP_041435263.1")</f>
        <v/>
      </c>
      <c r="F11062" t="n">
        <v>98.3</v>
      </c>
      <c r="G11062" t="n">
        <v>119</v>
      </c>
      <c r="H11062" t="n">
        <v>9.63e-71</v>
      </c>
      <c r="I11062" t="inlineStr">
        <is>
          <t>Nr</t>
        </is>
      </c>
      <c r="J11062" t="inlineStr"/>
      <c r="K11062" t="inlineStr"/>
      <c r="L11062" t="inlineStr">
        <is>
          <t>XP_041435263.1 F-box only protein 41 [Xenopus laevis]</t>
        </is>
      </c>
      <c r="M11062" t="n">
        <v>805</v>
      </c>
      <c r="N11062" t="inlineStr">
        <is>
          <t>Xenopus laevis</t>
        </is>
      </c>
      <c r="O11062" t="inlineStr">
        <is>
          <t>F-box only protein 41</t>
        </is>
      </c>
    </row>
    <row r="11063">
      <c r="A11063" t="inlineStr"/>
      <c r="B11063" t="inlineStr"/>
      <c r="C11063" t="inlineStr"/>
      <c r="D11063" t="inlineStr"/>
      <c r="E11063">
        <f>HYPERLINK("https://www.ncbi.nlm.nih.gov/gene/?term=KAH0615725.1", "KAH0615725.1")</f>
        <v/>
      </c>
      <c r="F11063" t="n">
        <v>93.3</v>
      </c>
      <c r="G11063" t="n">
        <v>120</v>
      </c>
      <c r="H11063" t="n">
        <v>9.96e-71</v>
      </c>
      <c r="I11063" t="inlineStr">
        <is>
          <t>Nr</t>
        </is>
      </c>
      <c r="J11063" t="inlineStr"/>
      <c r="K11063" t="inlineStr"/>
      <c r="L11063" t="inlineStr">
        <is>
          <t>KAH0615725.1 hypothetical protein JD844_026078 [Phrynosoma platyrhinos]</t>
        </is>
      </c>
      <c r="M11063" t="n">
        <v>488</v>
      </c>
      <c r="N11063" t="inlineStr">
        <is>
          <t>Phrynosoma platyrhinos</t>
        </is>
      </c>
      <c r="O11063" t="inlineStr">
        <is>
          <t>hypothetical protein JD844_026078</t>
        </is>
      </c>
    </row>
    <row r="11064">
      <c r="A11064" t="inlineStr"/>
      <c r="B11064" t="inlineStr"/>
      <c r="C11064" t="inlineStr"/>
      <c r="D11064" t="inlineStr"/>
      <c r="E11064">
        <f>HYPERLINK("https://www.uniprot.org/uniprotkb/A0A8C5PSR6/entry", "A0A8C5PSR6")</f>
        <v/>
      </c>
      <c r="F11064" t="n">
        <v>98.3</v>
      </c>
      <c r="G11064" t="n">
        <v>119</v>
      </c>
      <c r="H11064" t="n">
        <v>1.03e-70</v>
      </c>
      <c r="I11064" t="inlineStr">
        <is>
          <t>TrEMBL</t>
        </is>
      </c>
      <c r="J11064" t="inlineStr">
        <is>
          <t>FBXO41</t>
        </is>
      </c>
      <c r="K11064" t="inlineStr">
        <is>
          <t>A0A8C5PSR6_9ANUR</t>
        </is>
      </c>
      <c r="L11064" t="inlineStr">
        <is>
          <t>tr|A0A8C5PSR6|A0A8C5PSR6_9ANUR F-box protein 41 OS=Leptobrachium leishanense OX=445787 GN=FBXO41 PE=4 SV=1</t>
        </is>
      </c>
      <c r="M11064" t="n">
        <v>806</v>
      </c>
      <c r="N11064" t="inlineStr">
        <is>
          <t>Leptobrachium leishanense</t>
        </is>
      </c>
      <c r="O11064" t="inlineStr">
        <is>
          <t>F-box protein 41</t>
        </is>
      </c>
    </row>
    <row r="11065">
      <c r="A11065" t="inlineStr"/>
      <c r="B11065" t="inlineStr"/>
      <c r="C11065" t="inlineStr"/>
      <c r="D11065" t="inlineStr"/>
      <c r="E11065">
        <f>HYPERLINK("https://www.ncbi.nlm.nih.gov/gene/?term=KAJ1212970.1", "KAJ1212970.1")</f>
        <v/>
      </c>
      <c r="F11065" t="n">
        <v>95</v>
      </c>
      <c r="G11065" t="n">
        <v>119</v>
      </c>
      <c r="H11065" t="n">
        <v>1.06e-70</v>
      </c>
      <c r="I11065" t="inlineStr">
        <is>
          <t>Nr</t>
        </is>
      </c>
      <c r="J11065" t="inlineStr"/>
      <c r="K11065" t="inlineStr"/>
      <c r="L11065" t="inlineStr">
        <is>
          <t>KAJ1212970.1 hypothetical protein NDU88_000609 [Pleurodeles waltl]</t>
        </is>
      </c>
      <c r="M11065" t="n">
        <v>597</v>
      </c>
      <c r="N11065" t="inlineStr">
        <is>
          <t>Pleurodeles waltl</t>
        </is>
      </c>
      <c r="O11065" t="inlineStr">
        <is>
          <t>hypothetical protein NDU88_000609</t>
        </is>
      </c>
    </row>
    <row r="11066">
      <c r="A11066" t="inlineStr"/>
      <c r="B11066" t="inlineStr"/>
      <c r="C11066" t="inlineStr"/>
      <c r="D11066" t="inlineStr"/>
      <c r="E11066">
        <f>HYPERLINK("https://www.uniprot.org/uniprotkb/A0A851Y1K5/entry", "A0A851Y1K5")</f>
        <v/>
      </c>
      <c r="F11066" t="n">
        <v>93.3</v>
      </c>
      <c r="G11066" t="n">
        <v>119</v>
      </c>
      <c r="H11066" t="n">
        <v>1.61e-70</v>
      </c>
      <c r="I11066" t="inlineStr">
        <is>
          <t>TrEMBL</t>
        </is>
      </c>
      <c r="J11066" t="inlineStr">
        <is>
          <t>Fbxo41</t>
        </is>
      </c>
      <c r="K11066" t="inlineStr">
        <is>
          <t>A0A851Y1K5_EOLRO</t>
        </is>
      </c>
      <c r="L11066" t="inlineStr">
        <is>
          <t>tr|A0A851Y1K5|A0A851Y1K5_EOLRO FBX41 protein (Fragment) OS=Eolophus roseicapilla OX=176039 GN=Fbxo41 PE=4 SV=1</t>
        </is>
      </c>
      <c r="M11066" t="n">
        <v>462</v>
      </c>
      <c r="N11066" t="inlineStr">
        <is>
          <t>Eolophus roseicapilla</t>
        </is>
      </c>
      <c r="O11066" t="inlineStr">
        <is>
          <t>FBX41 protein (Fragment)</t>
        </is>
      </c>
    </row>
    <row r="11067">
      <c r="A11067" t="inlineStr"/>
      <c r="B11067" t="inlineStr"/>
      <c r="C11067" t="inlineStr"/>
      <c r="D11067" t="inlineStr"/>
      <c r="E11067">
        <f>HYPERLINK("https://www.uniprot.org/uniprotkb/A0A7K5FZ66/entry", "A0A7K5FZ66")</f>
        <v/>
      </c>
      <c r="F11067" t="n">
        <v>93.3</v>
      </c>
      <c r="G11067" t="n">
        <v>119</v>
      </c>
      <c r="H11067" t="n">
        <v>1.61e-70</v>
      </c>
      <c r="I11067" t="inlineStr">
        <is>
          <t>TrEMBL</t>
        </is>
      </c>
      <c r="J11067" t="inlineStr">
        <is>
          <t>Fbxo41</t>
        </is>
      </c>
      <c r="K11067" t="inlineStr">
        <is>
          <t>A0A7K5FZ66_PROAR</t>
        </is>
      </c>
      <c r="L11067" t="inlineStr">
        <is>
          <t>tr|A0A7K5FZ66|A0A7K5FZ66_PROAR FBX41 protein (Fragment) OS=Probosciger aterrimus OX=141839 GN=Fbxo41 PE=4 SV=1</t>
        </is>
      </c>
      <c r="M11067" t="n">
        <v>462</v>
      </c>
      <c r="N11067" t="inlineStr">
        <is>
          <t>Probosciger aterrimus</t>
        </is>
      </c>
      <c r="O11067" t="inlineStr">
        <is>
          <t>FBX41 protein (Fragment)</t>
        </is>
      </c>
    </row>
    <row r="11068">
      <c r="A11068" t="inlineStr"/>
      <c r="B11068" t="inlineStr"/>
      <c r="C11068" t="inlineStr"/>
      <c r="D11068" t="inlineStr"/>
      <c r="E11068">
        <f>HYPERLINK("https://www.ncbi.nlm.nih.gov/gene/?term=NXH55143.1", "NXH55143.1")</f>
        <v/>
      </c>
      <c r="F11068" t="n">
        <v>94.09999999999999</v>
      </c>
      <c r="G11068" t="n">
        <v>119</v>
      </c>
      <c r="H11068" t="n">
        <v>1.62e-70</v>
      </c>
      <c r="I11068" t="inlineStr">
        <is>
          <t>Nr</t>
        </is>
      </c>
      <c r="J11068" t="inlineStr"/>
      <c r="K11068" t="inlineStr"/>
      <c r="L11068" t="inlineStr">
        <is>
          <t>NXH55143.1 FBX41 protein [Rhabdornis inornatus]</t>
        </is>
      </c>
      <c r="M11068" t="n">
        <v>466</v>
      </c>
      <c r="N11068" t="inlineStr">
        <is>
          <t>Rhabdornis inornatus</t>
        </is>
      </c>
      <c r="O11068" t="inlineStr">
        <is>
          <t>FBX41 protein</t>
        </is>
      </c>
    </row>
    <row r="11069">
      <c r="A11069" t="inlineStr"/>
      <c r="B11069" t="inlineStr"/>
      <c r="C11069" t="inlineStr"/>
      <c r="D11069" t="inlineStr"/>
      <c r="E11069">
        <f>HYPERLINK("https://www.ncbi.nlm.nih.gov/gene/?term=TMS23019.1", "TMS23019.1")</f>
        <v/>
      </c>
      <c r="F11069" t="n">
        <v>92.40000000000001</v>
      </c>
      <c r="G11069" t="n">
        <v>118</v>
      </c>
      <c r="H11069" t="n">
        <v>1.66e-70</v>
      </c>
      <c r="I11069" t="inlineStr">
        <is>
          <t>Nr</t>
        </is>
      </c>
      <c r="J11069" t="inlineStr"/>
      <c r="K11069" t="inlineStr"/>
      <c r="L11069" t="inlineStr">
        <is>
          <t>TMS23019.1 F-box only protein 41 [Larimichthys crocea]</t>
        </is>
      </c>
      <c r="M11069" t="n">
        <v>388</v>
      </c>
      <c r="N11069" t="inlineStr">
        <is>
          <t>Larimichthys crocea</t>
        </is>
      </c>
      <c r="O11069" t="inlineStr">
        <is>
          <t>F-box only protein 41</t>
        </is>
      </c>
    </row>
    <row r="11070">
      <c r="A11070" t="inlineStr"/>
      <c r="B11070" t="inlineStr"/>
      <c r="C11070" t="inlineStr"/>
      <c r="D11070" t="inlineStr"/>
      <c r="E11070">
        <f>HYPERLINK("https://www.uniprot.org/uniprotkb/A0A7L0MQD7/entry", "A0A7L0MQD7")</f>
        <v/>
      </c>
      <c r="F11070" t="n">
        <v>93.3</v>
      </c>
      <c r="G11070" t="n">
        <v>119</v>
      </c>
      <c r="H11070" t="n">
        <v>1.97e-70</v>
      </c>
      <c r="I11070" t="inlineStr">
        <is>
          <t>TrEMBL</t>
        </is>
      </c>
      <c r="J11070" t="inlineStr">
        <is>
          <t>Fbxo41</t>
        </is>
      </c>
      <c r="K11070" t="inlineStr">
        <is>
          <t>A0A7L0MQD7_9PSIT</t>
        </is>
      </c>
      <c r="L11070" t="inlineStr">
        <is>
          <t>tr|A0A7L0MQD7|A0A7L0MQD7_9PSIT FBX41 protein (Fragment) OS=Amazona guildingii OX=175529 GN=Fbxo41 PE=4 SV=1</t>
        </is>
      </c>
      <c r="M11070" t="n">
        <v>470</v>
      </c>
      <c r="N11070" t="inlineStr">
        <is>
          <t>Amazona guildingii</t>
        </is>
      </c>
      <c r="O11070" t="inlineStr">
        <is>
          <t>FBX41 protein (Fragment)</t>
        </is>
      </c>
    </row>
    <row r="11071">
      <c r="A11071" t="inlineStr"/>
      <c r="B11071" t="inlineStr"/>
      <c r="C11071" t="inlineStr"/>
      <c r="D11071" t="inlineStr"/>
      <c r="E11071">
        <f>HYPERLINK("https://www.ncbi.nlm.nih.gov/gene/?term=KFP89342.1", "KFP89342.1")</f>
        <v/>
      </c>
      <c r="F11071" t="n">
        <v>93.3</v>
      </c>
      <c r="G11071" t="n">
        <v>119</v>
      </c>
      <c r="H11071" t="n">
        <v>2.07e-70</v>
      </c>
      <c r="I11071" t="inlineStr">
        <is>
          <t>Nr</t>
        </is>
      </c>
      <c r="J11071" t="inlineStr"/>
      <c r="K11071" t="inlineStr"/>
      <c r="L11071" t="inlineStr">
        <is>
          <t>KFP89342.1 F-box only protein 41, partial [Apaloderma vittatum]</t>
        </is>
      </c>
      <c r="M11071" t="n">
        <v>435</v>
      </c>
      <c r="N11071" t="inlineStr">
        <is>
          <t>Apaloderma vittatum</t>
        </is>
      </c>
      <c r="O11071" t="inlineStr">
        <is>
          <t>F-box only protein 41, partial</t>
        </is>
      </c>
    </row>
    <row r="11072">
      <c r="A11072" t="inlineStr"/>
      <c r="B11072" t="inlineStr"/>
      <c r="C11072" t="inlineStr"/>
      <c r="D11072" t="inlineStr"/>
      <c r="E11072">
        <f>HYPERLINK("https://www.ncbi.nlm.nih.gov/gene/?term=XP_009868462.1", "XP_009868462.1")</f>
        <v/>
      </c>
      <c r="F11072" t="n">
        <v>93.3</v>
      </c>
      <c r="G11072" t="n">
        <v>119</v>
      </c>
      <c r="H11072" t="n">
        <v>2.18e-70</v>
      </c>
      <c r="I11072" t="inlineStr">
        <is>
          <t>Nr</t>
        </is>
      </c>
      <c r="J11072" t="inlineStr"/>
      <c r="K11072" t="inlineStr"/>
      <c r="L11072" t="inlineStr">
        <is>
          <t>XP_009868462.1 PREDICTED: LOW QUALITY PROTEIN: F-box only protein 41, partial [Apaloderma vittatum]</t>
        </is>
      </c>
      <c r="M11072" t="n">
        <v>437</v>
      </c>
      <c r="N11072" t="inlineStr">
        <is>
          <t>Apaloderma vittatum</t>
        </is>
      </c>
      <c r="O11072" t="inlineStr">
        <is>
          <t>PREDICTED: LOW QUALITY PROTEIN: F-box only protein 41, partial</t>
        </is>
      </c>
    </row>
    <row r="11073">
      <c r="A11073" t="inlineStr"/>
      <c r="B11073" t="inlineStr"/>
      <c r="C11073" t="inlineStr"/>
      <c r="D11073" t="inlineStr"/>
      <c r="E11073">
        <f>HYPERLINK("https://www.ncbi.nlm.nih.gov/gene/?term=KAF7468288.1", "KAF7468288.1")</f>
        <v/>
      </c>
      <c r="F11073" t="n">
        <v>90.8</v>
      </c>
      <c r="G11073" t="n">
        <v>119</v>
      </c>
      <c r="H11073" t="n">
        <v>2.4e-70</v>
      </c>
      <c r="I11073" t="inlineStr">
        <is>
          <t>Nr</t>
        </is>
      </c>
      <c r="J11073" t="inlineStr"/>
      <c r="K11073" t="inlineStr"/>
      <c r="L11073" t="inlineStr">
        <is>
          <t>KAF7468288.1 hypothetical protein GHT09_012694 [Marmota monax]</t>
        </is>
      </c>
      <c r="M11073" t="n">
        <v>328</v>
      </c>
      <c r="N11073" t="inlineStr">
        <is>
          <t>Marmota monax</t>
        </is>
      </c>
      <c r="O11073" t="inlineStr">
        <is>
          <t>hypothetical protein GHT09_012694</t>
        </is>
      </c>
    </row>
    <row r="11074">
      <c r="A11074" t="inlineStr"/>
      <c r="B11074" t="inlineStr"/>
      <c r="C11074" t="inlineStr"/>
      <c r="D11074" t="inlineStr"/>
      <c r="E11074">
        <f>HYPERLINK("https://www.uniprot.org/uniprotkb/B3KXK3/entry", "B3KXK3")</f>
        <v/>
      </c>
      <c r="F11074" t="n">
        <v>90.8</v>
      </c>
      <c r="G11074" t="n">
        <v>119</v>
      </c>
      <c r="H11074" t="n">
        <v>2.72e-70</v>
      </c>
      <c r="I11074" t="inlineStr">
        <is>
          <t>TrEMBL</t>
        </is>
      </c>
      <c r="J11074" t="inlineStr"/>
      <c r="K11074" t="inlineStr">
        <is>
          <t>B3KXK3_HUMAN</t>
        </is>
      </c>
      <c r="L11074" t="inlineStr">
        <is>
          <t>tr|B3KXK3|B3KXK3_HUMAN cDNA FLJ45596 fis, clone BRTHA3017791, highly similar to F-box only protein 41 OS=Homo sapiens OX=9606 PE=2 SV=1</t>
        </is>
      </c>
      <c r="M11074" t="n">
        <v>365</v>
      </c>
      <c r="N11074" t="inlineStr">
        <is>
          <t>Homo sapiens</t>
        </is>
      </c>
      <c r="O11074" t="inlineStr">
        <is>
          <t>cDNA FLJ45596 fis, clone BRTHA3017791, highly similar to F-box only protein 41</t>
        </is>
      </c>
    </row>
    <row r="11075">
      <c r="A11075" t="inlineStr"/>
      <c r="B11075" t="inlineStr"/>
      <c r="C11075" t="inlineStr"/>
      <c r="D11075" t="inlineStr"/>
      <c r="E11075">
        <f>HYPERLINK("https://www.uniprot.org/uniprotkb/A0A3Q0DS57/entry", "A0A3Q0DS57")</f>
        <v/>
      </c>
      <c r="F11075" t="n">
        <v>89.90000000000001</v>
      </c>
      <c r="G11075" t="n">
        <v>119</v>
      </c>
      <c r="H11075" t="n">
        <v>3.85e-70</v>
      </c>
      <c r="I11075" t="inlineStr">
        <is>
          <t>TrEMBL</t>
        </is>
      </c>
      <c r="J11075" t="inlineStr">
        <is>
          <t>FBXO41</t>
        </is>
      </c>
      <c r="K11075" t="inlineStr">
        <is>
          <t>A0A3Q0DS57_CARSF</t>
        </is>
      </c>
      <c r="L11075" t="inlineStr">
        <is>
          <t>tr|A0A3Q0DS57|A0A3Q0DS57_CARSF F-box only protein 41 OS=Carlito syrichta OX=1868482 GN=FBXO41 PE=4 SV=1</t>
        </is>
      </c>
      <c r="M11075" t="n">
        <v>365</v>
      </c>
      <c r="N11075" t="inlineStr">
        <is>
          <t>Carlito syrichta</t>
        </is>
      </c>
      <c r="O11075" t="inlineStr">
        <is>
          <t>F-box only protein 41</t>
        </is>
      </c>
    </row>
    <row r="11076">
      <c r="A11076" t="inlineStr"/>
      <c r="B11076" t="inlineStr"/>
      <c r="C11076" t="inlineStr"/>
      <c r="D11076" t="inlineStr"/>
      <c r="E11076">
        <f>HYPERLINK("https://www.uniprot.org/uniprotkb/A0A4W3GYK1/entry", "A0A4W3GYK1")</f>
        <v/>
      </c>
      <c r="F11076" t="n">
        <v>88.2</v>
      </c>
      <c r="G11076" t="n">
        <v>119</v>
      </c>
      <c r="H11076" t="n">
        <v>1.68e-69</v>
      </c>
      <c r="I11076" t="inlineStr">
        <is>
          <t>TrEMBL</t>
        </is>
      </c>
      <c r="J11076" t="inlineStr"/>
      <c r="K11076" t="inlineStr">
        <is>
          <t>A0A4W3GYK1_CALMI</t>
        </is>
      </c>
      <c r="L11076" t="inlineStr">
        <is>
          <t>tr|A0A4W3GYK1|A0A4W3GYK1_CALMI F-box/LRR-repeat protein 18 OS=Callorhinchus milii OX=7868 PE=4 SV=1</t>
        </is>
      </c>
      <c r="M11076" t="n">
        <v>229</v>
      </c>
      <c r="N11076" t="inlineStr">
        <is>
          <t>Callorhinchus milii</t>
        </is>
      </c>
      <c r="O11076" t="inlineStr">
        <is>
          <t>F-box/LRR-repeat protein 18</t>
        </is>
      </c>
    </row>
    <row r="11077">
      <c r="A11077" t="inlineStr"/>
      <c r="B11077" t="inlineStr"/>
      <c r="C11077" t="inlineStr"/>
      <c r="D11077" t="inlineStr"/>
      <c r="E11077">
        <f>HYPERLINK("https://www.uniprot.org/uniprotkb/A0A3Q1CJ87/entry", "A0A3Q1CJ87")</f>
        <v/>
      </c>
      <c r="F11077" t="n">
        <v>92.40000000000001</v>
      </c>
      <c r="G11077" t="n">
        <v>119</v>
      </c>
      <c r="H11077" t="n">
        <v>1.7e-69</v>
      </c>
      <c r="I11077" t="inlineStr">
        <is>
          <t>TrEMBL</t>
        </is>
      </c>
      <c r="J11077" t="inlineStr"/>
      <c r="K11077" t="inlineStr">
        <is>
          <t>A0A3Q1CJ87_AMPOC</t>
        </is>
      </c>
      <c r="L11077" t="inlineStr">
        <is>
          <t>tr|A0A3Q1CJ87|A0A3Q1CJ87_AMPOC F-box protein 41 OS=Amphiprion ocellaris OX=80972 PE=4 SV=1</t>
        </is>
      </c>
      <c r="M11077" t="n">
        <v>579</v>
      </c>
      <c r="N11077" t="inlineStr">
        <is>
          <t>Amphiprion ocellaris</t>
        </is>
      </c>
      <c r="O11077" t="inlineStr">
        <is>
          <t>F-box protein 41</t>
        </is>
      </c>
    </row>
    <row r="11078">
      <c r="A11078" t="inlineStr"/>
      <c r="B11078" t="inlineStr"/>
      <c r="C11078" t="inlineStr"/>
      <c r="D11078" t="inlineStr"/>
      <c r="E11078">
        <f>HYPERLINK("https://www.uniprot.org/uniprotkb/A0A850Y0B4/entry", "A0A850Y0B4")</f>
        <v/>
      </c>
      <c r="F11078" t="n">
        <v>94.09999999999999</v>
      </c>
      <c r="G11078" t="n">
        <v>119</v>
      </c>
      <c r="H11078" t="n">
        <v>2.18e-69</v>
      </c>
      <c r="I11078" t="inlineStr">
        <is>
          <t>TrEMBL</t>
        </is>
      </c>
      <c r="J11078" t="inlineStr">
        <is>
          <t>Fbxo41</t>
        </is>
      </c>
      <c r="K11078" t="inlineStr">
        <is>
          <t>A0A850Y0B4_AEGCA</t>
        </is>
      </c>
      <c r="L11078" t="inlineStr">
        <is>
          <t>tr|A0A850Y0B4|A0A850Y0B4_AEGCA FBX41 protein (Fragment) OS=Aegithalos caudatus OX=73327 GN=Fbxo41 PE=4 SV=1</t>
        </is>
      </c>
      <c r="M11078" t="n">
        <v>625</v>
      </c>
      <c r="N11078" t="inlineStr">
        <is>
          <t>Aegithalos caudatus</t>
        </is>
      </c>
      <c r="O11078" t="inlineStr">
        <is>
          <t>FBX41 protein (Fragment)</t>
        </is>
      </c>
    </row>
    <row r="11079">
      <c r="A11079" t="inlineStr"/>
      <c r="B11079" t="inlineStr"/>
      <c r="C11079" t="inlineStr"/>
      <c r="D11079" t="inlineStr"/>
      <c r="E11079">
        <f>HYPERLINK("https://www.uniprot.org/uniprotkb/Q6NS60/entry", "Q6NS60")</f>
        <v/>
      </c>
      <c r="F11079" t="n">
        <v>90.8</v>
      </c>
      <c r="G11079" t="n">
        <v>119</v>
      </c>
      <c r="H11079" t="n">
        <v>1.18e-68</v>
      </c>
      <c r="I11079" t="inlineStr">
        <is>
          <t>Swiss-Prot</t>
        </is>
      </c>
      <c r="J11079" t="inlineStr">
        <is>
          <t>Fbxo41</t>
        </is>
      </c>
      <c r="K11079" t="inlineStr">
        <is>
          <t>FBX41_MOUSE</t>
        </is>
      </c>
      <c r="L11079" t="inlineStr">
        <is>
          <t>sp|Q6NS60|FBX41_MOUSE F-box only protein 41 OS=Mus musculus OX=10090 GN=Fbxo41 PE=1 SV=3</t>
        </is>
      </c>
      <c r="M11079" t="n">
        <v>873</v>
      </c>
      <c r="N11079" t="inlineStr">
        <is>
          <t>Mus musculus</t>
        </is>
      </c>
      <c r="O11079" t="inlineStr">
        <is>
          <t>F-box only protein 41</t>
        </is>
      </c>
    </row>
    <row r="11080">
      <c r="A11080" t="inlineStr"/>
      <c r="B11080" t="inlineStr"/>
      <c r="C11080" t="inlineStr"/>
      <c r="D11080" t="inlineStr"/>
      <c r="E11080">
        <f>HYPERLINK("https://www.uniprot.org/uniprotkb/Q8TF61/entry", "Q8TF61")</f>
        <v/>
      </c>
      <c r="F11080" t="n">
        <v>90.8</v>
      </c>
      <c r="G11080" t="n">
        <v>119</v>
      </c>
      <c r="H11080" t="n">
        <v>1.2e-68</v>
      </c>
      <c r="I11080" t="inlineStr">
        <is>
          <t>Swiss-Prot</t>
        </is>
      </c>
      <c r="J11080" t="inlineStr">
        <is>
          <t>FBXO41</t>
        </is>
      </c>
      <c r="K11080" t="inlineStr">
        <is>
          <t>FBX41_HUMAN</t>
        </is>
      </c>
      <c r="L11080" t="inlineStr">
        <is>
          <t>sp|Q8TF61|FBX41_HUMAN F-box only protein 41 OS=Homo sapiens OX=9606 GN=FBXO41 PE=2 SV=5</t>
        </is>
      </c>
      <c r="M11080" t="n">
        <v>875</v>
      </c>
      <c r="N11080" t="inlineStr">
        <is>
          <t>Homo sapiens</t>
        </is>
      </c>
      <c r="O11080" t="inlineStr">
        <is>
          <t>F-box only protein 41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2023-04-06T22:49:30Z</dcterms:created>
  <dcterms:modified xsi:type="dcterms:W3CDTF">2023-04-06T22:49:32Z</dcterms:modified>
</cp:coreProperties>
</file>